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24" windowHeight="22140" activeTab="12"/>
  </bookViews>
  <sheets>
    <sheet name="套利产品" sheetId="2" r:id="rId1"/>
    <sheet name="Sheet1-指标体系" sheetId="3" r:id="rId2"/>
    <sheet name="Sheet2-计算明细" sheetId="4" r:id="rId3"/>
    <sheet name="Sheet3-分类汇总" sheetId="5" r:id="rId4"/>
    <sheet name="Sheet4-原始数据" sheetId="6" r:id="rId5"/>
    <sheet name="Sheet5-查询核对" sheetId="7" r:id="rId6"/>
    <sheet name="净值原始" sheetId="8" r:id="rId7"/>
    <sheet name="月度明细" sheetId="9" r:id="rId8"/>
    <sheet name="补数计算" sheetId="10" r:id="rId9"/>
    <sheet name="补数记录" sheetId="11" r:id="rId10"/>
    <sheet name="协会公示" sheetId="12" r:id="rId11"/>
    <sheet name="大规模策略池" sheetId="13" r:id="rId12"/>
    <sheet name="小规模策略池" sheetId="14" r:id="rId13"/>
    <sheet name="分数对比" sheetId="15" r:id="rId14"/>
    <sheet name="差异细项" sheetId="16" r:id="rId15"/>
    <sheet name="对照快照" sheetId="17" r:id="rId16"/>
    <sheet name="压缩包逐项核算" sheetId="18"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<sst xmlns="http://schemas.openxmlformats.org/spreadsheetml/2006/main" count="41515" uniqueCount="3224">
  <si>
    <t>序号</t>
  </si>
  <si>
    <t>产品ID</t>
  </si>
  <si>
    <t>产品名称</t>
  </si>
  <si>
    <t>类型</t>
  </si>
  <si>
    <t>统一策略类型</t>
  </si>
  <si>
    <t>是否套利策略</t>
  </si>
  <si>
    <t>策略判定来源</t>
  </si>
  <si>
    <t>火富牛策略路径</t>
  </si>
  <si>
    <t>当前净值</t>
  </si>
  <si>
    <t>净值日期</t>
  </si>
  <si>
    <t>净值来源</t>
  </si>
  <si>
    <t>成立日期</t>
  </si>
  <si>
    <t>成立以来收益</t>
  </si>
  <si>
    <t>今年以来收益</t>
  </si>
  <si>
    <t>成立以来年化</t>
  </si>
  <si>
    <t>成立以来最大回撤</t>
  </si>
  <si>
    <t>成立以来夏普</t>
  </si>
  <si>
    <t>备案编号</t>
  </si>
  <si>
    <t>私募管理人</t>
  </si>
  <si>
    <t>历史净值行数</t>
  </si>
  <si>
    <t>历史起始</t>
  </si>
  <si>
    <t>历史截止</t>
  </si>
  <si>
    <t>末条复权净值</t>
  </si>
  <si>
    <t>跟踪来源</t>
  </si>
  <si>
    <t>上海分公司策略分类</t>
  </si>
  <si>
    <t>傲创二级策略</t>
  </si>
  <si>
    <t>上海来源日期</t>
  </si>
  <si>
    <t>傲创来源日期</t>
  </si>
  <si>
    <t>指标来源</t>
  </si>
  <si>
    <t>数据状态</t>
  </si>
  <si>
    <t>来源URL</t>
  </si>
  <si>
    <t>是否上架</t>
  </si>
  <si>
    <t>8e641c904118560b</t>
  </si>
  <si>
    <t>爱凡哲九号</t>
  </si>
  <si>
    <t>私募</t>
  </si>
  <si>
    <t>套利策略—期货套利</t>
  </si>
  <si>
    <t>是</t>
  </si>
  <si>
    <t>火富牛策略分类</t>
  </si>
  <si>
    <t>套利策略 /期货套利</t>
  </si>
  <si>
    <t>火富牛产品详情页</t>
  </si>
  <si>
    <t>SJA112</t>
  </si>
  <si>
    <t>爱凡哲投资</t>
  </si>
  <si>
    <t>傲创提供名单</t>
  </si>
  <si>
    <t>期货套利策略</t>
  </si>
  <si>
    <t>火富牛完整区间指标；历史净值复算</t>
  </si>
  <si>
    <t>完整</t>
  </si>
  <si>
    <t>https://mp.fof99.com/fund/view/8e641c904118560b</t>
  </si>
  <si>
    <t>未确认</t>
  </si>
  <si>
    <t>b03271229e00ba58</t>
  </si>
  <si>
    <t>滨风风云瑞丰1号</t>
  </si>
  <si>
    <t>管理期货—量化CTA</t>
  </si>
  <si>
    <t>火富牛策略分类；策略精选跟踪周报</t>
  </si>
  <si>
    <t>期货策略 /量化期货 /混合均衡</t>
  </si>
  <si>
    <t>SXL267</t>
  </si>
  <si>
    <t>鹰潭滨风投资</t>
  </si>
  <si>
    <t>策略精选跟踪周报</t>
  </si>
  <si>
    <t>套利策略｜商品+股指套利</t>
  </si>
  <si>
    <t>火富牛成立以来指标；历史净值复核/复算</t>
  </si>
  <si>
    <t>https://mp.fof99.com/fund/view/b03271229e00ba58</t>
  </si>
  <si>
    <t>9b20523c2bad1cdc</t>
  </si>
  <si>
    <t>博牛转债策略2号</t>
  </si>
  <si>
    <t>套利策略—可转债套利</t>
  </si>
  <si>
    <t>套利策略 /可转债套利</t>
  </si>
  <si>
    <t>SVY871</t>
  </si>
  <si>
    <t>广州博牛</t>
  </si>
  <si>
    <t>期权套利策略</t>
  </si>
  <si>
    <t>火富牛成立以来指标</t>
  </si>
  <si>
    <t>https://mp.fof99.com/fund/view/9b20523c2bad1cdc</t>
  </si>
  <si>
    <t>783b8a029943d82b</t>
  </si>
  <si>
    <t>博润小牛3号</t>
  </si>
  <si>
    <t>套利策略—基金套利</t>
  </si>
  <si>
    <t>套利策略 /基金套利 /ETF套利</t>
  </si>
  <si>
    <t>STV728</t>
  </si>
  <si>
    <t>北京博润银泰投资</t>
  </si>
  <si>
    <t>基金套利策略</t>
  </si>
  <si>
    <t>https://mp.fof99.com/fund/view/783b8a029943d82b</t>
  </si>
  <si>
    <t>66f7dd55b7f90b97</t>
  </si>
  <si>
    <t>博润易量稳健1号</t>
  </si>
  <si>
    <t>SXL913</t>
  </si>
  <si>
    <t>上海分公司白名单</t>
  </si>
  <si>
    <t>期货套利（混合套利）；期货套利（跨期套利）；量化期货（中高频&amp;另类）</t>
  </si>
  <si>
    <t>https://mp.fof99.com/fund/view/66f7dd55b7f90b97</t>
  </si>
  <si>
    <t>068bcb639f441262</t>
  </si>
  <si>
    <t>博弈树金选套利2号</t>
  </si>
  <si>
    <t>SXR086</t>
  </si>
  <si>
    <t>广东丰煜</t>
  </si>
  <si>
    <t>https://mp.fof99.com/fund/view/068bcb639f441262</t>
  </si>
  <si>
    <t>11dff1146ece63b4</t>
  </si>
  <si>
    <t>常行7号</t>
  </si>
  <si>
    <t>套利策略 /期货套利 /跨期套利；套利策略 /期货套利 /股指套利</t>
  </si>
  <si>
    <t>SQH214</t>
  </si>
  <si>
    <t>江苏常行投资</t>
  </si>
  <si>
    <t>高频策略｜股指高频-跨期</t>
  </si>
  <si>
    <t>https://mp.fof99.com/fund/view/11dff1146ece63b4</t>
  </si>
  <si>
    <t>dfc323b7729ef01d</t>
  </si>
  <si>
    <t>辰元稳健2号</t>
  </si>
  <si>
    <t>套利策略—混合套利</t>
  </si>
  <si>
    <t>套利策略 /混合套利</t>
  </si>
  <si>
    <t>SZJ724</t>
  </si>
  <si>
    <t>广东辰元</t>
  </si>
  <si>
    <t>上海分公司白名单；傲创提供名单</t>
  </si>
  <si>
    <t>主观期货（农产）</t>
  </si>
  <si>
    <t>https://mp.fof99.com/fund/view/dfc323b7729ef01d</t>
  </si>
  <si>
    <t>3712ae883b81c7b6</t>
  </si>
  <si>
    <t>辰元优选稳健</t>
  </si>
  <si>
    <t>SZH690</t>
  </si>
  <si>
    <t>策略精选跟踪周报；傲创提供名单</t>
  </si>
  <si>
    <t>套利策略｜ETF套利</t>
  </si>
  <si>
    <t>https://mp.fof99.com/fund/view/3712ae883b81c7b6</t>
  </si>
  <si>
    <t>f56d280c5131a6c9</t>
  </si>
  <si>
    <t>晨翰11号</t>
  </si>
  <si>
    <t>套利策略 /期货套利 /跨品种套利</t>
  </si>
  <si>
    <t>SVT598</t>
  </si>
  <si>
    <t>晋江晨翰</t>
  </si>
  <si>
    <t>主观期货（交易型）</t>
  </si>
  <si>
    <t>https://mp.fof99.com/fund/view/f56d280c5131a6c9</t>
  </si>
  <si>
    <t>99bf55b582e27685</t>
  </si>
  <si>
    <t>晨翰6号</t>
  </si>
  <si>
    <t>STS460</t>
  </si>
  <si>
    <t>https://mp.fof99.com/fund/view/99bf55b582e27685</t>
  </si>
  <si>
    <t>fbf1de225e3e65af</t>
  </si>
  <si>
    <t>刀锋期权套利</t>
  </si>
  <si>
    <t>期权策略</t>
  </si>
  <si>
    <t>期权策略 /场内期权 /定价卖波</t>
  </si>
  <si>
    <t>SGR366</t>
  </si>
  <si>
    <t>深圳刀锋</t>
  </si>
  <si>
    <t>商品卖波</t>
  </si>
  <si>
    <t>https://mp.fof99.com/fund/view/fbf1de225e3e65af</t>
  </si>
  <si>
    <t>d7eeaf632af20fa7</t>
  </si>
  <si>
    <t>东方富银命运1号</t>
  </si>
  <si>
    <t>SEG244</t>
  </si>
  <si>
    <t>深圳东方富银投资</t>
  </si>
  <si>
    <t>可转债套利策略</t>
  </si>
  <si>
    <t>https://mp.fof99.com/fund/view/d7eeaf632af20fa7</t>
  </si>
  <si>
    <t>baa4ff727568ddb3</t>
  </si>
  <si>
    <t>东源投资丰源5号</t>
  </si>
  <si>
    <t>套利策略—期权套利</t>
  </si>
  <si>
    <t>套利策略 /期权套利</t>
  </si>
  <si>
    <t>产品详情页</t>
  </si>
  <si>
    <t>SBMG09</t>
  </si>
  <si>
    <t>天津东源投资</t>
  </si>
  <si>
    <t>火富牛组合</t>
  </si>
  <si>
    <t>https://mp.fof99.com/fund/view/baa4ff727568ddb3</t>
  </si>
  <si>
    <t>dc199b33f4fce442</t>
  </si>
  <si>
    <t>东源投资乐源1号</t>
  </si>
  <si>
    <t>SBRX68</t>
  </si>
  <si>
    <t>火富牛组合；策略精选跟踪周报</t>
  </si>
  <si>
    <t>期权策略｜金融期权套利为主</t>
  </si>
  <si>
    <t>https://mp.fof99.com/fund/view/dc199b33f4fce442</t>
  </si>
  <si>
    <t>572bc921ce9d2893</t>
  </si>
  <si>
    <t>放牛人5号</t>
  </si>
  <si>
    <t>SVH487</t>
  </si>
  <si>
    <t>上海放牛人</t>
  </si>
  <si>
    <t>https://mp.fof99.com/fund/view/572bc921ce9d2893</t>
  </si>
  <si>
    <t>bf37a6579525f8b3</t>
  </si>
  <si>
    <t>广联宏丰利1号</t>
  </si>
  <si>
    <t>套利策略 /期货套利 /商品套利</t>
  </si>
  <si>
    <t>SAGN89</t>
  </si>
  <si>
    <t>海南广联宏</t>
  </si>
  <si>
    <t>https://mp.fof99.com/fund/view/bf37a6579525f8b3</t>
  </si>
  <si>
    <t>c5b9a0c28942bf05</t>
  </si>
  <si>
    <t>广联宏稳健2号</t>
  </si>
  <si>
    <t>SATV20</t>
  </si>
  <si>
    <t>https://mp.fof99.com/fund/view/c5b9a0c28942bf05</t>
  </si>
  <si>
    <t>e556f77ef201098a</t>
  </si>
  <si>
    <t>杭州探融-锦鲤智能量化3号</t>
  </si>
  <si>
    <t>SQC001</t>
  </si>
  <si>
    <t>杭州探融投资</t>
  </si>
  <si>
    <t>https://mp.fof99.com/fund/view/e556f77ef201098a</t>
  </si>
  <si>
    <t>5a95543cf10b3b66</t>
  </si>
  <si>
    <t>汇艾稳健3号</t>
  </si>
  <si>
    <t>SR8584</t>
  </si>
  <si>
    <t>上海汇艾资管</t>
  </si>
  <si>
    <t>https://mp.fof99.com/fund/view/5a95543cf10b3b66</t>
  </si>
  <si>
    <t>3f5108a89aafc6d8</t>
  </si>
  <si>
    <t>惠隆金选套利1号</t>
  </si>
  <si>
    <t>SQG026</t>
  </si>
  <si>
    <t>北京惠隆资管</t>
  </si>
  <si>
    <t>https://mp.fof99.com/fund/view/3f5108a89aafc6d8</t>
  </si>
  <si>
    <t>441eaddd701f4a97</t>
  </si>
  <si>
    <t>佳泽信享5号A类</t>
  </si>
  <si>
    <t>套利策略 /期货套利 /股指套利</t>
  </si>
  <si>
    <t>ZC395A</t>
  </si>
  <si>
    <t>海南佳泽</t>
  </si>
  <si>
    <t>https://mp.fof99.com/fund/view/441eaddd701f4a97</t>
  </si>
  <si>
    <t>d8c5ba292c0e7653</t>
  </si>
  <si>
    <t>嘉和传承精研二期</t>
  </si>
  <si>
    <t>套利策略 /期货套利 /跨期套利；套利策略 /期货套利 /商品套利</t>
  </si>
  <si>
    <t>STD929</t>
  </si>
  <si>
    <t>上海嘉和传承</t>
  </si>
  <si>
    <t>期货套利（混合套利）；期货套利（跨期套利）</t>
  </si>
  <si>
    <t>https://mp.fof99.com/fund/view/d8c5ba292c0e7653</t>
  </si>
  <si>
    <t>735dc9bdc1713fc1</t>
  </si>
  <si>
    <t>阶石稳健1号</t>
  </si>
  <si>
    <t>SATE65</t>
  </si>
  <si>
    <t>深圳阶石</t>
  </si>
  <si>
    <t>https://mp.fof99.com/fund/view/735dc9bdc1713fc1</t>
  </si>
  <si>
    <t>a1580a40d8b17419</t>
  </si>
  <si>
    <t>阶石稳健7号</t>
  </si>
  <si>
    <t>SAWS84</t>
  </si>
  <si>
    <t>https://mp.fof99.com/fund/view/a1580a40d8b17419</t>
  </si>
  <si>
    <t>4bda29597d3247b9</t>
  </si>
  <si>
    <t>阶石稳健9号</t>
  </si>
  <si>
    <t>SAZW60</t>
  </si>
  <si>
    <t>https://mp.fof99.com/fund/view/4bda29597d3247b9</t>
  </si>
  <si>
    <t>a0e2d40b33d92ad4</t>
  </si>
  <si>
    <t>金锝牵星1号C类</t>
  </si>
  <si>
    <t>ASB89C</t>
  </si>
  <si>
    <t>上海金锝资管</t>
  </si>
  <si>
    <t>https://mp.fof99.com/fund/view/a0e2d40b33d92ad4</t>
  </si>
  <si>
    <t>54b1f815aaee62da</t>
  </si>
  <si>
    <t>九木套利9号A类</t>
  </si>
  <si>
    <t>组合持仓页回退</t>
  </si>
  <si>
    <t>BSA32A</t>
  </si>
  <si>
    <t>深圳九木</t>
  </si>
  <si>
    <t>https://mp.fof99.com/fund/view/54b1f815aaee62da</t>
  </si>
  <si>
    <t>206ccc429e7e2414</t>
  </si>
  <si>
    <t>九招真格量化套利一号</t>
  </si>
  <si>
    <t>SQD546</t>
  </si>
  <si>
    <t>武汉九招</t>
  </si>
  <si>
    <t>上海分公司白名单；傲创提供名单；策略精选跟踪周报</t>
  </si>
  <si>
    <t>量化期货（中高频&amp;另类）；套利策略｜复合套利</t>
  </si>
  <si>
    <t>https://mp.fof99.com/fund/view/206ccc429e7e2414</t>
  </si>
  <si>
    <t>62a3dc6ac3c3204d</t>
  </si>
  <si>
    <t>聚亿具臻B类</t>
  </si>
  <si>
    <t>LM995B</t>
  </si>
  <si>
    <t>珠海聚亿基金</t>
  </si>
  <si>
    <t>https://mp.fof99.com/fund/view/62a3dc6ac3c3204d</t>
  </si>
  <si>
    <t>8e3ad7d155f41bc3</t>
  </si>
  <si>
    <t>钧誉厚德量化对冲11号</t>
  </si>
  <si>
    <t>套利策略 /期货套利 /跨期套利；套利策略 /期货套利 /商品套利；套利策略 /期货套利 /高频</t>
  </si>
  <si>
    <t>SQN453</t>
  </si>
  <si>
    <t>珠海钧誉资管</t>
  </si>
  <si>
    <t>https://mp.fof99.com/fund/view/8e3ad7d155f41bc3</t>
  </si>
  <si>
    <t>fd609fddab73af1e</t>
  </si>
  <si>
    <t>澜胜稳赋套利1号</t>
  </si>
  <si>
    <t>套利策略—其他</t>
  </si>
  <si>
    <t>套利策略</t>
  </si>
  <si>
    <t>SBPY84</t>
  </si>
  <si>
    <t>上海澜胜</t>
  </si>
  <si>
    <t>套利策略｜ETF套利（申赎）</t>
  </si>
  <si>
    <t>https://mp.fof99.com/fund/view/fd609fddab73af1e</t>
  </si>
  <si>
    <t>672dc1ead9cd9d03</t>
  </si>
  <si>
    <t>量金灵瑞1号</t>
  </si>
  <si>
    <t>SAPV10</t>
  </si>
  <si>
    <t>上海坤灵</t>
  </si>
  <si>
    <t>https://mp.fof99.com/fund/view/672dc1ead9cd9d03</t>
  </si>
  <si>
    <t>509478ab548cc2b3</t>
  </si>
  <si>
    <t>量客投资金选套利1号</t>
  </si>
  <si>
    <t>SNH457</t>
  </si>
  <si>
    <t>上海量客</t>
  </si>
  <si>
    <t>期权策略｜期权套利</t>
  </si>
  <si>
    <t>https://mp.fof99.com/fund/view/509478ab548cc2b3</t>
  </si>
  <si>
    <t>3ccbf07c4d4ac642</t>
  </si>
  <si>
    <t>龙帆恒盛稳固9号</t>
  </si>
  <si>
    <t>SSX605</t>
  </si>
  <si>
    <t>厦门龙帆资管</t>
  </si>
  <si>
    <t>https://mp.fof99.com/fund/view/3ccbf07c4d4ac642</t>
  </si>
  <si>
    <t>beb13b86d2a4cfb2</t>
  </si>
  <si>
    <t>龙壹盛善时1号</t>
  </si>
  <si>
    <t>SB1261</t>
  </si>
  <si>
    <t>杭州龙壹盛</t>
  </si>
  <si>
    <t>https://mp.fof99.com/fund/view/beb13b86d2a4cfb2</t>
  </si>
  <si>
    <t>28d3372af2406528</t>
  </si>
  <si>
    <t>鸣熙资产-招享套利1号</t>
  </si>
  <si>
    <t>SJZ381</t>
  </si>
  <si>
    <t>鸣熙资本</t>
  </si>
  <si>
    <t>https://mp.fof99.com/fund/view/28d3372af2406528</t>
  </si>
  <si>
    <t>9289c50ffc89f5de</t>
  </si>
  <si>
    <t>铭杉量化稳健5号</t>
  </si>
  <si>
    <t>套利策略 /期货套利 /跨期套利；套利策略 /期货套利 /股指套利；套利策略 /期货套利 /高频</t>
  </si>
  <si>
    <t>SLT573</t>
  </si>
  <si>
    <t>上海铭杉投资</t>
  </si>
  <si>
    <t>https://mp.fof99.com/fund/view/9289c50ffc89f5de</t>
  </si>
  <si>
    <t>f263e8836aad5b82</t>
  </si>
  <si>
    <t>摩旗ETF套利1号</t>
  </si>
  <si>
    <t>STR466</t>
  </si>
  <si>
    <t>上海摩旗投资</t>
  </si>
  <si>
    <t>火富牛成立以来指标；历史净值复算</t>
  </si>
  <si>
    <t>https://mp.fof99.com/fund/view/f263e8836aad5b82</t>
  </si>
  <si>
    <t>437e3feded28d12d</t>
  </si>
  <si>
    <t>慕途基本面量化1号</t>
  </si>
  <si>
    <t>套利策略 /期货套利 /跨市场套利；套利策略 /期货套利 /商品套利</t>
  </si>
  <si>
    <t>SVW787</t>
  </si>
  <si>
    <t>慕途基金</t>
  </si>
  <si>
    <t>期货套利（混合套利）；套利策略｜基本面跨市场套利</t>
  </si>
  <si>
    <t>https://mp.fof99.com/fund/view/437e3feded28d12d</t>
  </si>
  <si>
    <t>2b81990a6051e6e6</t>
  </si>
  <si>
    <t>慕途基本面量化2号</t>
  </si>
  <si>
    <t>SB9576</t>
  </si>
  <si>
    <t>https://mp.fof99.com/fund/view/2b81990a6051e6e6</t>
  </si>
  <si>
    <t>6170fbc34ea41205</t>
  </si>
  <si>
    <t>慕途商品套利1号</t>
  </si>
  <si>
    <t>SAHX36</t>
  </si>
  <si>
    <t>https://mp.fof99.com/fund/view/6170fbc34ea41205</t>
  </si>
  <si>
    <t>1a1f9e733b6e6ee0</t>
  </si>
  <si>
    <t>慕途稳健1号</t>
  </si>
  <si>
    <t>期权策略 /场内期权</t>
  </si>
  <si>
    <t>SVM029</t>
  </si>
  <si>
    <t>曲面套利</t>
  </si>
  <si>
    <t>https://mp.fof99.com/fund/view/1a1f9e733b6e6ee0</t>
  </si>
  <si>
    <t>26b4ccb26333ca6a</t>
  </si>
  <si>
    <t>慕途盈川1号</t>
  </si>
  <si>
    <t>SAQQ67</t>
  </si>
  <si>
    <t>https://mp.fof99.com/fund/view/26b4ccb26333ca6a</t>
  </si>
  <si>
    <t>3a6601028e5010ab</t>
  </si>
  <si>
    <t>奶酪鑫鑫宝二号</t>
  </si>
  <si>
    <t>套利策略 /期货套利 /锁仓</t>
  </si>
  <si>
    <t>SB2838</t>
  </si>
  <si>
    <t>广东奶酪</t>
  </si>
  <si>
    <t>https://mp.fof99.com/fund/view/3a6601028e5010ab</t>
  </si>
  <si>
    <t>1cfd48f3c3164c34</t>
  </si>
  <si>
    <t>平凡凡响二号</t>
  </si>
  <si>
    <t>SZU727</t>
  </si>
  <si>
    <t>北京平凡</t>
  </si>
  <si>
    <t>https://mp.fof99.com/fund/view/1cfd48f3c3164c34</t>
  </si>
  <si>
    <t>cede2959c01b91f6</t>
  </si>
  <si>
    <t>平凡浩睿</t>
  </si>
  <si>
    <t>SJS890</t>
  </si>
  <si>
    <t>https://mp.fof99.com/fund/view/cede2959c01b91f6</t>
  </si>
  <si>
    <t>8b4dbf527867d6d0</t>
  </si>
  <si>
    <t>平凡悟鑫</t>
  </si>
  <si>
    <t>SJ2870</t>
  </si>
  <si>
    <t>ETF套利</t>
  </si>
  <si>
    <t>https://mp.fof99.com/fund/view/8b4dbf527867d6d0</t>
  </si>
  <si>
    <t>47e9165a9812665a</t>
  </si>
  <si>
    <t>祁腾蜂赢1号</t>
  </si>
  <si>
    <t>SEV580</t>
  </si>
  <si>
    <t>宁波祁腾投资</t>
  </si>
  <si>
    <t>傲创提供名单；策略精选跟踪周报</t>
  </si>
  <si>
    <t>高频策略｜股指高频</t>
  </si>
  <si>
    <t>https://mp.fof99.com/fund/view/47e9165a9812665a</t>
  </si>
  <si>
    <t>a88265fe21033296</t>
  </si>
  <si>
    <t>融昊青松CTA套利一号</t>
  </si>
  <si>
    <t>管理期货—主观CTA</t>
  </si>
  <si>
    <t>期货策略 /主观期货 /交易型</t>
  </si>
  <si>
    <t>S09735</t>
  </si>
  <si>
    <t>上海融昊投资</t>
  </si>
  <si>
    <t>上海分公司白名单；策略精选跟踪周报</t>
  </si>
  <si>
    <t>期货套利（跨期套利）；主观期货（交易型）；套利策略｜主观+量化；商品跨期</t>
  </si>
  <si>
    <t>https://mp.fof99.com/fund/view/a88265fe21033296</t>
  </si>
  <si>
    <t>31ef590a8e08938a</t>
  </si>
  <si>
    <t>锐耐复利倍增2号C类</t>
  </si>
  <si>
    <t>XV513C</t>
  </si>
  <si>
    <t>上海锐耐</t>
  </si>
  <si>
    <t>https://mp.fof99.com/fund/view/31ef590a8e08938a</t>
  </si>
  <si>
    <t>a9c8655ec835e06f</t>
  </si>
  <si>
    <t>睿启鑫享1号</t>
  </si>
  <si>
    <t>SAQD46</t>
  </si>
  <si>
    <t>无锡睿启</t>
  </si>
  <si>
    <t>套利策略｜贵金属套利</t>
  </si>
  <si>
    <t>https://mp.fof99.com/fund/view/a9c8655ec835e06f</t>
  </si>
  <si>
    <t>da0c65e7ce600ec9</t>
  </si>
  <si>
    <t>杉阳云杉混合1号A类</t>
  </si>
  <si>
    <t>LA063A</t>
  </si>
  <si>
    <t>上海杉阳</t>
  </si>
  <si>
    <t>期货套利（混合套利）</t>
  </si>
  <si>
    <t>https://mp.fof99.com/fund/view/da0c65e7ce600ec9</t>
  </si>
  <si>
    <t>6522b5ad5dcbdcbd</t>
  </si>
  <si>
    <t>尚湖期权套利安享1号</t>
  </si>
  <si>
    <t>SXZ850</t>
  </si>
  <si>
    <t>上海尚湖</t>
  </si>
  <si>
    <t>股指卖波</t>
  </si>
  <si>
    <t>https://mp.fof99.com/fund/view/6522b5ad5dcbdcbd</t>
  </si>
  <si>
    <t>d84950ffb7571587</t>
  </si>
  <si>
    <t>深度梦扬量化1号</t>
  </si>
  <si>
    <t>SZM348</t>
  </si>
  <si>
    <t>杭州深度资管</t>
  </si>
  <si>
    <t>https://mp.fof99.com/fund/view/d84950ffb7571587</t>
  </si>
  <si>
    <t>56199c339d1a20c7</t>
  </si>
  <si>
    <t>深度梦扬量化套利0号</t>
  </si>
  <si>
    <t>SQD620</t>
  </si>
  <si>
    <t>曲面套利；股指卖波</t>
  </si>
  <si>
    <t>https://mp.fof99.com/fund/view/56199c339d1a20c7</t>
  </si>
  <si>
    <t>592f730fcd5623e4</t>
  </si>
  <si>
    <t>盛冠达试金石3号</t>
  </si>
  <si>
    <t>SW1709</t>
  </si>
  <si>
    <t>海南盛冠达</t>
  </si>
  <si>
    <t>期货套利（混合套利）；ETF套利</t>
  </si>
  <si>
    <t>https://mp.fof99.com/fund/view/592f730fcd5623e4</t>
  </si>
  <si>
    <t>317110f339421a93</t>
  </si>
  <si>
    <t>世宽若水尘心2号B类</t>
  </si>
  <si>
    <t>套利策略 /期货套利 /股指套利；套利策略 /期货套利 /高频</t>
  </si>
  <si>
    <t>XX769B</t>
  </si>
  <si>
    <t>厦门世宽</t>
  </si>
  <si>
    <t>https://mp.fof99.com/fund/view/317110f339421a93</t>
  </si>
  <si>
    <t>de992f1098047fe1</t>
  </si>
  <si>
    <t>世宽若水尘心3号</t>
  </si>
  <si>
    <t>SXT730</t>
  </si>
  <si>
    <t>https://mp.fof99.com/fund/view/de992f1098047fe1</t>
  </si>
  <si>
    <t>7d1044d0dd00c1bd</t>
  </si>
  <si>
    <t>殊馥馥源套利1号</t>
  </si>
  <si>
    <t>SGM512</t>
  </si>
  <si>
    <t>上海殊馥投资</t>
  </si>
  <si>
    <t>https://mp.fof99.com/fund/view/7d1044d0dd00c1bd</t>
  </si>
  <si>
    <t>7c4ebba3db529d5e</t>
  </si>
  <si>
    <t>殊馥兴义6号</t>
  </si>
  <si>
    <t>SXQ267</t>
  </si>
  <si>
    <t>https://mp.fof99.com/fund/view/7c4ebba3db529d5e</t>
  </si>
  <si>
    <t>f26adec295039db6</t>
  </si>
  <si>
    <t>殊馥兴义7号</t>
  </si>
  <si>
    <t>SXT610</t>
  </si>
  <si>
    <t>https://mp.fof99.com/fund/view/f26adec295039db6</t>
  </si>
  <si>
    <t>2a7eea7355174458</t>
  </si>
  <si>
    <t>数为道策套利一号</t>
  </si>
  <si>
    <t>SNA956</t>
  </si>
  <si>
    <t>福州数为</t>
  </si>
  <si>
    <t>https://mp.fof99.com/fund/view/2a7eea7355174458</t>
  </si>
  <si>
    <t>440208e7421f6896</t>
  </si>
  <si>
    <t>唐德幽兰量化套利一号</t>
  </si>
  <si>
    <t>SAHM04</t>
  </si>
  <si>
    <t>深圳唐德</t>
  </si>
  <si>
    <t>期货套利（跨期套利）</t>
  </si>
  <si>
    <t>https://mp.fof99.com/fund/view/440208e7421f6896</t>
  </si>
  <si>
    <t>55e83c08d572e2a7</t>
  </si>
  <si>
    <t>唐龙量化对冲99号</t>
  </si>
  <si>
    <t>套利策略 /可转债套利 /融券对冲</t>
  </si>
  <si>
    <t>SJQ683</t>
  </si>
  <si>
    <t>福建平潭唐龙资管</t>
  </si>
  <si>
    <t>https://mp.fof99.com/fund/view/55e83c08d572e2a7</t>
  </si>
  <si>
    <t>6c49b0993fc714bc</t>
  </si>
  <si>
    <t>系数CTA套利五号</t>
  </si>
  <si>
    <t>SXT086</t>
  </si>
  <si>
    <t>上海系数投资</t>
  </si>
  <si>
    <t>套利策略｜商品+股指跨期</t>
  </si>
  <si>
    <t>https://mp.fof99.com/fund/view/6c49b0993fc714bc</t>
  </si>
  <si>
    <t>858f6f879edbd061</t>
  </si>
  <si>
    <t>悬铃C号</t>
  </si>
  <si>
    <t>套利策略 /可转债套利 /股指对冲</t>
  </si>
  <si>
    <t>SEK201</t>
  </si>
  <si>
    <t>上海悬铃</t>
  </si>
  <si>
    <t>套利策略｜可转债套利+对冲</t>
  </si>
  <si>
    <t>https://mp.fof99.com/fund/view/858f6f879edbd061</t>
  </si>
  <si>
    <t>8177b794c749fb2a</t>
  </si>
  <si>
    <t>英旷专享2号A类</t>
  </si>
  <si>
    <t>AKV28A</t>
  </si>
  <si>
    <t>上海英旷资管</t>
  </si>
  <si>
    <t>期权套利策略；可转债套利策略</t>
  </si>
  <si>
    <t>https://mp.fof99.com/fund/view/8177b794c749fb2a</t>
  </si>
  <si>
    <t>12b6e6dc40e0626c</t>
  </si>
  <si>
    <t>永泉奇点17号混合投资</t>
  </si>
  <si>
    <t>SNG016</t>
  </si>
  <si>
    <t>宁波永泉</t>
  </si>
  <si>
    <t>https://mp.fof99.com/fund/view/12b6e6dc40e0626c</t>
  </si>
  <si>
    <t>c8b8443b50a70919</t>
  </si>
  <si>
    <t>永泉奇点1号混合投资</t>
  </si>
  <si>
    <t>SGM299</t>
  </si>
  <si>
    <t>https://mp.fof99.com/fund/view/c8b8443b50a70919</t>
  </si>
  <si>
    <t>82e5c285d80c294f</t>
  </si>
  <si>
    <t>永泉奇点2号混合投资</t>
  </si>
  <si>
    <t>SJB356</t>
  </si>
  <si>
    <t>https://mp.fof99.com/fund/view/82e5c285d80c294f</t>
  </si>
  <si>
    <t>fbdc1fb41bf9e1b4</t>
  </si>
  <si>
    <t>涌涵农本一号</t>
  </si>
  <si>
    <t>SAWA30</t>
  </si>
  <si>
    <t>上海涌涵</t>
  </si>
  <si>
    <t>CTA策略｜主观CTA-农产品</t>
  </si>
  <si>
    <t>https://mp.fof99.com/fund/view/fbdc1fb41bf9e1b4</t>
  </si>
  <si>
    <t>5fbd2c74a9d29c0f</t>
  </si>
  <si>
    <t>裕锦量化专享1号</t>
  </si>
  <si>
    <t>SNE165</t>
  </si>
  <si>
    <t>深圳裕锦</t>
  </si>
  <si>
    <t>https://mp.fof99.com/fund/view/5fbd2c74a9d29c0f</t>
  </si>
  <si>
    <t>2f189375b75b47fd</t>
  </si>
  <si>
    <t>在赢套利一号</t>
  </si>
  <si>
    <t>期货策略 /主观期货</t>
  </si>
  <si>
    <t>SGW281</t>
  </si>
  <si>
    <t>浙江在赢</t>
  </si>
  <si>
    <t>套利策略｜商品跨期（主观）</t>
  </si>
  <si>
    <t>https://mp.fof99.com/fund/view/2f189375b75b47fd</t>
  </si>
  <si>
    <t>3c9e7c114b369c69</t>
  </si>
  <si>
    <t>哲石君顺易安贰号</t>
  </si>
  <si>
    <t>SBBC37</t>
  </si>
  <si>
    <t>杭州哲石</t>
  </si>
  <si>
    <t>https://mp.fof99.com/fund/view/3c9e7c114b369c69</t>
  </si>
  <si>
    <t>e71e4de667b3a0df</t>
  </si>
  <si>
    <t>哲石君顺易安壹号</t>
  </si>
  <si>
    <t>SAVN21</t>
  </si>
  <si>
    <t>https://mp.fof99.com/fund/view/e71e4de667b3a0df</t>
  </si>
  <si>
    <t>6a8da1db45b76b2f</t>
  </si>
  <si>
    <t>臻选期权套利一号</t>
  </si>
  <si>
    <t>SBEM86</t>
  </si>
  <si>
    <t>海南臻选</t>
  </si>
  <si>
    <t>期权策略｜金融+商品波动率套利</t>
  </si>
  <si>
    <t>https://mp.fof99.com/fund/view/6a8da1db45b76b2f</t>
  </si>
  <si>
    <t>691a98bba5e4cde6</t>
  </si>
  <si>
    <t>致同稳盈对冲</t>
  </si>
  <si>
    <t>套利策略 /期货套利 /跨期套利；套利策略 /期货套利 /跨品种套利；套利策略 /期货套利 /商品套利</t>
  </si>
  <si>
    <t>SS8645</t>
  </si>
  <si>
    <t>上海致同投资</t>
  </si>
  <si>
    <t>期货套利（混合套利）；期货套利（跨期套利）；套利策略｜商品套利+卖权</t>
  </si>
  <si>
    <t>https://mp.fof99.com/fund/view/691a98bba5e4cde6</t>
  </si>
  <si>
    <t>134f91eefa4596c1</t>
  </si>
  <si>
    <t>致远投资昆仑1号</t>
  </si>
  <si>
    <t>期权策略 /场内期权 /金融期权；期权策略 /场内期权 /定价卖波</t>
  </si>
  <si>
    <t>SSD863</t>
  </si>
  <si>
    <t>广州致远</t>
  </si>
  <si>
    <t>https://mp.fof99.com/fund/view/134f91eefa4596c1</t>
  </si>
  <si>
    <t>e4ab70da8204cae4</t>
  </si>
  <si>
    <t>智领泽临套利六号</t>
  </si>
  <si>
    <t>套利策略—未细分</t>
  </si>
  <si>
    <t>产品名称关键词</t>
  </si>
  <si>
    <t>SAYU23</t>
  </si>
  <si>
    <t>福州智领三联</t>
  </si>
  <si>
    <t>火富牛组合；策略精选跟踪周报；傲创提供名单</t>
  </si>
  <si>
    <t>https://mp.fof99.com/fund/view/e4ab70da8204cae4</t>
  </si>
  <si>
    <t>bd503e768e8f0dca</t>
  </si>
  <si>
    <t>中益仁梅香千寒</t>
  </si>
  <si>
    <t>SBAF26</t>
  </si>
  <si>
    <t>日照中益仁</t>
  </si>
  <si>
    <t>https://mp.fof99.com/fund/view/bd503e768e8f0dca</t>
  </si>
  <si>
    <t>a96d179026030f2d</t>
  </si>
  <si>
    <t>庄贤对冲3号</t>
  </si>
  <si>
    <t>SGW091</t>
  </si>
  <si>
    <t>杭州庄贤投资</t>
  </si>
  <si>
    <t>曲面套利；期权策略｜90%金融+10%商品</t>
  </si>
  <si>
    <t>https://mp.fof99.com/fund/view/a96d179026030f2d</t>
  </si>
  <si>
    <t>citic:SAHP82</t>
  </si>
  <si>
    <t>合绎塑造者10号</t>
  </si>
  <si>
    <t>代销产品</t>
  </si>
  <si>
    <t>管理期货—量化期权—期权复合套利-R4</t>
  </si>
  <si>
    <t>ZXQH全国代销</t>
  </si>
  <si>
    <t>仅代销名单净值快照；历史序列、管理人、备案号及基金成立日期待补全</t>
  </si>
  <si>
    <t>已上架</t>
  </si>
  <si>
    <t>私募基金指标体系</t>
  </si>
  <si>
    <t>评价日 2026-09-10，指标截止 2026-09-04；沿用参考工作簿的权重和计算口径。</t>
  </si>
  <si>
    <t>大类指标</t>
  </si>
  <si>
    <t>大类权重</t>
  </si>
  <si>
    <t>二级指标</t>
  </si>
  <si>
    <t>二级权重</t>
  </si>
  <si>
    <t>数据来源与方法</t>
  </si>
  <si>
    <t>时间口径</t>
  </si>
  <si>
    <t>综合权重</t>
  </si>
  <si>
    <t>计算参数</t>
  </si>
  <si>
    <t>值</t>
  </si>
  <si>
    <t>管理人规模区间</t>
  </si>
  <si>
    <t>分值</t>
  </si>
  <si>
    <t>管理人及产品</t>
  </si>
  <si>
    <t>管理人规模</t>
  </si>
  <si>
    <t>管理人公示规模区间分档：0-5亿60、5-10亿70、10-20亿80、20-100亿90、100亿以上100。</t>
  </si>
  <si>
    <t>最新公示</t>
  </si>
  <si>
    <t>产品规模标识阈值（万元）</t>
  </si>
  <si>
    <t>0-5亿元</t>
  </si>
  <si>
    <t>产品规模</t>
  </si>
  <si>
    <t>已精确匹配完整协会产品公示：低于1000万元提示得0；确认无该提示得100；未核实留空。</t>
  </si>
  <si>
    <t>近一年胜率观察数</t>
  </si>
  <si>
    <t>5-10亿元</t>
  </si>
  <si>
    <t>成立年限</t>
  </si>
  <si>
    <t>不足1年不入池；1年至不足3年70分；满3年100分。</t>
  </si>
  <si>
    <t>固定评价日</t>
  </si>
  <si>
    <t>近三年胜率观察数</t>
  </si>
  <si>
    <t>10-20亿元</t>
  </si>
  <si>
    <t>收益能力</t>
  </si>
  <si>
    <t>年化收益</t>
  </si>
  <si>
    <t>近1年及剔除近1年的早期年化收益分别横截面赋分，以60%/40%合成。</t>
  </si>
  <si>
    <t>近1年/早期</t>
  </si>
  <si>
    <t>早期胜率观察数</t>
  </si>
  <si>
    <t>20-50亿元</t>
  </si>
  <si>
    <t>月度胜率</t>
  </si>
  <si>
    <t>近期胜率与按13/37期推算的早期胜率各乘100；早期不足6个月且缺值按模板得100。</t>
  </si>
  <si>
    <t>短期时间权重</t>
  </si>
  <si>
    <t>50-100亿元</t>
  </si>
  <si>
    <t>风险控制</t>
  </si>
  <si>
    <t>最大回撤</t>
  </si>
  <si>
    <t>取可用近1年与近3年最大回撤的较大值，低值优先横截面赋分。</t>
  </si>
  <si>
    <t>可用1/3年</t>
  </si>
  <si>
    <t>长期时间权重</t>
  </si>
  <si>
    <t>20-100亿元</t>
  </si>
  <si>
    <t>风险调整收益</t>
  </si>
  <si>
    <t>卡玛比率</t>
  </si>
  <si>
    <t>近1年卡玛与早期收益/可识别早期回撤分别横截面赋分，以60%/40%合成。</t>
  </si>
  <si>
    <t>趋势差距阈值</t>
  </si>
  <si>
    <t>100亿元以上</t>
  </si>
  <si>
    <t>业绩一致性/趋势</t>
  </si>
  <si>
    <t>收益趋势</t>
  </si>
  <si>
    <t>近期收益不低于比较基准得100；落后严格小于20个百分点得80；其余60。</t>
  </si>
  <si>
    <t>近1年对比</t>
  </si>
  <si>
    <t>DD识别容差</t>
  </si>
  <si>
    <t>评价日</t>
  </si>
  <si>
    <t>指标截止日</t>
  </si>
  <si>
    <t>计算与来源说明</t>
  </si>
  <si>
    <t>年限换算天数</t>
  </si>
  <si>
    <t>评价范围</t>
  </si>
  <si>
    <t>83条原跟踪记录全部保留。成立不足1年不入池；缺成立日期或备案号未匹配的记录不计算入池总分。</t>
  </si>
  <si>
    <t>入池最低年限</t>
  </si>
  <si>
    <t>横截面范围</t>
  </si>
  <si>
    <t>沿用模板：所有入池且该项有数值的产品一起排名，不按策略另分样本。平台一级、二级策略仅作汇总和筛选。</t>
  </si>
  <si>
    <t>长期评价年限</t>
  </si>
  <si>
    <t>排名算法</t>
  </si>
  <si>
    <t>高值优先：100×(低于本值数量＋同值数量÷2－0.5)÷(有效样本数－1)；回撤反向。仅1个样本得100。</t>
  </si>
  <si>
    <t>短存续年限分</t>
  </si>
  <si>
    <t>早期收益</t>
  </si>
  <si>
    <t>满3年：((1+近3年年化)^3/(1+近1年年化))^(1/2)-1；不足3年以成立以来年化与存续年限剔除近1年。</t>
  </si>
  <si>
    <t>满分</t>
  </si>
  <si>
    <t>月胜率假设</t>
  </si>
  <si>
    <t>按模板13期近期、37期三年观察数，早期24期。没有逐月胜负数据核实该观察数；超出0至100%的早期胜率不赋分。</t>
  </si>
  <si>
    <t>早期胜率免评月数</t>
  </si>
  <si>
    <t>早期胜率免评</t>
  </si>
  <si>
    <t>早期历史少于6个月且早期胜率缺失或不在0至100%时，模板给予100分。此项是假设，不是观测月胜率。</t>
  </si>
  <si>
    <t>一年月数</t>
  </si>
  <si>
    <t>回撤推算假设</t>
  </si>
  <si>
    <t>近1年回撤=ABS(近1年年化/近1年卡玛)。只有近3年回撤大于该值加容差0.0001时才视为可识别早期回撤。</t>
  </si>
  <si>
    <t>产品低规模分</t>
  </si>
  <si>
    <t>风险口径限制</t>
  </si>
  <si>
    <t>早期回撤识别依赖模板假设，未经净值路径验证；平台近3年卡玛原值保留，但模板长期卡玛采用早期收益/推断回撤。</t>
  </si>
  <si>
    <t>趋势中档分</t>
  </si>
  <si>
    <t>缺失处理</t>
  </si>
  <si>
    <t>缺值留空。各大类与总分均以可用叶子指标的有效权重归一；汇总直接链接明细，避免二次归一差异。</t>
  </si>
  <si>
    <t>趋势低档分</t>
  </si>
  <si>
    <t>总分解释</t>
  </si>
  <si>
    <t>有效权重不足100%为暂定分，可能因缺失项而偏高。严格总分仅有效权重100%时显示；总分不是投资建议。</t>
  </si>
  <si>
    <t>管理人规模来源</t>
  </si>
  <si>
    <t>本次以2026-09-11协会管理人公示核验规模并更新查询核对表，历史平台来源仍在原文件可追溯。</t>
  </si>
  <si>
    <t>综合权重合计</t>
  </si>
  <si>
    <t>产品规模标识</t>
  </si>
  <si>
    <t>协会完整产品公示精确匹配后才赋分。无低规模提示不证明实际规模达到1000万元，只表示未见该公示提示。</t>
  </si>
  <si>
    <t>时间权重合计</t>
  </si>
  <si>
    <t>日期口径</t>
  </si>
  <si>
    <t>评价日固定为本表参数；指标按同一截止日期导出。成立日期、近1年与近3年窗口均取平台导出字段。</t>
  </si>
  <si>
    <t>原始模板</t>
  </si>
  <si>
    <t>私募基金_指标赋分(1)(1).xlsx：sheet1-指标体系、sheet2-计算明细、sheet3-分类汇总、sheet4-原始数据。</t>
  </si>
  <si>
    <t>数据来源</t>
  </si>
  <si>
    <t>火富牛 https://mp.fof99.com/fund/all；各产品详情和协会公示URL见Sheet5-查询核对。</t>
  </si>
  <si>
    <t>原表保留</t>
  </si>
  <si>
    <t>套利产品原表保留原83条记录与32列。未匹配产品在原始数据页仅保留原表名称，其他平台字段留空并标记匹配状态。</t>
  </si>
  <si>
    <t>补数年化天数</t>
  </si>
  <si>
    <t>边界净值最大滞后天数</t>
  </si>
  <si>
    <t>重点排查差异（分）</t>
  </si>
  <si>
    <t>协会核验日</t>
  </si>
  <si>
    <t>规模分档边界（亿元）</t>
  </si>
  <si>
    <t>本次补数与分组口径</t>
  </si>
  <si>
    <t>补数来源</t>
  </si>
  <si>
    <t>傲创缺失数据.zip内26份净值表，文件名称与主表产品名称精确关联，备案号沿用已核验主表。净值文件自身不含备案号。</t>
  </si>
  <si>
    <t>本版评价体系</t>
  </si>
  <si>
    <t>按照本次上传主表统一沿用现有权重及计算明细，不切换先前短历史参考模型。评价日仍为2026-09-10，绩效截止2026-09-04。</t>
  </si>
  <si>
    <t>补数边界</t>
  </si>
  <si>
    <t>以83只基金表为基准，不补正两表差异值。压缩包逐项核算列示208项核算结果，独立复算差异不回写现有指标。</t>
  </si>
  <si>
    <t>收益及回撤</t>
  </si>
  <si>
    <t>使用复权净值。年化收益=(末值/初值)^(365/实际间隔天数)-1，最大回撤由窗口内逐条净值及运行峰值计算，卡玛=年化收益/回撤。</t>
  </si>
  <si>
    <t>时间对齐</t>
  </si>
  <si>
    <t>1年、3年目标起点为2025-09-04、2023-09-04，取不晚于边界的最近净值并记录实际日期，不插值。边界滞后超过14天不补算。</t>
  </si>
  <si>
    <t>沿用原体系13期/37期。按自然月末及本期9月4日计算，包含首尾不完整自然月。逐期列示净值、收益和有效性，缺任何一期不补胜率。</t>
  </si>
  <si>
    <t>仅当首条净值日期与原表成立日完全一致时补算。首条净值晚于成立日时不将可见历史当作成立以来业绩。</t>
  </si>
  <si>
    <t>零回撤及短历史</t>
  </si>
  <si>
    <t>回撤为0时卡玛留空。不满完整一年/三年不填对应窗口指标。原体系保留其缺失权重处理及早期回撤识别限制。</t>
  </si>
  <si>
    <t>规模分组</t>
  </si>
  <si>
    <t>用户确认：0–5亿元区间归小规模，5–10亿元及以上归大规模。无法从区间识别恰为5亿元，属于公示区间分档。分组不改变83条横截面评分样本。</t>
  </si>
  <si>
    <t>协会记录</t>
  </si>
  <si>
    <t>管理人诚信、提示及产品特别提示分别保存。监管警示函、历史责令改正、已整改报送异常和一般提示分列，未见记录不等于从未发生。</t>
  </si>
  <si>
    <t>核查范围</t>
  </si>
  <si>
    <t>读取75个精确备案号产品页和全部83条对应管理人公示。8个无独立产品公示的份额代码保留未核实。另核验已发现的监管决定。</t>
  </si>
  <si>
    <t>对照口径</t>
  </si>
  <si>
    <t>对照文件私募基金_指标赋分(1).xlsx按收到时缓存保留，314条明细，缓存评价日由成立年限反算一致为2026-09-07。不改动该对照文件。</t>
  </si>
  <si>
    <t>差异拆解</t>
  </si>
  <si>
    <t>分数对比将差异拆成加权分变化、有效权重折算和舍入残差。差异细项逐一展示11个叶子指标的分值与贡献，原始输入并列。</t>
  </si>
  <si>
    <t>原有输入检查</t>
  </si>
  <si>
    <t>本版保留83只表的原指标和分数。6项已有指标与净值复算有差异，3项成立不足一年年化单独提示；不据此改写采用值。</t>
  </si>
  <si>
    <t>更新限制</t>
  </si>
  <si>
    <t>本版不因提示记录另加扣分或剔除产品。严格总分仍只在全部有效权重到齐时显示，可比总分含缺项折算，应同时查看数据缺口。</t>
  </si>
  <si>
    <t>对照文件已有错误</t>
  </si>
  <si>
    <t>收到的对照文件有20只产品、160个早期指标缓存错误。快照按文本保留错误定位；其中2只属于本次匹配范围。原对照文件未修改。</t>
  </si>
  <si>
    <t>补数联动实现</t>
  </si>
  <si>
    <t>计算明细新增有效性、叶子贡献及有效权重辅助列，显式处理非数值项。权重、窗口、横截面赋分与缺项折算方法不变。</t>
  </si>
  <si>
    <t>本版采用口径</t>
  </si>
  <si>
    <t>用户确认两表差异以83只基金表为准。对照表不作修改，大小规模沿用全83条样本分数。</t>
  </si>
  <si>
    <t>私募基金指标计算明细</t>
  </si>
  <si>
    <t>绿色为来源数据链接，黑色为计算。按模板逐项计算，缺失项从分子和有效权重中同时剔除。</t>
  </si>
  <si>
    <t>指标截止</t>
  </si>
  <si>
    <t>排名样本</t>
  </si>
  <si>
    <t>全体入池产品</t>
  </si>
  <si>
    <t>缺失数据</t>
  </si>
  <si>
    <t>保留，显示暂定分</t>
  </si>
  <si>
    <t>全部记录</t>
  </si>
  <si>
    <t>备案号</t>
  </si>
  <si>
    <t>管理人</t>
  </si>
  <si>
    <t>产品成立日期</t>
  </si>
  <si>
    <t>产品成立年限（年）</t>
  </si>
  <si>
    <t>入池状态</t>
  </si>
  <si>
    <t>管理规模区间（亿元）</t>
  </si>
  <si>
    <t>管理人规模分</t>
  </si>
  <si>
    <t>产品规模公示标识</t>
  </si>
  <si>
    <t>产品规模分</t>
  </si>
  <si>
    <t>成立年限分</t>
  </si>
  <si>
    <t>R_1y</t>
  </si>
  <si>
    <t>R_3y</t>
  </si>
  <si>
    <t>R_incep（补录）</t>
  </si>
  <si>
    <t>R_early</t>
  </si>
  <si>
    <t>R_1y排名分</t>
  </si>
  <si>
    <t>R_early排名分</t>
  </si>
  <si>
    <t>年化收益分（可用折算）</t>
  </si>
  <si>
    <t>近1年月胜率</t>
  </si>
  <si>
    <t>近3年月胜率</t>
  </si>
  <si>
    <t>早期月胜率</t>
  </si>
  <si>
    <t>近1年月胜率分</t>
  </si>
  <si>
    <t>早期月胜率分</t>
  </si>
  <si>
    <t>月度胜率分（可用折算）</t>
  </si>
  <si>
    <t>DD_1y</t>
  </si>
  <si>
    <t>DD_3y</t>
  </si>
  <si>
    <t>统一最大回撤</t>
  </si>
  <si>
    <t>最大回撤分</t>
  </si>
  <si>
    <t>短期卡玛</t>
  </si>
  <si>
    <t>可识别DD_long</t>
  </si>
  <si>
    <t>长期卡玛</t>
  </si>
  <si>
    <t>短期卡玛分</t>
  </si>
  <si>
    <t>长期卡玛分</t>
  </si>
  <si>
    <t>卡玛比率分（可用折算）</t>
  </si>
  <si>
    <t>趋势比较基准</t>
  </si>
  <si>
    <t>收益趋势分</t>
  </si>
  <si>
    <t>管理人及产品大类分</t>
  </si>
  <si>
    <t>收益能力大类分</t>
  </si>
  <si>
    <t>风险控制大类分</t>
  </si>
  <si>
    <t>风险调整收益大类分</t>
  </si>
  <si>
    <t>趋势大类分</t>
  </si>
  <si>
    <t>有效二级权重</t>
  </si>
  <si>
    <t>加权总分（不补缺）</t>
  </si>
  <si>
    <t>可比总分（归一）</t>
  </si>
  <si>
    <t>唯一排名</t>
  </si>
  <si>
    <t>数据缺口</t>
  </si>
  <si>
    <t>严格总分</t>
  </si>
  <si>
    <t>数据完整性</t>
  </si>
  <si>
    <t>平台一级策略</t>
  </si>
  <si>
    <t>平台二级策略</t>
  </si>
  <si>
    <t>原表策略参考</t>
  </si>
  <si>
    <t>原表行号</t>
  </si>
  <si>
    <t>匹配状态</t>
  </si>
  <si>
    <t>规模日期</t>
  </si>
  <si>
    <t>产品标识来源</t>
  </si>
  <si>
    <t>标识日期</t>
  </si>
  <si>
    <t>查询备案号线索</t>
  </si>
  <si>
    <t>汇总展示次序</t>
  </si>
  <si>
    <t>近1年收益有效</t>
  </si>
  <si>
    <t>早期收益有效</t>
  </si>
  <si>
    <t>回撤有效</t>
  </si>
  <si>
    <t>近期卡玛有效</t>
  </si>
  <si>
    <t>早期卡玛有效</t>
  </si>
  <si>
    <t>管理人规模贡献</t>
  </si>
  <si>
    <t>产品规模贡献</t>
  </si>
  <si>
    <t>成立年限贡献</t>
  </si>
  <si>
    <t>近1年收益排名贡献</t>
  </si>
  <si>
    <t>早期收益排名贡献</t>
  </si>
  <si>
    <t>近1年月胜率贡献</t>
  </si>
  <si>
    <t>早期月胜率贡献</t>
  </si>
  <si>
    <t>最大回撤排名贡献</t>
  </si>
  <si>
    <t>近期卡玛排名贡献</t>
  </si>
  <si>
    <t>早期卡玛排名贡献</t>
  </si>
  <si>
    <t>收益趋势贡献</t>
  </si>
  <si>
    <t>管理人规模有效权重</t>
  </si>
  <si>
    <t>产品规模有效权重</t>
  </si>
  <si>
    <t>成立年限有效权重</t>
  </si>
  <si>
    <t>近1年收益排名有效权重</t>
  </si>
  <si>
    <t>早期收益排名有效权重</t>
  </si>
  <si>
    <t>近1年月胜率有效权重</t>
  </si>
  <si>
    <t>早期月胜率有效权重</t>
  </si>
  <si>
    <t>最大回撤排名有效权重</t>
  </si>
  <si>
    <t>近期卡玛排名有效权重</t>
  </si>
  <si>
    <t>早期卡玛排名有效权重</t>
  </si>
  <si>
    <t>收益趋势有效权重</t>
  </si>
  <si>
    <t>私募基金分类汇总</t>
  </si>
  <si>
    <t>83只基金表为最终基准，保留其指标及评分；压缩包逐项核算见新增页。大规模62只，小规模21只。</t>
  </si>
  <si>
    <t>可比总分含暂定分，须同时查看有效权重和数据缺口；仅完整权重记录提供严格总分。</t>
  </si>
  <si>
    <t>排名</t>
  </si>
  <si>
    <t>有效权重</t>
  </si>
  <si>
    <t>可比总分</t>
  </si>
  <si>
    <t>明细相对行</t>
  </si>
  <si>
    <t>原表序号</t>
  </si>
  <si>
    <t>管理规模区间</t>
  </si>
  <si>
    <t>关联风险标注</t>
  </si>
  <si>
    <t>协会管理人公示</t>
  </si>
  <si>
    <t>一级策略</t>
  </si>
  <si>
    <t>二级策略</t>
  </si>
  <si>
    <t>近一年年化收益</t>
  </si>
  <si>
    <t>近三年年化收益</t>
  </si>
  <si>
    <t>近三年月胜率</t>
  </si>
  <si>
    <t>近一年月胜率</t>
  </si>
  <si>
    <t>近三年最大回撤</t>
  </si>
  <si>
    <t>近三年卡玛比率</t>
  </si>
  <si>
    <t>近一年卡玛比率</t>
  </si>
  <si>
    <t>基准指数</t>
  </si>
  <si>
    <t>提取日期</t>
  </si>
  <si>
    <t>成立以来年化收益</t>
  </si>
  <si>
    <t>本次补数项数</t>
  </si>
  <si>
    <t>净值补数来源</t>
  </si>
  <si>
    <t>期货套利</t>
  </si>
  <si>
    <t>沪深300</t>
  </si>
  <si>
    <t>备案号匹配</t>
  </si>
  <si>
    <t/>
  </si>
  <si>
    <t>期货策略</t>
  </si>
  <si>
    <t>量化期货</t>
  </si>
  <si>
    <t>南华商品指数</t>
  </si>
  <si>
    <t>滨风风云瑞丰1号净值20260911.xlsx</t>
  </si>
  <si>
    <t>可转债套利</t>
  </si>
  <si>
    <t>中证转债</t>
  </si>
  <si>
    <t>基金套利</t>
  </si>
  <si>
    <t>常行7号净值20260911.xlsx</t>
  </si>
  <si>
    <t>混合套利</t>
  </si>
  <si>
    <t>场内期权</t>
  </si>
  <si>
    <t>期权套利</t>
  </si>
  <si>
    <t>东源投资乐源1号净值20260911.xlsx</t>
  </si>
  <si>
    <t>阶石稳健1号净值20260911.xlsx</t>
  </si>
  <si>
    <t>阶石稳健7号净值20260911.xlsx</t>
  </si>
  <si>
    <t>阶石稳健9号净值20260911.xlsx</t>
  </si>
  <si>
    <t>金锝牵星1号C类净值20260911.xlsx</t>
  </si>
  <si>
    <t>九木套利9号A类净值20260911.xlsx</t>
  </si>
  <si>
    <t>中证全债</t>
  </si>
  <si>
    <t>钧誉厚德量化对冲11号净值20260911.xlsx</t>
  </si>
  <si>
    <t>澜胜稳赋套利1号净值20260911.xlsx</t>
  </si>
  <si>
    <t>量金灵瑞1号净值20260911.xlsx</t>
  </si>
  <si>
    <t>量客投资金选套利1号净值20260911.xlsx</t>
  </si>
  <si>
    <r>
      <t>龙壹盛善时</t>
    </r>
    <r>
      <rPr>
        <sz val="10"/>
        <color rgb="FF008000"/>
        <rFont val="Arial"/>
        <charset val="134"/>
      </rPr>
      <t>1</t>
    </r>
    <r>
      <rPr>
        <sz val="10"/>
        <color rgb="FF008000"/>
        <rFont val="宋体-简"/>
        <charset val="134"/>
      </rPr>
      <t>号</t>
    </r>
  </si>
  <si>
    <t>祁腾蜂赢1号净值20260911.xlsx</t>
  </si>
  <si>
    <t>主观期货</t>
  </si>
  <si>
    <t>睿启鑫享1号净值20260911.xlsx</t>
  </si>
  <si>
    <t>深度梦扬量化套利0号净值20260911.xlsx</t>
  </si>
  <si>
    <t>世宽若水尘心3号净值20260911.xlsx</t>
  </si>
  <si>
    <t>系数CTA套利五号净值20260911.xlsx</t>
  </si>
  <si>
    <t>哲石君顺易安贰号净值20260911.xlsx</t>
  </si>
  <si>
    <t>SAHP82</t>
  </si>
  <si>
    <t>上海合绎投资</t>
  </si>
  <si>
    <t>https://mp.fof99.com/fund/view/acbdbde1b1c49c01</t>
  </si>
  <si>
    <t>合绎塑造者10号净值20260911.xlsx</t>
  </si>
  <si>
    <t>原表产品名称</t>
  </si>
  <si>
    <t>原表备案号</t>
  </si>
  <si>
    <t>平台备案号</t>
  </si>
  <si>
    <t>产品来源URL</t>
  </si>
  <si>
    <t>导出文件名</t>
  </si>
  <si>
    <t>管理人规模日期</t>
  </si>
  <si>
    <t>低于1000万提示（1有/0无）</t>
  </si>
  <si>
    <t>产品标识核验日期</t>
  </si>
  <si>
    <t>查询与数据说明</t>
  </si>
  <si>
    <t>原表统一策略</t>
  </si>
  <si>
    <t>协会产品名称</t>
  </si>
  <si>
    <t>协会备案号</t>
  </si>
  <si>
    <t>已精确匹配完整公示</t>
  </si>
  <si>
    <t>私募基金 (1).xlsx</t>
  </si>
  <si>
    <t>https://gs.amac.org.cn/amac-infodisc/res/pof/fund/1909051919107161.html</t>
  </si>
  <si>
    <t>已读取完整产品公示并精确匹配基金编号。；产品特别提示栏目未公示“存续规模低于1000万元”；0 仅表示未见该公示提示，不代表已核实实际规模达到1000万元。</t>
  </si>
  <si>
    <t>743</t>
  </si>
  <si>
    <t>私募基金 (2).xlsx</t>
  </si>
  <si>
    <t>https://gs.amac.org.cn/amac-infodisc/res/pof/fund/2212071732101603.html</t>
  </si>
  <si>
    <t>私募基金 (3).xlsx</t>
  </si>
  <si>
    <t>https://gs.amac.org.cn/amac-infodisc/res/pof/fund/2208121907108282.html</t>
  </si>
  <si>
    <t>私募基金 (4).xlsx</t>
  </si>
  <si>
    <t>https://gs.amac.org.cn/amac-infodisc/res/pof/fund/2203041707107702.html</t>
  </si>
  <si>
    <t>私募基金 (5).xlsx</t>
  </si>
  <si>
    <t>https://gs.amac.org.cn/amac-infodisc/res/pof/fund/2211291710107928.html</t>
  </si>
  <si>
    <t>私募基金 (6).xlsx</t>
  </si>
  <si>
    <t>https://gs.amac.org.cn/amac-infodisc/res/pof/fund/2211100902114438.html</t>
  </si>
  <si>
    <t>私募基金 (7).xlsx</t>
  </si>
  <si>
    <t>https://gs.amac.org.cn/amac-infodisc/res/pof/fund/2104131319108374.html</t>
  </si>
  <si>
    <t>私募基金 (8).xlsx</t>
  </si>
  <si>
    <t>https://gs.amac.org.cn/amac-infodisc/res/pof/fund/2302151739100614.html</t>
  </si>
  <si>
    <t>私募基金 (9).xlsx</t>
  </si>
  <si>
    <t>https://gs.amac.org.cn/amac-infodisc/res/pof/fund/2302141700101335.html</t>
  </si>
  <si>
    <t>私募基金 (10).xlsx</t>
  </si>
  <si>
    <t>https://gs.amac.org.cn/amac-infodisc/res/pof/fund/2206171628103559.html</t>
  </si>
  <si>
    <t>私募基金 (11).xlsx</t>
  </si>
  <si>
    <t>https://gs.amac.org.cn/amac-infodisc/res/pof/fund/2201191737119713.html</t>
  </si>
  <si>
    <t>私募基金 (12).xlsx</t>
  </si>
  <si>
    <t>https://gs.amac.org.cn/amac-infodisc/res/pof/fund/1906251702101405.html</t>
  </si>
  <si>
    <t>私募基金 (13).xlsx</t>
  </si>
  <si>
    <t>https://gs.amac.org.cn/amac-infodisc/res/pof/fund/1809041832107174.html</t>
  </si>
  <si>
    <t>私募基金 (14).xlsx</t>
  </si>
  <si>
    <t>https://gs.amac.org.cn/amac-infodisc/res/pof/fund/2601061744102444.html</t>
  </si>
  <si>
    <t>私募基金 (15).xlsx</t>
  </si>
  <si>
    <t>https://gs.amac.org.cn/amac-infodisc/res/pof/fund/2602271455104411.html</t>
  </si>
  <si>
    <t>私募基金 (16).xlsx</t>
  </si>
  <si>
    <t>https://gs.amac.org.cn/amac-infodisc/res/pof/fund/2206241503107051.html</t>
  </si>
  <si>
    <t>私募基金 (17).xlsx</t>
  </si>
  <si>
    <t>https://gs.amac.org.cn/amac-infodisc/res/pof/fund/2402061715110753.html</t>
  </si>
  <si>
    <t>私募基金 (18).xlsx</t>
  </si>
  <si>
    <t>https://gs.amac.org.cn/amac-infodisc/res/pof/fund/2502201715102727.html</t>
  </si>
  <si>
    <t>私募基金 (19).xlsx</t>
  </si>
  <si>
    <t>https://gs.amac.org.cn/amac-infodisc/res/pof/fund/2104231724118753.html</t>
  </si>
  <si>
    <t>私募基金 (20).xlsx</t>
  </si>
  <si>
    <t>https://gs.amac.org.cn/amac-infodisc/res/pof/fund/351000760422.html</t>
  </si>
  <si>
    <t>私募基金 (21).xlsx</t>
  </si>
  <si>
    <t>https://gs.amac.org.cn/amac-infodisc/res/pof/fund/2109281437101671.html</t>
  </si>
  <si>
    <t>私募基金 (22).xlsx</t>
  </si>
  <si>
    <t>火富牛平台未提供产品协会链接，产品低规模标识未核验，不能按满分处理；原表类型：私募。</t>
  </si>
  <si>
    <t>未核验</t>
  </si>
  <si>
    <t>私募基金 (23).xlsx</t>
  </si>
  <si>
    <t>https://gs.amac.org.cn/amac-infodisc/res/pof/fund/2112091906107607.html</t>
  </si>
  <si>
    <t>私募基金 (24).xlsx</t>
  </si>
  <si>
    <t>https://gs.amac.org.cn/amac-infodisc/res/pof/fund/2502121708108102.html</t>
  </si>
  <si>
    <t>已读取完整产品公示并精确匹配基金编号。；产品特别提示栏目未公示“存续规模低于1000万元”；0 仅表示未见该公示提示，不代表已核实实际规模达到1000万元。；管理人规模引用：本产品与 SAZW60 的已核验 AMAC 管理人 URL 完全相同，引用该产品火富牛详情读取的管理人规模，来源仍为原详情 URL。</t>
  </si>
  <si>
    <t>私募基金 (25).xlsx</t>
  </si>
  <si>
    <t>https://gs.amac.org.cn/amac-infodisc/res/pof/fund/2504081731100688.html</t>
  </si>
  <si>
    <t>私募基金 (26).xlsx</t>
  </si>
  <si>
    <t>https://gs.amac.org.cn/amac-infodisc/res/pof/fund/2506161812101029.html</t>
  </si>
  <si>
    <t>私募基金 (27).xlsx</t>
  </si>
  <si>
    <t>火富牛产品详情未提供 AMAC 产品公示链接；产品低规模标识未知。；火富牛平台未提供产品协会链接，产品低规模标识未核验，不能按满分处理；原表类型：私募。</t>
  </si>
  <si>
    <t>私募基金 (28).xlsx</t>
  </si>
  <si>
    <t>私募基金 (29).xlsx</t>
  </si>
  <si>
    <t>https://gs.amac.org.cn/amac-infodisc/res/pof/fund/2103231905105915.html</t>
  </si>
  <si>
    <t>私募基金 (30).xlsx</t>
  </si>
  <si>
    <t>私募基金 (31).xlsx</t>
  </si>
  <si>
    <t>https://gs.amac.org.cn/amac-infodisc/res/pof/fund/2105111737102298.html</t>
  </si>
  <si>
    <t>私募基金 (32).xlsx</t>
  </si>
  <si>
    <t>https://gs.amac.org.cn/amac-infodisc/res/pof/fund/2602121726109819.html</t>
  </si>
  <si>
    <t>私募基金 (33).xlsx</t>
  </si>
  <si>
    <t>https://gs.amac.org.cn/amac-infodisc/res/pof/fund/2410291900103465.html</t>
  </si>
  <si>
    <t>私募基金 (34).xlsx</t>
  </si>
  <si>
    <t>https://gs.amac.org.cn/amac-infodisc/res/pof/fund/2101061734111873.html</t>
  </si>
  <si>
    <t>私募基金 (35).xlsx</t>
  </si>
  <si>
    <t>https://gs.amac.org.cn/amac-infodisc/res/pof/fund/2110191748104317.html</t>
  </si>
  <si>
    <t>私募基金 (36).xlsx</t>
  </si>
  <si>
    <t>https://gs.amac.org.cn/amac-infodisc/res/pof/fund/2306261750102641.html</t>
  </si>
  <si>
    <t>私募基金 (37).xlsx</t>
  </si>
  <si>
    <t>https://gs.amac.org.cn/amac-infodisc/res/pof/fund/2004141732109376.html</t>
  </si>
  <si>
    <t>私募基金 (38).xlsx</t>
  </si>
  <si>
    <t>https://gs.amac.org.cn/amac-infodisc/res/pof/fund/2009171717131963.html</t>
  </si>
  <si>
    <t>私募基金 (39).xlsx</t>
  </si>
  <si>
    <t>https://gs.amac.org.cn/amac-infodisc/res/pof/fund/2201111049116796.html</t>
  </si>
  <si>
    <t>私募基金 (40).xlsx</t>
  </si>
  <si>
    <t>https://gs.amac.org.cn/amac-infodisc/res/pof/fund/2207141704102568.html</t>
  </si>
  <si>
    <t>私募基金 (41).xlsx</t>
  </si>
  <si>
    <t>https://gs.amac.org.cn/amac-infodisc/res/pof/fund/2309061045105511.html</t>
  </si>
  <si>
    <t>私募基金 (83).xlsx</t>
  </si>
  <si>
    <t>https://gs.amac.org.cn/amac-infodisc/res/pof/fund/2404081616103724.html</t>
  </si>
  <si>
    <t>私募基金 (42).xlsx</t>
  </si>
  <si>
    <t>https://gs.amac.org.cn/amac-infodisc/res/pof/fund/2205181829119258.html</t>
  </si>
  <si>
    <t>私募基金 (43).xlsx</t>
  </si>
  <si>
    <t>https://gs.amac.org.cn/amac-infodisc/res/pof/fund/2412092007109429.html</t>
  </si>
  <si>
    <t>私募基金 (44).xlsx</t>
  </si>
  <si>
    <t>https://gs.amac.org.cn/amac-infodisc/res/pof/fund/2306141909104356.html</t>
  </si>
  <si>
    <t>私募基金 (45).xlsx</t>
  </si>
  <si>
    <t>https://gs.amac.org.cn/amac-infodisc/res/pof/fund/2304121918100513.html</t>
  </si>
  <si>
    <t>私募基金 (46).xlsx</t>
  </si>
  <si>
    <t>https://gs.amac.org.cn/amac-infodisc/res/pof/fund/2003111724111317.html</t>
  </si>
  <si>
    <t>私募基金 (47).xlsx</t>
  </si>
  <si>
    <t>https://gs.amac.org.cn/amac-infodisc/res/pof/fund/351000410825.html</t>
  </si>
  <si>
    <t>私募基金 (48).xlsx</t>
  </si>
  <si>
    <t>https://gs.amac.org.cn/amac-infodisc/res/pof/fund/1902010925104002.html</t>
  </si>
  <si>
    <t>私募基金 (49).xlsx</t>
  </si>
  <si>
    <t>https://gs.amac.org.cn/amac-infodisc/res/pof/fund/2305231100107580.html</t>
  </si>
  <si>
    <t>私募基金 (50).xlsx</t>
  </si>
  <si>
    <t>私募基金 (51).xlsx</t>
  </si>
  <si>
    <t>https://gs.amac.org.cn/amac-infodisc/res/pof/fund/2411111031107269.html</t>
  </si>
  <si>
    <t>私募基金 (52).xlsx</t>
  </si>
  <si>
    <t>私募基金 (53).xlsx</t>
  </si>
  <si>
    <t>https://gs.amac.org.cn/amac-infodisc/res/pof/fund/2212281000105421.html</t>
  </si>
  <si>
    <t>私募基金 (54).xlsx</t>
  </si>
  <si>
    <t>https://gs.amac.org.cn/amac-infodisc/res/pof/fund/2303031716101421.html</t>
  </si>
  <si>
    <t>私募基金 (55).xlsx</t>
  </si>
  <si>
    <t>https://gs.amac.org.cn/amac-infodisc/res/pof/fund/2104230845102170.html</t>
  </si>
  <si>
    <t>私募基金 (56).xlsx</t>
  </si>
  <si>
    <t>https://gs.amac.org.cn/amac-infodisc/res/pof/fund/1711131228105655.html</t>
  </si>
  <si>
    <t>私募基金 (57).xlsx</t>
  </si>
  <si>
    <t>私募基金 (58).xlsx</t>
  </si>
  <si>
    <t>https://gs.amac.org.cn/amac-infodisc/res/pof/fund/2211252020100971.html</t>
  </si>
  <si>
    <t>私募基金 (59).xlsx</t>
  </si>
  <si>
    <t>https://gs.amac.org.cn/amac-infodisc/res/pof/fund/1905151920101338.html</t>
  </si>
  <si>
    <t>私募基金 (60).xlsx</t>
  </si>
  <si>
    <t>https://gs.amac.org.cn/amac-infodisc/res/pof/fund/2211021355100496.html</t>
  </si>
  <si>
    <t>私募基金 (61).xlsx</t>
  </si>
  <si>
    <t>https://gs.amac.org.cn/amac-infodisc/res/pof/fund/2211291421100191.html</t>
  </si>
  <si>
    <t>私募基金 (62).xlsx</t>
  </si>
  <si>
    <t>https://gs.amac.org.cn/amac-infodisc/res/pof/fund/2010271707103406.html</t>
  </si>
  <si>
    <t>私募基金 (63).xlsx</t>
  </si>
  <si>
    <t>https://gs.amac.org.cn/amac-infodisc/res/pof/fund/2404301325106956.html</t>
  </si>
  <si>
    <t>私募基金 (64).xlsx</t>
  </si>
  <si>
    <t>https://gs.amac.org.cn/amac-infodisc/res/pof/fund/2002251051107073.html</t>
  </si>
  <si>
    <t>私募基金 (65).xlsx</t>
  </si>
  <si>
    <t>https://gs.amac.org.cn/amac-infodisc/res/pof/fund/2211221840100768.html</t>
  </si>
  <si>
    <t>私募基金 (66).xlsx</t>
  </si>
  <si>
    <t>https://gs.amac.org.cn/amac-infodisc/res/pof/fund/1811231733101523.html</t>
  </si>
  <si>
    <t>私募基金 (67).xlsx</t>
  </si>
  <si>
    <t>私募基金 (68).xlsx</t>
  </si>
  <si>
    <t>https://gs.amac.org.cn/amac-infodisc/res/pof/fund/2011301715100423.html</t>
  </si>
  <si>
    <t>私募基金 (69).xlsx</t>
  </si>
  <si>
    <t>https://gs.amac.org.cn/amac-infodisc/res/pof/fund/1905101802102119.html</t>
  </si>
  <si>
    <t>私募基金 (70).xlsx</t>
  </si>
  <si>
    <t>https://gs.amac.org.cn/amac-infodisc/res/pof/fund/1909261835100611.html</t>
  </si>
  <si>
    <t>私募基金 (71).xlsx</t>
  </si>
  <si>
    <t>https://gs.amac.org.cn/amac-infodisc/res/pof/fund/2506041444103887.html</t>
  </si>
  <si>
    <t>私募基金 (72).xlsx</t>
  </si>
  <si>
    <t>https://gs.amac.org.cn/amac-infodisc/res/pof/fund/2012041657102605.html</t>
  </si>
  <si>
    <t>私募基金 (73).xlsx</t>
  </si>
  <si>
    <t>https://gs.amac.org.cn/amac-infodisc/res/pof/fund/1909111555102167.html</t>
  </si>
  <si>
    <t>私募基金 (74).xlsx</t>
  </si>
  <si>
    <t>https://gs.amac.org.cn/amac-infodisc/res/pof/fund/2507151025108525.html</t>
  </si>
  <si>
    <t>私募基金 (75).xlsx</t>
  </si>
  <si>
    <t>https://gs.amac.org.cn/amac-infodisc/res/pof/fund/2504251630102057.html</t>
  </si>
  <si>
    <t>私募基金 (76).xlsx</t>
  </si>
  <si>
    <t>https://gs.amac.org.cn/amac-infodisc/res/pof/fund/2510291417105955.html</t>
  </si>
  <si>
    <t>私募基金 (77).xlsx</t>
  </si>
  <si>
    <t>https://gs.amac.org.cn/amac-infodisc/res/pof/fund/1705051025108658.html</t>
  </si>
  <si>
    <t>私募基金 (78).xlsx</t>
  </si>
  <si>
    <t>https://gs.amac.org.cn/amac-infodisc/res/pof/fund/2112231704112625.html</t>
  </si>
  <si>
    <t>私募基金 (79).xlsx</t>
  </si>
  <si>
    <t>https://gs.amac.org.cn/amac-infodisc/res/pof/fund/2505301433104256.html</t>
  </si>
  <si>
    <t>私募基金 (80).xlsx</t>
  </si>
  <si>
    <t>https://gs.amac.org.cn/amac-infodisc/res/pof/fund/2506231616104006.html</t>
  </si>
  <si>
    <t>私募基金 (81).xlsx</t>
  </si>
  <si>
    <t>https://gs.amac.org.cn/amac-infodisc/res/pof/fund/1907301828105618.html</t>
  </si>
  <si>
    <t>私募基金 (82).xlsx</t>
  </si>
  <si>
    <t>https://gs.amac.org.cn/amac-infodisc/res/pof/fund/2403251636103185.html</t>
  </si>
  <si>
    <t>原表备案编号为空；按产品ID提供的线索 SAHP82 查询，平台导出备案号已匹配，原表身份字段未修改。；原表缺少产品链接；补充链接来自此次火富牛实际产品详情页，导出备案号及名称已匹配。；已读取完整产品公示并精确匹配基金编号。；产品特别提示栏目未公示“存续规模低于1000万元”；0 仅表示未见该公示提示，不代表已核实实际规模达到1000万元。</t>
  </si>
  <si>
    <t>日期</t>
  </si>
  <si>
    <t>单位净值</t>
  </si>
  <si>
    <t>累计净值</t>
  </si>
  <si>
    <t>复权净值</t>
  </si>
  <si>
    <t>原表涨跌幅</t>
  </si>
  <si>
    <t>累计峰值</t>
  </si>
  <si>
    <t>可见历史回撤</t>
  </si>
  <si>
    <t>近1年峰值</t>
  </si>
  <si>
    <t>近1年回撤</t>
  </si>
  <si>
    <t>近3年峰值</t>
  </si>
  <si>
    <t>近3年回撤</t>
  </si>
  <si>
    <t>来源文件</t>
  </si>
  <si>
    <t>世宽若水尘心2号B类净值20260911.xlsx</t>
  </si>
  <si>
    <t>东源投资丰源5号净值20260911.xlsx</t>
  </si>
  <si>
    <t>哲石君顺易安壹号净值20260911.xlsx</t>
  </si>
  <si>
    <t>聚亿具臻B类净值20260911.xlsx</t>
  </si>
  <si>
    <t>臻选期权套利一号净值20260911.xlsx</t>
  </si>
  <si>
    <t>锐耐复利倍增2号C类净值20260911.xlsx</t>
  </si>
  <si>
    <t>龙壹盛善时1号净值20260911.xlsx</t>
  </si>
  <si>
    <t>月份</t>
  </si>
  <si>
    <t>前期边界</t>
  </si>
  <si>
    <t>本期边界</t>
  </si>
  <si>
    <t>前期实际日</t>
  </si>
  <si>
    <t>本期实际日</t>
  </si>
  <si>
    <t>前期复权净值</t>
  </si>
  <si>
    <t>本期复权净值</t>
  </si>
  <si>
    <t>月度收益</t>
  </si>
  <si>
    <t>可计算</t>
  </si>
  <si>
    <t>前期滞后天数</t>
  </si>
  <si>
    <t>本期滞后天数</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</si>
  <si>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</si>
  <si>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</si>
  <si>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</si>
  <si>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</si>
  <si>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</si>
  <si>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</si>
  <si>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</si>
  <si>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</si>
  <si>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</si>
  <si>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</si>
  <si>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</si>
  <si>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</si>
  <si>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</si>
  <si>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</si>
  <si>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</si>
  <si>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</si>
  <si>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</si>
  <si>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</si>
  <si>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</si>
  <si>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</si>
  <si>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</si>
  <si>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</si>
  <si>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</si>
  <si>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</si>
  <si>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</si>
  <si>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</si>
  <si>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</si>
  <si>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</si>
  <si>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</si>
  <si>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</si>
  <si>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</si>
  <si>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</si>
  <si>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</si>
  <si>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</si>
  <si>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</si>
  <si>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</si>
  <si>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</si>
  <si>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窗口</t>
  </si>
  <si>
    <t>目标起日</t>
  </si>
  <si>
    <t>目标止日</t>
  </si>
  <si>
    <t>实际起日</t>
  </si>
  <si>
    <t>实际止日</t>
  </si>
  <si>
    <t>起点净值</t>
  </si>
  <si>
    <t>终点净值</t>
  </si>
  <si>
    <t>实际天数</t>
  </si>
  <si>
    <t>历史覆盖</t>
  </si>
  <si>
    <t>有效月期数</t>
  </si>
  <si>
    <t>全序列最大间隔天数</t>
  </si>
  <si>
    <t>序列频率说明</t>
  </si>
  <si>
    <t>近1年</t>
  </si>
  <si>
    <t>近似周频</t>
  </si>
  <si>
    <t>近3年</t>
  </si>
  <si>
    <t>未覆盖完整窗口或边界净值缺失</t>
  </si>
  <si>
    <t>成立以来</t>
  </si>
  <si>
    <t>首条净值与成立日不一致／历史未覆盖成立以来</t>
  </si>
  <si>
    <t>日/周混合或不规则</t>
  </si>
  <si>
    <t>近似日频</t>
  </si>
  <si>
    <t>更新位置</t>
  </si>
  <si>
    <t>原始数据单元格</t>
  </si>
  <si>
    <t>补数指标</t>
  </si>
  <si>
    <t>原值</t>
  </si>
  <si>
    <t>补后值</t>
  </si>
  <si>
    <t>计算口径</t>
  </si>
  <si>
    <t>绩效截止日</t>
  </si>
  <si>
    <t>计算表行号</t>
  </si>
  <si>
    <t>Sheet4-原始数据</t>
  </si>
  <si>
    <t>G3</t>
  </si>
  <si>
    <t>复权净值独立计算，仅补空值</t>
  </si>
  <si>
    <t>H3</t>
  </si>
  <si>
    <t>I3</t>
  </si>
  <si>
    <t>J3</t>
  </si>
  <si>
    <t>K3</t>
  </si>
  <si>
    <t>L3</t>
  </si>
  <si>
    <t>M3</t>
  </si>
  <si>
    <t>S3</t>
  </si>
  <si>
    <t>G8</t>
  </si>
  <si>
    <t>H8</t>
  </si>
  <si>
    <t>I8</t>
  </si>
  <si>
    <t>J8</t>
  </si>
  <si>
    <t>K8</t>
  </si>
  <si>
    <t>L8</t>
  </si>
  <si>
    <t>M8</t>
  </si>
  <si>
    <t>S8</t>
  </si>
  <si>
    <t>S16</t>
  </si>
  <si>
    <t>G25</t>
  </si>
  <si>
    <t>M25</t>
  </si>
  <si>
    <t>S25</t>
  </si>
  <si>
    <t>G26</t>
  </si>
  <si>
    <t>J26</t>
  </si>
  <si>
    <t>M26</t>
  </si>
  <si>
    <t>G27</t>
  </si>
  <si>
    <t>M27</t>
  </si>
  <si>
    <t>G28</t>
  </si>
  <si>
    <t>J28</t>
  </si>
  <si>
    <t>M28</t>
  </si>
  <si>
    <t>S28</t>
  </si>
  <si>
    <t>S29</t>
  </si>
  <si>
    <t>G32</t>
  </si>
  <si>
    <t>H32</t>
  </si>
  <si>
    <t>K32</t>
  </si>
  <si>
    <t>L32</t>
  </si>
  <si>
    <t>M32</t>
  </si>
  <si>
    <t>S32</t>
  </si>
  <si>
    <t>S33</t>
  </si>
  <si>
    <t>G34</t>
  </si>
  <si>
    <t>J34</t>
  </si>
  <si>
    <t>M34</t>
  </si>
  <si>
    <t>G35</t>
  </si>
  <si>
    <t>H35</t>
  </si>
  <si>
    <t>I35</t>
  </si>
  <si>
    <t>J35</t>
  </si>
  <si>
    <t>K35</t>
  </si>
  <si>
    <t>L35</t>
  </si>
  <si>
    <t>M35</t>
  </si>
  <si>
    <t>S35</t>
  </si>
  <si>
    <t>G50</t>
  </si>
  <si>
    <t>H50</t>
  </si>
  <si>
    <t>I50</t>
  </si>
  <si>
    <t>J50</t>
  </si>
  <si>
    <t>K50</t>
  </si>
  <si>
    <t>L50</t>
  </si>
  <si>
    <t>M50</t>
  </si>
  <si>
    <t>S50</t>
  </si>
  <si>
    <t>G53</t>
  </si>
  <si>
    <t>J53</t>
  </si>
  <si>
    <t>M53</t>
  </si>
  <si>
    <t>S53</t>
  </si>
  <si>
    <t>G57</t>
  </si>
  <si>
    <t>H57</t>
  </si>
  <si>
    <t>I57</t>
  </si>
  <si>
    <t>J57</t>
  </si>
  <si>
    <t>K57</t>
  </si>
  <si>
    <t>L57</t>
  </si>
  <si>
    <t>M57</t>
  </si>
  <si>
    <t>S57</t>
  </si>
  <si>
    <t>G60</t>
  </si>
  <si>
    <t>H60</t>
  </si>
  <si>
    <t>K60</t>
  </si>
  <si>
    <t>L60</t>
  </si>
  <si>
    <t>M60</t>
  </si>
  <si>
    <t>S60</t>
  </si>
  <si>
    <t>G67</t>
  </si>
  <si>
    <t>H67</t>
  </si>
  <si>
    <t>I67</t>
  </si>
  <si>
    <t>J67</t>
  </si>
  <si>
    <t>K67</t>
  </si>
  <si>
    <t>L67</t>
  </si>
  <si>
    <t>M67</t>
  </si>
  <si>
    <t>G76</t>
  </si>
  <si>
    <t>J76</t>
  </si>
  <si>
    <t>M76</t>
  </si>
  <si>
    <t>S76</t>
  </si>
  <si>
    <t>G84</t>
  </si>
  <si>
    <t>J84</t>
  </si>
  <si>
    <t>M84</t>
  </si>
  <si>
    <t>净值条数</t>
  </si>
  <si>
    <t>首条日期</t>
  </si>
  <si>
    <t>末条日期</t>
  </si>
  <si>
    <t>近1年覆盖</t>
  </si>
  <si>
    <t>近3年覆盖</t>
  </si>
  <si>
    <t>成立以来覆盖</t>
  </si>
  <si>
    <t>源文件SHA256</t>
  </si>
  <si>
    <t>f4bbd4cb4422b59b87af33400409111f2be1ebe655246018b36c1941fa33af76</t>
  </si>
  <si>
    <t>1d07075142346169d22981de69caa344a3bfdd107bf6f6af08a0c30c9c5f9e90</t>
  </si>
  <si>
    <t>af8ff47c47daf3fd362dab05b24246f21204a0c6a224936467d4bdaafff57019</t>
  </si>
  <si>
    <t>92959cdfd9ef38ebdab9ad8eec394eea6ccc7b1cf672211f717968760ef7439c</t>
  </si>
  <si>
    <t>80ba64116d2de91725336edf54e5ffa1c9307dd321286a3750646cab065b720e</t>
  </si>
  <si>
    <t>0f6cd4ea7fae8e2c565447a89e68dd955566c0a73f2eb71658cb144f7d52adfb</t>
  </si>
  <si>
    <t>ed201d62d40ba2a9ab0145780321ddf660d78fc34ef800e7cb6f8ad639dab03f</t>
  </si>
  <si>
    <t>b56312de0ff5c5f45fdd87034575455e27bf660f15d57e886469c1922540830e</t>
  </si>
  <si>
    <t>6338c5eb8c136a3ecb9f8c44bb1f444d122464e8a66cf54b82926cf97068eeda</t>
  </si>
  <si>
    <t>01ce295ab9a57a3f01fde8fe6813000f45c0ce106199d6e1e5512464e7c2cb19</t>
  </si>
  <si>
    <t>4062a6f86b81c9297bb9a6cfb8bd36c0022b0917ef632b7da01f2a22ae5b4cbe</t>
  </si>
  <si>
    <t>f73a7f7584d0c3689d182eb5cb642e3c777351676d16e7097e8f7bf1fb628b85</t>
  </si>
  <si>
    <t>7daf6d97c049978966907fb7b2bd2ce85d3fb5a1d31642dd653ba8157f9961a8</t>
  </si>
  <si>
    <t>136d6ed7132ba4c214766cee22724eb03c0323b7d72545874b16c624b177ee0e</t>
  </si>
  <si>
    <t>8af362746606dd52c356d64a72b910e868647567445b668e0ea8f4feb884932a</t>
  </si>
  <si>
    <t>fda28eaa4b55f9128be31b229b0d89fd0f2c62099443d9932d26508ada3b4f23</t>
  </si>
  <si>
    <t>f3ce219fec0021d5c72fd0b9b7daa616472d7dbd2d68381e2f254d21cb359ed7</t>
  </si>
  <si>
    <t>a23a8950cf29ba3da0008ddb6937da427801d5dbd142e439b2c697cbcbcc9544</t>
  </si>
  <si>
    <t>df3b231f1b34fd32966e63c26f0acb20b5ab31edb5cb113b07d21d9e70425b92</t>
  </si>
  <si>
    <t>4eab1590d9e62145dd97d3789f09b2af4c6d3b9adab04426611dee440d18b56c</t>
  </si>
  <si>
    <t>b8b5059d44e51c190330ace70e9ee31cd936a84aae9c7753ef49289c8dadf769</t>
  </si>
  <si>
    <t>cd7a38de703b3122f73f0d4b5fbfa93a6e585cb99d9719ccfdf91394b2cd349e</t>
  </si>
  <si>
    <t>840ac07d2c9961e5bda3ac43c7fe51046f53cf58fc77789d3eff51a2fe298760</t>
  </si>
  <si>
    <t>9f63df41d104a3e3e4ec2ce105f651688e98ae913241a097f1f2da72b164f438</t>
  </si>
  <si>
    <t>1d239185705722c8b28c4c7d16c3534ccbba65e658b0165a6cf29431a12e900d</t>
  </si>
  <si>
    <t>efd8b4558e9cb26634b00f3d6ee38057227552f191faf5a1e7e181735ef44e47</t>
  </si>
  <si>
    <t>管理人全称</t>
  </si>
  <si>
    <t>登记编号</t>
  </si>
  <si>
    <t>协会纪律处分</t>
  </si>
  <si>
    <t>机构诚信信息</t>
  </si>
  <si>
    <t>机构一般提示</t>
  </si>
  <si>
    <t>管理人特别提示</t>
  </si>
  <si>
    <t>基金特别提示</t>
  </si>
  <si>
    <t>产品公示匹配</t>
  </si>
  <si>
    <t>管理人核验</t>
  </si>
  <si>
    <t>管理人更新日</t>
  </si>
  <si>
    <t>基金更新日</t>
  </si>
  <si>
    <t>核验日期</t>
  </si>
  <si>
    <t>管理人公示URL</t>
  </si>
  <si>
    <t>基金公示URL</t>
  </si>
  <si>
    <t>监管决定URL</t>
  </si>
  <si>
    <t>管理人关联依据</t>
  </si>
  <si>
    <t>大规模展示次序</t>
  </si>
  <si>
    <t>小规模展示次序</t>
  </si>
  <si>
    <t>全池展示次序</t>
  </si>
  <si>
    <t>爱凡哲投资管理有限公司</t>
  </si>
  <si>
    <t>P1066184</t>
  </si>
  <si>
    <t>本次公示未见相关提示</t>
  </si>
  <si>
    <t>本次公示未见</t>
  </si>
  <si>
    <t>未见公示记录</t>
  </si>
  <si>
    <t>未见公示提示</t>
  </si>
  <si>
    <t>备案号精确匹配</t>
  </si>
  <si>
    <t>登记编号及名称已核验</t>
  </si>
  <si>
    <t>https://gs.amac.org.cn/amac-infodisc/res/pof/manager/1709181131101311.html</t>
  </si>
  <si>
    <t>产品公示关联／对照表精确备案号关联</t>
  </si>
  <si>
    <t>鹰潭滨风投资管理有限公司</t>
  </si>
  <si>
    <t>P1067981</t>
  </si>
  <si>
    <t>https://gs.amac.org.cn/amac-infodisc/res/pof/manager/1801301704109241.html</t>
  </si>
  <si>
    <t>广州博牛私募证券投资管理有限公司</t>
  </si>
  <si>
    <t>P1067450</t>
  </si>
  <si>
    <t>协会提示／已整改异常</t>
  </si>
  <si>
    <t>存在长期处于清算状态基金 指私募基金管理人存在提交清算开始后超过6个月未完成清算的私募基金。</t>
  </si>
  <si>
    <t>https://gs.amac.org.cn/amac-infodisc/res/pof/manager/1801020956105866.html</t>
  </si>
  <si>
    <t>北京博润银泰投资管理有限公司</t>
  </si>
  <si>
    <t>P1002960</t>
  </si>
  <si>
    <t>https://gs.amac.org.cn/amac-infodisc/res/pof/manager/101000005082.html</t>
  </si>
  <si>
    <t>广东丰煜私募基金管理有限公司</t>
  </si>
  <si>
    <t>P1008967</t>
  </si>
  <si>
    <t>https://gs.amac.org.cn/amac-infodisc/res/pof/manager/101000015767.html</t>
  </si>
  <si>
    <t>江苏常行投资管理有限公司</t>
  </si>
  <si>
    <t>P1021817</t>
  </si>
  <si>
    <t>https://gs.amac.org.cn/amac-infodisc/res/pof/manager/101000022360.html</t>
  </si>
  <si>
    <t>广东辰元私募基金管理有限公司</t>
  </si>
  <si>
    <t>P1074301</t>
  </si>
  <si>
    <t>https://gs.amac.org.cn/amac-infodisc/res/pof/manager/2209261520106658.html</t>
  </si>
  <si>
    <t>晋江市晨翰私募基金管理有限公司</t>
  </si>
  <si>
    <t>P1072342</t>
  </si>
  <si>
    <t>https://gs.amac.org.cn/amac-infodisc/res/pof/manager/2002211754119480.html</t>
  </si>
  <si>
    <t>深圳市刀锋私募证券基金管理有限公司</t>
  </si>
  <si>
    <t>P1026775</t>
  </si>
  <si>
    <t>https://gs.amac.org.cn/amac-infodisc/res/pof/manager/101000037574.html</t>
  </si>
  <si>
    <t>深圳市东方富银投资管理有限公司</t>
  </si>
  <si>
    <t>P1068576</t>
  </si>
  <si>
    <t>https://gs.amac.org.cn/amac-infodisc/res/pof/manager/1803121751101388.html</t>
  </si>
  <si>
    <t>东源（天津）股权投资基金管理股份有限公司</t>
  </si>
  <si>
    <t>P1000675</t>
  </si>
  <si>
    <t>https://gs.amac.org.cn/amac-infodisc/res/pof/manager/101000000235.html</t>
  </si>
  <si>
    <t>上海放牛人私募基金管理有限公司</t>
  </si>
  <si>
    <t>P1072166</t>
  </si>
  <si>
    <t>https://gs.amac.org.cn/amac-infodisc/res/pof/manager/2104292125100136.html</t>
  </si>
  <si>
    <t>海南广联宏私募基金管理有限公司</t>
  </si>
  <si>
    <t>P1072844</t>
  </si>
  <si>
    <t>信息报送异常 异常原因： 未按要求按时提交经审计的年度财务报告（本异常机构公示情形已整改）</t>
  </si>
  <si>
    <t>注册地与办公地不在同一辖区 指私募基金管理人的注册地与办公地不在同一证监会辖区。</t>
  </si>
  <si>
    <t>https://gs.amac.org.cn/amac-infodisc/res/pof/manager/2109061042100364.html</t>
  </si>
  <si>
    <t>杭州探融投资管理有限公司</t>
  </si>
  <si>
    <t>P1032083</t>
  </si>
  <si>
    <t>https://gs.amac.org.cn/amac-infodisc/res/pof/manager/101000049159.html</t>
  </si>
  <si>
    <t>上海汇艾资产管理有限公司</t>
  </si>
  <si>
    <t>P1014027</t>
  </si>
  <si>
    <t>https://gs.amac.org.cn/amac-infodisc/res/pof/manager/101000016385.html</t>
  </si>
  <si>
    <t>北京惠隆资本管理有限责任公司</t>
  </si>
  <si>
    <t>P1062865</t>
  </si>
  <si>
    <t>https://gs.amac.org.cn/amac-infodisc/res/pof/manager/1705031716108118.html</t>
  </si>
  <si>
    <t>海南佳泽私募基金管理合伙企业(有限合伙)</t>
  </si>
  <si>
    <t>P1073283</t>
  </si>
  <si>
    <t>产品页未核实</t>
  </si>
  <si>
    <t>无独立产品页核实</t>
  </si>
  <si>
    <t>https://gs.amac.org.cn/amac-infodisc/res/pof/manager/2202171443109430.html</t>
  </si>
  <si>
    <t>上海嘉和传承私募基金管理有限公司</t>
  </si>
  <si>
    <t>P1074030</t>
  </si>
  <si>
    <t>https://gs.amac.org.cn/amac-infodisc/res/pof/manager/2203031405108672.html</t>
  </si>
  <si>
    <t>深圳阶石私募证券基金管理有限公司</t>
  </si>
  <si>
    <t>P1069896</t>
  </si>
  <si>
    <t>https://gs.amac.org.cn/amac-infodisc/res/pof/manager/1903261812109866.html</t>
  </si>
  <si>
    <t>上海金锝私募基金管理有限公司</t>
  </si>
  <si>
    <t>P1008275</t>
  </si>
  <si>
    <t>https://gs.amac.org.cn/amac-infodisc/res/pof/manager/101000003739.html</t>
  </si>
  <si>
    <t>火富牛产品关联管理人P1008275</t>
  </si>
  <si>
    <t>深圳九木私募证券基金管理有限公司</t>
  </si>
  <si>
    <t>P1074963</t>
  </si>
  <si>
    <t>https://gs.amac.org.cn/amac-infodisc/res/pof/manager/2502261446106414.html</t>
  </si>
  <si>
    <t>对照表同名管理人唯一映射后核验</t>
  </si>
  <si>
    <t>武汉九招私募基金管理有限公司</t>
  </si>
  <si>
    <t>P1074391</t>
  </si>
  <si>
    <t>监管警示函</t>
  </si>
  <si>
    <t>三年内行政监管措施 该机构于2025年4月17日被湖北证监局采取出具警示函的行政监管措施。</t>
  </si>
  <si>
    <t>https://gs.amac.org.cn/amac-infodisc/res/pof/manager/2301051740101642.html</t>
  </si>
  <si>
    <t>https://www.csrc.gov.cn/hubei/c104408/c7552628/content.shtml</t>
  </si>
  <si>
    <t>珠海聚亿基金管理有限公司</t>
  </si>
  <si>
    <t>P1066810</t>
  </si>
  <si>
    <t>https://gs.amac.org.cn/amac-infodisc/res/pof/manager/1706231108101144.html</t>
  </si>
  <si>
    <t>珠海钧誉资产管理有限公司</t>
  </si>
  <si>
    <t>P1068716</t>
  </si>
  <si>
    <t>https://gs.amac.org.cn/amac-infodisc/res/pof/manager/1801241613109731.html</t>
  </si>
  <si>
    <t>上海澜胜私募基金管理有限公司</t>
  </si>
  <si>
    <t>P1022345</t>
  </si>
  <si>
    <t>https://gs.amac.org.cn/amac-infodisc/res/pof/manager/101000031933.html</t>
  </si>
  <si>
    <t>上海坤灵私募基金管理有限公司</t>
  </si>
  <si>
    <t>P1014385</t>
  </si>
  <si>
    <t>https://gs.amac.org.cn/amac-infodisc/res/pof/manager/101000023324.html</t>
  </si>
  <si>
    <t>上海量客私募基金管理有限公司</t>
  </si>
  <si>
    <t>P1000568</t>
  </si>
  <si>
    <t>https://gs.amac.org.cn/amac-infodisc/res/pof/manager/101000000790.html</t>
  </si>
  <si>
    <t>厦门龙帆资产管理有限公司</t>
  </si>
  <si>
    <t>P1062076</t>
  </si>
  <si>
    <t>https://gs.amac.org.cn/amac-infodisc/res/pof/manager/1611020850101525.html</t>
  </si>
  <si>
    <t>杭州龙壹盛私募基金管理有限公司</t>
  </si>
  <si>
    <t>P1074474</t>
  </si>
  <si>
    <t>https://gs.amac.org.cn/amac-infodisc/res/pof/manager/2303061547109927.html</t>
  </si>
  <si>
    <t>上海鸣熙资产管理有限公司</t>
  </si>
  <si>
    <t>P1033450</t>
  </si>
  <si>
    <t>https://gs.amac.org.cn/amac-infodisc/res/pof/manager/101000039347.html</t>
  </si>
  <si>
    <t>上海铭杉投资管理有限公司</t>
  </si>
  <si>
    <t>P1065825</t>
  </si>
  <si>
    <t>根据管理人最新报送信息，本基金存续规模低于1000万人民币（2026年第2季度季度更新信息）</t>
  </si>
  <si>
    <t>https://gs.amac.org.cn/amac-infodisc/res/pof/manager/1708301158107602.html</t>
  </si>
  <si>
    <t>上海摩旗投资管理有限公司</t>
  </si>
  <si>
    <t>P1000652</t>
  </si>
  <si>
    <t>https://gs.amac.org.cn/amac-infodisc/res/pof/manager/101000000297.html</t>
  </si>
  <si>
    <t>上海慕途私募基金管理有限公司</t>
  </si>
  <si>
    <t>P1073298</t>
  </si>
  <si>
    <t>https://gs.amac.org.cn/amac-infodisc/res/pof/manager/2106221238106983.html</t>
  </si>
  <si>
    <t>广东奶酪私募基金管理股份有限公司</t>
  </si>
  <si>
    <t>P1031632</t>
  </si>
  <si>
    <t>https://gs.amac.org.cn/amac-infodisc/res/pof/manager/101000045017.html</t>
  </si>
  <si>
    <t>北京平凡私募基金管理有限公司</t>
  </si>
  <si>
    <t>P1021670</t>
  </si>
  <si>
    <t>https://gs.amac.org.cn/amac-infodisc/res/pof/manager/101000030286.html</t>
  </si>
  <si>
    <t>宁波祁腾投资管理有限公司</t>
  </si>
  <si>
    <t>P1069265</t>
  </si>
  <si>
    <t>https://gs.amac.org.cn/amac-infodisc/res/pof/manager/1809041559102185.html</t>
  </si>
  <si>
    <t>上海融昊投资管理有限公司</t>
  </si>
  <si>
    <t>P1007411</t>
  </si>
  <si>
    <t>https://gs.amac.org.cn/amac-infodisc/res/pof/manager/101000008109.html</t>
  </si>
  <si>
    <t>上海锐耐私募基金管理有限公司</t>
  </si>
  <si>
    <t>P1071795</t>
  </si>
  <si>
    <t>https://gs.amac.org.cn/amac-infodisc/res/pof/manager/2011201413105709.html</t>
  </si>
  <si>
    <t>无锡睿启私募基金管理有限公司</t>
  </si>
  <si>
    <t>P1074526</t>
  </si>
  <si>
    <t>https://gs.amac.org.cn/amac-infodisc/res/pof/manager/2302061359107599.html</t>
  </si>
  <si>
    <t>上海杉阳私募基金管理有限公司</t>
  </si>
  <si>
    <t>P1070833</t>
  </si>
  <si>
    <t>https://gs.amac.org.cn/amac-infodisc/res/pof/manager/2001061547104837.html</t>
  </si>
  <si>
    <t>上海尚湖私募基金管理有限公司</t>
  </si>
  <si>
    <t>P1025740</t>
  </si>
  <si>
    <t>https://gs.amac.org.cn/amac-infodisc/res/pof/manager/101000036458.html</t>
  </si>
  <si>
    <t>杭州深度资产管理有限公司</t>
  </si>
  <si>
    <t>P1065452</t>
  </si>
  <si>
    <t>https://gs.amac.org.cn/amac-infodisc/res/pof/manager/1703210938100205.html</t>
  </si>
  <si>
    <t>海南盛冠达私募基金管理有限公司</t>
  </si>
  <si>
    <t>P1001070</t>
  </si>
  <si>
    <t>https://gs.amac.org.cn/amac-infodisc/res/pof/manager/101000001663.html</t>
  </si>
  <si>
    <t>厦门世宽私募基金管理有限公司</t>
  </si>
  <si>
    <t>P1022452</t>
  </si>
  <si>
    <t>https://gs.amac.org.cn/amac-infodisc/res/pof/manager/101000026000.html</t>
  </si>
  <si>
    <t>上海殊馥投资管理有限公司</t>
  </si>
  <si>
    <t>P1029642</t>
  </si>
  <si>
    <t>历史监管责令改正</t>
  </si>
  <si>
    <t>2023-07-13上海证监局责令改正，文号沪证监决〔2023〕135号。已超出协会三年展示窗口，不能据此判断整改状态。</t>
  </si>
  <si>
    <t>该管理人在管的殊馥和得7号私募证券投资基金等1只基金为未托管私募证券基金</t>
  </si>
  <si>
    <t>https://gs.amac.org.cn/amac-infodisc/res/pof/manager/101000042776.html</t>
  </si>
  <si>
    <t>https://www.csrc.gov.cn/shanghai/c103864/c7453285/content.shtml</t>
  </si>
  <si>
    <t>福州数为私募基金管理有限公司</t>
  </si>
  <si>
    <t>P1064166</t>
  </si>
  <si>
    <t>https://gs.amac.org.cn/amac-infodisc/res/pof/manager/1705081548107725.html</t>
  </si>
  <si>
    <t>深圳唐德私募证券投资基金管理有限公司</t>
  </si>
  <si>
    <t>P1027490</t>
  </si>
  <si>
    <t>https://gs.amac.org.cn/amac-infodisc/res/pof/manager/101000038100.html</t>
  </si>
  <si>
    <t>福建平潭唐龙资产管理有限公司</t>
  </si>
  <si>
    <t>P1068562</t>
  </si>
  <si>
    <t>https://gs.amac.org.cn/amac-infodisc/res/pof/manager/1708091719102142.html</t>
  </si>
  <si>
    <t>上海系数投资管理合伙企业（有限合伙）</t>
  </si>
  <si>
    <t>P1002468</t>
  </si>
  <si>
    <t>https://gs.amac.org.cn/amac-infodisc/res/pof/manager/101000000497.html</t>
  </si>
  <si>
    <t>上海悬铃私募基金管理有限公司</t>
  </si>
  <si>
    <t>P1064634</t>
  </si>
  <si>
    <t>https://gs.amac.org.cn/amac-infodisc/res/pof/manager/1701161209103763.html</t>
  </si>
  <si>
    <t>英旷资产管理(上海)有限公司</t>
  </si>
  <si>
    <t>P1071507</t>
  </si>
  <si>
    <t>https://gs.amac.org.cn/amac-infodisc/res/pof/manager/2009261701109105.html</t>
  </si>
  <si>
    <t>宁波永泉私募基金管理有限公司</t>
  </si>
  <si>
    <t>P1017919</t>
  </si>
  <si>
    <t>注册地与办公地不在同一辖区 指私募基金管理人的注册地与办公地不在同一证监会辖区。 投资者定向披露账户开立率低 指私募基金管理人在信披备份系统定向披露功能中为投资者开立查询账号的比率低于50%（不含50%）。</t>
  </si>
  <si>
    <t>https://gs.amac.org.cn/amac-infodisc/res/pof/manager/101000016974.html</t>
  </si>
  <si>
    <t>上海涌涵私募基金管理有限公司</t>
  </si>
  <si>
    <t>P1072760</t>
  </si>
  <si>
    <t>https://gs.amac.org.cn/amac-infodisc/res/pof/manager/2108301436104889.html</t>
  </si>
  <si>
    <t>深圳裕锦私募证券基金管理有限公司</t>
  </si>
  <si>
    <t>P1071231</t>
  </si>
  <si>
    <t>https://gs.amac.org.cn/amac-infodisc/res/pof/manager/2003241828108999.html</t>
  </si>
  <si>
    <t>浙江在赢私募基金管理有限公司</t>
  </si>
  <si>
    <t>P1009338</t>
  </si>
  <si>
    <t>https://gs.amac.org.cn/amac-infodisc/res/pof/manager/101000009803.html</t>
  </si>
  <si>
    <t>杭州哲石私募基金管理有限公司</t>
  </si>
  <si>
    <t>P1034136</t>
  </si>
  <si>
    <t>https://gs.amac.org.cn/amac-infodisc/res/pof/manager/101000047057.html</t>
  </si>
  <si>
    <t>臻选（海南）私募基金管理有限公司</t>
  </si>
  <si>
    <t>P1072693</t>
  </si>
  <si>
    <t>https://gs.amac.org.cn/amac-infodisc/res/pof/manager/2108111018103387.html</t>
  </si>
  <si>
    <t>上海致同投资管理有限公司</t>
  </si>
  <si>
    <t>P1003519</t>
  </si>
  <si>
    <t>三年内行政监管措施 该机构于2024年8月19日被上海证监局采取出具警示函的行政监管措施。</t>
  </si>
  <si>
    <t>https://gs.amac.org.cn/amac-infodisc/res/pof/manager/101000004339.html</t>
  </si>
  <si>
    <t>https://www.csrc.gov.cn/shanghai/c103864/c7503211/content.shtml</t>
  </si>
  <si>
    <t>广州致远私募证券投资管理有限公司</t>
  </si>
  <si>
    <t>P1071953</t>
  </si>
  <si>
    <t>https://gs.amac.org.cn/amac-infodisc/res/pof/manager/2011301812106408.html</t>
  </si>
  <si>
    <t>福州高新区智领三联私募基金管理有限公司</t>
  </si>
  <si>
    <t>P1033867</t>
  </si>
  <si>
    <t>https://gs.amac.org.cn/amac-infodisc/res/pof/manager/101000074295.html</t>
  </si>
  <si>
    <t>日照中益仁私募基金管理有限公司</t>
  </si>
  <si>
    <t>P1069942</t>
  </si>
  <si>
    <t>https://gs.amac.org.cn/amac-infodisc/res/pof/manager/1708291806108811.html</t>
  </si>
  <si>
    <t>杭州庄贤投资管理合伙企业（有限合伙）</t>
  </si>
  <si>
    <t>P1063460</t>
  </si>
  <si>
    <t>https://gs.amac.org.cn/amac-infodisc/res/pof/manager/1703280912100590.html</t>
  </si>
  <si>
    <t>上海合绎投资管理有限公司</t>
  </si>
  <si>
    <t>P1065514</t>
  </si>
  <si>
    <t>https://gs.amac.org.cn/amac-infodisc/res/pof/manager/1703070917106985.html</t>
  </si>
  <si>
    <t>大规模策略池</t>
  </si>
  <si>
    <t>5–10亿元及以上公示区间，5亿元精确边界无法从区间区分。</t>
  </si>
  <si>
    <t>分组沿用全池分数，按可比总分排序。须同时查看严格总分、有效权重及风险提示。</t>
  </si>
  <si>
    <t>组内顺序</t>
  </si>
  <si>
    <t>规模区间</t>
  </si>
  <si>
    <t>全池排名</t>
  </si>
  <si>
    <t>原明细相对行</t>
  </si>
  <si>
    <t>管理人公示</t>
  </si>
  <si>
    <t>小规模策略池</t>
  </si>
  <si>
    <t>0–5亿元公示区间，5亿元精确边界无法从区间区分。</t>
  </si>
  <si>
    <t>相同基金分数对比</t>
  </si>
  <si>
    <t>按备案号比较收到时对照缓存；用户确认差异以83只表为准，本版不回写差异值。</t>
  </si>
  <si>
    <t>重点差异阈值见指标体系J32。加权变化＋权重折算＋舍入残差＝可比总分差异，逐项数据见差异细项。</t>
  </si>
  <si>
    <t>匹配情况</t>
  </si>
  <si>
    <t>本版严格总分</t>
  </si>
  <si>
    <t>对照严格总分</t>
  </si>
  <si>
    <t>严格分差</t>
  </si>
  <si>
    <t>本版可比总分</t>
  </si>
  <si>
    <t>对照可比总分</t>
  </si>
  <si>
    <t>可比分差</t>
  </si>
  <si>
    <t>重点差异</t>
  </si>
  <si>
    <t>本版有效权重</t>
  </si>
  <si>
    <t>对照有效权重</t>
  </si>
  <si>
    <t>权重差</t>
  </si>
  <si>
    <t>加权分变化</t>
  </si>
  <si>
    <t>加权变化影响</t>
  </si>
  <si>
    <t>权重折算影响</t>
  </si>
  <si>
    <t>舍入残差</t>
  </si>
  <si>
    <t>拆解核对差</t>
  </si>
  <si>
    <t>排查结论</t>
  </si>
  <si>
    <t>差异原因</t>
  </si>
  <si>
    <t>对照产品名称</t>
  </si>
  <si>
    <t>本版加权和</t>
  </si>
  <si>
    <t>对照加权和</t>
  </si>
  <si>
    <t>对照快照行号</t>
  </si>
  <si>
    <t>补数前可比总分</t>
  </si>
  <si>
    <t>本版与补数前分差</t>
  </si>
  <si>
    <t>对照计算复核差</t>
  </si>
  <si>
    <t>输入差异：近1年收益、近3年收益、成立以来年化、近1年月胜率、近3年月胜率、近1年卡玛；横截面83条／314条，排名差异：近1年收益排名、回撤排名、近期卡玛排名、早期卡玛排名</t>
  </si>
  <si>
    <t>对照汇总未匹配</t>
  </si>
  <si>
    <t>未匹配</t>
  </si>
  <si>
    <t>对照汇总无同备案号产品</t>
  </si>
  <si>
    <t>不将其他份额或相似名称视为同一产品。</t>
  </si>
  <si>
    <t>输入差异：近1年收益、近3年收益、成立以来年化、近1年月胜率、近3年月胜率、近1年卡玛；横截面83条／314条，排名差异：近1年收益排名、早期收益排名、回撤排名、近期卡玛排名、早期卡玛排名</t>
  </si>
  <si>
    <t>输入差异：近1年收益、近3年收益、成立以来年化、近3年月胜率、近1年卡玛；横截面83条／314条，排名差异：早期收益排名、回撤排名、近期卡玛排名、早期卡玛排名</t>
  </si>
  <si>
    <t>输入差异：近1年收益、近3年收益、成立以来年化、近3年月胜率、近3年回撤、近1年卡玛；横截面83条／314条，排名差异：近1年收益排名、早期收益排名、回撤排名、近期卡玛排名</t>
  </si>
  <si>
    <t>输入差异：近1年收益、近3年收益、成立以来年化、近1年卡玛；横截面83条／314条，排名差异：早期收益排名、回撤排名、近期卡玛排名</t>
  </si>
  <si>
    <t>输入差异：近1年收益、近3年收益、成立以来年化、近1年月胜率、近3年月胜率、近1年卡玛；横截面83条／314条，排名差异：近1年收益排名、近期卡玛排名</t>
  </si>
  <si>
    <t>输入差异：近1年收益、近3年收益、成立以来年化、近3年月胜率、近1年卡玛；横截面83条／314条，排名差异：近1年收益排名、早期收益排名、回撤排名、近期卡玛排名、早期卡玛排名</t>
  </si>
  <si>
    <t>输入差异：近1年收益、近3年收益、成立以来年化、近3年月胜率、近1年卡玛；横截面83条／314条，排名差异：近1年收益排名、早期收益排名、回撤排名、近期卡玛排名</t>
  </si>
  <si>
    <t>输入差异：近1年收益、近3年收益、成立以来年化、近1年卡玛；横截面83条／314条，排名差异：近1年收益排名、早期收益排名</t>
  </si>
  <si>
    <t>输入差异：近1年收益、成立以来年化、近1年月胜率、近1年卡玛；有效权重不同，见权重折算影响；横截面83条／314条，排名差异：回撤排名、近期卡玛排名；评价日9月10日／对照缓存9月7日，影响存续期及早期收益</t>
  </si>
  <si>
    <t>输入差异：近1年收益、近3年收益、成立以来年化、近3年月胜率、近3年回撤、近1年卡玛；有效权重不同，见权重折算影响；横截面83条／314条，排名差异：近1年收益排名、早期收益排名、回撤排名、近期卡玛排名</t>
  </si>
  <si>
    <t>输入差异：近1年收益、近3年收益、成立以来年化、近1年月胜率、近1年卡玛；有效权重不同，见权重折算影响；横截面83条／314条，排名差异：近1年收益排名、早期收益排名、回撤排名、近期卡玛排名、早期卡玛排名</t>
  </si>
  <si>
    <t>输入差异：近1年收益、近3年收益、成立以来年化、近1年卡玛；横截面83条／314条，排名差异：回撤排名、近期卡玛排名</t>
  </si>
  <si>
    <t>输入差异：近1年收益、成立以来年化、近1年月胜率、近1年卡玛、管理人规模；有效权重不同，见权重折算影响；横截面83条／314条，排名差异：回撤排名；评价日9月10日／对照缓存9月7日，影响存续期及早期收益</t>
  </si>
  <si>
    <t>输入差异：近1年收益、近1年月胜率、近1年卡玛、管理人规模；有效权重不同，见权重折算影响；横截面83条／314条，排名差异：近1年收益排名、近期卡玛排名；评价日9月10日／对照缓存9月7日，影响存续期及早期收益</t>
  </si>
  <si>
    <t>输入差异：近1年收益、近3年收益、成立以来年化、近1年卡玛；横截面83条／314条，排名差异：回撤排名、近期卡玛排名、早期卡玛排名</t>
  </si>
  <si>
    <t>输入差异：近1年收益、成立以来年化、近1年卡玛；有效权重不同，见权重折算影响；横截面83条／314条，排名差异：回撤排名、近期卡玛排名；对照早期指标缓存含错误，见对照快照BJ列。总分仍按可用指标折算，未以错误单元格参与赋分。</t>
  </si>
  <si>
    <t>输入差异：近1年收益、近3年收益、成立以来年化、近1年月胜率、近3年月胜率、近3年回撤、近1年卡玛；有效权重不同，见权重折算影响；横截面83条／314条，排名差异：近1年收益排名、早期收益排名、回撤排名、近期卡玛排名</t>
  </si>
  <si>
    <t>输入差异：近1年收益、近3年收益、成立以来年化、近3年月胜率、近3年回撤、近1年卡玛；横截面83条／314条，排名差异：近1年收益排名、近期卡玛排名</t>
  </si>
  <si>
    <t>输入差异：近1年收益、近3年收益、成立以来年化、近3年月胜率、近1年卡玛；横截面83条／314条，排名差异：近1年收益排名、近期卡玛排名</t>
  </si>
  <si>
    <t>输入差异：近1年收益、近3年收益、成立以来年化、近1年卡玛；横截面83条／314条，排名差异：近1年收益排名、早期收益排名、回撤排名、近期卡玛排名</t>
  </si>
  <si>
    <t>输入差异：近1年收益、近3年收益、成立以来年化、近1年月胜率、近3年月胜率、近1年卡玛；横截面83条／314条，排名差异：近1年收益排名、早期收益排名、回撤排名、近期卡玛排名</t>
  </si>
  <si>
    <t>输入差异：近1年收益、近3年收益、成立以来年化、近1年月胜率、近3年月胜率、近1年卡玛；横截面83条／314条，排名差异：近1年收益排名、回撤排名、近期卡玛排名</t>
  </si>
  <si>
    <t>输入差异：近1年收益、成立以来年化、近1年月胜率、近1年卡玛；有效权重不同，见权重折算影响；横截面83条／314条，排名差异：近1年收益排名、回撤排名、近期卡玛排名；评价日9月10日／对照缓存9月7日，影响存续期及早期收益</t>
  </si>
  <si>
    <t>输入差异：近1年收益、成立以来年化；横截面83条／314条，排名差异：近1年收益排名、早期收益排名</t>
  </si>
  <si>
    <t>输入差异：近1年收益、近3年收益、成立以来年化、近3年月胜率、近1年卡玛；横截面83条／314条，排名差异：近1年收益排名、早期收益排名、回撤排名、早期卡玛排名</t>
  </si>
  <si>
    <t>输入差异：近1年收益、近3年收益、成立以来年化、近1年月胜率、近3年月胜率、近1年卡玛；横截面83条／314条，排名差异：回撤排名、早期卡玛排名</t>
  </si>
  <si>
    <t>输入差异：近1年收益、近3年收益、成立以来年化、近1年月胜率、近3年月胜率、近3年回撤、近1年卡玛；横截面83条／314条，排名差异：回撤排名、近期卡玛排名</t>
  </si>
  <si>
    <t>输入差异：近1年收益、近3年收益、成立以来年化、近1年月胜率、近3年月胜率、近1年卡玛；有效权重不同，见权重折算影响；横截面83条／314条，排名差异：近1年收益排名、早期收益排名、回撤排名、近期卡玛排名、早期卡玛排名</t>
  </si>
  <si>
    <t>输入差异：近1年收益、成立以来年化、近1年月胜率、近1年卡玛；有效权重不同，见权重折算影响；横截面83条／314条，排名差异：回撤排名、近期卡玛排名；对照早期指标缓存含错误，见对照快照BJ列。总分仍按可用指标折算，未以错误单元格参与赋分。</t>
  </si>
  <si>
    <t>输入差异：近1年收益、近3年收益、成立以来年化、近1年月胜率、近3年月胜率、近3年回撤、近1年卡玛；有效权重不同，见权重折算影响；横截面83条／314条，排名差异：回撤排名、近期卡玛排名、早期卡玛排名</t>
  </si>
  <si>
    <t>输入差异：近1年收益、近3年收益、成立以来年化、近1年月胜率、近3年月胜率、近3年回撤、近1年卡玛；有效权重不同，见权重折算影响</t>
  </si>
  <si>
    <t>输入差异：近1年收益、近3年收益、近1年月胜率、近3年月胜率、近3年回撤、近1年卡玛；有效权重不同，见权重折算影响；横截面83条／314条，排名差异：近1年收益排名、回撤排名、近期卡玛排名</t>
  </si>
  <si>
    <t>输入差异：近1年收益、近3年收益、成立以来年化、近3年月胜率、近1年卡玛；横截面83条／314条，排名差异：近1年收益排名、回撤排名、近期卡玛排名、早期卡玛排名</t>
  </si>
  <si>
    <t>输入差异：近1年收益、成立以来年化、近1年卡玛；有效权重不同，见权重折算影响；横截面83条／314条，排名差异：回撤排名、近期卡玛排名；评价日9月10日／对照缓存9月7日，影响存续期及早期收益</t>
  </si>
  <si>
    <t>输入差异：近1年收益、近3年收益、成立以来年化、近1年月胜率、近1年卡玛；横截面83条／314条，排名差异：近1年收益排名、早期收益排名、回撤排名、近期卡玛排名</t>
  </si>
  <si>
    <t>输入差异：近1年收益、成立以来年化、近1年卡玛；有效权重不同，见权重折算影响；横截面83条／314条，排名差异：近1年收益排名、回撤排名、近期卡玛排名；评价日9月10日／对照缓存9月7日，影响存续期及早期收益</t>
  </si>
  <si>
    <t>叶子指标</t>
  </si>
  <si>
    <t>本版得分</t>
  </si>
  <si>
    <t>对照得分</t>
  </si>
  <si>
    <t>本版加权贡献</t>
  </si>
  <si>
    <t>对照加权贡献</t>
  </si>
  <si>
    <t>加权贡献差</t>
  </si>
  <si>
    <t>本版指标值</t>
  </si>
  <si>
    <t>对照指标值</t>
  </si>
  <si>
    <t>比较说明</t>
  </si>
  <si>
    <t>缺失与零分分开。空白项贡献记0仅用于核对加权和，不把缺失指标赋0分。</t>
  </si>
  <si>
    <t>近1年收益排名</t>
  </si>
  <si>
    <t>横截面样本83条/314条；原始指标并列，不要求同名产品排名分相同。</t>
  </si>
  <si>
    <t>早期收益排名</t>
  </si>
  <si>
    <t>最大回撤排名</t>
  </si>
  <si>
    <t>近期卡玛排名</t>
  </si>
  <si>
    <t>早期卡玛排名</t>
  </si>
  <si>
    <t>管理规模区间（亿元，协会）</t>
  </si>
  <si>
    <t>管理规模下限（亿元）</t>
  </si>
  <si>
    <t>协会管理人全称</t>
  </si>
  <si>
    <t>管理人信息更新时间</t>
  </si>
  <si>
    <t>基金信息更新时间</t>
  </si>
  <si>
    <t>产品标识季度</t>
  </si>
  <si>
    <t>AMAC匹配状态</t>
  </si>
  <si>
    <t>汇总严格总分</t>
  </si>
  <si>
    <t>汇总可比总分</t>
  </si>
  <si>
    <t>汇总有效权重</t>
  </si>
  <si>
    <t>汇总加权总分</t>
  </si>
  <si>
    <t>参考文件</t>
  </si>
  <si>
    <t>对照原表错误定位</t>
  </si>
  <si>
    <t>对照缓存说明</t>
  </si>
  <si>
    <t>新视野智能量化2号</t>
  </si>
  <si>
    <t>SR2759</t>
  </si>
  <si>
    <t>入池</t>
  </si>
  <si>
    <t>无低于1000万元标识</t>
  </si>
  <si>
    <t>DD_long不可识别；</t>
  </si>
  <si>
    <t>新视野智能量化私募基金2号</t>
  </si>
  <si>
    <t>https://gs.amac.org.cn/amac-infodisc/res/pof/fund/351000611236.html</t>
  </si>
  <si>
    <t>已匹配</t>
  </si>
  <si>
    <t>私募基金_指标赋分(1).xlsx（2026-09-07缓存）</t>
  </si>
  <si>
    <t>探融新视野智能量化1号</t>
  </si>
  <si>
    <t>SL8089</t>
  </si>
  <si>
    <t>探融新视野智能量化私募证券投资基金1号</t>
  </si>
  <si>
    <t>https://gs.amac.org.cn/amac-infodisc/res/pof/fund/351000500099.html</t>
  </si>
  <si>
    <t>辉毅4号</t>
  </si>
  <si>
    <t>SM4445</t>
  </si>
  <si>
    <t>上海申毅投资</t>
  </si>
  <si>
    <t>上海申毅投资股份有限公司</t>
  </si>
  <si>
    <t>https://gs.amac.org.cn/amac-infodisc/res/pof/manager/101000000870.html</t>
  </si>
  <si>
    <t>https://gs.amac.org.cn/amac-infodisc/res/pof/fund/351000509057.html</t>
  </si>
  <si>
    <t>平凡悟鑫证券投资基金</t>
  </si>
  <si>
    <t>致同稳盈对冲私募基金</t>
  </si>
  <si>
    <t>哈福尊享一号</t>
  </si>
  <si>
    <t>ST3922</t>
  </si>
  <si>
    <t>哈福基金</t>
  </si>
  <si>
    <t>广东哈福私募证券投资基金管理有限公司</t>
  </si>
  <si>
    <t>https://gs.amac.org.cn/amac-infodisc/res/pof/manager/101000010078.html</t>
  </si>
  <si>
    <t>哈福尊享一号私募证券投资基金</t>
  </si>
  <si>
    <t>https://gs.amac.org.cn/amac-infodisc/res/pof/fund/1705180919103330.html</t>
  </si>
  <si>
    <t>远澜翠柏1号</t>
  </si>
  <si>
    <t>SS9088</t>
  </si>
  <si>
    <t>上海远澜</t>
  </si>
  <si>
    <t>上海远澜私募基金管理有限公司</t>
  </si>
  <si>
    <t>https://gs.amac.org.cn/amac-infodisc/res/pof/manager/101000022626.html</t>
  </si>
  <si>
    <t>远澜翠柏1号私募证券投资基金</t>
  </si>
  <si>
    <t>https://gs.amac.org.cn/amac-infodisc/res/pof/fund/1706161700107643.html</t>
  </si>
  <si>
    <t>擎丰1号</t>
  </si>
  <si>
    <t>SCS637</t>
  </si>
  <si>
    <t>上海擎丰</t>
  </si>
  <si>
    <t>上海擎丰私募基金管理有限公司</t>
  </si>
  <si>
    <t>https://gs.amac.org.cn/amac-infodisc/res/pof/manager/1707071820104466.html</t>
  </si>
  <si>
    <t>擎丰1号私募投资基金</t>
  </si>
  <si>
    <t>https://gs.amac.org.cn/amac-infodisc/res/pof/fund/1806141444102951.html</t>
  </si>
  <si>
    <t>新时代智能量化3号</t>
  </si>
  <si>
    <t>SEM001</t>
  </si>
  <si>
    <t>新时代智能量化3号私募投资基金</t>
  </si>
  <si>
    <t>https://gs.amac.org.cn/amac-infodisc/res/pof/fund/1811011729102590.html</t>
  </si>
  <si>
    <t>悬铃C号2期</t>
  </si>
  <si>
    <t>SGH303</t>
  </si>
  <si>
    <t>悬铃C号2期私募证券投资基金</t>
  </si>
  <si>
    <t>https://gs.amac.org.cn/amac-infodisc/res/pof/fund/1904291722104146.html</t>
  </si>
  <si>
    <t>爱凡哲九号私募证券投资基金</t>
  </si>
  <si>
    <t>恒如套利三号</t>
  </si>
  <si>
    <t>SGQ731</t>
  </si>
  <si>
    <t>上海恒如投资</t>
  </si>
  <si>
    <t>上海恒如投资管理有限公司</t>
  </si>
  <si>
    <t>https://gs.amac.org.cn/amac-infodisc/res/pof/manager/101000001221.html</t>
  </si>
  <si>
    <t>恒如套利三号私募证券投资基金</t>
  </si>
  <si>
    <t>https://gs.amac.org.cn/amac-infodisc/res/pof/fund/1910121042102347.html</t>
  </si>
  <si>
    <t>鹿秀驯鹿二号</t>
  </si>
  <si>
    <t>SGF269</t>
  </si>
  <si>
    <t>青岛鹿秀投资</t>
  </si>
  <si>
    <t>低于1000万元</t>
  </si>
  <si>
    <t>青岛鹿秀投资管理有限公司</t>
  </si>
  <si>
    <t>https://gs.amac.org.cn/amac-infodisc/res/pof/manager/1612231708101923.html</t>
  </si>
  <si>
    <t>鹿秀驯鹿二号私募证券投资基金</t>
  </si>
  <si>
    <t>2026年第2季度季度更新信息</t>
  </si>
  <si>
    <t>https://gs.amac.org.cn/amac-infodisc/res/pof/fund/1910231722102267.html</t>
  </si>
  <si>
    <t>本利达利磐一号</t>
  </si>
  <si>
    <t>SJF426</t>
  </si>
  <si>
    <t>深圳本利达资管</t>
  </si>
  <si>
    <t>深圳市本利达资产管理有限公司</t>
  </si>
  <si>
    <t>https://gs.amac.org.cn/amac-infodisc/res/pof/manager/101000028552.html</t>
  </si>
  <si>
    <t>本利达利磐一号私募证券投资基金</t>
  </si>
  <si>
    <t>https://gs.amac.org.cn/amac-infodisc/res/pof/fund/1911061732126237.html</t>
  </si>
  <si>
    <t>和熙新月1号</t>
  </si>
  <si>
    <t>SJG287</t>
  </si>
  <si>
    <t>浙江和熙资管</t>
  </si>
  <si>
    <t>浙江和熙资产管理有限公司</t>
  </si>
  <si>
    <t>https://gs.amac.org.cn/amac-infodisc/res/pof/manager/101000072213.html</t>
  </si>
  <si>
    <t>和熙新月1号私募证券投资基金</t>
  </si>
  <si>
    <t>https://gs.amac.org.cn/amac-infodisc/res/pof/fund/1911201726147441.html</t>
  </si>
  <si>
    <t>鹿秀统计套利1号</t>
  </si>
  <si>
    <t>SJJ138</t>
  </si>
  <si>
    <t>鹿秀统计套利1号私募证券基金</t>
  </si>
  <si>
    <t>https://gs.amac.org.cn/amac-infodisc/res/pof/fund/1912061240100295.html</t>
  </si>
  <si>
    <t>唐龙量化对冲99号私募证券投资基金</t>
  </si>
  <si>
    <t>凡德量化八号</t>
  </si>
  <si>
    <t>SJS811</t>
  </si>
  <si>
    <t>广东凡德投资</t>
  </si>
  <si>
    <t>广东凡德投资有限公司</t>
  </si>
  <si>
    <t>https://gs.amac.org.cn/amac-infodisc/res/pof/manager/101000000695.html</t>
  </si>
  <si>
    <t>凡德量化八号私募证券投资基金</t>
  </si>
  <si>
    <t>https://gs.amac.org.cn/amac-infodisc/res/pof/fund/2003030835104240.html</t>
  </si>
  <si>
    <t>百奕传家一号</t>
  </si>
  <si>
    <t>SJS027</t>
  </si>
  <si>
    <t>上海百奕投资</t>
  </si>
  <si>
    <t>上海百奕投资管理中心(有限合伙)</t>
  </si>
  <si>
    <t>https://gs.amac.org.cn/amac-infodisc/res/pof/manager/101000019935.html</t>
  </si>
  <si>
    <t>百奕传家一号私募证券投资基金</t>
  </si>
  <si>
    <t>https://gs.amac.org.cn/amac-infodisc/res/pof/fund/2003301654103531.html</t>
  </si>
  <si>
    <t>蒙森斯道特恒星三号</t>
  </si>
  <si>
    <t>SJM626</t>
  </si>
  <si>
    <t>上海蒙森投资</t>
  </si>
  <si>
    <t>蒙森(上海)投资管理有限公司</t>
  </si>
  <si>
    <t>https://gs.amac.org.cn/amac-infodisc/res/pof/manager/101000010726.html</t>
  </si>
  <si>
    <t>蒙森斯道特恒星三号私募证券投资基金</t>
  </si>
  <si>
    <t>https://gs.amac.org.cn/amac-infodisc/res/pof/fund/2004141727126733.html</t>
  </si>
  <si>
    <t>银瓴运通对冲套利致远3号</t>
  </si>
  <si>
    <t>SLC023</t>
  </si>
  <si>
    <t>广西银瓴资产</t>
  </si>
  <si>
    <t>广西银瓴资产管理有限公司</t>
  </si>
  <si>
    <t>https://gs.amac.org.cn/amac-infodisc/res/pof/manager/101000035485.html</t>
  </si>
  <si>
    <t>银瓴运通对冲套利致远3号私募证券投资基金</t>
  </si>
  <si>
    <t>https://gs.amac.org.cn/amac-infodisc/res/pof/fund/2006181800104261.html</t>
  </si>
  <si>
    <t>银瓴运通对冲套利进取2号</t>
  </si>
  <si>
    <t>SLC022</t>
  </si>
  <si>
    <t>银瓴运通对冲套利进取2号私募证券投资基金</t>
  </si>
  <si>
    <t>https://gs.amac.org.cn/amac-infodisc/res/pof/fund/2006192211107635.html</t>
  </si>
  <si>
    <t>铭杉量化稳健5号私募证券投资基金</t>
  </si>
  <si>
    <t>数为道策套利一号私募证券投资基金</t>
  </si>
  <si>
    <t>犇牛稳进3号</t>
  </si>
  <si>
    <t>SNE543</t>
  </si>
  <si>
    <t>上海犇牛</t>
  </si>
  <si>
    <t>上海犇牛私募基金管理有限公司</t>
  </si>
  <si>
    <t>https://gs.amac.org.cn/amac-infodisc/res/pof/manager/101000013203.html</t>
  </si>
  <si>
    <t>犇牛稳进3号私募证券投资基金</t>
  </si>
  <si>
    <t>https://gs.amac.org.cn/amac-infodisc/res/pof/fund/2011121710129780.html</t>
  </si>
  <si>
    <t>致同云峰A</t>
  </si>
  <si>
    <t>SNB380</t>
  </si>
  <si>
    <t>致同云峰A私募证券投资基金</t>
  </si>
  <si>
    <t>https://gs.amac.org.cn/amac-infodisc/res/pof/fund/2011161541105858.html</t>
  </si>
  <si>
    <t>橡杉量化套利十号</t>
  </si>
  <si>
    <t>SLY435</t>
  </si>
  <si>
    <t>上海橡杉资管</t>
  </si>
  <si>
    <t>上海橡杉资产管理有限公司</t>
  </si>
  <si>
    <t>https://gs.amac.org.cn/amac-infodisc/res/pof/manager/1609080127100430.html</t>
  </si>
  <si>
    <t>橡杉量化套利十号私募证券投资基金</t>
  </si>
  <si>
    <t>https://gs.amac.org.cn/amac-infodisc/res/pof/fund/2012021816130867.html</t>
  </si>
  <si>
    <t>裕锦量化专享1号私募证券投资基金</t>
  </si>
  <si>
    <t>杭州探融-锦鲤智能量化3号私募证券投资基金</t>
  </si>
  <si>
    <t>平凡笃行君享</t>
  </si>
  <si>
    <t>SQD327</t>
  </si>
  <si>
    <t>平凡笃行君享私募证券投资基金</t>
  </si>
  <si>
    <t>https://gs.amac.org.cn/amac-infodisc/res/pof/fund/2105121734101958.html</t>
  </si>
  <si>
    <t>银瓴运通稳健1号五期</t>
  </si>
  <si>
    <t>SNW762</t>
  </si>
  <si>
    <t>银瓴运通稳健1号私募证券投资基金五期</t>
  </si>
  <si>
    <t>https://gs.amac.org.cn/amac-infodisc/res/pof/fund/2105191744101833.html</t>
  </si>
  <si>
    <t>荣熙商品1号</t>
  </si>
  <si>
    <t>SQS292</t>
  </si>
  <si>
    <t>上海荣熙</t>
  </si>
  <si>
    <t>上海荣熙私募基金管理有限公司</t>
  </si>
  <si>
    <t>https://gs.amac.org.cn/amac-infodisc/res/pof/manager/101000027208.html</t>
  </si>
  <si>
    <t>荣熙商品1号私募证券投资基金</t>
  </si>
  <si>
    <t>https://gs.amac.org.cn/amac-infodisc/res/pof/fund/2106221011108981.html</t>
  </si>
  <si>
    <t>银瓴多德价值投资1号</t>
  </si>
  <si>
    <t>SQV390</t>
  </si>
  <si>
    <t>银瓴多德价值投资1号私募证券投资基金</t>
  </si>
  <si>
    <t>https://gs.amac.org.cn/amac-infodisc/res/pof/fund/2107081734103311.html</t>
  </si>
  <si>
    <t>银瓴运通对冲套利宝城6号</t>
  </si>
  <si>
    <t>SQU465</t>
  </si>
  <si>
    <t>银瓴运通对冲套利宝城6号私募证券投资基金</t>
  </si>
  <si>
    <t>https://gs.amac.org.cn/amac-infodisc/res/pof/fund/2107201405108222.html</t>
  </si>
  <si>
    <t>银瓴运通对冲套利进取2号二期</t>
  </si>
  <si>
    <t>SQZ278</t>
  </si>
  <si>
    <t>银瓴运通对冲套利进取2号私募证券投资基金二期</t>
  </si>
  <si>
    <t>https://gs.amac.org.cn/amac-infodisc/res/pof/fund/2107201405108177.html</t>
  </si>
  <si>
    <t>福邑共赢一号</t>
  </si>
  <si>
    <t>SSB040</t>
  </si>
  <si>
    <t>上海福邑</t>
  </si>
  <si>
    <t>上海福邑私募基金管理有限公司</t>
  </si>
  <si>
    <t>https://gs.amac.org.cn/amac-infodisc/res/pof/manager/1710271949105945.html</t>
  </si>
  <si>
    <t>福邑共赢一号私募证券投资基金</t>
  </si>
  <si>
    <t>https://gs.amac.org.cn/amac-infodisc/res/pof/fund/2108261802107823.html</t>
  </si>
  <si>
    <t>银瓴汇金6号</t>
  </si>
  <si>
    <t>SSN446</t>
  </si>
  <si>
    <t>银瓴汇金6号私募证券投资基金</t>
  </si>
  <si>
    <t>https://gs.amac.org.cn/amac-infodisc/res/pof/fund/2109061712115673.html</t>
  </si>
  <si>
    <t>岳皋泰山核心一号</t>
  </si>
  <si>
    <t>SSH674</t>
  </si>
  <si>
    <t>上海岳皋投资</t>
  </si>
  <si>
    <t>上海岳皋投资管理有限公司</t>
  </si>
  <si>
    <t>https://gs.amac.org.cn/amac-infodisc/res/pof/manager/1812180906104012.html</t>
  </si>
  <si>
    <t>岳皋泰山核心一号私募证券投资基金</t>
  </si>
  <si>
    <t>https://gs.amac.org.cn/amac-infodisc/res/pof/fund/2109101536101557.html</t>
  </si>
  <si>
    <t>龙帆恒盛稳固8号</t>
  </si>
  <si>
    <t>SSU654</t>
  </si>
  <si>
    <t>龙帆恒盛稳固8号私募证券投资基金</t>
  </si>
  <si>
    <t>https://gs.amac.org.cn/amac-infodisc/res/pof/fund/2109231448100717.html</t>
  </si>
  <si>
    <t>龙帆恒盛稳固9号私募证券投资基金</t>
  </si>
  <si>
    <t>中安鼎盛善行可转债1号</t>
  </si>
  <si>
    <t>STH005</t>
  </si>
  <si>
    <t>深圳中安鼎盛</t>
  </si>
  <si>
    <t>中安鼎盛(深圳)私募证券投资基金管理有限公司</t>
  </si>
  <si>
    <t>https://gs.amac.org.cn/amac-infodisc/res/pof/manager/1807021606107284.html</t>
  </si>
  <si>
    <t>中安鼎盛善行可转债1号私募证券投资基金</t>
  </si>
  <si>
    <t>https://gs.amac.org.cn/amac-infodisc/res/pof/fund/2112061843108745.html</t>
  </si>
  <si>
    <t>九招真格量化商品套利一号</t>
  </si>
  <si>
    <t>STK200</t>
  </si>
  <si>
    <t>九招真格量化商品套利一号私募证券投资基金</t>
  </si>
  <si>
    <t>https://gs.amac.org.cn/amac-infodisc/res/pof/fund/2112202208108154.html</t>
  </si>
  <si>
    <t>博润小牛3号私募证券投资基金</t>
  </si>
  <si>
    <t>银杏善投1号</t>
  </si>
  <si>
    <t>STK219</t>
  </si>
  <si>
    <t>上海银杏</t>
  </si>
  <si>
    <t>上海银杏私募基金管理有限公司</t>
  </si>
  <si>
    <t>https://gs.amac.org.cn/amac-infodisc/res/pof/manager/2105100905108445.html</t>
  </si>
  <si>
    <t>银杏善投1号私募证券投资基金</t>
  </si>
  <si>
    <t>https://gs.amac.org.cn/amac-infodisc/res/pof/fund/2203111741100604.html</t>
  </si>
  <si>
    <t>悬铃C号9期</t>
  </si>
  <si>
    <t>SVH343</t>
  </si>
  <si>
    <t>悬铃C号9期私募证券投资基金</t>
  </si>
  <si>
    <t>https://gs.amac.org.cn/amac-infodisc/res/pof/fund/2204271846104957.html</t>
  </si>
  <si>
    <t>爱凡哲AH多空1号</t>
  </si>
  <si>
    <t>SVM785</t>
  </si>
  <si>
    <t>爱凡哲AH多空1号私募证券投资基金</t>
  </si>
  <si>
    <t>https://gs.amac.org.cn/amac-infodisc/res/pof/fund/2204271846105720.html</t>
  </si>
  <si>
    <t>钧誉酬勤量化3号</t>
  </si>
  <si>
    <t>SVP121</t>
  </si>
  <si>
    <t>钧誉酬勤量化3号私募证券投资基金</t>
  </si>
  <si>
    <t>https://gs.amac.org.cn/amac-infodisc/res/pof/fund/2205121655102793.html</t>
  </si>
  <si>
    <t>汇富联合日盈12号</t>
  </si>
  <si>
    <t>SVQ519</t>
  </si>
  <si>
    <t>深圳前海汇富联合</t>
  </si>
  <si>
    <t>深圳前海汇富联合私募证券基金管理有限公司</t>
  </si>
  <si>
    <t>https://gs.amac.org.cn/amac-infodisc/res/pof/manager/101000012095.html</t>
  </si>
  <si>
    <t>汇富联合日盈12号私募证券投资基金</t>
  </si>
  <si>
    <t>https://gs.amac.org.cn/amac-infodisc/res/pof/fund/2205111752107815.html</t>
  </si>
  <si>
    <t>融相慎远一号</t>
  </si>
  <si>
    <t>SVK536</t>
  </si>
  <si>
    <t>海南融相</t>
  </si>
  <si>
    <t>海南融相私募基金管理有限公司</t>
  </si>
  <si>
    <t>https://gs.amac.org.cn/amac-infodisc/res/pof/manager/2111241451102645.html</t>
  </si>
  <si>
    <t>融相慎远一号私募证券投资基金</t>
  </si>
  <si>
    <t>https://gs.amac.org.cn/amac-infodisc/res/pof/fund/2205181829100640.html</t>
  </si>
  <si>
    <t>晨翰11号私募证券投资基金</t>
  </si>
  <si>
    <t>致同添利套利多策略三期</t>
  </si>
  <si>
    <t>STY632</t>
  </si>
  <si>
    <t>致同添利套利多策略三期私募证券投资基金</t>
  </si>
  <si>
    <t>https://gs.amac.org.cn/amac-infodisc/res/pof/fund/2208021712112777.html</t>
  </si>
  <si>
    <t>博牛转债策略2号私募证券投资基金</t>
  </si>
  <si>
    <t>银瓴运通致远3号五期</t>
  </si>
  <si>
    <t>SXF666</t>
  </si>
  <si>
    <t>银瓴运通致远3号私募证券投资基金五期</t>
  </si>
  <si>
    <t>https://gs.amac.org.cn/amac-infodisc/res/pof/fund/2209051807103258.html</t>
  </si>
  <si>
    <t>汉盛浩远1号</t>
  </si>
  <si>
    <t>SXE156</t>
  </si>
  <si>
    <t>上海汉鸿</t>
  </si>
  <si>
    <t>上海汉鸿私募基金管理有限公司</t>
  </si>
  <si>
    <t>https://gs.amac.org.cn/amac-infodisc/res/pof/manager/2108171651109816.html</t>
  </si>
  <si>
    <t>汉盛浩远1号私募证券投资基金</t>
  </si>
  <si>
    <t>https://gs.amac.org.cn/amac-infodisc/res/pof/fund/2209131707102448.html</t>
  </si>
  <si>
    <t>泽盈毅明1号</t>
  </si>
  <si>
    <t>STP012</t>
  </si>
  <si>
    <t>青岛泽盈资管</t>
  </si>
  <si>
    <t>青岛泽盈资产管理有限公司</t>
  </si>
  <si>
    <t>https://gs.amac.org.cn/amac-infodisc/res/pof/manager/1710271352104113.html</t>
  </si>
  <si>
    <t>泽盈毅明1号私募证券投资基金</t>
  </si>
  <si>
    <t>https://gs.amac.org.cn/amac-infodisc/res/pof/fund/2210211605104676.html</t>
  </si>
  <si>
    <t>银杏善利3号</t>
  </si>
  <si>
    <t>SXN943</t>
  </si>
  <si>
    <t>银杏善利3号私募证券投资基金</t>
  </si>
  <si>
    <t>https://gs.amac.org.cn/amac-infodisc/res/pof/fund/2210241718105120.html</t>
  </si>
  <si>
    <t>银杏善利6号</t>
  </si>
  <si>
    <t>SXS440</t>
  </si>
  <si>
    <t>银杏善利6号私募证券投资基金</t>
  </si>
  <si>
    <t>https://gs.amac.org.cn/amac-infodisc/res/pof/fund/2211161803111351.html</t>
  </si>
  <si>
    <t>博润易量稳健1号私募证券投资基金</t>
  </si>
  <si>
    <t>金麦穗卓诚一号</t>
  </si>
  <si>
    <t>SXU186</t>
  </si>
  <si>
    <t>山东金麦穗</t>
  </si>
  <si>
    <t>金麦穗(山东)私募基金管理有限公司</t>
  </si>
  <si>
    <t>https://gs.amac.org.cn/amac-infodisc/res/pof/manager/101000032909.html</t>
  </si>
  <si>
    <t>金麦穗卓诚一号私募证券投资基金</t>
  </si>
  <si>
    <t>https://gs.amac.org.cn/amac-infodisc/res/pof/fund/2212081848110819.html</t>
  </si>
  <si>
    <t>慕途稳健2号</t>
  </si>
  <si>
    <t>SXW938</t>
  </si>
  <si>
    <t>慕途稳健2号私募证券投资基金</t>
  </si>
  <si>
    <t>https://gs.amac.org.cn/amac-infodisc/res/pof/fund/2212152201105746.html</t>
  </si>
  <si>
    <t>方普安享二号</t>
  </si>
  <si>
    <t>SXY895</t>
  </si>
  <si>
    <t>珠海横琴方普</t>
  </si>
  <si>
    <t>原表 VALUE 错误</t>
  </si>
  <si>
    <t>珠海横琴方普私募基金管理有限公司</t>
  </si>
  <si>
    <t>https://gs.amac.org.cn/amac-infodisc/res/pof/manager/1804051826107605.html</t>
  </si>
  <si>
    <t>方普安享二号私募证券投资基金</t>
  </si>
  <si>
    <t>https://gs.amac.org.cn/amac-infodisc/res/pof/fund/2212271123105087.html</t>
  </si>
  <si>
    <t>sheet2-计算明细：P77、R77、S77、AE77、AF77、AH77、AI77、AU77</t>
  </si>
  <si>
    <t>原文件缓存错误，未改动原文件。快照保留文本说明，评分仅采用其有效分值。</t>
  </si>
  <si>
    <t>佳泽信享5号</t>
  </si>
  <si>
    <t>SZC395</t>
  </si>
  <si>
    <t>佳泽信享5号私募证券投资基金</t>
  </si>
  <si>
    <t>https://gs.amac.org.cn/amac-infodisc/res/pof/fund/2301171711103586.html</t>
  </si>
  <si>
    <t>衍舟弄潮2号</t>
  </si>
  <si>
    <t>SZG044</t>
  </si>
  <si>
    <t>海南衍舟</t>
  </si>
  <si>
    <t>衍舟(海南)私募基金管理有限公司</t>
  </si>
  <si>
    <t>https://gs.amac.org.cn/amac-infodisc/res/pof/manager/2203211010108428.html</t>
  </si>
  <si>
    <t>衍舟弄潮2号私募证券投资基金</t>
  </si>
  <si>
    <t>https://gs.amac.org.cn/amac-infodisc/res/pof/fund/2302071705107356.html</t>
  </si>
  <si>
    <t>银瓴汇金1号</t>
  </si>
  <si>
    <t>SZP369</t>
  </si>
  <si>
    <t>银瓴汇金1号私募证券投资基金</t>
  </si>
  <si>
    <t>https://gs.amac.org.cn/amac-infodisc/res/pof/fund/2303281704112220.html</t>
  </si>
  <si>
    <t>砚博乘风量化14号</t>
  </si>
  <si>
    <t>SZN225</t>
  </si>
  <si>
    <t>深圳前海砚博乘风资管</t>
  </si>
  <si>
    <t>深圳前海砚博乘风资产管理有限公司</t>
  </si>
  <si>
    <t>https://gs.amac.org.cn/amac-infodisc/res/pof/manager/101000062862.html</t>
  </si>
  <si>
    <t>砚博乘风量化14号私募证券投资基金</t>
  </si>
  <si>
    <t>https://gs.amac.org.cn/amac-infodisc/res/pof/fund/2304031854111883.html</t>
  </si>
  <si>
    <t>平凡凡响二号私募证券投资基金</t>
  </si>
  <si>
    <t>银瓴鑫源</t>
  </si>
  <si>
    <t>S04011</t>
  </si>
  <si>
    <t>银瓴鑫源私募证券投资基金</t>
  </si>
  <si>
    <t>https://gs.amac.org.cn/amac-infodisc/res/pof/fund/2305191101101514.html</t>
  </si>
  <si>
    <t>sheet2-计算明细：P83、R83、S83、AE83、AF83、AH83、AI83、AU83</t>
  </si>
  <si>
    <t>鑫泰禾汇投1号</t>
  </si>
  <si>
    <t>SZP735</t>
  </si>
  <si>
    <t>深圳鑫泰禾</t>
  </si>
  <si>
    <t>深圳鑫泰禾私募证券投资基金管理有限公司</t>
  </si>
  <si>
    <t>https://gs.amac.org.cn/amac-infodisc/res/pof/manager/101000041857.html</t>
  </si>
  <si>
    <t>鑫泰禾汇投1号私募证券投资基金</t>
  </si>
  <si>
    <t>https://gs.amac.org.cn/amac-infodisc/res/pof/fund/2305191728101923.html</t>
  </si>
  <si>
    <t>金和和善对冲5号</t>
  </si>
  <si>
    <t>SZX748</t>
  </si>
  <si>
    <t>上海金和晟</t>
  </si>
  <si>
    <t>上海金和晟私募基金管理有限公司</t>
  </si>
  <si>
    <t>https://gs.amac.org.cn/amac-infodisc/res/pof/manager/2010280957108370.html</t>
  </si>
  <si>
    <t>金和和善对冲5号私募证券投资基金</t>
  </si>
  <si>
    <t>https://gs.amac.org.cn/amac-infodisc/res/pof/fund/2305251549108521.html</t>
  </si>
  <si>
    <t>银瓴汇金3号</t>
  </si>
  <si>
    <t>S03979</t>
  </si>
  <si>
    <t>银瓴汇金3号私募证券投资基金</t>
  </si>
  <si>
    <t>https://gs.amac.org.cn/amac-infodisc/res/pof/fund/2305291055109569.html</t>
  </si>
  <si>
    <t>短期卡玛；DD_long不可识别；</t>
  </si>
  <si>
    <t>奶酪鑫鑫宝二号私募证券投资基金</t>
  </si>
  <si>
    <t>岳皋泰山核心一号B类</t>
  </si>
  <si>
    <t>SH674B</t>
  </si>
  <si>
    <t>产品未匹配，管理人已按名称补录</t>
  </si>
  <si>
    <t>韵之嘉益</t>
  </si>
  <si>
    <t>SB1775</t>
  </si>
  <si>
    <t>北京韵之</t>
  </si>
  <si>
    <t>北京韵之私募基金管理有限公司</t>
  </si>
  <si>
    <t>https://gs.amac.org.cn/amac-infodisc/res/pof/manager/1609291216100602.html</t>
  </si>
  <si>
    <t>韵之嘉益私募证券投资基金</t>
  </si>
  <si>
    <t>https://gs.amac.org.cn/amac-infodisc/res/pof/fund/2308101835106229.html</t>
  </si>
  <si>
    <t>杨湜套利1号</t>
  </si>
  <si>
    <t>SB6565</t>
  </si>
  <si>
    <t>上海杨湜投资</t>
  </si>
  <si>
    <t>上海杨湜资产管理中心(有限合伙)</t>
  </si>
  <si>
    <t>https://gs.amac.org.cn/amac-infodisc/res/pof/manager/101000070776.html</t>
  </si>
  <si>
    <t>杨湜套利1号私募证券投资基金</t>
  </si>
  <si>
    <t>https://gs.amac.org.cn/amac-infodisc/res/pof/fund/2308231811111489.html</t>
  </si>
  <si>
    <t>奶酪平价套利稳健一号</t>
  </si>
  <si>
    <t>SAAS17</t>
  </si>
  <si>
    <t>奶酪平价套利稳健一号私募证券投资基金</t>
  </si>
  <si>
    <t>https://gs.amac.org.cn/amac-infodisc/res/pof/fund/2309041554106885.html</t>
  </si>
  <si>
    <t>sheet2-计算明细：P91、R91、S91、AE91、AF91、AH91、AI91、AU91</t>
  </si>
  <si>
    <t>银万财派恒星套利1号</t>
  </si>
  <si>
    <t>SB7490</t>
  </si>
  <si>
    <t>浙江银万</t>
  </si>
  <si>
    <t>浙江银万私募基金管理有限公司</t>
  </si>
  <si>
    <t>https://gs.amac.org.cn/amac-infodisc/res/pof/manager/101000005988.html</t>
  </si>
  <si>
    <t>银万财派恒星套利1号私募证券投资基金</t>
  </si>
  <si>
    <t>https://gs.amac.org.cn/amac-infodisc/res/pof/fund/2309061045107529.html</t>
  </si>
  <si>
    <t>佳泽信享5号B类</t>
  </si>
  <si>
    <t>ZC395B</t>
  </si>
  <si>
    <t>sheet2-计算明细：P94、R94、S94、AE94、AF94、AH94、AI94、AU94</t>
  </si>
  <si>
    <t>鋆晟衡泰进取1号</t>
  </si>
  <si>
    <t>SB4982</t>
  </si>
  <si>
    <t>上海鋆晟投资</t>
  </si>
  <si>
    <t>R_incep；近三年收益；近三年胜率；近三年回撤；</t>
  </si>
  <si>
    <t>上海鋆晟投资管理有限公司</t>
  </si>
  <si>
    <t>https://gs.amac.org.cn/amac-infodisc/res/pof/manager/101000039679.html</t>
  </si>
  <si>
    <t>鋆晟衡泰进取1号私募证券投资基金</t>
  </si>
  <si>
    <t>https://gs.amac.org.cn/amac-infodisc/res/pof/fund/2309271703101145.html</t>
  </si>
  <si>
    <t>嘉和传承精研倍赢一期</t>
  </si>
  <si>
    <t>SACJ77</t>
  </si>
  <si>
    <t>嘉和传承精研倍赢一期私募证券投资基金</t>
  </si>
  <si>
    <t>https://gs.amac.org.cn/amac-infodisc/res/pof/fund/2311201000109695.html</t>
  </si>
  <si>
    <t>嘉和传承精研倍赢一期A类</t>
  </si>
  <si>
    <t>ACJ77A</t>
  </si>
  <si>
    <t>广联宏丰利1号私募证券投资基金</t>
  </si>
  <si>
    <t>简文长风1号</t>
  </si>
  <si>
    <t>SAFF81</t>
  </si>
  <si>
    <t>上海简文</t>
  </si>
  <si>
    <t>上海简文私募基金管理有限公司</t>
  </si>
  <si>
    <t>https://gs.amac.org.cn/amac-infodisc/res/pof/manager/101000033419.html</t>
  </si>
  <si>
    <t>简文长风1号私募证券投资基金</t>
  </si>
  <si>
    <t>https://gs.amac.org.cn/amac-infodisc/res/pof/fund/2403251659102187.html</t>
  </si>
  <si>
    <t>巨量边界ETF对冲1号</t>
  </si>
  <si>
    <t>SAGT43</t>
  </si>
  <si>
    <t>北京巨量边界</t>
  </si>
  <si>
    <t>北京巨量边界私募基金管理有限公司</t>
  </si>
  <si>
    <t>https://gs.amac.org.cn/amac-infodisc/res/pof/manager/2107271706122405.html</t>
  </si>
  <si>
    <t>巨量边界ETF对冲1号私募证券投资基金</t>
  </si>
  <si>
    <t>https://gs.amac.org.cn/amac-infodisc/res/pof/fund/2404030958107001.html</t>
  </si>
  <si>
    <t>慕途商品套利1号私募证券投资基金</t>
  </si>
  <si>
    <t>远澜冬青跨境套利1号</t>
  </si>
  <si>
    <t>SAHU42</t>
  </si>
  <si>
    <t>远澜冬青跨境套利1号私募证券投资基金</t>
  </si>
  <si>
    <t>https://gs.amac.org.cn/amac-infodisc/res/pof/fund/2404091900108594.html</t>
  </si>
  <si>
    <t>唐德幽兰量化套利一号私募证券投资基金</t>
  </si>
  <si>
    <t>广联宏长青树2号</t>
  </si>
  <si>
    <t>SAEJ83</t>
  </si>
  <si>
    <t>广联宏长青树2号私募证券投资基金</t>
  </si>
  <si>
    <t>https://gs.amac.org.cn/amac-infodisc/res/pof/fund/2405140854108785.html</t>
  </si>
  <si>
    <t>宽辅优享1号</t>
  </si>
  <si>
    <t>SAKB02</t>
  </si>
  <si>
    <t>海南宽辅</t>
  </si>
  <si>
    <t>海南宽辅私募基金管理合伙企业(有限合伙)</t>
  </si>
  <si>
    <t>https://gs.amac.org.cn/amac-infodisc/res/pof/manager/2302271449102202.html</t>
  </si>
  <si>
    <t>宽辅优享1号私募证券投资基金</t>
  </si>
  <si>
    <t>https://gs.amac.org.cn/amac-infodisc/res/pof/fund/2405091231105978.html</t>
  </si>
  <si>
    <t>博普安兴私享一号B类</t>
  </si>
  <si>
    <t>AHS76B</t>
  </si>
  <si>
    <t>深圳前海博普资管</t>
  </si>
  <si>
    <t>深圳前海博普资产管理有限公司</t>
  </si>
  <si>
    <t>https://gs.amac.org.cn/amac-infodisc/res/pof/manager/1709041706102598.html</t>
  </si>
  <si>
    <t>龙智福星</t>
  </si>
  <si>
    <t>SALD19</t>
  </si>
  <si>
    <t>广州龙智投资</t>
  </si>
  <si>
    <t>广州市龙智投资管理有限公司</t>
  </si>
  <si>
    <t>https://gs.amac.org.cn/amac-infodisc/res/pof/manager/1704141230109314.html</t>
  </si>
  <si>
    <t>龙智福星私募证券投资基金</t>
  </si>
  <si>
    <t>https://gs.amac.org.cn/amac-infodisc/res/pof/fund/2406171923109797.html</t>
  </si>
  <si>
    <t>嘉和传承精研倍赢二期A类</t>
  </si>
  <si>
    <t>AJV57A</t>
  </si>
  <si>
    <t>利恩华龙股票进取一号</t>
  </si>
  <si>
    <t>SALW01</t>
  </si>
  <si>
    <t>上海利恩</t>
  </si>
  <si>
    <t>上海利恩私募基金管理有限公司</t>
  </si>
  <si>
    <t>https://gs.amac.org.cn/amac-infodisc/res/pof/manager/101000031741.html</t>
  </si>
  <si>
    <t>利恩华龙股票进取一号私募证券投资基金</t>
  </si>
  <si>
    <t>https://gs.amac.org.cn/amac-infodisc/res/pof/fund/2408261734100092.html</t>
  </si>
  <si>
    <t>博普安兴私享一号A类</t>
  </si>
  <si>
    <t>AHS76A</t>
  </si>
  <si>
    <t>鑫泰禾安赢1号</t>
  </si>
  <si>
    <t>SAQB15</t>
  </si>
  <si>
    <t>鑫泰禾安赢1号私募证券投资基金</t>
  </si>
  <si>
    <t>https://gs.amac.org.cn/amac-infodisc/res/pof/fund/2410291900108187.html</t>
  </si>
  <si>
    <t>慕途盈川1号私募证券投资基金</t>
  </si>
  <si>
    <t>根鸟利恩稳健套利二号</t>
  </si>
  <si>
    <t>SARN68</t>
  </si>
  <si>
    <t>根鸟利恩稳健套利二号私募证券投资基金</t>
  </si>
  <si>
    <t>https://gs.amac.org.cn/amac-infodisc/res/pof/fund/2412111450104834.html</t>
  </si>
  <si>
    <t>唐德幽兰量化套利一号A类</t>
  </si>
  <si>
    <t>AHM04A</t>
  </si>
  <si>
    <t>启元高粱2号</t>
  </si>
  <si>
    <t>SZW093</t>
  </si>
  <si>
    <t>温州启元资管</t>
  </si>
  <si>
    <t>温州启元资产管理有限公司</t>
  </si>
  <si>
    <t>https://gs.amac.org.cn/amac-infodisc/res/pof/manager/101000016432.html</t>
  </si>
  <si>
    <t>启元高粱2号私募证券投资基金</t>
  </si>
  <si>
    <t>https://gs.amac.org.cn/amac-infodisc/res/pof/fund/2412181712104964.html</t>
  </si>
  <si>
    <t>六妙星滚雪粒1号</t>
  </si>
  <si>
    <t>SASB96</t>
  </si>
  <si>
    <t>北京六妙星</t>
  </si>
  <si>
    <t>六妙星(北京)私募基金管理有限公司</t>
  </si>
  <si>
    <t>https://gs.amac.org.cn/amac-infodisc/res/pof/manager/2012211324102340.html</t>
  </si>
  <si>
    <t>六妙星滚雪粒1号私募证券投资基金</t>
  </si>
  <si>
    <t>https://gs.amac.org.cn/amac-infodisc/res/pof/fund/2412311133107562.html</t>
  </si>
  <si>
    <t>纵帆禾裕二号</t>
  </si>
  <si>
    <t>SASG02</t>
  </si>
  <si>
    <t>海南纵帆</t>
  </si>
  <si>
    <t>海南纵帆私募基金管理有限公司</t>
  </si>
  <si>
    <t>https://gs.amac.org.cn/amac-infodisc/res/pof/manager/2010291454105615.html</t>
  </si>
  <si>
    <t>纵帆禾裕二号私募证券投资基金</t>
  </si>
  <si>
    <t>https://gs.amac.org.cn/amac-infodisc/res/pof/fund/2412261646108609.html</t>
  </si>
  <si>
    <t>纵帆禾裕一号</t>
  </si>
  <si>
    <t>SARX48</t>
  </si>
  <si>
    <t>纵帆禾裕一号私募证券投资基金</t>
  </si>
  <si>
    <t>https://gs.amac.org.cn/amac-infodisc/res/pof/fund/2501061019107429.html</t>
  </si>
  <si>
    <t>广联宏稳健2号私募证券投资基金</t>
  </si>
  <si>
    <t>濡圣橡石2号</t>
  </si>
  <si>
    <t>SATY96</t>
  </si>
  <si>
    <t>上海濡圣</t>
  </si>
  <si>
    <t>上海濡圣私募基金管理有限公司</t>
  </si>
  <si>
    <t>https://gs.amac.org.cn/amac-infodisc/res/pof/manager/101000050489.html</t>
  </si>
  <si>
    <t>濡圣橡石2号私募证券投资基金</t>
  </si>
  <si>
    <t>https://gs.amac.org.cn/amac-infodisc/res/pof/fund/2502241929109266.html</t>
  </si>
  <si>
    <t>九木套利1号</t>
  </si>
  <si>
    <t>SAXN78</t>
  </si>
  <si>
    <t>九木套利1号私募证券投资基金</t>
  </si>
  <si>
    <t>https://gs.amac.org.cn/amac-infodisc/res/pof/fund/2504251101107555.html</t>
  </si>
  <si>
    <t>邦阁赤水1号</t>
  </si>
  <si>
    <t>SAYN63</t>
  </si>
  <si>
    <t>上海邦阁</t>
  </si>
  <si>
    <t>上海邦阁私募基金管理有限公司</t>
  </si>
  <si>
    <t>https://gs.amac.org.cn/amac-infodisc/res/pof/manager/101000026158.html</t>
  </si>
  <si>
    <t>邦阁赤水1号私募证券投资基金</t>
  </si>
  <si>
    <t>https://gs.amac.org.cn/amac-infodisc/res/pof/fund/2506041444104018.html</t>
  </si>
  <si>
    <t>嘉和传承如期而至二期A类</t>
  </si>
  <si>
    <t>AYU55A</t>
  </si>
  <si>
    <t>龙智五福</t>
  </si>
  <si>
    <t>SAZX46</t>
  </si>
  <si>
    <t>龙智五福私募证券投资基金</t>
  </si>
  <si>
    <t>https://gs.amac.org.cn/amac-infodisc/res/pof/fund/2506271924100188.html</t>
  </si>
  <si>
    <t>六妙星彩云归低波2号</t>
  </si>
  <si>
    <t>SBAQ94</t>
  </si>
  <si>
    <t>六妙星彩云归低波2号私募证券投资基金</t>
  </si>
  <si>
    <t>https://gs.amac.org.cn/amac-infodisc/res/pof/fund/2507011111106192.html</t>
  </si>
  <si>
    <t>纵帆禾裕三号</t>
  </si>
  <si>
    <t>SBDG79</t>
  </si>
  <si>
    <t>纵帆禾裕三号私募证券投资基金</t>
  </si>
  <si>
    <t>https://gs.amac.org.cn/amac-infodisc/res/pof/fund/2508130929107823.html</t>
  </si>
  <si>
    <t>鋆晟狮王套利</t>
  </si>
  <si>
    <t>SGS754</t>
  </si>
  <si>
    <t>鋆晟狮王套利私募证券投资基金</t>
  </si>
  <si>
    <t>https://gs.amac.org.cn/amac-infodisc/res/pof/fund/1908021524105625.html</t>
  </si>
  <si>
    <t>晟通京华宏观对冲</t>
  </si>
  <si>
    <t>SNG078</t>
  </si>
  <si>
    <t>深圳前海晟通资管</t>
  </si>
  <si>
    <t>深圳前海晟通资产管理有限公司</t>
  </si>
  <si>
    <t>https://gs.amac.org.cn/amac-infodisc/res/pof/manager/1703281619108152.html</t>
  </si>
  <si>
    <t>晟通京华宏观对冲私募证券投资基金</t>
  </si>
  <si>
    <t>https://gs.amac.org.cn/amac-infodisc/res/pof/fund/2012101712107143.html</t>
  </si>
  <si>
    <t>量客投资金选套利1号私募证券投资基金</t>
  </si>
  <si>
    <t>洮利11号1期</t>
  </si>
  <si>
    <t>SNS371</t>
  </si>
  <si>
    <t>上海洮利</t>
  </si>
  <si>
    <t>上海洮利私募基金管理有限公司</t>
  </si>
  <si>
    <t>https://gs.amac.org.cn/amac-infodisc/res/pof/manager/1905071402101724.html</t>
  </si>
  <si>
    <t>洮利11号1期私募证券投资基金</t>
  </si>
  <si>
    <t>https://gs.amac.org.cn/amac-infodisc/res/pof/fund/2101201950101722.html</t>
  </si>
  <si>
    <t>悬铃稳健1号</t>
  </si>
  <si>
    <t>SVB806</t>
  </si>
  <si>
    <t>悬铃稳健1号私募证券投资基金</t>
  </si>
  <si>
    <t>https://gs.amac.org.cn/amac-infodisc/res/pof/fund/2202161802107592.html</t>
  </si>
  <si>
    <t>若谷凌云一号</t>
  </si>
  <si>
    <t>SVQ802</t>
  </si>
  <si>
    <t>海南若谷</t>
  </si>
  <si>
    <t>海南若谷私募基金管理有限公司</t>
  </si>
  <si>
    <t>https://gs.amac.org.cn/amac-infodisc/res/pof/manager/2106151358101928.html</t>
  </si>
  <si>
    <t>若谷凌云一号私募证券投资基金</t>
  </si>
  <si>
    <t>https://gs.amac.org.cn/amac-infodisc/res/pof/fund/2205271705100699.html</t>
  </si>
  <si>
    <t>时间稳健1号</t>
  </si>
  <si>
    <t>SZM840</t>
  </si>
  <si>
    <t>青岛时间</t>
  </si>
  <si>
    <t>青岛时间私募基金管理有限公司</t>
  </si>
  <si>
    <t>https://gs.amac.org.cn/amac-infodisc/res/pof/manager/2007291034107765.html</t>
  </si>
  <si>
    <t>时间稳健1号私募证券投资基金</t>
  </si>
  <si>
    <t>https://gs.amac.org.cn/amac-infodisc/res/pof/fund/2303061420106400.html</t>
  </si>
  <si>
    <t>安合融信匠人匠心7号</t>
  </si>
  <si>
    <t>SZN919</t>
  </si>
  <si>
    <t>青岛安合融信</t>
  </si>
  <si>
    <t>胜率窗口口径不一致；DD_long不可识别；</t>
  </si>
  <si>
    <t>安合融信(青岛)私募基金管理有限公司</t>
  </si>
  <si>
    <t>https://gs.amac.org.cn/amac-infodisc/res/pof/manager/2108161405106293.html</t>
  </si>
  <si>
    <t>安合融信匠人匠心7号私募证券投资基金</t>
  </si>
  <si>
    <t>https://gs.amac.org.cn/amac-infodisc/res/pof/fund/2303221733112563.html</t>
  </si>
  <si>
    <t>交叉智能-量化增强2号</t>
  </si>
  <si>
    <t>SZD351</t>
  </si>
  <si>
    <t>北京交叉智能</t>
  </si>
  <si>
    <t>交叉智能(北京)私募基金管理有限公司</t>
  </si>
  <si>
    <t>https://gs.amac.org.cn/amac-infodisc/res/pof/manager/2108121438108586.html</t>
  </si>
  <si>
    <t>交叉智能-量化增强2号私募证券投资基金</t>
  </si>
  <si>
    <t>https://gs.amac.org.cn/amac-infodisc/res/pof/fund/2304211705109378.html</t>
  </si>
  <si>
    <t>在赢利贞一号</t>
  </si>
  <si>
    <t>SAGE45</t>
  </si>
  <si>
    <t>在赢利贞一号私募证券投资基金</t>
  </si>
  <si>
    <t>https://gs.amac.org.cn/amac-infodisc/res/pof/fund/2402081747101183.html</t>
  </si>
  <si>
    <t>奶酪善水六号</t>
  </si>
  <si>
    <t>SAHN66</t>
  </si>
  <si>
    <t>奶酪善水六号私募证券投资基金</t>
  </si>
  <si>
    <t>https://gs.amac.org.cn/amac-infodisc/res/pof/fund/2403051000101731.html</t>
  </si>
  <si>
    <t>华睿东方世家进取6号</t>
  </si>
  <si>
    <t>SAJD40</t>
  </si>
  <si>
    <t>天津华睿千和资管</t>
  </si>
  <si>
    <t>华睿千和(天津)资产管理有限公司</t>
  </si>
  <si>
    <t>https://gs.amac.org.cn/amac-infodisc/res/pof/manager/101000023136.html</t>
  </si>
  <si>
    <t>华睿东方世家进取6号私募证券投资基金</t>
  </si>
  <si>
    <t>https://gs.amac.org.cn/amac-infodisc/res/pof/fund/2403281739102203.html</t>
  </si>
  <si>
    <t>涌涵农本一号私募证券投资基金</t>
  </si>
  <si>
    <t>慧衍锐智3号A类</t>
  </si>
  <si>
    <t>AGE96A</t>
  </si>
  <si>
    <t>上海慧衍</t>
  </si>
  <si>
    <t>上海慧衍私募基金管理有限公司</t>
  </si>
  <si>
    <t>https://gs.amac.org.cn/amac-infodisc/res/pof/manager/2103171746100111.html</t>
  </si>
  <si>
    <t>时间稳健1号B类</t>
  </si>
  <si>
    <t>ZM840B</t>
  </si>
  <si>
    <t>sheet2-计算明细：P141、R141、S141、AE141、AF141、AH141、AI141、AU141</t>
  </si>
  <si>
    <t>磬晟启晟1号</t>
  </si>
  <si>
    <t>SCB058</t>
  </si>
  <si>
    <t>上海磬晟</t>
  </si>
  <si>
    <t>上海磬晟私募基金管理有限公司</t>
  </si>
  <si>
    <t>https://gs.amac.org.cn/amac-infodisc/res/pof/manager/1612231709103386.html</t>
  </si>
  <si>
    <t>磬晟启晟1号私募证券投资基金</t>
  </si>
  <si>
    <t>https://gs.amac.org.cn/amac-infodisc/res/pof/fund/1802081849101993.html</t>
  </si>
  <si>
    <t>悬铃瑞享C号1期</t>
  </si>
  <si>
    <t>SZF187</t>
  </si>
  <si>
    <t>悬铃瑞享C号1期私募证券投资基金</t>
  </si>
  <si>
    <t>https://gs.amac.org.cn/amac-infodisc/res/pof/fund/2304181407104117.html</t>
  </si>
  <si>
    <t>奶酪鑫鑫宝九号</t>
  </si>
  <si>
    <t>SACM90</t>
  </si>
  <si>
    <t>R_incep；近三年收益；近三年胜率；近三年回撤；短期卡玛；</t>
  </si>
  <si>
    <t>奶酪鑫鑫宝九号私募证券投资基金</t>
  </si>
  <si>
    <t>https://gs.amac.org.cn/amac-infodisc/res/pof/fund/2310231835105165.html</t>
  </si>
  <si>
    <t>博普安兴私享一号C类</t>
  </si>
  <si>
    <t>AHS76C</t>
  </si>
  <si>
    <t>盛冠达稳享量化套利</t>
  </si>
  <si>
    <t>SAUA99</t>
  </si>
  <si>
    <t>盛冠达稳享量化套利私募证券投资基金</t>
  </si>
  <si>
    <t>https://gs.amac.org.cn/amac-infodisc/res/pof/fund/2506201458107445.html</t>
  </si>
  <si>
    <t>悬铃成长1号</t>
  </si>
  <si>
    <t>STP551</t>
  </si>
  <si>
    <t>悬铃成长1号私募证券投资基金</t>
  </si>
  <si>
    <t>https://gs.amac.org.cn/amac-infodisc/res/pof/fund/2112291739105312.html</t>
  </si>
  <si>
    <t>岳鑫遥4号</t>
  </si>
  <si>
    <t>SXT179</t>
  </si>
  <si>
    <t>北京岳鑫遥</t>
  </si>
  <si>
    <t>岳鑫遥(北京)私募基金管理有限公司</t>
  </si>
  <si>
    <t>https://gs.amac.org.cn/amac-infodisc/res/pof/manager/2207041830121644.html</t>
  </si>
  <si>
    <t>岳鑫遥4号私募证券投资基金</t>
  </si>
  <si>
    <t>https://gs.amac.org.cn/amac-infodisc/res/pof/fund/2212071732102482.html</t>
  </si>
  <si>
    <t>安合融信匠人匠心10号</t>
  </si>
  <si>
    <t>SB9656</t>
  </si>
  <si>
    <t>安合融信匠人匠心10号私募证券投资基金</t>
  </si>
  <si>
    <t>https://gs.amac.org.cn/amac-infodisc/res/pof/fund/2309081103102439.html</t>
  </si>
  <si>
    <t>sheet2-计算明细：P149、R149、S149、AE149、AF149、AH149、AI149、AU149</t>
  </si>
  <si>
    <t>灵涛卧龙</t>
  </si>
  <si>
    <t>SEU753</t>
  </si>
  <si>
    <t>灵涛基金</t>
  </si>
  <si>
    <t>灵涛私募基金管理(上海)有限公司</t>
  </si>
  <si>
    <t>https://gs.amac.org.cn/amac-infodisc/res/pof/manager/101000034805.html</t>
  </si>
  <si>
    <t>灵涛卧龙证券投资私募基金</t>
  </si>
  <si>
    <t>https://gs.amac.org.cn/amac-infodisc/res/pof/fund/1812171730109976.html</t>
  </si>
  <si>
    <t>祁腾蜂赢1号私募证券投资基金</t>
  </si>
  <si>
    <t>殊馥馥源套利1号私募证券投资基金</t>
  </si>
  <si>
    <t>杉阳云杉混合1号</t>
  </si>
  <si>
    <t>SLA063</t>
  </si>
  <si>
    <t>杉阳云杉混合1号私募证券投资基金</t>
  </si>
  <si>
    <t>https://gs.amac.org.cn/amac-infodisc/res/pof/fund/2006011729109166.html</t>
  </si>
  <si>
    <t>申毅格物22号</t>
  </si>
  <si>
    <t>SLD523</t>
  </si>
  <si>
    <t>申毅格物22号私募证券投资基金</t>
  </si>
  <si>
    <t>https://gs.amac.org.cn/amac-infodisc/res/pof/fund/2007131911107433.html</t>
  </si>
  <si>
    <t>鹿秀驯鹿5号</t>
  </si>
  <si>
    <t>SLN352</t>
  </si>
  <si>
    <t>鹿秀驯鹿5号私募证券投资基金</t>
  </si>
  <si>
    <t>https://gs.amac.org.cn/amac-infodisc/res/pof/fund/2008311029109749.html</t>
  </si>
  <si>
    <t>鹿秀驯鹿10号</t>
  </si>
  <si>
    <t>SNK594</t>
  </si>
  <si>
    <t>鹿秀驯鹿10号私募证券投资基金</t>
  </si>
  <si>
    <t>https://gs.amac.org.cn/amac-infodisc/res/pof/fund/2012081718105854.html</t>
  </si>
  <si>
    <t>九招真格量化套利一号私募证券投资基金</t>
  </si>
  <si>
    <t>宏翼高频1号</t>
  </si>
  <si>
    <t>SQA623</t>
  </si>
  <si>
    <t>上海宏翼</t>
  </si>
  <si>
    <t>上海宏翼私募基金管理有限公司</t>
  </si>
  <si>
    <t>https://gs.amac.org.cn/amac-infodisc/res/pof/manager/2008271406105036.html</t>
  </si>
  <si>
    <t>宏翼高频1号私募证券投资基金</t>
  </si>
  <si>
    <t>https://gs.amac.org.cn/amac-infodisc/res/pof/fund/2104071855107484.html</t>
  </si>
  <si>
    <t>钧誉厚德量化对冲11号私募证券投资基金</t>
  </si>
  <si>
    <t>巨博华多元策略1号</t>
  </si>
  <si>
    <t>SQW105</t>
  </si>
  <si>
    <t>深圳巨博华</t>
  </si>
  <si>
    <t>深圳市巨博华私募证券基金管理有限公司</t>
  </si>
  <si>
    <t>https://gs.amac.org.cn/amac-infodisc/res/pof/manager/101000024658.html</t>
  </si>
  <si>
    <t>巨博华多元策略1号证券私募投资基金</t>
  </si>
  <si>
    <t>https://gs.amac.org.cn/amac-infodisc/res/pof/fund/2107201820100745.html</t>
  </si>
  <si>
    <t>嘉和传承精研二期私募证券投资基金</t>
  </si>
  <si>
    <t>呈瑞复合策略1号</t>
  </si>
  <si>
    <t>STK755</t>
  </si>
  <si>
    <t>上海呈瑞投资</t>
  </si>
  <si>
    <t>上海呈瑞投资管理有限公司</t>
  </si>
  <si>
    <t>https://gs.amac.org.cn/amac-infodisc/res/pof/manager/101000000860.html</t>
  </si>
  <si>
    <t>呈瑞复合策略1号私募证券投资基金</t>
  </si>
  <si>
    <t>https://gs.amac.org.cn/amac-infodisc/res/pof/fund/2112281829100961.html</t>
  </si>
  <si>
    <t>晨翰6号私募证券投资基金</t>
  </si>
  <si>
    <t>博普量化对冲6号A类</t>
  </si>
  <si>
    <t>EE891A</t>
  </si>
  <si>
    <t>兆祥祥瑞套利1号</t>
  </si>
  <si>
    <t>SXJ965</t>
  </si>
  <si>
    <t>青岛兆祥资管</t>
  </si>
  <si>
    <t>青岛兆祥资产管理有限公司</t>
  </si>
  <si>
    <t>https://gs.amac.org.cn/amac-infodisc/res/pof/manager/101000018153.html</t>
  </si>
  <si>
    <t>兆祥祥瑞套利1号私募证券投资基金</t>
  </si>
  <si>
    <t>https://gs.amac.org.cn/amac-infodisc/res/pof/fund/2209231805113020.html</t>
  </si>
  <si>
    <t>中益仁东染千顷</t>
  </si>
  <si>
    <t>SXK740</t>
  </si>
  <si>
    <t>中益仁东染千顷私募证券投资基金</t>
  </si>
  <si>
    <t>https://gs.amac.org.cn/amac-infodisc/res/pof/fund/2209291849101854.html</t>
  </si>
  <si>
    <t>华实行远1号</t>
  </si>
  <si>
    <t>SXK867</t>
  </si>
  <si>
    <t>青岛华实</t>
  </si>
  <si>
    <t>青岛华实私募基金管理有限公司</t>
  </si>
  <si>
    <t>https://gs.amac.org.cn/amac-infodisc/res/pof/manager/1706261652108175.html</t>
  </si>
  <si>
    <t>华实行远1号私募证券投资基金</t>
  </si>
  <si>
    <t>https://gs.amac.org.cn/amac-infodisc/res/pof/fund/2210191004108436.html</t>
  </si>
  <si>
    <t>上海系数投资管理合伙企业(有限合伙)</t>
  </si>
  <si>
    <t>系数CTA套利五号私募证券投资基金</t>
  </si>
  <si>
    <t>世宽若水尘心1号</t>
  </si>
  <si>
    <t>SXT731</t>
  </si>
  <si>
    <t>世宽若水尘心1号私募证券投资基金</t>
  </si>
  <si>
    <t>https://gs.amac.org.cn/amac-infodisc/res/pof/fund/2211231146106175.html</t>
  </si>
  <si>
    <t>世宽若水尘心3号私募证券投资基金</t>
  </si>
  <si>
    <t>泓倍商品相对价值1号A类</t>
  </si>
  <si>
    <t>CU913A</t>
  </si>
  <si>
    <t>上海泓倍投资</t>
  </si>
  <si>
    <t>上海泓倍资产管理中心(有限合伙)</t>
  </si>
  <si>
    <t>https://gs.amac.org.cn/amac-infodisc/res/pof/manager/101000004914.html</t>
  </si>
  <si>
    <t>珞瑜阳明1号</t>
  </si>
  <si>
    <t>SB4100</t>
  </si>
  <si>
    <t>深圳珞瑜</t>
  </si>
  <si>
    <t>深圳市珞瑜私募证券基金管理有限公司</t>
  </si>
  <si>
    <t>https://gs.amac.org.cn/amac-infodisc/res/pof/manager/101000029973.html</t>
  </si>
  <si>
    <t>珞瑜阳明1号私募证券投资基金</t>
  </si>
  <si>
    <t>https://gs.amac.org.cn/amac-infodisc/res/pof/fund/2307071815100231.html</t>
  </si>
  <si>
    <t>乾元光辉岁月稳进32号</t>
  </si>
  <si>
    <t>SB7615</t>
  </si>
  <si>
    <t>深圳乾元资始</t>
  </si>
  <si>
    <t>深圳乾元资始私募证券基金管理有限公司</t>
  </si>
  <si>
    <t>https://gs.amac.org.cn/amac-infodisc/res/pof/manager/101000031013.html</t>
  </si>
  <si>
    <t>乾元光辉岁月稳进32号私募证券投资基金</t>
  </si>
  <si>
    <t>https://gs.amac.org.cn/amac-infodisc/res/pof/fund/2308021605101279.html</t>
  </si>
  <si>
    <t>博普安兴私享一号</t>
  </si>
  <si>
    <t>SAHS76</t>
  </si>
  <si>
    <t>博普安兴私享一号私募证券投资基金</t>
  </si>
  <si>
    <t>https://gs.amac.org.cn/amac-infodisc/res/pof/fund/2403271438103539.html</t>
  </si>
  <si>
    <t>博普日添月益A类</t>
  </si>
  <si>
    <t>JW903A</t>
  </si>
  <si>
    <t>毅远稳健套利16号</t>
  </si>
  <si>
    <t>SAQK03</t>
  </si>
  <si>
    <t>上海毅远</t>
  </si>
  <si>
    <t>上海毅远私募基金管理有限公司</t>
  </si>
  <si>
    <t>https://gs.amac.org.cn/amac-infodisc/res/pof/manager/2112091706105909.html</t>
  </si>
  <si>
    <t>毅远稳健套利16号私募证券投资基金</t>
  </si>
  <si>
    <t>https://gs.amac.org.cn/amac-infodisc/res/pof/fund/2411251941105797.html</t>
  </si>
  <si>
    <t>滨风屹禾7号</t>
  </si>
  <si>
    <t>SARF55</t>
  </si>
  <si>
    <t>滨风屹禾7号私募证券投资基金</t>
  </si>
  <si>
    <t>https://gs.amac.org.cn/amac-infodisc/res/pof/fund/2412191843105843.html</t>
  </si>
  <si>
    <t>阶石稳健1号私募证券投资基金</t>
  </si>
  <si>
    <t>木莲安澜1号</t>
  </si>
  <si>
    <t>SATL22</t>
  </si>
  <si>
    <t>深圳木莲</t>
  </si>
  <si>
    <t>深圳木莲私募证券投资基金有限公司</t>
  </si>
  <si>
    <t>https://gs.amac.org.cn/amac-infodisc/res/pof/manager/101000023487.html</t>
  </si>
  <si>
    <t>木莲安澜1号私募证券投资基金</t>
  </si>
  <si>
    <t>https://gs.amac.org.cn/amac-infodisc/res/pof/fund/2503041725109415.html</t>
  </si>
  <si>
    <t>巨熊金龙二号</t>
  </si>
  <si>
    <t>SAVL62</t>
  </si>
  <si>
    <t>深圳巨熊</t>
  </si>
  <si>
    <t>深圳巨熊私募证券基金管理有限公司</t>
  </si>
  <si>
    <t>https://gs.amac.org.cn/amac-infodisc/res/pof/manager/1704191039103562.html</t>
  </si>
  <si>
    <t>巨熊金龙二号私募证券投资基金</t>
  </si>
  <si>
    <t>https://gs.amac.org.cn/amac-infodisc/res/pof/fund/2504071548117289.html</t>
  </si>
  <si>
    <t>阶石稳健9号私募证券投资基金</t>
  </si>
  <si>
    <t>木莲安澜1号A类</t>
  </si>
  <si>
    <t>ATL22A</t>
  </si>
  <si>
    <t>兆祥祥瑞套利1号B类</t>
  </si>
  <si>
    <t>XJ965B</t>
  </si>
  <si>
    <t>sheet2-计算明细：P184、R184、S184、AE184、AF184、AH184、AI184、AU184</t>
  </si>
  <si>
    <t>鋆晟衡泰进取1号B类</t>
  </si>
  <si>
    <t>B4982B</t>
  </si>
  <si>
    <t>博普跨市场1号</t>
  </si>
  <si>
    <t>SN5169</t>
  </si>
  <si>
    <t>深圳博普科技</t>
  </si>
  <si>
    <t>深圳博普科技有限公司</t>
  </si>
  <si>
    <t>https://gs.amac.org.cn/amac-infodisc/res/pof/manager/101000001136.html</t>
  </si>
  <si>
    <t>博普跨市场1号私募基金</t>
  </si>
  <si>
    <t>https://gs.amac.org.cn/amac-infodisc/res/pof/fund/351000603064.html</t>
  </si>
  <si>
    <t>博益安盈精英1号</t>
  </si>
  <si>
    <t>SL9566</t>
  </si>
  <si>
    <t>深圳博益安盈</t>
  </si>
  <si>
    <t>深圳市博益安盈私募证券投资基金管理有限公司</t>
  </si>
  <si>
    <t>https://gs.amac.org.cn/amac-infodisc/res/pof/manager/101000052138.html</t>
  </si>
  <si>
    <t>博益安盈精英1号私募投资基金</t>
  </si>
  <si>
    <t>https://gs.amac.org.cn/amac-infodisc/res/pof/fund/351000502422.html</t>
  </si>
  <si>
    <t>珺墀价值投资甄选系列</t>
  </si>
  <si>
    <t>SD8791</t>
  </si>
  <si>
    <t>上海珺墀资管</t>
  </si>
  <si>
    <t>上海珺墀资产管理有限公司</t>
  </si>
  <si>
    <t>https://gs.amac.org.cn/amac-infodisc/res/pof/manager/101000026339.html</t>
  </si>
  <si>
    <t>珺墀价值投资甄选系列私募证券投资基金</t>
  </si>
  <si>
    <t>https://gs.amac.org.cn/amac-infodisc/res/pof/fund/351000269550.html</t>
  </si>
  <si>
    <t>盛泉恒元多策略量化对冲2号基金</t>
  </si>
  <si>
    <t>S67533</t>
  </si>
  <si>
    <t>南京盛泉恒元投资</t>
  </si>
  <si>
    <t>南京盛泉恒元投资有限公司</t>
  </si>
  <si>
    <t>https://gs.amac.org.cn/amac-infodisc/res/pof/manager/101000008304.html</t>
  </si>
  <si>
    <t>https://gs.amac.org.cn/amac-infodisc/res/pof/fund/351000223244.html</t>
  </si>
  <si>
    <t>申毅多策略量化7号</t>
  </si>
  <si>
    <t>S35707</t>
  </si>
  <si>
    <t>https://gs.amac.org.cn/amac-infodisc/res/pof/fund/351000188777.html</t>
  </si>
  <si>
    <t>汇艾稳健3号私募投资基金</t>
  </si>
  <si>
    <t>博普稳增3号</t>
  </si>
  <si>
    <t>SW7191</t>
  </si>
  <si>
    <t>博普稳增3号私募证券投资基金</t>
  </si>
  <si>
    <t>https://gs.amac.org.cn/amac-infodisc/res/pof/fund/1711061720100628.html</t>
  </si>
  <si>
    <t>盛冠达试金石3号私募投资基金</t>
  </si>
  <si>
    <t>盛泉恒元量化套利12号专项</t>
  </si>
  <si>
    <t>SEE184</t>
  </si>
  <si>
    <t>盛泉恒元量化套利12号专项私募证券投资基金</t>
  </si>
  <si>
    <t>https://gs.amac.org.cn/amac-infodisc/res/pof/fund/1808311648103483.html</t>
  </si>
  <si>
    <t>东方富银命运1号私募证券投资基金</t>
  </si>
  <si>
    <t>致同稳健成长1期</t>
  </si>
  <si>
    <t>SEP459</t>
  </si>
  <si>
    <t>致同稳健成长1期私募证券投资基金</t>
  </si>
  <si>
    <t>https://gs.amac.org.cn/amac-infodisc/res/pof/fund/1810191705108886.html</t>
  </si>
  <si>
    <t>博普量化对冲6号</t>
  </si>
  <si>
    <t>SEE891</t>
  </si>
  <si>
    <t>博普量化对冲6号私募证券投资基金</t>
  </si>
  <si>
    <t>https://gs.amac.org.cn/amac-infodisc/res/pof/fund/1812171730101213.html</t>
  </si>
  <si>
    <t>sheet2-计算明细：P197、R197、S197、AE197、AF197、AH197、AI197、AU197</t>
  </si>
  <si>
    <t>冲和稳健增长一号</t>
  </si>
  <si>
    <t>SEW918</t>
  </si>
  <si>
    <t>北京冲和资管</t>
  </si>
  <si>
    <t>北京冲和资产管理有限公司</t>
  </si>
  <si>
    <t>https://gs.amac.org.cn/amac-infodisc/res/pof/manager/101000038139.html</t>
  </si>
  <si>
    <t>冲和稳健增长一号私募证券投资基金</t>
  </si>
  <si>
    <t>https://gs.amac.org.cn/amac-infodisc/res/pof/fund/1901080925106759.html</t>
  </si>
  <si>
    <t>晨乐佳享3号</t>
  </si>
  <si>
    <t>SEX105</t>
  </si>
  <si>
    <t>北京晨乐资管</t>
  </si>
  <si>
    <t>北京晨乐资产管理有限公司</t>
  </si>
  <si>
    <t>https://gs.amac.org.cn/amac-infodisc/res/pof/manager/1701061825106751.html</t>
  </si>
  <si>
    <t>晨乐佳享3号私募证券投资基金</t>
  </si>
  <si>
    <t>https://gs.amac.org.cn/amac-infodisc/res/pof/fund/1901251805101844.html</t>
  </si>
  <si>
    <t>盛泉恒元量化套利11号</t>
  </si>
  <si>
    <t>SEX315</t>
  </si>
  <si>
    <t>盛泉恒元量化套利11号私募证券投资基金</t>
  </si>
  <si>
    <t>https://gs.amac.org.cn/amac-infodisc/res/pof/fund/1901281739102503.html</t>
  </si>
  <si>
    <t>殊馥兴义2号</t>
  </si>
  <si>
    <t>SGH592</t>
  </si>
  <si>
    <t>殊馥兴义2号私募证券投资基金</t>
  </si>
  <si>
    <t>https://gs.amac.org.cn/amac-infodisc/res/pof/fund/1904241451105050.html</t>
  </si>
  <si>
    <t>永泉奇点1号混合投资私募基金</t>
  </si>
  <si>
    <t>宏量鼎诚</t>
  </si>
  <si>
    <t>SGQ716</t>
  </si>
  <si>
    <t>北京宏量资管</t>
  </si>
  <si>
    <t>北京宏量资本管理有限公司</t>
  </si>
  <si>
    <t>https://gs.amac.org.cn/amac-infodisc/res/pof/manager/1706211851108652.html</t>
  </si>
  <si>
    <t>宏量鼎诚私募证券投资基金</t>
  </si>
  <si>
    <t>https://gs.amac.org.cn/amac-infodisc/res/pof/fund/1906111459103914.html</t>
  </si>
  <si>
    <t>永泉奇点2号混合投资私募基金</t>
  </si>
  <si>
    <t>厦门言起博士一号</t>
  </si>
  <si>
    <t>SJR679</t>
  </si>
  <si>
    <t>厦门言起投资</t>
  </si>
  <si>
    <t>厦门言起投资管理有限公司</t>
  </si>
  <si>
    <t>https://gs.amac.org.cn/amac-infodisc/res/pof/manager/101000049573.html</t>
  </si>
  <si>
    <t>厦门言起博士一号私募证券投资基金</t>
  </si>
  <si>
    <t>https://gs.amac.org.cn/amac-infodisc/res/pof/fund/2002211800116572.html</t>
  </si>
  <si>
    <t>平凡浩睿私募证券投资基金</t>
  </si>
  <si>
    <t>博普日添月益</t>
  </si>
  <si>
    <t>SJW903</t>
  </si>
  <si>
    <t>博普日添月益证券投资私募基金</t>
  </si>
  <si>
    <t>https://gs.amac.org.cn/amac-infodisc/res/pof/fund/2003311737105713.html</t>
  </si>
  <si>
    <t>鸣熙资产-招享套利1号私募证券投资基金</t>
  </si>
  <si>
    <t>盛冠达量化套利6号</t>
  </si>
  <si>
    <t>SJZ209</t>
  </si>
  <si>
    <t>盛冠达量化套利6号私募证券投资基金</t>
  </si>
  <si>
    <t>https://gs.amac.org.cn/amac-infodisc/res/pof/fund/2006011729107407.html</t>
  </si>
  <si>
    <t>盛泉恒元量化套利27号</t>
  </si>
  <si>
    <t>SJY718</t>
  </si>
  <si>
    <t>盛泉恒元量化套利27号私募证券投资基金</t>
  </si>
  <si>
    <t>https://gs.amac.org.cn/amac-infodisc/res/pof/fund/2006151927109230.html</t>
  </si>
  <si>
    <t>杉阳云杉转债1号</t>
  </si>
  <si>
    <t>SLE395</t>
  </si>
  <si>
    <t>杉阳云杉转债1号私募证券投资基金</t>
  </si>
  <si>
    <t>https://gs.amac.org.cn/amac-infodisc/res/pof/fund/2006171757102620.html</t>
  </si>
  <si>
    <t>聚亿具臻</t>
  </si>
  <si>
    <t>SLM995</t>
  </si>
  <si>
    <t>聚亿具臻私募证券投资基金</t>
  </si>
  <si>
    <t>https://gs.amac.org.cn/amac-infodisc/res/pof/fund/2008201725129997.html</t>
  </si>
  <si>
    <t>盛泉恒元量化套利31号</t>
  </si>
  <si>
    <t>SLM933</t>
  </si>
  <si>
    <t>盛泉恒元量化套利31号私募证券投资基金</t>
  </si>
  <si>
    <t>https://gs.amac.org.cn/amac-infodisc/res/pof/fund/2008261728106155.html</t>
  </si>
  <si>
    <t>俊丹湾谷二号</t>
  </si>
  <si>
    <t>SLQ627</t>
  </si>
  <si>
    <t>上海俊丹</t>
  </si>
  <si>
    <t>上海俊丹私募基金管理有限公司</t>
  </si>
  <si>
    <t>https://gs.amac.org.cn/amac-infodisc/res/pof/manager/1907181104109037.html</t>
  </si>
  <si>
    <t>俊丹湾谷二号私募证券投资基金</t>
  </si>
  <si>
    <t>https://gs.amac.org.cn/amac-infodisc/res/pof/fund/2008311647105017.html</t>
  </si>
  <si>
    <t>永泉奇点17号混合投资私募基金</t>
  </si>
  <si>
    <t>多打粮磬晟</t>
  </si>
  <si>
    <t>SNF235</t>
  </si>
  <si>
    <t>多打粮磬晟私募证券投资基金</t>
  </si>
  <si>
    <t>https://gs.amac.org.cn/amac-infodisc/res/pof/fund/2012141440107801.html</t>
  </si>
  <si>
    <t>元康投资-稳健添利1号</t>
  </si>
  <si>
    <t>SNF469</t>
  </si>
  <si>
    <t>上海元康投资</t>
  </si>
  <si>
    <t>上海元康投资管理有限公司</t>
  </si>
  <si>
    <t>https://gs.amac.org.cn/amac-infodisc/res/pof/manager/101000012102.html</t>
  </si>
  <si>
    <t>元康投资-稳健添利1号私募证券投资基金</t>
  </si>
  <si>
    <t>https://gs.amac.org.cn/amac-infodisc/res/pof/fund/2012301646100082.html</t>
  </si>
  <si>
    <t>鹿秀驯鹿20号</t>
  </si>
  <si>
    <t>SNQ397</t>
  </si>
  <si>
    <t>鹿秀驯鹿20号私募证券投资基金</t>
  </si>
  <si>
    <t>https://gs.amac.org.cn/amac-infodisc/res/pof/fund/2101261837105022.html</t>
  </si>
  <si>
    <t>宣夜投资涓流二号</t>
  </si>
  <si>
    <t>SQL764</t>
  </si>
  <si>
    <t>上海宣夜投资</t>
  </si>
  <si>
    <t>上海宣夜投资管理有限公司</t>
  </si>
  <si>
    <t>https://gs.amac.org.cn/amac-infodisc/res/pof/manager/1609130947110564.html</t>
  </si>
  <si>
    <t>宣夜投资涓流二号私募证券投资基金</t>
  </si>
  <si>
    <t>https://gs.amac.org.cn/amac-infodisc/res/pof/fund/2105181107105802.html</t>
  </si>
  <si>
    <t>永泉奇点18号混合投资</t>
  </si>
  <si>
    <t>SNK980</t>
  </si>
  <si>
    <t>永泉奇点18号混合投资私募基金</t>
  </si>
  <si>
    <t>https://gs.amac.org.cn/amac-infodisc/res/pof/fund/2105261800100429.html</t>
  </si>
  <si>
    <t>惠隆金选套利1号私募证券投资基金</t>
  </si>
  <si>
    <t>景鹏稳进1号</t>
  </si>
  <si>
    <t>SSX278</t>
  </si>
  <si>
    <t>上海景鹏</t>
  </si>
  <si>
    <t>上海景鹏私募基金管理有限公司</t>
  </si>
  <si>
    <t>https://gs.amac.org.cn/amac-infodisc/res/pof/manager/2107201407107524.html</t>
  </si>
  <si>
    <t>景鹏稳进1号私募证券投资基金</t>
  </si>
  <si>
    <t>https://gs.amac.org.cn/amac-infodisc/res/pof/fund/2110181713130466.html</t>
  </si>
  <si>
    <t>久游投资4号</t>
  </si>
  <si>
    <t>STB214</t>
  </si>
  <si>
    <t>深圳久游</t>
  </si>
  <si>
    <t>深圳久游私募证券基金管理有限公司</t>
  </si>
  <si>
    <t>https://gs.amac.org.cn/amac-infodisc/res/pof/manager/2108310949105248.html</t>
  </si>
  <si>
    <t>久游投资4号私募证券投资基金</t>
  </si>
  <si>
    <t>https://gs.amac.org.cn/amac-infodisc/res/pof/fund/2111101732101714.html</t>
  </si>
  <si>
    <t>摩旗ETF套利1号私募证券投资基金</t>
  </si>
  <si>
    <t>兆信期权中性2号A类</t>
  </si>
  <si>
    <t>TB977A</t>
  </si>
  <si>
    <t>江苏兆信</t>
  </si>
  <si>
    <t>江苏兆信私募基金管理有限公司</t>
  </si>
  <si>
    <t>https://gs.amac.org.cn/amac-infodisc/res/pof/manager/101000002312.html</t>
  </si>
  <si>
    <t>庄贤亨贞期权对冲</t>
  </si>
  <si>
    <t>STW239</t>
  </si>
  <si>
    <t>杭州庄贤投资管理合伙企业(有限合伙)</t>
  </si>
  <si>
    <t>庄贤亨贞期权对冲私募证券投资基金</t>
  </si>
  <si>
    <t>https://gs.amac.org.cn/amac-infodisc/res/pof/fund/2202111734100728.html</t>
  </si>
  <si>
    <t>悬铃尊享CTA8号</t>
  </si>
  <si>
    <t>STW103</t>
  </si>
  <si>
    <t>悬铃尊享CTA8号私募证券投资基金</t>
  </si>
  <si>
    <t>https://gs.amac.org.cn/amac-infodisc/res/pof/fund/2203171944106372.html</t>
  </si>
  <si>
    <t>起源天择稳健1号</t>
  </si>
  <si>
    <t>SVJ267</t>
  </si>
  <si>
    <t>海南起源</t>
  </si>
  <si>
    <t>海南起源私募基金管理合伙企业(有限合伙)</t>
  </si>
  <si>
    <t>https://gs.amac.org.cn/amac-infodisc/res/pof/manager/2109301707118145.html</t>
  </si>
  <si>
    <t>起源天择稳健1号私募证券投资基金</t>
  </si>
  <si>
    <t>https://gs.amac.org.cn/amac-infodisc/res/pof/fund/2203280952108464.html</t>
  </si>
  <si>
    <t>东玛多策略稳健1号</t>
  </si>
  <si>
    <t>SVG441</t>
  </si>
  <si>
    <t>宁波东玛</t>
  </si>
  <si>
    <t>宁波东玛私募基金管理有限公司</t>
  </si>
  <si>
    <t>https://gs.amac.org.cn/amac-infodisc/res/pof/manager/2110261036100964.html</t>
  </si>
  <si>
    <t>东玛多策略稳健1号私募证券投资基金</t>
  </si>
  <si>
    <t>https://gs.amac.org.cn/amac-infodisc/res/pof/fund/2204081717101635.html</t>
  </si>
  <si>
    <t>以利安得利混合1号</t>
  </si>
  <si>
    <t>SVJ912</t>
  </si>
  <si>
    <t>河南以利</t>
  </si>
  <si>
    <t>河南以利私募基金管理有限公司</t>
  </si>
  <si>
    <t>https://gs.amac.org.cn/amac-infodisc/res/pof/manager/101000009955.html</t>
  </si>
  <si>
    <t>以利安得利混合1号私募证券投资基金</t>
  </si>
  <si>
    <t>https://gs.amac.org.cn/amac-infodisc/res/pof/fund/2204180932106462.html</t>
  </si>
  <si>
    <t>放牛人5号私募证券投资基金</t>
  </si>
  <si>
    <t>鹿秀呦呦1号</t>
  </si>
  <si>
    <t>SVY067</t>
  </si>
  <si>
    <t>鹿秀呦呦1号私募证券投资基金</t>
  </si>
  <si>
    <t>https://gs.amac.org.cn/amac-infodisc/res/pof/fund/2207121422105313.html</t>
  </si>
  <si>
    <t>慕途基本面量化1号私募证券投资基金</t>
  </si>
  <si>
    <t>金和金诚5号</t>
  </si>
  <si>
    <t>SVZ035</t>
  </si>
  <si>
    <t>金和金诚5号私募证券投资基金</t>
  </si>
  <si>
    <t>https://gs.amac.org.cn/amac-infodisc/res/pof/fund/2207141704101581.html</t>
  </si>
  <si>
    <t>殊馥馥源套利6号</t>
  </si>
  <si>
    <t>SXA180</t>
  </si>
  <si>
    <t>殊馥馥源套利6号私募证券投资基金</t>
  </si>
  <si>
    <t>https://gs.amac.org.cn/amac-infodisc/res/pof/fund/2208031553101578.html</t>
  </si>
  <si>
    <t>守正卓越一号</t>
  </si>
  <si>
    <t>SVY984</t>
  </si>
  <si>
    <t>山东守正</t>
  </si>
  <si>
    <t>山东守正私募基金管理有限公司</t>
  </si>
  <si>
    <t>https://gs.amac.org.cn/amac-infodisc/res/pof/manager/2111241907106834.html</t>
  </si>
  <si>
    <t>守正卓越一号私募证券投资基金</t>
  </si>
  <si>
    <t>https://gs.amac.org.cn/amac-infodisc/res/pof/fund/2208081957100560.html</t>
  </si>
  <si>
    <t>东方富银宏观量化1号</t>
  </si>
  <si>
    <t>SXA890</t>
  </si>
  <si>
    <t>东方富银宏观量化1号私募证券投资基金</t>
  </si>
  <si>
    <t>https://gs.amac.org.cn/amac-infodisc/res/pof/fund/2208111702102050.html</t>
  </si>
  <si>
    <t>致同添利套利多策略三期A类</t>
  </si>
  <si>
    <t>TY632A</t>
  </si>
  <si>
    <t>炽浪衍复9号</t>
  </si>
  <si>
    <t>SXH337</t>
  </si>
  <si>
    <t>海南炽浪</t>
  </si>
  <si>
    <t>炽浪私募基金(海南)合伙企业(有限合伙)</t>
  </si>
  <si>
    <t>https://gs.amac.org.cn/amac-infodisc/res/pof/manager/2005090837103499.html</t>
  </si>
  <si>
    <t>炽浪衍复9号私募证券投资基金</t>
  </si>
  <si>
    <t>https://gs.amac.org.cn/amac-infodisc/res/pof/fund/2209211854100874.html</t>
  </si>
  <si>
    <t>岳鑫遥1号</t>
  </si>
  <si>
    <t>SXJ331</t>
  </si>
  <si>
    <t>岳鑫遥1号私募证券投资基金</t>
  </si>
  <si>
    <t>https://gs.amac.org.cn/amac-infodisc/res/pof/fund/2210131922100921.html</t>
  </si>
  <si>
    <t>兆信股指期货期权套利1号</t>
  </si>
  <si>
    <t>SXN023</t>
  </si>
  <si>
    <t>兆信股指期货期权套利1号私募证券投资基金</t>
  </si>
  <si>
    <t>https://gs.amac.org.cn/amac-infodisc/res/pof/fund/2210140921103682.html</t>
  </si>
  <si>
    <t>谊恒滴海一号</t>
  </si>
  <si>
    <t>SXL701</t>
  </si>
  <si>
    <t>上海滴海</t>
  </si>
  <si>
    <t>上海滴海私募基金管理中心(有限合伙)</t>
  </si>
  <si>
    <t>https://gs.amac.org.cn/amac-infodisc/res/pof/manager/101000018343.html</t>
  </si>
  <si>
    <t>谊恒滴海一号私募证券投资基金</t>
  </si>
  <si>
    <t>https://gs.amac.org.cn/amac-infodisc/res/pof/fund/2210281610103422.html</t>
  </si>
  <si>
    <t>尊嘉金润1号</t>
  </si>
  <si>
    <t>SXM526</t>
  </si>
  <si>
    <t>北京尊嘉资管</t>
  </si>
  <si>
    <t>北京尊嘉资产管理有限公司</t>
  </si>
  <si>
    <t>https://gs.amac.org.cn/amac-infodisc/res/pof/manager/101000000661.html</t>
  </si>
  <si>
    <t>尊嘉金润1号私募证券投资基金</t>
  </si>
  <si>
    <t>https://gs.amac.org.cn/amac-infodisc/res/pof/fund/2210311704131702.html</t>
  </si>
  <si>
    <t>殊馥兴义6号私募证券投资基金</t>
  </si>
  <si>
    <t>博弈树金选套利2号私募证券投资基金</t>
  </si>
  <si>
    <t>致同云峰AA类</t>
  </si>
  <si>
    <t>NB380A</t>
  </si>
  <si>
    <t>擎丰1号3期</t>
  </si>
  <si>
    <t>SXK911</t>
  </si>
  <si>
    <t>擎丰1号3期私募证券投资基金</t>
  </si>
  <si>
    <t>https://gs.amac.org.cn/amac-infodisc/res/pof/fund/2211141811104373.html</t>
  </si>
  <si>
    <t>泰创稳健二号</t>
  </si>
  <si>
    <t>SXP356</t>
  </si>
  <si>
    <t>北京泰创投资</t>
  </si>
  <si>
    <t>北京泰创投资管理有限公司</t>
  </si>
  <si>
    <t>https://gs.amac.org.cn/amac-infodisc/res/pof/manager/101000008864.html</t>
  </si>
  <si>
    <t>泰创稳健二号私募证券投资基金</t>
  </si>
  <si>
    <t>https://gs.amac.org.cn/amac-infodisc/res/pof/fund/2211151609104614.html</t>
  </si>
  <si>
    <t>殊馥兴义7号私募证券投资基金</t>
  </si>
  <si>
    <t>锐耐复利倍增2号</t>
  </si>
  <si>
    <t>SXV513</t>
  </si>
  <si>
    <t>锐耐复利倍增2号私募证券投资基金</t>
  </si>
  <si>
    <t>https://gs.amac.org.cn/amac-infodisc/res/pof/fund/2212051126108903.html</t>
  </si>
  <si>
    <t>乘舟紫荆1号</t>
  </si>
  <si>
    <t>SXW399</t>
  </si>
  <si>
    <t>上海乘舟投资</t>
  </si>
  <si>
    <t>上海乘舟投资管理有限公司</t>
  </si>
  <si>
    <t>https://gs.amac.org.cn/amac-infodisc/res/pof/manager/2003191500102072.html</t>
  </si>
  <si>
    <t>乘舟紫荆1号私募证券投资基金</t>
  </si>
  <si>
    <t>https://gs.amac.org.cn/amac-infodisc/res/pof/fund/2212071732102944.html</t>
  </si>
  <si>
    <t>岳鑫遥3号</t>
  </si>
  <si>
    <t>SXW818</t>
  </si>
  <si>
    <t>岳鑫遥3号私募证券投资基金</t>
  </si>
  <si>
    <t>https://gs.amac.org.cn/amac-infodisc/res/pof/fund/2212231712100194.html</t>
  </si>
  <si>
    <t>雁丰卓衍1号</t>
  </si>
  <si>
    <t>SXX404</t>
  </si>
  <si>
    <t>上海雁丰投资</t>
  </si>
  <si>
    <t>上海雁丰投资管理有限公司</t>
  </si>
  <si>
    <t>https://gs.amac.org.cn/amac-infodisc/res/pof/manager/101000007795.html</t>
  </si>
  <si>
    <t>雁丰卓衍1号私募证券投资基金</t>
  </si>
  <si>
    <t>https://gs.amac.org.cn/amac-infodisc/res/pof/fund/2301040921105586.html</t>
  </si>
  <si>
    <t>殊馥兴义8号</t>
  </si>
  <si>
    <t>SZA394</t>
  </si>
  <si>
    <t>殊馥兴义8号私募证券投资基金</t>
  </si>
  <si>
    <t>https://gs.amac.org.cn/amac-infodisc/res/pof/fund/2301040929105681.html</t>
  </si>
  <si>
    <t>烁菓量化复合套利2号</t>
  </si>
  <si>
    <t>SZB527</t>
  </si>
  <si>
    <t>福州烁菓</t>
  </si>
  <si>
    <t>福州烁菓私募基金管理有限公司</t>
  </si>
  <si>
    <t>https://gs.amac.org.cn/amac-infodisc/res/pof/manager/101000027571.html</t>
  </si>
  <si>
    <t>烁菓量化复合套利2号私募证券投资基金</t>
  </si>
  <si>
    <t>https://gs.amac.org.cn/amac-infodisc/res/pof/fund/2301111805105842.html</t>
  </si>
  <si>
    <t>泰创稳健三号</t>
  </si>
  <si>
    <t>SZD744</t>
  </si>
  <si>
    <t>泰创稳健三号私募证券投资基金</t>
  </si>
  <si>
    <t>https://gs.amac.org.cn/amac-infodisc/res/pof/fund/2301161834100205.html</t>
  </si>
  <si>
    <t>瑞倍稳聚1号</t>
  </si>
  <si>
    <t>SZF089</t>
  </si>
  <si>
    <t>宁波瑞倍</t>
  </si>
  <si>
    <t>宁波瑞倍私募基金管理有限公司</t>
  </si>
  <si>
    <t>https://gs.amac.org.cn/amac-infodisc/res/pof/manager/101000014169.html</t>
  </si>
  <si>
    <t>瑞倍稳聚1号私募证券投资基金</t>
  </si>
  <si>
    <t>https://gs.amac.org.cn/amac-infodisc/res/pof/fund/2301160956105305.html</t>
  </si>
  <si>
    <t>sheet2-计算明细：P257、R257、S257、AE257、AF257、AH257、AI257、AU257</t>
  </si>
  <si>
    <t>赢起隆华1期</t>
  </si>
  <si>
    <t>SZC360</t>
  </si>
  <si>
    <t>上海赢起</t>
  </si>
  <si>
    <t>赢起(上海)私募基金管理有限公司</t>
  </si>
  <si>
    <t>https://gs.amac.org.cn/amac-infodisc/res/pof/manager/1611081535100767.html</t>
  </si>
  <si>
    <t>赢起隆华1期私募证券投资基金</t>
  </si>
  <si>
    <t>https://gs.amac.org.cn/amac-infodisc/res/pof/fund/2301171711114464.html</t>
  </si>
  <si>
    <t>思益行稳致远1号</t>
  </si>
  <si>
    <t>SZC556</t>
  </si>
  <si>
    <t>海南思益</t>
  </si>
  <si>
    <t>海南思益私募基金管理合伙企业(有限合伙)</t>
  </si>
  <si>
    <t>https://gs.amac.org.cn/amac-infodisc/res/pof/manager/2204271712106058.html</t>
  </si>
  <si>
    <t>思益行稳致远1号私募证券投资基金</t>
  </si>
  <si>
    <t>https://gs.amac.org.cn/amac-infodisc/res/pof/fund/2301191725107252.html</t>
  </si>
  <si>
    <t>恒立卓越1号</t>
  </si>
  <si>
    <t>SZF893</t>
  </si>
  <si>
    <t>海南恒立</t>
  </si>
  <si>
    <t>海南恒立私募基金管理有限公司</t>
  </si>
  <si>
    <t>https://gs.amac.org.cn/amac-infodisc/res/pof/manager/2204132153103555.html</t>
  </si>
  <si>
    <t>恒立卓越私募证券投资基金1号</t>
  </si>
  <si>
    <t>2026年第1季度季度更新信息</t>
  </si>
  <si>
    <t>https://gs.amac.org.cn/amac-infodisc/res/pof/fund/2301291120104275.html</t>
  </si>
  <si>
    <t>辰元优选稳健私募证券投资基金</t>
  </si>
  <si>
    <t>辰元稳健2号私募证券投资基金</t>
  </si>
  <si>
    <t>江岳联接54期</t>
  </si>
  <si>
    <t>SZJ846</t>
  </si>
  <si>
    <t>西安江岳</t>
  </si>
  <si>
    <t>西安江岳私募基金管理有限公司</t>
  </si>
  <si>
    <t>https://gs.amac.org.cn/amac-infodisc/res/pof/manager/1703241729101117.html</t>
  </si>
  <si>
    <t>江岳联接54期私募证券投资基金</t>
  </si>
  <si>
    <t>https://gs.amac.org.cn/amac-infodisc/res/pof/fund/2302211738101079.html</t>
  </si>
  <si>
    <t>权舆金品1号</t>
  </si>
  <si>
    <t>SZJ896</t>
  </si>
  <si>
    <t>上海权舆</t>
  </si>
  <si>
    <t>上海权舆私募基金管理有限公司</t>
  </si>
  <si>
    <t>https://gs.amac.org.cn/amac-infodisc/res/pof/manager/2112210913109327.html</t>
  </si>
  <si>
    <t>权舆金品1号私募证券投资基金</t>
  </si>
  <si>
    <t>https://gs.amac.org.cn/amac-infodisc/res/pof/fund/2302241522101552.html</t>
  </si>
  <si>
    <t>言起投资价值成长1号</t>
  </si>
  <si>
    <t>SZL583</t>
  </si>
  <si>
    <t>言起投资价值成长1号私募证券投资基金</t>
  </si>
  <si>
    <t>https://gs.amac.org.cn/amac-infodisc/res/pof/fund/2302271500104378.html</t>
  </si>
  <si>
    <t>泰创稳增1号</t>
  </si>
  <si>
    <t>SZV527</t>
  </si>
  <si>
    <t>泰创稳增1号私募证券投资基金</t>
  </si>
  <si>
    <t>https://gs.amac.org.cn/amac-infodisc/res/pof/fund/2304172010100805.html</t>
  </si>
  <si>
    <t>悬铃君享CTA2号</t>
  </si>
  <si>
    <t>SZF199</t>
  </si>
  <si>
    <t>悬铃君享CTA2号私募证券投资基金</t>
  </si>
  <si>
    <t>https://gs.amac.org.cn/amac-infodisc/res/pof/fund/2304181515102191.html</t>
  </si>
  <si>
    <t>sheet2-计算明细：P268、R268、S268、AE268、AF268、AH268、AI268、AU268</t>
  </si>
  <si>
    <t>溋沣鸿运来星选1号</t>
  </si>
  <si>
    <t>S09408</t>
  </si>
  <si>
    <t>深圳前海溋沣资管</t>
  </si>
  <si>
    <t>深圳前海溋沣资本管理有限公司</t>
  </si>
  <si>
    <t>https://gs.amac.org.cn/amac-infodisc/res/pof/manager/1610131040102006.html</t>
  </si>
  <si>
    <t>溋沣鸿运来星选1号私募证券投资基金</t>
  </si>
  <si>
    <t>https://gs.amac.org.cn/amac-infodisc/res/pof/fund/2305191728100615.html</t>
  </si>
  <si>
    <t>鑫翰启明复合策略三期</t>
  </si>
  <si>
    <t>SZR346</t>
  </si>
  <si>
    <t>北京鑫翰资管</t>
  </si>
  <si>
    <t>北京鑫翰资本管理有限公司</t>
  </si>
  <si>
    <t>https://gs.amac.org.cn/amac-infodisc/res/pof/manager/1906200947105473.html</t>
  </si>
  <si>
    <t>鑫翰启明复合策略三期私募证券投资基金</t>
  </si>
  <si>
    <t>https://gs.amac.org.cn/amac-infodisc/res/pof/fund/2305312045104021.html</t>
  </si>
  <si>
    <t>金和至信稳健12号</t>
  </si>
  <si>
    <t>SB5534</t>
  </si>
  <si>
    <t>金和至信稳健12号私募证券投资基金</t>
  </si>
  <si>
    <t>https://gs.amac.org.cn/amac-infodisc/res/pof/fund/2308031614104375.html</t>
  </si>
  <si>
    <t>鸿儒灵活配置2期</t>
  </si>
  <si>
    <t>SB5918</t>
  </si>
  <si>
    <t>上海鸿儒投资</t>
  </si>
  <si>
    <t>上海鸿儒投资管理有限公司</t>
  </si>
  <si>
    <t>https://gs.amac.org.cn/amac-infodisc/res/pof/manager/1912121722101881.html</t>
  </si>
  <si>
    <t>鸿儒灵活配置2期私募证券投资基金</t>
  </si>
  <si>
    <t>https://gs.amac.org.cn/amac-infodisc/res/pof/fund/2308031614104654.html</t>
  </si>
  <si>
    <t>博普跨市场1号A类</t>
  </si>
  <si>
    <t>N5169A</t>
  </si>
  <si>
    <t>博益安盈精英1号A类</t>
  </si>
  <si>
    <t>L9566A</t>
  </si>
  <si>
    <t>sheet2-计算明细：P274、R274、S274、AE274、AF274、AH274、AI274、AU274</t>
  </si>
  <si>
    <t>东宏启航稳健1号</t>
  </si>
  <si>
    <t>SAAE31</t>
  </si>
  <si>
    <t>北京东宏世家资管</t>
  </si>
  <si>
    <t>北京东宏世家资产管理有限公司</t>
  </si>
  <si>
    <t>https://gs.amac.org.cn/amac-infodisc/res/pof/manager/101000028582.html</t>
  </si>
  <si>
    <t>东宏启航稳健1号私募证券投资基金</t>
  </si>
  <si>
    <t>https://gs.amac.org.cn/amac-infodisc/res/pof/fund/2308251717100782.html</t>
  </si>
  <si>
    <t>慕途基本面量化2号私募证券投资基金</t>
  </si>
  <si>
    <t>金和至信稳健13号</t>
  </si>
  <si>
    <t>SAAP55</t>
  </si>
  <si>
    <t>金和至信稳健13号私募证券投资基金</t>
  </si>
  <si>
    <t>https://gs.amac.org.cn/amac-infodisc/res/pof/fund/2309201921101838.html</t>
  </si>
  <si>
    <t>量宇进取1号</t>
  </si>
  <si>
    <t>SAEA78</t>
  </si>
  <si>
    <t>上海量宇</t>
  </si>
  <si>
    <t>上海量宇私募基金管理有限公司</t>
  </si>
  <si>
    <t>https://gs.amac.org.cn/amac-infodisc/res/pof/manager/1706281152106855.html</t>
  </si>
  <si>
    <t>量宇进取1号私募证券投资基金</t>
  </si>
  <si>
    <t>https://gs.amac.org.cn/amac-infodisc/res/pof/fund/2312121626109681.html</t>
  </si>
  <si>
    <t>野牛稳进2号</t>
  </si>
  <si>
    <t>SAFW30</t>
  </si>
  <si>
    <t>福建野牛资管</t>
  </si>
  <si>
    <t>福建野牛资产管理有限公司</t>
  </si>
  <si>
    <t>https://gs.amac.org.cn/amac-infodisc/res/pof/manager/101000032872.html</t>
  </si>
  <si>
    <t>野牛稳进2号私募证券投资基金</t>
  </si>
  <si>
    <t>https://gs.amac.org.cn/amac-infodisc/res/pof/fund/2401261627102833.html</t>
  </si>
  <si>
    <t>毅远稳健套利3号</t>
  </si>
  <si>
    <t>SAGG20</t>
  </si>
  <si>
    <t>毅远稳健套利3号私募证券投资基金</t>
  </si>
  <si>
    <t>https://gs.amac.org.cn/amac-infodisc/res/pof/fund/2401261627102402.html</t>
  </si>
  <si>
    <t>翎涵容克套利二号</t>
  </si>
  <si>
    <t>SAFY84</t>
  </si>
  <si>
    <t>上海翎涵</t>
  </si>
  <si>
    <t>上海翎涵私募基金管理有限公司</t>
  </si>
  <si>
    <t>https://gs.amac.org.cn/amac-infodisc/res/pof/manager/2204201120100789.html</t>
  </si>
  <si>
    <t>翎涵容克套利二号私募证券投资基金</t>
  </si>
  <si>
    <t>https://gs.amac.org.cn/amac-infodisc/res/pof/fund/2402021439101587.html</t>
  </si>
  <si>
    <t>兆信股指期货期权套利1号A类</t>
  </si>
  <si>
    <t>XN023A</t>
  </si>
  <si>
    <t>巨量边界周周开2号</t>
  </si>
  <si>
    <t>SAHY15</t>
  </si>
  <si>
    <t>巨量边界周周开2号私募证券投资基金</t>
  </si>
  <si>
    <t>https://gs.amac.org.cn/amac-infodisc/res/pof/fund/2404091602104237.html</t>
  </si>
  <si>
    <t>展弘-朝熠稳健1号</t>
  </si>
  <si>
    <t>SABF69</t>
  </si>
  <si>
    <t>上海展弘投资</t>
  </si>
  <si>
    <t>上海展弘投资管理有限公司</t>
  </si>
  <si>
    <t>https://gs.amac.org.cn/amac-infodisc/res/pof/manager/101000019470.html</t>
  </si>
  <si>
    <t>展弘-朝熠稳健1号私募证券投资基金</t>
  </si>
  <si>
    <t>https://gs.amac.org.cn/amac-infodisc/res/pof/fund/2406041456102076.html</t>
  </si>
  <si>
    <t>英旷专享2号</t>
  </si>
  <si>
    <t>SAKV28</t>
  </si>
  <si>
    <t>英旷专享2号私募证券投资基金</t>
  </si>
  <si>
    <t>https://gs.amac.org.cn/amac-infodisc/res/pof/fund/2406111146106143.html</t>
  </si>
  <si>
    <t>毅远稳健套利8号</t>
  </si>
  <si>
    <t>SAKX22</t>
  </si>
  <si>
    <t>毅远稳健套利8号私募证券投资基金</t>
  </si>
  <si>
    <t>https://gs.amac.org.cn/amac-infodisc/res/pof/fund/2407181355107082.html</t>
  </si>
  <si>
    <t>鑫翰启明贵金属套利1号</t>
  </si>
  <si>
    <t>SAME58</t>
  </si>
  <si>
    <t>鑫翰启明贵金属套利1号私募证券投资基金</t>
  </si>
  <si>
    <t>https://gs.amac.org.cn/amac-infodisc/res/pof/fund/2407221752101616.html</t>
  </si>
  <si>
    <t>朔方常青树1号</t>
  </si>
  <si>
    <t>SALV92</t>
  </si>
  <si>
    <t>青岛朔方投资</t>
  </si>
  <si>
    <t>青岛朔方投资管理有限公司</t>
  </si>
  <si>
    <t>https://gs.amac.org.cn/amac-infodisc/res/pof/manager/1811281032106554.html</t>
  </si>
  <si>
    <t>朔方常青树1号私募证券投资基金</t>
  </si>
  <si>
    <t>https://gs.amac.org.cn/amac-infodisc/res/pof/fund/2407311648101116.html</t>
  </si>
  <si>
    <t>九招真格量化套利一号B类</t>
  </si>
  <si>
    <t>QD546B</t>
  </si>
  <si>
    <t>sheet2-计算明细：P290、R290、S290、AE290、AF290、AH290、AI290、AU290</t>
  </si>
  <si>
    <t>溋沣鸿运来星选1号B类</t>
  </si>
  <si>
    <t>09408B</t>
  </si>
  <si>
    <t>殊馥馥源套利1号B类</t>
  </si>
  <si>
    <t>GM512B</t>
  </si>
  <si>
    <t>sheet2-计算明细：P292、R292、S292、AE292、AF292、AH292、AI292、AU292</t>
  </si>
  <si>
    <t>韵之盛沅</t>
  </si>
  <si>
    <t>SAER53</t>
  </si>
  <si>
    <t>韵之盛沅私募证券投资基金</t>
  </si>
  <si>
    <t>https://gs.amac.org.cn/amac-infodisc/res/pof/fund/2501021745130893.html</t>
  </si>
  <si>
    <t>智领泽临套利三号</t>
  </si>
  <si>
    <t>SATL73</t>
  </si>
  <si>
    <t>智领泽临套利三号私募证券投资基金</t>
  </si>
  <si>
    <t>https://gs.amac.org.cn/amac-infodisc/res/pof/fund/2501231608106383.html</t>
  </si>
  <si>
    <t>岳鑫遥3号A类</t>
  </si>
  <si>
    <t>XW818A</t>
  </si>
  <si>
    <t>惠隆金选套利1号B类</t>
  </si>
  <si>
    <t>QG026B</t>
  </si>
  <si>
    <t>庄贤亨贞期权对冲A类</t>
  </si>
  <si>
    <t>TW239A</t>
  </si>
  <si>
    <t>鑫翰启明贵金属套利1号B类</t>
  </si>
  <si>
    <t>AME58B</t>
  </si>
  <si>
    <t>灵涛卧龙A类</t>
  </si>
  <si>
    <t>EU753A</t>
  </si>
  <si>
    <t>sheet2-计算明细：P299、R299、S299、AE299、AF299、AH299、AI299、AU299</t>
  </si>
  <si>
    <t>泰创稳增1号A类</t>
  </si>
  <si>
    <t>ZV527A</t>
  </si>
  <si>
    <t>sheet2-计算明细：P300、R300、S300、AE300、AF300、AH300、AI300、AU300</t>
  </si>
  <si>
    <t>星汇天权1号</t>
  </si>
  <si>
    <t>SAVF65</t>
  </si>
  <si>
    <t>上海思达星汇</t>
  </si>
  <si>
    <t>上海思达星汇私募基金管理有限公司</t>
  </si>
  <si>
    <t>https://gs.amac.org.cn/amac-infodisc/res/pof/manager/2111041536100174.html</t>
  </si>
  <si>
    <t>星汇天权1号私募证券投资基金</t>
  </si>
  <si>
    <t>https://gs.amac.org.cn/amac-infodisc/res/pof/fund/2503191736101571.html</t>
  </si>
  <si>
    <t>盛冠达泽众9号</t>
  </si>
  <si>
    <t>SAWX37</t>
  </si>
  <si>
    <t>盛冠达泽众9号私募证券投资基金</t>
  </si>
  <si>
    <t>https://gs.amac.org.cn/amac-infodisc/res/pof/fund/2504171743100735.html</t>
  </si>
  <si>
    <t>金藏元金权一号</t>
  </si>
  <si>
    <t>SAWM56</t>
  </si>
  <si>
    <t>浙江金藏元投资</t>
  </si>
  <si>
    <t>浙江金藏元投资管理有限公司</t>
  </si>
  <si>
    <t>https://gs.amac.org.cn/amac-infodisc/res/pof/manager/101000046762.html</t>
  </si>
  <si>
    <t>金藏元金权一号私募证券投资基金</t>
  </si>
  <si>
    <t>https://gs.amac.org.cn/amac-infodisc/res/pof/fund/2504281741101651.html</t>
  </si>
  <si>
    <t>巨量边界ETF对冲1号B类</t>
  </si>
  <si>
    <t>AGT43B</t>
  </si>
  <si>
    <t>博时资本荣享增利1号</t>
  </si>
  <si>
    <t>SAXY28</t>
  </si>
  <si>
    <t>博时资本</t>
  </si>
  <si>
    <t>珠海和谐博时资本管理有限公司</t>
  </si>
  <si>
    <t>https://gs.amac.org.cn/amac-infodisc/res/pof/manager/101000031397.html</t>
  </si>
  <si>
    <t>展弘优选套利运作1号A类</t>
  </si>
  <si>
    <t>B2690A</t>
  </si>
  <si>
    <t>智领泽临套利六号私募证券投资基金</t>
  </si>
  <si>
    <t>中益仁梅香千寒私募证券投资基金</t>
  </si>
  <si>
    <t>鑫泰禾安赢3号</t>
  </si>
  <si>
    <t>SAZC08</t>
  </si>
  <si>
    <t>鑫泰禾安赢3号私募证券投资基金</t>
  </si>
  <si>
    <t>https://gs.amac.org.cn/amac-infodisc/res/pof/fund/2506261732108978.html</t>
  </si>
  <si>
    <t>炽浪马拉松17号</t>
  </si>
  <si>
    <t>SBAA24</t>
  </si>
  <si>
    <t>炽浪马拉松17号私募证券投资基金</t>
  </si>
  <si>
    <t>https://gs.amac.org.cn/amac-infodisc/res/pof/fund/2506261612100007.html</t>
  </si>
  <si>
    <t>六妙星滚雪粒1号A类</t>
  </si>
  <si>
    <t>ASB96A</t>
  </si>
  <si>
    <t>瑞桐悠光一号</t>
  </si>
  <si>
    <t>SBBL04</t>
  </si>
  <si>
    <t>杭州瑞桐</t>
  </si>
  <si>
    <t>瑞桐(杭州)私募基金管理有限公司</t>
  </si>
  <si>
    <t>https://gs.amac.org.cn/amac-infodisc/res/pof/manager/1807030904107580.html</t>
  </si>
  <si>
    <t>瑞桐悠光一号私募证券投资基金</t>
  </si>
  <si>
    <t>https://gs.amac.org.cn/amac-infodisc/res/pof/fund/2507221114106658.html</t>
  </si>
  <si>
    <t>骏远高价值成长6号</t>
  </si>
  <si>
    <t>SBBE42</t>
  </si>
  <si>
    <t>北京骏远资管</t>
  </si>
  <si>
    <t>北京骏远资产管理有限公司</t>
  </si>
  <si>
    <t>https://gs.amac.org.cn/amac-infodisc/res/pof/manager/101000036043.html</t>
  </si>
  <si>
    <t>骏远高价值成长6号私募证券投资基金</t>
  </si>
  <si>
    <t>https://gs.amac.org.cn/amac-infodisc/res/pof/fund/2507301304102059.html</t>
  </si>
  <si>
    <t>盛冠达泽众9号A类</t>
  </si>
  <si>
    <t>AWX37A</t>
  </si>
  <si>
    <t>鸿熵天然1号A类</t>
  </si>
  <si>
    <t>XU720A</t>
  </si>
  <si>
    <t>北京鸿熵</t>
  </si>
  <si>
    <t>北京鸿熵私募基金管理有限公司</t>
  </si>
  <si>
    <t>https://gs.amac.org.cn/amac-infodisc/res/pof/manager/101000011345.html</t>
  </si>
  <si>
    <t>锐耐复利倍增2号A类</t>
  </si>
  <si>
    <t>XV513A</t>
  </si>
  <si>
    <t>sheet2-计算明细：P316、R316、S316、AE316、AF316、AH316、AI316、AU316</t>
  </si>
  <si>
    <t>瑞倍稳聚1号D类</t>
  </si>
  <si>
    <t>ZF089D</t>
  </si>
  <si>
    <t>sheet2-计算明细：P317、R317、S317、AE317、AF317、AH317、AI317、AU317</t>
  </si>
  <si>
    <t>朔方常青树1号A类</t>
  </si>
  <si>
    <t>ALV92A</t>
  </si>
  <si>
    <t>星汇天权1号C类</t>
  </si>
  <si>
    <t>AVF65C</t>
  </si>
  <si>
    <t>乘舟紫荆1号B类</t>
  </si>
  <si>
    <t>XW399B</t>
  </si>
  <si>
    <t>金藏元金权一号B类</t>
  </si>
  <si>
    <t>AWM56B</t>
  </si>
  <si>
    <t>博普稳增3号A类</t>
  </si>
  <si>
    <t>W7191A</t>
  </si>
  <si>
    <t>sheet2-计算明细：P323、R323、S323、AE323、AF323、AH323、AI323、AU323</t>
  </si>
  <si>
    <t>守正卓越一号A类</t>
  </si>
  <si>
    <t>VY984A</t>
  </si>
  <si>
    <t>雁丰卓衍1号A类</t>
  </si>
  <si>
    <t>XX404A</t>
  </si>
  <si>
    <t>sheet2-计算明细：P325、R325、S325、AE325、AF325、AH325、AI325、AU325</t>
  </si>
  <si>
    <t>探针稳健一号A类</t>
  </si>
  <si>
    <t>JA891A</t>
  </si>
  <si>
    <t>上海探针投资</t>
  </si>
  <si>
    <t>上海探针投资有限公司</t>
  </si>
  <si>
    <t>https://gs.amac.org.cn/amac-infodisc/res/pof/manager/1611180856100664.html</t>
  </si>
  <si>
    <t>sheet2-计算明细：P326、R326、S326、AE326、AF326、AH326、AI326、AU326</t>
  </si>
  <si>
    <t>骏远高价值成长6号A类</t>
  </si>
  <si>
    <t>BBE42A</t>
  </si>
  <si>
    <t>中益仁梅香千寒A类</t>
  </si>
  <si>
    <t>BAF26A</t>
  </si>
  <si>
    <t>和熙新月1号A类</t>
  </si>
  <si>
    <t>JG287A</t>
  </si>
  <si>
    <t>量宇进取1号C类</t>
  </si>
  <si>
    <t>AEA78C</t>
  </si>
  <si>
    <t>核算指标</t>
  </si>
  <si>
    <t>83只表采用值</t>
  </si>
  <si>
    <t>压缩包独立复算值</t>
  </si>
  <si>
    <t>复算与采用值差</t>
  </si>
  <si>
    <t>核算结果</t>
  </si>
  <si>
    <t>依据或限制</t>
  </si>
  <si>
    <t>83只表位置</t>
  </si>
  <si>
    <t>净值计算位置</t>
  </si>
  <si>
    <t>近1年年化</t>
  </si>
  <si>
    <t>核算一致</t>
  </si>
  <si>
    <t>复权净值，绩效截止2026-09-04</t>
  </si>
  <si>
    <t>近3年年化</t>
  </si>
  <si>
    <t>L33</t>
  </si>
  <si>
    <t>O33</t>
  </si>
  <si>
    <t>O32</t>
  </si>
  <si>
    <t>近3年最大回撤</t>
  </si>
  <si>
    <t>M33</t>
  </si>
  <si>
    <t>近3年卡玛</t>
  </si>
  <si>
    <t>N33</t>
  </si>
  <si>
    <t>近1年卡玛</t>
  </si>
  <si>
    <t>N32</t>
  </si>
  <si>
    <t>L34</t>
  </si>
  <si>
    <t>L26</t>
  </si>
  <si>
    <t>L27</t>
  </si>
  <si>
    <t>O27</t>
  </si>
  <si>
    <t>O26</t>
  </si>
  <si>
    <t>N27</t>
  </si>
  <si>
    <t>N26</t>
  </si>
  <si>
    <t>L28</t>
  </si>
  <si>
    <t>历史不足，不能独立核算</t>
  </si>
  <si>
    <t>G15</t>
  </si>
  <si>
    <t>H15</t>
  </si>
  <si>
    <t>L9</t>
  </si>
  <si>
    <t>I15</t>
  </si>
  <si>
    <t>O9</t>
  </si>
  <si>
    <t>J15</t>
  </si>
  <si>
    <t>O8</t>
  </si>
  <si>
    <t>K15</t>
  </si>
  <si>
    <t>M9</t>
  </si>
  <si>
    <t>L15</t>
  </si>
  <si>
    <t>N9</t>
  </si>
  <si>
    <t>M15</t>
  </si>
  <si>
    <t>N8</t>
  </si>
  <si>
    <t>S15</t>
  </si>
  <si>
    <t>L10</t>
  </si>
  <si>
    <t>G16</t>
  </si>
  <si>
    <t>L11</t>
  </si>
  <si>
    <t>H16</t>
  </si>
  <si>
    <t>L12</t>
  </si>
  <si>
    <t>I16</t>
  </si>
  <si>
    <t>O12</t>
  </si>
  <si>
    <t>J16</t>
  </si>
  <si>
    <t>O11</t>
  </si>
  <si>
    <t>K16</t>
  </si>
  <si>
    <t>M12</t>
  </si>
  <si>
    <t>L16</t>
  </si>
  <si>
    <t>N12</t>
  </si>
  <si>
    <t>M16</t>
  </si>
  <si>
    <t>N11</t>
  </si>
  <si>
    <t>不足一年年化，保留83只表值并提示</t>
  </si>
  <si>
    <t>成立不足一年，不年化；累计收益另列</t>
  </si>
  <si>
    <t>L13</t>
  </si>
  <si>
    <t>L68</t>
  </si>
  <si>
    <t>H25</t>
  </si>
  <si>
    <t>L69</t>
  </si>
  <si>
    <t>I25</t>
  </si>
  <si>
    <t>O69</t>
  </si>
  <si>
    <t>J25</t>
  </si>
  <si>
    <t>O68</t>
  </si>
  <si>
    <t>K25</t>
  </si>
  <si>
    <t>M69</t>
  </si>
  <si>
    <t>L25</t>
  </si>
  <si>
    <t>N69</t>
  </si>
  <si>
    <t>N68</t>
  </si>
  <si>
    <t>L70</t>
  </si>
  <si>
    <t>L71</t>
  </si>
  <si>
    <t>H26</t>
  </si>
  <si>
    <t>L72</t>
  </si>
  <si>
    <t>I26</t>
  </si>
  <si>
    <t>O72</t>
  </si>
  <si>
    <t>O71</t>
  </si>
  <si>
    <t>K26</t>
  </si>
  <si>
    <t>M72</t>
  </si>
  <si>
    <t>N72</t>
  </si>
  <si>
    <t>N71</t>
  </si>
  <si>
    <t>S26</t>
  </si>
  <si>
    <t>L73</t>
  </si>
  <si>
    <t>L74</t>
  </si>
  <si>
    <t>H27</t>
  </si>
  <si>
    <t>L75</t>
  </si>
  <si>
    <t>I27</t>
  </si>
  <si>
    <t>O75</t>
  </si>
  <si>
    <t>J27</t>
  </si>
  <si>
    <t>O74</t>
  </si>
  <si>
    <t>K27</t>
  </si>
  <si>
    <t>M75</t>
  </si>
  <si>
    <t>N75</t>
  </si>
  <si>
    <t>N74</t>
  </si>
  <si>
    <t>S27</t>
  </si>
  <si>
    <t>L76</t>
  </si>
  <si>
    <t>L59</t>
  </si>
  <si>
    <t>H28</t>
  </si>
  <si>
    <t>I28</t>
  </si>
  <si>
    <t>O60</t>
  </si>
  <si>
    <t>O59</t>
  </si>
  <si>
    <t>K28</t>
  </si>
  <si>
    <t>N60</t>
  </si>
  <si>
    <t>N59</t>
  </si>
  <si>
    <t>L61</t>
  </si>
  <si>
    <t>G29</t>
  </si>
  <si>
    <t>L14</t>
  </si>
  <si>
    <t>H29</t>
  </si>
  <si>
    <t>I29</t>
  </si>
  <si>
    <t>O15</t>
  </si>
  <si>
    <t>J29</t>
  </si>
  <si>
    <t>O14</t>
  </si>
  <si>
    <t>K29</t>
  </si>
  <si>
    <t>L29</t>
  </si>
  <si>
    <t>N15</t>
  </si>
  <si>
    <t>M29</t>
  </si>
  <si>
    <t>N14</t>
  </si>
  <si>
    <t>存在差异，以83只表为准</t>
  </si>
  <si>
    <t>G31</t>
  </si>
  <si>
    <t>L47</t>
  </si>
  <si>
    <t>H31</t>
  </si>
  <si>
    <t>L48</t>
  </si>
  <si>
    <t>I31</t>
  </si>
  <si>
    <t>O48</t>
  </si>
  <si>
    <t>J31</t>
  </si>
  <si>
    <t>O47</t>
  </si>
  <si>
    <t>K31</t>
  </si>
  <si>
    <t>M48</t>
  </si>
  <si>
    <t>L31</t>
  </si>
  <si>
    <t>N48</t>
  </si>
  <si>
    <t>M31</t>
  </si>
  <si>
    <t>N47</t>
  </si>
  <si>
    <t>S31</t>
  </si>
  <si>
    <t>L49</t>
  </si>
  <si>
    <t>L62</t>
  </si>
  <si>
    <t>L63</t>
  </si>
  <si>
    <t>I32</t>
  </si>
  <si>
    <t>O63</t>
  </si>
  <si>
    <t>J32</t>
  </si>
  <si>
    <t>O62</t>
  </si>
  <si>
    <t>M63</t>
  </si>
  <si>
    <t>N63</t>
  </si>
  <si>
    <t>N62</t>
  </si>
  <si>
    <t>L64</t>
  </si>
  <si>
    <t>G33</t>
  </si>
  <si>
    <t>H33</t>
  </si>
  <si>
    <t>L36</t>
  </si>
  <si>
    <t>I33</t>
  </si>
  <si>
    <t>O36</t>
  </si>
  <si>
    <t>J33</t>
  </si>
  <si>
    <t>O35</t>
  </si>
  <si>
    <t>K33</t>
  </si>
  <si>
    <t>M36</t>
  </si>
  <si>
    <t>N36</t>
  </si>
  <si>
    <t>N35</t>
  </si>
  <si>
    <t>L37</t>
  </si>
  <si>
    <t>L56</t>
  </si>
  <si>
    <t>H34</t>
  </si>
  <si>
    <t>I34</t>
  </si>
  <si>
    <t>O57</t>
  </si>
  <si>
    <t>O56</t>
  </si>
  <si>
    <t>K34</t>
  </si>
  <si>
    <t>N57</t>
  </si>
  <si>
    <t>N56</t>
  </si>
  <si>
    <t>S34</t>
  </si>
  <si>
    <t>L58</t>
  </si>
  <si>
    <t>L53</t>
  </si>
  <si>
    <t>L54</t>
  </si>
  <si>
    <t>O54</t>
  </si>
  <si>
    <t>O53</t>
  </si>
  <si>
    <t>M54</t>
  </si>
  <si>
    <t>N54</t>
  </si>
  <si>
    <t>N53</t>
  </si>
  <si>
    <t>L55</t>
  </si>
  <si>
    <t>G37</t>
  </si>
  <si>
    <t>L77</t>
  </si>
  <si>
    <t>H37</t>
  </si>
  <si>
    <t>L78</t>
  </si>
  <si>
    <t>I37</t>
  </si>
  <si>
    <t>O78</t>
  </si>
  <si>
    <t>J37</t>
  </si>
  <si>
    <t>O77</t>
  </si>
  <si>
    <t>K37</t>
  </si>
  <si>
    <t>M78</t>
  </si>
  <si>
    <t>N78</t>
  </si>
  <si>
    <r>
      <t>龙壹盛善时</t>
    </r>
    <r>
      <rPr>
        <sz val="10"/>
        <rFont val="Arial"/>
        <charset val="134"/>
      </rPr>
      <t>1</t>
    </r>
    <r>
      <rPr>
        <sz val="10"/>
        <rFont val="宋体-简"/>
        <charset val="134"/>
      </rPr>
      <t>号净值</t>
    </r>
    <r>
      <rPr>
        <sz val="10"/>
        <rFont val="Arial"/>
        <charset val="134"/>
      </rPr>
      <t>20260911.xlsx</t>
    </r>
  </si>
  <si>
    <t>M37</t>
  </si>
  <si>
    <t>N77</t>
  </si>
  <si>
    <t>S37</t>
  </si>
  <si>
    <t>L79</t>
  </si>
  <si>
    <t>L41</t>
  </si>
  <si>
    <t>L42</t>
  </si>
  <si>
    <t>O42</t>
  </si>
  <si>
    <t>O41</t>
  </si>
  <si>
    <t>M42</t>
  </si>
  <si>
    <t>N42</t>
  </si>
  <si>
    <t>N41</t>
  </si>
  <si>
    <t>L43</t>
  </si>
  <si>
    <t>G52</t>
  </si>
  <si>
    <t>L65</t>
  </si>
  <si>
    <t>H52</t>
  </si>
  <si>
    <t>L66</t>
  </si>
  <si>
    <t>I52</t>
  </si>
  <si>
    <t>O66</t>
  </si>
  <si>
    <t>J52</t>
  </si>
  <si>
    <t>O65</t>
  </si>
  <si>
    <t>K52</t>
  </si>
  <si>
    <t>M66</t>
  </si>
  <si>
    <t>L52</t>
  </si>
  <si>
    <t>N66</t>
  </si>
  <si>
    <t>M52</t>
  </si>
  <si>
    <t>N65</t>
  </si>
  <si>
    <t>S52</t>
  </si>
  <si>
    <t>L38</t>
  </si>
  <si>
    <t>H53</t>
  </si>
  <si>
    <t>L39</t>
  </si>
  <si>
    <t>I53</t>
  </si>
  <si>
    <t>O39</t>
  </si>
  <si>
    <t>O38</t>
  </si>
  <si>
    <t>K53</t>
  </si>
  <si>
    <t>M39</t>
  </si>
  <si>
    <t>N39</t>
  </si>
  <si>
    <t>N38</t>
  </si>
  <si>
    <t>L40</t>
  </si>
  <si>
    <t>L30</t>
  </si>
  <si>
    <t>O30</t>
  </si>
  <si>
    <t>O29</t>
  </si>
  <si>
    <t>M30</t>
  </si>
  <si>
    <t>N30</t>
  </si>
  <si>
    <t>N29</t>
  </si>
  <si>
    <t>G59</t>
  </si>
  <si>
    <t>L2</t>
  </si>
  <si>
    <t>H59</t>
  </si>
  <si>
    <t>I59</t>
  </si>
  <si>
    <t>O3</t>
  </si>
  <si>
    <t>J59</t>
  </si>
  <si>
    <t>O2</t>
  </si>
  <si>
    <t>K59</t>
  </si>
  <si>
    <t>N3</t>
  </si>
  <si>
    <t>M59</t>
  </si>
  <si>
    <t>N2</t>
  </si>
  <si>
    <t>S59</t>
  </si>
  <si>
    <t>L4</t>
  </si>
  <si>
    <t>L5</t>
  </si>
  <si>
    <t>L6</t>
  </si>
  <si>
    <t>I60</t>
  </si>
  <si>
    <t>O6</t>
  </si>
  <si>
    <t>J60</t>
  </si>
  <si>
    <t>O5</t>
  </si>
  <si>
    <t>M6</t>
  </si>
  <si>
    <t>N6</t>
  </si>
  <si>
    <t>N5</t>
  </si>
  <si>
    <t>L7</t>
  </si>
  <si>
    <t>L44</t>
  </si>
  <si>
    <t>L45</t>
  </si>
  <si>
    <t>O45</t>
  </si>
  <si>
    <t>O44</t>
  </si>
  <si>
    <t>M45</t>
  </si>
  <si>
    <t>N45</t>
  </si>
  <si>
    <t>N44</t>
  </si>
  <si>
    <t>S67</t>
  </si>
  <si>
    <t>L46</t>
  </si>
  <si>
    <t>L23</t>
  </si>
  <si>
    <t>H76</t>
  </si>
  <si>
    <t>L24</t>
  </si>
  <si>
    <t>I76</t>
  </si>
  <si>
    <t>O24</t>
  </si>
  <si>
    <t>O23</t>
  </si>
  <si>
    <t>K76</t>
  </si>
  <si>
    <t>M24</t>
  </si>
  <si>
    <t>N24</t>
  </si>
  <si>
    <t>N23</t>
  </si>
  <si>
    <t>G77</t>
  </si>
  <si>
    <t>L20</t>
  </si>
  <si>
    <t>H77</t>
  </si>
  <si>
    <t>L21</t>
  </si>
  <si>
    <t>I77</t>
  </si>
  <si>
    <t>O21</t>
  </si>
  <si>
    <t>J77</t>
  </si>
  <si>
    <t>O20</t>
  </si>
  <si>
    <t>K77</t>
  </si>
  <si>
    <t>M21</t>
  </si>
  <si>
    <t>N21</t>
  </si>
  <si>
    <t>M77</t>
  </si>
  <si>
    <t>N20</t>
  </si>
  <si>
    <t>S77</t>
  </si>
  <si>
    <t>L22</t>
  </si>
  <si>
    <t>G78</t>
  </si>
  <si>
    <t>H78</t>
  </si>
  <si>
    <t>L51</t>
  </si>
  <si>
    <t>I78</t>
  </si>
  <si>
    <t>O51</t>
  </si>
  <si>
    <t>J78</t>
  </si>
  <si>
    <t>O50</t>
  </si>
  <si>
    <t>K78</t>
  </si>
  <si>
    <t>M51</t>
  </si>
  <si>
    <t>N51</t>
  </si>
  <si>
    <t>N50</t>
  </si>
  <si>
    <t>S78</t>
  </si>
  <si>
    <t>L17</t>
  </si>
  <si>
    <t>H84</t>
  </si>
  <si>
    <t>L18</t>
  </si>
  <si>
    <t>I84</t>
  </si>
  <si>
    <t>O18</t>
  </si>
  <si>
    <t>O17</t>
  </si>
  <si>
    <t>K84</t>
  </si>
  <si>
    <t>M18</t>
  </si>
  <si>
    <t>L84</t>
  </si>
  <si>
    <t>N18</t>
  </si>
  <si>
    <t>N17</t>
  </si>
  <si>
    <t>S84</t>
  </si>
  <si>
    <t>L19</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</si>
</sst>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
    <numFmt numFmtId="177" formatCode="yyyy\-mm\-dd"/>
    <numFmt numFmtId="178" formatCode="0.0%"/>
    <numFmt numFmtId="179" formatCode="0.0000"/>
    <numFmt numFmtId="180" formatCode="0.00%;[Red]\-0.00%;0.00%"/>
    <numFmt numFmtId="181" formatCode="0.0000;[Red]\(0.0000\);\-"/>
  </numFmts>
  <fonts count="36">
    <font>
      <sz val="11"/>
      <name val="Carlito"/>
      <charset val="134"/>
    </font>
    <font>
      <b/>
      <sz val="10"/>
      <color rgb="FFFFFFFF"/>
      <name val="Arial"/>
      <charset val="134"/>
    </font>
    <font>
      <sz val="10"/>
      <name val="Arial"/>
      <charset val="134"/>
    </font>
    <font>
      <sz val="10"/>
      <name val="宋体-简"/>
      <charset val="134"/>
    </font>
    <font>
      <sz val="10"/>
      <color rgb="FF172B4D"/>
      <name val="Arial"/>
      <charset val="134"/>
    </font>
    <font>
      <b/>
      <sz val="15"/>
      <color rgb="FF172B4D"/>
      <name val="Arial"/>
      <charset val="134"/>
    </font>
    <font>
      <sz val="10"/>
      <color rgb="FFFFFFFF"/>
      <name val="Arial"/>
      <charset val="134"/>
    </font>
    <font>
      <sz val="10"/>
      <color rgb="FF008000"/>
      <name val="Arial"/>
      <charset val="134"/>
    </font>
    <font>
      <sz val="10"/>
      <color rgb="FF008000"/>
      <name val="宋体-简"/>
      <charset val="134"/>
    </font>
    <font>
      <sz val="11"/>
      <color rgb="FF008000"/>
      <name val="Carlito"/>
      <charset val="134"/>
    </font>
    <font>
      <b/>
      <sz val="11"/>
      <color rgb="FFFFFFFF"/>
      <name val="Carlito"/>
      <charset val="134"/>
    </font>
    <font>
      <b/>
      <sz val="10"/>
      <color rgb="FF172B4D"/>
      <name val="Arial"/>
      <charset val="134"/>
    </font>
    <font>
      <b/>
      <sz val="11"/>
      <name val="Carlito"/>
      <charset val="134"/>
    </font>
    <font>
      <sz val="10"/>
      <color rgb="FF0000FF"/>
      <name val="Arial"/>
      <charset val="134"/>
    </font>
    <font>
      <b/>
      <sz val="11"/>
      <color rgb="FFFFFFFF"/>
      <name val="STHeiti"/>
      <charset val="134"/>
    </font>
    <font>
      <sz val="11"/>
      <name val="STHeiti"/>
      <charset val="134"/>
    </font>
    <font>
      <b/>
      <sz val="11"/>
      <color rgb="FF375623"/>
      <name val="STHeiti"/>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8">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EAF0F7"/>
        <bgColor indexed="64"/>
      </patternFill>
    </fill>
    <fill>
      <patternFill patternType="solid">
        <fgColor rgb="FFFFF5CC"/>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5">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style="thin">
        <color rgb="FFFFFFFF"/>
      </right>
      <top/>
      <bottom style="thin">
        <color rgb="FFCBD5E1"/>
      </bottom>
      <diagonal/>
    </border>
    <border>
      <left style="thin">
        <color rgb="FFFFFFFF"/>
      </left>
      <right style="thin">
        <color rgb="FFFFFFFF"/>
      </right>
      <top/>
      <bottom style="thin">
        <color rgb="FFCBD5E1"/>
      </bottom>
      <diagonal/>
    </border>
    <border>
      <left style="thin">
        <color rgb="FFFFFFFF"/>
      </left>
      <right/>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17" fillId="0" borderId="0">
      <alignment vertical="center"/>
    </xf>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7" borderId="7"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5" fillId="0" borderId="0" applyNumberFormat="0" applyFill="0" applyBorder="0" applyAlignment="0" applyProtection="0">
      <alignment vertical="center"/>
    </xf>
    <xf numFmtId="0" fontId="26" fillId="8" borderId="10" applyNumberFormat="0" applyAlignment="0" applyProtection="0">
      <alignment vertical="center"/>
    </xf>
    <xf numFmtId="0" fontId="27" fillId="9" borderId="11" applyNumberFormat="0" applyAlignment="0" applyProtection="0">
      <alignment vertical="center"/>
    </xf>
    <xf numFmtId="0" fontId="28" fillId="9" borderId="10" applyNumberFormat="0" applyAlignment="0" applyProtection="0">
      <alignment vertical="center"/>
    </xf>
    <xf numFmtId="0" fontId="29" fillId="10" borderId="12" applyNumberFormat="0" applyAlignment="0" applyProtection="0">
      <alignment vertical="center"/>
    </xf>
    <xf numFmtId="0" fontId="30" fillId="0" borderId="13" applyNumberFormat="0" applyFill="0" applyAlignment="0" applyProtection="0">
      <alignment vertical="center"/>
    </xf>
    <xf numFmtId="0" fontId="31" fillId="0" borderId="14" applyNumberFormat="0" applyFill="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17" fillId="35" borderId="0" applyNumberFormat="0" applyBorder="0" applyAlignment="0" applyProtection="0">
      <alignment vertical="center"/>
    </xf>
    <xf numFmtId="0" fontId="17" fillId="36" borderId="0" applyNumberFormat="0" applyBorder="0" applyAlignment="0" applyProtection="0">
      <alignment vertical="center"/>
    </xf>
    <xf numFmtId="0" fontId="35" fillId="37" borderId="0" applyNumberFormat="0" applyBorder="0" applyAlignment="0" applyProtection="0">
      <alignment vertical="center"/>
    </xf>
    <xf numFmtId="0" fontId="0" fillId="0" borderId="0"/>
  </cellStyleXfs>
  <cellXfs count="74">
    <xf numFmtId="0" fontId="0" fillId="0" borderId="0" xfId="49"/>
    <xf numFmtId="0" fontId="1" fillId="2" borderId="0" xfId="0" applyNumberFormat="1" applyFont="1" applyFill="1" applyBorder="1" applyAlignment="1">
      <alignment wrapText="1"/>
    </xf>
    <xf numFmtId="0" fontId="2" fillId="0" borderId="0" xfId="0" applyNumberFormat="1" applyFont="1" applyFill="1" applyBorder="1" applyAlignment="1"/>
    <xf numFmtId="176" fontId="2" fillId="0" borderId="0" xfId="0" applyNumberFormat="1" applyFont="1" applyFill="1" applyBorder="1" applyAlignment="1"/>
    <xf numFmtId="176" fontId="2" fillId="3" borderId="0" xfId="0" applyNumberFormat="1" applyFont="1" applyFill="1" applyBorder="1" applyAlignment="1"/>
    <xf numFmtId="0" fontId="2" fillId="3" borderId="0" xfId="0" applyNumberFormat="1" applyFont="1" applyFill="1" applyBorder="1" applyAlignment="1"/>
    <xf numFmtId="0" fontId="3" fillId="0" borderId="0" xfId="0" applyNumberFormat="1" applyFont="1" applyFill="1" applyBorder="1" applyAlignment="1"/>
    <xf numFmtId="0" fontId="1" fillId="2" borderId="1" xfId="0" applyNumberFormat="1" applyFont="1" applyFill="1" applyBorder="1" applyAlignment="1">
      <alignment horizontal="center" vertical="center" wrapText="1"/>
    </xf>
    <xf numFmtId="0" fontId="1" fillId="2" borderId="2" xfId="0" applyNumberFormat="1" applyFont="1" applyFill="1" applyBorder="1" applyAlignment="1">
      <alignment horizontal="center" vertical="center" wrapText="1"/>
    </xf>
    <xf numFmtId="0" fontId="4" fillId="0" borderId="0" xfId="0" applyNumberFormat="1" applyFont="1" applyFill="1" applyBorder="1" applyAlignment="1">
      <alignment vertical="center"/>
    </xf>
    <xf numFmtId="177" fontId="4" fillId="0" borderId="0" xfId="0" applyNumberFormat="1" applyFont="1" applyFill="1" applyBorder="1" applyAlignment="1">
      <alignment vertical="center"/>
    </xf>
    <xf numFmtId="10" fontId="4" fillId="0" borderId="0" xfId="0" applyNumberFormat="1" applyFont="1" applyFill="1" applyBorder="1" applyAlignment="1">
      <alignment vertical="center"/>
    </xf>
    <xf numFmtId="178" fontId="4" fillId="0" borderId="0" xfId="0" applyNumberFormat="1" applyFont="1" applyFill="1" applyBorder="1" applyAlignment="1">
      <alignment vertical="center"/>
    </xf>
    <xf numFmtId="2" fontId="4" fillId="0" borderId="0" xfId="0" applyNumberFormat="1" applyFont="1" applyFill="1" applyBorder="1" applyAlignment="1">
      <alignment vertical="center"/>
    </xf>
    <xf numFmtId="0" fontId="1" fillId="2" borderId="3" xfId="0" applyNumberFormat="1" applyFont="1" applyFill="1" applyBorder="1" applyAlignment="1">
      <alignment horizontal="center" vertical="center" wrapText="1"/>
    </xf>
    <xf numFmtId="176" fontId="4" fillId="0" borderId="0" xfId="0" applyNumberFormat="1" applyFont="1" applyFill="1" applyBorder="1" applyAlignment="1">
      <alignment vertical="center"/>
    </xf>
    <xf numFmtId="0" fontId="5" fillId="0" borderId="0" xfId="0" applyNumberFormat="1" applyFont="1" applyFill="1" applyBorder="1" applyAlignment="1">
      <alignment vertical="center"/>
    </xf>
    <xf numFmtId="179" fontId="4" fillId="0" borderId="0" xfId="0" applyNumberFormat="1" applyFont="1" applyFill="1" applyBorder="1" applyAlignment="1">
      <alignment vertical="center"/>
    </xf>
    <xf numFmtId="0" fontId="4" fillId="0" borderId="0" xfId="0" applyNumberFormat="1" applyFont="1" applyFill="1" applyBorder="1" applyAlignment="1">
      <alignment vertical="center" wrapText="1"/>
    </xf>
    <xf numFmtId="0" fontId="6" fillId="2" borderId="0" xfId="0" applyNumberFormat="1" applyFont="1" applyFill="1" applyBorder="1" applyAlignment="1">
      <alignment vertical="center"/>
    </xf>
    <xf numFmtId="0" fontId="1" fillId="2" borderId="4" xfId="49" applyNumberFormat="1" applyFont="1" applyFill="1" applyBorder="1" applyAlignment="1">
      <alignment horizontal="center" vertical="center" wrapText="1"/>
    </xf>
    <xf numFmtId="0" fontId="1" fillId="2" borderId="5" xfId="49" applyNumberFormat="1" applyFont="1" applyFill="1" applyBorder="1" applyAlignment="1">
      <alignment horizontal="center" vertical="center" wrapText="1"/>
    </xf>
    <xf numFmtId="0" fontId="7" fillId="0" borderId="0" xfId="49" applyNumberFormat="1" applyFont="1" applyFill="1" applyBorder="1" applyAlignment="1">
      <alignment vertical="center"/>
    </xf>
    <xf numFmtId="177" fontId="7" fillId="0" borderId="0" xfId="49" applyNumberFormat="1" applyFont="1" applyFill="1" applyBorder="1" applyAlignment="1">
      <alignment vertical="center"/>
    </xf>
    <xf numFmtId="0" fontId="7" fillId="0" borderId="0" xfId="49" applyNumberFormat="1" applyFont="1" applyFill="1" applyBorder="1" applyAlignment="1">
      <alignment vertical="center" wrapText="1"/>
    </xf>
    <xf numFmtId="1" fontId="7" fillId="0" borderId="0" xfId="49" applyNumberFormat="1" applyFont="1" applyFill="1" applyBorder="1" applyAlignment="1">
      <alignment vertical="center"/>
    </xf>
    <xf numFmtId="10" fontId="7" fillId="0" borderId="0" xfId="49" applyNumberFormat="1" applyFont="1" applyFill="1" applyBorder="1" applyAlignment="1">
      <alignment vertical="center"/>
    </xf>
    <xf numFmtId="0" fontId="1" fillId="2" borderId="6" xfId="49" applyNumberFormat="1" applyFont="1" applyFill="1" applyBorder="1" applyAlignment="1">
      <alignment horizontal="center" vertical="center" wrapText="1"/>
    </xf>
    <xf numFmtId="0" fontId="8" fillId="0" borderId="0" xfId="49" applyNumberFormat="1" applyFont="1" applyFill="1" applyBorder="1" applyAlignment="1">
      <alignment vertical="center"/>
    </xf>
    <xf numFmtId="10" fontId="7" fillId="0" borderId="0" xfId="0" applyNumberFormat="1" applyFont="1" applyFill="1" applyBorder="1" applyAlignment="1">
      <alignment vertical="center"/>
    </xf>
    <xf numFmtId="179" fontId="7" fillId="0" borderId="0" xfId="49" applyNumberFormat="1" applyFont="1" applyFill="1" applyBorder="1" applyAlignment="1">
      <alignment vertical="center"/>
    </xf>
    <xf numFmtId="179" fontId="7" fillId="0" borderId="0" xfId="0" applyNumberFormat="1" applyFont="1" applyFill="1" applyBorder="1" applyAlignment="1">
      <alignment vertical="center"/>
    </xf>
    <xf numFmtId="10" fontId="0" fillId="0" borderId="0" xfId="0" applyNumberFormat="1" applyFont="1" applyFill="1" applyBorder="1" applyAlignment="1"/>
    <xf numFmtId="1" fontId="0" fillId="0" borderId="0" xfId="0" applyNumberFormat="1" applyFont="1" applyFill="1" applyBorder="1" applyAlignment="1"/>
    <xf numFmtId="10" fontId="9" fillId="0" borderId="0" xfId="0" applyNumberFormat="1" applyFont="1" applyFill="1" applyBorder="1" applyAlignment="1"/>
    <xf numFmtId="0" fontId="5" fillId="0" borderId="0" xfId="49" applyNumberFormat="1" applyFont="1" applyFill="1" applyBorder="1" applyAlignment="1">
      <alignment vertical="center"/>
    </xf>
    <xf numFmtId="0" fontId="4" fillId="0" borderId="0" xfId="49" applyNumberFormat="1" applyFont="1" applyFill="1" applyBorder="1" applyAlignment="1">
      <alignment vertical="center"/>
    </xf>
    <xf numFmtId="2" fontId="4" fillId="0" borderId="0" xfId="49" applyNumberFormat="1" applyFont="1" applyFill="1" applyBorder="1" applyAlignment="1">
      <alignment vertical="center"/>
    </xf>
    <xf numFmtId="178" fontId="4" fillId="0" borderId="0" xfId="49" applyNumberFormat="1" applyFont="1" applyFill="1" applyBorder="1" applyAlignment="1">
      <alignment vertical="center"/>
    </xf>
    <xf numFmtId="0" fontId="4" fillId="0" borderId="0" xfId="49" applyNumberFormat="1" applyFont="1" applyFill="1" applyBorder="1" applyAlignment="1">
      <alignment vertical="center" wrapText="1"/>
    </xf>
    <xf numFmtId="1" fontId="4" fillId="0" borderId="0" xfId="49" applyNumberFormat="1" applyFont="1" applyFill="1" applyBorder="1" applyAlignment="1">
      <alignment vertical="center"/>
    </xf>
    <xf numFmtId="0" fontId="10" fillId="0" borderId="0" xfId="0" applyNumberFormat="1" applyFont="1" applyFill="1" applyBorder="1" applyAlignment="1">
      <alignment vertical="center"/>
    </xf>
    <xf numFmtId="9" fontId="4" fillId="0" borderId="0" xfId="49" applyNumberFormat="1" applyFont="1" applyFill="1" applyBorder="1" applyAlignment="1">
      <alignment vertical="center"/>
    </xf>
    <xf numFmtId="177" fontId="4" fillId="0" borderId="0" xfId="49" applyNumberFormat="1" applyFont="1" applyFill="1" applyBorder="1" applyAlignment="1">
      <alignment vertical="center"/>
    </xf>
    <xf numFmtId="49" fontId="7" fillId="0" borderId="0" xfId="49" applyNumberFormat="1" applyFont="1" applyFill="1" applyBorder="1" applyAlignment="1">
      <alignment vertical="center"/>
    </xf>
    <xf numFmtId="10" fontId="4" fillId="0" borderId="0" xfId="49" applyNumberFormat="1" applyFont="1" applyFill="1" applyBorder="1" applyAlignment="1">
      <alignment vertical="center"/>
    </xf>
    <xf numFmtId="2" fontId="4" fillId="0" borderId="0" xfId="49" applyNumberFormat="1" applyFont="1" applyFill="1" applyBorder="1" applyAlignment="1">
      <alignment vertical="center" wrapText="1"/>
    </xf>
    <xf numFmtId="0" fontId="6" fillId="2" borderId="0" xfId="0" applyNumberFormat="1" applyFont="1" applyFill="1" applyBorder="1" applyAlignment="1">
      <alignment wrapText="1"/>
    </xf>
    <xf numFmtId="179" fontId="2" fillId="0" borderId="0" xfId="0" applyNumberFormat="1" applyFont="1" applyFill="1" applyBorder="1" applyAlignment="1"/>
    <xf numFmtId="178" fontId="2" fillId="0" borderId="0" xfId="0" applyNumberFormat="1" applyFont="1" applyFill="1" applyBorder="1" applyAlignment="1"/>
    <xf numFmtId="49" fontId="4" fillId="0" borderId="0" xfId="49" applyNumberFormat="1" applyFont="1" applyFill="1" applyBorder="1" applyAlignment="1">
      <alignment vertical="center" wrapText="1"/>
    </xf>
    <xf numFmtId="0" fontId="11" fillId="4" borderId="0" xfId="49" applyNumberFormat="1" applyFont="1" applyFill="1" applyBorder="1" applyAlignment="1">
      <alignment vertical="center" wrapText="1"/>
    </xf>
    <xf numFmtId="0" fontId="4" fillId="4" borderId="0" xfId="49" applyNumberFormat="1" applyFont="1" applyFill="1" applyBorder="1" applyAlignment="1">
      <alignment vertical="center"/>
    </xf>
    <xf numFmtId="0" fontId="12" fillId="4" borderId="0" xfId="0" applyNumberFormat="1" applyFont="1" applyFill="1" applyBorder="1" applyAlignment="1"/>
    <xf numFmtId="0" fontId="0" fillId="4" borderId="0" xfId="0" applyNumberFormat="1" applyFont="1" applyFill="1" applyBorder="1" applyAlignment="1"/>
    <xf numFmtId="0" fontId="0" fillId="0" borderId="0" xfId="0" applyNumberFormat="1" applyFont="1" applyFill="1" applyBorder="1" applyAlignment="1">
      <alignment wrapText="1"/>
    </xf>
    <xf numFmtId="0" fontId="4" fillId="4" borderId="0" xfId="49" applyNumberFormat="1" applyFont="1" applyFill="1" applyBorder="1" applyAlignment="1">
      <alignment vertical="center" wrapText="1"/>
    </xf>
    <xf numFmtId="0" fontId="13" fillId="5" borderId="0" xfId="49" applyNumberFormat="1" applyFont="1" applyFill="1" applyBorder="1" applyAlignment="1">
      <alignment vertical="center"/>
    </xf>
    <xf numFmtId="178" fontId="13" fillId="5" borderId="0" xfId="49" applyNumberFormat="1" applyFont="1" applyFill="1" applyBorder="1" applyAlignment="1">
      <alignment vertical="center"/>
    </xf>
    <xf numFmtId="179" fontId="13" fillId="5" borderId="0" xfId="49" applyNumberFormat="1" applyFont="1" applyFill="1" applyBorder="1" applyAlignment="1">
      <alignment vertical="center"/>
    </xf>
    <xf numFmtId="177" fontId="13" fillId="5" borderId="0" xfId="49" applyNumberFormat="1" applyFont="1" applyFill="1" applyBorder="1" applyAlignment="1">
      <alignment vertical="center"/>
    </xf>
    <xf numFmtId="1" fontId="4" fillId="5" borderId="0" xfId="0" applyNumberFormat="1" applyFont="1" applyFill="1" applyBorder="1" applyAlignment="1">
      <alignment vertical="center"/>
    </xf>
    <xf numFmtId="177" fontId="4" fillId="5" borderId="0" xfId="0" applyNumberFormat="1" applyFont="1" applyFill="1" applyBorder="1" applyAlignment="1">
      <alignment vertical="center"/>
    </xf>
    <xf numFmtId="0" fontId="4" fillId="5" borderId="0" xfId="0" applyNumberFormat="1" applyFont="1" applyFill="1" applyBorder="1" applyAlignment="1">
      <alignment vertical="center"/>
    </xf>
    <xf numFmtId="0" fontId="14" fillId="0" borderId="0" xfId="49" applyFont="1" applyAlignment="1">
      <alignment vertical="center" wrapText="1"/>
    </xf>
    <xf numFmtId="1" fontId="15" fillId="0" borderId="0" xfId="49" applyNumberFormat="1" applyFont="1" applyAlignment="1">
      <alignment vertical="center"/>
    </xf>
    <xf numFmtId="49" fontId="15" fillId="0" borderId="0" xfId="49" applyNumberFormat="1" applyFont="1" applyAlignment="1">
      <alignment vertical="center"/>
    </xf>
    <xf numFmtId="0" fontId="15" fillId="0" borderId="0" xfId="49" applyFont="1" applyAlignment="1">
      <alignment vertical="center"/>
    </xf>
    <xf numFmtId="0" fontId="15" fillId="0" borderId="0" xfId="49" applyFont="1" applyAlignment="1">
      <alignment vertical="center" wrapText="1"/>
    </xf>
    <xf numFmtId="179" fontId="15" fillId="0" borderId="0" xfId="49" applyNumberFormat="1" applyFont="1" applyAlignment="1">
      <alignment vertical="center"/>
    </xf>
    <xf numFmtId="177" fontId="15" fillId="0" borderId="0" xfId="49" applyNumberFormat="1" applyFont="1" applyAlignment="1">
      <alignment vertical="center"/>
    </xf>
    <xf numFmtId="180" fontId="15" fillId="0" borderId="0" xfId="49" applyNumberFormat="1" applyFont="1" applyAlignment="1">
      <alignment vertical="center"/>
    </xf>
    <xf numFmtId="181" fontId="15" fillId="0" borderId="0" xfId="49" applyNumberFormat="1" applyFont="1" applyAlignment="1">
      <alignment vertical="center"/>
    </xf>
    <xf numFmtId="0" fontId="16" fillId="6" borderId="0" xfId="49" applyFont="1" applyFill="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ont>
        <color rgb="FF805A00"/>
      </font>
      <fill>
        <patternFill patternType="solid">
          <bgColor rgb="FFFFF5CC"/>
        </patternFill>
      </fill>
    </dxf>
    <dxf>
      <font>
        <b val="1"/>
        <color rgb="FF9C0006"/>
      </font>
      <fill>
        <patternFill patternType="solid">
          <bgColor rgb="FFFDE9E7"/>
        </patternFill>
      </fill>
    </dxf>
    <dxf>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2" name="WeeklyArbitrageProducts" displayName="WeeklyArbitrageProducts" ref="A1:AF84" totalsRowShown="0">
  <autoFilter xmlns:etc="http://www.wps.cn/officeDocument/2017/etCustomData" ref="A1:AF84" etc:filterBottomFollowUsedRange="0"/>
  <tableColumns count="32">
    <tableColumn id="1" name="序号"/>
    <tableColumn id="2" name="产品ID"/>
    <tableColumn id="3" name="产品名称"/>
    <tableColumn id="4" name="类型"/>
    <tableColumn id="5" name="统一策略类型"/>
    <tableColumn id="6" name="是否套利策略"/>
    <tableColumn id="7" name="策略判定来源"/>
    <tableColumn id="8" name="火富牛策略路径"/>
    <tableColumn id="9" name="当前净值"/>
    <tableColumn id="10" name="净值日期"/>
    <tableColumn id="11" name="净值来源"/>
    <tableColumn id="12" name="成立日期"/>
    <tableColumn id="13" name="成立以来收益"/>
    <tableColumn id="14" name="今年以来收益"/>
    <tableColumn id="15" name="成立以来年化"/>
    <tableColumn id="16" name="成立以来最大回撤"/>
    <tableColumn id="17" name="成立以来夏普"/>
    <tableColumn id="18" name="备案编号"/>
    <tableColumn id="19" name="私募管理人"/>
    <tableColumn id="20" name="历史净值行数"/>
    <tableColumn id="21" name="历史起始"/>
    <tableColumn id="22" name="历史截止"/>
    <tableColumn id="23" name="末条复权净值"/>
    <tableColumn id="24" name="跟踪来源"/>
    <tableColumn id="25" name="上海分公司策略分类"/>
    <tableColumn id="26" name="傲创二级策略"/>
    <tableColumn id="27" name="上海来源日期"/>
    <tableColumn id="28" name="傲创来源日期"/>
    <tableColumn id="29" name="指标来源"/>
    <tableColumn id="30" name="数据状态"/>
    <tableColumn id="31" name="来源URL"/>
    <tableColumn id="32" name="是否上架"/>
  </tableColumns>
  <tableStyleInfo name="TableStyleMedium7" showFirstColumn="0" showLastColumn="0" showRowStripes="1" showColumnStripes="0"/>
</table>
</file>

<file path=xl/tables/table2.xml><?xml version="1.0" encoding="utf-8"?>
<table xmlns="http://schemas.openxmlformats.org/spreadsheetml/2006/main" id="5" name="FofDetail" displayName="FofDetail" ref="A16:BI99" totalsRowShown="0">
  <autoFilter xmlns:etc="http://www.wps.cn/officeDocument/2017/etCustomData" ref="A16:BI99" etc:filterBottomFollowUsedRange="0"/>
  <tableColumns count="61">
    <tableColumn id="1" name="序号"/>
    <tableColumn id="2" name="产品名称"/>
    <tableColumn id="3" name="备案号"/>
    <tableColumn id="4" name="管理人"/>
    <tableColumn id="5" name="产品成立日期"/>
    <tableColumn id="6" name="产品成立年限（年）"/>
    <tableColumn id="7" name="入池状态"/>
    <tableColumn id="8" name="管理规模区间（亿元）"/>
    <tableColumn id="9" name="管理人规模分"/>
    <tableColumn id="10" name="产品规模公示标识"/>
    <tableColumn id="11" name="产品规模分"/>
    <tableColumn id="12" name="成立年限分"/>
    <tableColumn id="13" name="R_1y"/>
    <tableColumn id="14" name="R_3y"/>
    <tableColumn id="15" name="R_incep（补录）"/>
    <tableColumn id="16" name="R_early"/>
    <tableColumn id="17" name="R_1y排名分"/>
    <tableColumn id="18" name="R_early排名分"/>
    <tableColumn id="19" name="年化收益分（可用折算）"/>
    <tableColumn id="20" name="近1年月胜率"/>
    <tableColumn id="21" name="近3年月胜率"/>
    <tableColumn id="22" name="早期月胜率"/>
    <tableColumn id="23" name="近1年月胜率分"/>
    <tableColumn id="24" name="早期月胜率分"/>
    <tableColumn id="25" name="月度胜率分（可用折算）"/>
    <tableColumn id="26" name="DD_1y"/>
    <tableColumn id="27" name="DD_3y"/>
    <tableColumn id="28" name="统一最大回撤"/>
    <tableColumn id="29" name="最大回撤分"/>
    <tableColumn id="30" name="短期卡玛"/>
    <tableColumn id="31" name="可识别DD_long"/>
    <tableColumn id="32" name="长期卡玛"/>
    <tableColumn id="33" name="短期卡玛分"/>
    <tableColumn id="34" name="长期卡玛分"/>
    <tableColumn id="35" name="卡玛比率分（可用折算）"/>
    <tableColumn id="36" name="趋势比较基准"/>
    <tableColumn id="37" name="收益趋势分"/>
    <tableColumn id="38" name="管理人及产品大类分"/>
    <tableColumn id="39" name="收益能力大类分"/>
    <tableColumn id="40" name="风险控制大类分"/>
    <tableColumn id="41" name="风险调整收益大类分"/>
    <tableColumn id="42" name="趋势大类分"/>
    <tableColumn id="43" name="有效二级权重"/>
    <tableColumn id="44" name="加权总分（不补缺）"/>
    <tableColumn id="45" name="可比总分（归一）"/>
    <tableColumn id="46" name="唯一排名"/>
    <tableColumn id="47" name="数据缺口"/>
    <tableColumn id="48" name="严格总分"/>
    <tableColumn id="49" name="数据完整性"/>
    <tableColumn id="50" name="平台一级策略"/>
    <tableColumn id="51" name="平台二级策略"/>
    <tableColumn id="52" name="原表策略参考"/>
    <tableColumn id="53" name="原表行号"/>
    <tableColumn id="54" name="匹配状态"/>
    <tableColumn id="55" name="来源URL"/>
    <tableColumn id="56" name="指标截止日"/>
    <tableColumn id="57" name="管理人规模来源"/>
    <tableColumn id="58" name="规模日期"/>
    <tableColumn id="59" name="产品标识来源"/>
    <tableColumn id="60" name="标识日期"/>
    <tableColumn id="61" name="查询备案号线索"/>
  </tableColumns>
  <tableStyleInfo name="TableStyleMedium2" showFirstColumn="0" showLastColumn="0" showRowStripes="1" showColumnStripes="0"/>
</table>
</file>

<file path=xl/tables/table3.xml><?xml version="1.0" encoding="utf-8"?>
<table xmlns="http://schemas.openxmlformats.org/spreadsheetml/2006/main" id="14" name="FofSummary" displayName="FofSummary" ref="A5:AF88" totalsRowShown="0">
  <autoFilter xmlns:etc="http://www.wps.cn/officeDocument/2017/etCustomData" ref="A5:AF88" etc:filterBottomFollowUsedRange="0"/>
  <tableColumns count="32">
    <tableColumn id="1" name="排名"/>
    <tableColumn id="2" name="产品名称"/>
    <tableColumn id="3" name="备案号"/>
    <tableColumn id="4" name="管理人"/>
    <tableColumn id="5" name="入池状态"/>
    <tableColumn id="6" name="管理人规模分"/>
    <tableColumn id="7" name="产品规模分"/>
    <tableColumn id="8" name="成立年限分"/>
    <tableColumn id="9" name="年化收益分（可用折算）"/>
    <tableColumn id="10" name="月度胜率分（可用折算）"/>
    <tableColumn id="11" name="最大回撤分"/>
    <tableColumn id="12" name="卡玛比率分（可用折算）"/>
    <tableColumn id="13" name="收益趋势分"/>
    <tableColumn id="14" name="管理人及产品"/>
    <tableColumn id="15" name="收益能力"/>
    <tableColumn id="16" name="风险控制"/>
    <tableColumn id="17" name="风险调整收益"/>
    <tableColumn id="18" name="业绩一致性/趋势"/>
    <tableColumn id="19" name="有效权重"/>
    <tableColumn id="20" name="加权总分（不补缺）"/>
    <tableColumn id="21" name="可比总分"/>
    <tableColumn id="22" name="严格总分"/>
    <tableColumn id="23" name="数据缺口"/>
    <tableColumn id="24" name="明细相对行"/>
    <tableColumn id="25" name="平台一级策略"/>
    <tableColumn id="26" name="平台二级策略"/>
    <tableColumn id="27" name="数据完整性"/>
    <tableColumn id="28" name="原表序号"/>
    <tableColumn id="29" name="管理规模区间"/>
    <tableColumn id="30" name="规模分组"/>
    <tableColumn id="31" name="关联风险标注"/>
    <tableColumn id="32" name="协会管理人公示"/>
  </tableColumns>
  <tableStyleInfo name="TableStyleMedium2" showFirstColumn="0" showLastColumn="0" showRowStripes="1" showColumnStripes="0"/>
</table>
</file>

<file path=xl/tables/table4.xml><?xml version="1.0" encoding="utf-8"?>
<table xmlns="http://schemas.openxmlformats.org/spreadsheetml/2006/main" id="10" name="FofRaw" displayName="FofRaw" ref="A1:U84" totalsRowShown="0">
  <autoFilter xmlns:etc="http://www.wps.cn/officeDocument/2017/etCustomData" ref="A1:U84" etc:filterBottomFollowUsedRange="0"/>
  <tableColumns count="21">
    <tableColumn id="1" name="产品名称"/>
    <tableColumn id="2" name="备案号"/>
    <tableColumn id="3" name="一级策略"/>
    <tableColumn id="4" name="二级策略"/>
    <tableColumn id="5" name="管理人"/>
    <tableColumn id="6" name="成立日期"/>
    <tableColumn id="7" name="近一年年化收益"/>
    <tableColumn id="8" name="近三年年化收益"/>
    <tableColumn id="9" name="近三年月胜率"/>
    <tableColumn id="10" name="近一年月胜率"/>
    <tableColumn id="11" name="近三年最大回撤"/>
    <tableColumn id="12" name="近三年卡玛比率"/>
    <tableColumn id="13" name="近一年卡玛比率"/>
    <tableColumn id="14" name="基准指数"/>
    <tableColumn id="15" name="指标截止日"/>
    <tableColumn id="16" name="提取日期"/>
    <tableColumn id="17" name="来源URL"/>
    <tableColumn id="18" name="匹配状态"/>
    <tableColumn id="19" name="成立以来年化收益"/>
    <tableColumn id="20" name="本次补数项数"/>
    <tableColumn id="21" name="净值补数来源"/>
  </tableColumns>
  <tableStyleInfo name="TableStyleMedium2" showFirstColumn="0" showLastColumn="0" showRowStripes="1" showColumnStripes="0"/>
</table>
</file>

<file path=xl/tables/table5.xml><?xml version="1.0" encoding="utf-8"?>
<table xmlns="http://schemas.openxmlformats.org/spreadsheetml/2006/main" id="4" name="FofAudit" displayName="FofAudit" ref="A1:V84" totalsRowShown="0">
  <autoFilter xmlns:etc="http://www.wps.cn/officeDocument/2017/etCustomData" ref="A1:V84" etc:filterBottomFollowUsedRange="0"/>
  <tableColumns count="22">
    <tableColumn id="1" name="原表行号"/>
    <tableColumn id="2" name="原表产品名称"/>
    <tableColumn id="3" name="原表备案号"/>
    <tableColumn id="4" name="查询备案号线索"/>
    <tableColumn id="5" name="平台备案号"/>
    <tableColumn id="6" name="匹配状态"/>
    <tableColumn id="7" name="提取日期"/>
    <tableColumn id="8" name="指标截止日"/>
    <tableColumn id="9" name="产品来源URL"/>
    <tableColumn id="10" name="导出文件名"/>
    <tableColumn id="11" name="管理人规模区间"/>
    <tableColumn id="12" name="管理人规模来源"/>
    <tableColumn id="13" name="管理人规模日期"/>
    <tableColumn id="14" name="低于1000万提示（1有/0无）"/>
    <tableColumn id="15" name="产品标识来源"/>
    <tableColumn id="16" name="产品标识核验日期"/>
    <tableColumn id="17" name="成立以来年化收益"/>
    <tableColumn id="18" name="查询与数据说明"/>
    <tableColumn id="19" name="原表统一策略"/>
    <tableColumn id="20" name="协会产品名称"/>
    <tableColumn id="21" name="协会备案号"/>
    <tableColumn id="22" name="已精确匹配完整公示"/>
  </tableColumns>
  <tableStyleInfo name="TableStyleMedium2" showFirstColumn="0" showLastColumn="0" showRowStripes="1" showColumnStripes="0"/>
</table>
</file>

<file path=xl/tables/table6.xml><?xml version="1.0" encoding="utf-8"?>
<table xmlns="http://schemas.openxmlformats.org/spreadsheetml/2006/main" id="7" name="ProvidedNAV" displayName="ProvidedNAV" ref="A1:N7635" totalsRowShown="0">
  <autoFilter xmlns:etc="http://www.wps.cn/officeDocument/2017/etCustomData" ref="A1:N7635" etc:filterBottomFollowUsedRange="0"/>
  <tableColumns count="14">
    <tableColumn id="1" name="备案号"/>
    <tableColumn id="2" name="产品名称"/>
    <tableColumn id="3" name="日期"/>
    <tableColumn id="4" name="单位净值"/>
    <tableColumn id="5" name="累计净值"/>
    <tableColumn id="6" name="复权净值"/>
    <tableColumn id="7" name="原表涨跌幅"/>
    <tableColumn id="8" name="累计峰值"/>
    <tableColumn id="9" name="可见历史回撤"/>
    <tableColumn id="10" name="近1年峰值"/>
    <tableColumn id="11" name="近1年回撤"/>
    <tableColumn id="12" name="近3年峰值"/>
    <tableColumn id="13" name="近3年回撤"/>
    <tableColumn id="14" name="来源文件"/>
  </tableColumns>
  <tableStyleInfo name="TableStyleMedium2" showFirstColumn="0" showLastColumn="0" showRowStripes="1" showColumnStripes="0"/>
</table>
</file>

<file path=xl/tables/table7.xml><?xml version="1.0" encoding="utf-8"?>
<table xmlns="http://schemas.openxmlformats.org/spreadsheetml/2006/main" id="8" name="MonthlyNAV" displayName="MonthlyNAV" ref="A1:M963" totalsRowShown="0">
  <autoFilter xmlns:etc="http://www.wps.cn/officeDocument/2017/etCustomData" ref="A1:M963" etc:filterBottomFollowUsedRange="0"/>
  <tableColumns count="13">
    <tableColumn id="1" name="备案号"/>
    <tableColumn id="2" name="产品名称"/>
    <tableColumn id="3" name="月份"/>
    <tableColumn id="4" name="前期边界"/>
    <tableColumn id="5" name="本期边界"/>
    <tableColumn id="6" name="前期实际日"/>
    <tableColumn id="7" name="本期实际日"/>
    <tableColumn id="8" name="前期复权净值"/>
    <tableColumn id="9" name="本期复权净值"/>
    <tableColumn id="10" name="月度收益"/>
    <tableColumn id="11" name="可计算"/>
    <tableColumn id="12" name="前期滞后天数"/>
    <tableColumn id="13" name="本期滞后天数"/>
  </tableColumns>
  <tableStyleInfo name="TableStyleMedium2" showFirstColumn="0" showLastColumn="0" showRowStripes="1" showColumnStripes="0"/>
</table>
</file>

<file path=xl/tables/table8.xml><?xml version="1.0" encoding="utf-8"?>
<table xmlns="http://schemas.openxmlformats.org/spreadsheetml/2006/main" id="9" name="NAVMetrics" displayName="NAVMetrics" ref="A1:S79" totalsRowShown="0">
  <autoFilter xmlns:etc="http://www.wps.cn/officeDocument/2017/etCustomData" ref="A1:S79" etc:filterBottomFollowUsedRange="0"/>
  <tableColumns count="19">
    <tableColumn id="1" name="备案号"/>
    <tableColumn id="2" name="产品名称"/>
    <tableColumn id="3" name="窗口"/>
    <tableColumn id="4" name="目标起日"/>
    <tableColumn id="5" name="目标止日"/>
    <tableColumn id="6" name="实际起日"/>
    <tableColumn id="7" name="实际止日"/>
    <tableColumn id="8" name="起点净值"/>
    <tableColumn id="9" name="终点净值"/>
    <tableColumn id="10" name="实际天数"/>
    <tableColumn id="11" name="历史覆盖"/>
    <tableColumn id="12" name="年化收益"/>
    <tableColumn id="13" name="最大回撤"/>
    <tableColumn id="14" name="卡玛比率"/>
    <tableColumn id="15" name="月度胜率"/>
    <tableColumn id="16" name="有效月期数"/>
    <tableColumn id="17" name="来源文件"/>
    <tableColumn id="18" name="全序列最大间隔天数"/>
    <tableColumn id="19" name="序列频率说明"/>
  </tableColumns>
  <tableStyleInfo name="TableStyleMedium2" showFirstColumn="0" showLastColumn="0" showRowStripes="1" showColumnStripes="0"/>
</table>
</file>

<file path=xl/tables/table9.xml><?xml version="1.0" encoding="utf-8"?>
<table xmlns="http://schemas.openxmlformats.org/spreadsheetml/2006/main" id="12" name="FilledInputs" displayName="FilledInputs" ref="A1:K89" totalsRowShown="0">
  <autoFilter xmlns:etc="http://www.wps.cn/officeDocument/2017/etCustomData" ref="A1:K89" etc:filterBottomFollowUsedRange="0"/>
  <tableColumns count="11">
    <tableColumn id="1" name="备案号"/>
    <tableColumn id="2" name="产品名称"/>
    <tableColumn id="3" name="更新位置"/>
    <tableColumn id="4" name="原始数据单元格"/>
    <tableColumn id="5" name="补数指标"/>
    <tableColumn id="6" name="原值"/>
    <tableColumn id="7" name="补后值"/>
    <tableColumn id="8" name="计算口径"/>
    <tableColumn id="9" name="来源文件"/>
    <tableColumn id="10" name="绩效截止日"/>
    <tableColumn id="11" name="计算表行号"/>
  </tableColumns>
  <tableStyleInfo name="TableStyleMedium2" showFirstColumn="0" showLastColumn="0" showRowStripes="1" showColumnStripes="0"/>
</table>
</file>

<file path=xl/tables/table10.xml><?xml version="1.0" encoding="utf-8"?>
<table xmlns="http://schemas.openxmlformats.org/spreadsheetml/2006/main" id="13" name="NAVFileCoverage" displayName="NAVFileCoverage" ref="A93:K119" totalsRowShown="0">
  <tableColumns count="11">
    <tableColumn id="1" name="备案号"/>
    <tableColumn id="2" name="产品名称"/>
    <tableColumn id="3" name="净值条数"/>
    <tableColumn id="4" name="首条日期"/>
    <tableColumn id="5" name="末条日期"/>
    <tableColumn id="6" name="本次补数项数"/>
    <tableColumn id="7" name="近1年覆盖"/>
    <tableColumn id="8" name="近3年覆盖"/>
    <tableColumn id="9" name="成立以来覆盖"/>
    <tableColumn id="10" name="来源文件"/>
    <tableColumn id="11" name="源文件SHA256"/>
  </tableColumns>
  <tableStyleInfo name="TableStyleMedium2" showFirstColumn="0" showLastColumn="0" showRowStripes="1" showColumnStripes="0"/>
</table>
</file>

<file path=xl/tables/table11.xml><?xml version="1.0" encoding="utf-8"?>
<table xmlns="http://schemas.openxmlformats.org/spreadsheetml/2006/main" id="11" name="PublicAMAC" displayName="PublicAMAC" ref="A1:X84" totalsRowShown="0">
  <autoFilter xmlns:etc="http://www.wps.cn/officeDocument/2017/etCustomData" ref="A1:X84" etc:filterBottomFollowUsedRange="0"/>
  <tableColumns count="24">
    <tableColumn id="1" name="备案号"/>
    <tableColumn id="2" name="产品名称"/>
    <tableColumn id="3" name="管理人全称"/>
    <tableColumn id="4" name="登记编号"/>
    <tableColumn id="5" name="管理规模区间"/>
    <tableColumn id="6" name="规模分组"/>
    <tableColumn id="7" name="关联风险标注"/>
    <tableColumn id="8" name="协会纪律处分"/>
    <tableColumn id="9" name="机构诚信信息"/>
    <tableColumn id="10" name="机构一般提示"/>
    <tableColumn id="11" name="管理人特别提示"/>
    <tableColumn id="12" name="基金特别提示"/>
    <tableColumn id="13" name="产品公示匹配"/>
    <tableColumn id="14" name="管理人核验"/>
    <tableColumn id="15" name="管理人更新日"/>
    <tableColumn id="16" name="基金更新日"/>
    <tableColumn id="17" name="核验日期"/>
    <tableColumn id="18" name="管理人公示URL"/>
    <tableColumn id="19" name="基金公示URL"/>
    <tableColumn id="20" name="监管决定URL"/>
    <tableColumn id="21" name="管理人关联依据"/>
    <tableColumn id="22" name="大规模展示次序"/>
    <tableColumn id="23" name="小规模展示次序"/>
    <tableColumn id="24" name="全池展示次序"/>
  </tableColumns>
  <tableStyleInfo name="TableStyleMedium2" showFirstColumn="0" showLastColumn="0" showRowStripes="1" showColumnStripes="0"/>
</table>
</file>

<file path=xl/tables/table12.xml><?xml version="1.0" encoding="utf-8"?>
<table xmlns="http://schemas.openxmlformats.org/spreadsheetml/2006/main" id="15" name="LargeManagersPool" displayName="LargeManagersPool" ref="A5:N67" totalsRowShown="0">
  <autoFilter xmlns:etc="http://www.wps.cn/officeDocument/2017/etCustomData" ref="A5:N67" etc:filterBottomFollowUsedRange="0">
    <filterColumn colId="1">
      <filters>
        <filter val="龙壹盛善时1号"/>
      </filters>
    </filterColumn>
  </autoFilter>
  <tableColumns count="14">
    <tableColumn id="1" name="组内顺序"/>
    <tableColumn id="2" name="产品名称"/>
    <tableColumn id="3" name="备案号"/>
    <tableColumn id="4" name="管理人"/>
    <tableColumn id="5" name="规模区间"/>
    <tableColumn id="6" name="严格总分"/>
    <tableColumn id="7" name="可比总分"/>
    <tableColumn id="8" name="有效权重"/>
    <tableColumn id="9" name="关联风险标注"/>
    <tableColumn id="10" name="数据缺口"/>
    <tableColumn id="11" name="全池排名"/>
    <tableColumn id="12" name="入池状态"/>
    <tableColumn id="13" name="原明细相对行"/>
    <tableColumn id="14" name="管理人公示"/>
  </tableColumns>
  <tableStyleInfo name="TableStyleMedium2" showFirstColumn="0" showLastColumn="0" showRowStripes="1" showColumnStripes="0"/>
</table>
</file>

<file path=xl/tables/table13.xml><?xml version="1.0" encoding="utf-8"?>
<table xmlns="http://schemas.openxmlformats.org/spreadsheetml/2006/main" id="16" name="SmallManagersPool" displayName="SmallManagersPool" ref="A5:N26" totalsRowShown="0">
  <autoFilter xmlns:etc="http://www.wps.cn/officeDocument/2017/etCustomData" ref="A5:N26" etc:filterBottomFollowUsedRange="0"/>
  <tableColumns count="14">
    <tableColumn id="1" name="组内顺序"/>
    <tableColumn id="2" name="产品名称"/>
    <tableColumn id="3" name="备案号"/>
    <tableColumn id="4" name="管理人"/>
    <tableColumn id="5" name="规模区间"/>
    <tableColumn id="6" name="严格总分"/>
    <tableColumn id="7" name="可比总分"/>
    <tableColumn id="8" name="有效权重"/>
    <tableColumn id="9" name="关联风险标注"/>
    <tableColumn id="10" name="数据缺口"/>
    <tableColumn id="11" name="全池排名"/>
    <tableColumn id="12" name="入池状态"/>
    <tableColumn id="13" name="原明细相对行"/>
    <tableColumn id="14" name="管理人公示"/>
  </tableColumns>
  <tableStyleInfo name="TableStyleMedium2" showFirstColumn="0" showLastColumn="0" showRowStripes="1" showColumnStripes="0"/>
</table>
</file>

<file path=xl/tables/table14.xml><?xml version="1.0" encoding="utf-8"?>
<table xmlns="http://schemas.openxmlformats.org/spreadsheetml/2006/main" id="19" name="MatchedScoreComparison" displayName="MatchedScoreComparison" ref="A5:AA88" totalsRowShown="0">
  <autoFilter xmlns:etc="http://www.wps.cn/officeDocument/2017/etCustomData" ref="A5:AA88" etc:filterBottomFollowUsedRange="0"/>
  <tableColumns count="27">
    <tableColumn id="1" name="备案号"/>
    <tableColumn id="2" name="产品名称"/>
    <tableColumn id="3" name="匹配情况"/>
    <tableColumn id="4" name="本版严格总分"/>
    <tableColumn id="5" name="对照严格总分"/>
    <tableColumn id="6" name="严格分差"/>
    <tableColumn id="7" name="本版可比总分"/>
    <tableColumn id="8" name="对照可比总分"/>
    <tableColumn id="9" name="可比分差"/>
    <tableColumn id="10" name="重点差异"/>
    <tableColumn id="11" name="本版有效权重"/>
    <tableColumn id="12" name="对照有效权重"/>
    <tableColumn id="13" name="权重差"/>
    <tableColumn id="14" name="加权分变化"/>
    <tableColumn id="15" name="加权变化影响"/>
    <tableColumn id="16" name="权重折算影响"/>
    <tableColumn id="17" name="舍入残差"/>
    <tableColumn id="18" name="拆解核对差"/>
    <tableColumn id="19" name="排查结论"/>
    <tableColumn id="20" name="差异原因"/>
    <tableColumn id="21" name="对照产品名称"/>
    <tableColumn id="22" name="本版加权和"/>
    <tableColumn id="23" name="对照加权和"/>
    <tableColumn id="24" name="对照快照行号"/>
    <tableColumn id="25" name="补数前可比总分"/>
    <tableColumn id="26" name="本版与补数前分差"/>
    <tableColumn id="27" name="对照计算复核差"/>
  </tableColumns>
  <tableStyleInfo name="TableStyleMedium2" showFirstColumn="0" showLastColumn="0" showRowStripes="1" showColumnStripes="0"/>
</table>
</file>

<file path=xl/tables/table15.xml><?xml version="1.0" encoding="utf-8"?>
<table xmlns="http://schemas.openxmlformats.org/spreadsheetml/2006/main" id="18" name="ScoreContributions" displayName="ScoreContributions" ref="A1:L628" totalsRowShown="0">
  <autoFilter xmlns:etc="http://www.wps.cn/officeDocument/2017/etCustomData" ref="A1:L628" etc:filterBottomFollowUsedRange="0"/>
  <tableColumns count="12">
    <tableColumn id="1" name="备案号"/>
    <tableColumn id="2" name="产品名称"/>
    <tableColumn id="3" name="叶子指标"/>
    <tableColumn id="4" name="综合权重"/>
    <tableColumn id="5" name="本版得分"/>
    <tableColumn id="6" name="对照得分"/>
    <tableColumn id="7" name="本版加权贡献"/>
    <tableColumn id="8" name="对照加权贡献"/>
    <tableColumn id="9" name="加权贡献差"/>
    <tableColumn id="10" name="本版指标值"/>
    <tableColumn id="11" name="对照指标值"/>
    <tableColumn id="12" name="比较说明"/>
  </tableColumns>
  <tableStyleInfo name="TableStyleMedium2" showFirstColumn="0" showLastColumn="0" showRowStripes="1" showColumnStripes="0"/>
</table>
</file>

<file path=xl/tables/table16.xml><?xml version="1.0" encoding="utf-8"?>
<table xmlns="http://schemas.openxmlformats.org/spreadsheetml/2006/main" id="20" name="ReferenceSnapshot" displayName="ReferenceSnapshot" ref="A1:BK315" totalsRowShown="0">
  <autoFilter xmlns:etc="http://www.wps.cn/officeDocument/2017/etCustomData" ref="A1:BK315" etc:filterBottomFollowUsedRange="0"/>
  <tableColumns count="63">
    <tableColumn id="1" name="序号"/>
    <tableColumn id="2" name="产品名称"/>
    <tableColumn id="3" name="备案号"/>
    <tableColumn id="4" name="管理人"/>
    <tableColumn id="5" name="产品成立日期"/>
    <tableColumn id="6" name="产品成立年限（年）"/>
    <tableColumn id="7" name="入池状态"/>
    <tableColumn id="8" name="管理规模区间（亿元，协会）"/>
    <tableColumn id="9" name="管理人规模分"/>
    <tableColumn id="10" name="产品规模公示标识"/>
    <tableColumn id="11" name="产品规模分"/>
    <tableColumn id="12" name="成立年限分"/>
    <tableColumn id="13" name="R_1y"/>
    <tableColumn id="14" name="R_3y"/>
    <tableColumn id="15" name="R_incep（补录）"/>
    <tableColumn id="16" name="R_early"/>
    <tableColumn id="17" name="R_1y排名分"/>
    <tableColumn id="18" name="R_early排名分"/>
    <tableColumn id="19" name="年化收益分（可用折算）"/>
    <tableColumn id="20" name="近1年月胜率"/>
    <tableColumn id="21" name="近3年月胜率"/>
    <tableColumn id="22" name="早期月胜率"/>
    <tableColumn id="23" name="近1年月胜率分"/>
    <tableColumn id="24" name="早期月胜率分"/>
    <tableColumn id="25" name="月度胜率分（可用折算）"/>
    <tableColumn id="26" name="DD_1y"/>
    <tableColumn id="27" name="DD_3y"/>
    <tableColumn id="28" name="统一最大回撤"/>
    <tableColumn id="29" name="最大回撤分"/>
    <tableColumn id="30" name="短期卡玛"/>
    <tableColumn id="31" name="可识别DD_long"/>
    <tableColumn id="32" name="长期卡玛"/>
    <tableColumn id="33" name="短期卡玛分"/>
    <tableColumn id="34" name="长期卡玛分"/>
    <tableColumn id="35" name="卡玛比率分（可用折算）"/>
    <tableColumn id="36" name="趋势比较基准"/>
    <tableColumn id="37" name="收益趋势分"/>
    <tableColumn id="38" name="管理人及产品大类分"/>
    <tableColumn id="39" name="收益能力大类分"/>
    <tableColumn id="40" name="风险控制大类分"/>
    <tableColumn id="41" name="风险调整收益大类分"/>
    <tableColumn id="42" name="趋势大类分"/>
    <tableColumn id="43" name="有效二级权重"/>
    <tableColumn id="44" name="加权总分（不补缺）"/>
    <tableColumn id="45" name="可比总分（归一）"/>
    <tableColumn id="46" name="唯一排名"/>
    <tableColumn id="47" name="数据缺口"/>
    <tableColumn id="48" name="管理规模下限（亿元）"/>
    <tableColumn id="49" name="协会管理人全称"/>
    <tableColumn id="50" name="管理人信息更新时间"/>
    <tableColumn id="51" name="管理人公示URL"/>
    <tableColumn id="52" name="协会产品名称"/>
    <tableColumn id="53" name="基金信息更新时间"/>
    <tableColumn id="54" name="产品标识季度"/>
    <tableColumn id="55" name="基金公示URL"/>
    <tableColumn id="56" name="AMAC匹配状态"/>
    <tableColumn id="57" name="汇总严格总分"/>
    <tableColumn id="58" name="汇总可比总分"/>
    <tableColumn id="59" name="汇总有效权重"/>
    <tableColumn id="60" name="汇总加权总分"/>
    <tableColumn id="61" name="参考文件"/>
    <tableColumn id="62" name="对照原表错误定位"/>
    <tableColumn id="63" name="对照缓存说明"/>
  </tableColumns>
  <tableStyleInfo name="TableStyleMedium2" showFirstColumn="0" showLastColumn="0" showRowStripes="1" showColumnStripes="0"/>
</table>
</file>

<file path=xl/tables/table17.xml><?xml version="1.0" encoding="utf-8"?>
<table xmlns="http://schemas.openxmlformats.org/spreadsheetml/2006/main" id="21" name="NAVItemChecks" displayName="NAVItemChecks" ref="A1:L209" totalsRowShown="0">
  <autoFilter xmlns:etc="http://www.wps.cn/officeDocument/2017/etCustomData" ref="A1:L209" etc:filterBottomFollowUsedRange="0">
    <filterColumn colId="1">
      <filters>
        <filter val="龙壹盛善时1号"/>
      </filters>
    </filterColumn>
  </autoFilter>
  <tableColumns count="12">
    <tableColumn id="1" name="备案号"/>
    <tableColumn id="2" name="产品名称"/>
    <tableColumn id="3" name="核算指标"/>
    <tableColumn id="4" name="83只表采用值"/>
    <tableColumn id="5" name="压缩包独立复算值"/>
    <tableColumn id="6" name="复算与采用值差"/>
    <tableColumn id="7" name="核算结果"/>
    <tableColumn id="8" name="依据或限制"/>
    <tableColumn id="9" name="来源文件"/>
    <tableColumn id="10" name="83只表位置"/>
    <tableColumn id="11" name="净值计算位置"/>
    <tableColumn id="12" name="窗口"/>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84"/>
  <sheetViews>
    <sheetView workbookViewId="0">
      <pane xSplit="3" ySplit="1" topLeftCell="D68" activePane="bottomRight" state="frozen"/>
      <selection/>
      <selection pane="topRight"/>
      <selection pane="bottomLeft"/>
      <selection pane="bottomRight" activeCell="L84" sqref="L84"/>
    </sheetView>
  </sheetViews>
  <sheetFormatPr defaultColWidth="8.83088235294118" defaultRowHeight="16.8"/>
  <cols>
    <col min="1" max="1" width="8" customWidth="1"/>
    <col min="2" max="2" width="20" customWidth="1"/>
    <col min="3" max="3" width="32" customWidth="1"/>
    <col min="4" max="4" width="13" customWidth="1"/>
    <col min="5" max="5" width="24" customWidth="1"/>
    <col min="6" max="6" width="18" customWidth="1"/>
    <col min="7" max="7" width="40" customWidth="1"/>
    <col min="8" max="8" width="48" customWidth="1"/>
    <col min="9" max="9" width="16" customWidth="1"/>
    <col min="10" max="10" width="14" customWidth="1"/>
    <col min="11" max="11" width="16" customWidth="1"/>
    <col min="12" max="12" width="14" customWidth="1"/>
    <col min="13" max="20" width="16" customWidth="1"/>
    <col min="21" max="22" width="14" customWidth="1"/>
    <col min="23" max="23" width="16" customWidth="1"/>
    <col min="24" max="24" width="43" customWidth="1"/>
    <col min="25" max="26" width="40" customWidth="1"/>
    <col min="27" max="28" width="22" customWidth="1"/>
    <col min="29" max="29" width="44" customWidth="1"/>
    <col min="30" max="30" width="56" customWidth="1"/>
    <col min="31" max="31" width="55" customWidth="1"/>
    <col min="32" max="32" width="16" customWidth="1"/>
  </cols>
  <sheetData>
    <row r="1" ht="40" customHeight="1" spans="1:32">
      <c r="A1" s="64" t="s">
        <v>0</v>
      </c>
      <c r="B1" s="64" t="s">
        <v>1</v>
      </c>
      <c r="C1" s="64" t="s">
        <v>2</v>
      </c>
      <c r="D1" s="64" t="s">
        <v>3</v>
      </c>
      <c r="E1" s="64" t="s">
        <v>4</v>
      </c>
      <c r="F1" s="64" t="s">
        <v>5</v>
      </c>
      <c r="G1" s="64" t="s">
        <v>6</v>
      </c>
      <c r="H1" s="64" t="s">
        <v>7</v>
      </c>
      <c r="I1" s="64" t="s">
        <v>8</v>
      </c>
      <c r="J1" s="64" t="s">
        <v>9</v>
      </c>
      <c r="K1" s="64" t="s">
        <v>10</v>
      </c>
      <c r="L1" s="64" t="s">
        <v>11</v>
      </c>
      <c r="M1" s="64" t="s">
        <v>12</v>
      </c>
      <c r="N1" s="64" t="s">
        <v>13</v>
      </c>
      <c r="O1" s="64" t="s">
        <v>14</v>
      </c>
      <c r="P1" s="64" t="s">
        <v>15</v>
      </c>
      <c r="Q1" s="64" t="s">
        <v>16</v>
      </c>
      <c r="R1" s="64" t="s">
        <v>17</v>
      </c>
      <c r="S1" s="64" t="s">
        <v>18</v>
      </c>
      <c r="T1" s="64" t="s">
        <v>19</v>
      </c>
      <c r="U1" s="64" t="s">
        <v>20</v>
      </c>
      <c r="V1" s="64" t="s">
        <v>21</v>
      </c>
      <c r="W1" s="64" t="s">
        <v>22</v>
      </c>
      <c r="X1" s="64" t="s">
        <v>23</v>
      </c>
      <c r="Y1" s="64" t="s">
        <v>24</v>
      </c>
      <c r="Z1" s="64" t="s">
        <v>25</v>
      </c>
      <c r="AA1" s="64" t="s">
        <v>26</v>
      </c>
      <c r="AB1" s="64" t="s">
        <v>27</v>
      </c>
      <c r="AC1" s="64" t="s">
        <v>28</v>
      </c>
      <c r="AD1" s="64" t="s">
        <v>29</v>
      </c>
      <c r="AE1" s="64" t="s">
        <v>30</v>
      </c>
      <c r="AF1" s="64" t="s">
        <v>31</v>
      </c>
    </row>
    <row r="2" ht="40" customHeight="1" spans="1:32">
      <c r="A2" s="65">
        <v>1</v>
      </c>
      <c r="B2" s="66" t="s">
        <v>32</v>
      </c>
      <c r="C2" s="67" t="s">
        <v>33</v>
      </c>
      <c r="D2" s="67" t="s">
        <v>34</v>
      </c>
      <c r="E2" s="68" t="s">
        <v>35</v>
      </c>
      <c r="F2" s="67" t="s">
        <v>36</v>
      </c>
      <c r="G2" s="68" t="s">
        <v>37</v>
      </c>
      <c r="H2" s="68" t="s">
        <v>38</v>
      </c>
      <c r="I2" s="69">
        <v>1.057</v>
      </c>
      <c r="J2" s="70">
        <v>46262</v>
      </c>
      <c r="K2" s="67" t="s">
        <v>39</v>
      </c>
      <c r="L2" s="70">
        <v>43710</v>
      </c>
      <c r="M2" s="71">
        <v>0.9919</v>
      </c>
      <c r="N2" s="71">
        <v>0.0907</v>
      </c>
      <c r="O2" s="71">
        <v>0.1419</v>
      </c>
      <c r="P2" s="71">
        <v>0.0256</v>
      </c>
      <c r="Q2" s="72">
        <v>3.6496</v>
      </c>
      <c r="R2" s="66" t="s">
        <v>40</v>
      </c>
      <c r="S2" s="67" t="s">
        <v>41</v>
      </c>
      <c r="T2" s="65">
        <v>364</v>
      </c>
      <c r="U2" s="70">
        <v>43710</v>
      </c>
      <c r="V2" s="70">
        <v>46262</v>
      </c>
      <c r="W2" s="69">
        <v>1.99194442</v>
      </c>
      <c r="X2" s="68" t="s">
        <v>42</v>
      </c>
      <c r="Y2" s="68"/>
      <c r="Z2" s="68" t="s">
        <v>43</v>
      </c>
      <c r="AA2" s="70"/>
      <c r="AB2" s="70">
        <v>46269</v>
      </c>
      <c r="AC2" s="68" t="s">
        <v>44</v>
      </c>
      <c r="AD2" s="68" t="s">
        <v>45</v>
      </c>
      <c r="AE2" s="67" t="s">
        <v>46</v>
      </c>
      <c r="AF2" s="67" t="s">
        <v>47</v>
      </c>
    </row>
    <row r="3" ht="40" customHeight="1" spans="1:32">
      <c r="A3" s="65">
        <v>2</v>
      </c>
      <c r="B3" s="66" t="s">
        <v>48</v>
      </c>
      <c r="C3" s="67" t="s">
        <v>49</v>
      </c>
      <c r="D3" s="67" t="s">
        <v>34</v>
      </c>
      <c r="E3" s="68" t="s">
        <v>50</v>
      </c>
      <c r="F3" s="67" t="s">
        <v>36</v>
      </c>
      <c r="G3" s="68" t="s">
        <v>51</v>
      </c>
      <c r="H3" s="68" t="s">
        <v>52</v>
      </c>
      <c r="I3" s="69">
        <v>2.2816</v>
      </c>
      <c r="J3" s="70">
        <v>46262</v>
      </c>
      <c r="K3" s="67" t="s">
        <v>39</v>
      </c>
      <c r="L3" s="70">
        <v>44897</v>
      </c>
      <c r="M3" s="71">
        <v>1.2816</v>
      </c>
      <c r="N3" s="71">
        <v>0.114171305791581</v>
      </c>
      <c r="O3" s="71">
        <v>0.342698901098901</v>
      </c>
      <c r="P3" s="71">
        <v>0.130615358535345</v>
      </c>
      <c r="Q3" s="72">
        <v>1.94991237965312</v>
      </c>
      <c r="R3" s="66" t="s">
        <v>53</v>
      </c>
      <c r="S3" s="67" t="s">
        <v>54</v>
      </c>
      <c r="T3" s="65">
        <v>682</v>
      </c>
      <c r="U3" s="70">
        <v>44897</v>
      </c>
      <c r="V3" s="70">
        <v>46262</v>
      </c>
      <c r="W3" s="69">
        <v>2.2816</v>
      </c>
      <c r="X3" s="68" t="s">
        <v>55</v>
      </c>
      <c r="Y3" s="68" t="s">
        <v>56</v>
      </c>
      <c r="Z3" s="68"/>
      <c r="AA3" s="70">
        <v>46262</v>
      </c>
      <c r="AB3" s="70"/>
      <c r="AC3" s="68" t="s">
        <v>57</v>
      </c>
      <c r="AD3" s="68" t="s">
        <v>45</v>
      </c>
      <c r="AE3" s="67" t="s">
        <v>58</v>
      </c>
      <c r="AF3" s="67" t="s">
        <v>47</v>
      </c>
    </row>
    <row r="4" ht="40" customHeight="1" spans="1:32">
      <c r="A4" s="65">
        <v>3</v>
      </c>
      <c r="B4" s="66" t="s">
        <v>59</v>
      </c>
      <c r="C4" s="67" t="s">
        <v>60</v>
      </c>
      <c r="D4" s="67" t="s">
        <v>34</v>
      </c>
      <c r="E4" s="68" t="s">
        <v>61</v>
      </c>
      <c r="F4" s="67" t="s">
        <v>36</v>
      </c>
      <c r="G4" s="68" t="s">
        <v>37</v>
      </c>
      <c r="H4" s="68" t="s">
        <v>62</v>
      </c>
      <c r="I4" s="69">
        <v>1.2143</v>
      </c>
      <c r="J4" s="70">
        <v>46262</v>
      </c>
      <c r="K4" s="67" t="s">
        <v>39</v>
      </c>
      <c r="L4" s="70">
        <v>44788</v>
      </c>
      <c r="M4" s="71">
        <v>0.2153</v>
      </c>
      <c r="N4" s="71">
        <v>-0.0099</v>
      </c>
      <c r="O4" s="71">
        <v>0.0535</v>
      </c>
      <c r="P4" s="71">
        <v>0.045</v>
      </c>
      <c r="Q4" s="72">
        <v>1.0017</v>
      </c>
      <c r="R4" s="66" t="s">
        <v>63</v>
      </c>
      <c r="S4" s="67" t="s">
        <v>64</v>
      </c>
      <c r="T4" s="65">
        <v>205</v>
      </c>
      <c r="U4" s="70">
        <v>44792</v>
      </c>
      <c r="V4" s="70">
        <v>46262</v>
      </c>
      <c r="W4" s="69">
        <v>1.2143</v>
      </c>
      <c r="X4" s="68" t="s">
        <v>42</v>
      </c>
      <c r="Y4" s="68"/>
      <c r="Z4" s="68" t="s">
        <v>65</v>
      </c>
      <c r="AA4" s="70"/>
      <c r="AB4" s="70">
        <v>46269</v>
      </c>
      <c r="AC4" s="68" t="s">
        <v>66</v>
      </c>
      <c r="AD4" s="68" t="s">
        <v>45</v>
      </c>
      <c r="AE4" s="67" t="s">
        <v>67</v>
      </c>
      <c r="AF4" s="67" t="s">
        <v>47</v>
      </c>
    </row>
    <row r="5" ht="40" customHeight="1" spans="1:32">
      <c r="A5" s="65">
        <v>4</v>
      </c>
      <c r="B5" s="66" t="s">
        <v>68</v>
      </c>
      <c r="C5" s="67" t="s">
        <v>69</v>
      </c>
      <c r="D5" s="67" t="s">
        <v>34</v>
      </c>
      <c r="E5" s="68" t="s">
        <v>70</v>
      </c>
      <c r="F5" s="67" t="s">
        <v>36</v>
      </c>
      <c r="G5" s="68" t="s">
        <v>37</v>
      </c>
      <c r="H5" s="68" t="s">
        <v>71</v>
      </c>
      <c r="I5" s="69">
        <v>1.0813</v>
      </c>
      <c r="J5" s="70">
        <v>46262</v>
      </c>
      <c r="K5" s="67" t="s">
        <v>39</v>
      </c>
      <c r="L5" s="70">
        <v>44624</v>
      </c>
      <c r="M5" s="71">
        <v>0.8262</v>
      </c>
      <c r="N5" s="71">
        <v>0.1377</v>
      </c>
      <c r="O5" s="71">
        <v>0.1841</v>
      </c>
      <c r="P5" s="71">
        <v>0.0257</v>
      </c>
      <c r="Q5" s="72">
        <v>2.3147</v>
      </c>
      <c r="R5" s="66" t="s">
        <v>72</v>
      </c>
      <c r="S5" s="67" t="s">
        <v>73</v>
      </c>
      <c r="T5" s="65">
        <v>256</v>
      </c>
      <c r="U5" s="70">
        <v>44624</v>
      </c>
      <c r="V5" s="70">
        <v>46262</v>
      </c>
      <c r="W5" s="69">
        <v>1.82618982</v>
      </c>
      <c r="X5" s="68" t="s">
        <v>42</v>
      </c>
      <c r="Y5" s="68"/>
      <c r="Z5" s="68" t="s">
        <v>74</v>
      </c>
      <c r="AA5" s="70"/>
      <c r="AB5" s="70">
        <v>46269</v>
      </c>
      <c r="AC5" s="68" t="s">
        <v>44</v>
      </c>
      <c r="AD5" s="68" t="s">
        <v>45</v>
      </c>
      <c r="AE5" s="67" t="s">
        <v>75</v>
      </c>
      <c r="AF5" s="67" t="s">
        <v>47</v>
      </c>
    </row>
    <row r="6" ht="40" customHeight="1" spans="1:32">
      <c r="A6" s="65">
        <v>5</v>
      </c>
      <c r="B6" s="66" t="s">
        <v>76</v>
      </c>
      <c r="C6" s="67" t="s">
        <v>77</v>
      </c>
      <c r="D6" s="67" t="s">
        <v>34</v>
      </c>
      <c r="E6" s="68" t="s">
        <v>35</v>
      </c>
      <c r="F6" s="67" t="s">
        <v>36</v>
      </c>
      <c r="G6" s="68" t="s">
        <v>37</v>
      </c>
      <c r="H6" s="68" t="s">
        <v>38</v>
      </c>
      <c r="I6" s="69">
        <v>1.0631</v>
      </c>
      <c r="J6" s="70">
        <v>46262</v>
      </c>
      <c r="K6" s="67" t="s">
        <v>39</v>
      </c>
      <c r="L6" s="70">
        <v>44895</v>
      </c>
      <c r="M6" s="71">
        <v>0.1692</v>
      </c>
      <c r="N6" s="71">
        <v>0.058</v>
      </c>
      <c r="O6" s="71">
        <v>0.0452</v>
      </c>
      <c r="P6" s="71">
        <v>0.0366</v>
      </c>
      <c r="Q6" s="72">
        <v>0.5618</v>
      </c>
      <c r="R6" s="66" t="s">
        <v>78</v>
      </c>
      <c r="S6" s="67" t="s">
        <v>73</v>
      </c>
      <c r="T6" s="65">
        <v>212</v>
      </c>
      <c r="U6" s="70">
        <v>44895</v>
      </c>
      <c r="V6" s="70">
        <v>46262</v>
      </c>
      <c r="W6" s="69">
        <v>1.16915196</v>
      </c>
      <c r="X6" s="68" t="s">
        <v>79</v>
      </c>
      <c r="Y6" s="68" t="s">
        <v>80</v>
      </c>
      <c r="Z6" s="68"/>
      <c r="AA6" s="70">
        <v>46262</v>
      </c>
      <c r="AB6" s="70"/>
      <c r="AC6" s="68" t="s">
        <v>44</v>
      </c>
      <c r="AD6" s="68" t="s">
        <v>45</v>
      </c>
      <c r="AE6" s="67" t="s">
        <v>81</v>
      </c>
      <c r="AF6" s="67" t="s">
        <v>47</v>
      </c>
    </row>
    <row r="7" ht="40" customHeight="1" spans="1:32">
      <c r="A7" s="65">
        <v>6</v>
      </c>
      <c r="B7" s="66" t="s">
        <v>82</v>
      </c>
      <c r="C7" s="67" t="s">
        <v>83</v>
      </c>
      <c r="D7" s="67" t="s">
        <v>34</v>
      </c>
      <c r="E7" s="68" t="s">
        <v>35</v>
      </c>
      <c r="F7" s="67" t="s">
        <v>36</v>
      </c>
      <c r="G7" s="68" t="s">
        <v>37</v>
      </c>
      <c r="H7" s="68" t="s">
        <v>38</v>
      </c>
      <c r="I7" s="69">
        <v>1.568</v>
      </c>
      <c r="J7" s="70">
        <v>46262</v>
      </c>
      <c r="K7" s="67" t="s">
        <v>39</v>
      </c>
      <c r="L7" s="70">
        <v>44867</v>
      </c>
      <c r="M7" s="71">
        <v>0.568</v>
      </c>
      <c r="N7" s="71">
        <v>0.166</v>
      </c>
      <c r="O7" s="71">
        <v>0.1486</v>
      </c>
      <c r="P7" s="71">
        <v>0.041</v>
      </c>
      <c r="Q7" s="72">
        <v>2.0619</v>
      </c>
      <c r="R7" s="66" t="s">
        <v>84</v>
      </c>
      <c r="S7" s="67" t="s">
        <v>85</v>
      </c>
      <c r="T7" s="65">
        <v>349</v>
      </c>
      <c r="U7" s="70">
        <v>44867</v>
      </c>
      <c r="V7" s="70">
        <v>46262</v>
      </c>
      <c r="W7" s="69">
        <v>1.568</v>
      </c>
      <c r="X7" s="68" t="s">
        <v>42</v>
      </c>
      <c r="Y7" s="68"/>
      <c r="Z7" s="68" t="s">
        <v>43</v>
      </c>
      <c r="AA7" s="70"/>
      <c r="AB7" s="70">
        <v>46269</v>
      </c>
      <c r="AC7" s="68" t="s">
        <v>44</v>
      </c>
      <c r="AD7" s="68" t="s">
        <v>45</v>
      </c>
      <c r="AE7" s="67" t="s">
        <v>86</v>
      </c>
      <c r="AF7" s="67" t="s">
        <v>47</v>
      </c>
    </row>
    <row r="8" ht="40" customHeight="1" spans="1:32">
      <c r="A8" s="65">
        <v>7</v>
      </c>
      <c r="B8" s="66" t="s">
        <v>87</v>
      </c>
      <c r="C8" s="67" t="s">
        <v>88</v>
      </c>
      <c r="D8" s="67" t="s">
        <v>34</v>
      </c>
      <c r="E8" s="68" t="s">
        <v>35</v>
      </c>
      <c r="F8" s="67" t="s">
        <v>36</v>
      </c>
      <c r="G8" s="68" t="s">
        <v>51</v>
      </c>
      <c r="H8" s="68" t="s">
        <v>89</v>
      </c>
      <c r="I8" s="69">
        <v>1.2709</v>
      </c>
      <c r="J8" s="70">
        <v>46262</v>
      </c>
      <c r="K8" s="67" t="s">
        <v>39</v>
      </c>
      <c r="L8" s="70">
        <v>44288</v>
      </c>
      <c r="M8" s="71">
        <v>0.396483</v>
      </c>
      <c r="N8" s="71">
        <v>0.0469560912365754</v>
      </c>
      <c r="O8" s="71">
        <v>0.0733111930091185</v>
      </c>
      <c r="P8" s="71">
        <v>0.0114920928627598</v>
      </c>
      <c r="Q8" s="72">
        <v>3.19442421015876</v>
      </c>
      <c r="R8" s="66" t="s">
        <v>90</v>
      </c>
      <c r="S8" s="67" t="s">
        <v>91</v>
      </c>
      <c r="T8" s="65">
        <v>277</v>
      </c>
      <c r="U8" s="70">
        <v>44288</v>
      </c>
      <c r="V8" s="70">
        <v>46262</v>
      </c>
      <c r="W8" s="69">
        <v>1.396483</v>
      </c>
      <c r="X8" s="68" t="s">
        <v>55</v>
      </c>
      <c r="Y8" s="68" t="s">
        <v>92</v>
      </c>
      <c r="Z8" s="68"/>
      <c r="AA8" s="70">
        <v>46262</v>
      </c>
      <c r="AB8" s="70"/>
      <c r="AC8" s="68" t="s">
        <v>57</v>
      </c>
      <c r="AD8" s="68" t="s">
        <v>45</v>
      </c>
      <c r="AE8" s="67" t="s">
        <v>93</v>
      </c>
      <c r="AF8" s="67" t="s">
        <v>47</v>
      </c>
    </row>
    <row r="9" ht="40" customHeight="1" spans="1:32">
      <c r="A9" s="65">
        <v>8</v>
      </c>
      <c r="B9" s="66" t="s">
        <v>94</v>
      </c>
      <c r="C9" s="67" t="s">
        <v>95</v>
      </c>
      <c r="D9" s="67" t="s">
        <v>34</v>
      </c>
      <c r="E9" s="68" t="s">
        <v>96</v>
      </c>
      <c r="F9" s="67" t="s">
        <v>36</v>
      </c>
      <c r="G9" s="68" t="s">
        <v>37</v>
      </c>
      <c r="H9" s="68" t="s">
        <v>97</v>
      </c>
      <c r="I9" s="69">
        <v>1.2726</v>
      </c>
      <c r="J9" s="70">
        <v>46262</v>
      </c>
      <c r="K9" s="67" t="s">
        <v>39</v>
      </c>
      <c r="L9" s="70">
        <v>44967</v>
      </c>
      <c r="M9" s="71">
        <v>0.2726</v>
      </c>
      <c r="N9" s="71">
        <v>0.0218</v>
      </c>
      <c r="O9" s="71">
        <v>0.0768</v>
      </c>
      <c r="P9" s="71">
        <v>0.0062</v>
      </c>
      <c r="Q9" s="72">
        <v>3.8037</v>
      </c>
      <c r="R9" s="66" t="s">
        <v>98</v>
      </c>
      <c r="S9" s="67" t="s">
        <v>99</v>
      </c>
      <c r="T9" s="65">
        <v>183</v>
      </c>
      <c r="U9" s="70">
        <v>44967</v>
      </c>
      <c r="V9" s="70">
        <v>46262</v>
      </c>
      <c r="W9" s="69">
        <v>1.2726</v>
      </c>
      <c r="X9" s="68" t="s">
        <v>100</v>
      </c>
      <c r="Y9" s="68" t="s">
        <v>101</v>
      </c>
      <c r="Z9" s="68"/>
      <c r="AA9" s="70">
        <v>46262</v>
      </c>
      <c r="AB9" s="70">
        <v>46274</v>
      </c>
      <c r="AC9" s="68" t="s">
        <v>44</v>
      </c>
      <c r="AD9" s="68" t="s">
        <v>45</v>
      </c>
      <c r="AE9" s="67" t="s">
        <v>102</v>
      </c>
      <c r="AF9" s="67" t="s">
        <v>47</v>
      </c>
    </row>
    <row r="10" ht="40" customHeight="1" spans="1:32">
      <c r="A10" s="65">
        <v>9</v>
      </c>
      <c r="B10" s="66" t="s">
        <v>103</v>
      </c>
      <c r="C10" s="67" t="s">
        <v>104</v>
      </c>
      <c r="D10" s="67" t="s">
        <v>34</v>
      </c>
      <c r="E10" s="68" t="s">
        <v>96</v>
      </c>
      <c r="F10" s="67" t="s">
        <v>36</v>
      </c>
      <c r="G10" s="68" t="s">
        <v>51</v>
      </c>
      <c r="H10" s="68" t="s">
        <v>97</v>
      </c>
      <c r="I10" s="69">
        <v>1.2807</v>
      </c>
      <c r="J10" s="70">
        <v>46262</v>
      </c>
      <c r="K10" s="67" t="s">
        <v>39</v>
      </c>
      <c r="L10" s="70">
        <v>44966</v>
      </c>
      <c r="M10" s="71">
        <v>0.2807</v>
      </c>
      <c r="N10" s="71">
        <v>0.0240684471453703</v>
      </c>
      <c r="O10" s="71">
        <v>0.0790551697530864</v>
      </c>
      <c r="P10" s="71">
        <v>0.00421578577562623</v>
      </c>
      <c r="Q10" s="72">
        <v>3.95130899827612</v>
      </c>
      <c r="R10" s="66" t="s">
        <v>105</v>
      </c>
      <c r="S10" s="67" t="s">
        <v>99</v>
      </c>
      <c r="T10" s="65">
        <v>185</v>
      </c>
      <c r="U10" s="70">
        <v>44966</v>
      </c>
      <c r="V10" s="70">
        <v>46262</v>
      </c>
      <c r="W10" s="69">
        <v>1.2807</v>
      </c>
      <c r="X10" s="68" t="s">
        <v>106</v>
      </c>
      <c r="Y10" s="68" t="s">
        <v>107</v>
      </c>
      <c r="Z10" s="68"/>
      <c r="AA10" s="70">
        <v>46262</v>
      </c>
      <c r="AB10" s="70">
        <v>46274</v>
      </c>
      <c r="AC10" s="68" t="s">
        <v>57</v>
      </c>
      <c r="AD10" s="68" t="s">
        <v>45</v>
      </c>
      <c r="AE10" s="67" t="s">
        <v>108</v>
      </c>
      <c r="AF10" s="67" t="s">
        <v>47</v>
      </c>
    </row>
    <row r="11" ht="40" customHeight="1" spans="1:32">
      <c r="A11" s="65">
        <v>10</v>
      </c>
      <c r="B11" s="66" t="s">
        <v>109</v>
      </c>
      <c r="C11" s="67" t="s">
        <v>110</v>
      </c>
      <c r="D11" s="67" t="s">
        <v>34</v>
      </c>
      <c r="E11" s="68" t="s">
        <v>35</v>
      </c>
      <c r="F11" s="67" t="s">
        <v>36</v>
      </c>
      <c r="G11" s="68" t="s">
        <v>37</v>
      </c>
      <c r="H11" s="68" t="s">
        <v>111</v>
      </c>
      <c r="I11" s="69">
        <v>1.1796</v>
      </c>
      <c r="J11" s="70">
        <v>46268</v>
      </c>
      <c r="K11" s="67" t="s">
        <v>39</v>
      </c>
      <c r="L11" s="70">
        <v>44722</v>
      </c>
      <c r="M11" s="71">
        <v>0.2902</v>
      </c>
      <c r="N11" s="71">
        <v>0.0355</v>
      </c>
      <c r="O11" s="71">
        <v>0.0685</v>
      </c>
      <c r="P11" s="71">
        <v>0.0356</v>
      </c>
      <c r="Q11" s="72">
        <v>1.2612</v>
      </c>
      <c r="R11" s="66" t="s">
        <v>112</v>
      </c>
      <c r="S11" s="67" t="s">
        <v>113</v>
      </c>
      <c r="T11" s="65">
        <v>1030</v>
      </c>
      <c r="U11" s="70">
        <v>44722</v>
      </c>
      <c r="V11" s="70">
        <v>46268</v>
      </c>
      <c r="W11" s="69">
        <v>1.29024648</v>
      </c>
      <c r="X11" s="68" t="s">
        <v>79</v>
      </c>
      <c r="Y11" s="68" t="s">
        <v>114</v>
      </c>
      <c r="Z11" s="68"/>
      <c r="AA11" s="70">
        <v>46262</v>
      </c>
      <c r="AB11" s="70"/>
      <c r="AC11" s="68" t="s">
        <v>44</v>
      </c>
      <c r="AD11" s="68" t="s">
        <v>45</v>
      </c>
      <c r="AE11" s="67" t="s">
        <v>115</v>
      </c>
      <c r="AF11" s="67" t="s">
        <v>47</v>
      </c>
    </row>
    <row r="12" ht="40" customHeight="1" spans="1:32">
      <c r="A12" s="65">
        <v>11</v>
      </c>
      <c r="B12" s="66" t="s">
        <v>116</v>
      </c>
      <c r="C12" s="67" t="s">
        <v>117</v>
      </c>
      <c r="D12" s="67" t="s">
        <v>34</v>
      </c>
      <c r="E12" s="68" t="s">
        <v>35</v>
      </c>
      <c r="F12" s="67" t="s">
        <v>36</v>
      </c>
      <c r="G12" s="68" t="s">
        <v>37</v>
      </c>
      <c r="H12" s="68" t="s">
        <v>38</v>
      </c>
      <c r="I12" s="69">
        <v>1.1633</v>
      </c>
      <c r="J12" s="70">
        <v>46265</v>
      </c>
      <c r="K12" s="67" t="s">
        <v>39</v>
      </c>
      <c r="L12" s="70">
        <v>44575</v>
      </c>
      <c r="M12" s="71">
        <v>0.5046</v>
      </c>
      <c r="N12" s="71">
        <v>0.0734</v>
      </c>
      <c r="O12" s="71">
        <v>0.109</v>
      </c>
      <c r="P12" s="71">
        <v>0.0503</v>
      </c>
      <c r="Q12" s="72">
        <v>1.6952</v>
      </c>
      <c r="R12" s="66" t="s">
        <v>118</v>
      </c>
      <c r="S12" s="67" t="s">
        <v>113</v>
      </c>
      <c r="T12" s="65">
        <v>263</v>
      </c>
      <c r="U12" s="70">
        <v>44575</v>
      </c>
      <c r="V12" s="70">
        <v>46265</v>
      </c>
      <c r="W12" s="69">
        <v>1.50455987</v>
      </c>
      <c r="X12" s="68" t="s">
        <v>79</v>
      </c>
      <c r="Y12" s="68" t="s">
        <v>114</v>
      </c>
      <c r="Z12" s="68"/>
      <c r="AA12" s="70">
        <v>46262</v>
      </c>
      <c r="AB12" s="70"/>
      <c r="AC12" s="68" t="s">
        <v>44</v>
      </c>
      <c r="AD12" s="68" t="s">
        <v>45</v>
      </c>
      <c r="AE12" s="67" t="s">
        <v>119</v>
      </c>
      <c r="AF12" s="67" t="s">
        <v>47</v>
      </c>
    </row>
    <row r="13" ht="40" customHeight="1" spans="1:32">
      <c r="A13" s="65">
        <v>12</v>
      </c>
      <c r="B13" s="66" t="s">
        <v>120</v>
      </c>
      <c r="C13" s="67" t="s">
        <v>121</v>
      </c>
      <c r="D13" s="67" t="s">
        <v>34</v>
      </c>
      <c r="E13" s="68" t="s">
        <v>122</v>
      </c>
      <c r="F13" s="67" t="s">
        <v>36</v>
      </c>
      <c r="G13" s="68" t="s">
        <v>37</v>
      </c>
      <c r="H13" s="68" t="s">
        <v>123</v>
      </c>
      <c r="I13" s="69">
        <v>1.059</v>
      </c>
      <c r="J13" s="70">
        <v>46262</v>
      </c>
      <c r="K13" s="67" t="s">
        <v>39</v>
      </c>
      <c r="L13" s="70">
        <v>43627</v>
      </c>
      <c r="M13" s="71">
        <v>0.3238</v>
      </c>
      <c r="N13" s="71">
        <v>0.059</v>
      </c>
      <c r="O13" s="71">
        <v>0.1126</v>
      </c>
      <c r="P13" s="71">
        <v>0.1121</v>
      </c>
      <c r="Q13" s="72">
        <v>0.8646</v>
      </c>
      <c r="R13" s="66" t="s">
        <v>124</v>
      </c>
      <c r="S13" s="67" t="s">
        <v>125</v>
      </c>
      <c r="T13" s="65">
        <v>150</v>
      </c>
      <c r="U13" s="70">
        <v>45212</v>
      </c>
      <c r="V13" s="70">
        <v>46262</v>
      </c>
      <c r="W13" s="69">
        <v>1.20754711</v>
      </c>
      <c r="X13" s="68" t="s">
        <v>79</v>
      </c>
      <c r="Y13" s="68" t="s">
        <v>126</v>
      </c>
      <c r="Z13" s="68"/>
      <c r="AA13" s="70">
        <v>46262</v>
      </c>
      <c r="AB13" s="70"/>
      <c r="AC13" s="68" t="s">
        <v>66</v>
      </c>
      <c r="AD13" s="68" t="s">
        <v>45</v>
      </c>
      <c r="AE13" s="67" t="s">
        <v>127</v>
      </c>
      <c r="AF13" s="67" t="s">
        <v>47</v>
      </c>
    </row>
    <row r="14" ht="40" customHeight="1" spans="1:32">
      <c r="A14" s="65">
        <v>13</v>
      </c>
      <c r="B14" s="66" t="s">
        <v>128</v>
      </c>
      <c r="C14" s="67" t="s">
        <v>129</v>
      </c>
      <c r="D14" s="67" t="s">
        <v>34</v>
      </c>
      <c r="E14" s="68" t="s">
        <v>61</v>
      </c>
      <c r="F14" s="67" t="s">
        <v>36</v>
      </c>
      <c r="G14" s="68" t="s">
        <v>37</v>
      </c>
      <c r="H14" s="68" t="s">
        <v>62</v>
      </c>
      <c r="I14" s="69">
        <v>1.2518</v>
      </c>
      <c r="J14" s="70">
        <v>46262</v>
      </c>
      <c r="K14" s="67" t="s">
        <v>39</v>
      </c>
      <c r="L14" s="70">
        <v>43334</v>
      </c>
      <c r="M14" s="71">
        <v>0.7366</v>
      </c>
      <c r="N14" s="71">
        <v>0.0248</v>
      </c>
      <c r="O14" s="71">
        <v>0.0918</v>
      </c>
      <c r="P14" s="71">
        <v>0.0922</v>
      </c>
      <c r="Q14" s="72">
        <v>1.2442</v>
      </c>
      <c r="R14" s="66" t="s">
        <v>130</v>
      </c>
      <c r="S14" s="67" t="s">
        <v>131</v>
      </c>
      <c r="T14" s="65">
        <v>443</v>
      </c>
      <c r="U14" s="70">
        <v>43334</v>
      </c>
      <c r="V14" s="70">
        <v>46262</v>
      </c>
      <c r="W14" s="69">
        <v>1.736588</v>
      </c>
      <c r="X14" s="68" t="s">
        <v>42</v>
      </c>
      <c r="Y14" s="68"/>
      <c r="Z14" s="68" t="s">
        <v>132</v>
      </c>
      <c r="AA14" s="70"/>
      <c r="AB14" s="70">
        <v>46269</v>
      </c>
      <c r="AC14" s="68" t="s">
        <v>44</v>
      </c>
      <c r="AD14" s="68" t="s">
        <v>45</v>
      </c>
      <c r="AE14" s="67" t="s">
        <v>133</v>
      </c>
      <c r="AF14" s="67" t="s">
        <v>47</v>
      </c>
    </row>
    <row r="15" ht="40" customHeight="1" spans="1:32">
      <c r="A15" s="65">
        <v>14</v>
      </c>
      <c r="B15" s="66" t="s">
        <v>134</v>
      </c>
      <c r="C15" s="67" t="s">
        <v>135</v>
      </c>
      <c r="D15" s="67" t="s">
        <v>34</v>
      </c>
      <c r="E15" s="68" t="s">
        <v>136</v>
      </c>
      <c r="F15" s="67" t="s">
        <v>36</v>
      </c>
      <c r="G15" s="68" t="s">
        <v>37</v>
      </c>
      <c r="H15" s="68" t="s">
        <v>137</v>
      </c>
      <c r="I15" s="69">
        <v>1.0824</v>
      </c>
      <c r="J15" s="70">
        <v>46267</v>
      </c>
      <c r="K15" s="67" t="s">
        <v>138</v>
      </c>
      <c r="L15" s="70">
        <v>46017</v>
      </c>
      <c r="M15" s="71">
        <v>0.0839</v>
      </c>
      <c r="N15" s="71"/>
      <c r="O15" s="71">
        <v>0.1326</v>
      </c>
      <c r="P15" s="71">
        <v>0.0043</v>
      </c>
      <c r="Q15" s="72">
        <v>4.2438</v>
      </c>
      <c r="R15" s="66" t="s">
        <v>139</v>
      </c>
      <c r="S15" s="67" t="s">
        <v>140</v>
      </c>
      <c r="T15" s="65">
        <v>151</v>
      </c>
      <c r="U15" s="70">
        <v>46036</v>
      </c>
      <c r="V15" s="70">
        <v>46267</v>
      </c>
      <c r="W15" s="69">
        <v>1.0824</v>
      </c>
      <c r="X15" s="68" t="s">
        <v>141</v>
      </c>
      <c r="Y15" s="68"/>
      <c r="Z15" s="68"/>
      <c r="AA15" s="70"/>
      <c r="AB15" s="70"/>
      <c r="AC15" s="68" t="s">
        <v>39</v>
      </c>
      <c r="AD15" s="68" t="s">
        <v>45</v>
      </c>
      <c r="AE15" s="67" t="s">
        <v>142</v>
      </c>
      <c r="AF15" s="67" t="s">
        <v>47</v>
      </c>
    </row>
    <row r="16" ht="40" customHeight="1" spans="1:32">
      <c r="A16" s="65">
        <v>15</v>
      </c>
      <c r="B16" s="66" t="s">
        <v>143</v>
      </c>
      <c r="C16" s="67" t="s">
        <v>144</v>
      </c>
      <c r="D16" s="67" t="s">
        <v>34</v>
      </c>
      <c r="E16" s="68" t="s">
        <v>136</v>
      </c>
      <c r="F16" s="67" t="s">
        <v>36</v>
      </c>
      <c r="G16" s="68" t="s">
        <v>37</v>
      </c>
      <c r="H16" s="68" t="s">
        <v>137</v>
      </c>
      <c r="I16" s="69">
        <v>1.0855</v>
      </c>
      <c r="J16" s="70">
        <v>46267</v>
      </c>
      <c r="K16" s="67" t="s">
        <v>138</v>
      </c>
      <c r="L16" s="70">
        <v>46066</v>
      </c>
      <c r="M16" s="71">
        <v>0.0855</v>
      </c>
      <c r="N16" s="71">
        <v>0.0855</v>
      </c>
      <c r="O16" s="71">
        <v>0.1553</v>
      </c>
      <c r="P16" s="71">
        <v>0.0072</v>
      </c>
      <c r="Q16" s="72">
        <v>4.4259</v>
      </c>
      <c r="R16" s="66" t="s">
        <v>145</v>
      </c>
      <c r="S16" s="67" t="s">
        <v>140</v>
      </c>
      <c r="T16" s="65">
        <v>133</v>
      </c>
      <c r="U16" s="70">
        <v>46066</v>
      </c>
      <c r="V16" s="70">
        <v>46267</v>
      </c>
      <c r="W16" s="69">
        <v>1.0855</v>
      </c>
      <c r="X16" s="68" t="s">
        <v>146</v>
      </c>
      <c r="Y16" s="68" t="s">
        <v>147</v>
      </c>
      <c r="Z16" s="68"/>
      <c r="AA16" s="70">
        <v>46262</v>
      </c>
      <c r="AB16" s="70"/>
      <c r="AC16" s="68" t="s">
        <v>39</v>
      </c>
      <c r="AD16" s="68" t="s">
        <v>45</v>
      </c>
      <c r="AE16" s="67" t="s">
        <v>148</v>
      </c>
      <c r="AF16" s="67" t="s">
        <v>47</v>
      </c>
    </row>
    <row r="17" ht="40" customHeight="1" spans="1:32">
      <c r="A17" s="65">
        <v>16</v>
      </c>
      <c r="B17" s="66" t="s">
        <v>149</v>
      </c>
      <c r="C17" s="67" t="s">
        <v>150</v>
      </c>
      <c r="D17" s="67" t="s">
        <v>34</v>
      </c>
      <c r="E17" s="68" t="s">
        <v>35</v>
      </c>
      <c r="F17" s="67" t="s">
        <v>36</v>
      </c>
      <c r="G17" s="68" t="s">
        <v>37</v>
      </c>
      <c r="H17" s="68" t="s">
        <v>38</v>
      </c>
      <c r="I17" s="69">
        <v>1.0971</v>
      </c>
      <c r="J17" s="70">
        <v>46262</v>
      </c>
      <c r="K17" s="67" t="s">
        <v>39</v>
      </c>
      <c r="L17" s="70">
        <v>44729</v>
      </c>
      <c r="M17" s="71">
        <v>0.3343</v>
      </c>
      <c r="N17" s="71">
        <v>0.0682</v>
      </c>
      <c r="O17" s="71">
        <v>0.0796</v>
      </c>
      <c r="P17" s="71">
        <v>0.0033</v>
      </c>
      <c r="Q17" s="72">
        <v>3.4068</v>
      </c>
      <c r="R17" s="66" t="s">
        <v>151</v>
      </c>
      <c r="S17" s="67" t="s">
        <v>152</v>
      </c>
      <c r="T17" s="65">
        <v>231</v>
      </c>
      <c r="U17" s="70">
        <v>44729</v>
      </c>
      <c r="V17" s="70">
        <v>46262</v>
      </c>
      <c r="W17" s="69">
        <v>1.33430763</v>
      </c>
      <c r="X17" s="68" t="s">
        <v>42</v>
      </c>
      <c r="Y17" s="68"/>
      <c r="Z17" s="68" t="s">
        <v>43</v>
      </c>
      <c r="AA17" s="70"/>
      <c r="AB17" s="70">
        <v>46269</v>
      </c>
      <c r="AC17" s="68" t="s">
        <v>44</v>
      </c>
      <c r="AD17" s="68" t="s">
        <v>45</v>
      </c>
      <c r="AE17" s="67" t="s">
        <v>153</v>
      </c>
      <c r="AF17" s="67" t="s">
        <v>47</v>
      </c>
    </row>
    <row r="18" ht="40" customHeight="1" spans="1:32">
      <c r="A18" s="65">
        <v>17</v>
      </c>
      <c r="B18" s="66" t="s">
        <v>154</v>
      </c>
      <c r="C18" s="67" t="s">
        <v>155</v>
      </c>
      <c r="D18" s="67" t="s">
        <v>34</v>
      </c>
      <c r="E18" s="68" t="s">
        <v>35</v>
      </c>
      <c r="F18" s="67" t="s">
        <v>36</v>
      </c>
      <c r="G18" s="68" t="s">
        <v>37</v>
      </c>
      <c r="H18" s="68" t="s">
        <v>156</v>
      </c>
      <c r="I18" s="69">
        <v>2.004</v>
      </c>
      <c r="J18" s="70">
        <v>46268</v>
      </c>
      <c r="K18" s="67" t="s">
        <v>39</v>
      </c>
      <c r="L18" s="70">
        <v>45322</v>
      </c>
      <c r="M18" s="71">
        <v>1.004</v>
      </c>
      <c r="N18" s="71">
        <v>0.3317</v>
      </c>
      <c r="O18" s="71">
        <v>0.3874</v>
      </c>
      <c r="P18" s="71">
        <v>0.145</v>
      </c>
      <c r="Q18" s="72">
        <v>2.611</v>
      </c>
      <c r="R18" s="66" t="s">
        <v>157</v>
      </c>
      <c r="S18" s="67" t="s">
        <v>158</v>
      </c>
      <c r="T18" s="65">
        <v>627</v>
      </c>
      <c r="U18" s="70">
        <v>45322</v>
      </c>
      <c r="V18" s="70">
        <v>46268</v>
      </c>
      <c r="W18" s="69">
        <v>2.004</v>
      </c>
      <c r="X18" s="68" t="s">
        <v>42</v>
      </c>
      <c r="Y18" s="68"/>
      <c r="Z18" s="68" t="s">
        <v>43</v>
      </c>
      <c r="AA18" s="70"/>
      <c r="AB18" s="70">
        <v>46269</v>
      </c>
      <c r="AC18" s="68" t="s">
        <v>44</v>
      </c>
      <c r="AD18" s="68" t="s">
        <v>45</v>
      </c>
      <c r="AE18" s="67" t="s">
        <v>159</v>
      </c>
      <c r="AF18" s="67" t="s">
        <v>47</v>
      </c>
    </row>
    <row r="19" ht="40" customHeight="1" spans="1:32">
      <c r="A19" s="65">
        <v>18</v>
      </c>
      <c r="B19" s="66" t="s">
        <v>160</v>
      </c>
      <c r="C19" s="67" t="s">
        <v>161</v>
      </c>
      <c r="D19" s="67" t="s">
        <v>34</v>
      </c>
      <c r="E19" s="68" t="s">
        <v>35</v>
      </c>
      <c r="F19" s="67" t="s">
        <v>36</v>
      </c>
      <c r="G19" s="68" t="s">
        <v>37</v>
      </c>
      <c r="H19" s="68" t="s">
        <v>156</v>
      </c>
      <c r="I19" s="69">
        <v>1.1011</v>
      </c>
      <c r="J19" s="70">
        <v>46268</v>
      </c>
      <c r="K19" s="67" t="s">
        <v>39</v>
      </c>
      <c r="L19" s="70">
        <v>45705</v>
      </c>
      <c r="M19" s="71">
        <v>0.3087</v>
      </c>
      <c r="N19" s="71">
        <v>0.1732</v>
      </c>
      <c r="O19" s="71">
        <v>0.2001</v>
      </c>
      <c r="P19" s="71">
        <v>0.0351</v>
      </c>
      <c r="Q19" s="72">
        <v>2.833</v>
      </c>
      <c r="R19" s="66" t="s">
        <v>162</v>
      </c>
      <c r="S19" s="67" t="s">
        <v>158</v>
      </c>
      <c r="T19" s="65">
        <v>380</v>
      </c>
      <c r="U19" s="70">
        <v>45705</v>
      </c>
      <c r="V19" s="70">
        <v>46268</v>
      </c>
      <c r="W19" s="69">
        <v>1.30865735</v>
      </c>
      <c r="X19" s="68" t="s">
        <v>42</v>
      </c>
      <c r="Y19" s="68"/>
      <c r="Z19" s="68" t="s">
        <v>43</v>
      </c>
      <c r="AA19" s="70"/>
      <c r="AB19" s="70">
        <v>46269</v>
      </c>
      <c r="AC19" s="68" t="s">
        <v>44</v>
      </c>
      <c r="AD19" s="68" t="s">
        <v>45</v>
      </c>
      <c r="AE19" s="67" t="s">
        <v>163</v>
      </c>
      <c r="AF19" s="67" t="s">
        <v>47</v>
      </c>
    </row>
    <row r="20" ht="40" customHeight="1" spans="1:32">
      <c r="A20" s="65">
        <v>19</v>
      </c>
      <c r="B20" s="66" t="s">
        <v>164</v>
      </c>
      <c r="C20" s="67" t="s">
        <v>165</v>
      </c>
      <c r="D20" s="67" t="s">
        <v>34</v>
      </c>
      <c r="E20" s="68" t="s">
        <v>61</v>
      </c>
      <c r="F20" s="67" t="s">
        <v>36</v>
      </c>
      <c r="G20" s="68" t="s">
        <v>37</v>
      </c>
      <c r="H20" s="68" t="s">
        <v>62</v>
      </c>
      <c r="I20" s="69">
        <v>1.2817</v>
      </c>
      <c r="J20" s="70">
        <v>46262</v>
      </c>
      <c r="K20" s="67" t="s">
        <v>39</v>
      </c>
      <c r="L20" s="70">
        <v>44305</v>
      </c>
      <c r="M20" s="71">
        <v>0.2817</v>
      </c>
      <c r="N20" s="71">
        <v>0.0102</v>
      </c>
      <c r="O20" s="71">
        <v>0.0525</v>
      </c>
      <c r="P20" s="71">
        <v>0.0184</v>
      </c>
      <c r="Q20" s="72">
        <v>1.3007</v>
      </c>
      <c r="R20" s="66" t="s">
        <v>166</v>
      </c>
      <c r="S20" s="67" t="s">
        <v>167</v>
      </c>
      <c r="T20" s="65">
        <v>499</v>
      </c>
      <c r="U20" s="70">
        <v>44305</v>
      </c>
      <c r="V20" s="70">
        <v>46262</v>
      </c>
      <c r="W20" s="69">
        <v>1.2817</v>
      </c>
      <c r="X20" s="68" t="s">
        <v>42</v>
      </c>
      <c r="Y20" s="68"/>
      <c r="Z20" s="68" t="s">
        <v>65</v>
      </c>
      <c r="AA20" s="70"/>
      <c r="AB20" s="70">
        <v>46269</v>
      </c>
      <c r="AC20" s="68" t="s">
        <v>44</v>
      </c>
      <c r="AD20" s="68" t="s">
        <v>45</v>
      </c>
      <c r="AE20" s="67" t="s">
        <v>168</v>
      </c>
      <c r="AF20" s="67" t="s">
        <v>47</v>
      </c>
    </row>
    <row r="21" ht="40" customHeight="1" spans="1:32">
      <c r="A21" s="65">
        <v>20</v>
      </c>
      <c r="B21" s="66" t="s">
        <v>169</v>
      </c>
      <c r="C21" s="67" t="s">
        <v>170</v>
      </c>
      <c r="D21" s="67" t="s">
        <v>34</v>
      </c>
      <c r="E21" s="68" t="s">
        <v>35</v>
      </c>
      <c r="F21" s="67" t="s">
        <v>36</v>
      </c>
      <c r="G21" s="68" t="s">
        <v>37</v>
      </c>
      <c r="H21" s="68" t="s">
        <v>38</v>
      </c>
      <c r="I21" s="69">
        <v>2.018</v>
      </c>
      <c r="J21" s="70">
        <v>46262</v>
      </c>
      <c r="K21" s="67" t="s">
        <v>39</v>
      </c>
      <c r="L21" s="70">
        <v>42772</v>
      </c>
      <c r="M21" s="71">
        <v>1.696</v>
      </c>
      <c r="N21" s="71">
        <v>0.0621</v>
      </c>
      <c r="O21" s="71">
        <v>0.1774</v>
      </c>
      <c r="P21" s="71">
        <v>0.0516</v>
      </c>
      <c r="Q21" s="72">
        <v>2.4407</v>
      </c>
      <c r="R21" s="66" t="s">
        <v>171</v>
      </c>
      <c r="S21" s="67" t="s">
        <v>172</v>
      </c>
      <c r="T21" s="65">
        <v>714</v>
      </c>
      <c r="U21" s="70">
        <v>42772</v>
      </c>
      <c r="V21" s="70">
        <v>46262</v>
      </c>
      <c r="W21" s="69">
        <v>2.6959568</v>
      </c>
      <c r="X21" s="68" t="s">
        <v>42</v>
      </c>
      <c r="Y21" s="68"/>
      <c r="Z21" s="68" t="s">
        <v>43</v>
      </c>
      <c r="AA21" s="70"/>
      <c r="AB21" s="70">
        <v>46269</v>
      </c>
      <c r="AC21" s="68" t="s">
        <v>44</v>
      </c>
      <c r="AD21" s="68" t="s">
        <v>45</v>
      </c>
      <c r="AE21" s="67" t="s">
        <v>173</v>
      </c>
      <c r="AF21" s="67" t="s">
        <v>47</v>
      </c>
    </row>
    <row r="22" ht="40" customHeight="1" spans="1:32">
      <c r="A22" s="65">
        <v>21</v>
      </c>
      <c r="B22" s="66" t="s">
        <v>174</v>
      </c>
      <c r="C22" s="67" t="s">
        <v>175</v>
      </c>
      <c r="D22" s="67" t="s">
        <v>34</v>
      </c>
      <c r="E22" s="68" t="s">
        <v>35</v>
      </c>
      <c r="F22" s="67" t="s">
        <v>36</v>
      </c>
      <c r="G22" s="68" t="s">
        <v>37</v>
      </c>
      <c r="H22" s="68" t="s">
        <v>38</v>
      </c>
      <c r="I22" s="69">
        <v>1.133</v>
      </c>
      <c r="J22" s="70">
        <v>46262</v>
      </c>
      <c r="K22" s="67" t="s">
        <v>39</v>
      </c>
      <c r="L22" s="70">
        <v>44462</v>
      </c>
      <c r="M22" s="71">
        <v>0.9561</v>
      </c>
      <c r="N22" s="71">
        <v>0.0873</v>
      </c>
      <c r="O22" s="71">
        <v>0.1939</v>
      </c>
      <c r="P22" s="71">
        <v>0.0046</v>
      </c>
      <c r="Q22" s="72">
        <v>7.1254</v>
      </c>
      <c r="R22" s="66" t="s">
        <v>176</v>
      </c>
      <c r="S22" s="67" t="s">
        <v>177</v>
      </c>
      <c r="T22" s="65">
        <v>285</v>
      </c>
      <c r="U22" s="70">
        <v>44462</v>
      </c>
      <c r="V22" s="70">
        <v>46262</v>
      </c>
      <c r="W22" s="69">
        <v>1.95605912</v>
      </c>
      <c r="X22" s="68" t="s">
        <v>42</v>
      </c>
      <c r="Y22" s="68"/>
      <c r="Z22" s="68" t="s">
        <v>43</v>
      </c>
      <c r="AA22" s="70"/>
      <c r="AB22" s="70">
        <v>46269</v>
      </c>
      <c r="AC22" s="68" t="s">
        <v>44</v>
      </c>
      <c r="AD22" s="68" t="s">
        <v>45</v>
      </c>
      <c r="AE22" s="67" t="s">
        <v>178</v>
      </c>
      <c r="AF22" s="67" t="s">
        <v>47</v>
      </c>
    </row>
    <row r="23" ht="40" customHeight="1" spans="1:32">
      <c r="A23" s="65">
        <v>23</v>
      </c>
      <c r="B23" s="66" t="s">
        <v>179</v>
      </c>
      <c r="C23" s="67" t="s">
        <v>180</v>
      </c>
      <c r="D23" s="67" t="s">
        <v>34</v>
      </c>
      <c r="E23" s="68" t="s">
        <v>35</v>
      </c>
      <c r="F23" s="67" t="s">
        <v>36</v>
      </c>
      <c r="G23" s="68" t="s">
        <v>37</v>
      </c>
      <c r="H23" s="68" t="s">
        <v>181</v>
      </c>
      <c r="I23" s="69">
        <v>1.1991</v>
      </c>
      <c r="J23" s="70">
        <v>46265</v>
      </c>
      <c r="K23" s="67" t="s">
        <v>39</v>
      </c>
      <c r="L23" s="70">
        <v>44936</v>
      </c>
      <c r="M23" s="71">
        <v>0.1991</v>
      </c>
      <c r="N23" s="71">
        <v>0.0612</v>
      </c>
      <c r="O23" s="71">
        <v>0.0547</v>
      </c>
      <c r="P23" s="71">
        <v>0.0244</v>
      </c>
      <c r="Q23" s="72">
        <v>1.2051</v>
      </c>
      <c r="R23" s="66" t="s">
        <v>182</v>
      </c>
      <c r="S23" s="67" t="s">
        <v>183</v>
      </c>
      <c r="T23" s="65">
        <v>175</v>
      </c>
      <c r="U23" s="70">
        <v>44936</v>
      </c>
      <c r="V23" s="70">
        <v>46265</v>
      </c>
      <c r="W23" s="69">
        <v>1.1991</v>
      </c>
      <c r="X23" s="68" t="s">
        <v>42</v>
      </c>
      <c r="Y23" s="68"/>
      <c r="Z23" s="68" t="s">
        <v>43</v>
      </c>
      <c r="AA23" s="70"/>
      <c r="AB23" s="70">
        <v>46269</v>
      </c>
      <c r="AC23" s="68" t="s">
        <v>44</v>
      </c>
      <c r="AD23" s="68" t="s">
        <v>45</v>
      </c>
      <c r="AE23" s="67" t="s">
        <v>184</v>
      </c>
      <c r="AF23" s="67" t="s">
        <v>47</v>
      </c>
    </row>
    <row r="24" ht="40" customHeight="1" spans="1:32">
      <c r="A24" s="65">
        <v>24</v>
      </c>
      <c r="B24" s="66" t="s">
        <v>185</v>
      </c>
      <c r="C24" s="67" t="s">
        <v>186</v>
      </c>
      <c r="D24" s="67" t="s">
        <v>34</v>
      </c>
      <c r="E24" s="68" t="s">
        <v>35</v>
      </c>
      <c r="F24" s="67" t="s">
        <v>36</v>
      </c>
      <c r="G24" s="68" t="s">
        <v>37</v>
      </c>
      <c r="H24" s="68" t="s">
        <v>187</v>
      </c>
      <c r="I24" s="69">
        <v>1.2185</v>
      </c>
      <c r="J24" s="70">
        <v>46265</v>
      </c>
      <c r="K24" s="67" t="s">
        <v>39</v>
      </c>
      <c r="L24" s="70">
        <v>44537</v>
      </c>
      <c r="M24" s="71">
        <v>0.5397</v>
      </c>
      <c r="N24" s="71">
        <v>0.0485</v>
      </c>
      <c r="O24" s="71">
        <v>0.114</v>
      </c>
      <c r="P24" s="71">
        <v>0.0894</v>
      </c>
      <c r="Q24" s="72">
        <v>1.3249</v>
      </c>
      <c r="R24" s="66" t="s">
        <v>188</v>
      </c>
      <c r="S24" s="67" t="s">
        <v>189</v>
      </c>
      <c r="T24" s="65">
        <v>268</v>
      </c>
      <c r="U24" s="70">
        <v>44537</v>
      </c>
      <c r="V24" s="70">
        <v>46265</v>
      </c>
      <c r="W24" s="69">
        <v>1.53965994</v>
      </c>
      <c r="X24" s="68" t="s">
        <v>79</v>
      </c>
      <c r="Y24" s="68" t="s">
        <v>190</v>
      </c>
      <c r="Z24" s="68"/>
      <c r="AA24" s="70">
        <v>46262</v>
      </c>
      <c r="AB24" s="70"/>
      <c r="AC24" s="68" t="s">
        <v>44</v>
      </c>
      <c r="AD24" s="68" t="s">
        <v>45</v>
      </c>
      <c r="AE24" s="67" t="s">
        <v>191</v>
      </c>
      <c r="AF24" s="67" t="s">
        <v>47</v>
      </c>
    </row>
    <row r="25" ht="40" customHeight="1" spans="1:32">
      <c r="A25" s="65">
        <v>25</v>
      </c>
      <c r="B25" s="66" t="s">
        <v>192</v>
      </c>
      <c r="C25" s="67" t="s">
        <v>193</v>
      </c>
      <c r="D25" s="67" t="s">
        <v>34</v>
      </c>
      <c r="E25" s="68" t="s">
        <v>70</v>
      </c>
      <c r="F25" s="67" t="s">
        <v>36</v>
      </c>
      <c r="G25" s="68" t="s">
        <v>37</v>
      </c>
      <c r="H25" s="68" t="s">
        <v>71</v>
      </c>
      <c r="I25" s="69">
        <v>1.2007</v>
      </c>
      <c r="J25" s="70">
        <v>46206</v>
      </c>
      <c r="K25" s="67" t="s">
        <v>39</v>
      </c>
      <c r="L25" s="70">
        <v>45694</v>
      </c>
      <c r="M25" s="71">
        <v>0.2007</v>
      </c>
      <c r="N25" s="71">
        <v>0.1145</v>
      </c>
      <c r="O25" s="71">
        <v>0.1434</v>
      </c>
      <c r="P25" s="71">
        <v>0.0026</v>
      </c>
      <c r="Q25" s="72">
        <v>3.749</v>
      </c>
      <c r="R25" s="66" t="s">
        <v>194</v>
      </c>
      <c r="S25" s="67" t="s">
        <v>195</v>
      </c>
      <c r="T25" s="65">
        <v>88</v>
      </c>
      <c r="U25" s="70">
        <v>45694</v>
      </c>
      <c r="V25" s="70">
        <v>46265</v>
      </c>
      <c r="W25" s="69">
        <v>1.3824</v>
      </c>
      <c r="X25" s="68" t="s">
        <v>42</v>
      </c>
      <c r="Y25" s="68"/>
      <c r="Z25" s="68" t="s">
        <v>74</v>
      </c>
      <c r="AA25" s="70"/>
      <c r="AB25" s="70">
        <v>46269</v>
      </c>
      <c r="AC25" s="68" t="s">
        <v>66</v>
      </c>
      <c r="AD25" s="68" t="s">
        <v>45</v>
      </c>
      <c r="AE25" s="67" t="s">
        <v>196</v>
      </c>
      <c r="AF25" s="67" t="s">
        <v>47</v>
      </c>
    </row>
    <row r="26" ht="40" customHeight="1" spans="1:32">
      <c r="A26" s="65">
        <v>26</v>
      </c>
      <c r="B26" s="66" t="s">
        <v>197</v>
      </c>
      <c r="C26" s="67" t="s">
        <v>198</v>
      </c>
      <c r="D26" s="67" t="s">
        <v>34</v>
      </c>
      <c r="E26" s="68" t="s">
        <v>70</v>
      </c>
      <c r="F26" s="67" t="s">
        <v>36</v>
      </c>
      <c r="G26" s="68" t="s">
        <v>51</v>
      </c>
      <c r="H26" s="68" t="s">
        <v>71</v>
      </c>
      <c r="I26" s="69">
        <v>1.1367</v>
      </c>
      <c r="J26" s="70">
        <v>46262</v>
      </c>
      <c r="K26" s="67" t="s">
        <v>39</v>
      </c>
      <c r="L26" s="70">
        <v>45749</v>
      </c>
      <c r="M26" s="71">
        <v>0.136586341365863</v>
      </c>
      <c r="N26" s="71">
        <v>0.0915114269252928</v>
      </c>
      <c r="O26" s="71">
        <v>0.0973711222627738</v>
      </c>
      <c r="P26" s="71">
        <v>0.00572896088502586</v>
      </c>
      <c r="Q26" s="72">
        <v>2.62047740284583</v>
      </c>
      <c r="R26" s="66" t="s">
        <v>199</v>
      </c>
      <c r="S26" s="67" t="s">
        <v>195</v>
      </c>
      <c r="T26" s="65">
        <v>76</v>
      </c>
      <c r="U26" s="70">
        <v>45750</v>
      </c>
      <c r="V26" s="70">
        <v>46262</v>
      </c>
      <c r="W26" s="69">
        <v>1.1367</v>
      </c>
      <c r="X26" s="68" t="s">
        <v>55</v>
      </c>
      <c r="Y26" s="68" t="s">
        <v>107</v>
      </c>
      <c r="Z26" s="68"/>
      <c r="AA26" s="70">
        <v>46262</v>
      </c>
      <c r="AB26" s="70"/>
      <c r="AC26" s="68" t="s">
        <v>57</v>
      </c>
      <c r="AD26" s="68" t="s">
        <v>45</v>
      </c>
      <c r="AE26" s="67" t="s">
        <v>200</v>
      </c>
      <c r="AF26" s="67" t="s">
        <v>47</v>
      </c>
    </row>
    <row r="27" ht="40" customHeight="1" spans="1:32">
      <c r="A27" s="65">
        <v>27</v>
      </c>
      <c r="B27" s="66" t="s">
        <v>201</v>
      </c>
      <c r="C27" s="67" t="s">
        <v>202</v>
      </c>
      <c r="D27" s="67" t="s">
        <v>34</v>
      </c>
      <c r="E27" s="68" t="s">
        <v>70</v>
      </c>
      <c r="F27" s="67" t="s">
        <v>36</v>
      </c>
      <c r="G27" s="68" t="s">
        <v>37</v>
      </c>
      <c r="H27" s="68" t="s">
        <v>71</v>
      </c>
      <c r="I27" s="69">
        <v>1.0252</v>
      </c>
      <c r="J27" s="70">
        <v>46265</v>
      </c>
      <c r="K27" s="67" t="s">
        <v>39</v>
      </c>
      <c r="L27" s="70">
        <v>45818</v>
      </c>
      <c r="M27" s="71">
        <v>0.1099</v>
      </c>
      <c r="N27" s="71">
        <v>0.0764</v>
      </c>
      <c r="O27" s="71">
        <v>0.0899</v>
      </c>
      <c r="P27" s="71">
        <v>0.0042</v>
      </c>
      <c r="Q27" s="72">
        <v>2.5823</v>
      </c>
      <c r="R27" s="66" t="s">
        <v>203</v>
      </c>
      <c r="S27" s="67" t="s">
        <v>195</v>
      </c>
      <c r="T27" s="65">
        <v>74</v>
      </c>
      <c r="U27" s="70">
        <v>45819</v>
      </c>
      <c r="V27" s="70">
        <v>46265</v>
      </c>
      <c r="W27" s="69">
        <v>1.10988152</v>
      </c>
      <c r="X27" s="68" t="s">
        <v>42</v>
      </c>
      <c r="Y27" s="68"/>
      <c r="Z27" s="68" t="s">
        <v>74</v>
      </c>
      <c r="AA27" s="70"/>
      <c r="AB27" s="70">
        <v>46269</v>
      </c>
      <c r="AC27" s="68" t="s">
        <v>44</v>
      </c>
      <c r="AD27" s="68" t="s">
        <v>45</v>
      </c>
      <c r="AE27" s="67" t="s">
        <v>204</v>
      </c>
      <c r="AF27" s="67" t="s">
        <v>47</v>
      </c>
    </row>
    <row r="28" ht="40" customHeight="1" spans="1:32">
      <c r="A28" s="65">
        <v>28</v>
      </c>
      <c r="B28" s="66" t="s">
        <v>205</v>
      </c>
      <c r="C28" s="67" t="s">
        <v>206</v>
      </c>
      <c r="D28" s="67" t="s">
        <v>34</v>
      </c>
      <c r="E28" s="68" t="s">
        <v>136</v>
      </c>
      <c r="F28" s="67" t="s">
        <v>36</v>
      </c>
      <c r="G28" s="68" t="s">
        <v>37</v>
      </c>
      <c r="H28" s="68" t="s">
        <v>137</v>
      </c>
      <c r="I28" s="69">
        <v>1.1126</v>
      </c>
      <c r="J28" s="70">
        <v>46265</v>
      </c>
      <c r="K28" s="67" t="s">
        <v>138</v>
      </c>
      <c r="L28" s="70">
        <v>45652</v>
      </c>
      <c r="M28" s="71">
        <v>0.1126</v>
      </c>
      <c r="N28" s="71">
        <v>0.0413</v>
      </c>
      <c r="O28" s="71">
        <v>0.067</v>
      </c>
      <c r="P28" s="71">
        <v>0.0678</v>
      </c>
      <c r="Q28" s="72">
        <v>0.5408</v>
      </c>
      <c r="R28" s="66" t="s">
        <v>207</v>
      </c>
      <c r="S28" s="67" t="s">
        <v>208</v>
      </c>
      <c r="T28" s="65">
        <v>95</v>
      </c>
      <c r="U28" s="70">
        <v>45652</v>
      </c>
      <c r="V28" s="70">
        <v>46265</v>
      </c>
      <c r="W28" s="69">
        <v>1.1126</v>
      </c>
      <c r="X28" s="68" t="s">
        <v>141</v>
      </c>
      <c r="Y28" s="68"/>
      <c r="Z28" s="68"/>
      <c r="AA28" s="70"/>
      <c r="AB28" s="70"/>
      <c r="AC28" s="68" t="s">
        <v>39</v>
      </c>
      <c r="AD28" s="68" t="s">
        <v>45</v>
      </c>
      <c r="AE28" s="67" t="s">
        <v>209</v>
      </c>
      <c r="AF28" s="67" t="s">
        <v>47</v>
      </c>
    </row>
    <row r="29" ht="40" customHeight="1" spans="1:32">
      <c r="A29" s="65">
        <v>29</v>
      </c>
      <c r="B29" s="66" t="s">
        <v>210</v>
      </c>
      <c r="C29" s="67" t="s">
        <v>211</v>
      </c>
      <c r="D29" s="67" t="s">
        <v>34</v>
      </c>
      <c r="E29" s="68" t="s">
        <v>35</v>
      </c>
      <c r="F29" s="67" t="s">
        <v>36</v>
      </c>
      <c r="G29" s="68" t="s">
        <v>37</v>
      </c>
      <c r="H29" s="68" t="s">
        <v>38</v>
      </c>
      <c r="I29" s="69">
        <v>1.0026</v>
      </c>
      <c r="J29" s="70">
        <v>46267</v>
      </c>
      <c r="K29" s="67" t="s">
        <v>212</v>
      </c>
      <c r="L29" s="70">
        <v>46094</v>
      </c>
      <c r="M29" s="71">
        <v>0.0026</v>
      </c>
      <c r="N29" s="71">
        <v>0.0026</v>
      </c>
      <c r="O29" s="71">
        <v>0.0055</v>
      </c>
      <c r="P29" s="71">
        <v>0.0282</v>
      </c>
      <c r="Q29" s="72">
        <v>-0.5116</v>
      </c>
      <c r="R29" s="66" t="s">
        <v>213</v>
      </c>
      <c r="S29" s="67" t="s">
        <v>214</v>
      </c>
      <c r="T29" s="65">
        <v>119</v>
      </c>
      <c r="U29" s="70">
        <v>46094</v>
      </c>
      <c r="V29" s="70">
        <v>46267</v>
      </c>
      <c r="W29" s="69">
        <v>1.0026</v>
      </c>
      <c r="X29" s="68" t="s">
        <v>141</v>
      </c>
      <c r="Y29" s="68"/>
      <c r="Z29" s="68"/>
      <c r="AA29" s="70"/>
      <c r="AB29" s="70"/>
      <c r="AC29" s="68" t="s">
        <v>39</v>
      </c>
      <c r="AD29" s="68" t="s">
        <v>45</v>
      </c>
      <c r="AE29" s="67" t="s">
        <v>215</v>
      </c>
      <c r="AF29" s="67" t="s">
        <v>47</v>
      </c>
    </row>
    <row r="30" ht="40" customHeight="1" spans="1:32">
      <c r="A30" s="65">
        <v>30</v>
      </c>
      <c r="B30" s="66" t="s">
        <v>216</v>
      </c>
      <c r="C30" s="67" t="s">
        <v>217</v>
      </c>
      <c r="D30" s="67" t="s">
        <v>34</v>
      </c>
      <c r="E30" s="68" t="s">
        <v>35</v>
      </c>
      <c r="F30" s="67" t="s">
        <v>36</v>
      </c>
      <c r="G30" s="68" t="s">
        <v>37</v>
      </c>
      <c r="H30" s="68" t="s">
        <v>38</v>
      </c>
      <c r="I30" s="69">
        <v>1.0746</v>
      </c>
      <c r="J30" s="70">
        <v>46262</v>
      </c>
      <c r="K30" s="67" t="s">
        <v>39</v>
      </c>
      <c r="L30" s="70">
        <v>44271</v>
      </c>
      <c r="M30" s="71">
        <v>0.1336</v>
      </c>
      <c r="N30" s="71">
        <v>0.0844</v>
      </c>
      <c r="O30" s="71">
        <v>0.1366</v>
      </c>
      <c r="P30" s="71">
        <v>0.0035</v>
      </c>
      <c r="Q30" s="72">
        <v>5.4094</v>
      </c>
      <c r="R30" s="66" t="s">
        <v>218</v>
      </c>
      <c r="S30" s="67" t="s">
        <v>219</v>
      </c>
      <c r="T30" s="65">
        <v>311</v>
      </c>
      <c r="U30" s="70">
        <v>44271</v>
      </c>
      <c r="V30" s="70">
        <v>46265</v>
      </c>
      <c r="W30" s="69">
        <v>1.79932523</v>
      </c>
      <c r="X30" s="68" t="s">
        <v>220</v>
      </c>
      <c r="Y30" s="68" t="s">
        <v>221</v>
      </c>
      <c r="Z30" s="68" t="s">
        <v>43</v>
      </c>
      <c r="AA30" s="70">
        <v>46262</v>
      </c>
      <c r="AB30" s="70">
        <v>46269</v>
      </c>
      <c r="AC30" s="68" t="s">
        <v>66</v>
      </c>
      <c r="AD30" s="68" t="s">
        <v>45</v>
      </c>
      <c r="AE30" s="67" t="s">
        <v>222</v>
      </c>
      <c r="AF30" s="67" t="s">
        <v>47</v>
      </c>
    </row>
    <row r="31" ht="40" customHeight="1" spans="1:32">
      <c r="A31" s="65">
        <v>32</v>
      </c>
      <c r="B31" s="66" t="s">
        <v>223</v>
      </c>
      <c r="C31" s="67" t="s">
        <v>224</v>
      </c>
      <c r="D31" s="67" t="s">
        <v>34</v>
      </c>
      <c r="E31" s="68" t="s">
        <v>35</v>
      </c>
      <c r="F31" s="67" t="s">
        <v>36</v>
      </c>
      <c r="G31" s="68" t="s">
        <v>37</v>
      </c>
      <c r="H31" s="68" t="s">
        <v>38</v>
      </c>
      <c r="I31" s="69">
        <v>2.797</v>
      </c>
      <c r="J31" s="70">
        <v>46262</v>
      </c>
      <c r="K31" s="67" t="s">
        <v>39</v>
      </c>
      <c r="L31" s="70">
        <v>44061</v>
      </c>
      <c r="M31" s="71">
        <v>0.5591</v>
      </c>
      <c r="N31" s="71">
        <v>0.2531</v>
      </c>
      <c r="O31" s="71">
        <v>0.312</v>
      </c>
      <c r="P31" s="71">
        <v>0.0783</v>
      </c>
      <c r="Q31" s="72">
        <v>2.5084</v>
      </c>
      <c r="R31" s="66" t="s">
        <v>225</v>
      </c>
      <c r="S31" s="67" t="s">
        <v>226</v>
      </c>
      <c r="T31" s="65">
        <v>102</v>
      </c>
      <c r="U31" s="70">
        <v>45608</v>
      </c>
      <c r="V31" s="70">
        <v>46262</v>
      </c>
      <c r="W31" s="69">
        <v>2.797</v>
      </c>
      <c r="X31" s="68" t="s">
        <v>42</v>
      </c>
      <c r="Y31" s="68"/>
      <c r="Z31" s="68" t="s">
        <v>43</v>
      </c>
      <c r="AA31" s="70"/>
      <c r="AB31" s="70">
        <v>46269</v>
      </c>
      <c r="AC31" s="68" t="s">
        <v>44</v>
      </c>
      <c r="AD31" s="68" t="s">
        <v>45</v>
      </c>
      <c r="AE31" s="67" t="s">
        <v>227</v>
      </c>
      <c r="AF31" s="67" t="s">
        <v>47</v>
      </c>
    </row>
    <row r="32" ht="40" customHeight="1" spans="1:32">
      <c r="A32" s="65">
        <v>33</v>
      </c>
      <c r="B32" s="66" t="s">
        <v>228</v>
      </c>
      <c r="C32" s="67" t="s">
        <v>229</v>
      </c>
      <c r="D32" s="67" t="s">
        <v>34</v>
      </c>
      <c r="E32" s="68" t="s">
        <v>35</v>
      </c>
      <c r="F32" s="67" t="s">
        <v>36</v>
      </c>
      <c r="G32" s="68" t="s">
        <v>37</v>
      </c>
      <c r="H32" s="68" t="s">
        <v>230</v>
      </c>
      <c r="I32" s="69">
        <v>1.5806</v>
      </c>
      <c r="J32" s="70">
        <v>46265</v>
      </c>
      <c r="K32" s="67" t="s">
        <v>39</v>
      </c>
      <c r="L32" s="70">
        <v>44323</v>
      </c>
      <c r="M32" s="71">
        <v>0.5806</v>
      </c>
      <c r="N32" s="71">
        <v>0.0986</v>
      </c>
      <c r="O32" s="71">
        <v>0.1091</v>
      </c>
      <c r="P32" s="71">
        <v>0.0083</v>
      </c>
      <c r="Q32" s="72">
        <v>5.8185</v>
      </c>
      <c r="R32" s="66" t="s">
        <v>231</v>
      </c>
      <c r="S32" s="67" t="s">
        <v>232</v>
      </c>
      <c r="T32" s="65">
        <v>933</v>
      </c>
      <c r="U32" s="70">
        <v>44323</v>
      </c>
      <c r="V32" s="70">
        <v>46265</v>
      </c>
      <c r="W32" s="69">
        <v>1.5806</v>
      </c>
      <c r="X32" s="68" t="s">
        <v>42</v>
      </c>
      <c r="Y32" s="68"/>
      <c r="Z32" s="68" t="s">
        <v>43</v>
      </c>
      <c r="AA32" s="70"/>
      <c r="AB32" s="70">
        <v>46269</v>
      </c>
      <c r="AC32" s="68" t="s">
        <v>44</v>
      </c>
      <c r="AD32" s="68" t="s">
        <v>45</v>
      </c>
      <c r="AE32" s="67" t="s">
        <v>233</v>
      </c>
      <c r="AF32" s="67" t="s">
        <v>47</v>
      </c>
    </row>
    <row r="33" ht="40" customHeight="1" spans="1:32">
      <c r="A33" s="65">
        <v>34</v>
      </c>
      <c r="B33" s="66" t="s">
        <v>234</v>
      </c>
      <c r="C33" s="67" t="s">
        <v>235</v>
      </c>
      <c r="D33" s="67" t="s">
        <v>34</v>
      </c>
      <c r="E33" s="68" t="s">
        <v>236</v>
      </c>
      <c r="F33" s="67" t="s">
        <v>36</v>
      </c>
      <c r="G33" s="68" t="s">
        <v>51</v>
      </c>
      <c r="H33" s="68" t="s">
        <v>237</v>
      </c>
      <c r="I33" s="69">
        <v>1.0782</v>
      </c>
      <c r="J33" s="70">
        <v>46268</v>
      </c>
      <c r="K33" s="67" t="s">
        <v>39</v>
      </c>
      <c r="L33" s="70">
        <v>46049</v>
      </c>
      <c r="M33" s="71">
        <v>0.0782</v>
      </c>
      <c r="N33" s="71">
        <v>0.0782</v>
      </c>
      <c r="O33" s="71">
        <v>0.130333333333333</v>
      </c>
      <c r="P33" s="71">
        <v>0.00783186279369492</v>
      </c>
      <c r="Q33" s="72">
        <v>3.29176856478986</v>
      </c>
      <c r="R33" s="66" t="s">
        <v>238</v>
      </c>
      <c r="S33" s="67" t="s">
        <v>239</v>
      </c>
      <c r="T33" s="65">
        <v>147</v>
      </c>
      <c r="U33" s="70">
        <v>46049</v>
      </c>
      <c r="V33" s="70">
        <v>46268</v>
      </c>
      <c r="W33" s="69">
        <v>1.0782</v>
      </c>
      <c r="X33" s="68" t="s">
        <v>55</v>
      </c>
      <c r="Y33" s="68" t="s">
        <v>240</v>
      </c>
      <c r="Z33" s="68"/>
      <c r="AA33" s="70">
        <v>46262</v>
      </c>
      <c r="AB33" s="70"/>
      <c r="AC33" s="68" t="s">
        <v>57</v>
      </c>
      <c r="AD33" s="68" t="s">
        <v>45</v>
      </c>
      <c r="AE33" s="67" t="s">
        <v>241</v>
      </c>
      <c r="AF33" s="67" t="s">
        <v>47</v>
      </c>
    </row>
    <row r="34" ht="40" customHeight="1" spans="1:32">
      <c r="A34" s="65">
        <v>35</v>
      </c>
      <c r="B34" s="66" t="s">
        <v>242</v>
      </c>
      <c r="C34" s="67" t="s">
        <v>243</v>
      </c>
      <c r="D34" s="67" t="s">
        <v>34</v>
      </c>
      <c r="E34" s="68" t="s">
        <v>35</v>
      </c>
      <c r="F34" s="67" t="s">
        <v>36</v>
      </c>
      <c r="G34" s="68" t="s">
        <v>37</v>
      </c>
      <c r="H34" s="68" t="s">
        <v>38</v>
      </c>
      <c r="I34" s="69">
        <v>1.0205</v>
      </c>
      <c r="J34" s="70">
        <v>46267</v>
      </c>
      <c r="K34" s="67" t="s">
        <v>138</v>
      </c>
      <c r="L34" s="70">
        <v>45594</v>
      </c>
      <c r="M34" s="71">
        <v>0.0205</v>
      </c>
      <c r="N34" s="71">
        <v>0.0368</v>
      </c>
      <c r="O34" s="71">
        <v>0.0112</v>
      </c>
      <c r="P34" s="71">
        <v>0.1221</v>
      </c>
      <c r="Q34" s="72">
        <v>-0.0842</v>
      </c>
      <c r="R34" s="66" t="s">
        <v>244</v>
      </c>
      <c r="S34" s="67" t="s">
        <v>245</v>
      </c>
      <c r="T34" s="65">
        <v>200</v>
      </c>
      <c r="U34" s="70">
        <v>45597</v>
      </c>
      <c r="V34" s="70">
        <v>46267</v>
      </c>
      <c r="W34" s="69">
        <v>1.0205</v>
      </c>
      <c r="X34" s="68" t="s">
        <v>141</v>
      </c>
      <c r="Y34" s="68"/>
      <c r="Z34" s="68"/>
      <c r="AA34" s="70"/>
      <c r="AB34" s="70"/>
      <c r="AC34" s="68" t="s">
        <v>39</v>
      </c>
      <c r="AD34" s="68" t="s">
        <v>45</v>
      </c>
      <c r="AE34" s="67" t="s">
        <v>246</v>
      </c>
      <c r="AF34" s="67" t="s">
        <v>47</v>
      </c>
    </row>
    <row r="35" ht="40" customHeight="1" spans="1:32">
      <c r="A35" s="65">
        <v>36</v>
      </c>
      <c r="B35" s="66" t="s">
        <v>247</v>
      </c>
      <c r="C35" s="67" t="s">
        <v>248</v>
      </c>
      <c r="D35" s="67" t="s">
        <v>34</v>
      </c>
      <c r="E35" s="68" t="s">
        <v>136</v>
      </c>
      <c r="F35" s="67" t="s">
        <v>36</v>
      </c>
      <c r="G35" s="68" t="s">
        <v>51</v>
      </c>
      <c r="H35" s="68" t="s">
        <v>137</v>
      </c>
      <c r="I35" s="69">
        <v>1.0334</v>
      </c>
      <c r="J35" s="70">
        <v>46262</v>
      </c>
      <c r="K35" s="67" t="s">
        <v>39</v>
      </c>
      <c r="L35" s="70">
        <v>44196</v>
      </c>
      <c r="M35" s="71">
        <v>0.9822600139986</v>
      </c>
      <c r="N35" s="71">
        <v>0.0445954433476057</v>
      </c>
      <c r="O35" s="71">
        <v>0.173535772076229</v>
      </c>
      <c r="P35" s="71">
        <v>0.00524856407209368</v>
      </c>
      <c r="Q35" s="72">
        <v>6.72667804499645</v>
      </c>
      <c r="R35" s="66" t="s">
        <v>249</v>
      </c>
      <c r="S35" s="67" t="s">
        <v>250</v>
      </c>
      <c r="T35" s="65">
        <v>290</v>
      </c>
      <c r="U35" s="70">
        <v>44196</v>
      </c>
      <c r="V35" s="70">
        <v>46262</v>
      </c>
      <c r="W35" s="69">
        <v>1.98245824</v>
      </c>
      <c r="X35" s="68" t="s">
        <v>106</v>
      </c>
      <c r="Y35" s="68" t="s">
        <v>251</v>
      </c>
      <c r="Z35" s="68"/>
      <c r="AA35" s="70">
        <v>46262</v>
      </c>
      <c r="AB35" s="70">
        <v>46274</v>
      </c>
      <c r="AC35" s="68" t="s">
        <v>57</v>
      </c>
      <c r="AD35" s="68" t="s">
        <v>45</v>
      </c>
      <c r="AE35" s="67" t="s">
        <v>252</v>
      </c>
      <c r="AF35" s="67" t="s">
        <v>47</v>
      </c>
    </row>
    <row r="36" ht="40" customHeight="1" spans="1:32">
      <c r="A36" s="65">
        <v>37</v>
      </c>
      <c r="B36" s="66" t="s">
        <v>253</v>
      </c>
      <c r="C36" s="67" t="s">
        <v>254</v>
      </c>
      <c r="D36" s="67" t="s">
        <v>34</v>
      </c>
      <c r="E36" s="68" t="s">
        <v>35</v>
      </c>
      <c r="F36" s="67" t="s">
        <v>36</v>
      </c>
      <c r="G36" s="68" t="s">
        <v>37</v>
      </c>
      <c r="H36" s="68" t="s">
        <v>187</v>
      </c>
      <c r="I36" s="69">
        <v>1.194</v>
      </c>
      <c r="J36" s="70">
        <v>46262</v>
      </c>
      <c r="K36" s="67" t="s">
        <v>39</v>
      </c>
      <c r="L36" s="70">
        <v>44489</v>
      </c>
      <c r="M36" s="71">
        <v>0.3902</v>
      </c>
      <c r="N36" s="71">
        <v>0.0658</v>
      </c>
      <c r="O36" s="71">
        <v>0.0804</v>
      </c>
      <c r="P36" s="71">
        <v>0.013</v>
      </c>
      <c r="Q36" s="72">
        <v>2.6102</v>
      </c>
      <c r="R36" s="66" t="s">
        <v>255</v>
      </c>
      <c r="S36" s="67" t="s">
        <v>256</v>
      </c>
      <c r="T36" s="65">
        <v>248</v>
      </c>
      <c r="U36" s="70">
        <v>44491</v>
      </c>
      <c r="V36" s="70">
        <v>46262</v>
      </c>
      <c r="W36" s="69">
        <v>1.39023339</v>
      </c>
      <c r="X36" s="68" t="s">
        <v>100</v>
      </c>
      <c r="Y36" s="68" t="s">
        <v>190</v>
      </c>
      <c r="Z36" s="68" t="s">
        <v>43</v>
      </c>
      <c r="AA36" s="70">
        <v>46262</v>
      </c>
      <c r="AB36" s="70">
        <v>46269</v>
      </c>
      <c r="AC36" s="68" t="s">
        <v>66</v>
      </c>
      <c r="AD36" s="68" t="s">
        <v>45</v>
      </c>
      <c r="AE36" s="67" t="s">
        <v>257</v>
      </c>
      <c r="AF36" s="67" t="s">
        <v>47</v>
      </c>
    </row>
    <row r="37" ht="40" customHeight="1" spans="1:32">
      <c r="A37" s="65">
        <v>38</v>
      </c>
      <c r="B37" s="66" t="s">
        <v>258</v>
      </c>
      <c r="C37" s="67" t="s">
        <v>259</v>
      </c>
      <c r="D37" s="67" t="s">
        <v>34</v>
      </c>
      <c r="E37" s="68" t="s">
        <v>35</v>
      </c>
      <c r="F37" s="67" t="s">
        <v>36</v>
      </c>
      <c r="G37" s="68" t="s">
        <v>37</v>
      </c>
      <c r="H37" s="68" t="s">
        <v>38</v>
      </c>
      <c r="I37" s="69">
        <v>1.1373</v>
      </c>
      <c r="J37" s="70">
        <v>46267</v>
      </c>
      <c r="K37" s="67" t="s">
        <v>138</v>
      </c>
      <c r="L37" s="70">
        <v>45096</v>
      </c>
      <c r="M37" s="71">
        <v>0.0465</v>
      </c>
      <c r="N37" s="71"/>
      <c r="O37" s="71">
        <v>0.1501</v>
      </c>
      <c r="P37" s="71">
        <v>0.0007</v>
      </c>
      <c r="Q37" s="72">
        <v>12.398</v>
      </c>
      <c r="R37" s="66" t="s">
        <v>260</v>
      </c>
      <c r="S37" s="67" t="s">
        <v>261</v>
      </c>
      <c r="T37" s="65">
        <v>80</v>
      </c>
      <c r="U37" s="70">
        <v>46154</v>
      </c>
      <c r="V37" s="70">
        <v>46267</v>
      </c>
      <c r="W37" s="69">
        <v>1.1373</v>
      </c>
      <c r="X37" s="68" t="s">
        <v>141</v>
      </c>
      <c r="Y37" s="68"/>
      <c r="Z37" s="68"/>
      <c r="AA37" s="70"/>
      <c r="AB37" s="70"/>
      <c r="AC37" s="68" t="s">
        <v>39</v>
      </c>
      <c r="AD37" s="68" t="s">
        <v>45</v>
      </c>
      <c r="AE37" s="67" t="s">
        <v>262</v>
      </c>
      <c r="AF37" s="67" t="s">
        <v>47</v>
      </c>
    </row>
    <row r="38" ht="40" customHeight="1" spans="1:32">
      <c r="A38" s="65">
        <v>39</v>
      </c>
      <c r="B38" s="66" t="s">
        <v>263</v>
      </c>
      <c r="C38" s="67" t="s">
        <v>264</v>
      </c>
      <c r="D38" s="67" t="s">
        <v>34</v>
      </c>
      <c r="E38" s="68" t="s">
        <v>35</v>
      </c>
      <c r="F38" s="67" t="s">
        <v>36</v>
      </c>
      <c r="G38" s="68" t="s">
        <v>37</v>
      </c>
      <c r="H38" s="68" t="s">
        <v>38</v>
      </c>
      <c r="I38" s="69">
        <v>1.0568</v>
      </c>
      <c r="J38" s="70">
        <v>46262</v>
      </c>
      <c r="K38" s="67" t="s">
        <v>39</v>
      </c>
      <c r="L38" s="70">
        <v>43937</v>
      </c>
      <c r="M38" s="71">
        <v>0.8388</v>
      </c>
      <c r="N38" s="71">
        <v>0.0365</v>
      </c>
      <c r="O38" s="71">
        <v>0.1317</v>
      </c>
      <c r="P38" s="71">
        <v>0.0047</v>
      </c>
      <c r="Q38" s="72">
        <v>5.4991</v>
      </c>
      <c r="R38" s="66" t="s">
        <v>265</v>
      </c>
      <c r="S38" s="67" t="s">
        <v>266</v>
      </c>
      <c r="T38" s="65">
        <v>337</v>
      </c>
      <c r="U38" s="70">
        <v>43937</v>
      </c>
      <c r="V38" s="70">
        <v>46262</v>
      </c>
      <c r="W38" s="69">
        <v>1.83878787</v>
      </c>
      <c r="X38" s="68" t="s">
        <v>42</v>
      </c>
      <c r="Y38" s="68"/>
      <c r="Z38" s="68" t="s">
        <v>43</v>
      </c>
      <c r="AA38" s="70"/>
      <c r="AB38" s="70">
        <v>46269</v>
      </c>
      <c r="AC38" s="68" t="s">
        <v>44</v>
      </c>
      <c r="AD38" s="68" t="s">
        <v>45</v>
      </c>
      <c r="AE38" s="67" t="s">
        <v>267</v>
      </c>
      <c r="AF38" s="67" t="s">
        <v>47</v>
      </c>
    </row>
    <row r="39" ht="40" customHeight="1" spans="1:32">
      <c r="A39" s="65">
        <v>40</v>
      </c>
      <c r="B39" s="66" t="s">
        <v>268</v>
      </c>
      <c r="C39" s="67" t="s">
        <v>269</v>
      </c>
      <c r="D39" s="67" t="s">
        <v>34</v>
      </c>
      <c r="E39" s="68" t="s">
        <v>35</v>
      </c>
      <c r="F39" s="67" t="s">
        <v>36</v>
      </c>
      <c r="G39" s="68" t="s">
        <v>51</v>
      </c>
      <c r="H39" s="68" t="s">
        <v>270</v>
      </c>
      <c r="I39" s="69">
        <v>1.4103</v>
      </c>
      <c r="J39" s="70">
        <v>46262</v>
      </c>
      <c r="K39" s="67" t="s">
        <v>39</v>
      </c>
      <c r="L39" s="70">
        <v>44088</v>
      </c>
      <c r="M39" s="71">
        <v>0.41001799640072</v>
      </c>
      <c r="N39" s="71">
        <v>0.0216603882932485</v>
      </c>
      <c r="O39" s="71">
        <v>0.0689661606849137</v>
      </c>
      <c r="P39" s="71">
        <v>0.0251012731481486</v>
      </c>
      <c r="Q39" s="72">
        <v>2.64784306142601</v>
      </c>
      <c r="R39" s="66" t="s">
        <v>271</v>
      </c>
      <c r="S39" s="67" t="s">
        <v>272</v>
      </c>
      <c r="T39" s="65">
        <v>305</v>
      </c>
      <c r="U39" s="70">
        <v>44092</v>
      </c>
      <c r="V39" s="70">
        <v>46262</v>
      </c>
      <c r="W39" s="69">
        <v>1.4103</v>
      </c>
      <c r="X39" s="68" t="s">
        <v>55</v>
      </c>
      <c r="Y39" s="68" t="s">
        <v>92</v>
      </c>
      <c r="Z39" s="68"/>
      <c r="AA39" s="70">
        <v>46262</v>
      </c>
      <c r="AB39" s="70"/>
      <c r="AC39" s="68" t="s">
        <v>57</v>
      </c>
      <c r="AD39" s="68" t="s">
        <v>45</v>
      </c>
      <c r="AE39" s="67" t="s">
        <v>273</v>
      </c>
      <c r="AF39" s="67" t="s">
        <v>47</v>
      </c>
    </row>
    <row r="40" ht="40" customHeight="1" spans="1:32">
      <c r="A40" s="65">
        <v>41</v>
      </c>
      <c r="B40" s="66" t="s">
        <v>274</v>
      </c>
      <c r="C40" s="67" t="s">
        <v>275</v>
      </c>
      <c r="D40" s="67" t="s">
        <v>34</v>
      </c>
      <c r="E40" s="68" t="s">
        <v>70</v>
      </c>
      <c r="F40" s="67" t="s">
        <v>36</v>
      </c>
      <c r="G40" s="68" t="s">
        <v>37</v>
      </c>
      <c r="H40" s="68" t="s">
        <v>71</v>
      </c>
      <c r="I40" s="69">
        <v>1.5108</v>
      </c>
      <c r="J40" s="70">
        <v>45975</v>
      </c>
      <c r="K40" s="67" t="s">
        <v>39</v>
      </c>
      <c r="L40" s="70">
        <v>44571</v>
      </c>
      <c r="M40" s="71">
        <v>0.511</v>
      </c>
      <c r="N40" s="71">
        <v>0.0649</v>
      </c>
      <c r="O40" s="71">
        <v>0.1332</v>
      </c>
      <c r="P40" s="71">
        <v>0.0054</v>
      </c>
      <c r="Q40" s="72">
        <v>1.6446</v>
      </c>
      <c r="R40" s="66" t="s">
        <v>276</v>
      </c>
      <c r="S40" s="67" t="s">
        <v>277</v>
      </c>
      <c r="T40" s="65">
        <v>424</v>
      </c>
      <c r="U40" s="70">
        <v>44571</v>
      </c>
      <c r="V40" s="70">
        <v>46262</v>
      </c>
      <c r="W40" s="69">
        <v>1.6495</v>
      </c>
      <c r="X40" s="68" t="s">
        <v>42</v>
      </c>
      <c r="Y40" s="68"/>
      <c r="Z40" s="68" t="s">
        <v>74</v>
      </c>
      <c r="AA40" s="70"/>
      <c r="AB40" s="70">
        <v>46269</v>
      </c>
      <c r="AC40" s="68" t="s">
        <v>278</v>
      </c>
      <c r="AD40" s="68" t="s">
        <v>45</v>
      </c>
      <c r="AE40" s="67" t="s">
        <v>279</v>
      </c>
      <c r="AF40" s="67" t="s">
        <v>47</v>
      </c>
    </row>
    <row r="41" ht="40" customHeight="1" spans="1:32">
      <c r="A41" s="65">
        <v>42</v>
      </c>
      <c r="B41" s="66" t="s">
        <v>280</v>
      </c>
      <c r="C41" s="67" t="s">
        <v>281</v>
      </c>
      <c r="D41" s="67" t="s">
        <v>34</v>
      </c>
      <c r="E41" s="68" t="s">
        <v>35</v>
      </c>
      <c r="F41" s="67" t="s">
        <v>36</v>
      </c>
      <c r="G41" s="68" t="s">
        <v>37</v>
      </c>
      <c r="H41" s="68" t="s">
        <v>282</v>
      </c>
      <c r="I41" s="69">
        <v>1.0278</v>
      </c>
      <c r="J41" s="70">
        <v>46262</v>
      </c>
      <c r="K41" s="67" t="s">
        <v>39</v>
      </c>
      <c r="L41" s="70">
        <v>44750</v>
      </c>
      <c r="M41" s="71">
        <v>0.5752</v>
      </c>
      <c r="N41" s="71">
        <v>0.0928</v>
      </c>
      <c r="O41" s="71">
        <v>0.1402</v>
      </c>
      <c r="P41" s="71">
        <v>0.0402</v>
      </c>
      <c r="Q41" s="72">
        <v>2.1662</v>
      </c>
      <c r="R41" s="66" t="s">
        <v>283</v>
      </c>
      <c r="S41" s="67" t="s">
        <v>284</v>
      </c>
      <c r="T41" s="65">
        <v>210</v>
      </c>
      <c r="U41" s="70">
        <v>44764</v>
      </c>
      <c r="V41" s="70">
        <v>46262</v>
      </c>
      <c r="W41" s="69">
        <v>1.57568429</v>
      </c>
      <c r="X41" s="68" t="s">
        <v>220</v>
      </c>
      <c r="Y41" s="68" t="s">
        <v>285</v>
      </c>
      <c r="Z41" s="68" t="s">
        <v>43</v>
      </c>
      <c r="AA41" s="70">
        <v>46262</v>
      </c>
      <c r="AB41" s="70">
        <v>46269</v>
      </c>
      <c r="AC41" s="68" t="s">
        <v>66</v>
      </c>
      <c r="AD41" s="68" t="s">
        <v>45</v>
      </c>
      <c r="AE41" s="67" t="s">
        <v>286</v>
      </c>
      <c r="AF41" s="67" t="s">
        <v>47</v>
      </c>
    </row>
    <row r="42" ht="40" customHeight="1" spans="1:32">
      <c r="A42" s="65">
        <v>43</v>
      </c>
      <c r="B42" s="66" t="s">
        <v>287</v>
      </c>
      <c r="C42" s="67" t="s">
        <v>288</v>
      </c>
      <c r="D42" s="67" t="s">
        <v>34</v>
      </c>
      <c r="E42" s="68" t="s">
        <v>35</v>
      </c>
      <c r="F42" s="67" t="s">
        <v>36</v>
      </c>
      <c r="G42" s="68" t="s">
        <v>37</v>
      </c>
      <c r="H42" s="68" t="s">
        <v>282</v>
      </c>
      <c r="I42" s="69">
        <v>1.1022</v>
      </c>
      <c r="J42" s="70">
        <v>46262</v>
      </c>
      <c r="K42" s="67" t="s">
        <v>39</v>
      </c>
      <c r="L42" s="70">
        <v>45166</v>
      </c>
      <c r="M42" s="71">
        <v>0.3188</v>
      </c>
      <c r="N42" s="71">
        <v>0.1024</v>
      </c>
      <c r="O42" s="71">
        <v>0.1062</v>
      </c>
      <c r="P42" s="71">
        <v>0.0375</v>
      </c>
      <c r="Q42" s="72">
        <v>1.4402</v>
      </c>
      <c r="R42" s="66" t="s">
        <v>289</v>
      </c>
      <c r="S42" s="67" t="s">
        <v>284</v>
      </c>
      <c r="T42" s="65">
        <v>160</v>
      </c>
      <c r="U42" s="70">
        <v>45166</v>
      </c>
      <c r="V42" s="70">
        <v>46262</v>
      </c>
      <c r="W42" s="69">
        <v>1.3187823</v>
      </c>
      <c r="X42" s="68" t="s">
        <v>42</v>
      </c>
      <c r="Y42" s="68"/>
      <c r="Z42" s="68" t="s">
        <v>43</v>
      </c>
      <c r="AA42" s="70"/>
      <c r="AB42" s="70">
        <v>46269</v>
      </c>
      <c r="AC42" s="68" t="s">
        <v>44</v>
      </c>
      <c r="AD42" s="68" t="s">
        <v>45</v>
      </c>
      <c r="AE42" s="67" t="s">
        <v>290</v>
      </c>
      <c r="AF42" s="67" t="s">
        <v>47</v>
      </c>
    </row>
    <row r="43" ht="40" customHeight="1" spans="1:32">
      <c r="A43" s="65">
        <v>44</v>
      </c>
      <c r="B43" s="66" t="s">
        <v>291</v>
      </c>
      <c r="C43" s="67" t="s">
        <v>292</v>
      </c>
      <c r="D43" s="67" t="s">
        <v>34</v>
      </c>
      <c r="E43" s="68" t="s">
        <v>35</v>
      </c>
      <c r="F43" s="67" t="s">
        <v>36</v>
      </c>
      <c r="G43" s="68" t="s">
        <v>37</v>
      </c>
      <c r="H43" s="68" t="s">
        <v>38</v>
      </c>
      <c r="I43" s="69">
        <v>1.0578</v>
      </c>
      <c r="J43" s="70">
        <v>46262</v>
      </c>
      <c r="K43" s="67" t="s">
        <v>39</v>
      </c>
      <c r="L43" s="70">
        <v>45376</v>
      </c>
      <c r="M43" s="71">
        <v>0.2359</v>
      </c>
      <c r="N43" s="71">
        <v>0.0682</v>
      </c>
      <c r="O43" s="71">
        <v>0.1</v>
      </c>
      <c r="P43" s="71">
        <v>0.0339</v>
      </c>
      <c r="Q43" s="72">
        <v>1.7852</v>
      </c>
      <c r="R43" s="66" t="s">
        <v>293</v>
      </c>
      <c r="S43" s="67" t="s">
        <v>284</v>
      </c>
      <c r="T43" s="65">
        <v>122</v>
      </c>
      <c r="U43" s="70">
        <v>45401</v>
      </c>
      <c r="V43" s="70">
        <v>46262</v>
      </c>
      <c r="W43" s="69">
        <v>1.23638412</v>
      </c>
      <c r="X43" s="68" t="s">
        <v>42</v>
      </c>
      <c r="Y43" s="68"/>
      <c r="Z43" s="68" t="s">
        <v>43</v>
      </c>
      <c r="AA43" s="70"/>
      <c r="AB43" s="70">
        <v>46269</v>
      </c>
      <c r="AC43" s="68" t="s">
        <v>66</v>
      </c>
      <c r="AD43" s="68" t="s">
        <v>45</v>
      </c>
      <c r="AE43" s="67" t="s">
        <v>294</v>
      </c>
      <c r="AF43" s="67" t="s">
        <v>47</v>
      </c>
    </row>
    <row r="44" ht="40" customHeight="1" spans="1:32">
      <c r="A44" s="65">
        <v>45</v>
      </c>
      <c r="B44" s="66" t="s">
        <v>295</v>
      </c>
      <c r="C44" s="67" t="s">
        <v>296</v>
      </c>
      <c r="D44" s="67" t="s">
        <v>34</v>
      </c>
      <c r="E44" s="68" t="s">
        <v>122</v>
      </c>
      <c r="F44" s="67" t="s">
        <v>36</v>
      </c>
      <c r="G44" s="68" t="s">
        <v>37</v>
      </c>
      <c r="H44" s="68" t="s">
        <v>297</v>
      </c>
      <c r="I44" s="69">
        <v>1.0642</v>
      </c>
      <c r="J44" s="70">
        <v>46262</v>
      </c>
      <c r="K44" s="67" t="s">
        <v>39</v>
      </c>
      <c r="L44" s="70">
        <v>44691</v>
      </c>
      <c r="M44" s="71">
        <v>0.3758</v>
      </c>
      <c r="N44" s="71">
        <v>0.0487</v>
      </c>
      <c r="O44" s="71">
        <v>0.0873</v>
      </c>
      <c r="P44" s="71">
        <v>0.0084</v>
      </c>
      <c r="Q44" s="72">
        <v>3.6119</v>
      </c>
      <c r="R44" s="66" t="s">
        <v>298</v>
      </c>
      <c r="S44" s="67" t="s">
        <v>284</v>
      </c>
      <c r="T44" s="65">
        <v>270</v>
      </c>
      <c r="U44" s="70">
        <v>44691</v>
      </c>
      <c r="V44" s="70">
        <v>46262</v>
      </c>
      <c r="W44" s="69">
        <v>1.37576317</v>
      </c>
      <c r="X44" s="68" t="s">
        <v>79</v>
      </c>
      <c r="Y44" s="68" t="s">
        <v>299</v>
      </c>
      <c r="Z44" s="68"/>
      <c r="AA44" s="70">
        <v>46262</v>
      </c>
      <c r="AB44" s="70"/>
      <c r="AC44" s="68" t="s">
        <v>44</v>
      </c>
      <c r="AD44" s="68" t="s">
        <v>45</v>
      </c>
      <c r="AE44" s="67" t="s">
        <v>300</v>
      </c>
      <c r="AF44" s="67" t="s">
        <v>47</v>
      </c>
    </row>
    <row r="45" ht="40" customHeight="1" spans="1:32">
      <c r="A45" s="65">
        <v>46</v>
      </c>
      <c r="B45" s="66" t="s">
        <v>301</v>
      </c>
      <c r="C45" s="67" t="s">
        <v>302</v>
      </c>
      <c r="D45" s="67" t="s">
        <v>34</v>
      </c>
      <c r="E45" s="68" t="s">
        <v>35</v>
      </c>
      <c r="F45" s="67" t="s">
        <v>36</v>
      </c>
      <c r="G45" s="68" t="s">
        <v>37</v>
      </c>
      <c r="H45" s="68" t="s">
        <v>282</v>
      </c>
      <c r="I45" s="69">
        <v>1.1264</v>
      </c>
      <c r="J45" s="70">
        <v>46262</v>
      </c>
      <c r="K45" s="67" t="s">
        <v>39</v>
      </c>
      <c r="L45" s="70">
        <v>45621</v>
      </c>
      <c r="M45" s="71">
        <v>0.2114</v>
      </c>
      <c r="N45" s="71">
        <v>0.1224</v>
      </c>
      <c r="O45" s="71">
        <v>0.1211</v>
      </c>
      <c r="P45" s="71">
        <v>0.0226</v>
      </c>
      <c r="Q45" s="72">
        <v>2.2101</v>
      </c>
      <c r="R45" s="66" t="s">
        <v>303</v>
      </c>
      <c r="S45" s="67" t="s">
        <v>284</v>
      </c>
      <c r="T45" s="65">
        <v>91</v>
      </c>
      <c r="U45" s="70">
        <v>45625</v>
      </c>
      <c r="V45" s="70">
        <v>46262</v>
      </c>
      <c r="W45" s="69">
        <v>1.21154222</v>
      </c>
      <c r="X45" s="68" t="s">
        <v>42</v>
      </c>
      <c r="Y45" s="68"/>
      <c r="Z45" s="68" t="s">
        <v>43</v>
      </c>
      <c r="AA45" s="70"/>
      <c r="AB45" s="70">
        <v>46269</v>
      </c>
      <c r="AC45" s="68" t="s">
        <v>66</v>
      </c>
      <c r="AD45" s="68" t="s">
        <v>45</v>
      </c>
      <c r="AE45" s="67" t="s">
        <v>304</v>
      </c>
      <c r="AF45" s="67" t="s">
        <v>47</v>
      </c>
    </row>
    <row r="46" ht="40" customHeight="1" spans="1:32">
      <c r="A46" s="65">
        <v>47</v>
      </c>
      <c r="B46" s="66" t="s">
        <v>305</v>
      </c>
      <c r="C46" s="67" t="s">
        <v>306</v>
      </c>
      <c r="D46" s="67" t="s">
        <v>34</v>
      </c>
      <c r="E46" s="68" t="s">
        <v>35</v>
      </c>
      <c r="F46" s="67" t="s">
        <v>36</v>
      </c>
      <c r="G46" s="68" t="s">
        <v>37</v>
      </c>
      <c r="H46" s="68" t="s">
        <v>307</v>
      </c>
      <c r="I46" s="69">
        <v>1.1595</v>
      </c>
      <c r="J46" s="70">
        <v>46267</v>
      </c>
      <c r="K46" s="67" t="s">
        <v>39</v>
      </c>
      <c r="L46" s="70">
        <v>45092</v>
      </c>
      <c r="M46" s="71">
        <v>0.1595</v>
      </c>
      <c r="N46" s="71">
        <v>0.0549</v>
      </c>
      <c r="O46" s="71">
        <v>0.0495</v>
      </c>
      <c r="P46" s="71">
        <v>0.0001</v>
      </c>
      <c r="Q46" s="72">
        <v>2.4489</v>
      </c>
      <c r="R46" s="66" t="s">
        <v>308</v>
      </c>
      <c r="S46" s="67" t="s">
        <v>309</v>
      </c>
      <c r="T46" s="65">
        <v>439</v>
      </c>
      <c r="U46" s="70">
        <v>45092</v>
      </c>
      <c r="V46" s="70">
        <v>46267</v>
      </c>
      <c r="W46" s="69">
        <v>1.1595</v>
      </c>
      <c r="X46" s="68" t="s">
        <v>42</v>
      </c>
      <c r="Y46" s="68"/>
      <c r="Z46" s="68" t="s">
        <v>43</v>
      </c>
      <c r="AA46" s="70"/>
      <c r="AB46" s="70">
        <v>46269</v>
      </c>
      <c r="AC46" s="68" t="s">
        <v>44</v>
      </c>
      <c r="AD46" s="68" t="s">
        <v>45</v>
      </c>
      <c r="AE46" s="67" t="s">
        <v>310</v>
      </c>
      <c r="AF46" s="67" t="s">
        <v>47</v>
      </c>
    </row>
    <row r="47" ht="40" customHeight="1" spans="1:32">
      <c r="A47" s="65">
        <v>48</v>
      </c>
      <c r="B47" s="66" t="s">
        <v>311</v>
      </c>
      <c r="C47" s="67" t="s">
        <v>312</v>
      </c>
      <c r="D47" s="67" t="s">
        <v>34</v>
      </c>
      <c r="E47" s="68" t="s">
        <v>70</v>
      </c>
      <c r="F47" s="67" t="s">
        <v>36</v>
      </c>
      <c r="G47" s="68" t="s">
        <v>37</v>
      </c>
      <c r="H47" s="68" t="s">
        <v>71</v>
      </c>
      <c r="I47" s="69">
        <v>1.1609</v>
      </c>
      <c r="J47" s="70">
        <v>46262</v>
      </c>
      <c r="K47" s="67" t="s">
        <v>39</v>
      </c>
      <c r="L47" s="70">
        <v>45023</v>
      </c>
      <c r="M47" s="71">
        <v>0.1609</v>
      </c>
      <c r="N47" s="71">
        <v>0.061</v>
      </c>
      <c r="O47" s="71">
        <v>0.0474</v>
      </c>
      <c r="P47" s="71">
        <v>0.0068</v>
      </c>
      <c r="Q47" s="72">
        <v>1.7376</v>
      </c>
      <c r="R47" s="66" t="s">
        <v>313</v>
      </c>
      <c r="S47" s="67" t="s">
        <v>314</v>
      </c>
      <c r="T47" s="65">
        <v>175</v>
      </c>
      <c r="U47" s="70">
        <v>45023</v>
      </c>
      <c r="V47" s="70">
        <v>46262</v>
      </c>
      <c r="W47" s="69">
        <v>1.1609</v>
      </c>
      <c r="X47" s="68" t="s">
        <v>42</v>
      </c>
      <c r="Y47" s="68"/>
      <c r="Z47" s="68" t="s">
        <v>74</v>
      </c>
      <c r="AA47" s="70"/>
      <c r="AB47" s="70">
        <v>46269</v>
      </c>
      <c r="AC47" s="68" t="s">
        <v>44</v>
      </c>
      <c r="AD47" s="68" t="s">
        <v>45</v>
      </c>
      <c r="AE47" s="67" t="s">
        <v>315</v>
      </c>
      <c r="AF47" s="67" t="s">
        <v>47</v>
      </c>
    </row>
    <row r="48" ht="40" customHeight="1" spans="1:32">
      <c r="A48" s="65">
        <v>49</v>
      </c>
      <c r="B48" s="66" t="s">
        <v>316</v>
      </c>
      <c r="C48" s="67" t="s">
        <v>317</v>
      </c>
      <c r="D48" s="67" t="s">
        <v>34</v>
      </c>
      <c r="E48" s="68" t="s">
        <v>70</v>
      </c>
      <c r="F48" s="67" t="s">
        <v>36</v>
      </c>
      <c r="G48" s="68" t="s">
        <v>37</v>
      </c>
      <c r="H48" s="68" t="s">
        <v>71</v>
      </c>
      <c r="I48" s="69">
        <v>2.4194</v>
      </c>
      <c r="J48" s="70">
        <v>46262</v>
      </c>
      <c r="K48" s="67" t="s">
        <v>39</v>
      </c>
      <c r="L48" s="70">
        <v>43894</v>
      </c>
      <c r="M48" s="71">
        <v>1.4194</v>
      </c>
      <c r="N48" s="71">
        <v>0.145</v>
      </c>
      <c r="O48" s="71">
        <v>0.2188</v>
      </c>
      <c r="P48" s="71">
        <v>0.0456</v>
      </c>
      <c r="Q48" s="72">
        <v>3.7327</v>
      </c>
      <c r="R48" s="66" t="s">
        <v>318</v>
      </c>
      <c r="S48" s="67" t="s">
        <v>314</v>
      </c>
      <c r="T48" s="65">
        <v>334</v>
      </c>
      <c r="U48" s="70">
        <v>43894</v>
      </c>
      <c r="V48" s="70">
        <v>46262</v>
      </c>
      <c r="W48" s="69">
        <v>2.4194</v>
      </c>
      <c r="X48" s="68" t="s">
        <v>42</v>
      </c>
      <c r="Y48" s="68"/>
      <c r="Z48" s="68" t="s">
        <v>74</v>
      </c>
      <c r="AA48" s="70"/>
      <c r="AB48" s="70">
        <v>46269</v>
      </c>
      <c r="AC48" s="68" t="s">
        <v>44</v>
      </c>
      <c r="AD48" s="68" t="s">
        <v>45</v>
      </c>
      <c r="AE48" s="67" t="s">
        <v>319</v>
      </c>
      <c r="AF48" s="67" t="s">
        <v>47</v>
      </c>
    </row>
    <row r="49" ht="40" customHeight="1" spans="1:32">
      <c r="A49" s="65">
        <v>50</v>
      </c>
      <c r="B49" s="66" t="s">
        <v>320</v>
      </c>
      <c r="C49" s="67" t="s">
        <v>321</v>
      </c>
      <c r="D49" s="67" t="s">
        <v>34</v>
      </c>
      <c r="E49" s="68" t="s">
        <v>70</v>
      </c>
      <c r="F49" s="67" t="s">
        <v>36</v>
      </c>
      <c r="G49" s="68" t="s">
        <v>37</v>
      </c>
      <c r="H49" s="68" t="s">
        <v>71</v>
      </c>
      <c r="I49" s="69">
        <v>1.8688</v>
      </c>
      <c r="J49" s="70">
        <v>46262</v>
      </c>
      <c r="K49" s="67" t="s">
        <v>39</v>
      </c>
      <c r="L49" s="70">
        <v>42479</v>
      </c>
      <c r="M49" s="71">
        <v>1.1924</v>
      </c>
      <c r="N49" s="71">
        <v>0.0537</v>
      </c>
      <c r="O49" s="71">
        <v>0.1151</v>
      </c>
      <c r="P49" s="71">
        <v>0.0507</v>
      </c>
      <c r="Q49" s="72">
        <v>1.7326</v>
      </c>
      <c r="R49" s="66" t="s">
        <v>322</v>
      </c>
      <c r="S49" s="67" t="s">
        <v>314</v>
      </c>
      <c r="T49" s="65">
        <v>620</v>
      </c>
      <c r="U49" s="70">
        <v>42482</v>
      </c>
      <c r="V49" s="70">
        <v>46262</v>
      </c>
      <c r="W49" s="69">
        <v>2.19263078</v>
      </c>
      <c r="X49" s="68" t="s">
        <v>100</v>
      </c>
      <c r="Y49" s="68" t="s">
        <v>323</v>
      </c>
      <c r="Z49" s="68"/>
      <c r="AA49" s="70">
        <v>46262</v>
      </c>
      <c r="AB49" s="70">
        <v>46274</v>
      </c>
      <c r="AC49" s="68" t="s">
        <v>44</v>
      </c>
      <c r="AD49" s="68" t="s">
        <v>45</v>
      </c>
      <c r="AE49" s="67" t="s">
        <v>324</v>
      </c>
      <c r="AF49" s="67" t="s">
        <v>47</v>
      </c>
    </row>
    <row r="50" ht="40" customHeight="1" spans="1:32">
      <c r="A50" s="65">
        <v>51</v>
      </c>
      <c r="B50" s="66" t="s">
        <v>325</v>
      </c>
      <c r="C50" s="67" t="s">
        <v>326</v>
      </c>
      <c r="D50" s="67" t="s">
        <v>34</v>
      </c>
      <c r="E50" s="68" t="s">
        <v>35</v>
      </c>
      <c r="F50" s="67" t="s">
        <v>36</v>
      </c>
      <c r="G50" s="68" t="s">
        <v>37</v>
      </c>
      <c r="H50" s="68" t="s">
        <v>38</v>
      </c>
      <c r="I50" s="69">
        <v>1.0047</v>
      </c>
      <c r="J50" s="70">
        <v>46268</v>
      </c>
      <c r="K50" s="67" t="s">
        <v>39</v>
      </c>
      <c r="L50" s="70">
        <v>43490</v>
      </c>
      <c r="M50" s="71">
        <v>1.447</v>
      </c>
      <c r="N50" s="71">
        <v>0.1188</v>
      </c>
      <c r="O50" s="71">
        <v>0.1901</v>
      </c>
      <c r="P50" s="71">
        <v>0.0197</v>
      </c>
      <c r="Q50" s="72">
        <v>6.1855</v>
      </c>
      <c r="R50" s="66" t="s">
        <v>327</v>
      </c>
      <c r="S50" s="67" t="s">
        <v>328</v>
      </c>
      <c r="T50" s="65">
        <v>1845</v>
      </c>
      <c r="U50" s="70">
        <v>43490</v>
      </c>
      <c r="V50" s="70">
        <v>46268</v>
      </c>
      <c r="W50" s="69">
        <v>2.44727807</v>
      </c>
      <c r="X50" s="68" t="s">
        <v>329</v>
      </c>
      <c r="Y50" s="68" t="s">
        <v>330</v>
      </c>
      <c r="Z50" s="68" t="s">
        <v>43</v>
      </c>
      <c r="AA50" s="70">
        <v>46262</v>
      </c>
      <c r="AB50" s="70">
        <v>46269</v>
      </c>
      <c r="AC50" s="68" t="s">
        <v>66</v>
      </c>
      <c r="AD50" s="68" t="s">
        <v>45</v>
      </c>
      <c r="AE50" s="67" t="s">
        <v>331</v>
      </c>
      <c r="AF50" s="67" t="s">
        <v>47</v>
      </c>
    </row>
    <row r="51" ht="40" customHeight="1" spans="1:32">
      <c r="A51" s="65">
        <v>52</v>
      </c>
      <c r="B51" s="66" t="s">
        <v>332</v>
      </c>
      <c r="C51" s="67" t="s">
        <v>333</v>
      </c>
      <c r="D51" s="67" t="s">
        <v>34</v>
      </c>
      <c r="E51" s="68" t="s">
        <v>334</v>
      </c>
      <c r="F51" s="67" t="s">
        <v>36</v>
      </c>
      <c r="G51" s="68" t="s">
        <v>37</v>
      </c>
      <c r="H51" s="68" t="s">
        <v>335</v>
      </c>
      <c r="I51" s="69">
        <v>1.3384</v>
      </c>
      <c r="J51" s="70">
        <v>46262</v>
      </c>
      <c r="K51" s="67" t="s">
        <v>39</v>
      </c>
      <c r="L51" s="70">
        <v>45064</v>
      </c>
      <c r="M51" s="71">
        <v>0.3384</v>
      </c>
      <c r="N51" s="71">
        <v>0.0505</v>
      </c>
      <c r="O51" s="71">
        <v>0.1032</v>
      </c>
      <c r="P51" s="71">
        <v>0.0362</v>
      </c>
      <c r="Q51" s="72">
        <v>2.0364</v>
      </c>
      <c r="R51" s="66" t="s">
        <v>336</v>
      </c>
      <c r="S51" s="67" t="s">
        <v>337</v>
      </c>
      <c r="T51" s="65">
        <v>169</v>
      </c>
      <c r="U51" s="70">
        <v>45065</v>
      </c>
      <c r="V51" s="70">
        <v>46262</v>
      </c>
      <c r="W51" s="69">
        <v>1.3384</v>
      </c>
      <c r="X51" s="68" t="s">
        <v>338</v>
      </c>
      <c r="Y51" s="68" t="s">
        <v>339</v>
      </c>
      <c r="Z51" s="68"/>
      <c r="AA51" s="70">
        <v>46262</v>
      </c>
      <c r="AB51" s="70"/>
      <c r="AC51" s="68" t="s">
        <v>66</v>
      </c>
      <c r="AD51" s="68" t="s">
        <v>45</v>
      </c>
      <c r="AE51" s="67" t="s">
        <v>340</v>
      </c>
      <c r="AF51" s="67" t="s">
        <v>47</v>
      </c>
    </row>
    <row r="52" ht="40" customHeight="1" spans="1:32">
      <c r="A52" s="65">
        <v>53</v>
      </c>
      <c r="B52" s="66" t="s">
        <v>341</v>
      </c>
      <c r="C52" s="67" t="s">
        <v>342</v>
      </c>
      <c r="D52" s="67" t="s">
        <v>34</v>
      </c>
      <c r="E52" s="68" t="s">
        <v>35</v>
      </c>
      <c r="F52" s="67" t="s">
        <v>36</v>
      </c>
      <c r="G52" s="68" t="s">
        <v>37</v>
      </c>
      <c r="H52" s="68" t="s">
        <v>38</v>
      </c>
      <c r="I52" s="69">
        <v>1.338</v>
      </c>
      <c r="J52" s="70">
        <v>46267</v>
      </c>
      <c r="K52" s="67" t="s">
        <v>138</v>
      </c>
      <c r="L52" s="70">
        <v>44893</v>
      </c>
      <c r="M52" s="71">
        <v>0.0453</v>
      </c>
      <c r="N52" s="71">
        <v>0.0453</v>
      </c>
      <c r="O52" s="71">
        <v>0.0675</v>
      </c>
      <c r="P52" s="71">
        <v>0.024</v>
      </c>
      <c r="Q52" s="72">
        <v>0.7554</v>
      </c>
      <c r="R52" s="66" t="s">
        <v>343</v>
      </c>
      <c r="S52" s="67" t="s">
        <v>344</v>
      </c>
      <c r="T52" s="65">
        <v>163</v>
      </c>
      <c r="U52" s="70">
        <v>46022</v>
      </c>
      <c r="V52" s="70">
        <v>46267</v>
      </c>
      <c r="W52" s="69">
        <v>1.338</v>
      </c>
      <c r="X52" s="68" t="s">
        <v>141</v>
      </c>
      <c r="Y52" s="68"/>
      <c r="Z52" s="68"/>
      <c r="AA52" s="70"/>
      <c r="AB52" s="70"/>
      <c r="AC52" s="68" t="s">
        <v>39</v>
      </c>
      <c r="AD52" s="68" t="s">
        <v>45</v>
      </c>
      <c r="AE52" s="67" t="s">
        <v>345</v>
      </c>
      <c r="AF52" s="67" t="s">
        <v>47</v>
      </c>
    </row>
    <row r="53" ht="40" customHeight="1" spans="1:32">
      <c r="A53" s="65">
        <v>54</v>
      </c>
      <c r="B53" s="66" t="s">
        <v>346</v>
      </c>
      <c r="C53" s="67" t="s">
        <v>347</v>
      </c>
      <c r="D53" s="67" t="s">
        <v>34</v>
      </c>
      <c r="E53" s="68" t="s">
        <v>35</v>
      </c>
      <c r="F53" s="67" t="s">
        <v>36</v>
      </c>
      <c r="G53" s="68" t="s">
        <v>51</v>
      </c>
      <c r="H53" s="68" t="s">
        <v>38</v>
      </c>
      <c r="I53" s="69">
        <v>1.1926</v>
      </c>
      <c r="J53" s="70">
        <v>46262</v>
      </c>
      <c r="K53" s="67" t="s">
        <v>39</v>
      </c>
      <c r="L53" s="70">
        <v>45595</v>
      </c>
      <c r="M53" s="71">
        <v>0.1926</v>
      </c>
      <c r="N53" s="71">
        <v>0.0678724928366763</v>
      </c>
      <c r="O53" s="71">
        <v>0.105395802098951</v>
      </c>
      <c r="P53" s="71">
        <v>0.0104599037024738</v>
      </c>
      <c r="Q53" s="72">
        <v>2.50585529945931</v>
      </c>
      <c r="R53" s="66" t="s">
        <v>348</v>
      </c>
      <c r="S53" s="67" t="s">
        <v>349</v>
      </c>
      <c r="T53" s="65">
        <v>230</v>
      </c>
      <c r="U53" s="70">
        <v>45595</v>
      </c>
      <c r="V53" s="70">
        <v>46262</v>
      </c>
      <c r="W53" s="69">
        <v>1.1926</v>
      </c>
      <c r="X53" s="68" t="s">
        <v>55</v>
      </c>
      <c r="Y53" s="68" t="s">
        <v>350</v>
      </c>
      <c r="Z53" s="68"/>
      <c r="AA53" s="70">
        <v>46262</v>
      </c>
      <c r="AB53" s="70"/>
      <c r="AC53" s="68" t="s">
        <v>57</v>
      </c>
      <c r="AD53" s="68" t="s">
        <v>45</v>
      </c>
      <c r="AE53" s="67" t="s">
        <v>351</v>
      </c>
      <c r="AF53" s="67" t="s">
        <v>47</v>
      </c>
    </row>
    <row r="54" ht="40" customHeight="1" spans="1:32">
      <c r="A54" s="65">
        <v>55</v>
      </c>
      <c r="B54" s="66" t="s">
        <v>352</v>
      </c>
      <c r="C54" s="67" t="s">
        <v>353</v>
      </c>
      <c r="D54" s="67" t="s">
        <v>34</v>
      </c>
      <c r="E54" s="68" t="s">
        <v>35</v>
      </c>
      <c r="F54" s="67" t="s">
        <v>36</v>
      </c>
      <c r="G54" s="68" t="s">
        <v>37</v>
      </c>
      <c r="H54" s="68" t="s">
        <v>38</v>
      </c>
      <c r="I54" s="69">
        <v>1.026</v>
      </c>
      <c r="J54" s="70">
        <v>46265</v>
      </c>
      <c r="K54" s="67" t="s">
        <v>39</v>
      </c>
      <c r="L54" s="70">
        <v>43980</v>
      </c>
      <c r="M54" s="71">
        <v>0.5238</v>
      </c>
      <c r="N54" s="71">
        <v>0.0358</v>
      </c>
      <c r="O54" s="71">
        <v>0.0837</v>
      </c>
      <c r="P54" s="71">
        <v>0.031</v>
      </c>
      <c r="Q54" s="72">
        <v>2.4931</v>
      </c>
      <c r="R54" s="66" t="s">
        <v>354</v>
      </c>
      <c r="S54" s="67" t="s">
        <v>355</v>
      </c>
      <c r="T54" s="65">
        <v>356</v>
      </c>
      <c r="U54" s="70">
        <v>43980</v>
      </c>
      <c r="V54" s="70">
        <v>46265</v>
      </c>
      <c r="W54" s="69">
        <v>1.52376514</v>
      </c>
      <c r="X54" s="68" t="s">
        <v>79</v>
      </c>
      <c r="Y54" s="68" t="s">
        <v>356</v>
      </c>
      <c r="Z54" s="68"/>
      <c r="AA54" s="70">
        <v>46262</v>
      </c>
      <c r="AB54" s="70"/>
      <c r="AC54" s="68" t="s">
        <v>44</v>
      </c>
      <c r="AD54" s="68" t="s">
        <v>45</v>
      </c>
      <c r="AE54" s="67" t="s">
        <v>357</v>
      </c>
      <c r="AF54" s="67" t="s">
        <v>47</v>
      </c>
    </row>
    <row r="55" ht="40" customHeight="1" spans="1:32">
      <c r="A55" s="65">
        <v>56</v>
      </c>
      <c r="B55" s="66" t="s">
        <v>358</v>
      </c>
      <c r="C55" s="67" t="s">
        <v>359</v>
      </c>
      <c r="D55" s="67" t="s">
        <v>34</v>
      </c>
      <c r="E55" s="68" t="s">
        <v>122</v>
      </c>
      <c r="F55" s="67" t="s">
        <v>36</v>
      </c>
      <c r="G55" s="68" t="s">
        <v>37</v>
      </c>
      <c r="H55" s="68" t="s">
        <v>297</v>
      </c>
      <c r="I55" s="69">
        <v>1.0084</v>
      </c>
      <c r="J55" s="70">
        <v>46267</v>
      </c>
      <c r="K55" s="67" t="s">
        <v>39</v>
      </c>
      <c r="L55" s="70">
        <v>44915</v>
      </c>
      <c r="M55" s="71">
        <v>0.2004</v>
      </c>
      <c r="N55" s="71">
        <v>0.0077</v>
      </c>
      <c r="O55" s="71">
        <v>0.0541</v>
      </c>
      <c r="P55" s="71">
        <v>0.0693</v>
      </c>
      <c r="Q55" s="72">
        <v>1.0964</v>
      </c>
      <c r="R55" s="66" t="s">
        <v>360</v>
      </c>
      <c r="S55" s="67" t="s">
        <v>361</v>
      </c>
      <c r="T55" s="65">
        <v>898</v>
      </c>
      <c r="U55" s="70">
        <v>44915</v>
      </c>
      <c r="V55" s="70">
        <v>46267</v>
      </c>
      <c r="W55" s="69">
        <v>1.20038996</v>
      </c>
      <c r="X55" s="68" t="s">
        <v>79</v>
      </c>
      <c r="Y55" s="68" t="s">
        <v>362</v>
      </c>
      <c r="Z55" s="68"/>
      <c r="AA55" s="70">
        <v>46262</v>
      </c>
      <c r="AB55" s="70"/>
      <c r="AC55" s="68" t="s">
        <v>44</v>
      </c>
      <c r="AD55" s="68" t="s">
        <v>45</v>
      </c>
      <c r="AE55" s="67" t="s">
        <v>363</v>
      </c>
      <c r="AF55" s="67" t="s">
        <v>47</v>
      </c>
    </row>
    <row r="56" ht="40" customHeight="1" spans="1:32">
      <c r="A56" s="65">
        <v>57</v>
      </c>
      <c r="B56" s="66" t="s">
        <v>364</v>
      </c>
      <c r="C56" s="67" t="s">
        <v>365</v>
      </c>
      <c r="D56" s="67" t="s">
        <v>34</v>
      </c>
      <c r="E56" s="68" t="s">
        <v>122</v>
      </c>
      <c r="F56" s="67" t="s">
        <v>36</v>
      </c>
      <c r="G56" s="68" t="s">
        <v>37</v>
      </c>
      <c r="H56" s="68" t="s">
        <v>297</v>
      </c>
      <c r="I56" s="69">
        <v>1.2083</v>
      </c>
      <c r="J56" s="70">
        <v>46265</v>
      </c>
      <c r="K56" s="67" t="s">
        <v>39</v>
      </c>
      <c r="L56" s="70">
        <v>44985</v>
      </c>
      <c r="M56" s="71">
        <v>0.2083</v>
      </c>
      <c r="N56" s="71">
        <v>0.0487</v>
      </c>
      <c r="O56" s="71">
        <v>0.0594</v>
      </c>
      <c r="P56" s="71">
        <v>0.0365</v>
      </c>
      <c r="Q56" s="72">
        <v>1.1246</v>
      </c>
      <c r="R56" s="66" t="s">
        <v>366</v>
      </c>
      <c r="S56" s="67" t="s">
        <v>367</v>
      </c>
      <c r="T56" s="65">
        <v>272</v>
      </c>
      <c r="U56" s="70">
        <v>44985</v>
      </c>
      <c r="V56" s="70">
        <v>46265</v>
      </c>
      <c r="W56" s="69">
        <v>1.2083</v>
      </c>
      <c r="X56" s="68" t="s">
        <v>79</v>
      </c>
      <c r="Y56" s="68" t="s">
        <v>299</v>
      </c>
      <c r="Z56" s="68"/>
      <c r="AA56" s="70">
        <v>46262</v>
      </c>
      <c r="AB56" s="70"/>
      <c r="AC56" s="68" t="s">
        <v>44</v>
      </c>
      <c r="AD56" s="68" t="s">
        <v>45</v>
      </c>
      <c r="AE56" s="67" t="s">
        <v>368</v>
      </c>
      <c r="AF56" s="67" t="s">
        <v>47</v>
      </c>
    </row>
    <row r="57" ht="40" customHeight="1" spans="1:32">
      <c r="A57" s="65">
        <v>58</v>
      </c>
      <c r="B57" s="66" t="s">
        <v>369</v>
      </c>
      <c r="C57" s="67" t="s">
        <v>370</v>
      </c>
      <c r="D57" s="67" t="s">
        <v>34</v>
      </c>
      <c r="E57" s="68" t="s">
        <v>122</v>
      </c>
      <c r="F57" s="67" t="s">
        <v>36</v>
      </c>
      <c r="G57" s="68" t="s">
        <v>37</v>
      </c>
      <c r="H57" s="68" t="s">
        <v>297</v>
      </c>
      <c r="I57" s="69">
        <v>1.126</v>
      </c>
      <c r="J57" s="70">
        <v>46266</v>
      </c>
      <c r="K57" s="67" t="s">
        <v>39</v>
      </c>
      <c r="L57" s="70">
        <v>44305</v>
      </c>
      <c r="M57" s="71">
        <v>0.4899</v>
      </c>
      <c r="N57" s="71">
        <v>0.0553</v>
      </c>
      <c r="O57" s="71">
        <v>0.0969</v>
      </c>
      <c r="P57" s="71">
        <v>0.0402</v>
      </c>
      <c r="Q57" s="72">
        <v>2.2624</v>
      </c>
      <c r="R57" s="66" t="s">
        <v>371</v>
      </c>
      <c r="S57" s="67" t="s">
        <v>367</v>
      </c>
      <c r="T57" s="65">
        <v>286</v>
      </c>
      <c r="U57" s="70">
        <v>44421</v>
      </c>
      <c r="V57" s="70">
        <v>46266</v>
      </c>
      <c r="W57" s="69">
        <v>1.49436914</v>
      </c>
      <c r="X57" s="68" t="s">
        <v>79</v>
      </c>
      <c r="Y57" s="68" t="s">
        <v>372</v>
      </c>
      <c r="Z57" s="68"/>
      <c r="AA57" s="70">
        <v>46262</v>
      </c>
      <c r="AB57" s="70"/>
      <c r="AC57" s="68" t="s">
        <v>66</v>
      </c>
      <c r="AD57" s="68" t="s">
        <v>45</v>
      </c>
      <c r="AE57" s="67" t="s">
        <v>373</v>
      </c>
      <c r="AF57" s="67" t="s">
        <v>47</v>
      </c>
    </row>
    <row r="58" ht="40" customHeight="1" spans="1:32">
      <c r="A58" s="65">
        <v>59</v>
      </c>
      <c r="B58" s="66" t="s">
        <v>374</v>
      </c>
      <c r="C58" s="67" t="s">
        <v>375</v>
      </c>
      <c r="D58" s="67" t="s">
        <v>34</v>
      </c>
      <c r="E58" s="68" t="s">
        <v>35</v>
      </c>
      <c r="F58" s="67" t="s">
        <v>36</v>
      </c>
      <c r="G58" s="68" t="s">
        <v>37</v>
      </c>
      <c r="H58" s="68" t="s">
        <v>181</v>
      </c>
      <c r="I58" s="69">
        <v>1.901</v>
      </c>
      <c r="J58" s="70">
        <v>46262</v>
      </c>
      <c r="K58" s="67" t="s">
        <v>39</v>
      </c>
      <c r="L58" s="70">
        <v>43041</v>
      </c>
      <c r="M58" s="71">
        <v>0.901</v>
      </c>
      <c r="N58" s="71">
        <v>0.0304</v>
      </c>
      <c r="O58" s="71">
        <v>0.1021</v>
      </c>
      <c r="P58" s="71">
        <v>0.0797</v>
      </c>
      <c r="Q58" s="72">
        <v>1.9595</v>
      </c>
      <c r="R58" s="66" t="s">
        <v>376</v>
      </c>
      <c r="S58" s="67" t="s">
        <v>377</v>
      </c>
      <c r="T58" s="65">
        <v>1568</v>
      </c>
      <c r="U58" s="70">
        <v>43041</v>
      </c>
      <c r="V58" s="70">
        <v>46262</v>
      </c>
      <c r="W58" s="69">
        <v>1.901</v>
      </c>
      <c r="X58" s="68" t="s">
        <v>79</v>
      </c>
      <c r="Y58" s="68" t="s">
        <v>378</v>
      </c>
      <c r="Z58" s="68"/>
      <c r="AA58" s="70">
        <v>46262</v>
      </c>
      <c r="AB58" s="70"/>
      <c r="AC58" s="68" t="s">
        <v>44</v>
      </c>
      <c r="AD58" s="68" t="s">
        <v>45</v>
      </c>
      <c r="AE58" s="67" t="s">
        <v>379</v>
      </c>
      <c r="AF58" s="67" t="s">
        <v>47</v>
      </c>
    </row>
    <row r="59" ht="40" customHeight="1" spans="1:32">
      <c r="A59" s="65">
        <v>60</v>
      </c>
      <c r="B59" s="66" t="s">
        <v>380</v>
      </c>
      <c r="C59" s="67" t="s">
        <v>381</v>
      </c>
      <c r="D59" s="67" t="s">
        <v>34</v>
      </c>
      <c r="E59" s="68" t="s">
        <v>35</v>
      </c>
      <c r="F59" s="67" t="s">
        <v>36</v>
      </c>
      <c r="G59" s="68" t="s">
        <v>37</v>
      </c>
      <c r="H59" s="68" t="s">
        <v>382</v>
      </c>
      <c r="I59" s="69">
        <v>1.1009</v>
      </c>
      <c r="J59" s="70">
        <v>46262</v>
      </c>
      <c r="K59" s="67" t="s">
        <v>39</v>
      </c>
      <c r="L59" s="70">
        <v>44904</v>
      </c>
      <c r="M59" s="71">
        <v>0.4067</v>
      </c>
      <c r="N59" s="71">
        <v>0.1365</v>
      </c>
      <c r="O59" s="71">
        <v>0.1982</v>
      </c>
      <c r="P59" s="71">
        <v>0.0145</v>
      </c>
      <c r="Q59" s="72">
        <v>4.2468</v>
      </c>
      <c r="R59" s="66" t="s">
        <v>383</v>
      </c>
      <c r="S59" s="67" t="s">
        <v>384</v>
      </c>
      <c r="T59" s="65">
        <v>113</v>
      </c>
      <c r="U59" s="70">
        <v>45513</v>
      </c>
      <c r="V59" s="70">
        <v>46262</v>
      </c>
      <c r="W59" s="69">
        <v>1.45972551</v>
      </c>
      <c r="X59" s="68" t="s">
        <v>42</v>
      </c>
      <c r="Y59" s="68"/>
      <c r="Z59" s="68" t="s">
        <v>43</v>
      </c>
      <c r="AA59" s="70"/>
      <c r="AB59" s="70">
        <v>46269</v>
      </c>
      <c r="AC59" s="68" t="s">
        <v>44</v>
      </c>
      <c r="AD59" s="68" t="s">
        <v>45</v>
      </c>
      <c r="AE59" s="67" t="s">
        <v>385</v>
      </c>
      <c r="AF59" s="67" t="s">
        <v>47</v>
      </c>
    </row>
    <row r="60" ht="40" customHeight="1" spans="1:32">
      <c r="A60" s="65">
        <v>61</v>
      </c>
      <c r="B60" s="66" t="s">
        <v>386</v>
      </c>
      <c r="C60" s="67" t="s">
        <v>387</v>
      </c>
      <c r="D60" s="67" t="s">
        <v>34</v>
      </c>
      <c r="E60" s="68" t="s">
        <v>35</v>
      </c>
      <c r="F60" s="67" t="s">
        <v>36</v>
      </c>
      <c r="G60" s="68" t="s">
        <v>37</v>
      </c>
      <c r="H60" s="68" t="s">
        <v>382</v>
      </c>
      <c r="I60" s="69">
        <v>1.0506</v>
      </c>
      <c r="J60" s="70">
        <v>46265</v>
      </c>
      <c r="K60" s="67" t="s">
        <v>39</v>
      </c>
      <c r="L60" s="70">
        <v>44883</v>
      </c>
      <c r="M60" s="71">
        <v>0.5343</v>
      </c>
      <c r="N60" s="71">
        <v>0.1082</v>
      </c>
      <c r="O60" s="71">
        <v>0.1411</v>
      </c>
      <c r="P60" s="71">
        <v>0.0136</v>
      </c>
      <c r="Q60" s="72">
        <v>3.2834</v>
      </c>
      <c r="R60" s="66" t="s">
        <v>388</v>
      </c>
      <c r="S60" s="67" t="s">
        <v>384</v>
      </c>
      <c r="T60" s="65">
        <v>240</v>
      </c>
      <c r="U60" s="70">
        <v>44883</v>
      </c>
      <c r="V60" s="70">
        <v>46265</v>
      </c>
      <c r="W60" s="69">
        <v>1.5342633</v>
      </c>
      <c r="X60" s="68" t="s">
        <v>42</v>
      </c>
      <c r="Y60" s="68"/>
      <c r="Z60" s="68" t="s">
        <v>43</v>
      </c>
      <c r="AA60" s="70"/>
      <c r="AB60" s="70">
        <v>46269</v>
      </c>
      <c r="AC60" s="68" t="s">
        <v>44</v>
      </c>
      <c r="AD60" s="68" t="s">
        <v>45</v>
      </c>
      <c r="AE60" s="67" t="s">
        <v>389</v>
      </c>
      <c r="AF60" s="67" t="s">
        <v>47</v>
      </c>
    </row>
    <row r="61" ht="40" customHeight="1" spans="1:32">
      <c r="A61" s="65">
        <v>62</v>
      </c>
      <c r="B61" s="66" t="s">
        <v>390</v>
      </c>
      <c r="C61" s="67" t="s">
        <v>391</v>
      </c>
      <c r="D61" s="67" t="s">
        <v>34</v>
      </c>
      <c r="E61" s="68" t="s">
        <v>70</v>
      </c>
      <c r="F61" s="67" t="s">
        <v>36</v>
      </c>
      <c r="G61" s="68" t="s">
        <v>37</v>
      </c>
      <c r="H61" s="68" t="s">
        <v>71</v>
      </c>
      <c r="I61" s="69">
        <v>1.0689</v>
      </c>
      <c r="J61" s="70">
        <v>45702</v>
      </c>
      <c r="K61" s="67" t="s">
        <v>39</v>
      </c>
      <c r="L61" s="70">
        <v>43585</v>
      </c>
      <c r="M61" s="71">
        <v>0.4986</v>
      </c>
      <c r="N61" s="71">
        <v>0.06</v>
      </c>
      <c r="O61" s="71">
        <v>0.086</v>
      </c>
      <c r="P61" s="71">
        <v>0.0502</v>
      </c>
      <c r="Q61" s="72">
        <v>1.7848</v>
      </c>
      <c r="R61" s="66" t="s">
        <v>392</v>
      </c>
      <c r="S61" s="67" t="s">
        <v>393</v>
      </c>
      <c r="T61" s="65">
        <v>398</v>
      </c>
      <c r="U61" s="70">
        <v>43585</v>
      </c>
      <c r="V61" s="70">
        <v>46265</v>
      </c>
      <c r="W61" s="69">
        <v>1.70229845</v>
      </c>
      <c r="X61" s="68" t="s">
        <v>100</v>
      </c>
      <c r="Y61" s="68" t="s">
        <v>323</v>
      </c>
      <c r="Z61" s="68"/>
      <c r="AA61" s="70">
        <v>46262</v>
      </c>
      <c r="AB61" s="70"/>
      <c r="AC61" s="68" t="s">
        <v>278</v>
      </c>
      <c r="AD61" s="68" t="s">
        <v>45</v>
      </c>
      <c r="AE61" s="67" t="s">
        <v>394</v>
      </c>
      <c r="AF61" s="67" t="s">
        <v>47</v>
      </c>
    </row>
    <row r="62" ht="40" customHeight="1" spans="1:32">
      <c r="A62" s="65">
        <v>64</v>
      </c>
      <c r="B62" s="66" t="s">
        <v>395</v>
      </c>
      <c r="C62" s="67" t="s">
        <v>396</v>
      </c>
      <c r="D62" s="67" t="s">
        <v>34</v>
      </c>
      <c r="E62" s="68" t="s">
        <v>35</v>
      </c>
      <c r="F62" s="67" t="s">
        <v>36</v>
      </c>
      <c r="G62" s="68" t="s">
        <v>37</v>
      </c>
      <c r="H62" s="68" t="s">
        <v>156</v>
      </c>
      <c r="I62" s="69">
        <v>1.0025</v>
      </c>
      <c r="J62" s="70">
        <v>45702</v>
      </c>
      <c r="K62" s="67" t="s">
        <v>39</v>
      </c>
      <c r="L62" s="70">
        <v>44867</v>
      </c>
      <c r="M62" s="71">
        <v>0.2796</v>
      </c>
      <c r="N62" s="71">
        <v>0.0394</v>
      </c>
      <c r="O62" s="71">
        <v>0.1222</v>
      </c>
      <c r="P62" s="71">
        <v>0.024</v>
      </c>
      <c r="Q62" s="72">
        <v>2.2392</v>
      </c>
      <c r="R62" s="66" t="s">
        <v>397</v>
      </c>
      <c r="S62" s="67" t="s">
        <v>393</v>
      </c>
      <c r="T62" s="65">
        <v>208</v>
      </c>
      <c r="U62" s="70">
        <v>44867</v>
      </c>
      <c r="V62" s="70">
        <v>46262</v>
      </c>
      <c r="W62" s="69">
        <v>1.45239867</v>
      </c>
      <c r="X62" s="68" t="s">
        <v>42</v>
      </c>
      <c r="Y62" s="68"/>
      <c r="Z62" s="68" t="s">
        <v>43</v>
      </c>
      <c r="AA62" s="70"/>
      <c r="AB62" s="70">
        <v>46269</v>
      </c>
      <c r="AC62" s="68" t="s">
        <v>278</v>
      </c>
      <c r="AD62" s="68" t="s">
        <v>45</v>
      </c>
      <c r="AE62" s="67" t="s">
        <v>398</v>
      </c>
      <c r="AF62" s="67" t="s">
        <v>47</v>
      </c>
    </row>
    <row r="63" ht="40" customHeight="1" spans="1:32">
      <c r="A63" s="65">
        <v>65</v>
      </c>
      <c r="B63" s="66" t="s">
        <v>399</v>
      </c>
      <c r="C63" s="67" t="s">
        <v>400</v>
      </c>
      <c r="D63" s="67" t="s">
        <v>34</v>
      </c>
      <c r="E63" s="68" t="s">
        <v>35</v>
      </c>
      <c r="F63" s="67" t="s">
        <v>36</v>
      </c>
      <c r="G63" s="68" t="s">
        <v>37</v>
      </c>
      <c r="H63" s="68" t="s">
        <v>38</v>
      </c>
      <c r="I63" s="69">
        <v>1.164</v>
      </c>
      <c r="J63" s="70">
        <v>46262</v>
      </c>
      <c r="K63" s="67" t="s">
        <v>39</v>
      </c>
      <c r="L63" s="70">
        <v>44894</v>
      </c>
      <c r="M63" s="71">
        <v>0.3746</v>
      </c>
      <c r="N63" s="71">
        <v>0.0345</v>
      </c>
      <c r="O63" s="71">
        <v>0.1</v>
      </c>
      <c r="P63" s="71">
        <v>0.0211</v>
      </c>
      <c r="Q63" s="72">
        <v>2.8094</v>
      </c>
      <c r="R63" s="66" t="s">
        <v>401</v>
      </c>
      <c r="S63" s="67" t="s">
        <v>393</v>
      </c>
      <c r="T63" s="65">
        <v>205</v>
      </c>
      <c r="U63" s="70">
        <v>44894</v>
      </c>
      <c r="V63" s="70">
        <v>46262</v>
      </c>
      <c r="W63" s="69">
        <v>1.37462638</v>
      </c>
      <c r="X63" s="68" t="s">
        <v>42</v>
      </c>
      <c r="Y63" s="68"/>
      <c r="Z63" s="68" t="s">
        <v>43</v>
      </c>
      <c r="AA63" s="70"/>
      <c r="AB63" s="70">
        <v>46269</v>
      </c>
      <c r="AC63" s="68" t="s">
        <v>44</v>
      </c>
      <c r="AD63" s="68" t="s">
        <v>45</v>
      </c>
      <c r="AE63" s="67" t="s">
        <v>402</v>
      </c>
      <c r="AF63" s="67" t="s">
        <v>47</v>
      </c>
    </row>
    <row r="64" ht="40" customHeight="1" spans="1:32">
      <c r="A64" s="65">
        <v>66</v>
      </c>
      <c r="B64" s="66" t="s">
        <v>403</v>
      </c>
      <c r="C64" s="67" t="s">
        <v>404</v>
      </c>
      <c r="D64" s="67" t="s">
        <v>34</v>
      </c>
      <c r="E64" s="68" t="s">
        <v>70</v>
      </c>
      <c r="F64" s="67" t="s">
        <v>36</v>
      </c>
      <c r="G64" s="68" t="s">
        <v>37</v>
      </c>
      <c r="H64" s="68" t="s">
        <v>71</v>
      </c>
      <c r="I64" s="69">
        <v>0.6619</v>
      </c>
      <c r="J64" s="70">
        <v>46262</v>
      </c>
      <c r="K64" s="67" t="s">
        <v>39</v>
      </c>
      <c r="L64" s="70">
        <v>44123</v>
      </c>
      <c r="M64" s="71">
        <v>-0.1835</v>
      </c>
      <c r="N64" s="71">
        <v>-0.3227</v>
      </c>
      <c r="O64" s="71">
        <v>-0.0313</v>
      </c>
      <c r="P64" s="71">
        <v>0.3561</v>
      </c>
      <c r="Q64" s="72">
        <v>-0.5439</v>
      </c>
      <c r="R64" s="66" t="s">
        <v>405</v>
      </c>
      <c r="S64" s="67" t="s">
        <v>406</v>
      </c>
      <c r="T64" s="65">
        <v>297</v>
      </c>
      <c r="U64" s="70">
        <v>44123</v>
      </c>
      <c r="V64" s="70">
        <v>46262</v>
      </c>
      <c r="W64" s="69">
        <v>0.81653228</v>
      </c>
      <c r="X64" s="68" t="s">
        <v>79</v>
      </c>
      <c r="Y64" s="68" t="s">
        <v>323</v>
      </c>
      <c r="Z64" s="68"/>
      <c r="AA64" s="70">
        <v>46262</v>
      </c>
      <c r="AB64" s="70"/>
      <c r="AC64" s="68" t="s">
        <v>44</v>
      </c>
      <c r="AD64" s="68" t="s">
        <v>45</v>
      </c>
      <c r="AE64" s="67" t="s">
        <v>407</v>
      </c>
      <c r="AF64" s="67" t="s">
        <v>47</v>
      </c>
    </row>
    <row r="65" ht="40" customHeight="1" spans="1:32">
      <c r="A65" s="65">
        <v>67</v>
      </c>
      <c r="B65" s="66" t="s">
        <v>408</v>
      </c>
      <c r="C65" s="67" t="s">
        <v>409</v>
      </c>
      <c r="D65" s="67" t="s">
        <v>34</v>
      </c>
      <c r="E65" s="68" t="s">
        <v>35</v>
      </c>
      <c r="F65" s="67" t="s">
        <v>36</v>
      </c>
      <c r="G65" s="68" t="s">
        <v>37</v>
      </c>
      <c r="H65" s="68" t="s">
        <v>187</v>
      </c>
      <c r="I65" s="69">
        <v>1.0731</v>
      </c>
      <c r="J65" s="70">
        <v>46262</v>
      </c>
      <c r="K65" s="67" t="s">
        <v>39</v>
      </c>
      <c r="L65" s="70">
        <v>45408</v>
      </c>
      <c r="M65" s="71">
        <v>0.195</v>
      </c>
      <c r="N65" s="71">
        <v>0.0673</v>
      </c>
      <c r="O65" s="71">
        <v>0.0833</v>
      </c>
      <c r="P65" s="71">
        <v>0.0248</v>
      </c>
      <c r="Q65" s="72">
        <v>1.3129</v>
      </c>
      <c r="R65" s="66" t="s">
        <v>410</v>
      </c>
      <c r="S65" s="67" t="s">
        <v>411</v>
      </c>
      <c r="T65" s="65">
        <v>570</v>
      </c>
      <c r="U65" s="70">
        <v>45405</v>
      </c>
      <c r="V65" s="70">
        <v>46268</v>
      </c>
      <c r="W65" s="69">
        <v>1.18832023</v>
      </c>
      <c r="X65" s="68" t="s">
        <v>79</v>
      </c>
      <c r="Y65" s="68" t="s">
        <v>412</v>
      </c>
      <c r="Z65" s="68"/>
      <c r="AA65" s="70">
        <v>46262</v>
      </c>
      <c r="AB65" s="70"/>
      <c r="AC65" s="68" t="s">
        <v>66</v>
      </c>
      <c r="AD65" s="68" t="s">
        <v>45</v>
      </c>
      <c r="AE65" s="67" t="s">
        <v>413</v>
      </c>
      <c r="AF65" s="67" t="s">
        <v>47</v>
      </c>
    </row>
    <row r="66" ht="40" customHeight="1" spans="1:32">
      <c r="A66" s="65">
        <v>68</v>
      </c>
      <c r="B66" s="66" t="s">
        <v>414</v>
      </c>
      <c r="C66" s="67" t="s">
        <v>415</v>
      </c>
      <c r="D66" s="67" t="s">
        <v>34</v>
      </c>
      <c r="E66" s="68" t="s">
        <v>61</v>
      </c>
      <c r="F66" s="67" t="s">
        <v>36</v>
      </c>
      <c r="G66" s="68" t="s">
        <v>37</v>
      </c>
      <c r="H66" s="68" t="s">
        <v>416</v>
      </c>
      <c r="I66" s="69">
        <v>1.0358</v>
      </c>
      <c r="J66" s="70">
        <v>46262</v>
      </c>
      <c r="K66" s="67" t="s">
        <v>39</v>
      </c>
      <c r="L66" s="70">
        <v>43885</v>
      </c>
      <c r="M66" s="71">
        <v>1.9812</v>
      </c>
      <c r="N66" s="71">
        <v>0.0118</v>
      </c>
      <c r="O66" s="71">
        <v>0.3042</v>
      </c>
      <c r="P66" s="71">
        <v>0.1671</v>
      </c>
      <c r="Q66" s="72">
        <v>1.7604</v>
      </c>
      <c r="R66" s="66" t="s">
        <v>417</v>
      </c>
      <c r="S66" s="67" t="s">
        <v>418</v>
      </c>
      <c r="T66" s="65">
        <v>342</v>
      </c>
      <c r="U66" s="70">
        <v>43885</v>
      </c>
      <c r="V66" s="70">
        <v>46262</v>
      </c>
      <c r="W66" s="69">
        <v>2.98120811</v>
      </c>
      <c r="X66" s="68" t="s">
        <v>42</v>
      </c>
      <c r="Y66" s="68"/>
      <c r="Z66" s="68" t="s">
        <v>132</v>
      </c>
      <c r="AA66" s="70"/>
      <c r="AB66" s="70">
        <v>46269</v>
      </c>
      <c r="AC66" s="68" t="s">
        <v>44</v>
      </c>
      <c r="AD66" s="68" t="s">
        <v>45</v>
      </c>
      <c r="AE66" s="67" t="s">
        <v>419</v>
      </c>
      <c r="AF66" s="67" t="s">
        <v>47</v>
      </c>
    </row>
    <row r="67" ht="40" customHeight="1" spans="1:32">
      <c r="A67" s="65">
        <v>69</v>
      </c>
      <c r="B67" s="66" t="s">
        <v>420</v>
      </c>
      <c r="C67" s="67" t="s">
        <v>421</v>
      </c>
      <c r="D67" s="67" t="s">
        <v>34</v>
      </c>
      <c r="E67" s="68" t="s">
        <v>35</v>
      </c>
      <c r="F67" s="67" t="s">
        <v>36</v>
      </c>
      <c r="G67" s="68" t="s">
        <v>51</v>
      </c>
      <c r="H67" s="68" t="s">
        <v>38</v>
      </c>
      <c r="I67" s="69">
        <v>1.3197</v>
      </c>
      <c r="J67" s="70">
        <v>46262</v>
      </c>
      <c r="K67" s="67" t="s">
        <v>39</v>
      </c>
      <c r="L67" s="70">
        <v>44881</v>
      </c>
      <c r="M67" s="71">
        <v>0.31983198319832</v>
      </c>
      <c r="N67" s="71">
        <v>0.0291663417297046</v>
      </c>
      <c r="O67" s="71">
        <v>0.0846545858356684</v>
      </c>
      <c r="P67" s="71">
        <v>0.0431149238278364</v>
      </c>
      <c r="Q67" s="72">
        <v>1.12453695166356</v>
      </c>
      <c r="R67" s="66" t="s">
        <v>422</v>
      </c>
      <c r="S67" s="67" t="s">
        <v>423</v>
      </c>
      <c r="T67" s="65">
        <v>194</v>
      </c>
      <c r="U67" s="70">
        <v>44883</v>
      </c>
      <c r="V67" s="70">
        <v>46262</v>
      </c>
      <c r="W67" s="69">
        <v>1.3197</v>
      </c>
      <c r="X67" s="68" t="s">
        <v>55</v>
      </c>
      <c r="Y67" s="68" t="s">
        <v>424</v>
      </c>
      <c r="Z67" s="68"/>
      <c r="AA67" s="70">
        <v>46262</v>
      </c>
      <c r="AB67" s="70"/>
      <c r="AC67" s="68" t="s">
        <v>57</v>
      </c>
      <c r="AD67" s="68" t="s">
        <v>45</v>
      </c>
      <c r="AE67" s="67" t="s">
        <v>425</v>
      </c>
      <c r="AF67" s="67" t="s">
        <v>47</v>
      </c>
    </row>
    <row r="68" ht="40" customHeight="1" spans="1:32">
      <c r="A68" s="65">
        <v>70</v>
      </c>
      <c r="B68" s="66" t="s">
        <v>426</v>
      </c>
      <c r="C68" s="67" t="s">
        <v>427</v>
      </c>
      <c r="D68" s="67" t="s">
        <v>34</v>
      </c>
      <c r="E68" s="68" t="s">
        <v>61</v>
      </c>
      <c r="F68" s="67" t="s">
        <v>36</v>
      </c>
      <c r="G68" s="68" t="s">
        <v>51</v>
      </c>
      <c r="H68" s="68" t="s">
        <v>428</v>
      </c>
      <c r="I68" s="69">
        <v>1.525</v>
      </c>
      <c r="J68" s="70">
        <v>46268</v>
      </c>
      <c r="K68" s="67" t="s">
        <v>39</v>
      </c>
      <c r="L68" s="70">
        <v>43423</v>
      </c>
      <c r="M68" s="71">
        <v>1.52315373</v>
      </c>
      <c r="N68" s="71">
        <v>0.0155833766496389</v>
      </c>
      <c r="O68" s="71">
        <v>0.195688529197466</v>
      </c>
      <c r="P68" s="71">
        <v>0.0683568912827519</v>
      </c>
      <c r="Q68" s="72">
        <v>2.32070399391571</v>
      </c>
      <c r="R68" s="66" t="s">
        <v>429</v>
      </c>
      <c r="S68" s="67" t="s">
        <v>430</v>
      </c>
      <c r="T68" s="65">
        <v>434</v>
      </c>
      <c r="U68" s="70">
        <v>43427</v>
      </c>
      <c r="V68" s="70">
        <v>46268</v>
      </c>
      <c r="W68" s="69">
        <v>2.52315373</v>
      </c>
      <c r="X68" s="68" t="s">
        <v>55</v>
      </c>
      <c r="Y68" s="68" t="s">
        <v>431</v>
      </c>
      <c r="Z68" s="68"/>
      <c r="AA68" s="70">
        <v>46262</v>
      </c>
      <c r="AB68" s="70"/>
      <c r="AC68" s="68" t="s">
        <v>57</v>
      </c>
      <c r="AD68" s="68" t="s">
        <v>45</v>
      </c>
      <c r="AE68" s="67" t="s">
        <v>432</v>
      </c>
      <c r="AF68" s="67" t="s">
        <v>47</v>
      </c>
    </row>
    <row r="69" ht="40" customHeight="1" spans="1:32">
      <c r="A69" s="65">
        <v>72</v>
      </c>
      <c r="B69" s="66" t="s">
        <v>433</v>
      </c>
      <c r="C69" s="67" t="s">
        <v>434</v>
      </c>
      <c r="D69" s="67" t="s">
        <v>34</v>
      </c>
      <c r="E69" s="68" t="s">
        <v>61</v>
      </c>
      <c r="F69" s="67" t="s">
        <v>36</v>
      </c>
      <c r="G69" s="68" t="s">
        <v>37</v>
      </c>
      <c r="H69" s="68" t="s">
        <v>62</v>
      </c>
      <c r="I69" s="69">
        <v>1.0547</v>
      </c>
      <c r="J69" s="70">
        <v>46262</v>
      </c>
      <c r="K69" s="67" t="s">
        <v>39</v>
      </c>
      <c r="L69" s="70">
        <v>45441</v>
      </c>
      <c r="M69" s="71">
        <v>0.1741</v>
      </c>
      <c r="N69" s="71">
        <v>0.0672</v>
      </c>
      <c r="O69" s="71">
        <v>0.0774</v>
      </c>
      <c r="P69" s="71">
        <v>0.0172</v>
      </c>
      <c r="Q69" s="72">
        <v>2.2042</v>
      </c>
      <c r="R69" s="66" t="s">
        <v>435</v>
      </c>
      <c r="S69" s="67" t="s">
        <v>436</v>
      </c>
      <c r="T69" s="65">
        <v>124</v>
      </c>
      <c r="U69" s="70">
        <v>45441</v>
      </c>
      <c r="V69" s="70">
        <v>46262</v>
      </c>
      <c r="W69" s="69">
        <v>1.17387128</v>
      </c>
      <c r="X69" s="68" t="s">
        <v>42</v>
      </c>
      <c r="Y69" s="68"/>
      <c r="Z69" s="68" t="s">
        <v>437</v>
      </c>
      <c r="AA69" s="70"/>
      <c r="AB69" s="70">
        <v>46269</v>
      </c>
      <c r="AC69" s="68" t="s">
        <v>44</v>
      </c>
      <c r="AD69" s="68" t="s">
        <v>45</v>
      </c>
      <c r="AE69" s="67" t="s">
        <v>438</v>
      </c>
      <c r="AF69" s="67" t="s">
        <v>47</v>
      </c>
    </row>
    <row r="70" ht="40" customHeight="1" spans="1:32">
      <c r="A70" s="65">
        <v>73</v>
      </c>
      <c r="B70" s="66" t="s">
        <v>439</v>
      </c>
      <c r="C70" s="67" t="s">
        <v>440</v>
      </c>
      <c r="D70" s="67" t="s">
        <v>34</v>
      </c>
      <c r="E70" s="68" t="s">
        <v>35</v>
      </c>
      <c r="F70" s="67" t="s">
        <v>36</v>
      </c>
      <c r="G70" s="68" t="s">
        <v>37</v>
      </c>
      <c r="H70" s="68" t="s">
        <v>38</v>
      </c>
      <c r="I70" s="69">
        <v>1.689</v>
      </c>
      <c r="J70" s="70">
        <v>46262</v>
      </c>
      <c r="K70" s="67" t="s">
        <v>39</v>
      </c>
      <c r="L70" s="70">
        <v>44155</v>
      </c>
      <c r="M70" s="71">
        <v>0.689</v>
      </c>
      <c r="N70" s="71">
        <v>0.0349</v>
      </c>
      <c r="O70" s="71">
        <v>0.1194</v>
      </c>
      <c r="P70" s="71">
        <v>0.0176</v>
      </c>
      <c r="Q70" s="72">
        <v>3.0428</v>
      </c>
      <c r="R70" s="66" t="s">
        <v>441</v>
      </c>
      <c r="S70" s="67" t="s">
        <v>442</v>
      </c>
      <c r="T70" s="65">
        <v>324</v>
      </c>
      <c r="U70" s="70">
        <v>44155</v>
      </c>
      <c r="V70" s="70">
        <v>46262</v>
      </c>
      <c r="W70" s="69">
        <v>1.689</v>
      </c>
      <c r="X70" s="68" t="s">
        <v>42</v>
      </c>
      <c r="Y70" s="68"/>
      <c r="Z70" s="68" t="s">
        <v>43</v>
      </c>
      <c r="AA70" s="70"/>
      <c r="AB70" s="70">
        <v>46269</v>
      </c>
      <c r="AC70" s="68" t="s">
        <v>44</v>
      </c>
      <c r="AD70" s="68" t="s">
        <v>45</v>
      </c>
      <c r="AE70" s="67" t="s">
        <v>443</v>
      </c>
      <c r="AF70" s="67" t="s">
        <v>47</v>
      </c>
    </row>
    <row r="71" ht="40" customHeight="1" spans="1:32">
      <c r="A71" s="65">
        <v>74</v>
      </c>
      <c r="B71" s="66" t="s">
        <v>444</v>
      </c>
      <c r="C71" s="67" t="s">
        <v>445</v>
      </c>
      <c r="D71" s="67" t="s">
        <v>34</v>
      </c>
      <c r="E71" s="68" t="s">
        <v>35</v>
      </c>
      <c r="F71" s="67" t="s">
        <v>36</v>
      </c>
      <c r="G71" s="68" t="s">
        <v>37</v>
      </c>
      <c r="H71" s="68" t="s">
        <v>38</v>
      </c>
      <c r="I71" s="69">
        <v>1.763</v>
      </c>
      <c r="J71" s="70">
        <v>46262</v>
      </c>
      <c r="K71" s="67" t="s">
        <v>39</v>
      </c>
      <c r="L71" s="70">
        <v>43585</v>
      </c>
      <c r="M71" s="71">
        <v>1.4966</v>
      </c>
      <c r="N71" s="71">
        <v>0.0407</v>
      </c>
      <c r="O71" s="71">
        <v>0.2041</v>
      </c>
      <c r="P71" s="71">
        <v>0.0144</v>
      </c>
      <c r="Q71" s="72">
        <v>6.2418</v>
      </c>
      <c r="R71" s="66" t="s">
        <v>446</v>
      </c>
      <c r="S71" s="67" t="s">
        <v>442</v>
      </c>
      <c r="T71" s="65">
        <v>411</v>
      </c>
      <c r="U71" s="70">
        <v>43585</v>
      </c>
      <c r="V71" s="70">
        <v>46262</v>
      </c>
      <c r="W71" s="69">
        <v>2.49660546</v>
      </c>
      <c r="X71" s="68" t="s">
        <v>42</v>
      </c>
      <c r="Y71" s="68"/>
      <c r="Z71" s="68" t="s">
        <v>43</v>
      </c>
      <c r="AA71" s="70"/>
      <c r="AB71" s="70">
        <v>46269</v>
      </c>
      <c r="AC71" s="68" t="s">
        <v>44</v>
      </c>
      <c r="AD71" s="68" t="s">
        <v>45</v>
      </c>
      <c r="AE71" s="67" t="s">
        <v>447</v>
      </c>
      <c r="AF71" s="67" t="s">
        <v>47</v>
      </c>
    </row>
    <row r="72" ht="40" customHeight="1" spans="1:32">
      <c r="A72" s="65">
        <v>75</v>
      </c>
      <c r="B72" s="66" t="s">
        <v>448</v>
      </c>
      <c r="C72" s="67" t="s">
        <v>449</v>
      </c>
      <c r="D72" s="67" t="s">
        <v>34</v>
      </c>
      <c r="E72" s="68" t="s">
        <v>35</v>
      </c>
      <c r="F72" s="67" t="s">
        <v>36</v>
      </c>
      <c r="G72" s="68" t="s">
        <v>37</v>
      </c>
      <c r="H72" s="68" t="s">
        <v>38</v>
      </c>
      <c r="I72" s="69">
        <v>1.911</v>
      </c>
      <c r="J72" s="70">
        <v>46262</v>
      </c>
      <c r="K72" s="67" t="s">
        <v>39</v>
      </c>
      <c r="L72" s="70">
        <v>43728</v>
      </c>
      <c r="M72" s="71">
        <v>1.6773</v>
      </c>
      <c r="N72" s="71">
        <v>0.0358</v>
      </c>
      <c r="O72" s="71">
        <v>0.2416</v>
      </c>
      <c r="P72" s="71">
        <v>0.0227</v>
      </c>
      <c r="Q72" s="72">
        <v>5.011</v>
      </c>
      <c r="R72" s="66" t="s">
        <v>450</v>
      </c>
      <c r="S72" s="67" t="s">
        <v>442</v>
      </c>
      <c r="T72" s="65">
        <v>440</v>
      </c>
      <c r="U72" s="70">
        <v>43728</v>
      </c>
      <c r="V72" s="70">
        <v>46262</v>
      </c>
      <c r="W72" s="69">
        <v>2.67732259</v>
      </c>
      <c r="X72" s="68" t="s">
        <v>100</v>
      </c>
      <c r="Y72" s="68" t="s">
        <v>356</v>
      </c>
      <c r="Z72" s="68" t="s">
        <v>43</v>
      </c>
      <c r="AA72" s="70">
        <v>46262</v>
      </c>
      <c r="AB72" s="70">
        <v>46269</v>
      </c>
      <c r="AC72" s="68" t="s">
        <v>44</v>
      </c>
      <c r="AD72" s="68" t="s">
        <v>45</v>
      </c>
      <c r="AE72" s="67" t="s">
        <v>451</v>
      </c>
      <c r="AF72" s="67" t="s">
        <v>47</v>
      </c>
    </row>
    <row r="73" ht="40" customHeight="1" spans="1:32">
      <c r="A73" s="65">
        <v>76</v>
      </c>
      <c r="B73" s="66" t="s">
        <v>452</v>
      </c>
      <c r="C73" s="67" t="s">
        <v>453</v>
      </c>
      <c r="D73" s="67" t="s">
        <v>34</v>
      </c>
      <c r="E73" s="68" t="s">
        <v>236</v>
      </c>
      <c r="F73" s="67" t="s">
        <v>36</v>
      </c>
      <c r="G73" s="68" t="s">
        <v>51</v>
      </c>
      <c r="H73" s="68" t="s">
        <v>237</v>
      </c>
      <c r="I73" s="69">
        <v>0.871</v>
      </c>
      <c r="J73" s="70">
        <v>46234</v>
      </c>
      <c r="K73" s="67" t="s">
        <v>39</v>
      </c>
      <c r="L73" s="70">
        <v>45803</v>
      </c>
      <c r="M73" s="71">
        <v>0.139268</v>
      </c>
      <c r="N73" s="71">
        <v>0.098619093539055</v>
      </c>
      <c r="O73" s="71">
        <v>0.119046416861827</v>
      </c>
      <c r="P73" s="71">
        <v>0.19649446494465</v>
      </c>
      <c r="Q73" s="72">
        <v>0.513433926292443</v>
      </c>
      <c r="R73" s="66" t="s">
        <v>454</v>
      </c>
      <c r="S73" s="67" t="s">
        <v>455</v>
      </c>
      <c r="T73" s="65">
        <v>61</v>
      </c>
      <c r="U73" s="70">
        <v>45807</v>
      </c>
      <c r="V73" s="70">
        <v>46234</v>
      </c>
      <c r="W73" s="69">
        <v>1.139268</v>
      </c>
      <c r="X73" s="68" t="s">
        <v>55</v>
      </c>
      <c r="Y73" s="68" t="s">
        <v>456</v>
      </c>
      <c r="Z73" s="68"/>
      <c r="AA73" s="70">
        <v>46262</v>
      </c>
      <c r="AB73" s="70"/>
      <c r="AC73" s="68" t="s">
        <v>57</v>
      </c>
      <c r="AD73" s="68" t="s">
        <v>45</v>
      </c>
      <c r="AE73" s="67" t="s">
        <v>457</v>
      </c>
      <c r="AF73" s="67" t="s">
        <v>47</v>
      </c>
    </row>
    <row r="74" ht="40" customHeight="1" spans="1:32">
      <c r="A74" s="65">
        <v>77</v>
      </c>
      <c r="B74" s="66" t="s">
        <v>458</v>
      </c>
      <c r="C74" s="67" t="s">
        <v>459</v>
      </c>
      <c r="D74" s="67" t="s">
        <v>34</v>
      </c>
      <c r="E74" s="68" t="s">
        <v>35</v>
      </c>
      <c r="F74" s="67" t="s">
        <v>36</v>
      </c>
      <c r="G74" s="68" t="s">
        <v>37</v>
      </c>
      <c r="H74" s="68" t="s">
        <v>38</v>
      </c>
      <c r="I74" s="69">
        <v>1.073</v>
      </c>
      <c r="J74" s="70">
        <v>46262</v>
      </c>
      <c r="K74" s="67" t="s">
        <v>39</v>
      </c>
      <c r="L74" s="70">
        <v>44166</v>
      </c>
      <c r="M74" s="71">
        <v>1.7536</v>
      </c>
      <c r="N74" s="71">
        <v>0.1329</v>
      </c>
      <c r="O74" s="71">
        <v>0.3054</v>
      </c>
      <c r="P74" s="71">
        <v>0.0105</v>
      </c>
      <c r="Q74" s="72">
        <v>11.3709</v>
      </c>
      <c r="R74" s="66" t="s">
        <v>460</v>
      </c>
      <c r="S74" s="67" t="s">
        <v>461</v>
      </c>
      <c r="T74" s="65">
        <v>354</v>
      </c>
      <c r="U74" s="70">
        <v>44166</v>
      </c>
      <c r="V74" s="70">
        <v>46262</v>
      </c>
      <c r="W74" s="69">
        <v>2.75362501</v>
      </c>
      <c r="X74" s="68" t="s">
        <v>42</v>
      </c>
      <c r="Y74" s="68"/>
      <c r="Z74" s="68" t="s">
        <v>43</v>
      </c>
      <c r="AA74" s="70"/>
      <c r="AB74" s="70">
        <v>46269</v>
      </c>
      <c r="AC74" s="68" t="s">
        <v>44</v>
      </c>
      <c r="AD74" s="68" t="s">
        <v>45</v>
      </c>
      <c r="AE74" s="67" t="s">
        <v>462</v>
      </c>
      <c r="AF74" s="67" t="s">
        <v>47</v>
      </c>
    </row>
    <row r="75" ht="40" customHeight="1" spans="1:32">
      <c r="A75" s="65">
        <v>78</v>
      </c>
      <c r="B75" s="66" t="s">
        <v>463</v>
      </c>
      <c r="C75" s="67" t="s">
        <v>464</v>
      </c>
      <c r="D75" s="67" t="s">
        <v>34</v>
      </c>
      <c r="E75" s="68" t="s">
        <v>334</v>
      </c>
      <c r="F75" s="67" t="s">
        <v>36</v>
      </c>
      <c r="G75" s="68" t="s">
        <v>51</v>
      </c>
      <c r="H75" s="68" t="s">
        <v>465</v>
      </c>
      <c r="I75" s="69">
        <v>1.0306</v>
      </c>
      <c r="J75" s="70">
        <v>46262</v>
      </c>
      <c r="K75" s="67" t="s">
        <v>39</v>
      </c>
      <c r="L75" s="70">
        <v>43710</v>
      </c>
      <c r="M75" s="71">
        <v>0.0918768497628806</v>
      </c>
      <c r="N75" s="71"/>
      <c r="O75" s="71">
        <v>0.184258517381601</v>
      </c>
      <c r="P75" s="71">
        <v>0.0144970135462392</v>
      </c>
      <c r="Q75" s="72">
        <v>2.40065077531659</v>
      </c>
      <c r="R75" s="66" t="s">
        <v>466</v>
      </c>
      <c r="S75" s="67" t="s">
        <v>467</v>
      </c>
      <c r="T75" s="65">
        <v>27</v>
      </c>
      <c r="U75" s="70">
        <v>46080</v>
      </c>
      <c r="V75" s="70">
        <v>46262</v>
      </c>
      <c r="W75" s="69">
        <v>2.37144733</v>
      </c>
      <c r="X75" s="68" t="s">
        <v>55</v>
      </c>
      <c r="Y75" s="68" t="s">
        <v>468</v>
      </c>
      <c r="Z75" s="68"/>
      <c r="AA75" s="70">
        <v>46262</v>
      </c>
      <c r="AB75" s="70"/>
      <c r="AC75" s="68" t="s">
        <v>57</v>
      </c>
      <c r="AD75" s="68" t="s">
        <v>45</v>
      </c>
      <c r="AE75" s="67" t="s">
        <v>469</v>
      </c>
      <c r="AF75" s="67" t="s">
        <v>47</v>
      </c>
    </row>
    <row r="76" ht="40" customHeight="1" spans="1:32">
      <c r="A76" s="65">
        <v>79</v>
      </c>
      <c r="B76" s="66" t="s">
        <v>470</v>
      </c>
      <c r="C76" s="67" t="s">
        <v>471</v>
      </c>
      <c r="D76" s="67" t="s">
        <v>34</v>
      </c>
      <c r="E76" s="68" t="s">
        <v>35</v>
      </c>
      <c r="F76" s="67" t="s">
        <v>36</v>
      </c>
      <c r="G76" s="68" t="s">
        <v>37</v>
      </c>
      <c r="H76" s="68" t="s">
        <v>38</v>
      </c>
      <c r="I76" s="69">
        <v>1.0192</v>
      </c>
      <c r="J76" s="70">
        <v>46266</v>
      </c>
      <c r="K76" s="67" t="s">
        <v>138</v>
      </c>
      <c r="L76" s="70">
        <v>45848</v>
      </c>
      <c r="M76" s="71">
        <v>0.0973</v>
      </c>
      <c r="N76" s="71">
        <v>0.0578</v>
      </c>
      <c r="O76" s="71">
        <v>0.0849</v>
      </c>
      <c r="P76" s="71">
        <v>0.0034</v>
      </c>
      <c r="Q76" s="72">
        <v>2.3153</v>
      </c>
      <c r="R76" s="66" t="s">
        <v>472</v>
      </c>
      <c r="S76" s="67" t="s">
        <v>473</v>
      </c>
      <c r="T76" s="65">
        <v>280</v>
      </c>
      <c r="U76" s="70">
        <v>45848</v>
      </c>
      <c r="V76" s="70">
        <v>46266</v>
      </c>
      <c r="W76" s="69">
        <v>1.0958</v>
      </c>
      <c r="X76" s="68" t="s">
        <v>141</v>
      </c>
      <c r="Y76" s="68"/>
      <c r="Z76" s="68"/>
      <c r="AA76" s="70"/>
      <c r="AB76" s="70"/>
      <c r="AC76" s="68" t="s">
        <v>39</v>
      </c>
      <c r="AD76" s="68" t="s">
        <v>45</v>
      </c>
      <c r="AE76" s="67" t="s">
        <v>474</v>
      </c>
      <c r="AF76" s="67" t="s">
        <v>47</v>
      </c>
    </row>
    <row r="77" ht="40" customHeight="1" spans="1:32">
      <c r="A77" s="65">
        <v>80</v>
      </c>
      <c r="B77" s="66" t="s">
        <v>475</v>
      </c>
      <c r="C77" s="67" t="s">
        <v>476</v>
      </c>
      <c r="D77" s="67" t="s">
        <v>34</v>
      </c>
      <c r="E77" s="68" t="s">
        <v>35</v>
      </c>
      <c r="F77" s="67" t="s">
        <v>36</v>
      </c>
      <c r="G77" s="68" t="s">
        <v>37</v>
      </c>
      <c r="H77" s="68" t="s">
        <v>38</v>
      </c>
      <c r="I77" s="69">
        <v>1.02</v>
      </c>
      <c r="J77" s="70">
        <v>46267</v>
      </c>
      <c r="K77" s="67" t="s">
        <v>138</v>
      </c>
      <c r="L77" s="70">
        <v>45749</v>
      </c>
      <c r="M77" s="71">
        <v>0.0862</v>
      </c>
      <c r="N77" s="71">
        <v>0.0737</v>
      </c>
      <c r="O77" s="71">
        <v>0.0999</v>
      </c>
      <c r="P77" s="71">
        <v>0.0047</v>
      </c>
      <c r="Q77" s="72">
        <v>5.0287</v>
      </c>
      <c r="R77" s="66" t="s">
        <v>477</v>
      </c>
      <c r="S77" s="67" t="s">
        <v>473</v>
      </c>
      <c r="T77" s="65">
        <v>213</v>
      </c>
      <c r="U77" s="70">
        <v>45952</v>
      </c>
      <c r="V77" s="70">
        <v>46267</v>
      </c>
      <c r="W77" s="69">
        <v>1.1138</v>
      </c>
      <c r="X77" s="68" t="s">
        <v>141</v>
      </c>
      <c r="Y77" s="68"/>
      <c r="Z77" s="68"/>
      <c r="AA77" s="70"/>
      <c r="AB77" s="70"/>
      <c r="AC77" s="68" t="s">
        <v>39</v>
      </c>
      <c r="AD77" s="68" t="s">
        <v>45</v>
      </c>
      <c r="AE77" s="67" t="s">
        <v>478</v>
      </c>
      <c r="AF77" s="67" t="s">
        <v>47</v>
      </c>
    </row>
    <row r="78" ht="40" customHeight="1" spans="1:32">
      <c r="A78" s="65">
        <v>81</v>
      </c>
      <c r="B78" s="66" t="s">
        <v>479</v>
      </c>
      <c r="C78" s="67" t="s">
        <v>480</v>
      </c>
      <c r="D78" s="67" t="s">
        <v>34</v>
      </c>
      <c r="E78" s="68" t="s">
        <v>122</v>
      </c>
      <c r="F78" s="67" t="s">
        <v>36</v>
      </c>
      <c r="G78" s="68" t="s">
        <v>51</v>
      </c>
      <c r="H78" s="68" t="s">
        <v>122</v>
      </c>
      <c r="I78" s="69">
        <v>1.025</v>
      </c>
      <c r="J78" s="70">
        <v>46262</v>
      </c>
      <c r="K78" s="67" t="s">
        <v>39</v>
      </c>
      <c r="L78" s="70">
        <v>45929</v>
      </c>
      <c r="M78" s="71">
        <v>0.12141089</v>
      </c>
      <c r="N78" s="71">
        <v>0.0866384593023255</v>
      </c>
      <c r="O78" s="71">
        <v>0.133478839909638</v>
      </c>
      <c r="P78" s="71">
        <v>0.0262645914396887</v>
      </c>
      <c r="Q78" s="72">
        <v>1.5856547262638</v>
      </c>
      <c r="R78" s="66" t="s">
        <v>481</v>
      </c>
      <c r="S78" s="67" t="s">
        <v>482</v>
      </c>
      <c r="T78" s="65">
        <v>47</v>
      </c>
      <c r="U78" s="70">
        <v>45930</v>
      </c>
      <c r="V78" s="70">
        <v>46262</v>
      </c>
      <c r="W78" s="69">
        <v>1.12141089</v>
      </c>
      <c r="X78" s="68" t="s">
        <v>55</v>
      </c>
      <c r="Y78" s="68" t="s">
        <v>483</v>
      </c>
      <c r="Z78" s="68"/>
      <c r="AA78" s="70">
        <v>46262</v>
      </c>
      <c r="AB78" s="70"/>
      <c r="AC78" s="68" t="s">
        <v>57</v>
      </c>
      <c r="AD78" s="68" t="s">
        <v>45</v>
      </c>
      <c r="AE78" s="67" t="s">
        <v>484</v>
      </c>
      <c r="AF78" s="67" t="s">
        <v>47</v>
      </c>
    </row>
    <row r="79" ht="56" customHeight="1" spans="1:32">
      <c r="A79" s="65">
        <v>82</v>
      </c>
      <c r="B79" s="66" t="s">
        <v>485</v>
      </c>
      <c r="C79" s="67" t="s">
        <v>486</v>
      </c>
      <c r="D79" s="67" t="s">
        <v>34</v>
      </c>
      <c r="E79" s="68" t="s">
        <v>35</v>
      </c>
      <c r="F79" s="67" t="s">
        <v>36</v>
      </c>
      <c r="G79" s="68" t="s">
        <v>37</v>
      </c>
      <c r="H79" s="68" t="s">
        <v>487</v>
      </c>
      <c r="I79" s="69">
        <v>2.1253</v>
      </c>
      <c r="J79" s="70">
        <v>45965</v>
      </c>
      <c r="K79" s="67" t="s">
        <v>39</v>
      </c>
      <c r="L79" s="70">
        <v>42857</v>
      </c>
      <c r="M79" s="71">
        <v>1.1253</v>
      </c>
      <c r="N79" s="71">
        <v>0.0257</v>
      </c>
      <c r="O79" s="71">
        <v>0.1323</v>
      </c>
      <c r="P79" s="71">
        <v>0.0602</v>
      </c>
      <c r="Q79" s="72">
        <v>2.3541</v>
      </c>
      <c r="R79" s="66" t="s">
        <v>488</v>
      </c>
      <c r="S79" s="67" t="s">
        <v>489</v>
      </c>
      <c r="T79" s="65">
        <v>522</v>
      </c>
      <c r="U79" s="70">
        <v>42857</v>
      </c>
      <c r="V79" s="70">
        <v>46262</v>
      </c>
      <c r="W79" s="69">
        <v>2.2068</v>
      </c>
      <c r="X79" s="68" t="s">
        <v>338</v>
      </c>
      <c r="Y79" s="68" t="s">
        <v>490</v>
      </c>
      <c r="Z79" s="68"/>
      <c r="AA79" s="70">
        <v>46262</v>
      </c>
      <c r="AB79" s="70"/>
      <c r="AC79" s="68" t="s">
        <v>278</v>
      </c>
      <c r="AD79" s="68" t="s">
        <v>45</v>
      </c>
      <c r="AE79" s="67" t="s">
        <v>491</v>
      </c>
      <c r="AF79" s="67" t="s">
        <v>47</v>
      </c>
    </row>
    <row r="80" ht="40" customHeight="1" spans="1:32">
      <c r="A80" s="65">
        <v>83</v>
      </c>
      <c r="B80" s="66" t="s">
        <v>492</v>
      </c>
      <c r="C80" s="67" t="s">
        <v>493</v>
      </c>
      <c r="D80" s="67" t="s">
        <v>34</v>
      </c>
      <c r="E80" s="68" t="s">
        <v>122</v>
      </c>
      <c r="F80" s="67" t="s">
        <v>36</v>
      </c>
      <c r="G80" s="68" t="s">
        <v>37</v>
      </c>
      <c r="H80" s="68" t="s">
        <v>494</v>
      </c>
      <c r="I80" s="69">
        <v>1.089</v>
      </c>
      <c r="J80" s="70">
        <v>46265</v>
      </c>
      <c r="K80" s="67" t="s">
        <v>39</v>
      </c>
      <c r="L80" s="70">
        <v>44550</v>
      </c>
      <c r="M80" s="71">
        <v>0.2923</v>
      </c>
      <c r="N80" s="71">
        <v>0.0093</v>
      </c>
      <c r="O80" s="71">
        <v>0.0622</v>
      </c>
      <c r="P80" s="71">
        <v>0.041</v>
      </c>
      <c r="Q80" s="72">
        <v>1.1555</v>
      </c>
      <c r="R80" s="66" t="s">
        <v>495</v>
      </c>
      <c r="S80" s="67" t="s">
        <v>496</v>
      </c>
      <c r="T80" s="65">
        <v>405</v>
      </c>
      <c r="U80" s="70">
        <v>44550</v>
      </c>
      <c r="V80" s="70">
        <v>46265</v>
      </c>
      <c r="W80" s="69">
        <v>1.29225147</v>
      </c>
      <c r="X80" s="68" t="s">
        <v>79</v>
      </c>
      <c r="Y80" s="68" t="s">
        <v>299</v>
      </c>
      <c r="Z80" s="68"/>
      <c r="AA80" s="70">
        <v>46262</v>
      </c>
      <c r="AB80" s="70"/>
      <c r="AC80" s="68" t="s">
        <v>44</v>
      </c>
      <c r="AD80" s="68" t="s">
        <v>45</v>
      </c>
      <c r="AE80" s="67" t="s">
        <v>497</v>
      </c>
      <c r="AF80" s="67" t="s">
        <v>47</v>
      </c>
    </row>
    <row r="81" ht="40" customHeight="1" spans="1:32">
      <c r="A81" s="65">
        <v>84</v>
      </c>
      <c r="B81" s="66" t="s">
        <v>498</v>
      </c>
      <c r="C81" s="67" t="s">
        <v>499</v>
      </c>
      <c r="D81" s="67" t="s">
        <v>34</v>
      </c>
      <c r="E81" s="68" t="s">
        <v>500</v>
      </c>
      <c r="F81" s="67" t="s">
        <v>36</v>
      </c>
      <c r="G81" s="68" t="s">
        <v>501</v>
      </c>
      <c r="H81" s="68"/>
      <c r="I81" s="69">
        <v>1.023</v>
      </c>
      <c r="J81" s="70">
        <v>46267</v>
      </c>
      <c r="K81" s="67" t="s">
        <v>138</v>
      </c>
      <c r="L81" s="70">
        <v>45800</v>
      </c>
      <c r="M81" s="71">
        <v>0.1579</v>
      </c>
      <c r="N81" s="71">
        <v>0.0779</v>
      </c>
      <c r="O81" s="71">
        <v>0.1307</v>
      </c>
      <c r="P81" s="71">
        <v>0.0525</v>
      </c>
      <c r="Q81" s="72">
        <v>1.5157</v>
      </c>
      <c r="R81" s="66" t="s">
        <v>502</v>
      </c>
      <c r="S81" s="67" t="s">
        <v>503</v>
      </c>
      <c r="T81" s="65">
        <v>297</v>
      </c>
      <c r="U81" s="70">
        <v>45826</v>
      </c>
      <c r="V81" s="70">
        <v>46267</v>
      </c>
      <c r="W81" s="69">
        <v>1.1529</v>
      </c>
      <c r="X81" s="68" t="s">
        <v>504</v>
      </c>
      <c r="Y81" s="68" t="s">
        <v>107</v>
      </c>
      <c r="Z81" s="68"/>
      <c r="AA81" s="70">
        <v>46262</v>
      </c>
      <c r="AB81" s="70">
        <v>46274</v>
      </c>
      <c r="AC81" s="68" t="s">
        <v>39</v>
      </c>
      <c r="AD81" s="68" t="s">
        <v>45</v>
      </c>
      <c r="AE81" s="67" t="s">
        <v>505</v>
      </c>
      <c r="AF81" s="67" t="s">
        <v>47</v>
      </c>
    </row>
    <row r="82" ht="40" customHeight="1" spans="1:32">
      <c r="A82" s="65">
        <v>85</v>
      </c>
      <c r="B82" s="66" t="s">
        <v>506</v>
      </c>
      <c r="C82" s="67" t="s">
        <v>507</v>
      </c>
      <c r="D82" s="67" t="s">
        <v>34</v>
      </c>
      <c r="E82" s="68" t="s">
        <v>35</v>
      </c>
      <c r="F82" s="67" t="s">
        <v>36</v>
      </c>
      <c r="G82" s="68" t="s">
        <v>37</v>
      </c>
      <c r="H82" s="68" t="s">
        <v>38</v>
      </c>
      <c r="I82" s="69">
        <v>1.2015</v>
      </c>
      <c r="J82" s="70">
        <v>46262</v>
      </c>
      <c r="K82" s="67" t="s">
        <v>39</v>
      </c>
      <c r="L82" s="70">
        <v>45826</v>
      </c>
      <c r="M82" s="71">
        <v>0.3277</v>
      </c>
      <c r="N82" s="71">
        <v>0.2818</v>
      </c>
      <c r="O82" s="71">
        <v>0.2743</v>
      </c>
      <c r="P82" s="71">
        <v>0.0668</v>
      </c>
      <c r="Q82" s="72">
        <v>2.7017</v>
      </c>
      <c r="R82" s="66" t="s">
        <v>508</v>
      </c>
      <c r="S82" s="67" t="s">
        <v>509</v>
      </c>
      <c r="T82" s="65">
        <v>84</v>
      </c>
      <c r="U82" s="70">
        <v>45826</v>
      </c>
      <c r="V82" s="70">
        <v>46262</v>
      </c>
      <c r="W82" s="69">
        <v>1.3276641</v>
      </c>
      <c r="X82" s="68" t="s">
        <v>42</v>
      </c>
      <c r="Y82" s="68"/>
      <c r="Z82" s="68" t="s">
        <v>43</v>
      </c>
      <c r="AA82" s="70"/>
      <c r="AB82" s="70">
        <v>46269</v>
      </c>
      <c r="AC82" s="68" t="s">
        <v>44</v>
      </c>
      <c r="AD82" s="68" t="s">
        <v>45</v>
      </c>
      <c r="AE82" s="67" t="s">
        <v>510</v>
      </c>
      <c r="AF82" s="67" t="s">
        <v>47</v>
      </c>
    </row>
    <row r="83" ht="40" customHeight="1" spans="1:32">
      <c r="A83" s="65">
        <v>87</v>
      </c>
      <c r="B83" s="66" t="s">
        <v>511</v>
      </c>
      <c r="C83" s="67" t="s">
        <v>512</v>
      </c>
      <c r="D83" s="67" t="s">
        <v>34</v>
      </c>
      <c r="E83" s="68" t="s">
        <v>122</v>
      </c>
      <c r="F83" s="67" t="s">
        <v>36</v>
      </c>
      <c r="G83" s="68" t="s">
        <v>37</v>
      </c>
      <c r="H83" s="68" t="s">
        <v>297</v>
      </c>
      <c r="I83" s="69">
        <v>1.068</v>
      </c>
      <c r="J83" s="70">
        <v>46265</v>
      </c>
      <c r="K83" s="67" t="s">
        <v>39</v>
      </c>
      <c r="L83" s="70">
        <v>43665</v>
      </c>
      <c r="M83" s="71">
        <v>0.4887</v>
      </c>
      <c r="N83" s="71">
        <v>0.0309</v>
      </c>
      <c r="O83" s="71">
        <v>0.0686</v>
      </c>
      <c r="P83" s="71">
        <v>0.0349</v>
      </c>
      <c r="Q83" s="72">
        <v>1.8589</v>
      </c>
      <c r="R83" s="66" t="s">
        <v>513</v>
      </c>
      <c r="S83" s="67" t="s">
        <v>514</v>
      </c>
      <c r="T83" s="65">
        <v>404</v>
      </c>
      <c r="U83" s="70">
        <v>43665</v>
      </c>
      <c r="V83" s="70">
        <v>46265</v>
      </c>
      <c r="W83" s="69">
        <v>1.48865328</v>
      </c>
      <c r="X83" s="68" t="s">
        <v>338</v>
      </c>
      <c r="Y83" s="68" t="s">
        <v>515</v>
      </c>
      <c r="Z83" s="68"/>
      <c r="AA83" s="70">
        <v>46262</v>
      </c>
      <c r="AB83" s="70"/>
      <c r="AC83" s="68" t="s">
        <v>44</v>
      </c>
      <c r="AD83" s="68" t="s">
        <v>45</v>
      </c>
      <c r="AE83" s="67" t="s">
        <v>516</v>
      </c>
      <c r="AF83" s="67" t="s">
        <v>47</v>
      </c>
    </row>
    <row r="84" ht="40" customHeight="1" spans="1:32">
      <c r="A84" s="65">
        <v>89</v>
      </c>
      <c r="B84" s="66" t="s">
        <v>517</v>
      </c>
      <c r="C84" s="68" t="s">
        <v>518</v>
      </c>
      <c r="D84" s="67" t="s">
        <v>519</v>
      </c>
      <c r="E84" s="68" t="s">
        <v>520</v>
      </c>
      <c r="F84" s="67" t="s">
        <v>36</v>
      </c>
      <c r="G84" s="68" t="s">
        <v>521</v>
      </c>
      <c r="H84" s="68"/>
      <c r="I84" s="69">
        <v>1.5106</v>
      </c>
      <c r="J84" s="70">
        <v>46262</v>
      </c>
      <c r="K84" s="67" t="s">
        <v>521</v>
      </c>
      <c r="L84" s="70"/>
      <c r="M84" s="71"/>
      <c r="N84" s="71">
        <v>0.152154305141192</v>
      </c>
      <c r="O84" s="71"/>
      <c r="P84" s="71"/>
      <c r="Q84" s="72"/>
      <c r="R84" s="66"/>
      <c r="S84" s="67"/>
      <c r="T84" s="65">
        <v>0</v>
      </c>
      <c r="U84" s="70"/>
      <c r="V84" s="70"/>
      <c r="W84" s="69"/>
      <c r="X84" s="68" t="s">
        <v>521</v>
      </c>
      <c r="Y84" s="68"/>
      <c r="Z84" s="68"/>
      <c r="AA84" s="70"/>
      <c r="AB84" s="70"/>
      <c r="AC84" s="68" t="s">
        <v>521</v>
      </c>
      <c r="AD84" s="68" t="s">
        <v>522</v>
      </c>
      <c r="AE84" s="67"/>
      <c r="AF84" s="73" t="s">
        <v>523</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4"/>
  <sheetViews>
    <sheetView showGridLines="0" topLeftCell="A10" workbookViewId="0">
      <selection activeCell="G20" sqref="G20"/>
    </sheetView>
  </sheetViews>
  <sheetFormatPr defaultColWidth="9" defaultRowHeight="16.8"/>
  <cols>
    <col min="1" max="1" width="21" customWidth="1"/>
    <col min="2" max="2" width="12" customWidth="1"/>
    <col min="3" max="3" width="17" customWidth="1"/>
    <col min="4" max="4" width="12" customWidth="1"/>
    <col min="5" max="5" width="72" customWidth="1"/>
    <col min="6" max="8" width="15" customWidth="1"/>
    <col min="9" max="9" width="29" customWidth="1"/>
    <col min="10" max="10" width="17" customWidth="1"/>
    <col min="11" max="15" width="15" customWidth="1"/>
    <col min="16" max="16" width="23" customWidth="1"/>
    <col min="17" max="17" width="15" customWidth="1"/>
  </cols>
  <sheetData>
    <row r="1" ht="24" customHeight="1" spans="1:17">
      <c r="A1" s="35" t="s">
        <v>524</v>
      </c>
      <c r="B1" s="36"/>
      <c r="C1" s="36"/>
      <c r="D1" s="36"/>
      <c r="E1" s="36"/>
      <c r="F1" s="36"/>
      <c r="G1" s="36"/>
      <c r="H1" s="36"/>
      <c r="I1" s="36"/>
      <c r="J1" s="36"/>
      <c r="K1" s="36"/>
      <c r="L1" s="36"/>
      <c r="M1" s="36"/>
      <c r="N1" s="36"/>
      <c r="O1" s="36"/>
      <c r="P1" s="36"/>
      <c r="Q1" s="36"/>
    </row>
    <row r="2" ht="24" customHeight="1" spans="1:17">
      <c r="A2" s="36" t="s">
        <v>525</v>
      </c>
      <c r="B2" s="36"/>
      <c r="C2" s="36"/>
      <c r="D2" s="36"/>
      <c r="E2" s="36"/>
      <c r="F2" s="36"/>
      <c r="G2" s="36"/>
      <c r="H2" s="36"/>
      <c r="I2" s="36"/>
      <c r="J2" s="36"/>
      <c r="K2" s="36"/>
      <c r="L2" s="36"/>
      <c r="M2" s="36"/>
      <c r="N2" s="36"/>
      <c r="O2" s="36"/>
      <c r="P2" s="36"/>
      <c r="Q2" s="36"/>
    </row>
    <row r="3" ht="44" customHeight="1" spans="1:17">
      <c r="A3" s="20" t="s">
        <v>526</v>
      </c>
      <c r="B3" s="21" t="s">
        <v>527</v>
      </c>
      <c r="C3" s="21" t="s">
        <v>528</v>
      </c>
      <c r="D3" s="21" t="s">
        <v>529</v>
      </c>
      <c r="E3" s="21" t="s">
        <v>530</v>
      </c>
      <c r="F3" s="21" t="s">
        <v>531</v>
      </c>
      <c r="G3" s="21" t="s">
        <v>532</v>
      </c>
      <c r="H3" s="21"/>
      <c r="I3" s="21" t="s">
        <v>533</v>
      </c>
      <c r="J3" s="21" t="s">
        <v>534</v>
      </c>
      <c r="K3" s="21"/>
      <c r="L3" s="21"/>
      <c r="M3" s="21"/>
      <c r="N3" s="21"/>
      <c r="O3" s="21"/>
      <c r="P3" s="21" t="s">
        <v>535</v>
      </c>
      <c r="Q3" s="27" t="s">
        <v>536</v>
      </c>
    </row>
    <row r="4" ht="70" customHeight="1" spans="1:17">
      <c r="A4" s="39" t="s">
        <v>537</v>
      </c>
      <c r="B4" s="42">
        <v>0.15</v>
      </c>
      <c r="C4" s="50" t="s">
        <v>538</v>
      </c>
      <c r="D4" s="42">
        <v>0.4</v>
      </c>
      <c r="E4" s="39" t="s">
        <v>539</v>
      </c>
      <c r="F4" s="36" t="s">
        <v>540</v>
      </c>
      <c r="G4" s="38">
        <f t="shared" ref="G4:G11" si="0">B4*D4</f>
        <v>0.06</v>
      </c>
      <c r="H4" s="36"/>
      <c r="I4" s="36" t="s">
        <v>541</v>
      </c>
      <c r="J4" s="57">
        <v>1000</v>
      </c>
      <c r="K4" s="36"/>
      <c r="L4" s="36"/>
      <c r="M4" s="36"/>
      <c r="N4" s="36"/>
      <c r="O4" s="36"/>
      <c r="P4" s="36" t="s">
        <v>542</v>
      </c>
      <c r="Q4" s="36">
        <v>60</v>
      </c>
    </row>
    <row r="5" ht="70" customHeight="1" spans="1:17">
      <c r="A5" s="39" t="s">
        <v>537</v>
      </c>
      <c r="B5" s="42">
        <f>B4</f>
        <v>0.15</v>
      </c>
      <c r="C5" s="50" t="s">
        <v>543</v>
      </c>
      <c r="D5" s="42">
        <v>0.3</v>
      </c>
      <c r="E5" s="39" t="s">
        <v>544</v>
      </c>
      <c r="F5" s="36" t="s">
        <v>540</v>
      </c>
      <c r="G5" s="38">
        <f t="shared" si="0"/>
        <v>0.045</v>
      </c>
      <c r="H5" s="36"/>
      <c r="I5" s="36" t="s">
        <v>545</v>
      </c>
      <c r="J5" s="57">
        <v>13</v>
      </c>
      <c r="K5" s="36"/>
      <c r="L5" s="36"/>
      <c r="M5" s="36"/>
      <c r="N5" s="36"/>
      <c r="O5" s="36"/>
      <c r="P5" s="36" t="s">
        <v>546</v>
      </c>
      <c r="Q5" s="36">
        <v>70</v>
      </c>
    </row>
    <row r="6" ht="70" customHeight="1" spans="1:17">
      <c r="A6" s="39" t="s">
        <v>537</v>
      </c>
      <c r="B6" s="42">
        <f>B4</f>
        <v>0.15</v>
      </c>
      <c r="C6" s="50" t="s">
        <v>547</v>
      </c>
      <c r="D6" s="42">
        <v>0.3</v>
      </c>
      <c r="E6" s="39" t="s">
        <v>548</v>
      </c>
      <c r="F6" s="36" t="s">
        <v>549</v>
      </c>
      <c r="G6" s="38">
        <f t="shared" si="0"/>
        <v>0.045</v>
      </c>
      <c r="H6" s="36"/>
      <c r="I6" s="36" t="s">
        <v>550</v>
      </c>
      <c r="J6" s="57">
        <v>37</v>
      </c>
      <c r="K6" s="36"/>
      <c r="L6" s="36"/>
      <c r="M6" s="36"/>
      <c r="N6" s="36"/>
      <c r="O6" s="36"/>
      <c r="P6" s="36" t="s">
        <v>551</v>
      </c>
      <c r="Q6" s="36">
        <v>80</v>
      </c>
    </row>
    <row r="7" ht="70" customHeight="1" spans="1:17">
      <c r="A7" s="39" t="s">
        <v>552</v>
      </c>
      <c r="B7" s="42">
        <v>0.2</v>
      </c>
      <c r="C7" s="50" t="s">
        <v>553</v>
      </c>
      <c r="D7" s="42">
        <v>0.7</v>
      </c>
      <c r="E7" s="39" t="s">
        <v>554</v>
      </c>
      <c r="F7" s="36" t="s">
        <v>555</v>
      </c>
      <c r="G7" s="38">
        <f t="shared" si="0"/>
        <v>0.14</v>
      </c>
      <c r="H7" s="36"/>
      <c r="I7" s="36" t="s">
        <v>556</v>
      </c>
      <c r="J7" s="57">
        <f>J6-J5</f>
        <v>24</v>
      </c>
      <c r="K7" s="36"/>
      <c r="L7" s="36"/>
      <c r="M7" s="36"/>
      <c r="N7" s="36"/>
      <c r="O7" s="36"/>
      <c r="P7" s="36" t="s">
        <v>557</v>
      </c>
      <c r="Q7" s="36">
        <v>90</v>
      </c>
    </row>
    <row r="8" ht="70" customHeight="1" spans="1:17">
      <c r="A8" s="39" t="s">
        <v>552</v>
      </c>
      <c r="B8" s="42">
        <f>B7</f>
        <v>0.2</v>
      </c>
      <c r="C8" s="50" t="s">
        <v>558</v>
      </c>
      <c r="D8" s="42">
        <v>0.3</v>
      </c>
      <c r="E8" s="39" t="s">
        <v>559</v>
      </c>
      <c r="F8" s="36" t="s">
        <v>555</v>
      </c>
      <c r="G8" s="38">
        <f t="shared" si="0"/>
        <v>0.06</v>
      </c>
      <c r="H8" s="36"/>
      <c r="I8" s="36" t="s">
        <v>560</v>
      </c>
      <c r="J8" s="58">
        <v>0.6</v>
      </c>
      <c r="K8" s="36"/>
      <c r="L8" s="36"/>
      <c r="M8" s="36"/>
      <c r="N8" s="36"/>
      <c r="O8" s="36"/>
      <c r="P8" s="36" t="s">
        <v>561</v>
      </c>
      <c r="Q8" s="36">
        <v>90</v>
      </c>
    </row>
    <row r="9" ht="70" customHeight="1" spans="1:17">
      <c r="A9" s="39" t="s">
        <v>562</v>
      </c>
      <c r="B9" s="42">
        <v>0.25</v>
      </c>
      <c r="C9" s="50" t="s">
        <v>563</v>
      </c>
      <c r="D9" s="42">
        <v>1</v>
      </c>
      <c r="E9" s="39" t="s">
        <v>564</v>
      </c>
      <c r="F9" s="36" t="s">
        <v>565</v>
      </c>
      <c r="G9" s="38">
        <f t="shared" si="0"/>
        <v>0.25</v>
      </c>
      <c r="H9" s="36"/>
      <c r="I9" s="36" t="s">
        <v>566</v>
      </c>
      <c r="J9" s="58">
        <v>0.4</v>
      </c>
      <c r="K9" s="36"/>
      <c r="L9" s="36"/>
      <c r="M9" s="36"/>
      <c r="N9" s="36"/>
      <c r="O9" s="36"/>
      <c r="P9" s="36" t="s">
        <v>567</v>
      </c>
      <c r="Q9" s="36">
        <v>90</v>
      </c>
    </row>
    <row r="10" ht="70" customHeight="1" spans="1:17">
      <c r="A10" s="39" t="s">
        <v>568</v>
      </c>
      <c r="B10" s="42">
        <v>0.3</v>
      </c>
      <c r="C10" s="50" t="s">
        <v>569</v>
      </c>
      <c r="D10" s="42">
        <v>1</v>
      </c>
      <c r="E10" s="39" t="s">
        <v>570</v>
      </c>
      <c r="F10" s="36" t="s">
        <v>555</v>
      </c>
      <c r="G10" s="38">
        <f t="shared" si="0"/>
        <v>0.3</v>
      </c>
      <c r="H10" s="36"/>
      <c r="I10" s="36" t="s">
        <v>571</v>
      </c>
      <c r="J10" s="58">
        <v>0.2</v>
      </c>
      <c r="K10" s="36"/>
      <c r="L10" s="36"/>
      <c r="M10" s="36"/>
      <c r="N10" s="36"/>
      <c r="O10" s="36"/>
      <c r="P10" s="36" t="s">
        <v>572</v>
      </c>
      <c r="Q10" s="36">
        <v>100</v>
      </c>
    </row>
    <row r="11" ht="70" customHeight="1" spans="1:17">
      <c r="A11" s="39" t="s">
        <v>573</v>
      </c>
      <c r="B11" s="42">
        <v>0.1</v>
      </c>
      <c r="C11" s="50" t="s">
        <v>574</v>
      </c>
      <c r="D11" s="42">
        <v>1</v>
      </c>
      <c r="E11" s="39" t="s">
        <v>575</v>
      </c>
      <c r="F11" s="36" t="s">
        <v>576</v>
      </c>
      <c r="G11" s="38">
        <f t="shared" si="0"/>
        <v>0.1</v>
      </c>
      <c r="H11" s="36"/>
      <c r="I11" s="36" t="s">
        <v>577</v>
      </c>
      <c r="J11" s="59">
        <v>0.0001</v>
      </c>
      <c r="K11" s="36"/>
      <c r="L11" s="36"/>
      <c r="M11" s="36"/>
      <c r="N11" s="36"/>
      <c r="O11" s="36"/>
      <c r="P11" s="36"/>
      <c r="Q11" s="36"/>
    </row>
    <row r="12" ht="24" customHeight="1" spans="1:17">
      <c r="A12" s="39"/>
      <c r="B12" s="36"/>
      <c r="C12" s="36"/>
      <c r="D12" s="36"/>
      <c r="E12" s="39"/>
      <c r="F12" s="36"/>
      <c r="G12" s="36"/>
      <c r="H12" s="36"/>
      <c r="I12" s="36" t="s">
        <v>578</v>
      </c>
      <c r="J12" s="60">
        <v>46275</v>
      </c>
      <c r="K12" s="36"/>
      <c r="L12" s="36"/>
      <c r="M12" s="36"/>
      <c r="N12" s="36"/>
      <c r="O12" s="36"/>
      <c r="P12" s="36"/>
      <c r="Q12" s="36"/>
    </row>
    <row r="13" ht="24" customHeight="1" spans="1:17">
      <c r="A13" s="39"/>
      <c r="B13" s="36"/>
      <c r="C13" s="36"/>
      <c r="D13" s="36"/>
      <c r="E13" s="39"/>
      <c r="F13" s="36"/>
      <c r="G13" s="36"/>
      <c r="H13" s="36"/>
      <c r="I13" s="36" t="s">
        <v>579</v>
      </c>
      <c r="J13" s="60">
        <v>46269</v>
      </c>
      <c r="K13" s="36"/>
      <c r="L13" s="36"/>
      <c r="M13" s="36"/>
      <c r="N13" s="36"/>
      <c r="O13" s="36"/>
      <c r="P13" s="36"/>
      <c r="Q13" s="36"/>
    </row>
    <row r="14" ht="24" customHeight="1" spans="1:17">
      <c r="A14" s="51" t="s">
        <v>580</v>
      </c>
      <c r="B14" s="52"/>
      <c r="C14" s="52"/>
      <c r="D14" s="52"/>
      <c r="E14" s="56"/>
      <c r="F14" s="52"/>
      <c r="G14" s="52"/>
      <c r="H14" s="36"/>
      <c r="I14" s="36" t="s">
        <v>581</v>
      </c>
      <c r="J14" s="57">
        <v>365.25</v>
      </c>
      <c r="K14" s="36"/>
      <c r="L14" s="36"/>
      <c r="M14" s="36"/>
      <c r="N14" s="36"/>
      <c r="O14" s="36"/>
      <c r="P14" s="36"/>
      <c r="Q14" s="36"/>
    </row>
    <row r="15" ht="68" customHeight="1" spans="1:17">
      <c r="A15" s="39" t="s">
        <v>582</v>
      </c>
      <c r="B15" s="36"/>
      <c r="C15" s="36"/>
      <c r="D15" s="36"/>
      <c r="E15" s="39" t="s">
        <v>583</v>
      </c>
      <c r="F15" s="36"/>
      <c r="G15" s="36"/>
      <c r="H15" s="36"/>
      <c r="I15" s="36" t="s">
        <v>584</v>
      </c>
      <c r="J15" s="57">
        <v>1</v>
      </c>
      <c r="K15" s="36"/>
      <c r="L15" s="36"/>
      <c r="M15" s="36"/>
      <c r="N15" s="36"/>
      <c r="O15" s="36"/>
      <c r="P15" s="36"/>
      <c r="Q15" s="36"/>
    </row>
    <row r="16" ht="68" customHeight="1" spans="1:17">
      <c r="A16" s="39" t="s">
        <v>585</v>
      </c>
      <c r="B16" s="36"/>
      <c r="C16" s="36"/>
      <c r="D16" s="36"/>
      <c r="E16" s="39" t="s">
        <v>586</v>
      </c>
      <c r="F16" s="36"/>
      <c r="G16" s="36"/>
      <c r="H16" s="36"/>
      <c r="I16" s="36" t="s">
        <v>587</v>
      </c>
      <c r="J16" s="57">
        <v>3</v>
      </c>
      <c r="K16" s="36"/>
      <c r="L16" s="36"/>
      <c r="M16" s="36"/>
      <c r="N16" s="36"/>
      <c r="O16" s="36"/>
      <c r="P16" s="36"/>
      <c r="Q16" s="36"/>
    </row>
    <row r="17" ht="68" customHeight="1" spans="1:17">
      <c r="A17" s="39" t="s">
        <v>588</v>
      </c>
      <c r="B17" s="36"/>
      <c r="C17" s="36"/>
      <c r="D17" s="36"/>
      <c r="E17" s="39" t="s">
        <v>589</v>
      </c>
      <c r="F17" s="36"/>
      <c r="G17" s="36"/>
      <c r="H17" s="36"/>
      <c r="I17" s="36" t="s">
        <v>590</v>
      </c>
      <c r="J17" s="57">
        <v>70</v>
      </c>
      <c r="K17" s="36"/>
      <c r="L17" s="36"/>
      <c r="M17" s="36"/>
      <c r="N17" s="36"/>
      <c r="O17" s="36"/>
      <c r="P17" s="36"/>
      <c r="Q17" s="36"/>
    </row>
    <row r="18" ht="68" customHeight="1" spans="1:17">
      <c r="A18" s="39" t="s">
        <v>591</v>
      </c>
      <c r="B18" s="36"/>
      <c r="C18" s="36"/>
      <c r="D18" s="36"/>
      <c r="E18" s="39" t="s">
        <v>592</v>
      </c>
      <c r="F18" s="36"/>
      <c r="G18" s="36"/>
      <c r="H18" s="36"/>
      <c r="I18" s="36" t="s">
        <v>593</v>
      </c>
      <c r="J18" s="57">
        <v>100</v>
      </c>
      <c r="K18" s="36"/>
      <c r="L18" s="36"/>
      <c r="M18" s="36"/>
      <c r="N18" s="36"/>
      <c r="O18" s="36"/>
      <c r="P18" s="36"/>
      <c r="Q18" s="36"/>
    </row>
    <row r="19" ht="68" customHeight="1" spans="1:17">
      <c r="A19" s="39" t="s">
        <v>594</v>
      </c>
      <c r="B19" s="36"/>
      <c r="C19" s="36"/>
      <c r="D19" s="36"/>
      <c r="E19" s="39" t="s">
        <v>595</v>
      </c>
      <c r="F19" s="36"/>
      <c r="G19" s="36"/>
      <c r="H19" s="36"/>
      <c r="I19" s="36" t="s">
        <v>596</v>
      </c>
      <c r="J19" s="57">
        <v>6</v>
      </c>
      <c r="K19" s="36"/>
      <c r="L19" s="36"/>
      <c r="M19" s="36"/>
      <c r="N19" s="36"/>
      <c r="O19" s="36"/>
      <c r="P19" s="36"/>
      <c r="Q19" s="36"/>
    </row>
    <row r="20" ht="68" customHeight="1" spans="1:17">
      <c r="A20" s="39" t="s">
        <v>597</v>
      </c>
      <c r="B20" s="36"/>
      <c r="C20" s="36"/>
      <c r="D20" s="36"/>
      <c r="E20" s="39" t="s">
        <v>598</v>
      </c>
      <c r="F20" s="36"/>
      <c r="G20" s="36"/>
      <c r="H20" s="36"/>
      <c r="I20" s="36" t="s">
        <v>599</v>
      </c>
      <c r="J20" s="57">
        <v>12</v>
      </c>
      <c r="K20" s="36"/>
      <c r="L20" s="36"/>
      <c r="M20" s="36"/>
      <c r="N20" s="36"/>
      <c r="O20" s="36"/>
      <c r="P20" s="36"/>
      <c r="Q20" s="36"/>
    </row>
    <row r="21" ht="68" customHeight="1" spans="1:17">
      <c r="A21" s="39" t="s">
        <v>600</v>
      </c>
      <c r="B21" s="36"/>
      <c r="C21" s="36"/>
      <c r="D21" s="36"/>
      <c r="E21" s="39" t="s">
        <v>601</v>
      </c>
      <c r="F21" s="36"/>
      <c r="G21" s="36"/>
      <c r="H21" s="36"/>
      <c r="I21" s="36" t="s">
        <v>602</v>
      </c>
      <c r="J21" s="57">
        <v>0</v>
      </c>
      <c r="K21" s="36"/>
      <c r="L21" s="36"/>
      <c r="M21" s="36"/>
      <c r="N21" s="36"/>
      <c r="O21" s="36"/>
      <c r="P21" s="36"/>
      <c r="Q21" s="36"/>
    </row>
    <row r="22" ht="68" customHeight="1" spans="1:17">
      <c r="A22" s="39" t="s">
        <v>603</v>
      </c>
      <c r="B22" s="36"/>
      <c r="C22" s="36"/>
      <c r="D22" s="36"/>
      <c r="E22" s="39" t="s">
        <v>604</v>
      </c>
      <c r="F22" s="36"/>
      <c r="G22" s="36"/>
      <c r="H22" s="36"/>
      <c r="I22" s="36" t="s">
        <v>605</v>
      </c>
      <c r="J22" s="57">
        <v>80</v>
      </c>
      <c r="K22" s="36"/>
      <c r="L22" s="36"/>
      <c r="M22" s="36"/>
      <c r="N22" s="36"/>
      <c r="O22" s="36"/>
      <c r="P22" s="36"/>
      <c r="Q22" s="36"/>
    </row>
    <row r="23" ht="68" customHeight="1" spans="1:17">
      <c r="A23" s="39" t="s">
        <v>606</v>
      </c>
      <c r="B23" s="36"/>
      <c r="C23" s="36"/>
      <c r="D23" s="36"/>
      <c r="E23" s="39" t="s">
        <v>607</v>
      </c>
      <c r="F23" s="36"/>
      <c r="G23" s="36"/>
      <c r="H23" s="36"/>
      <c r="I23" s="36" t="s">
        <v>608</v>
      </c>
      <c r="J23" s="57">
        <v>60</v>
      </c>
      <c r="K23" s="36"/>
      <c r="L23" s="36"/>
      <c r="M23" s="36"/>
      <c r="N23" s="36"/>
      <c r="O23" s="36"/>
      <c r="P23" s="36"/>
      <c r="Q23" s="36"/>
    </row>
    <row r="24" ht="68" customHeight="1" spans="1:17">
      <c r="A24" s="39" t="s">
        <v>609</v>
      </c>
      <c r="B24" s="36"/>
      <c r="C24" s="36"/>
      <c r="D24" s="36"/>
      <c r="E24" s="39" t="s">
        <v>610</v>
      </c>
      <c r="F24" s="36"/>
      <c r="G24" s="36"/>
      <c r="H24" s="36"/>
      <c r="I24" s="36"/>
      <c r="J24" s="36"/>
      <c r="K24" s="36"/>
      <c r="L24" s="36"/>
      <c r="M24" s="36"/>
      <c r="N24" s="36"/>
      <c r="O24" s="36"/>
      <c r="P24" s="36"/>
      <c r="Q24" s="36"/>
    </row>
    <row r="25" ht="68" customHeight="1" spans="1:17">
      <c r="A25" s="39" t="s">
        <v>611</v>
      </c>
      <c r="B25" s="36"/>
      <c r="C25" s="36"/>
      <c r="D25" s="36"/>
      <c r="E25" s="39" t="s">
        <v>612</v>
      </c>
      <c r="F25" s="36"/>
      <c r="G25" s="36"/>
      <c r="H25" s="36"/>
      <c r="I25" s="36" t="s">
        <v>613</v>
      </c>
      <c r="J25" s="38">
        <f>SUM(G4:G11)</f>
        <v>1</v>
      </c>
      <c r="K25" s="36"/>
      <c r="L25" s="36"/>
      <c r="M25" s="36"/>
      <c r="N25" s="36"/>
      <c r="O25" s="36"/>
      <c r="P25" s="36"/>
      <c r="Q25" s="36"/>
    </row>
    <row r="26" ht="68" customHeight="1" spans="1:17">
      <c r="A26" s="39" t="s">
        <v>614</v>
      </c>
      <c r="B26" s="36"/>
      <c r="C26" s="36"/>
      <c r="D26" s="36"/>
      <c r="E26" s="39" t="s">
        <v>615</v>
      </c>
      <c r="F26" s="36"/>
      <c r="G26" s="36"/>
      <c r="H26" s="36"/>
      <c r="I26" s="36" t="s">
        <v>616</v>
      </c>
      <c r="J26" s="38">
        <f>SUM(J8:J9)</f>
        <v>1</v>
      </c>
      <c r="K26" s="36"/>
      <c r="L26" s="36"/>
      <c r="M26" s="36"/>
      <c r="N26" s="36"/>
      <c r="O26" s="36"/>
      <c r="P26" s="36"/>
      <c r="Q26" s="36"/>
    </row>
    <row r="27" ht="68" customHeight="1" spans="1:17">
      <c r="A27" s="39" t="s">
        <v>617</v>
      </c>
      <c r="B27" s="36"/>
      <c r="C27" s="36"/>
      <c r="D27" s="36"/>
      <c r="E27" s="39" t="s">
        <v>618</v>
      </c>
      <c r="F27" s="36"/>
      <c r="G27" s="36"/>
      <c r="H27" s="36"/>
      <c r="I27" s="36"/>
      <c r="J27" s="36"/>
      <c r="K27" s="36"/>
      <c r="L27" s="36"/>
      <c r="M27" s="36"/>
      <c r="N27" s="36"/>
      <c r="O27" s="36"/>
      <c r="P27" s="36"/>
      <c r="Q27" s="36"/>
    </row>
    <row r="28" ht="68" customHeight="1" spans="1:17">
      <c r="A28" s="39" t="s">
        <v>619</v>
      </c>
      <c r="B28" s="36"/>
      <c r="C28" s="36"/>
      <c r="D28" s="36"/>
      <c r="E28" s="39" t="s">
        <v>620</v>
      </c>
      <c r="F28" s="36"/>
      <c r="G28" s="36"/>
      <c r="H28" s="36"/>
      <c r="I28" s="36"/>
      <c r="J28" s="36"/>
      <c r="K28" s="36"/>
      <c r="L28" s="36"/>
      <c r="M28" s="36"/>
      <c r="N28" s="36"/>
      <c r="O28" s="36"/>
      <c r="P28" s="36"/>
      <c r="Q28" s="36"/>
    </row>
    <row r="29" ht="68" customHeight="1" spans="1:17">
      <c r="A29" s="39" t="s">
        <v>621</v>
      </c>
      <c r="B29" s="36"/>
      <c r="C29" s="36"/>
      <c r="D29" s="36"/>
      <c r="E29" s="39" t="s">
        <v>622</v>
      </c>
      <c r="F29" s="36"/>
      <c r="G29" s="36"/>
      <c r="H29" s="36"/>
      <c r="I29" s="36"/>
      <c r="J29" s="36"/>
      <c r="K29" s="36"/>
      <c r="L29" s="36"/>
      <c r="M29" s="36"/>
      <c r="N29" s="36"/>
      <c r="O29" s="36"/>
      <c r="P29" s="36"/>
      <c r="Q29" s="36"/>
    </row>
    <row r="30" ht="68" customHeight="1" spans="1:17">
      <c r="A30" s="39" t="s">
        <v>623</v>
      </c>
      <c r="B30" s="36"/>
      <c r="C30" s="36"/>
      <c r="D30" s="36"/>
      <c r="E30" s="39" t="s">
        <v>624</v>
      </c>
      <c r="F30" s="36"/>
      <c r="G30" s="36"/>
      <c r="H30" s="36"/>
      <c r="I30" s="36" t="s">
        <v>625</v>
      </c>
      <c r="J30" s="61">
        <v>365</v>
      </c>
      <c r="K30" s="36"/>
      <c r="L30" s="36"/>
      <c r="M30" s="36"/>
      <c r="N30" s="36"/>
      <c r="O30" s="36"/>
      <c r="P30" s="36"/>
      <c r="Q30" s="36"/>
    </row>
    <row r="31" ht="24" customHeight="1" spans="1:17">
      <c r="A31" s="36"/>
      <c r="B31" s="36"/>
      <c r="C31" s="36"/>
      <c r="D31" s="36"/>
      <c r="E31" s="36"/>
      <c r="F31" s="36"/>
      <c r="G31" s="36"/>
      <c r="H31" s="36"/>
      <c r="I31" s="36" t="s">
        <v>626</v>
      </c>
      <c r="J31" s="61">
        <v>14</v>
      </c>
      <c r="K31" s="36"/>
      <c r="L31" s="36"/>
      <c r="M31" s="36"/>
      <c r="N31" s="36"/>
      <c r="O31" s="36"/>
      <c r="P31" s="36"/>
      <c r="Q31" s="36"/>
    </row>
    <row r="32" ht="24" customHeight="1" spans="1:17">
      <c r="A32" s="36"/>
      <c r="B32" s="36"/>
      <c r="C32" s="36"/>
      <c r="D32" s="36"/>
      <c r="E32" s="36"/>
      <c r="F32" s="36"/>
      <c r="G32" s="36"/>
      <c r="H32" s="36"/>
      <c r="I32" s="36" t="s">
        <v>627</v>
      </c>
      <c r="J32" s="61">
        <v>5</v>
      </c>
      <c r="K32" s="36"/>
      <c r="L32" s="36"/>
      <c r="M32" s="36"/>
      <c r="N32" s="36"/>
      <c r="O32" s="36"/>
      <c r="P32" s="36"/>
      <c r="Q32" s="36"/>
    </row>
    <row r="33" ht="24" customHeight="1" spans="1:17">
      <c r="A33" s="36"/>
      <c r="B33" s="36"/>
      <c r="C33" s="36"/>
      <c r="D33" s="36"/>
      <c r="E33" s="36"/>
      <c r="F33" s="36"/>
      <c r="G33" s="36"/>
      <c r="H33" s="36"/>
      <c r="I33" s="36" t="s">
        <v>628</v>
      </c>
      <c r="J33" s="62">
        <v>46276</v>
      </c>
      <c r="K33" s="36"/>
      <c r="L33" s="36"/>
      <c r="M33" s="36"/>
      <c r="N33" s="36"/>
      <c r="O33" s="36"/>
      <c r="P33" s="36"/>
      <c r="Q33" s="36"/>
    </row>
    <row r="34" ht="24" customHeight="1" spans="1:17">
      <c r="A34" s="36"/>
      <c r="B34" s="36"/>
      <c r="C34" s="36"/>
      <c r="D34" s="36"/>
      <c r="E34" s="36"/>
      <c r="F34" s="36"/>
      <c r="G34" s="36"/>
      <c r="H34" s="36"/>
      <c r="I34" s="36" t="s">
        <v>629</v>
      </c>
      <c r="J34" s="63">
        <v>5</v>
      </c>
      <c r="K34" s="36"/>
      <c r="L34" s="36"/>
      <c r="M34" s="36"/>
      <c r="N34" s="36"/>
      <c r="O34" s="36"/>
      <c r="P34" s="36"/>
      <c r="Q34" s="36"/>
    </row>
    <row r="35" ht="24" customHeight="1" spans="1:17">
      <c r="A35" s="36"/>
      <c r="B35" s="36"/>
      <c r="C35" s="36"/>
      <c r="D35" s="36"/>
      <c r="E35" s="36"/>
      <c r="F35" s="36"/>
      <c r="G35" s="36"/>
      <c r="H35" s="36"/>
      <c r="I35" s="36"/>
      <c r="J35" s="36"/>
      <c r="K35" s="36"/>
      <c r="L35" s="36"/>
      <c r="M35" s="36"/>
      <c r="N35" s="36"/>
      <c r="O35" s="36"/>
      <c r="P35" s="36"/>
      <c r="Q35" s="36"/>
    </row>
    <row r="36" ht="24" customHeight="1" spans="1:17">
      <c r="A36" s="36"/>
      <c r="B36" s="36"/>
      <c r="C36" s="36"/>
      <c r="D36" s="36"/>
      <c r="E36" s="36"/>
      <c r="F36" s="36"/>
      <c r="G36" s="36"/>
      <c r="H36" s="36"/>
      <c r="I36" s="36"/>
      <c r="J36" s="36"/>
      <c r="K36" s="36"/>
      <c r="L36" s="36"/>
      <c r="M36" s="36"/>
      <c r="N36" s="36"/>
      <c r="O36" s="36"/>
      <c r="P36" s="36"/>
      <c r="Q36" s="36"/>
    </row>
    <row r="37" ht="24" customHeight="1" spans="1:17">
      <c r="A37" s="36"/>
      <c r="B37" s="36"/>
      <c r="C37" s="36"/>
      <c r="D37" s="36"/>
      <c r="E37" s="36"/>
      <c r="F37" s="36"/>
      <c r="G37" s="36"/>
      <c r="H37" s="36"/>
      <c r="I37" s="36"/>
      <c r="J37" s="36"/>
      <c r="K37" s="36"/>
      <c r="L37" s="36"/>
      <c r="M37" s="36"/>
      <c r="N37" s="36"/>
      <c r="O37" s="36"/>
      <c r="P37" s="36"/>
      <c r="Q37" s="36"/>
    </row>
    <row r="38" ht="24" customHeight="1" spans="1:17">
      <c r="A38" s="36"/>
      <c r="B38" s="36"/>
      <c r="C38" s="36"/>
      <c r="D38" s="36"/>
      <c r="E38" s="36"/>
      <c r="F38" s="36"/>
      <c r="G38" s="36"/>
      <c r="H38" s="36"/>
      <c r="I38" s="36"/>
      <c r="J38" s="36"/>
      <c r="K38" s="36"/>
      <c r="L38" s="36"/>
      <c r="M38" s="36"/>
      <c r="N38" s="36"/>
      <c r="O38" s="36"/>
      <c r="P38" s="36"/>
      <c r="Q38" s="36"/>
    </row>
    <row r="39" ht="24" customHeight="1" spans="1:17">
      <c r="A39" s="36"/>
      <c r="B39" s="36"/>
      <c r="C39" s="36"/>
      <c r="D39" s="36"/>
      <c r="E39" s="36"/>
      <c r="F39" s="36"/>
      <c r="G39" s="36"/>
      <c r="H39" s="36"/>
      <c r="I39" s="36"/>
      <c r="J39" s="36"/>
      <c r="K39" s="36"/>
      <c r="L39" s="36"/>
      <c r="M39" s="36"/>
      <c r="N39" s="36"/>
      <c r="O39" s="36"/>
      <c r="P39" s="36"/>
      <c r="Q39" s="36"/>
    </row>
    <row r="40" ht="24" customHeight="1" spans="1:17">
      <c r="A40" s="36"/>
      <c r="B40" s="36"/>
      <c r="C40" s="36"/>
      <c r="D40" s="36"/>
      <c r="E40" s="36"/>
      <c r="F40" s="36"/>
      <c r="G40" s="36"/>
      <c r="H40" s="36"/>
      <c r="I40" s="36"/>
      <c r="J40" s="36"/>
      <c r="K40" s="36"/>
      <c r="L40" s="36"/>
      <c r="M40" s="36"/>
      <c r="N40" s="36"/>
      <c r="O40" s="36"/>
      <c r="P40" s="36"/>
      <c r="Q40" s="36"/>
    </row>
    <row r="41" ht="24" customHeight="1" spans="1:17">
      <c r="A41" s="36"/>
      <c r="B41" s="36"/>
      <c r="C41" s="36"/>
      <c r="D41" s="36"/>
      <c r="E41" s="36"/>
      <c r="F41" s="36"/>
      <c r="G41" s="36"/>
      <c r="H41" s="36"/>
      <c r="I41" s="36"/>
      <c r="J41" s="36"/>
      <c r="K41" s="36"/>
      <c r="L41" s="36"/>
      <c r="M41" s="36"/>
      <c r="N41" s="36"/>
      <c r="O41" s="36"/>
      <c r="P41" s="36"/>
      <c r="Q41" s="36"/>
    </row>
    <row r="42" ht="24" customHeight="1" spans="1:17">
      <c r="A42" s="36"/>
      <c r="B42" s="36"/>
      <c r="C42" s="36"/>
      <c r="D42" s="36"/>
      <c r="E42" s="36"/>
      <c r="F42" s="36"/>
      <c r="G42" s="36"/>
      <c r="H42" s="36"/>
      <c r="I42" s="36"/>
      <c r="J42" s="36"/>
      <c r="K42" s="36"/>
      <c r="L42" s="36"/>
      <c r="M42" s="36"/>
      <c r="N42" s="36"/>
      <c r="O42" s="36"/>
      <c r="P42" s="36"/>
      <c r="Q42" s="36"/>
    </row>
    <row r="43" ht="24" customHeight="1" spans="1:17">
      <c r="A43" s="36"/>
      <c r="B43" s="36"/>
      <c r="C43" s="36"/>
      <c r="D43" s="36"/>
      <c r="E43" s="36"/>
      <c r="F43" s="36"/>
      <c r="G43" s="36"/>
      <c r="H43" s="36"/>
      <c r="I43" s="36"/>
      <c r="J43" s="36"/>
      <c r="K43" s="36"/>
      <c r="L43" s="36"/>
      <c r="M43" s="36"/>
      <c r="N43" s="36"/>
      <c r="O43" s="36"/>
      <c r="P43" s="36"/>
      <c r="Q43" s="36"/>
    </row>
    <row r="44" ht="24" customHeight="1" spans="1:17">
      <c r="A44" s="36"/>
      <c r="B44" s="36"/>
      <c r="C44" s="36"/>
      <c r="D44" s="36"/>
      <c r="E44" s="36"/>
      <c r="F44" s="36"/>
      <c r="G44" s="36"/>
      <c r="H44" s="36"/>
      <c r="I44" s="36"/>
      <c r="J44" s="36"/>
      <c r="K44" s="36"/>
      <c r="L44" s="36"/>
      <c r="M44" s="36"/>
      <c r="N44" s="36"/>
      <c r="O44" s="36"/>
      <c r="P44" s="36"/>
      <c r="Q44" s="36"/>
    </row>
    <row r="46" spans="1:7">
      <c r="A46" s="53" t="s">
        <v>630</v>
      </c>
      <c r="B46" s="54"/>
      <c r="C46" s="54"/>
      <c r="D46" s="54"/>
      <c r="E46" s="54"/>
      <c r="F46" s="54"/>
      <c r="G46" s="54"/>
    </row>
    <row r="47" ht="42" customHeight="1" spans="1:17">
      <c r="A47" s="55" t="s">
        <v>631</v>
      </c>
      <c r="B47" s="55"/>
      <c r="C47" s="55"/>
      <c r="D47" s="55"/>
      <c r="E47" s="55" t="s">
        <v>632</v>
      </c>
      <c r="F47" s="55"/>
      <c r="G47" s="55"/>
      <c r="H47" s="55"/>
      <c r="I47" s="55"/>
      <c r="J47" s="55"/>
      <c r="K47" s="55"/>
      <c r="L47" s="55"/>
      <c r="M47" s="55"/>
      <c r="N47" s="55"/>
      <c r="O47" s="55"/>
      <c r="P47" s="55"/>
      <c r="Q47" s="55"/>
    </row>
    <row r="48" ht="42" customHeight="1" spans="1:17">
      <c r="A48" s="55" t="s">
        <v>633</v>
      </c>
      <c r="B48" s="55"/>
      <c r="C48" s="55"/>
      <c r="D48" s="55"/>
      <c r="E48" s="55" t="s">
        <v>634</v>
      </c>
      <c r="F48" s="55"/>
      <c r="G48" s="55"/>
      <c r="H48" s="55"/>
      <c r="I48" s="55"/>
      <c r="J48" s="55"/>
      <c r="K48" s="55"/>
      <c r="L48" s="55"/>
      <c r="M48" s="55"/>
      <c r="N48" s="55"/>
      <c r="O48" s="55"/>
      <c r="P48" s="55"/>
      <c r="Q48" s="55"/>
    </row>
    <row r="49" ht="42" customHeight="1" spans="1:17">
      <c r="A49" s="55" t="s">
        <v>635</v>
      </c>
      <c r="B49" s="55"/>
      <c r="C49" s="55"/>
      <c r="D49" s="55"/>
      <c r="E49" s="55" t="s">
        <v>636</v>
      </c>
      <c r="F49" s="55"/>
      <c r="G49" s="55"/>
      <c r="H49" s="55"/>
      <c r="I49" s="55"/>
      <c r="J49" s="55"/>
      <c r="K49" s="55"/>
      <c r="L49" s="55"/>
      <c r="M49" s="55"/>
      <c r="N49" s="55"/>
      <c r="O49" s="55"/>
      <c r="P49" s="55"/>
      <c r="Q49" s="55"/>
    </row>
    <row r="50" ht="42" customHeight="1" spans="1:17">
      <c r="A50" s="55" t="s">
        <v>637</v>
      </c>
      <c r="B50" s="55"/>
      <c r="C50" s="55"/>
      <c r="D50" s="55"/>
      <c r="E50" s="55" t="s">
        <v>638</v>
      </c>
      <c r="F50" s="55"/>
      <c r="G50" s="55"/>
      <c r="H50" s="55"/>
      <c r="I50" s="55"/>
      <c r="J50" s="55"/>
      <c r="K50" s="55"/>
      <c r="L50" s="55"/>
      <c r="M50" s="55"/>
      <c r="N50" s="55"/>
      <c r="O50" s="55"/>
      <c r="P50" s="55"/>
      <c r="Q50" s="55"/>
    </row>
    <row r="51" ht="42" customHeight="1" spans="1:17">
      <c r="A51" s="55" t="s">
        <v>639</v>
      </c>
      <c r="B51" s="55"/>
      <c r="C51" s="55"/>
      <c r="D51" s="55"/>
      <c r="E51" s="55" t="s">
        <v>640</v>
      </c>
      <c r="F51" s="55"/>
      <c r="G51" s="55"/>
      <c r="H51" s="55"/>
      <c r="I51" s="55"/>
      <c r="J51" s="55"/>
      <c r="K51" s="55"/>
      <c r="L51" s="55"/>
      <c r="M51" s="55"/>
      <c r="N51" s="55"/>
      <c r="O51" s="55"/>
      <c r="P51" s="55"/>
      <c r="Q51" s="55"/>
    </row>
    <row r="52" ht="42" customHeight="1" spans="1:17">
      <c r="A52" s="55" t="s">
        <v>558</v>
      </c>
      <c r="B52" s="55"/>
      <c r="C52" s="55"/>
      <c r="D52" s="55"/>
      <c r="E52" s="55" t="s">
        <v>641</v>
      </c>
      <c r="F52" s="55"/>
      <c r="G52" s="55"/>
      <c r="H52" s="55"/>
      <c r="I52" s="55"/>
      <c r="J52" s="55"/>
      <c r="K52" s="55"/>
      <c r="L52" s="55"/>
      <c r="M52" s="55"/>
      <c r="N52" s="55"/>
      <c r="O52" s="55"/>
      <c r="P52" s="55"/>
      <c r="Q52" s="55"/>
    </row>
    <row r="53" ht="42" customHeight="1" spans="1:17">
      <c r="A53" s="55" t="s">
        <v>14</v>
      </c>
      <c r="B53" s="55"/>
      <c r="C53" s="55"/>
      <c r="D53" s="55"/>
      <c r="E53" s="55" t="s">
        <v>642</v>
      </c>
      <c r="F53" s="55"/>
      <c r="G53" s="55"/>
      <c r="H53" s="55"/>
      <c r="I53" s="55"/>
      <c r="J53" s="55"/>
      <c r="K53" s="55"/>
      <c r="L53" s="55"/>
      <c r="M53" s="55"/>
      <c r="N53" s="55"/>
      <c r="O53" s="55"/>
      <c r="P53" s="55"/>
      <c r="Q53" s="55"/>
    </row>
    <row r="54" ht="42" customHeight="1" spans="1:17">
      <c r="A54" s="55" t="s">
        <v>643</v>
      </c>
      <c r="B54" s="55"/>
      <c r="C54" s="55"/>
      <c r="D54" s="55"/>
      <c r="E54" s="55" t="s">
        <v>644</v>
      </c>
      <c r="F54" s="55"/>
      <c r="G54" s="55"/>
      <c r="H54" s="55"/>
      <c r="I54" s="55"/>
      <c r="J54" s="55"/>
      <c r="K54" s="55"/>
      <c r="L54" s="55"/>
      <c r="M54" s="55"/>
      <c r="N54" s="55"/>
      <c r="O54" s="55"/>
      <c r="P54" s="55"/>
      <c r="Q54" s="55"/>
    </row>
    <row r="55" ht="42" customHeight="1" spans="1:17">
      <c r="A55" s="55" t="s">
        <v>645</v>
      </c>
      <c r="B55" s="55"/>
      <c r="C55" s="55"/>
      <c r="D55" s="55"/>
      <c r="E55" s="55" t="s">
        <v>646</v>
      </c>
      <c r="F55" s="55"/>
      <c r="G55" s="55"/>
      <c r="H55" s="55"/>
      <c r="I55" s="55"/>
      <c r="J55" s="55"/>
      <c r="K55" s="55"/>
      <c r="L55" s="55"/>
      <c r="M55" s="55"/>
      <c r="N55" s="55"/>
      <c r="O55" s="55"/>
      <c r="P55" s="55"/>
      <c r="Q55" s="55"/>
    </row>
    <row r="56" ht="42" customHeight="1" spans="1:17">
      <c r="A56" s="55" t="s">
        <v>647</v>
      </c>
      <c r="B56" s="55"/>
      <c r="C56" s="55"/>
      <c r="D56" s="55"/>
      <c r="E56" s="55" t="s">
        <v>648</v>
      </c>
      <c r="F56" s="55"/>
      <c r="G56" s="55"/>
      <c r="H56" s="55"/>
      <c r="I56" s="55"/>
      <c r="J56" s="55"/>
      <c r="K56" s="55"/>
      <c r="L56" s="55"/>
      <c r="M56" s="55"/>
      <c r="N56" s="55"/>
      <c r="O56" s="55"/>
      <c r="P56" s="55"/>
      <c r="Q56" s="55"/>
    </row>
    <row r="57" ht="42" customHeight="1" spans="1:17">
      <c r="A57" s="55" t="s">
        <v>649</v>
      </c>
      <c r="B57" s="55"/>
      <c r="C57" s="55"/>
      <c r="D57" s="55"/>
      <c r="E57" s="55" t="s">
        <v>650</v>
      </c>
      <c r="F57" s="55"/>
      <c r="G57" s="55"/>
      <c r="H57" s="55"/>
      <c r="I57" s="55"/>
      <c r="J57" s="55"/>
      <c r="K57" s="55"/>
      <c r="L57" s="55"/>
      <c r="M57" s="55"/>
      <c r="N57" s="55"/>
      <c r="O57" s="55"/>
      <c r="P57" s="55"/>
      <c r="Q57" s="55"/>
    </row>
    <row r="58" ht="42" customHeight="1" spans="1:17">
      <c r="A58" s="55" t="s">
        <v>651</v>
      </c>
      <c r="B58" s="55"/>
      <c r="C58" s="55"/>
      <c r="D58" s="55"/>
      <c r="E58" s="55" t="s">
        <v>652</v>
      </c>
      <c r="F58" s="55"/>
      <c r="G58" s="55"/>
      <c r="H58" s="55"/>
      <c r="I58" s="55"/>
      <c r="J58" s="55"/>
      <c r="K58" s="55"/>
      <c r="L58" s="55"/>
      <c r="M58" s="55"/>
      <c r="N58" s="55"/>
      <c r="O58" s="55"/>
      <c r="P58" s="55"/>
      <c r="Q58" s="55"/>
    </row>
    <row r="59" ht="42" customHeight="1" spans="1:17">
      <c r="A59" s="55" t="s">
        <v>653</v>
      </c>
      <c r="B59" s="55"/>
      <c r="C59" s="55"/>
      <c r="D59" s="55"/>
      <c r="E59" s="55" t="s">
        <v>654</v>
      </c>
      <c r="F59" s="55"/>
      <c r="G59" s="55"/>
      <c r="H59" s="55"/>
      <c r="I59" s="55"/>
      <c r="J59" s="55"/>
      <c r="K59" s="55"/>
      <c r="L59" s="55"/>
      <c r="M59" s="55"/>
      <c r="N59" s="55"/>
      <c r="O59" s="55"/>
      <c r="P59" s="55"/>
      <c r="Q59" s="55"/>
    </row>
    <row r="60" ht="42" customHeight="1" spans="1:17">
      <c r="A60" s="55" t="s">
        <v>655</v>
      </c>
      <c r="B60" s="55"/>
      <c r="C60" s="55"/>
      <c r="D60" s="55"/>
      <c r="E60" s="55" t="s">
        <v>656</v>
      </c>
      <c r="F60" s="55"/>
      <c r="G60" s="55"/>
      <c r="H60" s="55"/>
      <c r="I60" s="55"/>
      <c r="J60" s="55"/>
      <c r="K60" s="55"/>
      <c r="L60" s="55"/>
      <c r="M60" s="55"/>
      <c r="N60" s="55"/>
      <c r="O60" s="55"/>
      <c r="P60" s="55"/>
      <c r="Q60" s="55"/>
    </row>
    <row r="61" ht="42" customHeight="1" spans="1:17">
      <c r="A61" s="55" t="s">
        <v>657</v>
      </c>
      <c r="B61" s="55"/>
      <c r="C61" s="55"/>
      <c r="D61" s="55"/>
      <c r="E61" s="55" t="s">
        <v>658</v>
      </c>
      <c r="F61" s="55"/>
      <c r="G61" s="55"/>
      <c r="H61" s="55"/>
      <c r="I61" s="55"/>
      <c r="J61" s="55"/>
      <c r="K61" s="55"/>
      <c r="L61" s="55"/>
      <c r="M61" s="55"/>
      <c r="N61" s="55"/>
      <c r="O61" s="55"/>
      <c r="P61" s="55"/>
      <c r="Q61" s="55"/>
    </row>
    <row r="62" ht="42" customHeight="1" spans="1:17">
      <c r="A62" s="55" t="s">
        <v>659</v>
      </c>
      <c r="B62" s="55"/>
      <c r="C62" s="55"/>
      <c r="D62" s="55"/>
      <c r="E62" s="55" t="s">
        <v>660</v>
      </c>
      <c r="F62" s="55"/>
      <c r="G62" s="55"/>
      <c r="H62" s="55"/>
      <c r="I62" s="55"/>
      <c r="J62" s="55"/>
      <c r="K62" s="55"/>
      <c r="L62" s="55"/>
      <c r="M62" s="55"/>
      <c r="N62" s="55"/>
      <c r="O62" s="55"/>
      <c r="P62" s="55"/>
      <c r="Q62" s="55"/>
    </row>
    <row r="63" ht="42" customHeight="1" spans="1:17">
      <c r="A63" s="55" t="s">
        <v>661</v>
      </c>
      <c r="B63" s="55"/>
      <c r="C63" s="55"/>
      <c r="D63" s="55"/>
      <c r="E63" s="55" t="s">
        <v>662</v>
      </c>
      <c r="F63" s="55"/>
      <c r="G63" s="55"/>
      <c r="H63" s="55"/>
      <c r="I63" s="55"/>
      <c r="J63" s="55"/>
      <c r="K63" s="55"/>
      <c r="L63" s="55"/>
      <c r="M63" s="55"/>
      <c r="N63" s="55"/>
      <c r="O63" s="55"/>
      <c r="P63" s="55"/>
      <c r="Q63" s="55"/>
    </row>
    <row r="64" ht="42" customHeight="1" spans="1:17">
      <c r="A64" s="55" t="s">
        <v>663</v>
      </c>
      <c r="B64" s="55"/>
      <c r="C64" s="55"/>
      <c r="D64" s="55"/>
      <c r="E64" s="55" t="s">
        <v>664</v>
      </c>
      <c r="F64" s="55"/>
      <c r="G64" s="55"/>
      <c r="H64" s="55"/>
      <c r="I64" s="55"/>
      <c r="J64" s="55"/>
      <c r="K64" s="55"/>
      <c r="L64" s="55"/>
      <c r="M64" s="55"/>
      <c r="N64" s="55"/>
      <c r="O64" s="55"/>
      <c r="P64" s="55"/>
      <c r="Q64" s="55"/>
    </row>
  </sheetData>
  <mergeCells count="36">
    <mergeCell ref="A47:D47"/>
    <mergeCell ref="E47:Q47"/>
    <mergeCell ref="A48:D48"/>
    <mergeCell ref="E48:Q48"/>
    <mergeCell ref="A49:D49"/>
    <mergeCell ref="E49:Q49"/>
    <mergeCell ref="A50:D50"/>
    <mergeCell ref="E50:Q50"/>
    <mergeCell ref="A51:D51"/>
    <mergeCell ref="E51:Q51"/>
    <mergeCell ref="A52:D52"/>
    <mergeCell ref="E52:Q52"/>
    <mergeCell ref="A53:D53"/>
    <mergeCell ref="E53:Q53"/>
    <mergeCell ref="A54:D54"/>
    <mergeCell ref="E54:Q54"/>
    <mergeCell ref="A55:D55"/>
    <mergeCell ref="E55:Q55"/>
    <mergeCell ref="A56:D56"/>
    <mergeCell ref="E56:Q56"/>
    <mergeCell ref="A57:D57"/>
    <mergeCell ref="E57:Q57"/>
    <mergeCell ref="A58:D58"/>
    <mergeCell ref="E58:Q58"/>
    <mergeCell ref="A59:D59"/>
    <mergeCell ref="E59:Q59"/>
    <mergeCell ref="A60:D60"/>
    <mergeCell ref="E60:Q60"/>
    <mergeCell ref="A61:D61"/>
    <mergeCell ref="E61:Q61"/>
    <mergeCell ref="A62:D62"/>
    <mergeCell ref="E62:Q62"/>
    <mergeCell ref="A63:D63"/>
    <mergeCell ref="E63:Q63"/>
    <mergeCell ref="A64:D64"/>
    <mergeCell ref="E64:Q64"/>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K99"/>
  <sheetViews>
    <sheetView showGridLines="0" workbookViewId="0">
      <pane xSplit="3" ySplit="16" topLeftCell="H65" activePane="bottomRight" state="frozen"/>
      <selection/>
      <selection pane="topRight"/>
      <selection pane="bottomLeft"/>
      <selection pane="bottomRight" activeCell="N52" sqref="N52"/>
    </sheetView>
  </sheetViews>
  <sheetFormatPr defaultColWidth="9" defaultRowHeight="16.8"/>
  <cols>
    <col min="1" max="1" width="15" customWidth="1"/>
    <col min="2" max="2" width="26" customWidth="1"/>
    <col min="3" max="3" width="15" customWidth="1"/>
    <col min="4" max="4" width="26" customWidth="1"/>
    <col min="5" max="7" width="15" customWidth="1"/>
    <col min="8" max="8" width="26" customWidth="1"/>
    <col min="9" max="9" width="15" customWidth="1"/>
    <col min="10" max="10" width="26" customWidth="1"/>
    <col min="11" max="46" width="15" customWidth="1"/>
    <col min="47" max="47" width="76" customWidth="1"/>
    <col min="48" max="48" width="15" customWidth="1"/>
    <col min="49" max="52" width="26" customWidth="1"/>
    <col min="53" max="53" width="15" customWidth="1"/>
    <col min="54" max="54" width="26" customWidth="1"/>
    <col min="55" max="55" width="62" customWidth="1"/>
    <col min="56" max="56" width="15" customWidth="1"/>
    <col min="57" max="57" width="62" customWidth="1"/>
    <col min="58" max="58" width="15" customWidth="1"/>
    <col min="59" max="59" width="62" customWidth="1"/>
    <col min="60" max="61" width="15" customWidth="1"/>
    <col min="63" max="89" width="18" customWidth="1"/>
  </cols>
  <sheetData>
    <row r="1" ht="24" customHeight="1" spans="1:61">
      <c r="A1" s="35" t="s">
        <v>665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row>
    <row r="2" ht="24" customHeight="1" spans="1:61">
      <c r="A2" s="36" t="s">
        <v>666</v>
      </c>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row>
    <row r="3" ht="24" customHeight="1" spans="1:61">
      <c r="A3" s="36"/>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row>
    <row r="4" ht="24" customHeight="1" spans="1:61">
      <c r="A4" s="36" t="s">
        <v>526</v>
      </c>
      <c r="B4" s="36" t="s">
        <v>527</v>
      </c>
      <c r="C4" s="36" t="s">
        <v>528</v>
      </c>
      <c r="D4" s="36" t="s">
        <v>532</v>
      </c>
      <c r="E4" s="36"/>
      <c r="F4" s="36" t="s">
        <v>578</v>
      </c>
      <c r="G4" s="43">
        <f>'Sheet1-指标体系'!$J$12</f>
        <v>46275</v>
      </c>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row>
    <row r="5" ht="24" customHeight="1" spans="1:61">
      <c r="A5" s="36" t="str">
        <f>'Sheet1-指标体系'!A4</f>
        <v>管理人及产品</v>
      </c>
      <c r="B5" s="42">
        <f>'Sheet1-指标体系'!B4</f>
        <v>0.15</v>
      </c>
      <c r="C5" s="36" t="str">
        <f>'Sheet1-指标体系'!C4</f>
        <v>管理人规模</v>
      </c>
      <c r="D5" s="38">
        <f>'Sheet1-指标体系'!G4</f>
        <v>0.06</v>
      </c>
      <c r="E5" s="36"/>
      <c r="F5" s="36" t="s">
        <v>667</v>
      </c>
      <c r="G5" s="43">
        <f>'Sheet1-指标体系'!$J$13</f>
        <v>46269</v>
      </c>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row>
    <row r="6" ht="24" customHeight="1" spans="1:61">
      <c r="A6" s="36" t="str">
        <f>'Sheet1-指标体系'!A5</f>
        <v>管理人及产品</v>
      </c>
      <c r="B6" s="42">
        <f>'Sheet1-指标体系'!B5</f>
        <v>0.15</v>
      </c>
      <c r="C6" s="36" t="str">
        <f>'Sheet1-指标体系'!C5</f>
        <v>产品规模</v>
      </c>
      <c r="D6" s="38">
        <f>'Sheet1-指标体系'!G5</f>
        <v>0.045</v>
      </c>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row>
    <row r="7" ht="24" customHeight="1" spans="1:61">
      <c r="A7" s="36" t="str">
        <f>'Sheet1-指标体系'!A6</f>
        <v>管理人及产品</v>
      </c>
      <c r="B7" s="42">
        <f>'Sheet1-指标体系'!B6</f>
        <v>0.15</v>
      </c>
      <c r="C7" s="36" t="str">
        <f>'Sheet1-指标体系'!C6</f>
        <v>成立年限</v>
      </c>
      <c r="D7" s="38">
        <f>'Sheet1-指标体系'!G6</f>
        <v>0.045</v>
      </c>
      <c r="E7" s="36"/>
      <c r="F7" s="36" t="s">
        <v>668</v>
      </c>
      <c r="G7" s="36" t="s">
        <v>669</v>
      </c>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row>
    <row r="8" ht="24" customHeight="1" spans="1:61">
      <c r="A8" s="36" t="str">
        <f>'Sheet1-指标体系'!A7</f>
        <v>收益能力</v>
      </c>
      <c r="B8" s="42">
        <f>'Sheet1-指标体系'!B7</f>
        <v>0.2</v>
      </c>
      <c r="C8" s="36" t="str">
        <f>'Sheet1-指标体系'!C7</f>
        <v>年化收益</v>
      </c>
      <c r="D8" s="38">
        <f>'Sheet1-指标体系'!G7</f>
        <v>0.14</v>
      </c>
      <c r="E8" s="36"/>
      <c r="F8" s="36" t="s">
        <v>670</v>
      </c>
      <c r="G8" s="36" t="s">
        <v>671</v>
      </c>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row>
    <row r="9" ht="24" customHeight="1" spans="1:61">
      <c r="A9" s="36" t="str">
        <f>'Sheet1-指标体系'!A8</f>
        <v>收益能力</v>
      </c>
      <c r="B9" s="42">
        <f>'Sheet1-指标体系'!B8</f>
        <v>0.2</v>
      </c>
      <c r="C9" s="36" t="str">
        <f>'Sheet1-指标体系'!C8</f>
        <v>月度胜率</v>
      </c>
      <c r="D9" s="38">
        <f>'Sheet1-指标体系'!G8</f>
        <v>0.06</v>
      </c>
      <c r="E9" s="36"/>
      <c r="F9" s="36" t="s">
        <v>672</v>
      </c>
      <c r="G9" s="36">
        <v>83</v>
      </c>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row>
    <row r="10" ht="24" customHeight="1" spans="1:61">
      <c r="A10" s="36" t="str">
        <f>'Sheet1-指标体系'!A9</f>
        <v>风险控制</v>
      </c>
      <c r="B10" s="42">
        <f>'Sheet1-指标体系'!B9</f>
        <v>0.25</v>
      </c>
      <c r="C10" s="36" t="str">
        <f>'Sheet1-指标体系'!C9</f>
        <v>最大回撤</v>
      </c>
      <c r="D10" s="38">
        <f>'Sheet1-指标体系'!G9</f>
        <v>0.25</v>
      </c>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row>
    <row r="11" ht="24" customHeight="1" spans="1:61">
      <c r="A11" s="36" t="str">
        <f>'Sheet1-指标体系'!A10</f>
        <v>风险调整收益</v>
      </c>
      <c r="B11" s="42">
        <f>'Sheet1-指标体系'!B10</f>
        <v>0.3</v>
      </c>
      <c r="C11" s="36" t="str">
        <f>'Sheet1-指标体系'!C10</f>
        <v>卡玛比率</v>
      </c>
      <c r="D11" s="38">
        <f>'Sheet1-指标体系'!G10</f>
        <v>0.3</v>
      </c>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row>
    <row r="12" ht="24" customHeight="1" spans="1:61">
      <c r="A12" s="36" t="str">
        <f>'Sheet1-指标体系'!A11</f>
        <v>业绩一致性/趋势</v>
      </c>
      <c r="B12" s="42">
        <f>'Sheet1-指标体系'!B11</f>
        <v>0.1</v>
      </c>
      <c r="C12" s="36" t="str">
        <f>'Sheet1-指标体系'!C11</f>
        <v>收益趋势</v>
      </c>
      <c r="D12" s="38">
        <f>'Sheet1-指标体系'!G11</f>
        <v>0.1</v>
      </c>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row>
    <row r="13" ht="24" customHeight="1" spans="1:61">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row>
    <row r="14" ht="24" customHeight="1" spans="1:61">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row>
    <row r="15" ht="24" customHeight="1" spans="1:61">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row>
    <row r="16" ht="58" customHeight="1" spans="1:89">
      <c r="A16" s="20" t="s">
        <v>0</v>
      </c>
      <c r="B16" s="21" t="s">
        <v>2</v>
      </c>
      <c r="C16" s="21" t="s">
        <v>673</v>
      </c>
      <c r="D16" s="21" t="s">
        <v>674</v>
      </c>
      <c r="E16" s="21" t="s">
        <v>675</v>
      </c>
      <c r="F16" s="21" t="s">
        <v>676</v>
      </c>
      <c r="G16" s="21" t="s">
        <v>677</v>
      </c>
      <c r="H16" s="21" t="s">
        <v>678</v>
      </c>
      <c r="I16" s="21" t="s">
        <v>679</v>
      </c>
      <c r="J16" s="21" t="s">
        <v>680</v>
      </c>
      <c r="K16" s="21" t="s">
        <v>681</v>
      </c>
      <c r="L16" s="21" t="s">
        <v>682</v>
      </c>
      <c r="M16" s="21" t="s">
        <v>683</v>
      </c>
      <c r="N16" s="21" t="s">
        <v>684</v>
      </c>
      <c r="O16" s="21" t="s">
        <v>685</v>
      </c>
      <c r="P16" s="21" t="s">
        <v>686</v>
      </c>
      <c r="Q16" s="21" t="s">
        <v>687</v>
      </c>
      <c r="R16" s="21" t="s">
        <v>688</v>
      </c>
      <c r="S16" s="21" t="s">
        <v>689</v>
      </c>
      <c r="T16" s="21" t="s">
        <v>690</v>
      </c>
      <c r="U16" s="21" t="s">
        <v>691</v>
      </c>
      <c r="V16" s="21" t="s">
        <v>692</v>
      </c>
      <c r="W16" s="21" t="s">
        <v>693</v>
      </c>
      <c r="X16" s="21" t="s">
        <v>694</v>
      </c>
      <c r="Y16" s="21" t="s">
        <v>695</v>
      </c>
      <c r="Z16" s="21" t="s">
        <v>696</v>
      </c>
      <c r="AA16" s="21" t="s">
        <v>697</v>
      </c>
      <c r="AB16" s="21" t="s">
        <v>698</v>
      </c>
      <c r="AC16" s="21" t="s">
        <v>699</v>
      </c>
      <c r="AD16" s="21" t="s">
        <v>700</v>
      </c>
      <c r="AE16" s="21" t="s">
        <v>701</v>
      </c>
      <c r="AF16" s="21" t="s">
        <v>702</v>
      </c>
      <c r="AG16" s="21" t="s">
        <v>703</v>
      </c>
      <c r="AH16" s="21" t="s">
        <v>704</v>
      </c>
      <c r="AI16" s="21" t="s">
        <v>705</v>
      </c>
      <c r="AJ16" s="21" t="s">
        <v>706</v>
      </c>
      <c r="AK16" s="21" t="s">
        <v>707</v>
      </c>
      <c r="AL16" s="21" t="s">
        <v>708</v>
      </c>
      <c r="AM16" s="21" t="s">
        <v>709</v>
      </c>
      <c r="AN16" s="21" t="s">
        <v>710</v>
      </c>
      <c r="AO16" s="21" t="s">
        <v>711</v>
      </c>
      <c r="AP16" s="21" t="s">
        <v>712</v>
      </c>
      <c r="AQ16" s="21" t="s">
        <v>713</v>
      </c>
      <c r="AR16" s="21" t="s">
        <v>714</v>
      </c>
      <c r="AS16" s="21" t="s">
        <v>715</v>
      </c>
      <c r="AT16" s="21" t="s">
        <v>716</v>
      </c>
      <c r="AU16" s="21" t="s">
        <v>717</v>
      </c>
      <c r="AV16" s="21" t="s">
        <v>718</v>
      </c>
      <c r="AW16" s="21" t="s">
        <v>719</v>
      </c>
      <c r="AX16" s="21" t="s">
        <v>720</v>
      </c>
      <c r="AY16" s="21" t="s">
        <v>721</v>
      </c>
      <c r="AZ16" s="21" t="s">
        <v>722</v>
      </c>
      <c r="BA16" s="21" t="s">
        <v>723</v>
      </c>
      <c r="BB16" s="21" t="s">
        <v>724</v>
      </c>
      <c r="BC16" s="21" t="s">
        <v>30</v>
      </c>
      <c r="BD16" s="21" t="s">
        <v>579</v>
      </c>
      <c r="BE16" s="21" t="s">
        <v>611</v>
      </c>
      <c r="BF16" s="21" t="s">
        <v>725</v>
      </c>
      <c r="BG16" s="21" t="s">
        <v>726</v>
      </c>
      <c r="BH16" s="21" t="s">
        <v>727</v>
      </c>
      <c r="BI16" s="27" t="s">
        <v>728</v>
      </c>
      <c r="BJ16" t="s">
        <v>729</v>
      </c>
      <c r="BK16" s="47" t="s">
        <v>730</v>
      </c>
      <c r="BL16" s="47" t="s">
        <v>731</v>
      </c>
      <c r="BM16" s="47" t="s">
        <v>732</v>
      </c>
      <c r="BN16" s="47" t="s">
        <v>733</v>
      </c>
      <c r="BO16" s="47" t="s">
        <v>734</v>
      </c>
      <c r="BP16" s="47" t="s">
        <v>735</v>
      </c>
      <c r="BQ16" s="47" t="s">
        <v>736</v>
      </c>
      <c r="BR16" s="47" t="s">
        <v>737</v>
      </c>
      <c r="BS16" s="47" t="s">
        <v>738</v>
      </c>
      <c r="BT16" s="47" t="s">
        <v>739</v>
      </c>
      <c r="BU16" s="47" t="s">
        <v>740</v>
      </c>
      <c r="BV16" s="47" t="s">
        <v>741</v>
      </c>
      <c r="BW16" s="47" t="s">
        <v>742</v>
      </c>
      <c r="BX16" s="47" t="s">
        <v>743</v>
      </c>
      <c r="BY16" s="47" t="s">
        <v>744</v>
      </c>
      <c r="BZ16" s="47" t="s">
        <v>745</v>
      </c>
      <c r="CA16" s="47" t="s">
        <v>746</v>
      </c>
      <c r="CB16" s="47" t="s">
        <v>747</v>
      </c>
      <c r="CC16" s="47" t="s">
        <v>748</v>
      </c>
      <c r="CD16" s="47" t="s">
        <v>749</v>
      </c>
      <c r="CE16" s="47" t="s">
        <v>750</v>
      </c>
      <c r="CF16" s="47" t="s">
        <v>751</v>
      </c>
      <c r="CG16" s="47" t="s">
        <v>752</v>
      </c>
      <c r="CH16" s="47" t="s">
        <v>753</v>
      </c>
      <c r="CI16" s="47" t="s">
        <v>754</v>
      </c>
      <c r="CJ16" s="47" t="s">
        <v>755</v>
      </c>
      <c r="CK16" s="47" t="s">
        <v>756</v>
      </c>
    </row>
    <row r="17" ht="44" customHeight="1" spans="1:89">
      <c r="A17" s="40">
        <f>'Sheet5-查询核对'!A2-1</f>
        <v>1</v>
      </c>
      <c r="B17" s="24" t="str">
        <f>IF('Sheet4-原始数据'!A2="",'Sheet5-查询核对'!B2,'Sheet4-原始数据'!A2)</f>
        <v>爱凡哲九号</v>
      </c>
      <c r="C17" s="22" t="str">
        <f>IF('Sheet4-原始数据'!B2="","",'Sheet4-原始数据'!B2)</f>
        <v>SJA112</v>
      </c>
      <c r="D17" s="22" t="str">
        <f>IF('Sheet4-原始数据'!E2="","",'Sheet4-原始数据'!E2)</f>
        <v>爱凡哲投资</v>
      </c>
      <c r="E17" s="23">
        <f>IF('Sheet4-原始数据'!F2="","",'Sheet4-原始数据'!F2)</f>
        <v>43710</v>
      </c>
      <c r="F17" s="37">
        <f>IF(ISNUMBER(E17),ROUND(('Sheet1-指标体系'!$J$12-E17)/'Sheet1-指标体系'!$J$14,4),"")</f>
        <v>7.0226</v>
      </c>
      <c r="G17" s="36" t="str">
        <f>IF(C17="","未匹配",IF(NOT(ISNUMBER(F17)),"缺成立日期",IF(F17&lt;'Sheet1-指标体系'!$J$15,"不入池","入池")))</f>
        <v>入池</v>
      </c>
      <c r="H17" s="22" t="str">
        <f>IF('Sheet5-查询核对'!K2="","",'Sheet5-查询核对'!K2)</f>
        <v>20-50亿元</v>
      </c>
      <c r="I17" s="37">
        <f>IF(H17="","",IF(COUNTIF('Sheet1-指标体系'!$P$4:$P$10,H17)=0,"",INDEX('Sheet1-指标体系'!$Q$4:$Q$10,MATCH(H17,'Sheet1-指标体系'!$P$4:$P$10,0))))</f>
        <v>90</v>
      </c>
      <c r="J17" s="44" t="str">
        <f>IF(NOT(ISNUMBER('Sheet5-查询核对'!N2)),"",IF('Sheet5-查询核对'!N2=1,"低于"&amp;'Sheet1-指标体系'!$J$4&amp;"万元",IF('Sheet5-查询核对'!N2=0,"无低于"&amp;'Sheet1-指标体系'!$J$4&amp;"万元标识","")))</f>
        <v>无低于1000万元标识</v>
      </c>
      <c r="K17" s="37">
        <f>IF(NOT(ISNUMBER('Sheet5-查询核对'!N2)),"",IF('Sheet5-查询核对'!N2=1,'Sheet1-指标体系'!$J$21,IF('Sheet5-查询核对'!N2=0,'Sheet1-指标体系'!$J$18,"")))</f>
        <v>100</v>
      </c>
      <c r="L17" s="37">
        <f>IF(NOT(ISNUMBER(F17)),"",IF(F17&lt;'Sheet1-指标体系'!$J$15,"",IF(F17&lt;'Sheet1-指标体系'!$J$16,'Sheet1-指标体系'!$J$17,'Sheet1-指标体系'!$J$18)))</f>
        <v>100</v>
      </c>
      <c r="M17" s="26">
        <f>IF(ISNUMBER('Sheet4-原始数据'!G2),'Sheet4-原始数据'!G2,"")</f>
        <v>0.1239</v>
      </c>
      <c r="N17" s="26">
        <f>IF(ISNUMBER('Sheet4-原始数据'!H2),'Sheet4-原始数据'!H2,"")</f>
        <v>0.1185</v>
      </c>
      <c r="O17" s="26">
        <f>IF(ISNUMBER('Sheet5-查询核对'!Q2),'Sheet5-查询核对'!Q2,"")</f>
        <v>0.103</v>
      </c>
      <c r="P17" s="45">
        <f>IF(G17&lt;&gt;"入池","",IF(F17&gt;='Sheet1-指标体系'!$J$16,IF(AND(ISNUMBER(M17),ISNUMBER(N17)),IF(AND(1+M17&gt;0,1+N17&gt;=0),((1+N17)^'Sheet1-指标体系'!$J$16/(1+M17))^(1/('Sheet1-指标体系'!$J$16-1))-1,""),""),IF(AND(ISNUMBER(M17),ISNUMBER(O17)),IF(AND(F17&gt;1,1+M17&gt;0,1+O17&gt;=0),((1+O17)^F17/(1+M17))^(1/(F17-1))-1,""),"")))</f>
        <v>0.115809737318602</v>
      </c>
      <c r="Q17" s="37">
        <f t="shared" ref="Q17:Q80" si="0">IF(BK17=1,IF(SUM($BK$17:$BK$99)&lt;=1,100,ROUND(100*(COUNTIFS($BK$17:$BK$99,1,$M$17:$M$99,"&lt;"&amp;M17)+(COUNTIFS($BK$17:$BK$99,1,$M$17:$M$99,M17)-1)/2)/(SUM($BK$17:$BK$99)-1),2)),"")</f>
        <v>72.22</v>
      </c>
      <c r="R17" s="37">
        <f t="shared" ref="R17:R80" si="1">IF(BL17=1,IF(SUM($BL$17:$BL$99)&lt;=1,100,ROUND(100*(COUNTIFS($BL$17:$BL$99,1,$P$17:$P$99,"&lt;"&amp;P17)+(COUNTIFS($BL$17:$BL$99,1,$P$17:$P$99,P17)-1)/2)/(SUM($BL$17:$BL$99)-1),2)),"")</f>
        <v>77.27</v>
      </c>
      <c r="S17" s="37">
        <f>IF(ISNUMBER(Q17),IF(ISNUMBER(R17),ROUND(Q17*'Sheet1-指标体系'!$J$8+R17*'Sheet1-指标体系'!$J$9,2),Q17),"")</f>
        <v>74.24</v>
      </c>
      <c r="T17" s="26">
        <f>IF(ISNUMBER('Sheet4-原始数据'!J2),'Sheet4-原始数据'!J2,"")</f>
        <v>0.8462</v>
      </c>
      <c r="U17" s="26">
        <f>IF(ISNUMBER('Sheet4-原始数据'!I2),'Sheet4-原始数据'!I2,"")</f>
        <v>0.8919</v>
      </c>
      <c r="V17" s="45">
        <f>IF(AND(ISNUMBER(T17),ISNUMBER(U17)),(U17*'Sheet1-指标体系'!$J$6-T17*'Sheet1-指标体系'!$J$5)/'Sheet1-指标体系'!$J$7,"")</f>
        <v>0.916654166666667</v>
      </c>
      <c r="W17" s="37">
        <f t="shared" ref="W17:W80" si="2">IF(ISNUMBER(T17),100*T17,"")</f>
        <v>84.62</v>
      </c>
      <c r="X17" s="37">
        <f>IF(G17&lt;&gt;"入池","",IF(ISNUMBER(V17),IF(AND(V17&gt;=0,V17&lt;=1),V17*'Sheet1-指标体系'!$J$18,IF(MAX(0,(F17-'Sheet1-指标体系'!$J$15)*'Sheet1-指标体系'!$J$20)&lt;'Sheet1-指标体系'!$J$19,'Sheet1-指标体系'!$J$18,"")),IF(MAX(0,(F17-'Sheet1-指标体系'!$J$15)*'Sheet1-指标体系'!$J$20)&lt;'Sheet1-指标体系'!$J$19,'Sheet1-指标体系'!$J$18,"")))</f>
        <v>91.6654166666667</v>
      </c>
      <c r="Y17" s="37">
        <f>IF(ISNUMBER(W17),IF(ISNUMBER(X17),ROUND(W17*'Sheet1-指标体系'!$J$8+X17*'Sheet1-指标体系'!$J$9,2),W17),"")</f>
        <v>87.44</v>
      </c>
      <c r="Z17" s="45">
        <f t="shared" ref="Z17:Z80" si="3">IF(AND(ISNUMBER(M17),ISNUMBER(AD17)),IF(AD17&lt;&gt;0,ABS(M17/AD17),""),"")</f>
        <v>0.00358310993120082</v>
      </c>
      <c r="AA17" s="26">
        <f>IF(ISNUMBER('Sheet4-原始数据'!K2),'Sheet4-原始数据'!K2,"")</f>
        <v>0.0129</v>
      </c>
      <c r="AB17" s="45">
        <f t="shared" ref="AB17:AB80" si="4">IF(AND(ISNUMBER(Z17),ISNUMBER(AA17)),MAX(Z17,AA17),IF(ISNUMBER(Z17),Z17,IF(ISNUMBER(AA17),AA17,"")))</f>
        <v>0.0129</v>
      </c>
      <c r="AC17" s="37">
        <f t="shared" ref="AC17:AC80" si="5">IF(BM17=1,IF(SUM($BM$17:$BM$99)&lt;=1,100,ROUND(100*(COUNTIFS($BM$17:$BM$99,1,$AB$17:$AB$99,"&gt;"&amp;AB17)+(COUNTIFS($BM$17:$BM$99,1,$AB$17:$AB$99,AB17)-1)/2)/(SUM($BM$17:$BM$99)-1),2)),"")</f>
        <v>62.16</v>
      </c>
      <c r="AD17" s="30">
        <f>IF(ISNUMBER('Sheet4-原始数据'!M2),'Sheet4-原始数据'!M2,"")</f>
        <v>34.5789</v>
      </c>
      <c r="AE17" s="45">
        <f>IF(AND(ISNUMBER(P17),ISNUMBER(AA17),ISNUMBER(Z17)),IF(AA17&gt;Z17+'Sheet1-指标体系'!$J$11,AA17,""),"")</f>
        <v>0.0129</v>
      </c>
      <c r="AF17" s="37">
        <f t="shared" ref="AF17:AF80" si="6">IF(AND(ISNUMBER(P17),ISNUMBER(AE17)),IF(AE17&lt;&gt;0,P17/AE17,""),"")</f>
        <v>8.97749901694593</v>
      </c>
      <c r="AG17" s="37">
        <f t="shared" ref="AG17:AG80" si="7">IF(BN17=1,IF(SUM($BN$17:$BN$99)&lt;=1,100,ROUND(100*(COUNTIFS($BN$17:$BN$99,1,$AD$17:$AD$99,"&lt;"&amp;AD17)+(COUNTIFS($BN$17:$BN$99,1,$AD$17:$AD$99,AD17)-1)/2)/(SUM($BN$17:$BN$99)-1),2)),"")</f>
        <v>88.73</v>
      </c>
      <c r="AH17" s="37">
        <f t="shared" ref="AH17:AH80" si="8">IF(BO17=1,IF(SUM($BO$17:$BO$99)&lt;=1,100,ROUND(100*(COUNTIFS($BO$17:$BO$99,1,$AF$17:$AF$99,"&lt;"&amp;AF17)+(COUNTIFS($BO$17:$BO$99,1,$AF$17:$AF$99,AF17)-1)/2)/(SUM($BO$17:$BO$99)-1),2)),"")</f>
        <v>75</v>
      </c>
      <c r="AI17" s="37">
        <f>IF(ISNUMBER(AG17),IF(ISNUMBER(AH17),ROUND(AG17*'Sheet1-指标体系'!$J$8+AH17*'Sheet1-指标体系'!$J$9,2),AG17),"")</f>
        <v>83.24</v>
      </c>
      <c r="AJ17" s="45">
        <f>IF(NOT(ISNUMBER(F17)),"",IF(F17&gt;='Sheet1-指标体系'!$J$16,IF(ISNUMBER(N17),N17,""),IF(ISNUMBER(O17),O17,"")))</f>
        <v>0.1185</v>
      </c>
      <c r="AK17" s="37">
        <f>IF(AND(G17="入池",ISNUMBER(M17),ISNUMBER(AJ17)),IF(M17&gt;=AJ17,'Sheet1-指标体系'!$J$18,IF(AJ17-M17&lt;'Sheet1-指标体系'!$J$10,'Sheet1-指标体系'!$J$22,'Sheet1-指标体系'!$J$23)),"")</f>
        <v>100</v>
      </c>
      <c r="AL17" s="37">
        <f>IF((IF(ISNUMBER(I17),'Sheet1-指标体系'!$G$4,0)+IF(ISNUMBER(K17),'Sheet1-指标体系'!$G$5,0)+IF(ISNUMBER(L17),'Sheet1-指标体系'!$G$6,0))&gt;0,ROUND((IF(ISNUMBER(I17),I17*'Sheet1-指标体系'!$G$4,0)+IF(ISNUMBER(K17),K17*'Sheet1-指标体系'!$G$5,0)+IF(ISNUMBER(L17),L17*'Sheet1-指标体系'!$G$6,0))/(IF(ISNUMBER(I17),'Sheet1-指标体系'!$G$4,0)+IF(ISNUMBER(K17),'Sheet1-指标体系'!$G$5,0)+IF(ISNUMBER(L17),'Sheet1-指标体系'!$G$6,0)),2),"")</f>
        <v>96</v>
      </c>
      <c r="AM17" s="37">
        <f t="shared" ref="AM17:AM80" si="9">IF(SUM(CD17:CG17)&gt;0,ROUND(SUM(BS17:BV17)/SUM(CD17:CG17),2),"")</f>
        <v>78.2</v>
      </c>
      <c r="AN17" s="37">
        <f t="shared" ref="AN17:AN80" si="10">IF(SUM(CH17:CH17)&gt;0,ROUND(SUM(BW17:BW17)/SUM(CH17:CH17),2),"")</f>
        <v>62.16</v>
      </c>
      <c r="AO17" s="37">
        <f t="shared" ref="AO17:AO80" si="11">IF(SUM(CI17:CJ17)&gt;0,ROUND(SUM(BX17:BY17)/SUM(CI17:CJ17),2),"")</f>
        <v>83.24</v>
      </c>
      <c r="AP17" s="37">
        <f t="shared" ref="AP17:AP80" si="12">IF(SUM(CK17:CK17)&gt;0,ROUND(SUM(BZ17:BZ17)/SUM(CK17:CK17),2),"")</f>
        <v>100</v>
      </c>
      <c r="AQ17" s="38">
        <f t="shared" ref="AQ17:AQ80" si="13">SUM(CA17:CK17)</f>
        <v>1</v>
      </c>
      <c r="AR17" s="37">
        <f t="shared" ref="AR17:AR80" si="14">IF(SUM(CA17:CK17)&gt;0,SUM(BP17:BZ17),"")</f>
        <v>80.55129</v>
      </c>
      <c r="AS17" s="37">
        <f t="shared" ref="AS17:AS80" si="15">IF(SUM(CA17:CK17)&gt;0,ROUND(SUM(BP17:BZ17)/SUM(CA17:CK17),2),"")</f>
        <v>80.55</v>
      </c>
      <c r="AT17" s="40">
        <f>IF(OR(G17&lt;&gt;"入池",NOT(ISNUMBER(AS17))),"",COUNTIFS($G$17:$G$99,"入池",$AS$17:$AS$99,"&gt;"&amp;AS17)+COUNTIFS($G$17:$G$99,"入池",$AS$17:$AS$99,AS17,$AQ$17:$AQ$99,"&gt;"&amp;AQ17)+COUNTIFS($G$17:G17,"入池",$AS$17:AS17,AS17,$AQ$17:AQ17,AQ17))</f>
        <v>15</v>
      </c>
      <c r="AU17" s="46" t="str">
        <f>IF(NOT(ISNUMBER(I17)),"管理人规模；","")&amp;IF(NOT(ISNUMBER(K17)),"产品规模标识；","")&amp;IF(NOT(ISNUMBER(M17)),"近一年收益；","")&amp;IF(NOT(ISNUMBER(T17)),"近一年胜率；","")&amp;IF(NOT(ISNUMBER(N17)),"近三年收益；","")&amp;IF(NOT(ISNUMBER(U17)),"近三年胜率；","")&amp;IF(NOT(ISNUMBER(AA17)),"近三年回撤；","")&amp;IF(NOT(ISNUMBER(AD17)),"近一年卡玛；","")&amp;IF(ISNUMBER(F17),IF(AND(F17&lt;'Sheet1-指标体系'!$J$16,NOT(ISNUMBER(O17))),"成立以来年化；",""),"成立日期；")&amp;IF(ISNUMBER(V17),IF(OR(V17&lt;0,V17&gt;1),"胜率窗口口径不一致；",""),"")&amp;IF(ISNUMBER(P17),IF(NOT(ISNUMBER(AE17)),"DD_long不可识别；",""),"")</f>
        <v/>
      </c>
      <c r="AV17" s="37">
        <f>IF(ABS(SUM(CA17:CK17)-'Sheet1-指标体系'!$J$25)&lt;0.0000000001,SUM(BP17:BZ17),"")</f>
        <v>80.55129</v>
      </c>
      <c r="AW17" s="36" t="str">
        <f>IF(G17&lt;&gt;"入池",G17,IF(AQ17=0,"无有效评分数据",IF(ROUND(AQ17,10)=ROUND('Sheet1-指标体系'!$J$25,10),"完整赋分","暂定分／数据不完整")))</f>
        <v>完整赋分</v>
      </c>
      <c r="AX17" s="22" t="str">
        <f>IF('Sheet4-原始数据'!C2="","",'Sheet4-原始数据'!C2)</f>
        <v>套利策略</v>
      </c>
      <c r="AY17" s="22" t="str">
        <f>IF('Sheet4-原始数据'!D2="","",'Sheet4-原始数据'!D2)</f>
        <v>期货套利</v>
      </c>
      <c r="AZ17" s="22" t="str">
        <f>IF('Sheet5-查询核对'!S2="","",'Sheet5-查询核对'!S2)</f>
        <v>套利策略—期货套利</v>
      </c>
      <c r="BA17" s="25">
        <f>IF('Sheet5-查询核对'!A2="","",'Sheet5-查询核对'!A2)</f>
        <v>2</v>
      </c>
      <c r="BB17" s="22" t="str">
        <f>IF('Sheet5-查询核对'!F2="","",'Sheet5-查询核对'!F2)</f>
        <v>备案号匹配</v>
      </c>
      <c r="BC17" s="24" t="str">
        <f>IF('Sheet5-查询核对'!I2="","",'Sheet5-查询核对'!I2)</f>
        <v>https://mp.fof99.com/fund/view/8e641c904118560b</v>
      </c>
      <c r="BD17" s="23">
        <f>IF('Sheet5-查询核对'!H2="","",'Sheet5-查询核对'!H2)</f>
        <v>46269</v>
      </c>
      <c r="BE17" s="24" t="str">
        <f>IF('Sheet5-查询核对'!L2="","",'Sheet5-查询核对'!L2)</f>
        <v>https://gs.amac.org.cn/amac-infodisc/res/pof/manager/1709181131101311.html</v>
      </c>
      <c r="BF17" s="23">
        <f>IF('Sheet5-查询核对'!M2="","",'Sheet5-查询核对'!M2)</f>
        <v>46276</v>
      </c>
      <c r="BG17" s="24" t="str">
        <f>IF('Sheet5-查询核对'!O2="","",'Sheet5-查询核对'!O2)</f>
        <v>https://gs.amac.org.cn/amac-infodisc/res/pof/fund/1909051919107161.html</v>
      </c>
      <c r="BH17" s="23">
        <f>IF('Sheet5-查询核对'!P2="","",'Sheet5-查询核对'!P2)</f>
        <v>46276</v>
      </c>
      <c r="BI17" s="22" t="str">
        <f>IF('Sheet5-查询核对'!D2="","",'Sheet5-查询核对'!D2)</f>
        <v>SJA112</v>
      </c>
      <c r="BJ17">
        <f>IF(ISNUMBER(AT17),AT17,COUNT($AT$17:$AT$99)+ROWS($AT$17:AT17)-COUNT($AT$17:AT17))</f>
        <v>15</v>
      </c>
      <c r="BK17" s="2">
        <f t="shared" ref="BK17:BK80" si="16">IF(G17="入池",IF(ISNUMBER(M17),1,0),0)</f>
        <v>1</v>
      </c>
      <c r="BL17" s="2">
        <f t="shared" ref="BL17:BL80" si="17">IF(G17="入池",IF(ISNUMBER(P17),1,0),0)</f>
        <v>1</v>
      </c>
      <c r="BM17" s="2">
        <f t="shared" ref="BM17:BM80" si="18">IF(G17="入池",IF(ISNUMBER(AB17),1,0),0)</f>
        <v>1</v>
      </c>
      <c r="BN17" s="2">
        <f t="shared" ref="BN17:BN80" si="19">IF(G17="入池",IF(ISNUMBER(AD17),1,0),0)</f>
        <v>1</v>
      </c>
      <c r="BO17" s="2">
        <f t="shared" ref="BO17:BO80" si="20">IF(G17="入池",IF(ISNUMBER(AF17),1,0),0)</f>
        <v>1</v>
      </c>
      <c r="BP17" s="48">
        <f>IF(G17="入池",IF(ISNUMBER(I17),I17*('Sheet1-指标体系'!$G$4),0),0)</f>
        <v>5.4</v>
      </c>
      <c r="BQ17" s="48">
        <f>IF(G17="入池",IF(ISNUMBER(K17),K17*('Sheet1-指标体系'!$G$5),0),0)</f>
        <v>4.5</v>
      </c>
      <c r="BR17" s="48">
        <f>IF(G17="入池",IF(ISNUMBER(L17),L17*('Sheet1-指标体系'!$G$6),0),0)</f>
        <v>4.5</v>
      </c>
      <c r="BS17" s="48">
        <f>IF(G17="入池",IF(ISNUMBER(Q17),Q17*('Sheet1-指标体系'!$G$7*'Sheet1-指标体系'!$J$8),0),0)</f>
        <v>6.06648</v>
      </c>
      <c r="BT17" s="48">
        <f>IF(G17="入池",IF(ISNUMBER(R17),R17*('Sheet1-指标体系'!$G$7*'Sheet1-指标体系'!$J$9),0),0)</f>
        <v>4.32712</v>
      </c>
      <c r="BU17" s="48">
        <f>IF(G17="入池",IF(ISNUMBER(W17),W17*('Sheet1-指标体系'!$G$8*'Sheet1-指标体系'!$J$8),0),0)</f>
        <v>3.04632</v>
      </c>
      <c r="BV17" s="48">
        <f>IF(G17="入池",IF(ISNUMBER(X17),X17*('Sheet1-指标体系'!$G$8*'Sheet1-指标体系'!$J$9),0),0)</f>
        <v>2.19997</v>
      </c>
      <c r="BW17" s="48">
        <f>IF(G17="入池",IF(ISNUMBER(AC17),AC17*('Sheet1-指标体系'!$G$9),0),0)</f>
        <v>15.54</v>
      </c>
      <c r="BX17" s="48">
        <f>IF(G17="入池",IF(ISNUMBER(AG17),AG17*('Sheet1-指标体系'!$G$10*'Sheet1-指标体系'!$J$8),0),0)</f>
        <v>15.9714</v>
      </c>
      <c r="BY17" s="48">
        <f>IF(G17="入池",IF(ISNUMBER(AH17),AH17*('Sheet1-指标体系'!$G$10*'Sheet1-指标体系'!$J$9),0),0)</f>
        <v>9</v>
      </c>
      <c r="BZ17" s="48">
        <f>IF(G17="入池",IF(ISNUMBER(AK17),AK17*('Sheet1-指标体系'!$G$11),0),0)</f>
        <v>10</v>
      </c>
      <c r="CA17" s="49">
        <f>IF(G17="入池",IF(ISNUMBER(I17),'Sheet1-指标体系'!$G$4,0),0)</f>
        <v>0.06</v>
      </c>
      <c r="CB17" s="49">
        <f>IF(G17="入池",IF(ISNUMBER(K17),'Sheet1-指标体系'!$G$5,0),0)</f>
        <v>0.045</v>
      </c>
      <c r="CC17" s="49">
        <f>IF(G17="入池",IF(ISNUMBER(L17),'Sheet1-指标体系'!$G$6,0),0)</f>
        <v>0.045</v>
      </c>
      <c r="CD17" s="49">
        <f>IF(G17="入池",IF(ISNUMBER(Q17),'Sheet1-指标体系'!$G$7*'Sheet1-指标体系'!$J$8,0),0)</f>
        <v>0.084</v>
      </c>
      <c r="CE17" s="49">
        <f>IF(G17="入池",IF(ISNUMBER(R17),'Sheet1-指标体系'!$G$7*'Sheet1-指标体系'!$J$9,0),0)</f>
        <v>0.056</v>
      </c>
      <c r="CF17" s="49">
        <f>IF(G17="入池",IF(ISNUMBER(W17),'Sheet1-指标体系'!$G$8*'Sheet1-指标体系'!$J$8,0),0)</f>
        <v>0.036</v>
      </c>
      <c r="CG17" s="49">
        <f>IF(G17="入池",IF(ISNUMBER(X17),'Sheet1-指标体系'!$G$8*'Sheet1-指标体系'!$J$9,0),0)</f>
        <v>0.024</v>
      </c>
      <c r="CH17" s="49">
        <f>IF(G17="入池",IF(ISNUMBER(AC17),'Sheet1-指标体系'!$G$9,0),0)</f>
        <v>0.25</v>
      </c>
      <c r="CI17" s="49">
        <f>IF(G17="入池",IF(ISNUMBER(AG17),'Sheet1-指标体系'!$G$10*'Sheet1-指标体系'!$J$8,0),0)</f>
        <v>0.18</v>
      </c>
      <c r="CJ17" s="49">
        <f>IF(G17="入池",IF(ISNUMBER(AH17),'Sheet1-指标体系'!$G$10*'Sheet1-指标体系'!$J$9,0),0)</f>
        <v>0.12</v>
      </c>
      <c r="CK17" s="49">
        <f>IF(G17="入池",IF(ISNUMBER(AK17),'Sheet1-指标体系'!$G$11,0),0)</f>
        <v>0.1</v>
      </c>
    </row>
    <row r="18" ht="44" customHeight="1" spans="1:89">
      <c r="A18" s="40">
        <f>'Sheet5-查询核对'!A3-1</f>
        <v>2</v>
      </c>
      <c r="B18" s="24" t="str">
        <f>IF('Sheet4-原始数据'!A3="",'Sheet5-查询核对'!B3,'Sheet4-原始数据'!A3)</f>
        <v>滨风风云瑞丰1号</v>
      </c>
      <c r="C18" s="22" t="str">
        <f>IF('Sheet4-原始数据'!B3="","",'Sheet4-原始数据'!B3)</f>
        <v>SXL267</v>
      </c>
      <c r="D18" s="22" t="str">
        <f>IF('Sheet4-原始数据'!E3="","",'Sheet4-原始数据'!E3)</f>
        <v>鹰潭滨风投资</v>
      </c>
      <c r="E18" s="23">
        <f>IF('Sheet4-原始数据'!F3="","",'Sheet4-原始数据'!F3)</f>
        <v>44897</v>
      </c>
      <c r="F18" s="37">
        <f>IF(ISNUMBER(E18),ROUND(('Sheet1-指标体系'!$J$12-E18)/'Sheet1-指标体系'!$J$14,4),"")</f>
        <v>3.7728</v>
      </c>
      <c r="G18" s="36" t="str">
        <f>IF(C18="","未匹配",IF(NOT(ISNUMBER(F18)),"缺成立日期",IF(F18&lt;'Sheet1-指标体系'!$J$15,"不入池","入池")))</f>
        <v>入池</v>
      </c>
      <c r="H18" s="22" t="str">
        <f>IF('Sheet5-查询核对'!K3="","",'Sheet5-查询核对'!K3)</f>
        <v>5-10亿元</v>
      </c>
      <c r="I18" s="37">
        <f>IF(H18="","",IF(COUNTIF('Sheet1-指标体系'!$P$4:$P$10,H18)=0,"",INDEX('Sheet1-指标体系'!$Q$4:$Q$10,MATCH(H18,'Sheet1-指标体系'!$P$4:$P$10,0))))</f>
        <v>70</v>
      </c>
      <c r="J18" s="44" t="str">
        <f>IF(NOT(ISNUMBER('Sheet5-查询核对'!N3)),"",IF('Sheet5-查询核对'!N3=1,"低于"&amp;'Sheet1-指标体系'!$J$4&amp;"万元",IF('Sheet5-查询核对'!N3=0,"无低于"&amp;'Sheet1-指标体系'!$J$4&amp;"万元标识","")))</f>
        <v>无低于1000万元标识</v>
      </c>
      <c r="K18" s="37">
        <f>IF(NOT(ISNUMBER('Sheet5-查询核对'!N3)),"",IF('Sheet5-查询核对'!N3=1,'Sheet1-指标体系'!$J$21,IF('Sheet5-查询核对'!N3=0,'Sheet1-指标体系'!$J$18,"")))</f>
        <v>100</v>
      </c>
      <c r="L18" s="37">
        <f>IF(NOT(ISNUMBER(F18)),"",IF(F18&lt;'Sheet1-指标体系'!$J$15,"",IF(F18&lt;'Sheet1-指标体系'!$J$16,'Sheet1-指标体系'!$J$17,'Sheet1-指标体系'!$J$18)))</f>
        <v>100</v>
      </c>
      <c r="M18" s="26">
        <f>IF(ISNUMBER('Sheet4-原始数据'!G3),'Sheet4-原始数据'!G3,"")</f>
        <v>0.456756079869705</v>
      </c>
      <c r="N18" s="26">
        <f>IF(ISNUMBER('Sheet4-原始数据'!H3),'Sheet4-原始数据'!H3,"")</f>
        <v>0.245457942277343</v>
      </c>
      <c r="O18" s="26">
        <f>IF(ISNUMBER('Sheet5-查询核对'!Q3),'Sheet5-查询核对'!Q3,"")</f>
        <v>0.245415795828636</v>
      </c>
      <c r="P18" s="45">
        <f>IF(G18&lt;&gt;"入池","",IF(F18&gt;='Sheet1-指标体系'!$J$16,IF(AND(ISNUMBER(M18),ISNUMBER(N18)),IF(AND(1+M18&gt;0,1+N18&gt;=0),((1+N18)^'Sheet1-指标体系'!$J$16/(1+M18))^(1/('Sheet1-指标体系'!$J$16-1))-1,""),""),IF(AND(ISNUMBER(M18),ISNUMBER(O18)),IF(AND(F18&gt;1,1+M18&gt;0,1+O18&gt;=0),((1+O18)^F18/(1+M18))^(1/(F18-1))-1,""),"")))</f>
        <v>0.151596085772917</v>
      </c>
      <c r="Q18" s="37">
        <f t="shared" si="0"/>
        <v>100</v>
      </c>
      <c r="R18" s="37">
        <f t="shared" si="1"/>
        <v>87.88</v>
      </c>
      <c r="S18" s="37">
        <f>IF(ISNUMBER(Q18),IF(ISNUMBER(R18),ROUND(Q18*'Sheet1-指标体系'!$J$8+R18*'Sheet1-指标体系'!$J$9,2),Q18),"")</f>
        <v>95.15</v>
      </c>
      <c r="T18" s="26">
        <f>IF(ISNUMBER('Sheet4-原始数据'!J3),'Sheet4-原始数据'!J3,"")</f>
        <v>0.692307692307692</v>
      </c>
      <c r="U18" s="26">
        <f>IF(ISNUMBER('Sheet4-原始数据'!I3),'Sheet4-原始数据'!I3,"")</f>
        <v>0.648648648648649</v>
      </c>
      <c r="V18" s="45">
        <f>IF(AND(ISNUMBER(T18),ISNUMBER(U18)),(U18*'Sheet1-指标体系'!$J$6-T18*'Sheet1-指标体系'!$J$5)/'Sheet1-指标体系'!$J$7,"")</f>
        <v>0.625</v>
      </c>
      <c r="W18" s="37">
        <f t="shared" si="2"/>
        <v>69.2307692307692</v>
      </c>
      <c r="X18" s="37">
        <f>IF(G18&lt;&gt;"入池","",IF(ISNUMBER(V18),IF(AND(V18&gt;=0,V18&lt;=1),V18*'Sheet1-指标体系'!$J$18,IF(MAX(0,(F18-'Sheet1-指标体系'!$J$15)*'Sheet1-指标体系'!$J$20)&lt;'Sheet1-指标体系'!$J$19,'Sheet1-指标体系'!$J$18,"")),IF(MAX(0,(F18-'Sheet1-指标体系'!$J$15)*'Sheet1-指标体系'!$J$20)&lt;'Sheet1-指标体系'!$J$19,'Sheet1-指标体系'!$J$18,"")))</f>
        <v>62.5</v>
      </c>
      <c r="Y18" s="37">
        <f>IF(ISNUMBER(W18),IF(ISNUMBER(X18),ROUND(W18*'Sheet1-指标体系'!$J$8+X18*'Sheet1-指标体系'!$J$9,2),W18),"")</f>
        <v>66.54</v>
      </c>
      <c r="Z18" s="45">
        <f t="shared" si="3"/>
        <v>0.130615358535345</v>
      </c>
      <c r="AA18" s="26">
        <f>IF(ISNUMBER('Sheet4-原始数据'!K3),'Sheet4-原始数据'!K3,"")</f>
        <v>0.130615358535345</v>
      </c>
      <c r="AB18" s="45">
        <f t="shared" si="4"/>
        <v>0.130615358535345</v>
      </c>
      <c r="AC18" s="37">
        <f t="shared" si="5"/>
        <v>4.05</v>
      </c>
      <c r="AD18" s="30">
        <f>IF(ISNUMBER('Sheet4-原始数据'!M3),'Sheet4-原始数据'!M3,"")</f>
        <v>3.49695537333081</v>
      </c>
      <c r="AE18" s="45" t="str">
        <f>IF(AND(ISNUMBER(P18),ISNUMBER(AA18),ISNUMBER(Z18)),IF(AA18&gt;Z18+'Sheet1-指标体系'!$J$11,AA18,""),"")</f>
        <v/>
      </c>
      <c r="AF18" s="37" t="str">
        <f t="shared" si="6"/>
        <v/>
      </c>
      <c r="AG18" s="37">
        <f t="shared" si="7"/>
        <v>29.58</v>
      </c>
      <c r="AH18" s="37" t="str">
        <f t="shared" si="8"/>
        <v/>
      </c>
      <c r="AI18" s="37">
        <f>IF(ISNUMBER(AG18),IF(ISNUMBER(AH18),ROUND(AG18*'Sheet1-指标体系'!$J$8+AH18*'Sheet1-指标体系'!$J$9,2),AG18),"")</f>
        <v>29.58</v>
      </c>
      <c r="AJ18" s="45">
        <f>IF(NOT(ISNUMBER(F18)),"",IF(F18&gt;='Sheet1-指标体系'!$J$16,IF(ISNUMBER(N18),N18,""),IF(ISNUMBER(O18),O18,"")))</f>
        <v>0.245457942277343</v>
      </c>
      <c r="AK18" s="37">
        <f>IF(AND(G18="入池",ISNUMBER(M18),ISNUMBER(AJ18)),IF(M18&gt;=AJ18,'Sheet1-指标体系'!$J$18,IF(AJ18-M18&lt;'Sheet1-指标体系'!$J$10,'Sheet1-指标体系'!$J$22,'Sheet1-指标体系'!$J$23)),"")</f>
        <v>100</v>
      </c>
      <c r="AL18" s="37">
        <f>IF((IF(ISNUMBER(I18),'Sheet1-指标体系'!$G$4,0)+IF(ISNUMBER(K18),'Sheet1-指标体系'!$G$5,0)+IF(ISNUMBER(L18),'Sheet1-指标体系'!$G$6,0))&gt;0,ROUND((IF(ISNUMBER(I18),I18*'Sheet1-指标体系'!$G$4,0)+IF(ISNUMBER(K18),K18*'Sheet1-指标体系'!$G$5,0)+IF(ISNUMBER(L18),L18*'Sheet1-指标体系'!$G$6,0))/(IF(ISNUMBER(I18),'Sheet1-指标体系'!$G$4,0)+IF(ISNUMBER(K18),'Sheet1-指标体系'!$G$5,0)+IF(ISNUMBER(L18),'Sheet1-指标体系'!$G$6,0)),2),"")</f>
        <v>88</v>
      </c>
      <c r="AM18" s="37">
        <f t="shared" si="9"/>
        <v>86.57</v>
      </c>
      <c r="AN18" s="37">
        <f t="shared" si="10"/>
        <v>4.05</v>
      </c>
      <c r="AO18" s="37">
        <f t="shared" si="11"/>
        <v>29.58</v>
      </c>
      <c r="AP18" s="37">
        <f t="shared" si="12"/>
        <v>100</v>
      </c>
      <c r="AQ18" s="38">
        <f t="shared" si="13"/>
        <v>0.88</v>
      </c>
      <c r="AR18" s="37">
        <f t="shared" si="14"/>
        <v>46.8504876923077</v>
      </c>
      <c r="AS18" s="37">
        <f t="shared" si="15"/>
        <v>53.24</v>
      </c>
      <c r="AT18" s="40">
        <f>IF(OR(G18&lt;&gt;"入池",NOT(ISNUMBER(AS18))),"",COUNTIFS($G$17:$G$99,"入池",$AS$17:$AS$99,"&gt;"&amp;AS18)+COUNTIFS($G$17:$G$99,"入池",$AS$17:$AS$99,AS18,$AQ$17:$AQ$99,"&gt;"&amp;AQ18)+COUNTIFS($G$17:G18,"入池",$AS$17:AS18,AS18,$AQ$17:AQ18,AQ18))</f>
        <v>53</v>
      </c>
      <c r="AU18" s="46" t="str">
        <f>IF(NOT(ISNUMBER(I18)),"管理人规模；","")&amp;IF(NOT(ISNUMBER(K18)),"产品规模标识；","")&amp;IF(NOT(ISNUMBER(M18)),"近一年收益；","")&amp;IF(NOT(ISNUMBER(T18)),"近一年胜率；","")&amp;IF(NOT(ISNUMBER(N18)),"近三年收益；","")&amp;IF(NOT(ISNUMBER(U18)),"近三年胜率；","")&amp;IF(NOT(ISNUMBER(AA18)),"近三年回撤；","")&amp;IF(NOT(ISNUMBER(AD18)),"近一年卡玛；","")&amp;IF(ISNUMBER(F18),IF(AND(F18&lt;'Sheet1-指标体系'!$J$16,NOT(ISNUMBER(O18))),"成立以来年化；",""),"成立日期；")&amp;IF(ISNUMBER(V18),IF(OR(V18&lt;0,V18&gt;1),"胜率窗口口径不一致；",""),"")&amp;IF(ISNUMBER(P18),IF(NOT(ISNUMBER(AE18)),"DD_long不可识别；",""),"")</f>
        <v>DD_long不可识别；</v>
      </c>
      <c r="AV18" s="37" t="str">
        <f>IF(ABS(SUM(CA18:CK18)-'Sheet1-指标体系'!$J$25)&lt;0.0000000001,SUM(BP18:BZ18),"")</f>
        <v/>
      </c>
      <c r="AW18" s="36" t="str">
        <f>IF(G18&lt;&gt;"入池",G18,IF(AQ18=0,"无有效评分数据",IF(ROUND(AQ18,10)=ROUND('Sheet1-指标体系'!$J$25,10),"完整赋分","暂定分／数据不完整")))</f>
        <v>暂定分／数据不完整</v>
      </c>
      <c r="AX18" s="22" t="str">
        <f>IF('Sheet4-原始数据'!C3="","",'Sheet4-原始数据'!C3)</f>
        <v>期货策略</v>
      </c>
      <c r="AY18" s="22" t="str">
        <f>IF('Sheet4-原始数据'!D3="","",'Sheet4-原始数据'!D3)</f>
        <v>量化期货</v>
      </c>
      <c r="AZ18" s="22" t="str">
        <f>IF('Sheet5-查询核对'!S3="","",'Sheet5-查询核对'!S3)</f>
        <v>管理期货—量化CTA</v>
      </c>
      <c r="BA18" s="25">
        <f>IF('Sheet5-查询核对'!A3="","",'Sheet5-查询核对'!A3)</f>
        <v>3</v>
      </c>
      <c r="BB18" s="22" t="str">
        <f>IF('Sheet5-查询核对'!F3="","",'Sheet5-查询核对'!F3)</f>
        <v>备案号匹配</v>
      </c>
      <c r="BC18" s="24" t="str">
        <f>IF('Sheet5-查询核对'!I3="","",'Sheet5-查询核对'!I3)</f>
        <v>https://mp.fof99.com/fund/view/b03271229e00ba58</v>
      </c>
      <c r="BD18" s="23">
        <f>IF('Sheet5-查询核对'!H3="","",'Sheet5-查询核对'!H3)</f>
        <v>46269</v>
      </c>
      <c r="BE18" s="24" t="str">
        <f>IF('Sheet5-查询核对'!L3="","",'Sheet5-查询核对'!L3)</f>
        <v>https://gs.amac.org.cn/amac-infodisc/res/pof/manager/1801301704109241.html</v>
      </c>
      <c r="BF18" s="23">
        <f>IF('Sheet5-查询核对'!M3="","",'Sheet5-查询核对'!M3)</f>
        <v>46276</v>
      </c>
      <c r="BG18" s="24" t="str">
        <f>IF('Sheet5-查询核对'!O3="","",'Sheet5-查询核对'!O3)</f>
        <v>https://gs.amac.org.cn/amac-infodisc/res/pof/fund/2212071732101603.html</v>
      </c>
      <c r="BH18" s="23">
        <f>IF('Sheet5-查询核对'!P3="","",'Sheet5-查询核对'!P3)</f>
        <v>46276</v>
      </c>
      <c r="BI18" s="22" t="str">
        <f>IF('Sheet5-查询核对'!D3="","",'Sheet5-查询核对'!D3)</f>
        <v>SXL267</v>
      </c>
      <c r="BJ18">
        <f>IF(ISNUMBER(AT18),AT18,COUNT($AT$17:$AT$99)+ROWS($AT$17:AT18)-COUNT($AT$17:AT18))</f>
        <v>53</v>
      </c>
      <c r="BK18" s="2">
        <f t="shared" si="16"/>
        <v>1</v>
      </c>
      <c r="BL18" s="2">
        <f t="shared" si="17"/>
        <v>1</v>
      </c>
      <c r="BM18" s="2">
        <f t="shared" si="18"/>
        <v>1</v>
      </c>
      <c r="BN18" s="2">
        <f t="shared" si="19"/>
        <v>1</v>
      </c>
      <c r="BO18" s="2">
        <f t="shared" si="20"/>
        <v>0</v>
      </c>
      <c r="BP18" s="48">
        <f>IF(G18="入池",IF(ISNUMBER(I18),I18*('Sheet1-指标体系'!$G$4),0),0)</f>
        <v>4.2</v>
      </c>
      <c r="BQ18" s="48">
        <f>IF(G18="入池",IF(ISNUMBER(K18),K18*('Sheet1-指标体系'!$G$5),0),0)</f>
        <v>4.5</v>
      </c>
      <c r="BR18" s="48">
        <f>IF(G18="入池",IF(ISNUMBER(L18),L18*('Sheet1-指标体系'!$G$6),0),0)</f>
        <v>4.5</v>
      </c>
      <c r="BS18" s="48">
        <f>IF(G18="入池",IF(ISNUMBER(Q18),Q18*('Sheet1-指标体系'!$G$7*'Sheet1-指标体系'!$J$8),0),0)</f>
        <v>8.4</v>
      </c>
      <c r="BT18" s="48">
        <f>IF(G18="入池",IF(ISNUMBER(R18),R18*('Sheet1-指标体系'!$G$7*'Sheet1-指标体系'!$J$9),0),0)</f>
        <v>4.92128</v>
      </c>
      <c r="BU18" s="48">
        <f>IF(G18="入池",IF(ISNUMBER(W18),W18*('Sheet1-指标体系'!$G$8*'Sheet1-指标体系'!$J$8),0),0)</f>
        <v>2.49230769230769</v>
      </c>
      <c r="BV18" s="48">
        <f>IF(G18="入池",IF(ISNUMBER(X18),X18*('Sheet1-指标体系'!$G$8*'Sheet1-指标体系'!$J$9),0),0)</f>
        <v>1.5</v>
      </c>
      <c r="BW18" s="48">
        <f>IF(G18="入池",IF(ISNUMBER(AC18),AC18*('Sheet1-指标体系'!$G$9),0),0)</f>
        <v>1.0125</v>
      </c>
      <c r="BX18" s="48">
        <f>IF(G18="入池",IF(ISNUMBER(AG18),AG18*('Sheet1-指标体系'!$G$10*'Sheet1-指标体系'!$J$8),0),0)</f>
        <v>5.3244</v>
      </c>
      <c r="BY18" s="48">
        <f>IF(G18="入池",IF(ISNUMBER(AH18),AH18*('Sheet1-指标体系'!$G$10*'Sheet1-指标体系'!$J$9),0),0)</f>
        <v>0</v>
      </c>
      <c r="BZ18" s="48">
        <f>IF(G18="入池",IF(ISNUMBER(AK18),AK18*('Sheet1-指标体系'!$G$11),0),0)</f>
        <v>10</v>
      </c>
      <c r="CA18" s="49">
        <f>IF(G18="入池",IF(ISNUMBER(I18),'Sheet1-指标体系'!$G$4,0),0)</f>
        <v>0.06</v>
      </c>
      <c r="CB18" s="49">
        <f>IF(G18="入池",IF(ISNUMBER(K18),'Sheet1-指标体系'!$G$5,0),0)</f>
        <v>0.045</v>
      </c>
      <c r="CC18" s="49">
        <f>IF(G18="入池",IF(ISNUMBER(L18),'Sheet1-指标体系'!$G$6,0),0)</f>
        <v>0.045</v>
      </c>
      <c r="CD18" s="49">
        <f>IF(G18="入池",IF(ISNUMBER(Q18),'Sheet1-指标体系'!$G$7*'Sheet1-指标体系'!$J$8,0),0)</f>
        <v>0.084</v>
      </c>
      <c r="CE18" s="49">
        <f>IF(G18="入池",IF(ISNUMBER(R18),'Sheet1-指标体系'!$G$7*'Sheet1-指标体系'!$J$9,0),0)</f>
        <v>0.056</v>
      </c>
      <c r="CF18" s="49">
        <f>IF(G18="入池",IF(ISNUMBER(W18),'Sheet1-指标体系'!$G$8*'Sheet1-指标体系'!$J$8,0),0)</f>
        <v>0.036</v>
      </c>
      <c r="CG18" s="49">
        <f>IF(G18="入池",IF(ISNUMBER(X18),'Sheet1-指标体系'!$G$8*'Sheet1-指标体系'!$J$9,0),0)</f>
        <v>0.024</v>
      </c>
      <c r="CH18" s="49">
        <f>IF(G18="入池",IF(ISNUMBER(AC18),'Sheet1-指标体系'!$G$9,0),0)</f>
        <v>0.25</v>
      </c>
      <c r="CI18" s="49">
        <f>IF(G18="入池",IF(ISNUMBER(AG18),'Sheet1-指标体系'!$G$10*'Sheet1-指标体系'!$J$8,0),0)</f>
        <v>0.18</v>
      </c>
      <c r="CJ18" s="49">
        <f>IF(G18="入池",IF(ISNUMBER(AH18),'Sheet1-指标体系'!$G$10*'Sheet1-指标体系'!$J$9,0),0)</f>
        <v>0</v>
      </c>
      <c r="CK18" s="49">
        <f>IF(G18="入池",IF(ISNUMBER(AK18),'Sheet1-指标体系'!$G$11,0),0)</f>
        <v>0.1</v>
      </c>
    </row>
    <row r="19" ht="44" customHeight="1" spans="1:89">
      <c r="A19" s="40">
        <f>'Sheet5-查询核对'!A4-1</f>
        <v>3</v>
      </c>
      <c r="B19" s="24" t="str">
        <f>IF('Sheet4-原始数据'!A4="",'Sheet5-查询核对'!B4,'Sheet4-原始数据'!A4)</f>
        <v>博牛转债策略2号</v>
      </c>
      <c r="C19" s="22" t="str">
        <f>IF('Sheet4-原始数据'!B4="","",'Sheet4-原始数据'!B4)</f>
        <v>SVY871</v>
      </c>
      <c r="D19" s="22" t="str">
        <f>IF('Sheet4-原始数据'!E4="","",'Sheet4-原始数据'!E4)</f>
        <v>广州博牛</v>
      </c>
      <c r="E19" s="23">
        <f>IF('Sheet4-原始数据'!F4="","",'Sheet4-原始数据'!F4)</f>
        <v>44788</v>
      </c>
      <c r="F19" s="37">
        <f>IF(ISNUMBER(E19),ROUND(('Sheet1-指标体系'!$J$12-E19)/'Sheet1-指标体系'!$J$14,4),"")</f>
        <v>4.0712</v>
      </c>
      <c r="G19" s="36" t="str">
        <f>IF(C19="","未匹配",IF(NOT(ISNUMBER(F19)),"缺成立日期",IF(F19&lt;'Sheet1-指标体系'!$J$15,"不入池","入池")))</f>
        <v>入池</v>
      </c>
      <c r="H19" s="22" t="str">
        <f>IF('Sheet5-查询核对'!K4="","",'Sheet5-查询核对'!K4)</f>
        <v>5-10亿元</v>
      </c>
      <c r="I19" s="37">
        <f>IF(H19="","",IF(COUNTIF('Sheet1-指标体系'!$P$4:$P$10,H19)=0,"",INDEX('Sheet1-指标体系'!$Q$4:$Q$10,MATCH(H19,'Sheet1-指标体系'!$P$4:$P$10,0))))</f>
        <v>70</v>
      </c>
      <c r="J19" s="44" t="str">
        <f>IF(NOT(ISNUMBER('Sheet5-查询核对'!N4)),"",IF('Sheet5-查询核对'!N4=1,"低于"&amp;'Sheet1-指标体系'!$J$4&amp;"万元",IF('Sheet5-查询核对'!N4=0,"无低于"&amp;'Sheet1-指标体系'!$J$4&amp;"万元标识","")))</f>
        <v>无低于1000万元标识</v>
      </c>
      <c r="K19" s="37">
        <f>IF(NOT(ISNUMBER('Sheet5-查询核对'!N4)),"",IF('Sheet5-查询核对'!N4=1,'Sheet1-指标体系'!$J$21,IF('Sheet5-查询核对'!N4=0,'Sheet1-指标体系'!$J$18,"")))</f>
        <v>100</v>
      </c>
      <c r="L19" s="37">
        <f>IF(NOT(ISNUMBER(F19)),"",IF(F19&lt;'Sheet1-指标体系'!$J$15,"",IF(F19&lt;'Sheet1-指标体系'!$J$16,'Sheet1-指标体系'!$J$17,'Sheet1-指标体系'!$J$18)))</f>
        <v>100</v>
      </c>
      <c r="M19" s="26">
        <f>IF(ISNUMBER('Sheet4-原始数据'!G4),'Sheet4-原始数据'!G4,"")</f>
        <v>-0.0148</v>
      </c>
      <c r="N19" s="26">
        <f>IF(ISNUMBER('Sheet4-原始数据'!H4),'Sheet4-原始数据'!H4,"")</f>
        <v>0.0427</v>
      </c>
      <c r="O19" s="26">
        <f>IF(ISNUMBER('Sheet5-查询核对'!Q4),'Sheet5-查询核对'!Q4,"")</f>
        <v>0.0478</v>
      </c>
      <c r="P19" s="45">
        <f>IF(G19&lt;&gt;"入池","",IF(F19&gt;='Sheet1-指标体系'!$J$16,IF(AND(ISNUMBER(M19),ISNUMBER(N19)),IF(AND(1+M19&gt;0,1+N19&gt;=0),((1+N19)^'Sheet1-指标体系'!$J$16/(1+M19))^(1/('Sheet1-指标体系'!$J$16-1))-1,""),""),IF(AND(ISNUMBER(M19),ISNUMBER(O19)),IF(AND(F19&gt;1,1+M19&gt;0,1+O19&gt;=0),((1+O19)^F19/(1+M19))^(1/(F19-1))-1,""),"")))</f>
        <v>0.0726964879502778</v>
      </c>
      <c r="Q19" s="37">
        <f t="shared" si="0"/>
        <v>1.39</v>
      </c>
      <c r="R19" s="37">
        <f t="shared" si="1"/>
        <v>43.94</v>
      </c>
      <c r="S19" s="37">
        <f>IF(ISNUMBER(Q19),IF(ISNUMBER(R19),ROUND(Q19*'Sheet1-指标体系'!$J$8+R19*'Sheet1-指标体系'!$J$9,2),Q19),"")</f>
        <v>18.41</v>
      </c>
      <c r="T19" s="26">
        <f>IF(ISNUMBER('Sheet4-原始数据'!J4),'Sheet4-原始数据'!J4,"")</f>
        <v>0.3077</v>
      </c>
      <c r="U19" s="26">
        <f>IF(ISNUMBER('Sheet4-原始数据'!I4),'Sheet4-原始数据'!I4,"")</f>
        <v>0.5946</v>
      </c>
      <c r="V19" s="45">
        <f>IF(AND(ISNUMBER(T19),ISNUMBER(U19)),(U19*'Sheet1-指标体系'!$J$6-T19*'Sheet1-指标体系'!$J$5)/'Sheet1-指标体系'!$J$7,"")</f>
        <v>0.750004166666667</v>
      </c>
      <c r="W19" s="37">
        <f t="shared" si="2"/>
        <v>30.77</v>
      </c>
      <c r="X19" s="37">
        <f>IF(G19&lt;&gt;"入池","",IF(ISNUMBER(V19),IF(AND(V19&gt;=0,V19&lt;=1),V19*'Sheet1-指标体系'!$J$18,IF(MAX(0,(F19-'Sheet1-指标体系'!$J$15)*'Sheet1-指标体系'!$J$20)&lt;'Sheet1-指标体系'!$J$19,'Sheet1-指标体系'!$J$18,"")),IF(MAX(0,(F19-'Sheet1-指标体系'!$J$15)*'Sheet1-指标体系'!$J$20)&lt;'Sheet1-指标体系'!$J$19,'Sheet1-指标体系'!$J$18,"")))</f>
        <v>75.0004166666667</v>
      </c>
      <c r="Y19" s="37">
        <f>IF(ISNUMBER(W19),IF(ISNUMBER(X19),ROUND(W19*'Sheet1-指标体系'!$J$8+X19*'Sheet1-指标体系'!$J$9,2),W19),"")</f>
        <v>48.46</v>
      </c>
      <c r="Z19" s="45">
        <f t="shared" si="3"/>
        <v>0.0448756822316556</v>
      </c>
      <c r="AA19" s="26">
        <f>IF(ISNUMBER('Sheet4-原始数据'!K4),'Sheet4-原始数据'!K4,"")</f>
        <v>0.045</v>
      </c>
      <c r="AB19" s="45">
        <f t="shared" si="4"/>
        <v>0.045</v>
      </c>
      <c r="AC19" s="37">
        <f t="shared" si="5"/>
        <v>20.27</v>
      </c>
      <c r="AD19" s="30">
        <f>IF(ISNUMBER('Sheet4-原始数据'!M4),'Sheet4-原始数据'!M4,"")</f>
        <v>-0.3298</v>
      </c>
      <c r="AE19" s="45">
        <f>IF(AND(ISNUMBER(P19),ISNUMBER(AA19),ISNUMBER(Z19)),IF(AA19&gt;Z19+'Sheet1-指标体系'!$J$11,AA19,""),"")</f>
        <v>0.045</v>
      </c>
      <c r="AF19" s="37">
        <f t="shared" si="6"/>
        <v>1.61547751000617</v>
      </c>
      <c r="AG19" s="37">
        <f t="shared" si="7"/>
        <v>1.41</v>
      </c>
      <c r="AH19" s="37">
        <f t="shared" si="8"/>
        <v>25</v>
      </c>
      <c r="AI19" s="37">
        <f>IF(ISNUMBER(AG19),IF(ISNUMBER(AH19),ROUND(AG19*'Sheet1-指标体系'!$J$8+AH19*'Sheet1-指标体系'!$J$9,2),AG19),"")</f>
        <v>10.85</v>
      </c>
      <c r="AJ19" s="45">
        <f>IF(NOT(ISNUMBER(F19)),"",IF(F19&gt;='Sheet1-指标体系'!$J$16,IF(ISNUMBER(N19),N19,""),IF(ISNUMBER(O19),O19,"")))</f>
        <v>0.0427</v>
      </c>
      <c r="AK19" s="37">
        <f>IF(AND(G19="入池",ISNUMBER(M19),ISNUMBER(AJ19)),IF(M19&gt;=AJ19,'Sheet1-指标体系'!$J$18,IF(AJ19-M19&lt;'Sheet1-指标体系'!$J$10,'Sheet1-指标体系'!$J$22,'Sheet1-指标体系'!$J$23)),"")</f>
        <v>80</v>
      </c>
      <c r="AL19" s="37">
        <f>IF((IF(ISNUMBER(I19),'Sheet1-指标体系'!$G$4,0)+IF(ISNUMBER(K19),'Sheet1-指标体系'!$G$5,0)+IF(ISNUMBER(L19),'Sheet1-指标体系'!$G$6,0))&gt;0,ROUND((IF(ISNUMBER(I19),I19*'Sheet1-指标体系'!$G$4,0)+IF(ISNUMBER(K19),K19*'Sheet1-指标体系'!$G$5,0)+IF(ISNUMBER(L19),L19*'Sheet1-指标体系'!$G$6,0))/(IF(ISNUMBER(I19),'Sheet1-指标体系'!$G$4,0)+IF(ISNUMBER(K19),'Sheet1-指标体系'!$G$5,0)+IF(ISNUMBER(L19),'Sheet1-指标体系'!$G$6,0)),2),"")</f>
        <v>88</v>
      </c>
      <c r="AM19" s="37">
        <f t="shared" si="9"/>
        <v>27.43</v>
      </c>
      <c r="AN19" s="37">
        <f t="shared" si="10"/>
        <v>20.27</v>
      </c>
      <c r="AO19" s="37">
        <f t="shared" si="11"/>
        <v>10.85</v>
      </c>
      <c r="AP19" s="37">
        <f t="shared" si="12"/>
        <v>80</v>
      </c>
      <c r="AQ19" s="38">
        <f t="shared" si="13"/>
        <v>1</v>
      </c>
      <c r="AR19" s="37">
        <f t="shared" si="14"/>
        <v>35.00643</v>
      </c>
      <c r="AS19" s="37">
        <f t="shared" si="15"/>
        <v>35.01</v>
      </c>
      <c r="AT19" s="40">
        <f>IF(OR(G19&lt;&gt;"入池",NOT(ISNUMBER(AS19))),"",COUNTIFS($G$17:$G$99,"入池",$AS$17:$AS$99,"&gt;"&amp;AS19)+COUNTIFS($G$17:$G$99,"入池",$AS$17:$AS$99,AS19,$AQ$17:$AQ$99,"&gt;"&amp;AQ19)+COUNTIFS($G$17:G19,"入池",$AS$17:AS19,AS19,$AQ$17:AQ19,AQ19))</f>
        <v>74</v>
      </c>
      <c r="AU19" s="46" t="str">
        <f>IF(NOT(ISNUMBER(I19)),"管理人规模；","")&amp;IF(NOT(ISNUMBER(K19)),"产品规模标识；","")&amp;IF(NOT(ISNUMBER(M19)),"近一年收益；","")&amp;IF(NOT(ISNUMBER(T19)),"近一年胜率；","")&amp;IF(NOT(ISNUMBER(N19)),"近三年收益；","")&amp;IF(NOT(ISNUMBER(U19)),"近三年胜率；","")&amp;IF(NOT(ISNUMBER(AA19)),"近三年回撤；","")&amp;IF(NOT(ISNUMBER(AD19)),"近一年卡玛；","")&amp;IF(ISNUMBER(F19),IF(AND(F19&lt;'Sheet1-指标体系'!$J$16,NOT(ISNUMBER(O19))),"成立以来年化；",""),"成立日期；")&amp;IF(ISNUMBER(V19),IF(OR(V19&lt;0,V19&gt;1),"胜率窗口口径不一致；",""),"")&amp;IF(ISNUMBER(P19),IF(NOT(ISNUMBER(AE19)),"DD_long不可识别；",""),"")</f>
        <v/>
      </c>
      <c r="AV19" s="37">
        <f>IF(ABS(SUM(CA19:CK19)-'Sheet1-指标体系'!$J$25)&lt;0.0000000001,SUM(BP19:BZ19),"")</f>
        <v>35.00643</v>
      </c>
      <c r="AW19" s="36" t="str">
        <f>IF(G19&lt;&gt;"入池",G19,IF(AQ19=0,"无有效评分数据",IF(ROUND(AQ19,10)=ROUND('Sheet1-指标体系'!$J$25,10),"完整赋分","暂定分／数据不完整")))</f>
        <v>完整赋分</v>
      </c>
      <c r="AX19" s="22" t="str">
        <f>IF('Sheet4-原始数据'!C4="","",'Sheet4-原始数据'!C4)</f>
        <v>套利策略</v>
      </c>
      <c r="AY19" s="22" t="str">
        <f>IF('Sheet4-原始数据'!D4="","",'Sheet4-原始数据'!D4)</f>
        <v>可转债套利</v>
      </c>
      <c r="AZ19" s="22" t="str">
        <f>IF('Sheet5-查询核对'!S4="","",'Sheet5-查询核对'!S4)</f>
        <v>套利策略—可转债套利</v>
      </c>
      <c r="BA19" s="25">
        <f>IF('Sheet5-查询核对'!A4="","",'Sheet5-查询核对'!A4)</f>
        <v>4</v>
      </c>
      <c r="BB19" s="22" t="str">
        <f>IF('Sheet5-查询核对'!F4="","",'Sheet5-查询核对'!F4)</f>
        <v>备案号匹配</v>
      </c>
      <c r="BC19" s="24" t="str">
        <f>IF('Sheet5-查询核对'!I4="","",'Sheet5-查询核对'!I4)</f>
        <v>https://mp.fof99.com/fund/view/9b20523c2bad1cdc</v>
      </c>
      <c r="BD19" s="23">
        <f>IF('Sheet5-查询核对'!H4="","",'Sheet5-查询核对'!H4)</f>
        <v>46269</v>
      </c>
      <c r="BE19" s="24" t="str">
        <f>IF('Sheet5-查询核对'!L4="","",'Sheet5-查询核对'!L4)</f>
        <v>https://gs.amac.org.cn/amac-infodisc/res/pof/manager/1801020956105866.html</v>
      </c>
      <c r="BF19" s="23">
        <f>IF('Sheet5-查询核对'!M4="","",'Sheet5-查询核对'!M4)</f>
        <v>46276</v>
      </c>
      <c r="BG19" s="24" t="str">
        <f>IF('Sheet5-查询核对'!O4="","",'Sheet5-查询核对'!O4)</f>
        <v>https://gs.amac.org.cn/amac-infodisc/res/pof/fund/2208121907108282.html</v>
      </c>
      <c r="BH19" s="23">
        <f>IF('Sheet5-查询核对'!P4="","",'Sheet5-查询核对'!P4)</f>
        <v>46276</v>
      </c>
      <c r="BI19" s="22" t="str">
        <f>IF('Sheet5-查询核对'!D4="","",'Sheet5-查询核对'!D4)</f>
        <v>SVY871</v>
      </c>
      <c r="BJ19">
        <f>IF(ISNUMBER(AT19),AT19,COUNT($AT$17:$AT$99)+ROWS($AT$17:AT19)-COUNT($AT$17:AT19))</f>
        <v>74</v>
      </c>
      <c r="BK19" s="2">
        <f t="shared" si="16"/>
        <v>1</v>
      </c>
      <c r="BL19" s="2">
        <f t="shared" si="17"/>
        <v>1</v>
      </c>
      <c r="BM19" s="2">
        <f t="shared" si="18"/>
        <v>1</v>
      </c>
      <c r="BN19" s="2">
        <f t="shared" si="19"/>
        <v>1</v>
      </c>
      <c r="BO19" s="2">
        <f t="shared" si="20"/>
        <v>1</v>
      </c>
      <c r="BP19" s="48">
        <f>IF(G19="入池",IF(ISNUMBER(I19),I19*('Sheet1-指标体系'!$G$4),0),0)</f>
        <v>4.2</v>
      </c>
      <c r="BQ19" s="48">
        <f>IF(G19="入池",IF(ISNUMBER(K19),K19*('Sheet1-指标体系'!$G$5),0),0)</f>
        <v>4.5</v>
      </c>
      <c r="BR19" s="48">
        <f>IF(G19="入池",IF(ISNUMBER(L19),L19*('Sheet1-指标体系'!$G$6),0),0)</f>
        <v>4.5</v>
      </c>
      <c r="BS19" s="48">
        <f>IF(G19="入池",IF(ISNUMBER(Q19),Q19*('Sheet1-指标体系'!$G$7*'Sheet1-指标体系'!$J$8),0),0)</f>
        <v>0.11676</v>
      </c>
      <c r="BT19" s="48">
        <f>IF(G19="入池",IF(ISNUMBER(R19),R19*('Sheet1-指标体系'!$G$7*'Sheet1-指标体系'!$J$9),0),0)</f>
        <v>2.46064</v>
      </c>
      <c r="BU19" s="48">
        <f>IF(G19="入池",IF(ISNUMBER(W19),W19*('Sheet1-指标体系'!$G$8*'Sheet1-指标体系'!$J$8),0),0)</f>
        <v>1.10772</v>
      </c>
      <c r="BV19" s="48">
        <f>IF(G19="入池",IF(ISNUMBER(X19),X19*('Sheet1-指标体系'!$G$8*'Sheet1-指标体系'!$J$9),0),0)</f>
        <v>1.80001</v>
      </c>
      <c r="BW19" s="48">
        <f>IF(G19="入池",IF(ISNUMBER(AC19),AC19*('Sheet1-指标体系'!$G$9),0),0)</f>
        <v>5.0675</v>
      </c>
      <c r="BX19" s="48">
        <f>IF(G19="入池",IF(ISNUMBER(AG19),AG19*('Sheet1-指标体系'!$G$10*'Sheet1-指标体系'!$J$8),0),0)</f>
        <v>0.2538</v>
      </c>
      <c r="BY19" s="48">
        <f>IF(G19="入池",IF(ISNUMBER(AH19),AH19*('Sheet1-指标体系'!$G$10*'Sheet1-指标体系'!$J$9),0),0)</f>
        <v>3</v>
      </c>
      <c r="BZ19" s="48">
        <f>IF(G19="入池",IF(ISNUMBER(AK19),AK19*('Sheet1-指标体系'!$G$11),0),0)</f>
        <v>8</v>
      </c>
      <c r="CA19" s="49">
        <f>IF(G19="入池",IF(ISNUMBER(I19),'Sheet1-指标体系'!$G$4,0),0)</f>
        <v>0.06</v>
      </c>
      <c r="CB19" s="49">
        <f>IF(G19="入池",IF(ISNUMBER(K19),'Sheet1-指标体系'!$G$5,0),0)</f>
        <v>0.045</v>
      </c>
      <c r="CC19" s="49">
        <f>IF(G19="入池",IF(ISNUMBER(L19),'Sheet1-指标体系'!$G$6,0),0)</f>
        <v>0.045</v>
      </c>
      <c r="CD19" s="49">
        <f>IF(G19="入池",IF(ISNUMBER(Q19),'Sheet1-指标体系'!$G$7*'Sheet1-指标体系'!$J$8,0),0)</f>
        <v>0.084</v>
      </c>
      <c r="CE19" s="49">
        <f>IF(G19="入池",IF(ISNUMBER(R19),'Sheet1-指标体系'!$G$7*'Sheet1-指标体系'!$J$9,0),0)</f>
        <v>0.056</v>
      </c>
      <c r="CF19" s="49">
        <f>IF(G19="入池",IF(ISNUMBER(W19),'Sheet1-指标体系'!$G$8*'Sheet1-指标体系'!$J$8,0),0)</f>
        <v>0.036</v>
      </c>
      <c r="CG19" s="49">
        <f>IF(G19="入池",IF(ISNUMBER(X19),'Sheet1-指标体系'!$G$8*'Sheet1-指标体系'!$J$9,0),0)</f>
        <v>0.024</v>
      </c>
      <c r="CH19" s="49">
        <f>IF(G19="入池",IF(ISNUMBER(AC19),'Sheet1-指标体系'!$G$9,0),0)</f>
        <v>0.25</v>
      </c>
      <c r="CI19" s="49">
        <f>IF(G19="入池",IF(ISNUMBER(AG19),'Sheet1-指标体系'!$G$10*'Sheet1-指标体系'!$J$8,0),0)</f>
        <v>0.18</v>
      </c>
      <c r="CJ19" s="49">
        <f>IF(G19="入池",IF(ISNUMBER(AH19),'Sheet1-指标体系'!$G$10*'Sheet1-指标体系'!$J$9,0),0)</f>
        <v>0.12</v>
      </c>
      <c r="CK19" s="49">
        <f>IF(G19="入池",IF(ISNUMBER(AK19),'Sheet1-指标体系'!$G$11,0),0)</f>
        <v>0.1</v>
      </c>
    </row>
    <row r="20" ht="44" customHeight="1" spans="1:89">
      <c r="A20" s="40">
        <f>'Sheet5-查询核对'!A5-1</f>
        <v>4</v>
      </c>
      <c r="B20" s="24" t="str">
        <f>IF('Sheet4-原始数据'!A5="",'Sheet5-查询核对'!B5,'Sheet4-原始数据'!A5)</f>
        <v>博润小牛3号</v>
      </c>
      <c r="C20" s="22" t="str">
        <f>IF('Sheet4-原始数据'!B5="","",'Sheet4-原始数据'!B5)</f>
        <v>STV728</v>
      </c>
      <c r="D20" s="22" t="str">
        <f>IF('Sheet4-原始数据'!E5="","",'Sheet4-原始数据'!E5)</f>
        <v>北京博润银泰投资</v>
      </c>
      <c r="E20" s="23">
        <f>IF('Sheet4-原始数据'!F5="","",'Sheet4-原始数据'!F5)</f>
        <v>44624</v>
      </c>
      <c r="F20" s="37">
        <f>IF(ISNUMBER(E20),ROUND(('Sheet1-指标体系'!$J$12-E20)/'Sheet1-指标体系'!$J$14,4),"")</f>
        <v>4.5202</v>
      </c>
      <c r="G20" s="36" t="str">
        <f>IF(C20="","未匹配",IF(NOT(ISNUMBER(F20)),"缺成立日期",IF(F20&lt;'Sheet1-指标体系'!$J$15,"不入池","入池")))</f>
        <v>入池</v>
      </c>
      <c r="H20" s="22" t="str">
        <f>IF('Sheet5-查询核对'!K5="","",'Sheet5-查询核对'!K5)</f>
        <v>100亿元以上</v>
      </c>
      <c r="I20" s="37">
        <f>IF(H20="","",IF(COUNTIF('Sheet1-指标体系'!$P$4:$P$10,H20)=0,"",INDEX('Sheet1-指标体系'!$Q$4:$Q$10,MATCH(H20,'Sheet1-指标体系'!$P$4:$P$10,0))))</f>
        <v>100</v>
      </c>
      <c r="J20" s="44" t="str">
        <f>IF(NOT(ISNUMBER('Sheet5-查询核对'!N5)),"",IF('Sheet5-查询核对'!N5=1,"低于"&amp;'Sheet1-指标体系'!$J$4&amp;"万元",IF('Sheet5-查询核对'!N5=0,"无低于"&amp;'Sheet1-指标体系'!$J$4&amp;"万元标识","")))</f>
        <v>无低于1000万元标识</v>
      </c>
      <c r="K20" s="37">
        <f>IF(NOT(ISNUMBER('Sheet5-查询核对'!N5)),"",IF('Sheet5-查询核对'!N5=1,'Sheet1-指标体系'!$J$21,IF('Sheet5-查询核对'!N5=0,'Sheet1-指标体系'!$J$18,"")))</f>
        <v>100</v>
      </c>
      <c r="L20" s="37">
        <f>IF(NOT(ISNUMBER(F20)),"",IF(F20&lt;'Sheet1-指标体系'!$J$15,"",IF(F20&lt;'Sheet1-指标体系'!$J$16,'Sheet1-指标体系'!$J$17,'Sheet1-指标体系'!$J$18)))</f>
        <v>100</v>
      </c>
      <c r="M20" s="26">
        <f>IF(ISNUMBER('Sheet4-原始数据'!G5),'Sheet4-原始数据'!G5,"")</f>
        <v>0.1551</v>
      </c>
      <c r="N20" s="26">
        <f>IF(ISNUMBER('Sheet4-原始数据'!H5),'Sheet4-原始数据'!H5,"")</f>
        <v>0.168</v>
      </c>
      <c r="O20" s="26">
        <f>IF(ISNUMBER('Sheet5-查询核对'!Q5),'Sheet5-查询核对'!Q5,"")</f>
        <v>0.1427</v>
      </c>
      <c r="P20" s="45">
        <f>IF(G20&lt;&gt;"入池","",IF(F20&gt;='Sheet1-指标体系'!$J$16,IF(AND(ISNUMBER(M20),ISNUMBER(N20)),IF(AND(1+M20&gt;0,1+N20&gt;=0),((1+N20)^'Sheet1-指标体系'!$J$16/(1+M20))^(1/('Sheet1-指标体系'!$J$16-1))-1,""),""),IF(AND(ISNUMBER(M20),ISNUMBER(O20)),IF(AND(F20&gt;1,1+M20&gt;0,1+O20&gt;=0),((1+O20)^F20/(1+M20))^(1/(F20-1))-1,""),"")))</f>
        <v>0.174503924405657</v>
      </c>
      <c r="Q20" s="37">
        <f t="shared" si="0"/>
        <v>80.56</v>
      </c>
      <c r="R20" s="37">
        <f t="shared" si="1"/>
        <v>96.97</v>
      </c>
      <c r="S20" s="37">
        <f>IF(ISNUMBER(Q20),IF(ISNUMBER(R20),ROUND(Q20*'Sheet1-指标体系'!$J$8+R20*'Sheet1-指标体系'!$J$9,2),Q20),"")</f>
        <v>87.12</v>
      </c>
      <c r="T20" s="26">
        <f>IF(ISNUMBER('Sheet4-原始数据'!J5),'Sheet4-原始数据'!J5,"")</f>
        <v>0.8462</v>
      </c>
      <c r="U20" s="26">
        <f>IF(ISNUMBER('Sheet4-原始数据'!I5),'Sheet4-原始数据'!I5,"")</f>
        <v>0.8378</v>
      </c>
      <c r="V20" s="45">
        <f>IF(AND(ISNUMBER(T20),ISNUMBER(U20)),(U20*'Sheet1-指标体系'!$J$6-T20*'Sheet1-指标体系'!$J$5)/'Sheet1-指标体系'!$J$7,"")</f>
        <v>0.83325</v>
      </c>
      <c r="W20" s="37">
        <f t="shared" si="2"/>
        <v>84.62</v>
      </c>
      <c r="X20" s="37">
        <f>IF(G20&lt;&gt;"入池","",IF(ISNUMBER(V20),IF(AND(V20&gt;=0,V20&lt;=1),V20*'Sheet1-指标体系'!$J$18,IF(MAX(0,(F20-'Sheet1-指标体系'!$J$15)*'Sheet1-指标体系'!$J$20)&lt;'Sheet1-指标体系'!$J$19,'Sheet1-指标体系'!$J$18,"")),IF(MAX(0,(F20-'Sheet1-指标体系'!$J$15)*'Sheet1-指标体系'!$J$20)&lt;'Sheet1-指标体系'!$J$19,'Sheet1-指标体系'!$J$18,"")))</f>
        <v>83.325</v>
      </c>
      <c r="Y20" s="37">
        <f>IF(ISNUMBER(W20),IF(ISNUMBER(X20),ROUND(W20*'Sheet1-指标体系'!$J$8+X20*'Sheet1-指标体系'!$J$9,2),W20),"")</f>
        <v>84.1</v>
      </c>
      <c r="Z20" s="45">
        <f t="shared" si="3"/>
        <v>0.0215237302248127</v>
      </c>
      <c r="AA20" s="26">
        <f>IF(ISNUMBER('Sheet4-原始数据'!K5),'Sheet4-原始数据'!K5,"")</f>
        <v>0.0223</v>
      </c>
      <c r="AB20" s="45">
        <f t="shared" si="4"/>
        <v>0.0223</v>
      </c>
      <c r="AC20" s="37">
        <f t="shared" si="5"/>
        <v>51.35</v>
      </c>
      <c r="AD20" s="30">
        <f>IF(ISNUMBER('Sheet4-原始数据'!M5),'Sheet4-原始数据'!M5,"")</f>
        <v>7.206</v>
      </c>
      <c r="AE20" s="45">
        <f>IF(AND(ISNUMBER(P20),ISNUMBER(AA20),ISNUMBER(Z20)),IF(AA20&gt;Z20+'Sheet1-指标体系'!$J$11,AA20,""),"")</f>
        <v>0.0223</v>
      </c>
      <c r="AF20" s="37">
        <f t="shared" si="6"/>
        <v>7.82528808993979</v>
      </c>
      <c r="AG20" s="37">
        <f t="shared" si="7"/>
        <v>43.66</v>
      </c>
      <c r="AH20" s="37">
        <f t="shared" si="8"/>
        <v>71.88</v>
      </c>
      <c r="AI20" s="37">
        <f>IF(ISNUMBER(AG20),IF(ISNUMBER(AH20),ROUND(AG20*'Sheet1-指标体系'!$J$8+AH20*'Sheet1-指标体系'!$J$9,2),AG20),"")</f>
        <v>54.95</v>
      </c>
      <c r="AJ20" s="45">
        <f>IF(NOT(ISNUMBER(F20)),"",IF(F20&gt;='Sheet1-指标体系'!$J$16,IF(ISNUMBER(N20),N20,""),IF(ISNUMBER(O20),O20,"")))</f>
        <v>0.168</v>
      </c>
      <c r="AK20" s="37">
        <f>IF(AND(G20="入池",ISNUMBER(M20),ISNUMBER(AJ20)),IF(M20&gt;=AJ20,'Sheet1-指标体系'!$J$18,IF(AJ20-M20&lt;'Sheet1-指标体系'!$J$10,'Sheet1-指标体系'!$J$22,'Sheet1-指标体系'!$J$23)),"")</f>
        <v>80</v>
      </c>
      <c r="AL20" s="37">
        <f>IF((IF(ISNUMBER(I20),'Sheet1-指标体系'!$G$4,0)+IF(ISNUMBER(K20),'Sheet1-指标体系'!$G$5,0)+IF(ISNUMBER(L20),'Sheet1-指标体系'!$G$6,0))&gt;0,ROUND((IF(ISNUMBER(I20),I20*'Sheet1-指标体系'!$G$4,0)+IF(ISNUMBER(K20),K20*'Sheet1-指标体系'!$G$5,0)+IF(ISNUMBER(L20),L20*'Sheet1-指标体系'!$G$6,0))/(IF(ISNUMBER(I20),'Sheet1-指标体系'!$G$4,0)+IF(ISNUMBER(K20),'Sheet1-指标体系'!$G$5,0)+IF(ISNUMBER(L20),'Sheet1-指标体系'!$G$6,0)),2),"")</f>
        <v>100</v>
      </c>
      <c r="AM20" s="37">
        <f t="shared" si="9"/>
        <v>86.22</v>
      </c>
      <c r="AN20" s="37">
        <f t="shared" si="10"/>
        <v>51.35</v>
      </c>
      <c r="AO20" s="37">
        <f t="shared" si="11"/>
        <v>54.95</v>
      </c>
      <c r="AP20" s="37">
        <f t="shared" si="12"/>
        <v>80</v>
      </c>
      <c r="AQ20" s="38">
        <f t="shared" si="13"/>
        <v>1</v>
      </c>
      <c r="AR20" s="37">
        <f t="shared" si="14"/>
        <v>69.56538</v>
      </c>
      <c r="AS20" s="37">
        <f t="shared" si="15"/>
        <v>69.57</v>
      </c>
      <c r="AT20" s="40">
        <f>IF(OR(G20&lt;&gt;"入池",NOT(ISNUMBER(AS20))),"",COUNTIFS($G$17:$G$99,"入池",$AS$17:$AS$99,"&gt;"&amp;AS20)+COUNTIFS($G$17:$G$99,"入池",$AS$17:$AS$99,AS20,$AQ$17:$AQ$99,"&gt;"&amp;AQ20)+COUNTIFS($G$17:G20,"入池",$AS$17:AS20,AS20,$AQ$17:AQ20,AQ20))</f>
        <v>34</v>
      </c>
      <c r="AU20" s="46" t="str">
        <f>IF(NOT(ISNUMBER(I20)),"管理人规模；","")&amp;IF(NOT(ISNUMBER(K20)),"产品规模标识；","")&amp;IF(NOT(ISNUMBER(M20)),"近一年收益；","")&amp;IF(NOT(ISNUMBER(T20)),"近一年胜率；","")&amp;IF(NOT(ISNUMBER(N20)),"近三年收益；","")&amp;IF(NOT(ISNUMBER(U20)),"近三年胜率；","")&amp;IF(NOT(ISNUMBER(AA20)),"近三年回撤；","")&amp;IF(NOT(ISNUMBER(AD20)),"近一年卡玛；","")&amp;IF(ISNUMBER(F20),IF(AND(F20&lt;'Sheet1-指标体系'!$J$16,NOT(ISNUMBER(O20))),"成立以来年化；",""),"成立日期；")&amp;IF(ISNUMBER(V20),IF(OR(V20&lt;0,V20&gt;1),"胜率窗口口径不一致；",""),"")&amp;IF(ISNUMBER(P20),IF(NOT(ISNUMBER(AE20)),"DD_long不可识别；",""),"")</f>
        <v/>
      </c>
      <c r="AV20" s="37">
        <f>IF(ABS(SUM(CA20:CK20)-'Sheet1-指标体系'!$J$25)&lt;0.0000000001,SUM(BP20:BZ20),"")</f>
        <v>69.56538</v>
      </c>
      <c r="AW20" s="36" t="str">
        <f>IF(G20&lt;&gt;"入池",G20,IF(AQ20=0,"无有效评分数据",IF(ROUND(AQ20,10)=ROUND('Sheet1-指标体系'!$J$25,10),"完整赋分","暂定分／数据不完整")))</f>
        <v>完整赋分</v>
      </c>
      <c r="AX20" s="22" t="str">
        <f>IF('Sheet4-原始数据'!C5="","",'Sheet4-原始数据'!C5)</f>
        <v>套利策略</v>
      </c>
      <c r="AY20" s="22" t="str">
        <f>IF('Sheet4-原始数据'!D5="","",'Sheet4-原始数据'!D5)</f>
        <v>基金套利</v>
      </c>
      <c r="AZ20" s="22" t="str">
        <f>IF('Sheet5-查询核对'!S5="","",'Sheet5-查询核对'!S5)</f>
        <v>套利策略—基金套利</v>
      </c>
      <c r="BA20" s="25">
        <f>IF('Sheet5-查询核对'!A5="","",'Sheet5-查询核对'!A5)</f>
        <v>5</v>
      </c>
      <c r="BB20" s="22" t="str">
        <f>IF('Sheet5-查询核对'!F5="","",'Sheet5-查询核对'!F5)</f>
        <v>备案号匹配</v>
      </c>
      <c r="BC20" s="24" t="str">
        <f>IF('Sheet5-查询核对'!I5="","",'Sheet5-查询核对'!I5)</f>
        <v>https://mp.fof99.com/fund/view/783b8a029943d82b</v>
      </c>
      <c r="BD20" s="23">
        <f>IF('Sheet5-查询核对'!H5="","",'Sheet5-查询核对'!H5)</f>
        <v>46269</v>
      </c>
      <c r="BE20" s="24" t="str">
        <f>IF('Sheet5-查询核对'!L5="","",'Sheet5-查询核对'!L5)</f>
        <v>https://gs.amac.org.cn/amac-infodisc/res/pof/manager/101000005082.html</v>
      </c>
      <c r="BF20" s="23">
        <f>IF('Sheet5-查询核对'!M5="","",'Sheet5-查询核对'!M5)</f>
        <v>46276</v>
      </c>
      <c r="BG20" s="24" t="str">
        <f>IF('Sheet5-查询核对'!O5="","",'Sheet5-查询核对'!O5)</f>
        <v>https://gs.amac.org.cn/amac-infodisc/res/pof/fund/2203041707107702.html</v>
      </c>
      <c r="BH20" s="23">
        <f>IF('Sheet5-查询核对'!P5="","",'Sheet5-查询核对'!P5)</f>
        <v>46276</v>
      </c>
      <c r="BI20" s="22" t="str">
        <f>IF('Sheet5-查询核对'!D5="","",'Sheet5-查询核对'!D5)</f>
        <v>STV728</v>
      </c>
      <c r="BJ20">
        <f>IF(ISNUMBER(AT20),AT20,COUNT($AT$17:$AT$99)+ROWS($AT$17:AT20)-COUNT($AT$17:AT20))</f>
        <v>34</v>
      </c>
      <c r="BK20" s="2">
        <f t="shared" si="16"/>
        <v>1</v>
      </c>
      <c r="BL20" s="2">
        <f t="shared" si="17"/>
        <v>1</v>
      </c>
      <c r="BM20" s="2">
        <f t="shared" si="18"/>
        <v>1</v>
      </c>
      <c r="BN20" s="2">
        <f t="shared" si="19"/>
        <v>1</v>
      </c>
      <c r="BO20" s="2">
        <f t="shared" si="20"/>
        <v>1</v>
      </c>
      <c r="BP20" s="48">
        <f>IF(G20="入池",IF(ISNUMBER(I20),I20*('Sheet1-指标体系'!$G$4),0),0)</f>
        <v>6</v>
      </c>
      <c r="BQ20" s="48">
        <f>IF(G20="入池",IF(ISNUMBER(K20),K20*('Sheet1-指标体系'!$G$5),0),0)</f>
        <v>4.5</v>
      </c>
      <c r="BR20" s="48">
        <f>IF(G20="入池",IF(ISNUMBER(L20),L20*('Sheet1-指标体系'!$G$6),0),0)</f>
        <v>4.5</v>
      </c>
      <c r="BS20" s="48">
        <f>IF(G20="入池",IF(ISNUMBER(Q20),Q20*('Sheet1-指标体系'!$G$7*'Sheet1-指标体系'!$J$8),0),0)</f>
        <v>6.76704</v>
      </c>
      <c r="BT20" s="48">
        <f>IF(G20="入池",IF(ISNUMBER(R20),R20*('Sheet1-指标体系'!$G$7*'Sheet1-指标体系'!$J$9),0),0)</f>
        <v>5.43032</v>
      </c>
      <c r="BU20" s="48">
        <f>IF(G20="入池",IF(ISNUMBER(W20),W20*('Sheet1-指标体系'!$G$8*'Sheet1-指标体系'!$J$8),0),0)</f>
        <v>3.04632</v>
      </c>
      <c r="BV20" s="48">
        <f>IF(G20="入池",IF(ISNUMBER(X20),X20*('Sheet1-指标体系'!$G$8*'Sheet1-指标体系'!$J$9),0),0)</f>
        <v>1.9998</v>
      </c>
      <c r="BW20" s="48">
        <f>IF(G20="入池",IF(ISNUMBER(AC20),AC20*('Sheet1-指标体系'!$G$9),0),0)</f>
        <v>12.8375</v>
      </c>
      <c r="BX20" s="48">
        <f>IF(G20="入池",IF(ISNUMBER(AG20),AG20*('Sheet1-指标体系'!$G$10*'Sheet1-指标体系'!$J$8),0),0)</f>
        <v>7.8588</v>
      </c>
      <c r="BY20" s="48">
        <f>IF(G20="入池",IF(ISNUMBER(AH20),AH20*('Sheet1-指标体系'!$G$10*'Sheet1-指标体系'!$J$9),0),0)</f>
        <v>8.6256</v>
      </c>
      <c r="BZ20" s="48">
        <f>IF(G20="入池",IF(ISNUMBER(AK20),AK20*('Sheet1-指标体系'!$G$11),0),0)</f>
        <v>8</v>
      </c>
      <c r="CA20" s="49">
        <f>IF(G20="入池",IF(ISNUMBER(I20),'Sheet1-指标体系'!$G$4,0),0)</f>
        <v>0.06</v>
      </c>
      <c r="CB20" s="49">
        <f>IF(G20="入池",IF(ISNUMBER(K20),'Sheet1-指标体系'!$G$5,0),0)</f>
        <v>0.045</v>
      </c>
      <c r="CC20" s="49">
        <f>IF(G20="入池",IF(ISNUMBER(L20),'Sheet1-指标体系'!$G$6,0),0)</f>
        <v>0.045</v>
      </c>
      <c r="CD20" s="49">
        <f>IF(G20="入池",IF(ISNUMBER(Q20),'Sheet1-指标体系'!$G$7*'Sheet1-指标体系'!$J$8,0),0)</f>
        <v>0.084</v>
      </c>
      <c r="CE20" s="49">
        <f>IF(G20="入池",IF(ISNUMBER(R20),'Sheet1-指标体系'!$G$7*'Sheet1-指标体系'!$J$9,0),0)</f>
        <v>0.056</v>
      </c>
      <c r="CF20" s="49">
        <f>IF(G20="入池",IF(ISNUMBER(W20),'Sheet1-指标体系'!$G$8*'Sheet1-指标体系'!$J$8,0),0)</f>
        <v>0.036</v>
      </c>
      <c r="CG20" s="49">
        <f>IF(G20="入池",IF(ISNUMBER(X20),'Sheet1-指标体系'!$G$8*'Sheet1-指标体系'!$J$9,0),0)</f>
        <v>0.024</v>
      </c>
      <c r="CH20" s="49">
        <f>IF(G20="入池",IF(ISNUMBER(AC20),'Sheet1-指标体系'!$G$9,0),0)</f>
        <v>0.25</v>
      </c>
      <c r="CI20" s="49">
        <f>IF(G20="入池",IF(ISNUMBER(AG20),'Sheet1-指标体系'!$G$10*'Sheet1-指标体系'!$J$8,0),0)</f>
        <v>0.18</v>
      </c>
      <c r="CJ20" s="49">
        <f>IF(G20="入池",IF(ISNUMBER(AH20),'Sheet1-指标体系'!$G$10*'Sheet1-指标体系'!$J$9,0),0)</f>
        <v>0.12</v>
      </c>
      <c r="CK20" s="49">
        <f>IF(G20="入池",IF(ISNUMBER(AK20),'Sheet1-指标体系'!$G$11,0),0)</f>
        <v>0.1</v>
      </c>
    </row>
    <row r="21" ht="44" customHeight="1" spans="1:89">
      <c r="A21" s="40">
        <f>'Sheet5-查询核对'!A6-1</f>
        <v>5</v>
      </c>
      <c r="B21" s="24" t="str">
        <f>IF('Sheet4-原始数据'!A6="",'Sheet5-查询核对'!B6,'Sheet4-原始数据'!A6)</f>
        <v>博润易量稳健1号</v>
      </c>
      <c r="C21" s="22" t="str">
        <f>IF('Sheet4-原始数据'!B6="","",'Sheet4-原始数据'!B6)</f>
        <v>SXL913</v>
      </c>
      <c r="D21" s="22" t="str">
        <f>IF('Sheet4-原始数据'!E6="","",'Sheet4-原始数据'!E6)</f>
        <v>北京博润银泰投资</v>
      </c>
      <c r="E21" s="23">
        <f>IF('Sheet4-原始数据'!F6="","",'Sheet4-原始数据'!F6)</f>
        <v>44895</v>
      </c>
      <c r="F21" s="37">
        <f>IF(ISNUMBER(E21),ROUND(('Sheet1-指标体系'!$J$12-E21)/'Sheet1-指标体系'!$J$14,4),"")</f>
        <v>3.7782</v>
      </c>
      <c r="G21" s="36" t="str">
        <f>IF(C21="","未匹配",IF(NOT(ISNUMBER(F21)),"缺成立日期",IF(F21&lt;'Sheet1-指标体系'!$J$15,"不入池","入池")))</f>
        <v>入池</v>
      </c>
      <c r="H21" s="22" t="str">
        <f>IF('Sheet5-查询核对'!K6="","",'Sheet5-查询核对'!K6)</f>
        <v>100亿元以上</v>
      </c>
      <c r="I21" s="37">
        <f>IF(H21="","",IF(COUNTIF('Sheet1-指标体系'!$P$4:$P$10,H21)=0,"",INDEX('Sheet1-指标体系'!$Q$4:$Q$10,MATCH(H21,'Sheet1-指标体系'!$P$4:$P$10,0))))</f>
        <v>100</v>
      </c>
      <c r="J21" s="44" t="str">
        <f>IF(NOT(ISNUMBER('Sheet5-查询核对'!N6)),"",IF('Sheet5-查询核对'!N6=1,"低于"&amp;'Sheet1-指标体系'!$J$4&amp;"万元",IF('Sheet5-查询核对'!N6=0,"无低于"&amp;'Sheet1-指标体系'!$J$4&amp;"万元标识","")))</f>
        <v>无低于1000万元标识</v>
      </c>
      <c r="K21" s="37">
        <f>IF(NOT(ISNUMBER('Sheet5-查询核对'!N6)),"",IF('Sheet5-查询核对'!N6=1,'Sheet1-指标体系'!$J$21,IF('Sheet5-查询核对'!N6=0,'Sheet1-指标体系'!$J$18,"")))</f>
        <v>100</v>
      </c>
      <c r="L21" s="37">
        <f>IF(NOT(ISNUMBER(F21)),"",IF(F21&lt;'Sheet1-指标体系'!$J$15,"",IF(F21&lt;'Sheet1-指标体系'!$J$16,'Sheet1-指标体系'!$J$17,'Sheet1-指标体系'!$J$18)))</f>
        <v>100</v>
      </c>
      <c r="M21" s="26">
        <f>IF(ISNUMBER('Sheet4-原始数据'!G6),'Sheet4-原始数据'!G6,"")</f>
        <v>0.0829</v>
      </c>
      <c r="N21" s="26">
        <f>IF(ISNUMBER('Sheet4-原始数据'!H6),'Sheet4-原始数据'!H6,"")</f>
        <v>0.0543</v>
      </c>
      <c r="O21" s="26">
        <f>IF(ISNUMBER('Sheet5-查询核对'!Q6),'Sheet5-查询核对'!Q6,"")</f>
        <v>0.0423</v>
      </c>
      <c r="P21" s="45">
        <f>IF(G21&lt;&gt;"入池","",IF(F21&gt;='Sheet1-指标体系'!$J$16,IF(AND(ISNUMBER(M21),ISNUMBER(N21)),IF(AND(1+M21&gt;0,1+N21&gt;=0),((1+N21)^'Sheet1-指标体系'!$J$16/(1+M21))^(1/('Sheet1-指标体系'!$J$16-1))-1,""),""),IF(AND(ISNUMBER(M21),ISNUMBER(O21)),IF(AND(F21&gt;1,1+M21&gt;0,1+O21&gt;=0),((1+O21)^F21/(1+M21))^(1/(F21-1))-1,""),"")))</f>
        <v>0.0402845126285818</v>
      </c>
      <c r="Q21" s="37">
        <f t="shared" si="0"/>
        <v>41.67</v>
      </c>
      <c r="R21" s="37">
        <f t="shared" si="1"/>
        <v>12.12</v>
      </c>
      <c r="S21" s="37">
        <f>IF(ISNUMBER(Q21),IF(ISNUMBER(R21),ROUND(Q21*'Sheet1-指标体系'!$J$8+R21*'Sheet1-指标体系'!$J$9,2),Q21),"")</f>
        <v>29.85</v>
      </c>
      <c r="T21" s="26">
        <f>IF(ISNUMBER('Sheet4-原始数据'!J6),'Sheet4-原始数据'!J6,"")</f>
        <v>0.5385</v>
      </c>
      <c r="U21" s="26">
        <f>IF(ISNUMBER('Sheet4-原始数据'!I6),'Sheet4-原始数据'!I6,"")</f>
        <v>0.6216</v>
      </c>
      <c r="V21" s="45">
        <f>IF(AND(ISNUMBER(T21),ISNUMBER(U21)),(U21*'Sheet1-指标体系'!$J$6-T21*'Sheet1-指标体系'!$J$5)/'Sheet1-指标体系'!$J$7,"")</f>
        <v>0.6666125</v>
      </c>
      <c r="W21" s="37">
        <f t="shared" si="2"/>
        <v>53.85</v>
      </c>
      <c r="X21" s="37">
        <f>IF(G21&lt;&gt;"入池","",IF(ISNUMBER(V21),IF(AND(V21&gt;=0,V21&lt;=1),V21*'Sheet1-指标体系'!$J$18,IF(MAX(0,(F21-'Sheet1-指标体系'!$J$15)*'Sheet1-指标体系'!$J$20)&lt;'Sheet1-指标体系'!$J$19,'Sheet1-指标体系'!$J$18,"")),IF(MAX(0,(F21-'Sheet1-指标体系'!$J$15)*'Sheet1-指标体系'!$J$20)&lt;'Sheet1-指标体系'!$J$19,'Sheet1-指标体系'!$J$18,"")))</f>
        <v>66.66125</v>
      </c>
      <c r="Y21" s="37">
        <f>IF(ISNUMBER(W21),IF(ISNUMBER(X21),ROUND(W21*'Sheet1-指标体系'!$J$8+X21*'Sheet1-指标体系'!$J$9,2),W21),"")</f>
        <v>58.97</v>
      </c>
      <c r="Z21" s="45">
        <f t="shared" si="3"/>
        <v>0.0367790594498669</v>
      </c>
      <c r="AA21" s="26">
        <f>IF(ISNUMBER('Sheet4-原始数据'!K6),'Sheet4-原始数据'!K6,"")</f>
        <v>0.0368</v>
      </c>
      <c r="AB21" s="45">
        <f t="shared" si="4"/>
        <v>0.0368</v>
      </c>
      <c r="AC21" s="37">
        <f t="shared" si="5"/>
        <v>31.08</v>
      </c>
      <c r="AD21" s="30">
        <f>IF(ISNUMBER('Sheet4-原始数据'!M6),'Sheet4-原始数据'!M6,"")</f>
        <v>2.254</v>
      </c>
      <c r="AE21" s="45" t="str">
        <f>IF(AND(ISNUMBER(P21),ISNUMBER(AA21),ISNUMBER(Z21)),IF(AA21&gt;Z21+'Sheet1-指标体系'!$J$11,AA21,""),"")</f>
        <v/>
      </c>
      <c r="AF21" s="37" t="str">
        <f t="shared" si="6"/>
        <v/>
      </c>
      <c r="AG21" s="37">
        <f t="shared" si="7"/>
        <v>15.49</v>
      </c>
      <c r="AH21" s="37" t="str">
        <f t="shared" si="8"/>
        <v/>
      </c>
      <c r="AI21" s="37">
        <f>IF(ISNUMBER(AG21),IF(ISNUMBER(AH21),ROUND(AG21*'Sheet1-指标体系'!$J$8+AH21*'Sheet1-指标体系'!$J$9,2),AG21),"")</f>
        <v>15.49</v>
      </c>
      <c r="AJ21" s="45">
        <f>IF(NOT(ISNUMBER(F21)),"",IF(F21&gt;='Sheet1-指标体系'!$J$16,IF(ISNUMBER(N21),N21,""),IF(ISNUMBER(O21),O21,"")))</f>
        <v>0.0543</v>
      </c>
      <c r="AK21" s="37">
        <f>IF(AND(G21="入池",ISNUMBER(M21),ISNUMBER(AJ21)),IF(M21&gt;=AJ21,'Sheet1-指标体系'!$J$18,IF(AJ21-M21&lt;'Sheet1-指标体系'!$J$10,'Sheet1-指标体系'!$J$22,'Sheet1-指标体系'!$J$23)),"")</f>
        <v>100</v>
      </c>
      <c r="AL21" s="37">
        <f>IF((IF(ISNUMBER(I21),'Sheet1-指标体系'!$G$4,0)+IF(ISNUMBER(K21),'Sheet1-指标体系'!$G$5,0)+IF(ISNUMBER(L21),'Sheet1-指标体系'!$G$6,0))&gt;0,ROUND((IF(ISNUMBER(I21),I21*'Sheet1-指标体系'!$G$4,0)+IF(ISNUMBER(K21),K21*'Sheet1-指标体系'!$G$5,0)+IF(ISNUMBER(L21),L21*'Sheet1-指标体系'!$G$6,0))/(IF(ISNUMBER(I21),'Sheet1-指标体系'!$G$4,0)+IF(ISNUMBER(K21),'Sheet1-指标体系'!$G$5,0)+IF(ISNUMBER(L21),'Sheet1-指标体系'!$G$6,0)),2),"")</f>
        <v>100</v>
      </c>
      <c r="AM21" s="37">
        <f t="shared" si="9"/>
        <v>38.59</v>
      </c>
      <c r="AN21" s="37">
        <f t="shared" si="10"/>
        <v>31.08</v>
      </c>
      <c r="AO21" s="37">
        <f t="shared" si="11"/>
        <v>15.49</v>
      </c>
      <c r="AP21" s="37">
        <f t="shared" si="12"/>
        <v>100</v>
      </c>
      <c r="AQ21" s="38">
        <f t="shared" si="13"/>
        <v>0.88</v>
      </c>
      <c r="AR21" s="37">
        <f t="shared" si="14"/>
        <v>43.27567</v>
      </c>
      <c r="AS21" s="37">
        <f t="shared" si="15"/>
        <v>49.18</v>
      </c>
      <c r="AT21" s="40">
        <f>IF(OR(G21&lt;&gt;"入池",NOT(ISNUMBER(AS21))),"",COUNTIFS($G$17:$G$99,"入池",$AS$17:$AS$99,"&gt;"&amp;AS21)+COUNTIFS($G$17:$G$99,"入池",$AS$17:$AS$99,AS21,$AQ$17:$AQ$99,"&gt;"&amp;AQ21)+COUNTIFS($G$17:G21,"入池",$AS$17:AS21,AS21,$AQ$17:AQ21,AQ21))</f>
        <v>57</v>
      </c>
      <c r="AU21" s="46" t="str">
        <f>IF(NOT(ISNUMBER(I21)),"管理人规模；","")&amp;IF(NOT(ISNUMBER(K21)),"产品规模标识；","")&amp;IF(NOT(ISNUMBER(M21)),"近一年收益；","")&amp;IF(NOT(ISNUMBER(T21)),"近一年胜率；","")&amp;IF(NOT(ISNUMBER(N21)),"近三年收益；","")&amp;IF(NOT(ISNUMBER(U21)),"近三年胜率；","")&amp;IF(NOT(ISNUMBER(AA21)),"近三年回撤；","")&amp;IF(NOT(ISNUMBER(AD21)),"近一年卡玛；","")&amp;IF(ISNUMBER(F21),IF(AND(F21&lt;'Sheet1-指标体系'!$J$16,NOT(ISNUMBER(O21))),"成立以来年化；",""),"成立日期；")&amp;IF(ISNUMBER(V21),IF(OR(V21&lt;0,V21&gt;1),"胜率窗口口径不一致；",""),"")&amp;IF(ISNUMBER(P21),IF(NOT(ISNUMBER(AE21)),"DD_long不可识别；",""),"")</f>
        <v>DD_long不可识别；</v>
      </c>
      <c r="AV21" s="37" t="str">
        <f>IF(ABS(SUM(CA21:CK21)-'Sheet1-指标体系'!$J$25)&lt;0.0000000001,SUM(BP21:BZ21),"")</f>
        <v/>
      </c>
      <c r="AW21" s="36" t="str">
        <f>IF(G21&lt;&gt;"入池",G21,IF(AQ21=0,"无有效评分数据",IF(ROUND(AQ21,10)=ROUND('Sheet1-指标体系'!$J$25,10),"完整赋分","暂定分／数据不完整")))</f>
        <v>暂定分／数据不完整</v>
      </c>
      <c r="AX21" s="22" t="str">
        <f>IF('Sheet4-原始数据'!C6="","",'Sheet4-原始数据'!C6)</f>
        <v>套利策略</v>
      </c>
      <c r="AY21" s="22" t="str">
        <f>IF('Sheet4-原始数据'!D6="","",'Sheet4-原始数据'!D6)</f>
        <v>期货套利</v>
      </c>
      <c r="AZ21" s="22" t="str">
        <f>IF('Sheet5-查询核对'!S6="","",'Sheet5-查询核对'!S6)</f>
        <v>套利策略—期货套利</v>
      </c>
      <c r="BA21" s="25">
        <f>IF('Sheet5-查询核对'!A6="","",'Sheet5-查询核对'!A6)</f>
        <v>6</v>
      </c>
      <c r="BB21" s="22" t="str">
        <f>IF('Sheet5-查询核对'!F6="","",'Sheet5-查询核对'!F6)</f>
        <v>备案号匹配</v>
      </c>
      <c r="BC21" s="24" t="str">
        <f>IF('Sheet5-查询核对'!I6="","",'Sheet5-查询核对'!I6)</f>
        <v>https://mp.fof99.com/fund/view/66f7dd55b7f90b97</v>
      </c>
      <c r="BD21" s="23">
        <f>IF('Sheet5-查询核对'!H6="","",'Sheet5-查询核对'!H6)</f>
        <v>46269</v>
      </c>
      <c r="BE21" s="24" t="str">
        <f>IF('Sheet5-查询核对'!L6="","",'Sheet5-查询核对'!L6)</f>
        <v>https://gs.amac.org.cn/amac-infodisc/res/pof/manager/101000005082.html</v>
      </c>
      <c r="BF21" s="23">
        <f>IF('Sheet5-查询核对'!M6="","",'Sheet5-查询核对'!M6)</f>
        <v>46276</v>
      </c>
      <c r="BG21" s="24" t="str">
        <f>IF('Sheet5-查询核对'!O6="","",'Sheet5-查询核对'!O6)</f>
        <v>https://gs.amac.org.cn/amac-infodisc/res/pof/fund/2211291710107928.html</v>
      </c>
      <c r="BH21" s="23">
        <f>IF('Sheet5-查询核对'!P6="","",'Sheet5-查询核对'!P6)</f>
        <v>46276</v>
      </c>
      <c r="BI21" s="22" t="str">
        <f>IF('Sheet5-查询核对'!D6="","",'Sheet5-查询核对'!D6)</f>
        <v>SXL913</v>
      </c>
      <c r="BJ21">
        <f>IF(ISNUMBER(AT21),AT21,COUNT($AT$17:$AT$99)+ROWS($AT$17:AT21)-COUNT($AT$17:AT21))</f>
        <v>57</v>
      </c>
      <c r="BK21" s="2">
        <f t="shared" si="16"/>
        <v>1</v>
      </c>
      <c r="BL21" s="2">
        <f t="shared" si="17"/>
        <v>1</v>
      </c>
      <c r="BM21" s="2">
        <f t="shared" si="18"/>
        <v>1</v>
      </c>
      <c r="BN21" s="2">
        <f t="shared" si="19"/>
        <v>1</v>
      </c>
      <c r="BO21" s="2">
        <f t="shared" si="20"/>
        <v>0</v>
      </c>
      <c r="BP21" s="48">
        <f>IF(G21="入池",IF(ISNUMBER(I21),I21*('Sheet1-指标体系'!$G$4),0),0)</f>
        <v>6</v>
      </c>
      <c r="BQ21" s="48">
        <f>IF(G21="入池",IF(ISNUMBER(K21),K21*('Sheet1-指标体系'!$G$5),0),0)</f>
        <v>4.5</v>
      </c>
      <c r="BR21" s="48">
        <f>IF(G21="入池",IF(ISNUMBER(L21),L21*('Sheet1-指标体系'!$G$6),0),0)</f>
        <v>4.5</v>
      </c>
      <c r="BS21" s="48">
        <f>IF(G21="入池",IF(ISNUMBER(Q21),Q21*('Sheet1-指标体系'!$G$7*'Sheet1-指标体系'!$J$8),0),0)</f>
        <v>3.50028</v>
      </c>
      <c r="BT21" s="48">
        <f>IF(G21="入池",IF(ISNUMBER(R21),R21*('Sheet1-指标体系'!$G$7*'Sheet1-指标体系'!$J$9),0),0)</f>
        <v>0.67872</v>
      </c>
      <c r="BU21" s="48">
        <f>IF(G21="入池",IF(ISNUMBER(W21),W21*('Sheet1-指标体系'!$G$8*'Sheet1-指标体系'!$J$8),0),0)</f>
        <v>1.9386</v>
      </c>
      <c r="BV21" s="48">
        <f>IF(G21="入池",IF(ISNUMBER(X21),X21*('Sheet1-指标体系'!$G$8*'Sheet1-指标体系'!$J$9),0),0)</f>
        <v>1.59987</v>
      </c>
      <c r="BW21" s="48">
        <f>IF(G21="入池",IF(ISNUMBER(AC21),AC21*('Sheet1-指标体系'!$G$9),0),0)</f>
        <v>7.77</v>
      </c>
      <c r="BX21" s="48">
        <f>IF(G21="入池",IF(ISNUMBER(AG21),AG21*('Sheet1-指标体系'!$G$10*'Sheet1-指标体系'!$J$8),0),0)</f>
        <v>2.7882</v>
      </c>
      <c r="BY21" s="48">
        <f>IF(G21="入池",IF(ISNUMBER(AH21),AH21*('Sheet1-指标体系'!$G$10*'Sheet1-指标体系'!$J$9),0),0)</f>
        <v>0</v>
      </c>
      <c r="BZ21" s="48">
        <f>IF(G21="入池",IF(ISNUMBER(AK21),AK21*('Sheet1-指标体系'!$G$11),0),0)</f>
        <v>10</v>
      </c>
      <c r="CA21" s="49">
        <f>IF(G21="入池",IF(ISNUMBER(I21),'Sheet1-指标体系'!$G$4,0),0)</f>
        <v>0.06</v>
      </c>
      <c r="CB21" s="49">
        <f>IF(G21="入池",IF(ISNUMBER(K21),'Sheet1-指标体系'!$G$5,0),0)</f>
        <v>0.045</v>
      </c>
      <c r="CC21" s="49">
        <f>IF(G21="入池",IF(ISNUMBER(L21),'Sheet1-指标体系'!$G$6,0),0)</f>
        <v>0.045</v>
      </c>
      <c r="CD21" s="49">
        <f>IF(G21="入池",IF(ISNUMBER(Q21),'Sheet1-指标体系'!$G$7*'Sheet1-指标体系'!$J$8,0),0)</f>
        <v>0.084</v>
      </c>
      <c r="CE21" s="49">
        <f>IF(G21="入池",IF(ISNUMBER(R21),'Sheet1-指标体系'!$G$7*'Sheet1-指标体系'!$J$9,0),0)</f>
        <v>0.056</v>
      </c>
      <c r="CF21" s="49">
        <f>IF(G21="入池",IF(ISNUMBER(W21),'Sheet1-指标体系'!$G$8*'Sheet1-指标体系'!$J$8,0),0)</f>
        <v>0.036</v>
      </c>
      <c r="CG21" s="49">
        <f>IF(G21="入池",IF(ISNUMBER(X21),'Sheet1-指标体系'!$G$8*'Sheet1-指标体系'!$J$9,0),0)</f>
        <v>0.024</v>
      </c>
      <c r="CH21" s="49">
        <f>IF(G21="入池",IF(ISNUMBER(AC21),'Sheet1-指标体系'!$G$9,0),0)</f>
        <v>0.25</v>
      </c>
      <c r="CI21" s="49">
        <f>IF(G21="入池",IF(ISNUMBER(AG21),'Sheet1-指标体系'!$G$10*'Sheet1-指标体系'!$J$8,0),0)</f>
        <v>0.18</v>
      </c>
      <c r="CJ21" s="49">
        <f>IF(G21="入池",IF(ISNUMBER(AH21),'Sheet1-指标体系'!$G$10*'Sheet1-指标体系'!$J$9,0),0)</f>
        <v>0</v>
      </c>
      <c r="CK21" s="49">
        <f>IF(G21="入池",IF(ISNUMBER(AK21),'Sheet1-指标体系'!$G$11,0),0)</f>
        <v>0.1</v>
      </c>
    </row>
    <row r="22" ht="44" customHeight="1" spans="1:89">
      <c r="A22" s="40">
        <f>'Sheet5-查询核对'!A7-1</f>
        <v>6</v>
      </c>
      <c r="B22" s="24" t="str">
        <f>IF('Sheet4-原始数据'!A7="",'Sheet5-查询核对'!B7,'Sheet4-原始数据'!A7)</f>
        <v>博弈树金选套利2号</v>
      </c>
      <c r="C22" s="22" t="str">
        <f>IF('Sheet4-原始数据'!B7="","",'Sheet4-原始数据'!B7)</f>
        <v>SXR086</v>
      </c>
      <c r="D22" s="22" t="str">
        <f>IF('Sheet4-原始数据'!E7="","",'Sheet4-原始数据'!E7)</f>
        <v>广东丰煜</v>
      </c>
      <c r="E22" s="23">
        <f>IF('Sheet4-原始数据'!F7="","",'Sheet4-原始数据'!F7)</f>
        <v>44867</v>
      </c>
      <c r="F22" s="37">
        <f>IF(ISNUMBER(E22),ROUND(('Sheet1-指标体系'!$J$12-E22)/'Sheet1-指标体系'!$J$14,4),"")</f>
        <v>3.8549</v>
      </c>
      <c r="G22" s="36" t="str">
        <f>IF(C22="","未匹配",IF(NOT(ISNUMBER(F22)),"缺成立日期",IF(F22&lt;'Sheet1-指标体系'!$J$15,"不入池","入池")))</f>
        <v>入池</v>
      </c>
      <c r="H22" s="22" t="str">
        <f>IF('Sheet5-查询核对'!K7="","",'Sheet5-查询核对'!K7)</f>
        <v>0-5亿元</v>
      </c>
      <c r="I22" s="37">
        <f>IF(H22="","",IF(COUNTIF('Sheet1-指标体系'!$P$4:$P$10,H22)=0,"",INDEX('Sheet1-指标体系'!$Q$4:$Q$10,MATCH(H22,'Sheet1-指标体系'!$P$4:$P$10,0))))</f>
        <v>60</v>
      </c>
      <c r="J22" s="44" t="str">
        <f>IF(NOT(ISNUMBER('Sheet5-查询核对'!N7)),"",IF('Sheet5-查询核对'!N7=1,"低于"&amp;'Sheet1-指标体系'!$J$4&amp;"万元",IF('Sheet5-查询核对'!N7=0,"无低于"&amp;'Sheet1-指标体系'!$J$4&amp;"万元标识","")))</f>
        <v>无低于1000万元标识</v>
      </c>
      <c r="K22" s="37">
        <f>IF(NOT(ISNUMBER('Sheet5-查询核对'!N7)),"",IF('Sheet5-查询核对'!N7=1,'Sheet1-指标体系'!$J$21,IF('Sheet5-查询核对'!N7=0,'Sheet1-指标体系'!$J$18,"")))</f>
        <v>100</v>
      </c>
      <c r="L22" s="37">
        <f>IF(NOT(ISNUMBER(F22)),"",IF(F22&lt;'Sheet1-指标体系'!$J$15,"",IF(F22&lt;'Sheet1-指标体系'!$J$16,'Sheet1-指标体系'!$J$17,'Sheet1-指标体系'!$J$18)))</f>
        <v>100</v>
      </c>
      <c r="M22" s="26">
        <f>IF(ISNUMBER('Sheet4-原始数据'!G7),'Sheet4-原始数据'!G7,"")</f>
        <v>0.2516</v>
      </c>
      <c r="N22" s="26">
        <f>IF(ISNUMBER('Sheet4-原始数据'!H7),'Sheet4-原始数据'!H7,"")</f>
        <v>0.1281</v>
      </c>
      <c r="O22" s="26">
        <f>IF(ISNUMBER('Sheet5-查询核对'!Q7),'Sheet5-查询核对'!Q7,"")</f>
        <v>0.1228</v>
      </c>
      <c r="P22" s="45">
        <f>IF(G22&lt;&gt;"入池","",IF(F22&gt;='Sheet1-指标体系'!$J$16,IF(AND(ISNUMBER(M22),ISNUMBER(N22)),IF(AND(1+M22&gt;0,1+N22&gt;=0),((1+N22)^'Sheet1-指标体系'!$J$16/(1+M22))^(1/('Sheet1-指标体系'!$J$16-1))-1,""),""),IF(AND(ISNUMBER(M22),ISNUMBER(O22)),IF(AND(F22&gt;1,1+M22&gt;0,1+O22&gt;=0),((1+O22)^F22/(1+M22))^(1/(F22-1))-1,""),"")))</f>
        <v>0.0709979057378023</v>
      </c>
      <c r="Q22" s="37">
        <f t="shared" si="0"/>
        <v>91.67</v>
      </c>
      <c r="R22" s="37">
        <f t="shared" si="1"/>
        <v>42.42</v>
      </c>
      <c r="S22" s="37">
        <f>IF(ISNUMBER(Q22),IF(ISNUMBER(R22),ROUND(Q22*'Sheet1-指标体系'!$J$8+R22*'Sheet1-指标体系'!$J$9,2),Q22),"")</f>
        <v>71.97</v>
      </c>
      <c r="T22" s="26">
        <f>IF(ISNUMBER('Sheet4-原始数据'!J7),'Sheet4-原始数据'!J7,"")</f>
        <v>0.7692</v>
      </c>
      <c r="U22" s="26">
        <f>IF(ISNUMBER('Sheet4-原始数据'!I7),'Sheet4-原始数据'!I7,"")</f>
        <v>0.7297</v>
      </c>
      <c r="V22" s="45">
        <f>IF(AND(ISNUMBER(T22),ISNUMBER(U22)),(U22*'Sheet1-指标体系'!$J$6-T22*'Sheet1-指标体系'!$J$5)/'Sheet1-指标体系'!$J$7,"")</f>
        <v>0.708304166666667</v>
      </c>
      <c r="W22" s="37">
        <f t="shared" si="2"/>
        <v>76.92</v>
      </c>
      <c r="X22" s="37">
        <f>IF(G22&lt;&gt;"入池","",IF(ISNUMBER(V22),IF(AND(V22&gt;=0,V22&lt;=1),V22*'Sheet1-指标体系'!$J$18,IF(MAX(0,(F22-'Sheet1-指标体系'!$J$15)*'Sheet1-指标体系'!$J$20)&lt;'Sheet1-指标体系'!$J$19,'Sheet1-指标体系'!$J$18,"")),IF(MAX(0,(F22-'Sheet1-指标体系'!$J$15)*'Sheet1-指标体系'!$J$20)&lt;'Sheet1-指标体系'!$J$19,'Sheet1-指标体系'!$J$18,"")))</f>
        <v>70.8304166666667</v>
      </c>
      <c r="Y22" s="37">
        <f>IF(ISNUMBER(W22),IF(ISNUMBER(X22),ROUND(W22*'Sheet1-指标体系'!$J$8+X22*'Sheet1-指标体系'!$J$9,2),W22),"")</f>
        <v>74.48</v>
      </c>
      <c r="Z22" s="45">
        <f t="shared" si="3"/>
        <v>0.0410005703576958</v>
      </c>
      <c r="AA22" s="26">
        <f>IF(ISNUMBER('Sheet4-原始数据'!K7),'Sheet4-原始数据'!K7,"")</f>
        <v>0.041</v>
      </c>
      <c r="AB22" s="45">
        <f t="shared" si="4"/>
        <v>0.0410005703576958</v>
      </c>
      <c r="AC22" s="37">
        <f t="shared" si="5"/>
        <v>22.97</v>
      </c>
      <c r="AD22" s="30">
        <f>IF(ISNUMBER('Sheet4-原始数据'!M7),'Sheet4-原始数据'!M7,"")</f>
        <v>6.1365</v>
      </c>
      <c r="AE22" s="45" t="str">
        <f>IF(AND(ISNUMBER(P22),ISNUMBER(AA22),ISNUMBER(Z22)),IF(AA22&gt;Z22+'Sheet1-指标体系'!$J$11,AA22,""),"")</f>
        <v/>
      </c>
      <c r="AF22" s="37" t="str">
        <f t="shared" si="6"/>
        <v/>
      </c>
      <c r="AG22" s="37">
        <f t="shared" si="7"/>
        <v>40.85</v>
      </c>
      <c r="AH22" s="37" t="str">
        <f t="shared" si="8"/>
        <v/>
      </c>
      <c r="AI22" s="37">
        <f>IF(ISNUMBER(AG22),IF(ISNUMBER(AH22),ROUND(AG22*'Sheet1-指标体系'!$J$8+AH22*'Sheet1-指标体系'!$J$9,2),AG22),"")</f>
        <v>40.85</v>
      </c>
      <c r="AJ22" s="45">
        <f>IF(NOT(ISNUMBER(F22)),"",IF(F22&gt;='Sheet1-指标体系'!$J$16,IF(ISNUMBER(N22),N22,""),IF(ISNUMBER(O22),O22,"")))</f>
        <v>0.1281</v>
      </c>
      <c r="AK22" s="37">
        <f>IF(AND(G22="入池",ISNUMBER(M22),ISNUMBER(AJ22)),IF(M22&gt;=AJ22,'Sheet1-指标体系'!$J$18,IF(AJ22-M22&lt;'Sheet1-指标体系'!$J$10,'Sheet1-指标体系'!$J$22,'Sheet1-指标体系'!$J$23)),"")</f>
        <v>100</v>
      </c>
      <c r="AL22" s="37">
        <f>IF((IF(ISNUMBER(I22),'Sheet1-指标体系'!$G$4,0)+IF(ISNUMBER(K22),'Sheet1-指标体系'!$G$5,0)+IF(ISNUMBER(L22),'Sheet1-指标体系'!$G$6,0))&gt;0,ROUND((IF(ISNUMBER(I22),I22*'Sheet1-指标体系'!$G$4,0)+IF(ISNUMBER(K22),K22*'Sheet1-指标体系'!$G$5,0)+IF(ISNUMBER(L22),L22*'Sheet1-指标体系'!$G$6,0))/(IF(ISNUMBER(I22),'Sheet1-指标体系'!$G$4,0)+IF(ISNUMBER(K22),'Sheet1-指标体系'!$G$5,0)+IF(ISNUMBER(L22),'Sheet1-指标体系'!$G$6,0)),2),"")</f>
        <v>84</v>
      </c>
      <c r="AM22" s="37">
        <f t="shared" si="9"/>
        <v>72.72</v>
      </c>
      <c r="AN22" s="37">
        <f t="shared" si="10"/>
        <v>22.97</v>
      </c>
      <c r="AO22" s="37">
        <f t="shared" si="11"/>
        <v>40.85</v>
      </c>
      <c r="AP22" s="37">
        <f t="shared" si="12"/>
        <v>100</v>
      </c>
      <c r="AQ22" s="38">
        <f t="shared" si="13"/>
        <v>0.88</v>
      </c>
      <c r="AR22" s="37">
        <f t="shared" si="14"/>
        <v>50.24035</v>
      </c>
      <c r="AS22" s="37">
        <f t="shared" si="15"/>
        <v>57.09</v>
      </c>
      <c r="AT22" s="40">
        <f>IF(OR(G22&lt;&gt;"入池",NOT(ISNUMBER(AS22))),"",COUNTIFS($G$17:$G$99,"入池",$AS$17:$AS$99,"&gt;"&amp;AS22)+COUNTIFS($G$17:$G$99,"入池",$AS$17:$AS$99,AS22,$AQ$17:$AQ$99,"&gt;"&amp;AQ22)+COUNTIFS($G$17:G22,"入池",$AS$17:AS22,AS22,$AQ$17:AQ22,AQ22))</f>
        <v>46</v>
      </c>
      <c r="AU22" s="46" t="str">
        <f>IF(NOT(ISNUMBER(I22)),"管理人规模；","")&amp;IF(NOT(ISNUMBER(K22)),"产品规模标识；","")&amp;IF(NOT(ISNUMBER(M22)),"近一年收益；","")&amp;IF(NOT(ISNUMBER(T22)),"近一年胜率；","")&amp;IF(NOT(ISNUMBER(N22)),"近三年收益；","")&amp;IF(NOT(ISNUMBER(U22)),"近三年胜率；","")&amp;IF(NOT(ISNUMBER(AA22)),"近三年回撤；","")&amp;IF(NOT(ISNUMBER(AD22)),"近一年卡玛；","")&amp;IF(ISNUMBER(F22),IF(AND(F22&lt;'Sheet1-指标体系'!$J$16,NOT(ISNUMBER(O22))),"成立以来年化；",""),"成立日期；")&amp;IF(ISNUMBER(V22),IF(OR(V22&lt;0,V22&gt;1),"胜率窗口口径不一致；",""),"")&amp;IF(ISNUMBER(P22),IF(NOT(ISNUMBER(AE22)),"DD_long不可识别；",""),"")</f>
        <v>DD_long不可识别；</v>
      </c>
      <c r="AV22" s="37" t="str">
        <f>IF(ABS(SUM(CA22:CK22)-'Sheet1-指标体系'!$J$25)&lt;0.0000000001,SUM(BP22:BZ22),"")</f>
        <v/>
      </c>
      <c r="AW22" s="36" t="str">
        <f>IF(G22&lt;&gt;"入池",G22,IF(AQ22=0,"无有效评分数据",IF(ROUND(AQ22,10)=ROUND('Sheet1-指标体系'!$J$25,10),"完整赋分","暂定分／数据不完整")))</f>
        <v>暂定分／数据不完整</v>
      </c>
      <c r="AX22" s="22" t="str">
        <f>IF('Sheet4-原始数据'!C7="","",'Sheet4-原始数据'!C7)</f>
        <v>套利策略</v>
      </c>
      <c r="AY22" s="22" t="str">
        <f>IF('Sheet4-原始数据'!D7="","",'Sheet4-原始数据'!D7)</f>
        <v>期货套利</v>
      </c>
      <c r="AZ22" s="22" t="str">
        <f>IF('Sheet5-查询核对'!S7="","",'Sheet5-查询核对'!S7)</f>
        <v>套利策略—期货套利</v>
      </c>
      <c r="BA22" s="25">
        <f>IF('Sheet5-查询核对'!A7="","",'Sheet5-查询核对'!A7)</f>
        <v>7</v>
      </c>
      <c r="BB22" s="22" t="str">
        <f>IF('Sheet5-查询核对'!F7="","",'Sheet5-查询核对'!F7)</f>
        <v>备案号匹配</v>
      </c>
      <c r="BC22" s="24" t="str">
        <f>IF('Sheet5-查询核对'!I7="","",'Sheet5-查询核对'!I7)</f>
        <v>https://mp.fof99.com/fund/view/068bcb639f441262</v>
      </c>
      <c r="BD22" s="23">
        <f>IF('Sheet5-查询核对'!H7="","",'Sheet5-查询核对'!H7)</f>
        <v>46269</v>
      </c>
      <c r="BE22" s="24" t="str">
        <f>IF('Sheet5-查询核对'!L7="","",'Sheet5-查询核对'!L7)</f>
        <v>https://gs.amac.org.cn/amac-infodisc/res/pof/manager/101000015767.html</v>
      </c>
      <c r="BF22" s="23">
        <f>IF('Sheet5-查询核对'!M7="","",'Sheet5-查询核对'!M7)</f>
        <v>46276</v>
      </c>
      <c r="BG22" s="24" t="str">
        <f>IF('Sheet5-查询核对'!O7="","",'Sheet5-查询核对'!O7)</f>
        <v>https://gs.amac.org.cn/amac-infodisc/res/pof/fund/2211100902114438.html</v>
      </c>
      <c r="BH22" s="23">
        <f>IF('Sheet5-查询核对'!P7="","",'Sheet5-查询核对'!P7)</f>
        <v>46276</v>
      </c>
      <c r="BI22" s="22" t="str">
        <f>IF('Sheet5-查询核对'!D7="","",'Sheet5-查询核对'!D7)</f>
        <v>SXR086</v>
      </c>
      <c r="BJ22">
        <f>IF(ISNUMBER(AT22),AT22,COUNT($AT$17:$AT$99)+ROWS($AT$17:AT22)-COUNT($AT$17:AT22))</f>
        <v>46</v>
      </c>
      <c r="BK22" s="2">
        <f t="shared" si="16"/>
        <v>1</v>
      </c>
      <c r="BL22" s="2">
        <f t="shared" si="17"/>
        <v>1</v>
      </c>
      <c r="BM22" s="2">
        <f t="shared" si="18"/>
        <v>1</v>
      </c>
      <c r="BN22" s="2">
        <f t="shared" si="19"/>
        <v>1</v>
      </c>
      <c r="BO22" s="2">
        <f t="shared" si="20"/>
        <v>0</v>
      </c>
      <c r="BP22" s="48">
        <f>IF(G22="入池",IF(ISNUMBER(I22),I22*('Sheet1-指标体系'!$G$4),0),0)</f>
        <v>3.6</v>
      </c>
      <c r="BQ22" s="48">
        <f>IF(G22="入池",IF(ISNUMBER(K22),K22*('Sheet1-指标体系'!$G$5),0),0)</f>
        <v>4.5</v>
      </c>
      <c r="BR22" s="48">
        <f>IF(G22="入池",IF(ISNUMBER(L22),L22*('Sheet1-指标体系'!$G$6),0),0)</f>
        <v>4.5</v>
      </c>
      <c r="BS22" s="48">
        <f>IF(G22="入池",IF(ISNUMBER(Q22),Q22*('Sheet1-指标体系'!$G$7*'Sheet1-指标体系'!$J$8),0),0)</f>
        <v>7.70028</v>
      </c>
      <c r="BT22" s="48">
        <f>IF(G22="入池",IF(ISNUMBER(R22),R22*('Sheet1-指标体系'!$G$7*'Sheet1-指标体系'!$J$9),0),0)</f>
        <v>2.37552</v>
      </c>
      <c r="BU22" s="48">
        <f>IF(G22="入池",IF(ISNUMBER(W22),W22*('Sheet1-指标体系'!$G$8*'Sheet1-指标体系'!$J$8),0),0)</f>
        <v>2.76912</v>
      </c>
      <c r="BV22" s="48">
        <f>IF(G22="入池",IF(ISNUMBER(X22),X22*('Sheet1-指标体系'!$G$8*'Sheet1-指标体系'!$J$9),0),0)</f>
        <v>1.69993</v>
      </c>
      <c r="BW22" s="48">
        <f>IF(G22="入池",IF(ISNUMBER(AC22),AC22*('Sheet1-指标体系'!$G$9),0),0)</f>
        <v>5.7425</v>
      </c>
      <c r="BX22" s="48">
        <f>IF(G22="入池",IF(ISNUMBER(AG22),AG22*('Sheet1-指标体系'!$G$10*'Sheet1-指标体系'!$J$8),0),0)</f>
        <v>7.353</v>
      </c>
      <c r="BY22" s="48">
        <f>IF(G22="入池",IF(ISNUMBER(AH22),AH22*('Sheet1-指标体系'!$G$10*'Sheet1-指标体系'!$J$9),0),0)</f>
        <v>0</v>
      </c>
      <c r="BZ22" s="48">
        <f>IF(G22="入池",IF(ISNUMBER(AK22),AK22*('Sheet1-指标体系'!$G$11),0),0)</f>
        <v>10</v>
      </c>
      <c r="CA22" s="49">
        <f>IF(G22="入池",IF(ISNUMBER(I22),'Sheet1-指标体系'!$G$4,0),0)</f>
        <v>0.06</v>
      </c>
      <c r="CB22" s="49">
        <f>IF(G22="入池",IF(ISNUMBER(K22),'Sheet1-指标体系'!$G$5,0),0)</f>
        <v>0.045</v>
      </c>
      <c r="CC22" s="49">
        <f>IF(G22="入池",IF(ISNUMBER(L22),'Sheet1-指标体系'!$G$6,0),0)</f>
        <v>0.045</v>
      </c>
      <c r="CD22" s="49">
        <f>IF(G22="入池",IF(ISNUMBER(Q22),'Sheet1-指标体系'!$G$7*'Sheet1-指标体系'!$J$8,0),0)</f>
        <v>0.084</v>
      </c>
      <c r="CE22" s="49">
        <f>IF(G22="入池",IF(ISNUMBER(R22),'Sheet1-指标体系'!$G$7*'Sheet1-指标体系'!$J$9,0),0)</f>
        <v>0.056</v>
      </c>
      <c r="CF22" s="49">
        <f>IF(G22="入池",IF(ISNUMBER(W22),'Sheet1-指标体系'!$G$8*'Sheet1-指标体系'!$J$8,0),0)</f>
        <v>0.036</v>
      </c>
      <c r="CG22" s="49">
        <f>IF(G22="入池",IF(ISNUMBER(X22),'Sheet1-指标体系'!$G$8*'Sheet1-指标体系'!$J$9,0),0)</f>
        <v>0.024</v>
      </c>
      <c r="CH22" s="49">
        <f>IF(G22="入池",IF(ISNUMBER(AC22),'Sheet1-指标体系'!$G$9,0),0)</f>
        <v>0.25</v>
      </c>
      <c r="CI22" s="49">
        <f>IF(G22="入池",IF(ISNUMBER(AG22),'Sheet1-指标体系'!$G$10*'Sheet1-指标体系'!$J$8,0),0)</f>
        <v>0.18</v>
      </c>
      <c r="CJ22" s="49">
        <f>IF(G22="入池",IF(ISNUMBER(AH22),'Sheet1-指标体系'!$G$10*'Sheet1-指标体系'!$J$9,0),0)</f>
        <v>0</v>
      </c>
      <c r="CK22" s="49">
        <f>IF(G22="入池",IF(ISNUMBER(AK22),'Sheet1-指标体系'!$G$11,0),0)</f>
        <v>0.1</v>
      </c>
    </row>
    <row r="23" ht="44" customHeight="1" spans="1:89">
      <c r="A23" s="40">
        <f>'Sheet5-查询核对'!A8-1</f>
        <v>7</v>
      </c>
      <c r="B23" s="24" t="str">
        <f>IF('Sheet4-原始数据'!A8="",'Sheet5-查询核对'!B8,'Sheet4-原始数据'!A8)</f>
        <v>常行7号</v>
      </c>
      <c r="C23" s="22" t="str">
        <f>IF('Sheet4-原始数据'!B8="","",'Sheet4-原始数据'!B8)</f>
        <v>SQH214</v>
      </c>
      <c r="D23" s="22" t="str">
        <f>IF('Sheet4-原始数据'!E8="","",'Sheet4-原始数据'!E8)</f>
        <v>江苏常行投资</v>
      </c>
      <c r="E23" s="23">
        <f>IF('Sheet4-原始数据'!F8="","",'Sheet4-原始数据'!F8)</f>
        <v>44288</v>
      </c>
      <c r="F23" s="37">
        <f>IF(ISNUMBER(E23),ROUND(('Sheet1-指标体系'!$J$12-E23)/'Sheet1-指标体系'!$J$14,4),"")</f>
        <v>5.4401</v>
      </c>
      <c r="G23" s="36" t="str">
        <f>IF(C23="","未匹配",IF(NOT(ISNUMBER(F23)),"缺成立日期",IF(F23&lt;'Sheet1-指标体系'!$J$15,"不入池","入池")))</f>
        <v>入池</v>
      </c>
      <c r="H23" s="22" t="str">
        <f>IF('Sheet5-查询核对'!K8="","",'Sheet5-查询核对'!K8)</f>
        <v>5-10亿元</v>
      </c>
      <c r="I23" s="37">
        <f>IF(H23="","",IF(COUNTIF('Sheet1-指标体系'!$P$4:$P$10,H23)=0,"",INDEX('Sheet1-指标体系'!$Q$4:$Q$10,MATCH(H23,'Sheet1-指标体系'!$P$4:$P$10,0))))</f>
        <v>70</v>
      </c>
      <c r="J23" s="44" t="str">
        <f>IF(NOT(ISNUMBER('Sheet5-查询核对'!N8)),"",IF('Sheet5-查询核对'!N8=1,"低于"&amp;'Sheet1-指标体系'!$J$4&amp;"万元",IF('Sheet5-查询核对'!N8=0,"无低于"&amp;'Sheet1-指标体系'!$J$4&amp;"万元标识","")))</f>
        <v>无低于1000万元标识</v>
      </c>
      <c r="K23" s="37">
        <f>IF(NOT(ISNUMBER('Sheet5-查询核对'!N8)),"",IF('Sheet5-查询核对'!N8=1,'Sheet1-指标体系'!$J$21,IF('Sheet5-查询核对'!N8=0,'Sheet1-指标体系'!$J$18,"")))</f>
        <v>100</v>
      </c>
      <c r="L23" s="37">
        <f>IF(NOT(ISNUMBER(F23)),"",IF(F23&lt;'Sheet1-指标体系'!$J$15,"",IF(F23&lt;'Sheet1-指标体系'!$J$16,'Sheet1-指标体系'!$J$17,'Sheet1-指标体系'!$J$18)))</f>
        <v>100</v>
      </c>
      <c r="M23" s="26">
        <f>IF(ISNUMBER('Sheet4-原始数据'!G8),'Sheet4-原始数据'!G8,"")</f>
        <v>0.0729565217090635</v>
      </c>
      <c r="N23" s="26">
        <f>IF(ISNUMBER('Sheet4-原始数据'!H8),'Sheet4-原始数据'!H8,"")</f>
        <v>0.0620957413947367</v>
      </c>
      <c r="O23" s="26">
        <f>IF(ISNUMBER('Sheet5-查询核对'!Q8),'Sheet5-查询核对'!Q8,"")</f>
        <v>0.0637470418513069</v>
      </c>
      <c r="P23" s="45">
        <f>IF(G23&lt;&gt;"入池","",IF(F23&gt;='Sheet1-指标体系'!$J$16,IF(AND(ISNUMBER(M23),ISNUMBER(N23)),IF(AND(1+M23&gt;0,1+N23&gt;=0),((1+N23)^'Sheet1-指标体系'!$J$16/(1+M23))^(1/('Sheet1-指标体系'!$J$16-1))-1,""),""),IF(AND(ISNUMBER(M23),ISNUMBER(O23)),IF(AND(F23&gt;1,1+M23&gt;0,1+O23&gt;=0),((1+O23)^F23/(1+M23))^(1/(F23-1))-1,""),"")))</f>
        <v>0.0567066470534989</v>
      </c>
      <c r="Q23" s="37">
        <f t="shared" si="0"/>
        <v>34.72</v>
      </c>
      <c r="R23" s="37">
        <f t="shared" si="1"/>
        <v>25.76</v>
      </c>
      <c r="S23" s="37">
        <f>IF(ISNUMBER(Q23),IF(ISNUMBER(R23),ROUND(Q23*'Sheet1-指标体系'!$J$8+R23*'Sheet1-指标体系'!$J$9,2),Q23),"")</f>
        <v>31.14</v>
      </c>
      <c r="T23" s="26">
        <f>IF(ISNUMBER('Sheet4-原始数据'!J8),'Sheet4-原始数据'!J8,"")</f>
        <v>1</v>
      </c>
      <c r="U23" s="26">
        <f>IF(ISNUMBER('Sheet4-原始数据'!I8),'Sheet4-原始数据'!I8,"")</f>
        <v>0.891891891891892</v>
      </c>
      <c r="V23" s="45">
        <f>IF(AND(ISNUMBER(T23),ISNUMBER(U23)),(U23*'Sheet1-指标体系'!$J$6-T23*'Sheet1-指标体系'!$J$5)/'Sheet1-指标体系'!$J$7,"")</f>
        <v>0.833333333333333</v>
      </c>
      <c r="W23" s="37">
        <f t="shared" si="2"/>
        <v>100</v>
      </c>
      <c r="X23" s="37">
        <f>IF(G23&lt;&gt;"入池","",IF(ISNUMBER(V23),IF(AND(V23&gt;=0,V23&lt;=1),V23*'Sheet1-指标体系'!$J$18,IF(MAX(0,(F23-'Sheet1-指标体系'!$J$15)*'Sheet1-指标体系'!$J$20)&lt;'Sheet1-指标体系'!$J$19,'Sheet1-指标体系'!$J$18,"")),IF(MAX(0,(F23-'Sheet1-指标体系'!$J$15)*'Sheet1-指标体系'!$J$20)&lt;'Sheet1-指标体系'!$J$19,'Sheet1-指标体系'!$J$18,"")))</f>
        <v>83.3333333333333</v>
      </c>
      <c r="Y23" s="37">
        <f>IF(ISNUMBER(W23),IF(ISNUMBER(X23),ROUND(W23*'Sheet1-指标体系'!$J$8+X23*'Sheet1-指标体系'!$J$9,2),W23),"")</f>
        <v>93.33</v>
      </c>
      <c r="Z23" s="45">
        <f t="shared" si="3"/>
        <v>0.00165090799939971</v>
      </c>
      <c r="AA23" s="26">
        <f>IF(ISNUMBER('Sheet4-原始数据'!K8),'Sheet4-原始数据'!K8,"")</f>
        <v>0.0114873553364767</v>
      </c>
      <c r="AB23" s="45">
        <f t="shared" si="4"/>
        <v>0.0114873553364767</v>
      </c>
      <c r="AC23" s="37">
        <f t="shared" si="5"/>
        <v>64.86</v>
      </c>
      <c r="AD23" s="30">
        <f>IF(ISNUMBER('Sheet4-原始数据'!M8),'Sheet4-原始数据'!M8,"")</f>
        <v>44.1917549224981</v>
      </c>
      <c r="AE23" s="45">
        <f>IF(AND(ISNUMBER(P23),ISNUMBER(AA23),ISNUMBER(Z23)),IF(AA23&gt;Z23+'Sheet1-指标体系'!$J$11,AA23,""),"")</f>
        <v>0.0114873553364767</v>
      </c>
      <c r="AF23" s="37">
        <f t="shared" si="6"/>
        <v>4.93644058118702</v>
      </c>
      <c r="AG23" s="37">
        <f t="shared" si="7"/>
        <v>92.96</v>
      </c>
      <c r="AH23" s="37">
        <f t="shared" si="8"/>
        <v>59.38</v>
      </c>
      <c r="AI23" s="37">
        <f>IF(ISNUMBER(AG23),IF(ISNUMBER(AH23),ROUND(AG23*'Sheet1-指标体系'!$J$8+AH23*'Sheet1-指标体系'!$J$9,2),AG23),"")</f>
        <v>79.53</v>
      </c>
      <c r="AJ23" s="45">
        <f>IF(NOT(ISNUMBER(F23)),"",IF(F23&gt;='Sheet1-指标体系'!$J$16,IF(ISNUMBER(N23),N23,""),IF(ISNUMBER(O23),O23,"")))</f>
        <v>0.0620957413947367</v>
      </c>
      <c r="AK23" s="37">
        <f>IF(AND(G23="入池",ISNUMBER(M23),ISNUMBER(AJ23)),IF(M23&gt;=AJ23,'Sheet1-指标体系'!$J$18,IF(AJ23-M23&lt;'Sheet1-指标体系'!$J$10,'Sheet1-指标体系'!$J$22,'Sheet1-指标体系'!$J$23)),"")</f>
        <v>100</v>
      </c>
      <c r="AL23" s="37">
        <f>IF((IF(ISNUMBER(I23),'Sheet1-指标体系'!$G$4,0)+IF(ISNUMBER(K23),'Sheet1-指标体系'!$G$5,0)+IF(ISNUMBER(L23),'Sheet1-指标体系'!$G$6,0))&gt;0,ROUND((IF(ISNUMBER(I23),I23*'Sheet1-指标体系'!$G$4,0)+IF(ISNUMBER(K23),K23*'Sheet1-指标体系'!$G$5,0)+IF(ISNUMBER(L23),L23*'Sheet1-指标体系'!$G$6,0))/(IF(ISNUMBER(I23),'Sheet1-指标体系'!$G$4,0)+IF(ISNUMBER(K23),'Sheet1-指标体系'!$G$5,0)+IF(ISNUMBER(L23),'Sheet1-指标体系'!$G$6,0)),2),"")</f>
        <v>88</v>
      </c>
      <c r="AM23" s="37">
        <f t="shared" si="9"/>
        <v>49.8</v>
      </c>
      <c r="AN23" s="37">
        <f t="shared" si="10"/>
        <v>64.86</v>
      </c>
      <c r="AO23" s="37">
        <f t="shared" si="11"/>
        <v>79.53</v>
      </c>
      <c r="AP23" s="37">
        <f t="shared" si="12"/>
        <v>100</v>
      </c>
      <c r="AQ23" s="38">
        <f t="shared" si="13"/>
        <v>1</v>
      </c>
      <c r="AR23" s="37">
        <f t="shared" si="14"/>
        <v>73.23244</v>
      </c>
      <c r="AS23" s="37">
        <f t="shared" si="15"/>
        <v>73.23</v>
      </c>
      <c r="AT23" s="40">
        <f>IF(OR(G23&lt;&gt;"入池",NOT(ISNUMBER(AS23))),"",COUNTIFS($G$17:$G$99,"入池",$AS$17:$AS$99,"&gt;"&amp;AS23)+COUNTIFS($G$17:$G$99,"入池",$AS$17:$AS$99,AS23,$AQ$17:$AQ$99,"&gt;"&amp;AQ23)+COUNTIFS($G$17:G23,"入池",$AS$17:AS23,AS23,$AQ$17:AQ23,AQ23))</f>
        <v>26</v>
      </c>
      <c r="AU23" s="46" t="str">
        <f>IF(NOT(ISNUMBER(I23)),"管理人规模；","")&amp;IF(NOT(ISNUMBER(K23)),"产品规模标识；","")&amp;IF(NOT(ISNUMBER(M23)),"近一年收益；","")&amp;IF(NOT(ISNUMBER(T23)),"近一年胜率；","")&amp;IF(NOT(ISNUMBER(N23)),"近三年收益；","")&amp;IF(NOT(ISNUMBER(U23)),"近三年胜率；","")&amp;IF(NOT(ISNUMBER(AA23)),"近三年回撤；","")&amp;IF(NOT(ISNUMBER(AD23)),"近一年卡玛；","")&amp;IF(ISNUMBER(F23),IF(AND(F23&lt;'Sheet1-指标体系'!$J$16,NOT(ISNUMBER(O23))),"成立以来年化；",""),"成立日期；")&amp;IF(ISNUMBER(V23),IF(OR(V23&lt;0,V23&gt;1),"胜率窗口口径不一致；",""),"")&amp;IF(ISNUMBER(P23),IF(NOT(ISNUMBER(AE23)),"DD_long不可识别；",""),"")</f>
        <v/>
      </c>
      <c r="AV23" s="37">
        <f>IF(ABS(SUM(CA23:CK23)-'Sheet1-指标体系'!$J$25)&lt;0.0000000001,SUM(BP23:BZ23),"")</f>
        <v>73.23244</v>
      </c>
      <c r="AW23" s="36" t="str">
        <f>IF(G23&lt;&gt;"入池",G23,IF(AQ23=0,"无有效评分数据",IF(ROUND(AQ23,10)=ROUND('Sheet1-指标体系'!$J$25,10),"完整赋分","暂定分／数据不完整")))</f>
        <v>完整赋分</v>
      </c>
      <c r="AX23" s="22" t="str">
        <f>IF('Sheet4-原始数据'!C8="","",'Sheet4-原始数据'!C8)</f>
        <v>套利策略</v>
      </c>
      <c r="AY23" s="22" t="str">
        <f>IF('Sheet4-原始数据'!D8="","",'Sheet4-原始数据'!D8)</f>
        <v>期货套利</v>
      </c>
      <c r="AZ23" s="22" t="str">
        <f>IF('Sheet5-查询核对'!S8="","",'Sheet5-查询核对'!S8)</f>
        <v>套利策略—期货套利</v>
      </c>
      <c r="BA23" s="25">
        <f>IF('Sheet5-查询核对'!A8="","",'Sheet5-查询核对'!A8)</f>
        <v>8</v>
      </c>
      <c r="BB23" s="22" t="str">
        <f>IF('Sheet5-查询核对'!F8="","",'Sheet5-查询核对'!F8)</f>
        <v>备案号匹配</v>
      </c>
      <c r="BC23" s="24" t="str">
        <f>IF('Sheet5-查询核对'!I8="","",'Sheet5-查询核对'!I8)</f>
        <v>https://mp.fof99.com/fund/view/11dff1146ece63b4</v>
      </c>
      <c r="BD23" s="23">
        <f>IF('Sheet5-查询核对'!H8="","",'Sheet5-查询核对'!H8)</f>
        <v>46269</v>
      </c>
      <c r="BE23" s="24" t="str">
        <f>IF('Sheet5-查询核对'!L8="","",'Sheet5-查询核对'!L8)</f>
        <v>https://gs.amac.org.cn/amac-infodisc/res/pof/manager/101000022360.html</v>
      </c>
      <c r="BF23" s="23">
        <f>IF('Sheet5-查询核对'!M8="","",'Sheet5-查询核对'!M8)</f>
        <v>46276</v>
      </c>
      <c r="BG23" s="24" t="str">
        <f>IF('Sheet5-查询核对'!O8="","",'Sheet5-查询核对'!O8)</f>
        <v>https://gs.amac.org.cn/amac-infodisc/res/pof/fund/2104131319108374.html</v>
      </c>
      <c r="BH23" s="23">
        <f>IF('Sheet5-查询核对'!P8="","",'Sheet5-查询核对'!P8)</f>
        <v>46276</v>
      </c>
      <c r="BI23" s="22" t="str">
        <f>IF('Sheet5-查询核对'!D8="","",'Sheet5-查询核对'!D8)</f>
        <v>SQH214</v>
      </c>
      <c r="BJ23">
        <f>IF(ISNUMBER(AT23),AT23,COUNT($AT$17:$AT$99)+ROWS($AT$17:AT23)-COUNT($AT$17:AT23))</f>
        <v>26</v>
      </c>
      <c r="BK23" s="2">
        <f t="shared" si="16"/>
        <v>1</v>
      </c>
      <c r="BL23" s="2">
        <f t="shared" si="17"/>
        <v>1</v>
      </c>
      <c r="BM23" s="2">
        <f t="shared" si="18"/>
        <v>1</v>
      </c>
      <c r="BN23" s="2">
        <f t="shared" si="19"/>
        <v>1</v>
      </c>
      <c r="BO23" s="2">
        <f t="shared" si="20"/>
        <v>1</v>
      </c>
      <c r="BP23" s="48">
        <f>IF(G23="入池",IF(ISNUMBER(I23),I23*('Sheet1-指标体系'!$G$4),0),0)</f>
        <v>4.2</v>
      </c>
      <c r="BQ23" s="48">
        <f>IF(G23="入池",IF(ISNUMBER(K23),K23*('Sheet1-指标体系'!$G$5),0),0)</f>
        <v>4.5</v>
      </c>
      <c r="BR23" s="48">
        <f>IF(G23="入池",IF(ISNUMBER(L23),L23*('Sheet1-指标体系'!$G$6),0),0)</f>
        <v>4.5</v>
      </c>
      <c r="BS23" s="48">
        <f>IF(G23="入池",IF(ISNUMBER(Q23),Q23*('Sheet1-指标体系'!$G$7*'Sheet1-指标体系'!$J$8),0),0)</f>
        <v>2.91648</v>
      </c>
      <c r="BT23" s="48">
        <f>IF(G23="入池",IF(ISNUMBER(R23),R23*('Sheet1-指标体系'!$G$7*'Sheet1-指标体系'!$J$9),0),0)</f>
        <v>1.44256</v>
      </c>
      <c r="BU23" s="48">
        <f>IF(G23="入池",IF(ISNUMBER(W23),W23*('Sheet1-指标体系'!$G$8*'Sheet1-指标体系'!$J$8),0),0)</f>
        <v>3.6</v>
      </c>
      <c r="BV23" s="48">
        <f>IF(G23="入池",IF(ISNUMBER(X23),X23*('Sheet1-指标体系'!$G$8*'Sheet1-指标体系'!$J$9),0),0)</f>
        <v>2</v>
      </c>
      <c r="BW23" s="48">
        <f>IF(G23="入池",IF(ISNUMBER(AC23),AC23*('Sheet1-指标体系'!$G$9),0),0)</f>
        <v>16.215</v>
      </c>
      <c r="BX23" s="48">
        <f>IF(G23="入池",IF(ISNUMBER(AG23),AG23*('Sheet1-指标体系'!$G$10*'Sheet1-指标体系'!$J$8),0),0)</f>
        <v>16.7328</v>
      </c>
      <c r="BY23" s="48">
        <f>IF(G23="入池",IF(ISNUMBER(AH23),AH23*('Sheet1-指标体系'!$G$10*'Sheet1-指标体系'!$J$9),0),0)</f>
        <v>7.1256</v>
      </c>
      <c r="BZ23" s="48">
        <f>IF(G23="入池",IF(ISNUMBER(AK23),AK23*('Sheet1-指标体系'!$G$11),0),0)</f>
        <v>10</v>
      </c>
      <c r="CA23" s="49">
        <f>IF(G23="入池",IF(ISNUMBER(I23),'Sheet1-指标体系'!$G$4,0),0)</f>
        <v>0.06</v>
      </c>
      <c r="CB23" s="49">
        <f>IF(G23="入池",IF(ISNUMBER(K23),'Sheet1-指标体系'!$G$5,0),0)</f>
        <v>0.045</v>
      </c>
      <c r="CC23" s="49">
        <f>IF(G23="入池",IF(ISNUMBER(L23),'Sheet1-指标体系'!$G$6,0),0)</f>
        <v>0.045</v>
      </c>
      <c r="CD23" s="49">
        <f>IF(G23="入池",IF(ISNUMBER(Q23),'Sheet1-指标体系'!$G$7*'Sheet1-指标体系'!$J$8,0),0)</f>
        <v>0.084</v>
      </c>
      <c r="CE23" s="49">
        <f>IF(G23="入池",IF(ISNUMBER(R23),'Sheet1-指标体系'!$G$7*'Sheet1-指标体系'!$J$9,0),0)</f>
        <v>0.056</v>
      </c>
      <c r="CF23" s="49">
        <f>IF(G23="入池",IF(ISNUMBER(W23),'Sheet1-指标体系'!$G$8*'Sheet1-指标体系'!$J$8,0),0)</f>
        <v>0.036</v>
      </c>
      <c r="CG23" s="49">
        <f>IF(G23="入池",IF(ISNUMBER(X23),'Sheet1-指标体系'!$G$8*'Sheet1-指标体系'!$J$9,0),0)</f>
        <v>0.024</v>
      </c>
      <c r="CH23" s="49">
        <f>IF(G23="入池",IF(ISNUMBER(AC23),'Sheet1-指标体系'!$G$9,0),0)</f>
        <v>0.25</v>
      </c>
      <c r="CI23" s="49">
        <f>IF(G23="入池",IF(ISNUMBER(AG23),'Sheet1-指标体系'!$G$10*'Sheet1-指标体系'!$J$8,0),0)</f>
        <v>0.18</v>
      </c>
      <c r="CJ23" s="49">
        <f>IF(G23="入池",IF(ISNUMBER(AH23),'Sheet1-指标体系'!$G$10*'Sheet1-指标体系'!$J$9,0),0)</f>
        <v>0.12</v>
      </c>
      <c r="CK23" s="49">
        <f>IF(G23="入池",IF(ISNUMBER(AK23),'Sheet1-指标体系'!$G$11,0),0)</f>
        <v>0.1</v>
      </c>
    </row>
    <row r="24" ht="44" customHeight="1" spans="1:89">
      <c r="A24" s="40">
        <f>'Sheet5-查询核对'!A9-1</f>
        <v>8</v>
      </c>
      <c r="B24" s="24" t="str">
        <f>IF('Sheet4-原始数据'!A9="",'Sheet5-查询核对'!B9,'Sheet4-原始数据'!A9)</f>
        <v>辰元稳健2号</v>
      </c>
      <c r="C24" s="22" t="str">
        <f>IF('Sheet4-原始数据'!B9="","",'Sheet4-原始数据'!B9)</f>
        <v>SZJ724</v>
      </c>
      <c r="D24" s="22" t="str">
        <f>IF('Sheet4-原始数据'!E9="","",'Sheet4-原始数据'!E9)</f>
        <v>广东辰元</v>
      </c>
      <c r="E24" s="23">
        <f>IF('Sheet4-原始数据'!F9="","",'Sheet4-原始数据'!F9)</f>
        <v>44967</v>
      </c>
      <c r="F24" s="37">
        <f>IF(ISNUMBER(E24),ROUND(('Sheet1-指标体系'!$J$12-E24)/'Sheet1-指标体系'!$J$14,4),"")</f>
        <v>3.5811</v>
      </c>
      <c r="G24" s="36" t="str">
        <f>IF(C24="","未匹配",IF(NOT(ISNUMBER(F24)),"缺成立日期",IF(F24&lt;'Sheet1-指标体系'!$J$15,"不入池","入池")))</f>
        <v>入池</v>
      </c>
      <c r="H24" s="22" t="str">
        <f>IF('Sheet5-查询核对'!K9="","",'Sheet5-查询核对'!K9)</f>
        <v>20-50亿元</v>
      </c>
      <c r="I24" s="37">
        <f>IF(H24="","",IF(COUNTIF('Sheet1-指标体系'!$P$4:$P$10,H24)=0,"",INDEX('Sheet1-指标体系'!$Q$4:$Q$10,MATCH(H24,'Sheet1-指标体系'!$P$4:$P$10,0))))</f>
        <v>90</v>
      </c>
      <c r="J24" s="44" t="str">
        <f>IF(NOT(ISNUMBER('Sheet5-查询核对'!N9)),"",IF('Sheet5-查询核对'!N9=1,"低于"&amp;'Sheet1-指标体系'!$J$4&amp;"万元",IF('Sheet5-查询核对'!N9=0,"无低于"&amp;'Sheet1-指标体系'!$J$4&amp;"万元标识","")))</f>
        <v>无低于1000万元标识</v>
      </c>
      <c r="K24" s="37">
        <f>IF(NOT(ISNUMBER('Sheet5-查询核对'!N9)),"",IF('Sheet5-查询核对'!N9=1,'Sheet1-指标体系'!$J$21,IF('Sheet5-查询核对'!N9=0,'Sheet1-指标体系'!$J$18,"")))</f>
        <v>100</v>
      </c>
      <c r="L24" s="37">
        <f>IF(NOT(ISNUMBER(F24)),"",IF(F24&lt;'Sheet1-指标体系'!$J$15,"",IF(F24&lt;'Sheet1-指标体系'!$J$16,'Sheet1-指标体系'!$J$17,'Sheet1-指标体系'!$J$18)))</f>
        <v>100</v>
      </c>
      <c r="M24" s="26">
        <f>IF(ISNUMBER('Sheet4-原始数据'!G9),'Sheet4-原始数据'!G9,"")</f>
        <v>0.0253</v>
      </c>
      <c r="N24" s="26">
        <f>IF(ISNUMBER('Sheet4-原始数据'!H9),'Sheet4-原始数据'!H9,"")</f>
        <v>0.0614</v>
      </c>
      <c r="O24" s="26">
        <f>IF(ISNUMBER('Sheet5-查询核对'!Q9),'Sheet5-查询核对'!Q9,"")</f>
        <v>0.0696</v>
      </c>
      <c r="P24" s="45">
        <f>IF(G24&lt;&gt;"入池","",IF(F24&gt;='Sheet1-指标体系'!$J$16,IF(AND(ISNUMBER(M24),ISNUMBER(N24)),IF(AND(1+M24&gt;0,1+N24&gt;=0),((1+N24)^'Sheet1-指标体系'!$J$16/(1+M24))^(1/('Sheet1-指标体系'!$J$16-1))-1,""),""),IF(AND(ISNUMBER(M24),ISNUMBER(O24)),IF(AND(F24&gt;1,1+M24&gt;0,1+O24&gt;=0),((1+O24)^F24/(1+M24))^(1/(F24-1))-1,""),"")))</f>
        <v>0.0799238838875331</v>
      </c>
      <c r="Q24" s="37">
        <f t="shared" si="0"/>
        <v>8.33</v>
      </c>
      <c r="R24" s="37">
        <f t="shared" si="1"/>
        <v>53.03</v>
      </c>
      <c r="S24" s="37">
        <f>IF(ISNUMBER(Q24),IF(ISNUMBER(R24),ROUND(Q24*'Sheet1-指标体系'!$J$8+R24*'Sheet1-指标体系'!$J$9,2),Q24),"")</f>
        <v>26.21</v>
      </c>
      <c r="T24" s="26">
        <f>IF(ISNUMBER('Sheet4-原始数据'!J9),'Sheet4-原始数据'!J9,"")</f>
        <v>0.6154</v>
      </c>
      <c r="U24" s="26">
        <f>IF(ISNUMBER('Sheet4-原始数据'!I9),'Sheet4-原始数据'!I9,"")</f>
        <v>0.8378</v>
      </c>
      <c r="V24" s="45">
        <f>IF(AND(ISNUMBER(T24),ISNUMBER(U24)),(U24*'Sheet1-指标体系'!$J$6-T24*'Sheet1-指标体系'!$J$5)/'Sheet1-指标体系'!$J$7,"")</f>
        <v>0.958266666666667</v>
      </c>
      <c r="W24" s="37">
        <f t="shared" si="2"/>
        <v>61.54</v>
      </c>
      <c r="X24" s="37">
        <f>IF(G24&lt;&gt;"入池","",IF(ISNUMBER(V24),IF(AND(V24&gt;=0,V24&lt;=1),V24*'Sheet1-指标体系'!$J$18,IF(MAX(0,(F24-'Sheet1-指标体系'!$J$15)*'Sheet1-指标体系'!$J$20)&lt;'Sheet1-指标体系'!$J$19,'Sheet1-指标体系'!$J$18,"")),IF(MAX(0,(F24-'Sheet1-指标体系'!$J$15)*'Sheet1-指标体系'!$J$20)&lt;'Sheet1-指标体系'!$J$19,'Sheet1-指标体系'!$J$18,"")))</f>
        <v>95.8266666666667</v>
      </c>
      <c r="Y24" s="37">
        <f>IF(ISNUMBER(W24),IF(ISNUMBER(X24),ROUND(W24*'Sheet1-指标体系'!$J$8+X24*'Sheet1-指标体系'!$J$9,2),W24),"")</f>
        <v>75.25</v>
      </c>
      <c r="Z24" s="45">
        <f t="shared" si="3"/>
        <v>0.00494063427589439</v>
      </c>
      <c r="AA24" s="26">
        <f>IF(ISNUMBER('Sheet4-原始数据'!K9),'Sheet4-原始数据'!K9,"")</f>
        <v>0.0062</v>
      </c>
      <c r="AB24" s="45">
        <f t="shared" si="4"/>
        <v>0.0062</v>
      </c>
      <c r="AC24" s="37">
        <f t="shared" si="5"/>
        <v>81.08</v>
      </c>
      <c r="AD24" s="30">
        <f>IF(ISNUMBER('Sheet4-原始数据'!M9),'Sheet4-原始数据'!M9,"")</f>
        <v>5.1208</v>
      </c>
      <c r="AE24" s="45">
        <f>IF(AND(ISNUMBER(P24),ISNUMBER(AA24),ISNUMBER(Z24)),IF(AA24&gt;Z24+'Sheet1-指标体系'!$J$11,AA24,""),"")</f>
        <v>0.0062</v>
      </c>
      <c r="AF24" s="37">
        <f t="shared" si="6"/>
        <v>12.8909490141182</v>
      </c>
      <c r="AG24" s="37">
        <f t="shared" si="7"/>
        <v>33.8</v>
      </c>
      <c r="AH24" s="37">
        <f t="shared" si="8"/>
        <v>84.38</v>
      </c>
      <c r="AI24" s="37">
        <f>IF(ISNUMBER(AG24),IF(ISNUMBER(AH24),ROUND(AG24*'Sheet1-指标体系'!$J$8+AH24*'Sheet1-指标体系'!$J$9,2),AG24),"")</f>
        <v>54.03</v>
      </c>
      <c r="AJ24" s="45">
        <f>IF(NOT(ISNUMBER(F24)),"",IF(F24&gt;='Sheet1-指标体系'!$J$16,IF(ISNUMBER(N24),N24,""),IF(ISNUMBER(O24),O24,"")))</f>
        <v>0.0614</v>
      </c>
      <c r="AK24" s="37">
        <f>IF(AND(G24="入池",ISNUMBER(M24),ISNUMBER(AJ24)),IF(M24&gt;=AJ24,'Sheet1-指标体系'!$J$18,IF(AJ24-M24&lt;'Sheet1-指标体系'!$J$10,'Sheet1-指标体系'!$J$22,'Sheet1-指标体系'!$J$23)),"")</f>
        <v>80</v>
      </c>
      <c r="AL24" s="37">
        <f>IF((IF(ISNUMBER(I24),'Sheet1-指标体系'!$G$4,0)+IF(ISNUMBER(K24),'Sheet1-指标体系'!$G$5,0)+IF(ISNUMBER(L24),'Sheet1-指标体系'!$G$6,0))&gt;0,ROUND((IF(ISNUMBER(I24),I24*'Sheet1-指标体系'!$G$4,0)+IF(ISNUMBER(K24),K24*'Sheet1-指标体系'!$G$5,0)+IF(ISNUMBER(L24),L24*'Sheet1-指标体系'!$G$6,0))/(IF(ISNUMBER(I24),'Sheet1-指标体系'!$G$4,0)+IF(ISNUMBER(K24),'Sheet1-指标体系'!$G$5,0)+IF(ISNUMBER(L24),'Sheet1-指标体系'!$G$6,0)),2),"")</f>
        <v>96</v>
      </c>
      <c r="AM24" s="37">
        <f t="shared" si="9"/>
        <v>40.92</v>
      </c>
      <c r="AN24" s="37">
        <f t="shared" si="10"/>
        <v>81.08</v>
      </c>
      <c r="AO24" s="37">
        <f t="shared" si="11"/>
        <v>54.03</v>
      </c>
      <c r="AP24" s="37">
        <f t="shared" si="12"/>
        <v>80</v>
      </c>
      <c r="AQ24" s="38">
        <f t="shared" si="13"/>
        <v>1</v>
      </c>
      <c r="AR24" s="37">
        <f t="shared" si="14"/>
        <v>67.06428</v>
      </c>
      <c r="AS24" s="37">
        <f t="shared" si="15"/>
        <v>67.06</v>
      </c>
      <c r="AT24" s="40">
        <f>IF(OR(G24&lt;&gt;"入池",NOT(ISNUMBER(AS24))),"",COUNTIFS($G$17:$G$99,"入池",$AS$17:$AS$99,"&gt;"&amp;AS24)+COUNTIFS($G$17:$G$99,"入池",$AS$17:$AS$99,AS24,$AQ$17:$AQ$99,"&gt;"&amp;AQ24)+COUNTIFS($G$17:G24,"入池",$AS$17:AS24,AS24,$AQ$17:AQ24,AQ24))</f>
        <v>36</v>
      </c>
      <c r="AU24" s="46" t="str">
        <f>IF(NOT(ISNUMBER(I24)),"管理人规模；","")&amp;IF(NOT(ISNUMBER(K24)),"产品规模标识；","")&amp;IF(NOT(ISNUMBER(M24)),"近一年收益；","")&amp;IF(NOT(ISNUMBER(T24)),"近一年胜率；","")&amp;IF(NOT(ISNUMBER(N24)),"近三年收益；","")&amp;IF(NOT(ISNUMBER(U24)),"近三年胜率；","")&amp;IF(NOT(ISNUMBER(AA24)),"近三年回撤；","")&amp;IF(NOT(ISNUMBER(AD24)),"近一年卡玛；","")&amp;IF(ISNUMBER(F24),IF(AND(F24&lt;'Sheet1-指标体系'!$J$16,NOT(ISNUMBER(O24))),"成立以来年化；",""),"成立日期；")&amp;IF(ISNUMBER(V24),IF(OR(V24&lt;0,V24&gt;1),"胜率窗口口径不一致；",""),"")&amp;IF(ISNUMBER(P24),IF(NOT(ISNUMBER(AE24)),"DD_long不可识别；",""),"")</f>
        <v/>
      </c>
      <c r="AV24" s="37">
        <f>IF(ABS(SUM(CA24:CK24)-'Sheet1-指标体系'!$J$25)&lt;0.0000000001,SUM(BP24:BZ24),"")</f>
        <v>67.06428</v>
      </c>
      <c r="AW24" s="36" t="str">
        <f>IF(G24&lt;&gt;"入池",G24,IF(AQ24=0,"无有效评分数据",IF(ROUND(AQ24,10)=ROUND('Sheet1-指标体系'!$J$25,10),"完整赋分","暂定分／数据不完整")))</f>
        <v>完整赋分</v>
      </c>
      <c r="AX24" s="22" t="str">
        <f>IF('Sheet4-原始数据'!C9="","",'Sheet4-原始数据'!C9)</f>
        <v>套利策略</v>
      </c>
      <c r="AY24" s="22" t="str">
        <f>IF('Sheet4-原始数据'!D9="","",'Sheet4-原始数据'!D9)</f>
        <v>混合套利</v>
      </c>
      <c r="AZ24" s="22" t="str">
        <f>IF('Sheet5-查询核对'!S9="","",'Sheet5-查询核对'!S9)</f>
        <v>套利策略—混合套利</v>
      </c>
      <c r="BA24" s="25">
        <f>IF('Sheet5-查询核对'!A9="","",'Sheet5-查询核对'!A9)</f>
        <v>9</v>
      </c>
      <c r="BB24" s="22" t="str">
        <f>IF('Sheet5-查询核对'!F9="","",'Sheet5-查询核对'!F9)</f>
        <v>备案号匹配</v>
      </c>
      <c r="BC24" s="24" t="str">
        <f>IF('Sheet5-查询核对'!I9="","",'Sheet5-查询核对'!I9)</f>
        <v>https://mp.fof99.com/fund/view/dfc323b7729ef01d</v>
      </c>
      <c r="BD24" s="23">
        <f>IF('Sheet5-查询核对'!H9="","",'Sheet5-查询核对'!H9)</f>
        <v>46269</v>
      </c>
      <c r="BE24" s="24" t="str">
        <f>IF('Sheet5-查询核对'!L9="","",'Sheet5-查询核对'!L9)</f>
        <v>https://gs.amac.org.cn/amac-infodisc/res/pof/manager/2209261520106658.html</v>
      </c>
      <c r="BF24" s="23">
        <f>IF('Sheet5-查询核对'!M9="","",'Sheet5-查询核对'!M9)</f>
        <v>46276</v>
      </c>
      <c r="BG24" s="24" t="str">
        <f>IF('Sheet5-查询核对'!O9="","",'Sheet5-查询核对'!O9)</f>
        <v>https://gs.amac.org.cn/amac-infodisc/res/pof/fund/2302151739100614.html</v>
      </c>
      <c r="BH24" s="23">
        <f>IF('Sheet5-查询核对'!P9="","",'Sheet5-查询核对'!P9)</f>
        <v>46276</v>
      </c>
      <c r="BI24" s="22" t="str">
        <f>IF('Sheet5-查询核对'!D9="","",'Sheet5-查询核对'!D9)</f>
        <v>SZJ724</v>
      </c>
      <c r="BJ24">
        <f>IF(ISNUMBER(AT24),AT24,COUNT($AT$17:$AT$99)+ROWS($AT$17:AT24)-COUNT($AT$17:AT24))</f>
        <v>36</v>
      </c>
      <c r="BK24" s="2">
        <f t="shared" si="16"/>
        <v>1</v>
      </c>
      <c r="BL24" s="2">
        <f t="shared" si="17"/>
        <v>1</v>
      </c>
      <c r="BM24" s="2">
        <f t="shared" si="18"/>
        <v>1</v>
      </c>
      <c r="BN24" s="2">
        <f t="shared" si="19"/>
        <v>1</v>
      </c>
      <c r="BO24" s="2">
        <f t="shared" si="20"/>
        <v>1</v>
      </c>
      <c r="BP24" s="48">
        <f>IF(G24="入池",IF(ISNUMBER(I24),I24*('Sheet1-指标体系'!$G$4),0),0)</f>
        <v>5.4</v>
      </c>
      <c r="BQ24" s="48">
        <f>IF(G24="入池",IF(ISNUMBER(K24),K24*('Sheet1-指标体系'!$G$5),0),0)</f>
        <v>4.5</v>
      </c>
      <c r="BR24" s="48">
        <f>IF(G24="入池",IF(ISNUMBER(L24),L24*('Sheet1-指标体系'!$G$6),0),0)</f>
        <v>4.5</v>
      </c>
      <c r="BS24" s="48">
        <f>IF(G24="入池",IF(ISNUMBER(Q24),Q24*('Sheet1-指标体系'!$G$7*'Sheet1-指标体系'!$J$8),0),0)</f>
        <v>0.69972</v>
      </c>
      <c r="BT24" s="48">
        <f>IF(G24="入池",IF(ISNUMBER(R24),R24*('Sheet1-指标体系'!$G$7*'Sheet1-指标体系'!$J$9),0),0)</f>
        <v>2.96968</v>
      </c>
      <c r="BU24" s="48">
        <f>IF(G24="入池",IF(ISNUMBER(W24),W24*('Sheet1-指标体系'!$G$8*'Sheet1-指标体系'!$J$8),0),0)</f>
        <v>2.21544</v>
      </c>
      <c r="BV24" s="48">
        <f>IF(G24="入池",IF(ISNUMBER(X24),X24*('Sheet1-指标体系'!$G$8*'Sheet1-指标体系'!$J$9),0),0)</f>
        <v>2.29984</v>
      </c>
      <c r="BW24" s="48">
        <f>IF(G24="入池",IF(ISNUMBER(AC24),AC24*('Sheet1-指标体系'!$G$9),0),0)</f>
        <v>20.27</v>
      </c>
      <c r="BX24" s="48">
        <f>IF(G24="入池",IF(ISNUMBER(AG24),AG24*('Sheet1-指标体系'!$G$10*'Sheet1-指标体系'!$J$8),0),0)</f>
        <v>6.084</v>
      </c>
      <c r="BY24" s="48">
        <f>IF(G24="入池",IF(ISNUMBER(AH24),AH24*('Sheet1-指标体系'!$G$10*'Sheet1-指标体系'!$J$9),0),0)</f>
        <v>10.1256</v>
      </c>
      <c r="BZ24" s="48">
        <f>IF(G24="入池",IF(ISNUMBER(AK24),AK24*('Sheet1-指标体系'!$G$11),0),0)</f>
        <v>8</v>
      </c>
      <c r="CA24" s="49">
        <f>IF(G24="入池",IF(ISNUMBER(I24),'Sheet1-指标体系'!$G$4,0),0)</f>
        <v>0.06</v>
      </c>
      <c r="CB24" s="49">
        <f>IF(G24="入池",IF(ISNUMBER(K24),'Sheet1-指标体系'!$G$5,0),0)</f>
        <v>0.045</v>
      </c>
      <c r="CC24" s="49">
        <f>IF(G24="入池",IF(ISNUMBER(L24),'Sheet1-指标体系'!$G$6,0),0)</f>
        <v>0.045</v>
      </c>
      <c r="CD24" s="49">
        <f>IF(G24="入池",IF(ISNUMBER(Q24),'Sheet1-指标体系'!$G$7*'Sheet1-指标体系'!$J$8,0),0)</f>
        <v>0.084</v>
      </c>
      <c r="CE24" s="49">
        <f>IF(G24="入池",IF(ISNUMBER(R24),'Sheet1-指标体系'!$G$7*'Sheet1-指标体系'!$J$9,0),0)</f>
        <v>0.056</v>
      </c>
      <c r="CF24" s="49">
        <f>IF(G24="入池",IF(ISNUMBER(W24),'Sheet1-指标体系'!$G$8*'Sheet1-指标体系'!$J$8,0),0)</f>
        <v>0.036</v>
      </c>
      <c r="CG24" s="49">
        <f>IF(G24="入池",IF(ISNUMBER(X24),'Sheet1-指标体系'!$G$8*'Sheet1-指标体系'!$J$9,0),0)</f>
        <v>0.024</v>
      </c>
      <c r="CH24" s="49">
        <f>IF(G24="入池",IF(ISNUMBER(AC24),'Sheet1-指标体系'!$G$9,0),0)</f>
        <v>0.25</v>
      </c>
      <c r="CI24" s="49">
        <f>IF(G24="入池",IF(ISNUMBER(AG24),'Sheet1-指标体系'!$G$10*'Sheet1-指标体系'!$J$8,0),0)</f>
        <v>0.18</v>
      </c>
      <c r="CJ24" s="49">
        <f>IF(G24="入池",IF(ISNUMBER(AH24),'Sheet1-指标体系'!$G$10*'Sheet1-指标体系'!$J$9,0),0)</f>
        <v>0.12</v>
      </c>
      <c r="CK24" s="49">
        <f>IF(G24="入池",IF(ISNUMBER(AK24),'Sheet1-指标体系'!$G$11,0),0)</f>
        <v>0.1</v>
      </c>
    </row>
    <row r="25" ht="44" customHeight="1" spans="1:89">
      <c r="A25" s="40">
        <f>'Sheet5-查询核对'!A10-1</f>
        <v>9</v>
      </c>
      <c r="B25" s="24" t="str">
        <f>IF('Sheet4-原始数据'!A10="",'Sheet5-查询核对'!B10,'Sheet4-原始数据'!A10)</f>
        <v>辰元优选稳健</v>
      </c>
      <c r="C25" s="22" t="str">
        <f>IF('Sheet4-原始数据'!B10="","",'Sheet4-原始数据'!B10)</f>
        <v>SZH690</v>
      </c>
      <c r="D25" s="22" t="str">
        <f>IF('Sheet4-原始数据'!E10="","",'Sheet4-原始数据'!E10)</f>
        <v>广东辰元</v>
      </c>
      <c r="E25" s="23">
        <f>IF('Sheet4-原始数据'!F10="","",'Sheet4-原始数据'!F10)</f>
        <v>44966</v>
      </c>
      <c r="F25" s="37">
        <f>IF(ISNUMBER(E25),ROUND(('Sheet1-指标体系'!$J$12-E25)/'Sheet1-指标体系'!$J$14,4),"")</f>
        <v>3.5838</v>
      </c>
      <c r="G25" s="36" t="str">
        <f>IF(C25="","未匹配",IF(NOT(ISNUMBER(F25)),"缺成立日期",IF(F25&lt;'Sheet1-指标体系'!$J$15,"不入池","入池")))</f>
        <v>入池</v>
      </c>
      <c r="H25" s="22" t="str">
        <f>IF('Sheet5-查询核对'!K10="","",'Sheet5-查询核对'!K10)</f>
        <v>20-50亿元</v>
      </c>
      <c r="I25" s="37">
        <f>IF(H25="","",IF(COUNTIF('Sheet1-指标体系'!$P$4:$P$10,H25)=0,"",INDEX('Sheet1-指标体系'!$Q$4:$Q$10,MATCH(H25,'Sheet1-指标体系'!$P$4:$P$10,0))))</f>
        <v>90</v>
      </c>
      <c r="J25" s="44" t="str">
        <f>IF(NOT(ISNUMBER('Sheet5-查询核对'!N10)),"",IF('Sheet5-查询核对'!N10=1,"低于"&amp;'Sheet1-指标体系'!$J$4&amp;"万元",IF('Sheet5-查询核对'!N10=0,"无低于"&amp;'Sheet1-指标体系'!$J$4&amp;"万元标识","")))</f>
        <v>无低于1000万元标识</v>
      </c>
      <c r="K25" s="37">
        <f>IF(NOT(ISNUMBER('Sheet5-查询核对'!N10)),"",IF('Sheet5-查询核对'!N10=1,'Sheet1-指标体系'!$J$21,IF('Sheet5-查询核对'!N10=0,'Sheet1-指标体系'!$J$18,"")))</f>
        <v>100</v>
      </c>
      <c r="L25" s="37">
        <f>IF(NOT(ISNUMBER(F25)),"",IF(F25&lt;'Sheet1-指标体系'!$J$15,"",IF(F25&lt;'Sheet1-指标体系'!$J$16,'Sheet1-指标体系'!$J$17,'Sheet1-指标体系'!$J$18)))</f>
        <v>100</v>
      </c>
      <c r="M25" s="26">
        <f>IF(ISNUMBER('Sheet4-原始数据'!G10),'Sheet4-原始数据'!G10,"")</f>
        <v>0.0284</v>
      </c>
      <c r="N25" s="26">
        <f>IF(ISNUMBER('Sheet4-原始数据'!H10),'Sheet4-原始数据'!H10,"")</f>
        <v>0.0638</v>
      </c>
      <c r="O25" s="26">
        <f>IF(ISNUMBER('Sheet5-查询核对'!Q10),'Sheet5-查询核对'!Q10,"")</f>
        <v>0.0714</v>
      </c>
      <c r="P25" s="45">
        <f>IF(G25&lt;&gt;"入池","",IF(F25&gt;='Sheet1-指标体系'!$J$16,IF(AND(ISNUMBER(M25),ISNUMBER(N25)),IF(AND(1+M25&gt;0,1+N25&gt;=0),((1+N25)^'Sheet1-指标体系'!$J$16/(1+M25))^(1/('Sheet1-指标体系'!$J$16-1))-1,""),""),IF(AND(ISNUMBER(M25),ISNUMBER(O25)),IF(AND(F25&gt;1,1+M25&gt;0,1+O25&gt;=0),((1+O25)^F25/(1+M25))^(1/(F25-1))-1,""),"")))</f>
        <v>0.0819543690837723</v>
      </c>
      <c r="Q25" s="37">
        <f t="shared" si="0"/>
        <v>12.5</v>
      </c>
      <c r="R25" s="37">
        <f t="shared" si="1"/>
        <v>57.58</v>
      </c>
      <c r="S25" s="37">
        <f>IF(ISNUMBER(Q25),IF(ISNUMBER(R25),ROUND(Q25*'Sheet1-指标体系'!$J$8+R25*'Sheet1-指标体系'!$J$9,2),Q25),"")</f>
        <v>30.53</v>
      </c>
      <c r="T25" s="26">
        <f>IF(ISNUMBER('Sheet4-原始数据'!J10),'Sheet4-原始数据'!J10,"")</f>
        <v>0.6154</v>
      </c>
      <c r="U25" s="26">
        <f>IF(ISNUMBER('Sheet4-原始数据'!I10),'Sheet4-原始数据'!I10,"")</f>
        <v>0.8378</v>
      </c>
      <c r="V25" s="45">
        <f>IF(AND(ISNUMBER(T25),ISNUMBER(U25)),(U25*'Sheet1-指标体系'!$J$6-T25*'Sheet1-指标体系'!$J$5)/'Sheet1-指标体系'!$J$7,"")</f>
        <v>0.958266666666667</v>
      </c>
      <c r="W25" s="37">
        <f t="shared" si="2"/>
        <v>61.54</v>
      </c>
      <c r="X25" s="37">
        <f>IF(G25&lt;&gt;"入池","",IF(ISNUMBER(V25),IF(AND(V25&gt;=0,V25&lt;=1),V25*'Sheet1-指标体系'!$J$18,IF(MAX(0,(F25-'Sheet1-指标体系'!$J$15)*'Sheet1-指标体系'!$J$20)&lt;'Sheet1-指标体系'!$J$19,'Sheet1-指标体系'!$J$18,"")),IF(MAX(0,(F25-'Sheet1-指标体系'!$J$15)*'Sheet1-指标体系'!$J$20)&lt;'Sheet1-指标体系'!$J$19,'Sheet1-指标体系'!$J$18,"")))</f>
        <v>95.8266666666667</v>
      </c>
      <c r="Y25" s="37">
        <f>IF(ISNUMBER(W25),IF(ISNUMBER(X25),ROUND(W25*'Sheet1-指标体系'!$J$8+X25*'Sheet1-指标体系'!$J$9,2),W25),"")</f>
        <v>75.25</v>
      </c>
      <c r="Z25" s="45">
        <f t="shared" si="3"/>
        <v>0.00421527592246267</v>
      </c>
      <c r="AA25" s="26">
        <f>IF(ISNUMBER('Sheet4-原始数据'!K10),'Sheet4-原始数据'!K10,"")</f>
        <v>0.0042</v>
      </c>
      <c r="AB25" s="45">
        <f t="shared" si="4"/>
        <v>0.00421527592246267</v>
      </c>
      <c r="AC25" s="37">
        <f t="shared" si="5"/>
        <v>91.89</v>
      </c>
      <c r="AD25" s="30">
        <f>IF(ISNUMBER('Sheet4-原始数据'!M10),'Sheet4-原始数据'!M10,"")</f>
        <v>6.7374</v>
      </c>
      <c r="AE25" s="45" t="str">
        <f>IF(AND(ISNUMBER(P25),ISNUMBER(AA25),ISNUMBER(Z25)),IF(AA25&gt;Z25+'Sheet1-指标体系'!$J$11,AA25,""),"")</f>
        <v/>
      </c>
      <c r="AF25" s="37" t="str">
        <f t="shared" si="6"/>
        <v/>
      </c>
      <c r="AG25" s="37">
        <f t="shared" si="7"/>
        <v>42.25</v>
      </c>
      <c r="AH25" s="37" t="str">
        <f t="shared" si="8"/>
        <v/>
      </c>
      <c r="AI25" s="37">
        <f>IF(ISNUMBER(AG25),IF(ISNUMBER(AH25),ROUND(AG25*'Sheet1-指标体系'!$J$8+AH25*'Sheet1-指标体系'!$J$9,2),AG25),"")</f>
        <v>42.25</v>
      </c>
      <c r="AJ25" s="45">
        <f>IF(NOT(ISNUMBER(F25)),"",IF(F25&gt;='Sheet1-指标体系'!$J$16,IF(ISNUMBER(N25),N25,""),IF(ISNUMBER(O25),O25,"")))</f>
        <v>0.0638</v>
      </c>
      <c r="AK25" s="37">
        <f>IF(AND(G25="入池",ISNUMBER(M25),ISNUMBER(AJ25)),IF(M25&gt;=AJ25,'Sheet1-指标体系'!$J$18,IF(AJ25-M25&lt;'Sheet1-指标体系'!$J$10,'Sheet1-指标体系'!$J$22,'Sheet1-指标体系'!$J$23)),"")</f>
        <v>80</v>
      </c>
      <c r="AL25" s="37">
        <f>IF((IF(ISNUMBER(I25),'Sheet1-指标体系'!$G$4,0)+IF(ISNUMBER(K25),'Sheet1-指标体系'!$G$5,0)+IF(ISNUMBER(L25),'Sheet1-指标体系'!$G$6,0))&gt;0,ROUND((IF(ISNUMBER(I25),I25*'Sheet1-指标体系'!$G$4,0)+IF(ISNUMBER(K25),K25*'Sheet1-指标体系'!$G$5,0)+IF(ISNUMBER(L25),L25*'Sheet1-指标体系'!$G$6,0))/(IF(ISNUMBER(I25),'Sheet1-指标体系'!$G$4,0)+IF(ISNUMBER(K25),'Sheet1-指标体系'!$G$5,0)+IF(ISNUMBER(L25),'Sheet1-指标体系'!$G$6,0)),2),"")</f>
        <v>96</v>
      </c>
      <c r="AM25" s="37">
        <f t="shared" si="9"/>
        <v>43.95</v>
      </c>
      <c r="AN25" s="37">
        <f t="shared" si="10"/>
        <v>91.89</v>
      </c>
      <c r="AO25" s="37">
        <f t="shared" si="11"/>
        <v>42.25</v>
      </c>
      <c r="AP25" s="37">
        <f t="shared" si="12"/>
        <v>80</v>
      </c>
      <c r="AQ25" s="38">
        <f t="shared" si="13"/>
        <v>0.88</v>
      </c>
      <c r="AR25" s="37">
        <f t="shared" si="14"/>
        <v>61.76726</v>
      </c>
      <c r="AS25" s="37">
        <f t="shared" si="15"/>
        <v>70.19</v>
      </c>
      <c r="AT25" s="40">
        <f>IF(OR(G25&lt;&gt;"入池",NOT(ISNUMBER(AS25))),"",COUNTIFS($G$17:$G$99,"入池",$AS$17:$AS$99,"&gt;"&amp;AS25)+COUNTIFS($G$17:$G$99,"入池",$AS$17:$AS$99,AS25,$AQ$17:$AQ$99,"&gt;"&amp;AQ25)+COUNTIFS($G$17:G25,"入池",$AS$17:AS25,AS25,$AQ$17:AQ25,AQ25))</f>
        <v>30</v>
      </c>
      <c r="AU25" s="46" t="str">
        <f>IF(NOT(ISNUMBER(I25)),"管理人规模；","")&amp;IF(NOT(ISNUMBER(K25)),"产品规模标识；","")&amp;IF(NOT(ISNUMBER(M25)),"近一年收益；","")&amp;IF(NOT(ISNUMBER(T25)),"近一年胜率；","")&amp;IF(NOT(ISNUMBER(N25)),"近三年收益；","")&amp;IF(NOT(ISNUMBER(U25)),"近三年胜率；","")&amp;IF(NOT(ISNUMBER(AA25)),"近三年回撤；","")&amp;IF(NOT(ISNUMBER(AD25)),"近一年卡玛；","")&amp;IF(ISNUMBER(F25),IF(AND(F25&lt;'Sheet1-指标体系'!$J$16,NOT(ISNUMBER(O25))),"成立以来年化；",""),"成立日期；")&amp;IF(ISNUMBER(V25),IF(OR(V25&lt;0,V25&gt;1),"胜率窗口口径不一致；",""),"")&amp;IF(ISNUMBER(P25),IF(NOT(ISNUMBER(AE25)),"DD_long不可识别；",""),"")</f>
        <v>DD_long不可识别；</v>
      </c>
      <c r="AV25" s="37" t="str">
        <f>IF(ABS(SUM(CA25:CK25)-'Sheet1-指标体系'!$J$25)&lt;0.0000000001,SUM(BP25:BZ25),"")</f>
        <v/>
      </c>
      <c r="AW25" s="36" t="str">
        <f>IF(G25&lt;&gt;"入池",G25,IF(AQ25=0,"无有效评分数据",IF(ROUND(AQ25,10)=ROUND('Sheet1-指标体系'!$J$25,10),"完整赋分","暂定分／数据不完整")))</f>
        <v>暂定分／数据不完整</v>
      </c>
      <c r="AX25" s="22" t="str">
        <f>IF('Sheet4-原始数据'!C10="","",'Sheet4-原始数据'!C10)</f>
        <v>套利策略</v>
      </c>
      <c r="AY25" s="22" t="str">
        <f>IF('Sheet4-原始数据'!D10="","",'Sheet4-原始数据'!D10)</f>
        <v>混合套利</v>
      </c>
      <c r="AZ25" s="22" t="str">
        <f>IF('Sheet5-查询核对'!S10="","",'Sheet5-查询核对'!S10)</f>
        <v>套利策略—混合套利</v>
      </c>
      <c r="BA25" s="25">
        <f>IF('Sheet5-查询核对'!A10="","",'Sheet5-查询核对'!A10)</f>
        <v>10</v>
      </c>
      <c r="BB25" s="22" t="str">
        <f>IF('Sheet5-查询核对'!F10="","",'Sheet5-查询核对'!F10)</f>
        <v>备案号匹配</v>
      </c>
      <c r="BC25" s="24" t="str">
        <f>IF('Sheet5-查询核对'!I10="","",'Sheet5-查询核对'!I10)</f>
        <v>https://mp.fof99.com/fund/view/3712ae883b81c7b6</v>
      </c>
      <c r="BD25" s="23">
        <f>IF('Sheet5-查询核对'!H10="","",'Sheet5-查询核对'!H10)</f>
        <v>46269</v>
      </c>
      <c r="BE25" s="24" t="str">
        <f>IF('Sheet5-查询核对'!L10="","",'Sheet5-查询核对'!L10)</f>
        <v>https://gs.amac.org.cn/amac-infodisc/res/pof/manager/2209261520106658.html</v>
      </c>
      <c r="BF25" s="23">
        <f>IF('Sheet5-查询核对'!M10="","",'Sheet5-查询核对'!M10)</f>
        <v>46276</v>
      </c>
      <c r="BG25" s="24" t="str">
        <f>IF('Sheet5-查询核对'!O10="","",'Sheet5-查询核对'!O10)</f>
        <v>https://gs.amac.org.cn/amac-infodisc/res/pof/fund/2302141700101335.html</v>
      </c>
      <c r="BH25" s="23">
        <f>IF('Sheet5-查询核对'!P10="","",'Sheet5-查询核对'!P10)</f>
        <v>46276</v>
      </c>
      <c r="BI25" s="22" t="str">
        <f>IF('Sheet5-查询核对'!D10="","",'Sheet5-查询核对'!D10)</f>
        <v>SZH690</v>
      </c>
      <c r="BJ25">
        <f>IF(ISNUMBER(AT25),AT25,COUNT($AT$17:$AT$99)+ROWS($AT$17:AT25)-COUNT($AT$17:AT25))</f>
        <v>30</v>
      </c>
      <c r="BK25" s="2">
        <f t="shared" si="16"/>
        <v>1</v>
      </c>
      <c r="BL25" s="2">
        <f t="shared" si="17"/>
        <v>1</v>
      </c>
      <c r="BM25" s="2">
        <f t="shared" si="18"/>
        <v>1</v>
      </c>
      <c r="BN25" s="2">
        <f t="shared" si="19"/>
        <v>1</v>
      </c>
      <c r="BO25" s="2">
        <f t="shared" si="20"/>
        <v>0</v>
      </c>
      <c r="BP25" s="48">
        <f>IF(G25="入池",IF(ISNUMBER(I25),I25*('Sheet1-指标体系'!$G$4),0),0)</f>
        <v>5.4</v>
      </c>
      <c r="BQ25" s="48">
        <f>IF(G25="入池",IF(ISNUMBER(K25),K25*('Sheet1-指标体系'!$G$5),0),0)</f>
        <v>4.5</v>
      </c>
      <c r="BR25" s="48">
        <f>IF(G25="入池",IF(ISNUMBER(L25),L25*('Sheet1-指标体系'!$G$6),0),0)</f>
        <v>4.5</v>
      </c>
      <c r="BS25" s="48">
        <f>IF(G25="入池",IF(ISNUMBER(Q25),Q25*('Sheet1-指标体系'!$G$7*'Sheet1-指标体系'!$J$8),0),0)</f>
        <v>1.05</v>
      </c>
      <c r="BT25" s="48">
        <f>IF(G25="入池",IF(ISNUMBER(R25),R25*('Sheet1-指标体系'!$G$7*'Sheet1-指标体系'!$J$9),0),0)</f>
        <v>3.22448</v>
      </c>
      <c r="BU25" s="48">
        <f>IF(G25="入池",IF(ISNUMBER(W25),W25*('Sheet1-指标体系'!$G$8*'Sheet1-指标体系'!$J$8),0),0)</f>
        <v>2.21544</v>
      </c>
      <c r="BV25" s="48">
        <f>IF(G25="入池",IF(ISNUMBER(X25),X25*('Sheet1-指标体系'!$G$8*'Sheet1-指标体系'!$J$9),0),0)</f>
        <v>2.29984</v>
      </c>
      <c r="BW25" s="48">
        <f>IF(G25="入池",IF(ISNUMBER(AC25),AC25*('Sheet1-指标体系'!$G$9),0),0)</f>
        <v>22.9725</v>
      </c>
      <c r="BX25" s="48">
        <f>IF(G25="入池",IF(ISNUMBER(AG25),AG25*('Sheet1-指标体系'!$G$10*'Sheet1-指标体系'!$J$8),0),0)</f>
        <v>7.605</v>
      </c>
      <c r="BY25" s="48">
        <f>IF(G25="入池",IF(ISNUMBER(AH25),AH25*('Sheet1-指标体系'!$G$10*'Sheet1-指标体系'!$J$9),0),0)</f>
        <v>0</v>
      </c>
      <c r="BZ25" s="48">
        <f>IF(G25="入池",IF(ISNUMBER(AK25),AK25*('Sheet1-指标体系'!$G$11),0),0)</f>
        <v>8</v>
      </c>
      <c r="CA25" s="49">
        <f>IF(G25="入池",IF(ISNUMBER(I25),'Sheet1-指标体系'!$G$4,0),0)</f>
        <v>0.06</v>
      </c>
      <c r="CB25" s="49">
        <f>IF(G25="入池",IF(ISNUMBER(K25),'Sheet1-指标体系'!$G$5,0),0)</f>
        <v>0.045</v>
      </c>
      <c r="CC25" s="49">
        <f>IF(G25="入池",IF(ISNUMBER(L25),'Sheet1-指标体系'!$G$6,0),0)</f>
        <v>0.045</v>
      </c>
      <c r="CD25" s="49">
        <f>IF(G25="入池",IF(ISNUMBER(Q25),'Sheet1-指标体系'!$G$7*'Sheet1-指标体系'!$J$8,0),0)</f>
        <v>0.084</v>
      </c>
      <c r="CE25" s="49">
        <f>IF(G25="入池",IF(ISNUMBER(R25),'Sheet1-指标体系'!$G$7*'Sheet1-指标体系'!$J$9,0),0)</f>
        <v>0.056</v>
      </c>
      <c r="CF25" s="49">
        <f>IF(G25="入池",IF(ISNUMBER(W25),'Sheet1-指标体系'!$G$8*'Sheet1-指标体系'!$J$8,0),0)</f>
        <v>0.036</v>
      </c>
      <c r="CG25" s="49">
        <f>IF(G25="入池",IF(ISNUMBER(X25),'Sheet1-指标体系'!$G$8*'Sheet1-指标体系'!$J$9,0),0)</f>
        <v>0.024</v>
      </c>
      <c r="CH25" s="49">
        <f>IF(G25="入池",IF(ISNUMBER(AC25),'Sheet1-指标体系'!$G$9,0),0)</f>
        <v>0.25</v>
      </c>
      <c r="CI25" s="49">
        <f>IF(G25="入池",IF(ISNUMBER(AG25),'Sheet1-指标体系'!$G$10*'Sheet1-指标体系'!$J$8,0),0)</f>
        <v>0.18</v>
      </c>
      <c r="CJ25" s="49">
        <f>IF(G25="入池",IF(ISNUMBER(AH25),'Sheet1-指标体系'!$G$10*'Sheet1-指标体系'!$J$9,0),0)</f>
        <v>0</v>
      </c>
      <c r="CK25" s="49">
        <f>IF(G25="入池",IF(ISNUMBER(AK25),'Sheet1-指标体系'!$G$11,0),0)</f>
        <v>0.1</v>
      </c>
    </row>
    <row r="26" ht="44" customHeight="1" spans="1:89">
      <c r="A26" s="40">
        <f>'Sheet5-查询核对'!A11-1</f>
        <v>10</v>
      </c>
      <c r="B26" s="24" t="str">
        <f>IF('Sheet4-原始数据'!A11="",'Sheet5-查询核对'!B11,'Sheet4-原始数据'!A11)</f>
        <v>晨翰11号</v>
      </c>
      <c r="C26" s="22" t="str">
        <f>IF('Sheet4-原始数据'!B11="","",'Sheet4-原始数据'!B11)</f>
        <v>SVT598</v>
      </c>
      <c r="D26" s="22" t="str">
        <f>IF('Sheet4-原始数据'!E11="","",'Sheet4-原始数据'!E11)</f>
        <v>晋江晨翰</v>
      </c>
      <c r="E26" s="23">
        <f>IF('Sheet4-原始数据'!F11="","",'Sheet4-原始数据'!F11)</f>
        <v>44722</v>
      </c>
      <c r="F26" s="37">
        <f>IF(ISNUMBER(E26),ROUND(('Sheet1-指标体系'!$J$12-E26)/'Sheet1-指标体系'!$J$14,4),"")</f>
        <v>4.2519</v>
      </c>
      <c r="G26" s="36" t="str">
        <f>IF(C26="","未匹配",IF(NOT(ISNUMBER(F26)),"缺成立日期",IF(F26&lt;'Sheet1-指标体系'!$J$15,"不入池","入池")))</f>
        <v>入池</v>
      </c>
      <c r="H26" s="22" t="str">
        <f>IF('Sheet5-查询核对'!K11="","",'Sheet5-查询核对'!K11)</f>
        <v>5-10亿元</v>
      </c>
      <c r="I26" s="37">
        <f>IF(H26="","",IF(COUNTIF('Sheet1-指标体系'!$P$4:$P$10,H26)=0,"",INDEX('Sheet1-指标体系'!$Q$4:$Q$10,MATCH(H26,'Sheet1-指标体系'!$P$4:$P$10,0))))</f>
        <v>70</v>
      </c>
      <c r="J26" s="44" t="str">
        <f>IF(NOT(ISNUMBER('Sheet5-查询核对'!N11)),"",IF('Sheet5-查询核对'!N11=1,"低于"&amp;'Sheet1-指标体系'!$J$4&amp;"万元",IF('Sheet5-查询核对'!N11=0,"无低于"&amp;'Sheet1-指标体系'!$J$4&amp;"万元标识","")))</f>
        <v>无低于1000万元标识</v>
      </c>
      <c r="K26" s="37">
        <f>IF(NOT(ISNUMBER('Sheet5-查询核对'!N11)),"",IF('Sheet5-查询核对'!N11=1,'Sheet1-指标体系'!$J$21,IF('Sheet5-查询核对'!N11=0,'Sheet1-指标体系'!$J$18,"")))</f>
        <v>100</v>
      </c>
      <c r="L26" s="37">
        <f>IF(NOT(ISNUMBER(F26)),"",IF(F26&lt;'Sheet1-指标体系'!$J$15,"",IF(F26&lt;'Sheet1-指标体系'!$J$16,'Sheet1-指标体系'!$J$17,'Sheet1-指标体系'!$J$18)))</f>
        <v>100</v>
      </c>
      <c r="M26" s="26">
        <f>IF(ISNUMBER('Sheet4-原始数据'!G11),'Sheet4-原始数据'!G11,"")</f>
        <v>0.0344</v>
      </c>
      <c r="N26" s="26">
        <f>IF(ISNUMBER('Sheet4-原始数据'!H11),'Sheet4-原始数据'!H11,"")</f>
        <v>0.0333</v>
      </c>
      <c r="O26" s="26">
        <f>IF(ISNUMBER('Sheet5-查询核对'!Q11),'Sheet5-查询核对'!Q11,"")</f>
        <v>0.0619</v>
      </c>
      <c r="P26" s="45">
        <f>IF(G26&lt;&gt;"入池","",IF(F26&gt;='Sheet1-指标体系'!$J$16,IF(AND(ISNUMBER(M26),ISNUMBER(N26)),IF(AND(1+M26&gt;0,1+N26&gt;=0),((1+N26)^'Sheet1-指标体系'!$J$16/(1+M26))^(1/('Sheet1-指标体系'!$J$16-1))-1,""),""),IF(AND(ISNUMBER(M26),ISNUMBER(O26)),IF(AND(F26&gt;1,1+M26&gt;0,1+O26&gt;=0),((1+O26)^F26/(1+M26))^(1/(F26-1))-1,""),"")))</f>
        <v>0.0327504387378705</v>
      </c>
      <c r="Q26" s="37">
        <f t="shared" si="0"/>
        <v>15.28</v>
      </c>
      <c r="R26" s="37">
        <f t="shared" si="1"/>
        <v>7.58</v>
      </c>
      <c r="S26" s="37">
        <f>IF(ISNUMBER(Q26),IF(ISNUMBER(R26),ROUND(Q26*'Sheet1-指标体系'!$J$8+R26*'Sheet1-指标体系'!$J$9,2),Q26),"")</f>
        <v>12.2</v>
      </c>
      <c r="T26" s="26">
        <f>IF(ISNUMBER('Sheet4-原始数据'!J11),'Sheet4-原始数据'!J11,"")</f>
        <v>0.5385</v>
      </c>
      <c r="U26" s="26">
        <f>IF(ISNUMBER('Sheet4-原始数据'!I11),'Sheet4-原始数据'!I11,"")</f>
        <v>0.6216</v>
      </c>
      <c r="V26" s="45">
        <f>IF(AND(ISNUMBER(T26),ISNUMBER(U26)),(U26*'Sheet1-指标体系'!$J$6-T26*'Sheet1-指标体系'!$J$5)/'Sheet1-指标体系'!$J$7,"")</f>
        <v>0.6666125</v>
      </c>
      <c r="W26" s="37">
        <f t="shared" si="2"/>
        <v>53.85</v>
      </c>
      <c r="X26" s="37">
        <f>IF(G26&lt;&gt;"入池","",IF(ISNUMBER(V26),IF(AND(V26&gt;=0,V26&lt;=1),V26*'Sheet1-指标体系'!$J$18,IF(MAX(0,(F26-'Sheet1-指标体系'!$J$15)*'Sheet1-指标体系'!$J$20)&lt;'Sheet1-指标体系'!$J$19,'Sheet1-指标体系'!$J$18,"")),IF(MAX(0,(F26-'Sheet1-指标体系'!$J$15)*'Sheet1-指标体系'!$J$20)&lt;'Sheet1-指标体系'!$J$19,'Sheet1-指标体系'!$J$18,"")))</f>
        <v>66.66125</v>
      </c>
      <c r="Y26" s="37">
        <f>IF(ISNUMBER(W26),IF(ISNUMBER(X26),ROUND(W26*'Sheet1-指标体系'!$J$8+X26*'Sheet1-指标体系'!$J$9,2),W26),"")</f>
        <v>58.97</v>
      </c>
      <c r="Z26" s="45">
        <f t="shared" si="3"/>
        <v>0.0152225860695637</v>
      </c>
      <c r="AA26" s="26">
        <f>IF(ISNUMBER('Sheet4-原始数据'!K11),'Sheet4-原始数据'!K11,"")</f>
        <v>0.0239</v>
      </c>
      <c r="AB26" s="45">
        <f t="shared" si="4"/>
        <v>0.0239</v>
      </c>
      <c r="AC26" s="37">
        <f t="shared" si="5"/>
        <v>47.3</v>
      </c>
      <c r="AD26" s="30">
        <f>IF(ISNUMBER('Sheet4-原始数据'!M11),'Sheet4-原始数据'!M11,"")</f>
        <v>2.2598</v>
      </c>
      <c r="AE26" s="45">
        <f>IF(AND(ISNUMBER(P26),ISNUMBER(AA26),ISNUMBER(Z26)),IF(AA26&gt;Z26+'Sheet1-指标体系'!$J$11,AA26,""),"")</f>
        <v>0.0239</v>
      </c>
      <c r="AF26" s="37">
        <f t="shared" si="6"/>
        <v>1.37031124426237</v>
      </c>
      <c r="AG26" s="37">
        <f t="shared" si="7"/>
        <v>16.9</v>
      </c>
      <c r="AH26" s="37">
        <f t="shared" si="8"/>
        <v>15.63</v>
      </c>
      <c r="AI26" s="37">
        <f>IF(ISNUMBER(AG26),IF(ISNUMBER(AH26),ROUND(AG26*'Sheet1-指标体系'!$J$8+AH26*'Sheet1-指标体系'!$J$9,2),AG26),"")</f>
        <v>16.39</v>
      </c>
      <c r="AJ26" s="45">
        <f>IF(NOT(ISNUMBER(F26)),"",IF(F26&gt;='Sheet1-指标体系'!$J$16,IF(ISNUMBER(N26),N26,""),IF(ISNUMBER(O26),O26,"")))</f>
        <v>0.0333</v>
      </c>
      <c r="AK26" s="37">
        <f>IF(AND(G26="入池",ISNUMBER(M26),ISNUMBER(AJ26)),IF(M26&gt;=AJ26,'Sheet1-指标体系'!$J$18,IF(AJ26-M26&lt;'Sheet1-指标体系'!$J$10,'Sheet1-指标体系'!$J$22,'Sheet1-指标体系'!$J$23)),"")</f>
        <v>100</v>
      </c>
      <c r="AL26" s="37">
        <f>IF((IF(ISNUMBER(I26),'Sheet1-指标体系'!$G$4,0)+IF(ISNUMBER(K26),'Sheet1-指标体系'!$G$5,0)+IF(ISNUMBER(L26),'Sheet1-指标体系'!$G$6,0))&gt;0,ROUND((IF(ISNUMBER(I26),I26*'Sheet1-指标体系'!$G$4,0)+IF(ISNUMBER(K26),K26*'Sheet1-指标体系'!$G$5,0)+IF(ISNUMBER(L26),L26*'Sheet1-指标体系'!$G$6,0))/(IF(ISNUMBER(I26),'Sheet1-指标体系'!$G$4,0)+IF(ISNUMBER(K26),'Sheet1-指标体系'!$G$5,0)+IF(ISNUMBER(L26),'Sheet1-指标体系'!$G$6,0)),2),"")</f>
        <v>88</v>
      </c>
      <c r="AM26" s="37">
        <f t="shared" si="9"/>
        <v>26.23</v>
      </c>
      <c r="AN26" s="37">
        <f t="shared" si="10"/>
        <v>47.3</v>
      </c>
      <c r="AO26" s="37">
        <f t="shared" si="11"/>
        <v>16.39</v>
      </c>
      <c r="AP26" s="37">
        <f t="shared" si="12"/>
        <v>100</v>
      </c>
      <c r="AQ26" s="38">
        <f t="shared" si="13"/>
        <v>1</v>
      </c>
      <c r="AR26" s="37">
        <f t="shared" si="14"/>
        <v>45.18907</v>
      </c>
      <c r="AS26" s="37">
        <f t="shared" si="15"/>
        <v>45.19</v>
      </c>
      <c r="AT26" s="40">
        <f>IF(OR(G26&lt;&gt;"入池",NOT(ISNUMBER(AS26))),"",COUNTIFS($G$17:$G$99,"入池",$AS$17:$AS$99,"&gt;"&amp;AS26)+COUNTIFS($G$17:$G$99,"入池",$AS$17:$AS$99,AS26,$AQ$17:$AQ$99,"&gt;"&amp;AQ26)+COUNTIFS($G$17:G26,"入池",$AS$17:AS26,AS26,$AQ$17:AQ26,AQ26))</f>
        <v>62</v>
      </c>
      <c r="AU26" s="46" t="str">
        <f>IF(NOT(ISNUMBER(I26)),"管理人规模；","")&amp;IF(NOT(ISNUMBER(K26)),"产品规模标识；","")&amp;IF(NOT(ISNUMBER(M26)),"近一年收益；","")&amp;IF(NOT(ISNUMBER(T26)),"近一年胜率；","")&amp;IF(NOT(ISNUMBER(N26)),"近三年收益；","")&amp;IF(NOT(ISNUMBER(U26)),"近三年胜率；","")&amp;IF(NOT(ISNUMBER(AA26)),"近三年回撤；","")&amp;IF(NOT(ISNUMBER(AD26)),"近一年卡玛；","")&amp;IF(ISNUMBER(F26),IF(AND(F26&lt;'Sheet1-指标体系'!$J$16,NOT(ISNUMBER(O26))),"成立以来年化；",""),"成立日期；")&amp;IF(ISNUMBER(V26),IF(OR(V26&lt;0,V26&gt;1),"胜率窗口口径不一致；",""),"")&amp;IF(ISNUMBER(P26),IF(NOT(ISNUMBER(AE26)),"DD_long不可识别；",""),"")</f>
        <v/>
      </c>
      <c r="AV26" s="37">
        <f>IF(ABS(SUM(CA26:CK26)-'Sheet1-指标体系'!$J$25)&lt;0.0000000001,SUM(BP26:BZ26),"")</f>
        <v>45.18907</v>
      </c>
      <c r="AW26" s="36" t="str">
        <f>IF(G26&lt;&gt;"入池",G26,IF(AQ26=0,"无有效评分数据",IF(ROUND(AQ26,10)=ROUND('Sheet1-指标体系'!$J$25,10),"完整赋分","暂定分／数据不完整")))</f>
        <v>完整赋分</v>
      </c>
      <c r="AX26" s="22" t="str">
        <f>IF('Sheet4-原始数据'!C11="","",'Sheet4-原始数据'!C11)</f>
        <v>套利策略</v>
      </c>
      <c r="AY26" s="22" t="str">
        <f>IF('Sheet4-原始数据'!D11="","",'Sheet4-原始数据'!D11)</f>
        <v>期货套利</v>
      </c>
      <c r="AZ26" s="22" t="str">
        <f>IF('Sheet5-查询核对'!S11="","",'Sheet5-查询核对'!S11)</f>
        <v>套利策略—期货套利</v>
      </c>
      <c r="BA26" s="25">
        <f>IF('Sheet5-查询核对'!A11="","",'Sheet5-查询核对'!A11)</f>
        <v>11</v>
      </c>
      <c r="BB26" s="22" t="str">
        <f>IF('Sheet5-查询核对'!F11="","",'Sheet5-查询核对'!F11)</f>
        <v>备案号匹配</v>
      </c>
      <c r="BC26" s="24" t="str">
        <f>IF('Sheet5-查询核对'!I11="","",'Sheet5-查询核对'!I11)</f>
        <v>https://mp.fof99.com/fund/view/f56d280c5131a6c9</v>
      </c>
      <c r="BD26" s="23">
        <f>IF('Sheet5-查询核对'!H11="","",'Sheet5-查询核对'!H11)</f>
        <v>46269</v>
      </c>
      <c r="BE26" s="24" t="str">
        <f>IF('Sheet5-查询核对'!L11="","",'Sheet5-查询核对'!L11)</f>
        <v>https://gs.amac.org.cn/amac-infodisc/res/pof/manager/2002211754119480.html</v>
      </c>
      <c r="BF26" s="23">
        <f>IF('Sheet5-查询核对'!M11="","",'Sheet5-查询核对'!M11)</f>
        <v>46276</v>
      </c>
      <c r="BG26" s="24" t="str">
        <f>IF('Sheet5-查询核对'!O11="","",'Sheet5-查询核对'!O11)</f>
        <v>https://gs.amac.org.cn/amac-infodisc/res/pof/fund/2206171628103559.html</v>
      </c>
      <c r="BH26" s="23">
        <f>IF('Sheet5-查询核对'!P11="","",'Sheet5-查询核对'!P11)</f>
        <v>46276</v>
      </c>
      <c r="BI26" s="22" t="str">
        <f>IF('Sheet5-查询核对'!D11="","",'Sheet5-查询核对'!D11)</f>
        <v>SVT598</v>
      </c>
      <c r="BJ26">
        <f>IF(ISNUMBER(AT26),AT26,COUNT($AT$17:$AT$99)+ROWS($AT$17:AT26)-COUNT($AT$17:AT26))</f>
        <v>62</v>
      </c>
      <c r="BK26" s="2">
        <f t="shared" si="16"/>
        <v>1</v>
      </c>
      <c r="BL26" s="2">
        <f t="shared" si="17"/>
        <v>1</v>
      </c>
      <c r="BM26" s="2">
        <f t="shared" si="18"/>
        <v>1</v>
      </c>
      <c r="BN26" s="2">
        <f t="shared" si="19"/>
        <v>1</v>
      </c>
      <c r="BO26" s="2">
        <f t="shared" si="20"/>
        <v>1</v>
      </c>
      <c r="BP26" s="48">
        <f>IF(G26="入池",IF(ISNUMBER(I26),I26*('Sheet1-指标体系'!$G$4),0),0)</f>
        <v>4.2</v>
      </c>
      <c r="BQ26" s="48">
        <f>IF(G26="入池",IF(ISNUMBER(K26),K26*('Sheet1-指标体系'!$G$5),0),0)</f>
        <v>4.5</v>
      </c>
      <c r="BR26" s="48">
        <f>IF(G26="入池",IF(ISNUMBER(L26),L26*('Sheet1-指标体系'!$G$6),0),0)</f>
        <v>4.5</v>
      </c>
      <c r="BS26" s="48">
        <f>IF(G26="入池",IF(ISNUMBER(Q26),Q26*('Sheet1-指标体系'!$G$7*'Sheet1-指标体系'!$J$8),0),0)</f>
        <v>1.28352</v>
      </c>
      <c r="BT26" s="48">
        <f>IF(G26="入池",IF(ISNUMBER(R26),R26*('Sheet1-指标体系'!$G$7*'Sheet1-指标体系'!$J$9),0),0)</f>
        <v>0.42448</v>
      </c>
      <c r="BU26" s="48">
        <f>IF(G26="入池",IF(ISNUMBER(W26),W26*('Sheet1-指标体系'!$G$8*'Sheet1-指标体系'!$J$8),0),0)</f>
        <v>1.9386</v>
      </c>
      <c r="BV26" s="48">
        <f>IF(G26="入池",IF(ISNUMBER(X26),X26*('Sheet1-指标体系'!$G$8*'Sheet1-指标体系'!$J$9),0),0)</f>
        <v>1.59987</v>
      </c>
      <c r="BW26" s="48">
        <f>IF(G26="入池",IF(ISNUMBER(AC26),AC26*('Sheet1-指标体系'!$G$9),0),0)</f>
        <v>11.825</v>
      </c>
      <c r="BX26" s="48">
        <f>IF(G26="入池",IF(ISNUMBER(AG26),AG26*('Sheet1-指标体系'!$G$10*'Sheet1-指标体系'!$J$8),0),0)</f>
        <v>3.042</v>
      </c>
      <c r="BY26" s="48">
        <f>IF(G26="入池",IF(ISNUMBER(AH26),AH26*('Sheet1-指标体系'!$G$10*'Sheet1-指标体系'!$J$9),0),0)</f>
        <v>1.8756</v>
      </c>
      <c r="BZ26" s="48">
        <f>IF(G26="入池",IF(ISNUMBER(AK26),AK26*('Sheet1-指标体系'!$G$11),0),0)</f>
        <v>10</v>
      </c>
      <c r="CA26" s="49">
        <f>IF(G26="入池",IF(ISNUMBER(I26),'Sheet1-指标体系'!$G$4,0),0)</f>
        <v>0.06</v>
      </c>
      <c r="CB26" s="49">
        <f>IF(G26="入池",IF(ISNUMBER(K26),'Sheet1-指标体系'!$G$5,0),0)</f>
        <v>0.045</v>
      </c>
      <c r="CC26" s="49">
        <f>IF(G26="入池",IF(ISNUMBER(L26),'Sheet1-指标体系'!$G$6,0),0)</f>
        <v>0.045</v>
      </c>
      <c r="CD26" s="49">
        <f>IF(G26="入池",IF(ISNUMBER(Q26),'Sheet1-指标体系'!$G$7*'Sheet1-指标体系'!$J$8,0),0)</f>
        <v>0.084</v>
      </c>
      <c r="CE26" s="49">
        <f>IF(G26="入池",IF(ISNUMBER(R26),'Sheet1-指标体系'!$G$7*'Sheet1-指标体系'!$J$9,0),0)</f>
        <v>0.056</v>
      </c>
      <c r="CF26" s="49">
        <f>IF(G26="入池",IF(ISNUMBER(W26),'Sheet1-指标体系'!$G$8*'Sheet1-指标体系'!$J$8,0),0)</f>
        <v>0.036</v>
      </c>
      <c r="CG26" s="49">
        <f>IF(G26="入池",IF(ISNUMBER(X26),'Sheet1-指标体系'!$G$8*'Sheet1-指标体系'!$J$9,0),0)</f>
        <v>0.024</v>
      </c>
      <c r="CH26" s="49">
        <f>IF(G26="入池",IF(ISNUMBER(AC26),'Sheet1-指标体系'!$G$9,0),0)</f>
        <v>0.25</v>
      </c>
      <c r="CI26" s="49">
        <f>IF(G26="入池",IF(ISNUMBER(AG26),'Sheet1-指标体系'!$G$10*'Sheet1-指标体系'!$J$8,0),0)</f>
        <v>0.18</v>
      </c>
      <c r="CJ26" s="49">
        <f>IF(G26="入池",IF(ISNUMBER(AH26),'Sheet1-指标体系'!$G$10*'Sheet1-指标体系'!$J$9,0),0)</f>
        <v>0.12</v>
      </c>
      <c r="CK26" s="49">
        <f>IF(G26="入池",IF(ISNUMBER(AK26),'Sheet1-指标体系'!$G$11,0),0)</f>
        <v>0.1</v>
      </c>
    </row>
    <row r="27" ht="44" customHeight="1" spans="1:89">
      <c r="A27" s="40">
        <f>'Sheet5-查询核对'!A12-1</f>
        <v>11</v>
      </c>
      <c r="B27" s="24" t="str">
        <f>IF('Sheet4-原始数据'!A12="",'Sheet5-查询核对'!B12,'Sheet4-原始数据'!A12)</f>
        <v>晨翰6号</v>
      </c>
      <c r="C27" s="22" t="str">
        <f>IF('Sheet4-原始数据'!B12="","",'Sheet4-原始数据'!B12)</f>
        <v>STS460</v>
      </c>
      <c r="D27" s="22" t="str">
        <f>IF('Sheet4-原始数据'!E12="","",'Sheet4-原始数据'!E12)</f>
        <v>晋江晨翰</v>
      </c>
      <c r="E27" s="23">
        <f>IF('Sheet4-原始数据'!F12="","",'Sheet4-原始数据'!F12)</f>
        <v>44575</v>
      </c>
      <c r="F27" s="37">
        <f>IF(ISNUMBER(E27),ROUND(('Sheet1-指标体系'!$J$12-E27)/'Sheet1-指标体系'!$J$14,4),"")</f>
        <v>4.6543</v>
      </c>
      <c r="G27" s="36" t="str">
        <f>IF(C27="","未匹配",IF(NOT(ISNUMBER(F27)),"缺成立日期",IF(F27&lt;'Sheet1-指标体系'!$J$15,"不入池","入池")))</f>
        <v>入池</v>
      </c>
      <c r="H27" s="22" t="str">
        <f>IF('Sheet5-查询核对'!K12="","",'Sheet5-查询核对'!K12)</f>
        <v>5-10亿元</v>
      </c>
      <c r="I27" s="37">
        <f>IF(H27="","",IF(COUNTIF('Sheet1-指标体系'!$P$4:$P$10,H27)=0,"",INDEX('Sheet1-指标体系'!$Q$4:$Q$10,MATCH(H27,'Sheet1-指标体系'!$P$4:$P$10,0))))</f>
        <v>70</v>
      </c>
      <c r="J27" s="44" t="str">
        <f>IF(NOT(ISNUMBER('Sheet5-查询核对'!N12)),"",IF('Sheet5-查询核对'!N12=1,"低于"&amp;'Sheet1-指标体系'!$J$4&amp;"万元",IF('Sheet5-查询核对'!N12=0,"无低于"&amp;'Sheet1-指标体系'!$J$4&amp;"万元标识","")))</f>
        <v>无低于1000万元标识</v>
      </c>
      <c r="K27" s="37">
        <f>IF(NOT(ISNUMBER('Sheet5-查询核对'!N12)),"",IF('Sheet5-查询核对'!N12=1,'Sheet1-指标体系'!$J$21,IF('Sheet5-查询核对'!N12=0,'Sheet1-指标体系'!$J$18,"")))</f>
        <v>100</v>
      </c>
      <c r="L27" s="37">
        <f>IF(NOT(ISNUMBER(F27)),"",IF(F27&lt;'Sheet1-指标体系'!$J$15,"",IF(F27&lt;'Sheet1-指标体系'!$J$16,'Sheet1-指标体系'!$J$17,'Sheet1-指标体系'!$J$18)))</f>
        <v>100</v>
      </c>
      <c r="M27" s="26">
        <f>IF(ISNUMBER('Sheet4-原始数据'!G12),'Sheet4-原始数据'!G12,"")</f>
        <v>0.0864</v>
      </c>
      <c r="N27" s="26">
        <f>IF(ISNUMBER('Sheet4-原始数据'!H12),'Sheet4-原始数据'!H12,"")</f>
        <v>0.054</v>
      </c>
      <c r="O27" s="26">
        <f>IF(ISNUMBER('Sheet5-查询核对'!Q12),'Sheet5-查询核对'!Q12,"")</f>
        <v>0.0915</v>
      </c>
      <c r="P27" s="45">
        <f>IF(G27&lt;&gt;"入池","",IF(F27&gt;='Sheet1-指标体系'!$J$16,IF(AND(ISNUMBER(M27),ISNUMBER(N27)),IF(AND(1+M27&gt;0,1+N27&gt;=0),((1+N27)^'Sheet1-指标体系'!$J$16/(1+M27))^(1/('Sheet1-指标体系'!$J$16-1))-1,""),""),IF(AND(ISNUMBER(M27),ISNUMBER(O27)),IF(AND(F27&gt;1,1+M27&gt;0,1+O27&gt;=0),((1+O27)^F27/(1+M27))^(1/(F27-1))-1,""),"")))</f>
        <v>0.0381641742636831</v>
      </c>
      <c r="Q27" s="37">
        <f t="shared" si="0"/>
        <v>47.22</v>
      </c>
      <c r="R27" s="37">
        <f t="shared" si="1"/>
        <v>10.61</v>
      </c>
      <c r="S27" s="37">
        <f>IF(ISNUMBER(Q27),IF(ISNUMBER(R27),ROUND(Q27*'Sheet1-指标体系'!$J$8+R27*'Sheet1-指标体系'!$J$9,2),Q27),"")</f>
        <v>32.58</v>
      </c>
      <c r="T27" s="26">
        <f>IF(ISNUMBER('Sheet4-原始数据'!J12),'Sheet4-原始数据'!J12,"")</f>
        <v>0.4615</v>
      </c>
      <c r="U27" s="26">
        <f>IF(ISNUMBER('Sheet4-原始数据'!I12),'Sheet4-原始数据'!I12,"")</f>
        <v>0.5405</v>
      </c>
      <c r="V27" s="45">
        <f>IF(AND(ISNUMBER(T27),ISNUMBER(U27)),(U27*'Sheet1-指标体系'!$J$6-T27*'Sheet1-指标体系'!$J$5)/'Sheet1-指标体系'!$J$7,"")</f>
        <v>0.583291666666667</v>
      </c>
      <c r="W27" s="37">
        <f t="shared" si="2"/>
        <v>46.15</v>
      </c>
      <c r="X27" s="37">
        <f>IF(G27&lt;&gt;"入池","",IF(ISNUMBER(V27),IF(AND(V27&gt;=0,V27&lt;=1),V27*'Sheet1-指标体系'!$J$18,IF(MAX(0,(F27-'Sheet1-指标体系'!$J$15)*'Sheet1-指标体系'!$J$20)&lt;'Sheet1-指标体系'!$J$19,'Sheet1-指标体系'!$J$18,"")),IF(MAX(0,(F27-'Sheet1-指标体系'!$J$15)*'Sheet1-指标体系'!$J$20)&lt;'Sheet1-指标体系'!$J$19,'Sheet1-指标体系'!$J$18,"")))</f>
        <v>58.3291666666667</v>
      </c>
      <c r="Y27" s="37">
        <f>IF(ISNUMBER(W27),IF(ISNUMBER(X27),ROUND(W27*'Sheet1-指标体系'!$J$8+X27*'Sheet1-指标体系'!$J$9,2),W27),"")</f>
        <v>51.02</v>
      </c>
      <c r="Z27" s="45">
        <f t="shared" si="3"/>
        <v>0.0502998195261105</v>
      </c>
      <c r="AA27" s="26">
        <f>IF(ISNUMBER('Sheet4-原始数据'!K12),'Sheet4-原始数据'!K12,"")</f>
        <v>0.0503</v>
      </c>
      <c r="AB27" s="45">
        <f t="shared" si="4"/>
        <v>0.0503</v>
      </c>
      <c r="AC27" s="37">
        <f t="shared" si="5"/>
        <v>16.22</v>
      </c>
      <c r="AD27" s="30">
        <f>IF(ISNUMBER('Sheet4-原始数据'!M12),'Sheet4-原始数据'!M12,"")</f>
        <v>1.7177</v>
      </c>
      <c r="AE27" s="45" t="str">
        <f>IF(AND(ISNUMBER(P27),ISNUMBER(AA27),ISNUMBER(Z27)),IF(AA27&gt;Z27+'Sheet1-指标体系'!$J$11,AA27,""),"")</f>
        <v/>
      </c>
      <c r="AF27" s="37" t="str">
        <f t="shared" si="6"/>
        <v/>
      </c>
      <c r="AG27" s="37">
        <f t="shared" si="7"/>
        <v>12.68</v>
      </c>
      <c r="AH27" s="37" t="str">
        <f t="shared" si="8"/>
        <v/>
      </c>
      <c r="AI27" s="37">
        <f>IF(ISNUMBER(AG27),IF(ISNUMBER(AH27),ROUND(AG27*'Sheet1-指标体系'!$J$8+AH27*'Sheet1-指标体系'!$J$9,2),AG27),"")</f>
        <v>12.68</v>
      </c>
      <c r="AJ27" s="45">
        <f>IF(NOT(ISNUMBER(F27)),"",IF(F27&gt;='Sheet1-指标体系'!$J$16,IF(ISNUMBER(N27),N27,""),IF(ISNUMBER(O27),O27,"")))</f>
        <v>0.054</v>
      </c>
      <c r="AK27" s="37">
        <f>IF(AND(G27="入池",ISNUMBER(M27),ISNUMBER(AJ27)),IF(M27&gt;=AJ27,'Sheet1-指标体系'!$J$18,IF(AJ27-M27&lt;'Sheet1-指标体系'!$J$10,'Sheet1-指标体系'!$J$22,'Sheet1-指标体系'!$J$23)),"")</f>
        <v>100</v>
      </c>
      <c r="AL27" s="37">
        <f>IF((IF(ISNUMBER(I27),'Sheet1-指标体系'!$G$4,0)+IF(ISNUMBER(K27),'Sheet1-指标体系'!$G$5,0)+IF(ISNUMBER(L27),'Sheet1-指标体系'!$G$6,0))&gt;0,ROUND((IF(ISNUMBER(I27),I27*'Sheet1-指标体系'!$G$4,0)+IF(ISNUMBER(K27),K27*'Sheet1-指标体系'!$G$5,0)+IF(ISNUMBER(L27),L27*'Sheet1-指标体系'!$G$6,0))/(IF(ISNUMBER(I27),'Sheet1-指标体系'!$G$4,0)+IF(ISNUMBER(K27),'Sheet1-指标体系'!$G$5,0)+IF(ISNUMBER(L27),'Sheet1-指标体系'!$G$6,0)),2),"")</f>
        <v>88</v>
      </c>
      <c r="AM27" s="37">
        <f t="shared" si="9"/>
        <v>38.11</v>
      </c>
      <c r="AN27" s="37">
        <f t="shared" si="10"/>
        <v>16.22</v>
      </c>
      <c r="AO27" s="37">
        <f t="shared" si="11"/>
        <v>12.68</v>
      </c>
      <c r="AP27" s="37">
        <f t="shared" si="12"/>
        <v>100</v>
      </c>
      <c r="AQ27" s="38">
        <f t="shared" si="13"/>
        <v>0.88</v>
      </c>
      <c r="AR27" s="37">
        <f t="shared" si="14"/>
        <v>37.15934</v>
      </c>
      <c r="AS27" s="37">
        <f t="shared" si="15"/>
        <v>42.23</v>
      </c>
      <c r="AT27" s="40">
        <f>IF(OR(G27&lt;&gt;"入池",NOT(ISNUMBER(AS27))),"",COUNTIFS($G$17:$G$99,"入池",$AS$17:$AS$99,"&gt;"&amp;AS27)+COUNTIFS($G$17:$G$99,"入池",$AS$17:$AS$99,AS27,$AQ$17:$AQ$99,"&gt;"&amp;AQ27)+COUNTIFS($G$17:G27,"入池",$AS$17:AS27,AS27,$AQ$17:AQ27,AQ27))</f>
        <v>66</v>
      </c>
      <c r="AU27" s="46" t="str">
        <f>IF(NOT(ISNUMBER(I27)),"管理人规模；","")&amp;IF(NOT(ISNUMBER(K27)),"产品规模标识；","")&amp;IF(NOT(ISNUMBER(M27)),"近一年收益；","")&amp;IF(NOT(ISNUMBER(T27)),"近一年胜率；","")&amp;IF(NOT(ISNUMBER(N27)),"近三年收益；","")&amp;IF(NOT(ISNUMBER(U27)),"近三年胜率；","")&amp;IF(NOT(ISNUMBER(AA27)),"近三年回撤；","")&amp;IF(NOT(ISNUMBER(AD27)),"近一年卡玛；","")&amp;IF(ISNUMBER(F27),IF(AND(F27&lt;'Sheet1-指标体系'!$J$16,NOT(ISNUMBER(O27))),"成立以来年化；",""),"成立日期；")&amp;IF(ISNUMBER(V27),IF(OR(V27&lt;0,V27&gt;1),"胜率窗口口径不一致；",""),"")&amp;IF(ISNUMBER(P27),IF(NOT(ISNUMBER(AE27)),"DD_long不可识别；",""),"")</f>
        <v>DD_long不可识别；</v>
      </c>
      <c r="AV27" s="37" t="str">
        <f>IF(ABS(SUM(CA27:CK27)-'Sheet1-指标体系'!$J$25)&lt;0.0000000001,SUM(BP27:BZ27),"")</f>
        <v/>
      </c>
      <c r="AW27" s="36" t="str">
        <f>IF(G27&lt;&gt;"入池",G27,IF(AQ27=0,"无有效评分数据",IF(ROUND(AQ27,10)=ROUND('Sheet1-指标体系'!$J$25,10),"完整赋分","暂定分／数据不完整")))</f>
        <v>暂定分／数据不完整</v>
      </c>
      <c r="AX27" s="22" t="str">
        <f>IF('Sheet4-原始数据'!C12="","",'Sheet4-原始数据'!C12)</f>
        <v>套利策略</v>
      </c>
      <c r="AY27" s="22" t="str">
        <f>IF('Sheet4-原始数据'!D12="","",'Sheet4-原始数据'!D12)</f>
        <v>期货套利</v>
      </c>
      <c r="AZ27" s="22" t="str">
        <f>IF('Sheet5-查询核对'!S12="","",'Sheet5-查询核对'!S12)</f>
        <v>套利策略—期货套利</v>
      </c>
      <c r="BA27" s="25">
        <f>IF('Sheet5-查询核对'!A12="","",'Sheet5-查询核对'!A12)</f>
        <v>12</v>
      </c>
      <c r="BB27" s="22" t="str">
        <f>IF('Sheet5-查询核对'!F12="","",'Sheet5-查询核对'!F12)</f>
        <v>备案号匹配</v>
      </c>
      <c r="BC27" s="24" t="str">
        <f>IF('Sheet5-查询核对'!I12="","",'Sheet5-查询核对'!I12)</f>
        <v>https://mp.fof99.com/fund/view/99bf55b582e27685</v>
      </c>
      <c r="BD27" s="23">
        <f>IF('Sheet5-查询核对'!H12="","",'Sheet5-查询核对'!H12)</f>
        <v>46269</v>
      </c>
      <c r="BE27" s="24" t="str">
        <f>IF('Sheet5-查询核对'!L12="","",'Sheet5-查询核对'!L12)</f>
        <v>https://gs.amac.org.cn/amac-infodisc/res/pof/manager/2002211754119480.html</v>
      </c>
      <c r="BF27" s="23">
        <f>IF('Sheet5-查询核对'!M12="","",'Sheet5-查询核对'!M12)</f>
        <v>46276</v>
      </c>
      <c r="BG27" s="24" t="str">
        <f>IF('Sheet5-查询核对'!O12="","",'Sheet5-查询核对'!O12)</f>
        <v>https://gs.amac.org.cn/amac-infodisc/res/pof/fund/2201191737119713.html</v>
      </c>
      <c r="BH27" s="23">
        <f>IF('Sheet5-查询核对'!P12="","",'Sheet5-查询核对'!P12)</f>
        <v>46276</v>
      </c>
      <c r="BI27" s="22" t="str">
        <f>IF('Sheet5-查询核对'!D12="","",'Sheet5-查询核对'!D12)</f>
        <v>STS460</v>
      </c>
      <c r="BJ27">
        <f>IF(ISNUMBER(AT27),AT27,COUNT($AT$17:$AT$99)+ROWS($AT$17:AT27)-COUNT($AT$17:AT27))</f>
        <v>66</v>
      </c>
      <c r="BK27" s="2">
        <f t="shared" si="16"/>
        <v>1</v>
      </c>
      <c r="BL27" s="2">
        <f t="shared" si="17"/>
        <v>1</v>
      </c>
      <c r="BM27" s="2">
        <f t="shared" si="18"/>
        <v>1</v>
      </c>
      <c r="BN27" s="2">
        <f t="shared" si="19"/>
        <v>1</v>
      </c>
      <c r="BO27" s="2">
        <f t="shared" si="20"/>
        <v>0</v>
      </c>
      <c r="BP27" s="48">
        <f>IF(G27="入池",IF(ISNUMBER(I27),I27*('Sheet1-指标体系'!$G$4),0),0)</f>
        <v>4.2</v>
      </c>
      <c r="BQ27" s="48">
        <f>IF(G27="入池",IF(ISNUMBER(K27),K27*('Sheet1-指标体系'!$G$5),0),0)</f>
        <v>4.5</v>
      </c>
      <c r="BR27" s="48">
        <f>IF(G27="入池",IF(ISNUMBER(L27),L27*('Sheet1-指标体系'!$G$6),0),0)</f>
        <v>4.5</v>
      </c>
      <c r="BS27" s="48">
        <f>IF(G27="入池",IF(ISNUMBER(Q27),Q27*('Sheet1-指标体系'!$G$7*'Sheet1-指标体系'!$J$8),0),0)</f>
        <v>3.96648</v>
      </c>
      <c r="BT27" s="48">
        <f>IF(G27="入池",IF(ISNUMBER(R27),R27*('Sheet1-指标体系'!$G$7*'Sheet1-指标体系'!$J$9),0),0)</f>
        <v>0.59416</v>
      </c>
      <c r="BU27" s="48">
        <f>IF(G27="入池",IF(ISNUMBER(W27),W27*('Sheet1-指标体系'!$G$8*'Sheet1-指标体系'!$J$8),0),0)</f>
        <v>1.6614</v>
      </c>
      <c r="BV27" s="48">
        <f>IF(G27="入池",IF(ISNUMBER(X27),X27*('Sheet1-指标体系'!$G$8*'Sheet1-指标体系'!$J$9),0),0)</f>
        <v>1.3999</v>
      </c>
      <c r="BW27" s="48">
        <f>IF(G27="入池",IF(ISNUMBER(AC27),AC27*('Sheet1-指标体系'!$G$9),0),0)</f>
        <v>4.055</v>
      </c>
      <c r="BX27" s="48">
        <f>IF(G27="入池",IF(ISNUMBER(AG27),AG27*('Sheet1-指标体系'!$G$10*'Sheet1-指标体系'!$J$8),0),0)</f>
        <v>2.2824</v>
      </c>
      <c r="BY27" s="48">
        <f>IF(G27="入池",IF(ISNUMBER(AH27),AH27*('Sheet1-指标体系'!$G$10*'Sheet1-指标体系'!$J$9),0),0)</f>
        <v>0</v>
      </c>
      <c r="BZ27" s="48">
        <f>IF(G27="入池",IF(ISNUMBER(AK27),AK27*('Sheet1-指标体系'!$G$11),0),0)</f>
        <v>10</v>
      </c>
      <c r="CA27" s="49">
        <f>IF(G27="入池",IF(ISNUMBER(I27),'Sheet1-指标体系'!$G$4,0),0)</f>
        <v>0.06</v>
      </c>
      <c r="CB27" s="49">
        <f>IF(G27="入池",IF(ISNUMBER(K27),'Sheet1-指标体系'!$G$5,0),0)</f>
        <v>0.045</v>
      </c>
      <c r="CC27" s="49">
        <f>IF(G27="入池",IF(ISNUMBER(L27),'Sheet1-指标体系'!$G$6,0),0)</f>
        <v>0.045</v>
      </c>
      <c r="CD27" s="49">
        <f>IF(G27="入池",IF(ISNUMBER(Q27),'Sheet1-指标体系'!$G$7*'Sheet1-指标体系'!$J$8,0),0)</f>
        <v>0.084</v>
      </c>
      <c r="CE27" s="49">
        <f>IF(G27="入池",IF(ISNUMBER(R27),'Sheet1-指标体系'!$G$7*'Sheet1-指标体系'!$J$9,0),0)</f>
        <v>0.056</v>
      </c>
      <c r="CF27" s="49">
        <f>IF(G27="入池",IF(ISNUMBER(W27),'Sheet1-指标体系'!$G$8*'Sheet1-指标体系'!$J$8,0),0)</f>
        <v>0.036</v>
      </c>
      <c r="CG27" s="49">
        <f>IF(G27="入池",IF(ISNUMBER(X27),'Sheet1-指标体系'!$G$8*'Sheet1-指标体系'!$J$9,0),0)</f>
        <v>0.024</v>
      </c>
      <c r="CH27" s="49">
        <f>IF(G27="入池",IF(ISNUMBER(AC27),'Sheet1-指标体系'!$G$9,0),0)</f>
        <v>0.25</v>
      </c>
      <c r="CI27" s="49">
        <f>IF(G27="入池",IF(ISNUMBER(AG27),'Sheet1-指标体系'!$G$10*'Sheet1-指标体系'!$J$8,0),0)</f>
        <v>0.18</v>
      </c>
      <c r="CJ27" s="49">
        <f>IF(G27="入池",IF(ISNUMBER(AH27),'Sheet1-指标体系'!$G$10*'Sheet1-指标体系'!$J$9,0),0)</f>
        <v>0</v>
      </c>
      <c r="CK27" s="49">
        <f>IF(G27="入池",IF(ISNUMBER(AK27),'Sheet1-指标体系'!$G$11,0),0)</f>
        <v>0.1</v>
      </c>
    </row>
    <row r="28" ht="44" customHeight="1" spans="1:89">
      <c r="A28" s="40">
        <f>'Sheet5-查询核对'!A13-1</f>
        <v>12</v>
      </c>
      <c r="B28" s="24" t="str">
        <f>IF('Sheet4-原始数据'!A13="",'Sheet5-查询核对'!B13,'Sheet4-原始数据'!A13)</f>
        <v>刀锋期权套利</v>
      </c>
      <c r="C28" s="22" t="str">
        <f>IF('Sheet4-原始数据'!B13="","",'Sheet4-原始数据'!B13)</f>
        <v>SGR366</v>
      </c>
      <c r="D28" s="22" t="str">
        <f>IF('Sheet4-原始数据'!E13="","",'Sheet4-原始数据'!E13)</f>
        <v>深圳刀锋</v>
      </c>
      <c r="E28" s="23">
        <f>IF('Sheet4-原始数据'!F13="","",'Sheet4-原始数据'!F13)</f>
        <v>43627</v>
      </c>
      <c r="F28" s="37">
        <f>IF(ISNUMBER(E28),ROUND(('Sheet1-指标体系'!$J$12-E28)/'Sheet1-指标体系'!$J$14,4),"")</f>
        <v>7.2498</v>
      </c>
      <c r="G28" s="36" t="str">
        <f>IF(C28="","未匹配",IF(NOT(ISNUMBER(F28)),"缺成立日期",IF(F28&lt;'Sheet1-指标体系'!$J$15,"不入池","入池")))</f>
        <v>入池</v>
      </c>
      <c r="H28" s="22" t="str">
        <f>IF('Sheet5-查询核对'!K13="","",'Sheet5-查询核对'!K13)</f>
        <v>0-5亿元</v>
      </c>
      <c r="I28" s="37">
        <f>IF(H28="","",IF(COUNTIF('Sheet1-指标体系'!$P$4:$P$10,H28)=0,"",INDEX('Sheet1-指标体系'!$Q$4:$Q$10,MATCH(H28,'Sheet1-指标体系'!$P$4:$P$10,0))))</f>
        <v>60</v>
      </c>
      <c r="J28" s="44" t="str">
        <f>IF(NOT(ISNUMBER('Sheet5-查询核对'!N13)),"",IF('Sheet5-查询核对'!N13=1,"低于"&amp;'Sheet1-指标体系'!$J$4&amp;"万元",IF('Sheet5-查询核对'!N13=0,"无低于"&amp;'Sheet1-指标体系'!$J$4&amp;"万元标识","")))</f>
        <v>无低于1000万元标识</v>
      </c>
      <c r="K28" s="37">
        <f>IF(NOT(ISNUMBER('Sheet5-查询核对'!N13)),"",IF('Sheet5-查询核对'!N13=1,'Sheet1-指标体系'!$J$21,IF('Sheet5-查询核对'!N13=0,'Sheet1-指标体系'!$J$18,"")))</f>
        <v>100</v>
      </c>
      <c r="L28" s="37">
        <f>IF(NOT(ISNUMBER(F28)),"",IF(F28&lt;'Sheet1-指标体系'!$J$15,"",IF(F28&lt;'Sheet1-指标体系'!$J$16,'Sheet1-指标体系'!$J$17,'Sheet1-指标体系'!$J$18)))</f>
        <v>100</v>
      </c>
      <c r="M28" s="26">
        <f>IF(ISNUMBER('Sheet4-原始数据'!G13),'Sheet4-原始数据'!G13,"")</f>
        <v>0.0856</v>
      </c>
      <c r="N28" s="26">
        <f>IF(ISNUMBER('Sheet4-原始数据'!H13),'Sheet4-原始数据'!H13,"")</f>
        <v>0.0936</v>
      </c>
      <c r="O28" s="26">
        <f>IF(ISNUMBER('Sheet5-查询核对'!Q13),'Sheet5-查询核对'!Q13,"")</f>
        <v>0.0252</v>
      </c>
      <c r="P28" s="45">
        <f>IF(G28&lt;&gt;"入池","",IF(F28&gt;='Sheet1-指标体系'!$J$16,IF(AND(ISNUMBER(M28),ISNUMBER(N28)),IF(AND(1+M28&gt;0,1+N28&gt;=0),((1+N28)^'Sheet1-指标体系'!$J$16/(1+M28))^(1/('Sheet1-指标体系'!$J$16-1))-1,""),""),IF(AND(ISNUMBER(M28),ISNUMBER(O28)),IF(AND(F28&gt;1,1+M28&gt;0,1+O28&gt;=0),((1+O28)^F28/(1+M28))^(1/(F28-1))-1,""),"")))</f>
        <v>0.0976220805125014</v>
      </c>
      <c r="Q28" s="37">
        <f t="shared" si="0"/>
        <v>44.44</v>
      </c>
      <c r="R28" s="37">
        <f t="shared" si="1"/>
        <v>69.7</v>
      </c>
      <c r="S28" s="37">
        <f>IF(ISNUMBER(Q28),IF(ISNUMBER(R28),ROUND(Q28*'Sheet1-指标体系'!$J$8+R28*'Sheet1-指标体系'!$J$9,2),Q28),"")</f>
        <v>54.54</v>
      </c>
      <c r="T28" s="26">
        <f>IF(ISNUMBER('Sheet4-原始数据'!J13),'Sheet4-原始数据'!J13,"")</f>
        <v>0.8462</v>
      </c>
      <c r="U28" s="26">
        <f>IF(ISNUMBER('Sheet4-原始数据'!I13),'Sheet4-原始数据'!I13,"")</f>
        <v>0.8108</v>
      </c>
      <c r="V28" s="45">
        <f>IF(AND(ISNUMBER(T28),ISNUMBER(U28)),(U28*'Sheet1-指标体系'!$J$6-T28*'Sheet1-指标体系'!$J$5)/'Sheet1-指标体系'!$J$7,"")</f>
        <v>0.791625</v>
      </c>
      <c r="W28" s="37">
        <f t="shared" si="2"/>
        <v>84.62</v>
      </c>
      <c r="X28" s="37">
        <f>IF(G28&lt;&gt;"入池","",IF(ISNUMBER(V28),IF(AND(V28&gt;=0,V28&lt;=1),V28*'Sheet1-指标体系'!$J$18,IF(MAX(0,(F28-'Sheet1-指标体系'!$J$15)*'Sheet1-指标体系'!$J$20)&lt;'Sheet1-指标体系'!$J$19,'Sheet1-指标体系'!$J$18,"")),IF(MAX(0,(F28-'Sheet1-指标体系'!$J$15)*'Sheet1-指标体系'!$J$20)&lt;'Sheet1-指标体系'!$J$19,'Sheet1-指标体系'!$J$18,"")))</f>
        <v>79.1625</v>
      </c>
      <c r="Y28" s="37">
        <f>IF(ISNUMBER(W28),IF(ISNUMBER(X28),ROUND(W28*'Sheet1-指标体系'!$J$8+X28*'Sheet1-指标体系'!$J$9,2),W28),"")</f>
        <v>82.44</v>
      </c>
      <c r="Z28" s="45">
        <f t="shared" si="3"/>
        <v>0.0360117795540597</v>
      </c>
      <c r="AA28" s="26">
        <f>IF(ISNUMBER('Sheet4-原始数据'!K13),'Sheet4-原始数据'!K13,"")</f>
        <v>0.1121</v>
      </c>
      <c r="AB28" s="45">
        <f t="shared" si="4"/>
        <v>0.1121</v>
      </c>
      <c r="AC28" s="37">
        <f t="shared" si="5"/>
        <v>6.76</v>
      </c>
      <c r="AD28" s="30">
        <f>IF(ISNUMBER('Sheet4-原始数据'!M13),'Sheet4-原始数据'!M13,"")</f>
        <v>2.377</v>
      </c>
      <c r="AE28" s="45">
        <f>IF(AND(ISNUMBER(P28),ISNUMBER(AA28),ISNUMBER(Z28)),IF(AA28&gt;Z28+'Sheet1-指标体系'!$J$11,AA28,""),"")</f>
        <v>0.1121</v>
      </c>
      <c r="AF28" s="37">
        <f t="shared" si="6"/>
        <v>0.87084817584747</v>
      </c>
      <c r="AG28" s="37">
        <f t="shared" si="7"/>
        <v>18.31</v>
      </c>
      <c r="AH28" s="37">
        <f t="shared" si="8"/>
        <v>6.25</v>
      </c>
      <c r="AI28" s="37">
        <f>IF(ISNUMBER(AG28),IF(ISNUMBER(AH28),ROUND(AG28*'Sheet1-指标体系'!$J$8+AH28*'Sheet1-指标体系'!$J$9,2),AG28),"")</f>
        <v>13.49</v>
      </c>
      <c r="AJ28" s="45">
        <f>IF(NOT(ISNUMBER(F28)),"",IF(F28&gt;='Sheet1-指标体系'!$J$16,IF(ISNUMBER(N28),N28,""),IF(ISNUMBER(O28),O28,"")))</f>
        <v>0.0936</v>
      </c>
      <c r="AK28" s="37">
        <f>IF(AND(G28="入池",ISNUMBER(M28),ISNUMBER(AJ28)),IF(M28&gt;=AJ28,'Sheet1-指标体系'!$J$18,IF(AJ28-M28&lt;'Sheet1-指标体系'!$J$10,'Sheet1-指标体系'!$J$22,'Sheet1-指标体系'!$J$23)),"")</f>
        <v>80</v>
      </c>
      <c r="AL28" s="37">
        <f>IF((IF(ISNUMBER(I28),'Sheet1-指标体系'!$G$4,0)+IF(ISNUMBER(K28),'Sheet1-指标体系'!$G$5,0)+IF(ISNUMBER(L28),'Sheet1-指标体系'!$G$6,0))&gt;0,ROUND((IF(ISNUMBER(I28),I28*'Sheet1-指标体系'!$G$4,0)+IF(ISNUMBER(K28),K28*'Sheet1-指标体系'!$G$5,0)+IF(ISNUMBER(L28),L28*'Sheet1-指标体系'!$G$6,0))/(IF(ISNUMBER(I28),'Sheet1-指标体系'!$G$4,0)+IF(ISNUMBER(K28),'Sheet1-指标体系'!$G$5,0)+IF(ISNUMBER(L28),'Sheet1-指标体系'!$G$6,0)),2),"")</f>
        <v>84</v>
      </c>
      <c r="AM28" s="37">
        <f t="shared" si="9"/>
        <v>62.91</v>
      </c>
      <c r="AN28" s="37">
        <f t="shared" si="10"/>
        <v>6.76</v>
      </c>
      <c r="AO28" s="37">
        <f t="shared" si="11"/>
        <v>13.49</v>
      </c>
      <c r="AP28" s="37">
        <f t="shared" si="12"/>
        <v>80</v>
      </c>
      <c r="AQ28" s="38">
        <f t="shared" si="13"/>
        <v>1</v>
      </c>
      <c r="AR28" s="37">
        <f t="shared" si="14"/>
        <v>38.91818</v>
      </c>
      <c r="AS28" s="37">
        <f t="shared" si="15"/>
        <v>38.92</v>
      </c>
      <c r="AT28" s="40">
        <f>IF(OR(G28&lt;&gt;"入池",NOT(ISNUMBER(AS28))),"",COUNTIFS($G$17:$G$99,"入池",$AS$17:$AS$99,"&gt;"&amp;AS28)+COUNTIFS($G$17:$G$99,"入池",$AS$17:$AS$99,AS28,$AQ$17:$AQ$99,"&gt;"&amp;AQ28)+COUNTIFS($G$17:G28,"入池",$AS$17:AS28,AS28,$AQ$17:AQ28,AQ28))</f>
        <v>71</v>
      </c>
      <c r="AU28" s="46" t="str">
        <f>IF(NOT(ISNUMBER(I28)),"管理人规模；","")&amp;IF(NOT(ISNUMBER(K28)),"产品规模标识；","")&amp;IF(NOT(ISNUMBER(M28)),"近一年收益；","")&amp;IF(NOT(ISNUMBER(T28)),"近一年胜率；","")&amp;IF(NOT(ISNUMBER(N28)),"近三年收益；","")&amp;IF(NOT(ISNUMBER(U28)),"近三年胜率；","")&amp;IF(NOT(ISNUMBER(AA28)),"近三年回撤；","")&amp;IF(NOT(ISNUMBER(AD28)),"近一年卡玛；","")&amp;IF(ISNUMBER(F28),IF(AND(F28&lt;'Sheet1-指标体系'!$J$16,NOT(ISNUMBER(O28))),"成立以来年化；",""),"成立日期；")&amp;IF(ISNUMBER(V28),IF(OR(V28&lt;0,V28&gt;1),"胜率窗口口径不一致；",""),"")&amp;IF(ISNUMBER(P28),IF(NOT(ISNUMBER(AE28)),"DD_long不可识别；",""),"")</f>
        <v/>
      </c>
      <c r="AV28" s="37">
        <f>IF(ABS(SUM(CA28:CK28)-'Sheet1-指标体系'!$J$25)&lt;0.0000000001,SUM(BP28:BZ28),"")</f>
        <v>38.91818</v>
      </c>
      <c r="AW28" s="36" t="str">
        <f>IF(G28&lt;&gt;"入池",G28,IF(AQ28=0,"无有效评分数据",IF(ROUND(AQ28,10)=ROUND('Sheet1-指标体系'!$J$25,10),"完整赋分","暂定分／数据不完整")))</f>
        <v>完整赋分</v>
      </c>
      <c r="AX28" s="22" t="str">
        <f>IF('Sheet4-原始数据'!C13="","",'Sheet4-原始数据'!C13)</f>
        <v>期权策略</v>
      </c>
      <c r="AY28" s="22" t="str">
        <f>IF('Sheet4-原始数据'!D13="","",'Sheet4-原始数据'!D13)</f>
        <v>场内期权</v>
      </c>
      <c r="AZ28" s="22" t="str">
        <f>IF('Sheet5-查询核对'!S13="","",'Sheet5-查询核对'!S13)</f>
        <v>期权策略</v>
      </c>
      <c r="BA28" s="25">
        <f>IF('Sheet5-查询核对'!A13="","",'Sheet5-查询核对'!A13)</f>
        <v>13</v>
      </c>
      <c r="BB28" s="22" t="str">
        <f>IF('Sheet5-查询核对'!F13="","",'Sheet5-查询核对'!F13)</f>
        <v>备案号匹配</v>
      </c>
      <c r="BC28" s="24" t="str">
        <f>IF('Sheet5-查询核对'!I13="","",'Sheet5-查询核对'!I13)</f>
        <v>https://mp.fof99.com/fund/view/fbf1de225e3e65af</v>
      </c>
      <c r="BD28" s="23">
        <f>IF('Sheet5-查询核对'!H13="","",'Sheet5-查询核对'!H13)</f>
        <v>46269</v>
      </c>
      <c r="BE28" s="24" t="str">
        <f>IF('Sheet5-查询核对'!L13="","",'Sheet5-查询核对'!L13)</f>
        <v>https://gs.amac.org.cn/amac-infodisc/res/pof/manager/101000037574.html</v>
      </c>
      <c r="BF28" s="23">
        <f>IF('Sheet5-查询核对'!M13="","",'Sheet5-查询核对'!M13)</f>
        <v>46276</v>
      </c>
      <c r="BG28" s="24" t="str">
        <f>IF('Sheet5-查询核对'!O13="","",'Sheet5-查询核对'!O13)</f>
        <v>https://gs.amac.org.cn/amac-infodisc/res/pof/fund/1906251702101405.html</v>
      </c>
      <c r="BH28" s="23">
        <f>IF('Sheet5-查询核对'!P13="","",'Sheet5-查询核对'!P13)</f>
        <v>46276</v>
      </c>
      <c r="BI28" s="22" t="str">
        <f>IF('Sheet5-查询核对'!D13="","",'Sheet5-查询核对'!D13)</f>
        <v>SGR366</v>
      </c>
      <c r="BJ28">
        <f>IF(ISNUMBER(AT28),AT28,COUNT($AT$17:$AT$99)+ROWS($AT$17:AT28)-COUNT($AT$17:AT28))</f>
        <v>71</v>
      </c>
      <c r="BK28" s="2">
        <f t="shared" si="16"/>
        <v>1</v>
      </c>
      <c r="BL28" s="2">
        <f t="shared" si="17"/>
        <v>1</v>
      </c>
      <c r="BM28" s="2">
        <f t="shared" si="18"/>
        <v>1</v>
      </c>
      <c r="BN28" s="2">
        <f t="shared" si="19"/>
        <v>1</v>
      </c>
      <c r="BO28" s="2">
        <f t="shared" si="20"/>
        <v>1</v>
      </c>
      <c r="BP28" s="48">
        <f>IF(G28="入池",IF(ISNUMBER(I28),I28*('Sheet1-指标体系'!$G$4),0),0)</f>
        <v>3.6</v>
      </c>
      <c r="BQ28" s="48">
        <f>IF(G28="入池",IF(ISNUMBER(K28),K28*('Sheet1-指标体系'!$G$5),0),0)</f>
        <v>4.5</v>
      </c>
      <c r="BR28" s="48">
        <f>IF(G28="入池",IF(ISNUMBER(L28),L28*('Sheet1-指标体系'!$G$6),0),0)</f>
        <v>4.5</v>
      </c>
      <c r="BS28" s="48">
        <f>IF(G28="入池",IF(ISNUMBER(Q28),Q28*('Sheet1-指标体系'!$G$7*'Sheet1-指标体系'!$J$8),0),0)</f>
        <v>3.73296</v>
      </c>
      <c r="BT28" s="48">
        <f>IF(G28="入池",IF(ISNUMBER(R28),R28*('Sheet1-指标体系'!$G$7*'Sheet1-指标体系'!$J$9),0),0)</f>
        <v>3.9032</v>
      </c>
      <c r="BU28" s="48">
        <f>IF(G28="入池",IF(ISNUMBER(W28),W28*('Sheet1-指标体系'!$G$8*'Sheet1-指标体系'!$J$8),0),0)</f>
        <v>3.04632</v>
      </c>
      <c r="BV28" s="48">
        <f>IF(G28="入池",IF(ISNUMBER(X28),X28*('Sheet1-指标体系'!$G$8*'Sheet1-指标体系'!$J$9),0),0)</f>
        <v>1.8999</v>
      </c>
      <c r="BW28" s="48">
        <f>IF(G28="入池",IF(ISNUMBER(AC28),AC28*('Sheet1-指标体系'!$G$9),0),0)</f>
        <v>1.69</v>
      </c>
      <c r="BX28" s="48">
        <f>IF(G28="入池",IF(ISNUMBER(AG28),AG28*('Sheet1-指标体系'!$G$10*'Sheet1-指标体系'!$J$8),0),0)</f>
        <v>3.2958</v>
      </c>
      <c r="BY28" s="48">
        <f>IF(G28="入池",IF(ISNUMBER(AH28),AH28*('Sheet1-指标体系'!$G$10*'Sheet1-指标体系'!$J$9),0),0)</f>
        <v>0.75</v>
      </c>
      <c r="BZ28" s="48">
        <f>IF(G28="入池",IF(ISNUMBER(AK28),AK28*('Sheet1-指标体系'!$G$11),0),0)</f>
        <v>8</v>
      </c>
      <c r="CA28" s="49">
        <f>IF(G28="入池",IF(ISNUMBER(I28),'Sheet1-指标体系'!$G$4,0),0)</f>
        <v>0.06</v>
      </c>
      <c r="CB28" s="49">
        <f>IF(G28="入池",IF(ISNUMBER(K28),'Sheet1-指标体系'!$G$5,0),0)</f>
        <v>0.045</v>
      </c>
      <c r="CC28" s="49">
        <f>IF(G28="入池",IF(ISNUMBER(L28),'Sheet1-指标体系'!$G$6,0),0)</f>
        <v>0.045</v>
      </c>
      <c r="CD28" s="49">
        <f>IF(G28="入池",IF(ISNUMBER(Q28),'Sheet1-指标体系'!$G$7*'Sheet1-指标体系'!$J$8,0),0)</f>
        <v>0.084</v>
      </c>
      <c r="CE28" s="49">
        <f>IF(G28="入池",IF(ISNUMBER(R28),'Sheet1-指标体系'!$G$7*'Sheet1-指标体系'!$J$9,0),0)</f>
        <v>0.056</v>
      </c>
      <c r="CF28" s="49">
        <f>IF(G28="入池",IF(ISNUMBER(W28),'Sheet1-指标体系'!$G$8*'Sheet1-指标体系'!$J$8,0),0)</f>
        <v>0.036</v>
      </c>
      <c r="CG28" s="49">
        <f>IF(G28="入池",IF(ISNUMBER(X28),'Sheet1-指标体系'!$G$8*'Sheet1-指标体系'!$J$9,0),0)</f>
        <v>0.024</v>
      </c>
      <c r="CH28" s="49">
        <f>IF(G28="入池",IF(ISNUMBER(AC28),'Sheet1-指标体系'!$G$9,0),0)</f>
        <v>0.25</v>
      </c>
      <c r="CI28" s="49">
        <f>IF(G28="入池",IF(ISNUMBER(AG28),'Sheet1-指标体系'!$G$10*'Sheet1-指标体系'!$J$8,0),0)</f>
        <v>0.18</v>
      </c>
      <c r="CJ28" s="49">
        <f>IF(G28="入池",IF(ISNUMBER(AH28),'Sheet1-指标体系'!$G$10*'Sheet1-指标体系'!$J$9,0),0)</f>
        <v>0.12</v>
      </c>
      <c r="CK28" s="49">
        <f>IF(G28="入池",IF(ISNUMBER(AK28),'Sheet1-指标体系'!$G$11,0),0)</f>
        <v>0.1</v>
      </c>
    </row>
    <row r="29" ht="44" customHeight="1" spans="1:89">
      <c r="A29" s="40">
        <f>'Sheet5-查询核对'!A14-1</f>
        <v>13</v>
      </c>
      <c r="B29" s="24" t="str">
        <f>IF('Sheet4-原始数据'!A14="",'Sheet5-查询核对'!B14,'Sheet4-原始数据'!A14)</f>
        <v>东方富银命运1号</v>
      </c>
      <c r="C29" s="22" t="str">
        <f>IF('Sheet4-原始数据'!B14="","",'Sheet4-原始数据'!B14)</f>
        <v>SEG244</v>
      </c>
      <c r="D29" s="22" t="str">
        <f>IF('Sheet4-原始数据'!E14="","",'Sheet4-原始数据'!E14)</f>
        <v>深圳东方富银投资</v>
      </c>
      <c r="E29" s="23">
        <f>IF('Sheet4-原始数据'!F14="","",'Sheet4-原始数据'!F14)</f>
        <v>43334</v>
      </c>
      <c r="F29" s="37">
        <f>IF(ISNUMBER(E29),ROUND(('Sheet1-指标体系'!$J$12-E29)/'Sheet1-指标体系'!$J$14,4),"")</f>
        <v>8.052</v>
      </c>
      <c r="G29" s="36" t="str">
        <f>IF(C29="","未匹配",IF(NOT(ISNUMBER(F29)),"缺成立日期",IF(F29&lt;'Sheet1-指标体系'!$J$15,"不入池","入池")))</f>
        <v>入池</v>
      </c>
      <c r="H29" s="22" t="str">
        <f>IF('Sheet5-查询核对'!K14="","",'Sheet5-查询核对'!K14)</f>
        <v>0-5亿元</v>
      </c>
      <c r="I29" s="37">
        <f>IF(H29="","",IF(COUNTIF('Sheet1-指标体系'!$P$4:$P$10,H29)=0,"",INDEX('Sheet1-指标体系'!$Q$4:$Q$10,MATCH(H29,'Sheet1-指标体系'!$P$4:$P$10,0))))</f>
        <v>60</v>
      </c>
      <c r="J29" s="44" t="str">
        <f>IF(NOT(ISNUMBER('Sheet5-查询核对'!N14)),"",IF('Sheet5-查询核对'!N14=1,"低于"&amp;'Sheet1-指标体系'!$J$4&amp;"万元",IF('Sheet5-查询核对'!N14=0,"无低于"&amp;'Sheet1-指标体系'!$J$4&amp;"万元标识","")))</f>
        <v>无低于1000万元标识</v>
      </c>
      <c r="K29" s="37">
        <f>IF(NOT(ISNUMBER('Sheet5-查询核对'!N14)),"",IF('Sheet5-查询核对'!N14=1,'Sheet1-指标体系'!$J$21,IF('Sheet5-查询核对'!N14=0,'Sheet1-指标体系'!$J$18,"")))</f>
        <v>100</v>
      </c>
      <c r="L29" s="37">
        <f>IF(NOT(ISNUMBER(F29)),"",IF(F29&lt;'Sheet1-指标体系'!$J$15,"",IF(F29&lt;'Sheet1-指标体系'!$J$16,'Sheet1-指标体系'!$J$17,'Sheet1-指标体系'!$J$18)))</f>
        <v>100</v>
      </c>
      <c r="M29" s="26">
        <f>IF(ISNUMBER('Sheet4-原始数据'!G14),'Sheet4-原始数据'!G14,"")</f>
        <v>0.0597</v>
      </c>
      <c r="N29" s="26">
        <f>IF(ISNUMBER('Sheet4-原始数据'!H14),'Sheet4-原始数据'!H14,"")</f>
        <v>0.0824</v>
      </c>
      <c r="O29" s="26">
        <f>IF(ISNUMBER('Sheet5-查询核对'!Q14),'Sheet5-查询核对'!Q14,"")</f>
        <v>0.071</v>
      </c>
      <c r="P29" s="45">
        <f>IF(G29&lt;&gt;"入池","",IF(F29&gt;='Sheet1-指标体系'!$J$16,IF(AND(ISNUMBER(M29),ISNUMBER(N29)),IF(AND(1+M29&gt;0,1+N29&gt;=0),((1+N29)^'Sheet1-指标体系'!$J$16/(1+M29))^(1/('Sheet1-指标体系'!$J$16-1))-1,""),""),IF(AND(ISNUMBER(M29),ISNUMBER(O29)),IF(AND(F29&gt;1,1+M29&gt;0,1+O29&gt;=0),((1+O29)^F29/(1+M29))^(1/(F29-1))-1,""),"")))</f>
        <v>0.093931701756538</v>
      </c>
      <c r="Q29" s="37">
        <f t="shared" si="0"/>
        <v>25</v>
      </c>
      <c r="R29" s="37">
        <f t="shared" si="1"/>
        <v>65.15</v>
      </c>
      <c r="S29" s="37">
        <f>IF(ISNUMBER(Q29),IF(ISNUMBER(R29),ROUND(Q29*'Sheet1-指标体系'!$J$8+R29*'Sheet1-指标体系'!$J$9,2),Q29),"")</f>
        <v>41.06</v>
      </c>
      <c r="T29" s="26">
        <f>IF(ISNUMBER('Sheet4-原始数据'!J14),'Sheet4-原始数据'!J14,"")</f>
        <v>0.8462</v>
      </c>
      <c r="U29" s="26">
        <f>IF(ISNUMBER('Sheet4-原始数据'!I14),'Sheet4-原始数据'!I14,"")</f>
        <v>0.7568</v>
      </c>
      <c r="V29" s="45">
        <f>IF(AND(ISNUMBER(T29),ISNUMBER(U29)),(U29*'Sheet1-指标体系'!$J$6-T29*'Sheet1-指标体系'!$J$5)/'Sheet1-指标体系'!$J$7,"")</f>
        <v>0.708375</v>
      </c>
      <c r="W29" s="37">
        <f t="shared" si="2"/>
        <v>84.62</v>
      </c>
      <c r="X29" s="37">
        <f>IF(G29&lt;&gt;"入池","",IF(ISNUMBER(V29),IF(AND(V29&gt;=0,V29&lt;=1),V29*'Sheet1-指标体系'!$J$18,IF(MAX(0,(F29-'Sheet1-指标体系'!$J$15)*'Sheet1-指标体系'!$J$20)&lt;'Sheet1-指标体系'!$J$19,'Sheet1-指标体系'!$J$18,"")),IF(MAX(0,(F29-'Sheet1-指标体系'!$J$15)*'Sheet1-指标体系'!$J$20)&lt;'Sheet1-指标体系'!$J$19,'Sheet1-指标体系'!$J$18,"")))</f>
        <v>70.8375</v>
      </c>
      <c r="Y29" s="37">
        <f>IF(ISNUMBER(W29),IF(ISNUMBER(X29),ROUND(W29*'Sheet1-指标体系'!$J$8+X29*'Sheet1-指标体系'!$J$9,2),W29),"")</f>
        <v>79.11</v>
      </c>
      <c r="Z29" s="45">
        <f t="shared" si="3"/>
        <v>0.00750981181443091</v>
      </c>
      <c r="AA29" s="26">
        <f>IF(ISNUMBER('Sheet4-原始数据'!K14),'Sheet4-原始数据'!K14,"")</f>
        <v>0.0343</v>
      </c>
      <c r="AB29" s="45">
        <f t="shared" si="4"/>
        <v>0.0343</v>
      </c>
      <c r="AC29" s="37">
        <f t="shared" si="5"/>
        <v>35.14</v>
      </c>
      <c r="AD29" s="30">
        <f>IF(ISNUMBER('Sheet4-原始数据'!M14),'Sheet4-原始数据'!M14,"")</f>
        <v>7.9496</v>
      </c>
      <c r="AE29" s="45">
        <f>IF(AND(ISNUMBER(P29),ISNUMBER(AA29),ISNUMBER(Z29)),IF(AA29&gt;Z29+'Sheet1-指标体系'!$J$11,AA29,""),"")</f>
        <v>0.0343</v>
      </c>
      <c r="AF29" s="37">
        <f t="shared" si="6"/>
        <v>2.73853357890781</v>
      </c>
      <c r="AG29" s="37">
        <f t="shared" si="7"/>
        <v>46.48</v>
      </c>
      <c r="AH29" s="37">
        <f t="shared" si="8"/>
        <v>43.75</v>
      </c>
      <c r="AI29" s="37">
        <f>IF(ISNUMBER(AG29),IF(ISNUMBER(AH29),ROUND(AG29*'Sheet1-指标体系'!$J$8+AH29*'Sheet1-指标体系'!$J$9,2),AG29),"")</f>
        <v>45.39</v>
      </c>
      <c r="AJ29" s="45">
        <f>IF(NOT(ISNUMBER(F29)),"",IF(F29&gt;='Sheet1-指标体系'!$J$16,IF(ISNUMBER(N29),N29,""),IF(ISNUMBER(O29),O29,"")))</f>
        <v>0.0824</v>
      </c>
      <c r="AK29" s="37">
        <f>IF(AND(G29="入池",ISNUMBER(M29),ISNUMBER(AJ29)),IF(M29&gt;=AJ29,'Sheet1-指标体系'!$J$18,IF(AJ29-M29&lt;'Sheet1-指标体系'!$J$10,'Sheet1-指标体系'!$J$22,'Sheet1-指标体系'!$J$23)),"")</f>
        <v>80</v>
      </c>
      <c r="AL29" s="37">
        <f>IF((IF(ISNUMBER(I29),'Sheet1-指标体系'!$G$4,0)+IF(ISNUMBER(K29),'Sheet1-指标体系'!$G$5,0)+IF(ISNUMBER(L29),'Sheet1-指标体系'!$G$6,0))&gt;0,ROUND((IF(ISNUMBER(I29),I29*'Sheet1-指标体系'!$G$4,0)+IF(ISNUMBER(K29),K29*'Sheet1-指标体系'!$G$5,0)+IF(ISNUMBER(L29),L29*'Sheet1-指标体系'!$G$6,0))/(IF(ISNUMBER(I29),'Sheet1-指标体系'!$G$4,0)+IF(ISNUMBER(K29),'Sheet1-指标体系'!$G$5,0)+IF(ISNUMBER(L29),'Sheet1-指标体系'!$G$6,0)),2),"")</f>
        <v>84</v>
      </c>
      <c r="AM29" s="37">
        <f t="shared" si="9"/>
        <v>52.47</v>
      </c>
      <c r="AN29" s="37">
        <f t="shared" si="10"/>
        <v>35.14</v>
      </c>
      <c r="AO29" s="37">
        <f t="shared" si="11"/>
        <v>45.39</v>
      </c>
      <c r="AP29" s="37">
        <f t="shared" si="12"/>
        <v>80</v>
      </c>
      <c r="AQ29" s="38">
        <f t="shared" si="13"/>
        <v>1</v>
      </c>
      <c r="AR29" s="37">
        <f t="shared" si="14"/>
        <v>53.49622</v>
      </c>
      <c r="AS29" s="37">
        <f t="shared" si="15"/>
        <v>53.5</v>
      </c>
      <c r="AT29" s="40">
        <f>IF(OR(G29&lt;&gt;"入池",NOT(ISNUMBER(AS29))),"",COUNTIFS($G$17:$G$99,"入池",$AS$17:$AS$99,"&gt;"&amp;AS29)+COUNTIFS($G$17:$G$99,"入池",$AS$17:$AS$99,AS29,$AQ$17:$AQ$99,"&gt;"&amp;AQ29)+COUNTIFS($G$17:G29,"入池",$AS$17:AS29,AS29,$AQ$17:AQ29,AQ29))</f>
        <v>52</v>
      </c>
      <c r="AU29" s="46" t="str">
        <f>IF(NOT(ISNUMBER(I29)),"管理人规模；","")&amp;IF(NOT(ISNUMBER(K29)),"产品规模标识；","")&amp;IF(NOT(ISNUMBER(M29)),"近一年收益；","")&amp;IF(NOT(ISNUMBER(T29)),"近一年胜率；","")&amp;IF(NOT(ISNUMBER(N29)),"近三年收益；","")&amp;IF(NOT(ISNUMBER(U29)),"近三年胜率；","")&amp;IF(NOT(ISNUMBER(AA29)),"近三年回撤；","")&amp;IF(NOT(ISNUMBER(AD29)),"近一年卡玛；","")&amp;IF(ISNUMBER(F29),IF(AND(F29&lt;'Sheet1-指标体系'!$J$16,NOT(ISNUMBER(O29))),"成立以来年化；",""),"成立日期；")&amp;IF(ISNUMBER(V29),IF(OR(V29&lt;0,V29&gt;1),"胜率窗口口径不一致；",""),"")&amp;IF(ISNUMBER(P29),IF(NOT(ISNUMBER(AE29)),"DD_long不可识别；",""),"")</f>
        <v/>
      </c>
      <c r="AV29" s="37">
        <f>IF(ABS(SUM(CA29:CK29)-'Sheet1-指标体系'!$J$25)&lt;0.0000000001,SUM(BP29:BZ29),"")</f>
        <v>53.49622</v>
      </c>
      <c r="AW29" s="36" t="str">
        <f>IF(G29&lt;&gt;"入池",G29,IF(AQ29=0,"无有效评分数据",IF(ROUND(AQ29,10)=ROUND('Sheet1-指标体系'!$J$25,10),"完整赋分","暂定分／数据不完整")))</f>
        <v>完整赋分</v>
      </c>
      <c r="AX29" s="22" t="str">
        <f>IF('Sheet4-原始数据'!C14="","",'Sheet4-原始数据'!C14)</f>
        <v>套利策略</v>
      </c>
      <c r="AY29" s="22" t="str">
        <f>IF('Sheet4-原始数据'!D14="","",'Sheet4-原始数据'!D14)</f>
        <v>可转债套利</v>
      </c>
      <c r="AZ29" s="22" t="str">
        <f>IF('Sheet5-查询核对'!S14="","",'Sheet5-查询核对'!S14)</f>
        <v>套利策略—可转债套利</v>
      </c>
      <c r="BA29" s="25">
        <f>IF('Sheet5-查询核对'!A14="","",'Sheet5-查询核对'!A14)</f>
        <v>14</v>
      </c>
      <c r="BB29" s="22" t="str">
        <f>IF('Sheet5-查询核对'!F14="","",'Sheet5-查询核对'!F14)</f>
        <v>备案号匹配</v>
      </c>
      <c r="BC29" s="24" t="str">
        <f>IF('Sheet5-查询核对'!I14="","",'Sheet5-查询核对'!I14)</f>
        <v>https://mp.fof99.com/fund/view/d7eeaf632af20fa7</v>
      </c>
      <c r="BD29" s="23">
        <f>IF('Sheet5-查询核对'!H14="","",'Sheet5-查询核对'!H14)</f>
        <v>46269</v>
      </c>
      <c r="BE29" s="24" t="str">
        <f>IF('Sheet5-查询核对'!L14="","",'Sheet5-查询核对'!L14)</f>
        <v>https://gs.amac.org.cn/amac-infodisc/res/pof/manager/1803121751101388.html</v>
      </c>
      <c r="BF29" s="23">
        <f>IF('Sheet5-查询核对'!M14="","",'Sheet5-查询核对'!M14)</f>
        <v>46276</v>
      </c>
      <c r="BG29" s="24" t="str">
        <f>IF('Sheet5-查询核对'!O14="","",'Sheet5-查询核对'!O14)</f>
        <v>https://gs.amac.org.cn/amac-infodisc/res/pof/fund/1809041832107174.html</v>
      </c>
      <c r="BH29" s="23">
        <f>IF('Sheet5-查询核对'!P14="","",'Sheet5-查询核对'!P14)</f>
        <v>46276</v>
      </c>
      <c r="BI29" s="22" t="str">
        <f>IF('Sheet5-查询核对'!D14="","",'Sheet5-查询核对'!D14)</f>
        <v>SEG244</v>
      </c>
      <c r="BJ29">
        <f>IF(ISNUMBER(AT29),AT29,COUNT($AT$17:$AT$99)+ROWS($AT$17:AT29)-COUNT($AT$17:AT29))</f>
        <v>52</v>
      </c>
      <c r="BK29" s="2">
        <f t="shared" si="16"/>
        <v>1</v>
      </c>
      <c r="BL29" s="2">
        <f t="shared" si="17"/>
        <v>1</v>
      </c>
      <c r="BM29" s="2">
        <f t="shared" si="18"/>
        <v>1</v>
      </c>
      <c r="BN29" s="2">
        <f t="shared" si="19"/>
        <v>1</v>
      </c>
      <c r="BO29" s="2">
        <f t="shared" si="20"/>
        <v>1</v>
      </c>
      <c r="BP29" s="48">
        <f>IF(G29="入池",IF(ISNUMBER(I29),I29*('Sheet1-指标体系'!$G$4),0),0)</f>
        <v>3.6</v>
      </c>
      <c r="BQ29" s="48">
        <f>IF(G29="入池",IF(ISNUMBER(K29),K29*('Sheet1-指标体系'!$G$5),0),0)</f>
        <v>4.5</v>
      </c>
      <c r="BR29" s="48">
        <f>IF(G29="入池",IF(ISNUMBER(L29),L29*('Sheet1-指标体系'!$G$6),0),0)</f>
        <v>4.5</v>
      </c>
      <c r="BS29" s="48">
        <f>IF(G29="入池",IF(ISNUMBER(Q29),Q29*('Sheet1-指标体系'!$G$7*'Sheet1-指标体系'!$J$8),0),0)</f>
        <v>2.1</v>
      </c>
      <c r="BT29" s="48">
        <f>IF(G29="入池",IF(ISNUMBER(R29),R29*('Sheet1-指标体系'!$G$7*'Sheet1-指标体系'!$J$9),0),0)</f>
        <v>3.6484</v>
      </c>
      <c r="BU29" s="48">
        <f>IF(G29="入池",IF(ISNUMBER(W29),W29*('Sheet1-指标体系'!$G$8*'Sheet1-指标体系'!$J$8),0),0)</f>
        <v>3.04632</v>
      </c>
      <c r="BV29" s="48">
        <f>IF(G29="入池",IF(ISNUMBER(X29),X29*('Sheet1-指标体系'!$G$8*'Sheet1-指标体系'!$J$9),0),0)</f>
        <v>1.7001</v>
      </c>
      <c r="BW29" s="48">
        <f>IF(G29="入池",IF(ISNUMBER(AC29),AC29*('Sheet1-指标体系'!$G$9),0),0)</f>
        <v>8.785</v>
      </c>
      <c r="BX29" s="48">
        <f>IF(G29="入池",IF(ISNUMBER(AG29),AG29*('Sheet1-指标体系'!$G$10*'Sheet1-指标体系'!$J$8),0),0)</f>
        <v>8.3664</v>
      </c>
      <c r="BY29" s="48">
        <f>IF(G29="入池",IF(ISNUMBER(AH29),AH29*('Sheet1-指标体系'!$G$10*'Sheet1-指标体系'!$J$9),0),0)</f>
        <v>5.25</v>
      </c>
      <c r="BZ29" s="48">
        <f>IF(G29="入池",IF(ISNUMBER(AK29),AK29*('Sheet1-指标体系'!$G$11),0),0)</f>
        <v>8</v>
      </c>
      <c r="CA29" s="49">
        <f>IF(G29="入池",IF(ISNUMBER(I29),'Sheet1-指标体系'!$G$4,0),0)</f>
        <v>0.06</v>
      </c>
      <c r="CB29" s="49">
        <f>IF(G29="入池",IF(ISNUMBER(K29),'Sheet1-指标体系'!$G$5,0),0)</f>
        <v>0.045</v>
      </c>
      <c r="CC29" s="49">
        <f>IF(G29="入池",IF(ISNUMBER(L29),'Sheet1-指标体系'!$G$6,0),0)</f>
        <v>0.045</v>
      </c>
      <c r="CD29" s="49">
        <f>IF(G29="入池",IF(ISNUMBER(Q29),'Sheet1-指标体系'!$G$7*'Sheet1-指标体系'!$J$8,0),0)</f>
        <v>0.084</v>
      </c>
      <c r="CE29" s="49">
        <f>IF(G29="入池",IF(ISNUMBER(R29),'Sheet1-指标体系'!$G$7*'Sheet1-指标体系'!$J$9,0),0)</f>
        <v>0.056</v>
      </c>
      <c r="CF29" s="49">
        <f>IF(G29="入池",IF(ISNUMBER(W29),'Sheet1-指标体系'!$G$8*'Sheet1-指标体系'!$J$8,0),0)</f>
        <v>0.036</v>
      </c>
      <c r="CG29" s="49">
        <f>IF(G29="入池",IF(ISNUMBER(X29),'Sheet1-指标体系'!$G$8*'Sheet1-指标体系'!$J$9,0),0)</f>
        <v>0.024</v>
      </c>
      <c r="CH29" s="49">
        <f>IF(G29="入池",IF(ISNUMBER(AC29),'Sheet1-指标体系'!$G$9,0),0)</f>
        <v>0.25</v>
      </c>
      <c r="CI29" s="49">
        <f>IF(G29="入池",IF(ISNUMBER(AG29),'Sheet1-指标体系'!$G$10*'Sheet1-指标体系'!$J$8,0),0)</f>
        <v>0.18</v>
      </c>
      <c r="CJ29" s="49">
        <f>IF(G29="入池",IF(ISNUMBER(AH29),'Sheet1-指标体系'!$G$10*'Sheet1-指标体系'!$J$9,0),0)</f>
        <v>0.12</v>
      </c>
      <c r="CK29" s="49">
        <f>IF(G29="入池",IF(ISNUMBER(AK29),'Sheet1-指标体系'!$G$11,0),0)</f>
        <v>0.1</v>
      </c>
    </row>
    <row r="30" ht="44" customHeight="1" spans="1:89">
      <c r="A30" s="40">
        <f>'Sheet5-查询核对'!A15-1</f>
        <v>14</v>
      </c>
      <c r="B30" s="24" t="str">
        <f>IF('Sheet4-原始数据'!A15="",'Sheet5-查询核对'!B15,'Sheet4-原始数据'!A15)</f>
        <v>东源投资丰源5号</v>
      </c>
      <c r="C30" s="22" t="str">
        <f>IF('Sheet4-原始数据'!B15="","",'Sheet4-原始数据'!B15)</f>
        <v>SBMG09</v>
      </c>
      <c r="D30" s="22" t="str">
        <f>IF('Sheet4-原始数据'!E15="","",'Sheet4-原始数据'!E15)</f>
        <v>天津东源投资</v>
      </c>
      <c r="E30" s="23">
        <f>IF('Sheet4-原始数据'!F15="","",'Sheet4-原始数据'!F15)</f>
        <v>46017</v>
      </c>
      <c r="F30" s="37">
        <f>IF(ISNUMBER(E30),ROUND(('Sheet1-指标体系'!$J$12-E30)/'Sheet1-指标体系'!$J$14,4),"")</f>
        <v>0.7064</v>
      </c>
      <c r="G30" s="36" t="str">
        <f>IF(C30="","未匹配",IF(NOT(ISNUMBER(F30)),"缺成立日期",IF(F30&lt;'Sheet1-指标体系'!$J$15,"不入池","入池")))</f>
        <v>不入池</v>
      </c>
      <c r="H30" s="22" t="str">
        <f>IF('Sheet5-查询核对'!K15="","",'Sheet5-查询核对'!K15)</f>
        <v>20-50亿元</v>
      </c>
      <c r="I30" s="37">
        <f>IF(H30="","",IF(COUNTIF('Sheet1-指标体系'!$P$4:$P$10,H30)=0,"",INDEX('Sheet1-指标体系'!$Q$4:$Q$10,MATCH(H30,'Sheet1-指标体系'!$P$4:$P$10,0))))</f>
        <v>90</v>
      </c>
      <c r="J30" s="44" t="str">
        <f>IF(NOT(ISNUMBER('Sheet5-查询核对'!N15)),"",IF('Sheet5-查询核对'!N15=1,"低于"&amp;'Sheet1-指标体系'!$J$4&amp;"万元",IF('Sheet5-查询核对'!N15=0,"无低于"&amp;'Sheet1-指标体系'!$J$4&amp;"万元标识","")))</f>
        <v>无低于1000万元标识</v>
      </c>
      <c r="K30" s="37">
        <f>IF(NOT(ISNUMBER('Sheet5-查询核对'!N15)),"",IF('Sheet5-查询核对'!N15=1,'Sheet1-指标体系'!$J$21,IF('Sheet5-查询核对'!N15=0,'Sheet1-指标体系'!$J$18,"")))</f>
        <v>100</v>
      </c>
      <c r="L30" s="37" t="str">
        <f>IF(NOT(ISNUMBER(F30)),"",IF(F30&lt;'Sheet1-指标体系'!$J$15,"",IF(F30&lt;'Sheet1-指标体系'!$J$16,'Sheet1-指标体系'!$J$17,'Sheet1-指标体系'!$J$18)))</f>
        <v/>
      </c>
      <c r="M30" s="26" t="str">
        <f>IF(ISNUMBER('Sheet4-原始数据'!G15),'Sheet4-原始数据'!G15,"")</f>
        <v/>
      </c>
      <c r="N30" s="26" t="str">
        <f>IF(ISNUMBER('Sheet4-原始数据'!H15),'Sheet4-原始数据'!H15,"")</f>
        <v/>
      </c>
      <c r="O30" s="26" t="str">
        <f>IF(ISNUMBER('Sheet5-查询核对'!Q15),'Sheet5-查询核对'!Q15,"")</f>
        <v/>
      </c>
      <c r="P30" s="45" t="str">
        <f>IF(G30&lt;&gt;"入池","",IF(F30&gt;='Sheet1-指标体系'!$J$16,IF(AND(ISNUMBER(M30),ISNUMBER(N30)),IF(AND(1+M30&gt;0,1+N30&gt;=0),((1+N30)^'Sheet1-指标体系'!$J$16/(1+M30))^(1/('Sheet1-指标体系'!$J$16-1))-1,""),""),IF(AND(ISNUMBER(M30),ISNUMBER(O30)),IF(AND(F30&gt;1,1+M30&gt;0,1+O30&gt;=0),((1+O30)^F30/(1+M30))^(1/(F30-1))-1,""),"")))</f>
        <v/>
      </c>
      <c r="Q30" s="37" t="str">
        <f t="shared" si="0"/>
        <v/>
      </c>
      <c r="R30" s="37" t="str">
        <f t="shared" si="1"/>
        <v/>
      </c>
      <c r="S30" s="37" t="str">
        <f>IF(ISNUMBER(Q30),IF(ISNUMBER(R30),ROUND(Q30*'Sheet1-指标体系'!$J$8+R30*'Sheet1-指标体系'!$J$9,2),Q30),"")</f>
        <v/>
      </c>
      <c r="T30" s="26" t="str">
        <f>IF(ISNUMBER('Sheet4-原始数据'!J15),'Sheet4-原始数据'!J15,"")</f>
        <v/>
      </c>
      <c r="U30" s="26" t="str">
        <f>IF(ISNUMBER('Sheet4-原始数据'!I15),'Sheet4-原始数据'!I15,"")</f>
        <v/>
      </c>
      <c r="V30" s="45" t="str">
        <f>IF(AND(ISNUMBER(T30),ISNUMBER(U30)),(U30*'Sheet1-指标体系'!$J$6-T30*'Sheet1-指标体系'!$J$5)/'Sheet1-指标体系'!$J$7,"")</f>
        <v/>
      </c>
      <c r="W30" s="37" t="str">
        <f t="shared" si="2"/>
        <v/>
      </c>
      <c r="X30" s="37" t="str">
        <f>IF(G30&lt;&gt;"入池","",IF(ISNUMBER(V30),IF(AND(V30&gt;=0,V30&lt;=1),V30*'Sheet1-指标体系'!$J$18,IF(MAX(0,(F30-'Sheet1-指标体系'!$J$15)*'Sheet1-指标体系'!$J$20)&lt;'Sheet1-指标体系'!$J$19,'Sheet1-指标体系'!$J$18,"")),IF(MAX(0,(F30-'Sheet1-指标体系'!$J$15)*'Sheet1-指标体系'!$J$20)&lt;'Sheet1-指标体系'!$J$19,'Sheet1-指标体系'!$J$18,"")))</f>
        <v/>
      </c>
      <c r="Y30" s="37" t="str">
        <f>IF(ISNUMBER(W30),IF(ISNUMBER(X30),ROUND(W30*'Sheet1-指标体系'!$J$8+X30*'Sheet1-指标体系'!$J$9,2),W30),"")</f>
        <v/>
      </c>
      <c r="Z30" s="45" t="str">
        <f t="shared" si="3"/>
        <v/>
      </c>
      <c r="AA30" s="26" t="str">
        <f>IF(ISNUMBER('Sheet4-原始数据'!K15),'Sheet4-原始数据'!K15,"")</f>
        <v/>
      </c>
      <c r="AB30" s="45" t="str">
        <f t="shared" si="4"/>
        <v/>
      </c>
      <c r="AC30" s="37" t="str">
        <f t="shared" si="5"/>
        <v/>
      </c>
      <c r="AD30" s="30" t="str">
        <f>IF(ISNUMBER('Sheet4-原始数据'!M15),'Sheet4-原始数据'!M15,"")</f>
        <v/>
      </c>
      <c r="AE30" s="45" t="str">
        <f>IF(AND(ISNUMBER(P30),ISNUMBER(AA30),ISNUMBER(Z30)),IF(AA30&gt;Z30+'Sheet1-指标体系'!$J$11,AA30,""),"")</f>
        <v/>
      </c>
      <c r="AF30" s="37" t="str">
        <f t="shared" si="6"/>
        <v/>
      </c>
      <c r="AG30" s="37" t="str">
        <f t="shared" si="7"/>
        <v/>
      </c>
      <c r="AH30" s="37" t="str">
        <f t="shared" si="8"/>
        <v/>
      </c>
      <c r="AI30" s="37" t="str">
        <f>IF(ISNUMBER(AG30),IF(ISNUMBER(AH30),ROUND(AG30*'Sheet1-指标体系'!$J$8+AH30*'Sheet1-指标体系'!$J$9,2),AG30),"")</f>
        <v/>
      </c>
      <c r="AJ30" s="45" t="str">
        <f>IF(NOT(ISNUMBER(F30)),"",IF(F30&gt;='Sheet1-指标体系'!$J$16,IF(ISNUMBER(N30),N30,""),IF(ISNUMBER(O30),O30,"")))</f>
        <v/>
      </c>
      <c r="AK30" s="37" t="str">
        <f>IF(AND(G30="入池",ISNUMBER(M30),ISNUMBER(AJ30)),IF(M30&gt;=AJ30,'Sheet1-指标体系'!$J$18,IF(AJ30-M30&lt;'Sheet1-指标体系'!$J$10,'Sheet1-指标体系'!$J$22,'Sheet1-指标体系'!$J$23)),"")</f>
        <v/>
      </c>
      <c r="AL30" s="37">
        <f>IF((IF(ISNUMBER(I30),'Sheet1-指标体系'!$G$4,0)+IF(ISNUMBER(K30),'Sheet1-指标体系'!$G$5,0)+IF(ISNUMBER(L30),'Sheet1-指标体系'!$G$6,0))&gt;0,ROUND((IF(ISNUMBER(I30),I30*'Sheet1-指标体系'!$G$4,0)+IF(ISNUMBER(K30),K30*'Sheet1-指标体系'!$G$5,0)+IF(ISNUMBER(L30),L30*'Sheet1-指标体系'!$G$6,0))/(IF(ISNUMBER(I30),'Sheet1-指标体系'!$G$4,0)+IF(ISNUMBER(K30),'Sheet1-指标体系'!$G$5,0)+IF(ISNUMBER(L30),'Sheet1-指标体系'!$G$6,0)),2),"")</f>
        <v>94.29</v>
      </c>
      <c r="AM30" s="37" t="str">
        <f t="shared" si="9"/>
        <v/>
      </c>
      <c r="AN30" s="37" t="str">
        <f t="shared" si="10"/>
        <v/>
      </c>
      <c r="AO30" s="37" t="str">
        <f t="shared" si="11"/>
        <v/>
      </c>
      <c r="AP30" s="37" t="str">
        <f t="shared" si="12"/>
        <v/>
      </c>
      <c r="AQ30" s="38">
        <f t="shared" si="13"/>
        <v>0</v>
      </c>
      <c r="AR30" s="37" t="str">
        <f t="shared" si="14"/>
        <v/>
      </c>
      <c r="AS30" s="37" t="str">
        <f t="shared" si="15"/>
        <v/>
      </c>
      <c r="AT30" s="40" t="str">
        <f>IF(OR(G30&lt;&gt;"入池",NOT(ISNUMBER(AS30))),"",COUNTIFS($G$17:$G$99,"入池",$AS$17:$AS$99,"&gt;"&amp;AS30)+COUNTIFS($G$17:$G$99,"入池",$AS$17:$AS$99,AS30,$AQ$17:$AQ$99,"&gt;"&amp;AQ30)+COUNTIFS($G$17:G30,"入池",$AS$17:AS30,AS30,$AQ$17:AQ30,AQ30))</f>
        <v/>
      </c>
      <c r="AU30" s="46" t="str">
        <f>IF(NOT(ISNUMBER(I30)),"管理人规模；","")&amp;IF(NOT(ISNUMBER(K30)),"产品规模标识；","")&amp;IF(NOT(ISNUMBER(M30)),"近一年收益；","")&amp;IF(NOT(ISNUMBER(T30)),"近一年胜率；","")&amp;IF(NOT(ISNUMBER(N30)),"近三年收益；","")&amp;IF(NOT(ISNUMBER(U30)),"近三年胜率；","")&amp;IF(NOT(ISNUMBER(AA30)),"近三年回撤；","")&amp;IF(NOT(ISNUMBER(AD30)),"近一年卡玛；","")&amp;IF(ISNUMBER(F30),IF(AND(F30&lt;'Sheet1-指标体系'!$J$16,NOT(ISNUMBER(O30))),"成立以来年化；",""),"成立日期；")&amp;IF(ISNUMBER(V30),IF(OR(V30&lt;0,V30&gt;1),"胜率窗口口径不一致；",""),"")&amp;IF(ISNUMBER(P30),IF(NOT(ISNUMBER(AE30)),"DD_long不可识别；",""),"")</f>
        <v>近一年收益；近一年胜率；近三年收益；近三年胜率；近三年回撤；近一年卡玛；成立以来年化；</v>
      </c>
      <c r="AV30" s="37" t="str">
        <f>IF(ABS(SUM(CA30:CK30)-'Sheet1-指标体系'!$J$25)&lt;0.0000000001,SUM(BP30:BZ30),"")</f>
        <v/>
      </c>
      <c r="AW30" s="36" t="str">
        <f>IF(G30&lt;&gt;"入池",G30,IF(AQ30=0,"无有效评分数据",IF(ROUND(AQ30,10)=ROUND('Sheet1-指标体系'!$J$25,10),"完整赋分","暂定分／数据不完整")))</f>
        <v>不入池</v>
      </c>
      <c r="AX30" s="22" t="str">
        <f>IF('Sheet4-原始数据'!C15="","",'Sheet4-原始数据'!C15)</f>
        <v>套利策略</v>
      </c>
      <c r="AY30" s="22" t="str">
        <f>IF('Sheet4-原始数据'!D15="","",'Sheet4-原始数据'!D15)</f>
        <v>期权套利</v>
      </c>
      <c r="AZ30" s="22" t="str">
        <f>IF('Sheet5-查询核对'!S15="","",'Sheet5-查询核对'!S15)</f>
        <v>套利策略—期权套利</v>
      </c>
      <c r="BA30" s="25">
        <f>IF('Sheet5-查询核对'!A15="","",'Sheet5-查询核对'!A15)</f>
        <v>15</v>
      </c>
      <c r="BB30" s="22" t="str">
        <f>IF('Sheet5-查询核对'!F15="","",'Sheet5-查询核对'!F15)</f>
        <v>备案号匹配</v>
      </c>
      <c r="BC30" s="24" t="str">
        <f>IF('Sheet5-查询核对'!I15="","",'Sheet5-查询核对'!I15)</f>
        <v>https://mp.fof99.com/fund/view/baa4ff727568ddb3</v>
      </c>
      <c r="BD30" s="23">
        <f>IF('Sheet5-查询核对'!H15="","",'Sheet5-查询核对'!H15)</f>
        <v>46269</v>
      </c>
      <c r="BE30" s="24" t="str">
        <f>IF('Sheet5-查询核对'!L15="","",'Sheet5-查询核对'!L15)</f>
        <v>https://gs.amac.org.cn/amac-infodisc/res/pof/manager/101000000235.html</v>
      </c>
      <c r="BF30" s="23">
        <f>IF('Sheet5-查询核对'!M15="","",'Sheet5-查询核对'!M15)</f>
        <v>46276</v>
      </c>
      <c r="BG30" s="24" t="str">
        <f>IF('Sheet5-查询核对'!O15="","",'Sheet5-查询核对'!O15)</f>
        <v>https://gs.amac.org.cn/amac-infodisc/res/pof/fund/2601061744102444.html</v>
      </c>
      <c r="BH30" s="23">
        <f>IF('Sheet5-查询核对'!P15="","",'Sheet5-查询核对'!P15)</f>
        <v>46276</v>
      </c>
      <c r="BI30" s="22" t="str">
        <f>IF('Sheet5-查询核对'!D15="","",'Sheet5-查询核对'!D15)</f>
        <v>SBMG09</v>
      </c>
      <c r="BJ30">
        <f>IF(ISNUMBER(AT30),AT30,COUNT($AT$17:$AT$99)+ROWS($AT$17:AT30)-COUNT($AT$17:AT30))</f>
        <v>79</v>
      </c>
      <c r="BK30" s="2">
        <f t="shared" si="16"/>
        <v>0</v>
      </c>
      <c r="BL30" s="2">
        <f t="shared" si="17"/>
        <v>0</v>
      </c>
      <c r="BM30" s="2">
        <f t="shared" si="18"/>
        <v>0</v>
      </c>
      <c r="BN30" s="2">
        <f t="shared" si="19"/>
        <v>0</v>
      </c>
      <c r="BO30" s="2">
        <f t="shared" si="20"/>
        <v>0</v>
      </c>
      <c r="BP30" s="48">
        <f>IF(G30="入池",IF(ISNUMBER(I30),I30*('Sheet1-指标体系'!$G$4),0),0)</f>
        <v>0</v>
      </c>
      <c r="BQ30" s="48">
        <f>IF(G30="入池",IF(ISNUMBER(K30),K30*('Sheet1-指标体系'!$G$5),0),0)</f>
        <v>0</v>
      </c>
      <c r="BR30" s="48">
        <f>IF(G30="入池",IF(ISNUMBER(L30),L30*('Sheet1-指标体系'!$G$6),0),0)</f>
        <v>0</v>
      </c>
      <c r="BS30" s="48">
        <f>IF(G30="入池",IF(ISNUMBER(Q30),Q30*('Sheet1-指标体系'!$G$7*'Sheet1-指标体系'!$J$8),0),0)</f>
        <v>0</v>
      </c>
      <c r="BT30" s="48">
        <f>IF(G30="入池",IF(ISNUMBER(R30),R30*('Sheet1-指标体系'!$G$7*'Sheet1-指标体系'!$J$9),0),0)</f>
        <v>0</v>
      </c>
      <c r="BU30" s="48">
        <f>IF(G30="入池",IF(ISNUMBER(W30),W30*('Sheet1-指标体系'!$G$8*'Sheet1-指标体系'!$J$8),0),0)</f>
        <v>0</v>
      </c>
      <c r="BV30" s="48">
        <f>IF(G30="入池",IF(ISNUMBER(X30),X30*('Sheet1-指标体系'!$G$8*'Sheet1-指标体系'!$J$9),0),0)</f>
        <v>0</v>
      </c>
      <c r="BW30" s="48">
        <f>IF(G30="入池",IF(ISNUMBER(AC30),AC30*('Sheet1-指标体系'!$G$9),0),0)</f>
        <v>0</v>
      </c>
      <c r="BX30" s="48">
        <f>IF(G30="入池",IF(ISNUMBER(AG30),AG30*('Sheet1-指标体系'!$G$10*'Sheet1-指标体系'!$J$8),0),0)</f>
        <v>0</v>
      </c>
      <c r="BY30" s="48">
        <f>IF(G30="入池",IF(ISNUMBER(AH30),AH30*('Sheet1-指标体系'!$G$10*'Sheet1-指标体系'!$J$9),0),0)</f>
        <v>0</v>
      </c>
      <c r="BZ30" s="48">
        <f>IF(G30="入池",IF(ISNUMBER(AK30),AK30*('Sheet1-指标体系'!$G$11),0),0)</f>
        <v>0</v>
      </c>
      <c r="CA30" s="49">
        <f>IF(G30="入池",IF(ISNUMBER(I30),'Sheet1-指标体系'!$G$4,0),0)</f>
        <v>0</v>
      </c>
      <c r="CB30" s="49">
        <f>IF(G30="入池",IF(ISNUMBER(K30),'Sheet1-指标体系'!$G$5,0),0)</f>
        <v>0</v>
      </c>
      <c r="CC30" s="49">
        <f>IF(G30="入池",IF(ISNUMBER(L30),'Sheet1-指标体系'!$G$6,0),0)</f>
        <v>0</v>
      </c>
      <c r="CD30" s="49">
        <f>IF(G30="入池",IF(ISNUMBER(Q30),'Sheet1-指标体系'!$G$7*'Sheet1-指标体系'!$J$8,0),0)</f>
        <v>0</v>
      </c>
      <c r="CE30" s="49">
        <f>IF(G30="入池",IF(ISNUMBER(R30),'Sheet1-指标体系'!$G$7*'Sheet1-指标体系'!$J$9,0),0)</f>
        <v>0</v>
      </c>
      <c r="CF30" s="49">
        <f>IF(G30="入池",IF(ISNUMBER(W30),'Sheet1-指标体系'!$G$8*'Sheet1-指标体系'!$J$8,0),0)</f>
        <v>0</v>
      </c>
      <c r="CG30" s="49">
        <f>IF(G30="入池",IF(ISNUMBER(X30),'Sheet1-指标体系'!$G$8*'Sheet1-指标体系'!$J$9,0),0)</f>
        <v>0</v>
      </c>
      <c r="CH30" s="49">
        <f>IF(G30="入池",IF(ISNUMBER(AC30),'Sheet1-指标体系'!$G$9,0),0)</f>
        <v>0</v>
      </c>
      <c r="CI30" s="49">
        <f>IF(G30="入池",IF(ISNUMBER(AG30),'Sheet1-指标体系'!$G$10*'Sheet1-指标体系'!$J$8,0),0)</f>
        <v>0</v>
      </c>
      <c r="CJ30" s="49">
        <f>IF(G30="入池",IF(ISNUMBER(AH30),'Sheet1-指标体系'!$G$10*'Sheet1-指标体系'!$J$9,0),0)</f>
        <v>0</v>
      </c>
      <c r="CK30" s="49">
        <f>IF(G30="入池",IF(ISNUMBER(AK30),'Sheet1-指标体系'!$G$11,0),0)</f>
        <v>0</v>
      </c>
    </row>
    <row r="31" ht="44" customHeight="1" spans="1:89">
      <c r="A31" s="40">
        <f>'Sheet5-查询核对'!A16-1</f>
        <v>15</v>
      </c>
      <c r="B31" s="24" t="str">
        <f>IF('Sheet4-原始数据'!A16="",'Sheet5-查询核对'!B16,'Sheet4-原始数据'!A16)</f>
        <v>东源投资乐源1号</v>
      </c>
      <c r="C31" s="22" t="str">
        <f>IF('Sheet4-原始数据'!B16="","",'Sheet4-原始数据'!B16)</f>
        <v>SBRX68</v>
      </c>
      <c r="D31" s="22" t="str">
        <f>IF('Sheet4-原始数据'!E16="","",'Sheet4-原始数据'!E16)</f>
        <v>天津东源投资</v>
      </c>
      <c r="E31" s="23">
        <f>IF('Sheet4-原始数据'!F16="","",'Sheet4-原始数据'!F16)</f>
        <v>46066</v>
      </c>
      <c r="F31" s="37">
        <f>IF(ISNUMBER(E31),ROUND(('Sheet1-指标体系'!$J$12-E31)/'Sheet1-指标体系'!$J$14,4),"")</f>
        <v>0.5722</v>
      </c>
      <c r="G31" s="36" t="str">
        <f>IF(C31="","未匹配",IF(NOT(ISNUMBER(F31)),"缺成立日期",IF(F31&lt;'Sheet1-指标体系'!$J$15,"不入池","入池")))</f>
        <v>不入池</v>
      </c>
      <c r="H31" s="22" t="str">
        <f>IF('Sheet5-查询核对'!K16="","",'Sheet5-查询核对'!K16)</f>
        <v>20-50亿元</v>
      </c>
      <c r="I31" s="37">
        <f>IF(H31="","",IF(COUNTIF('Sheet1-指标体系'!$P$4:$P$10,H31)=0,"",INDEX('Sheet1-指标体系'!$Q$4:$Q$10,MATCH(H31,'Sheet1-指标体系'!$P$4:$P$10,0))))</f>
        <v>90</v>
      </c>
      <c r="J31" s="44" t="str">
        <f>IF(NOT(ISNUMBER('Sheet5-查询核对'!N16)),"",IF('Sheet5-查询核对'!N16=1,"低于"&amp;'Sheet1-指标体系'!$J$4&amp;"万元",IF('Sheet5-查询核对'!N16=0,"无低于"&amp;'Sheet1-指标体系'!$J$4&amp;"万元标识","")))</f>
        <v>无低于1000万元标识</v>
      </c>
      <c r="K31" s="37">
        <f>IF(NOT(ISNUMBER('Sheet5-查询核对'!N16)),"",IF('Sheet5-查询核对'!N16=1,'Sheet1-指标体系'!$J$21,IF('Sheet5-查询核对'!N16=0,'Sheet1-指标体系'!$J$18,"")))</f>
        <v>100</v>
      </c>
      <c r="L31" s="37" t="str">
        <f>IF(NOT(ISNUMBER(F31)),"",IF(F31&lt;'Sheet1-指标体系'!$J$15,"",IF(F31&lt;'Sheet1-指标体系'!$J$16,'Sheet1-指标体系'!$J$17,'Sheet1-指标体系'!$J$18)))</f>
        <v/>
      </c>
      <c r="M31" s="26" t="str">
        <f>IF(ISNUMBER('Sheet4-原始数据'!G16),'Sheet4-原始数据'!G16,"")</f>
        <v/>
      </c>
      <c r="N31" s="26" t="str">
        <f>IF(ISNUMBER('Sheet4-原始数据'!H16),'Sheet4-原始数据'!H16,"")</f>
        <v/>
      </c>
      <c r="O31" s="26">
        <f>IF(ISNUMBER('Sheet5-查询核对'!Q16),'Sheet5-查询核对'!Q16,"")</f>
        <v>0.161443539957389</v>
      </c>
      <c r="P31" s="45" t="str">
        <f>IF(G31&lt;&gt;"入池","",IF(F31&gt;='Sheet1-指标体系'!$J$16,IF(AND(ISNUMBER(M31),ISNUMBER(N31)),IF(AND(1+M31&gt;0,1+N31&gt;=0),((1+N31)^'Sheet1-指标体系'!$J$16/(1+M31))^(1/('Sheet1-指标体系'!$J$16-1))-1,""),""),IF(AND(ISNUMBER(M31),ISNUMBER(O31)),IF(AND(F31&gt;1,1+M31&gt;0,1+O31&gt;=0),((1+O31)^F31/(1+M31))^(1/(F31-1))-1,""),"")))</f>
        <v/>
      </c>
      <c r="Q31" s="37" t="str">
        <f t="shared" si="0"/>
        <v/>
      </c>
      <c r="R31" s="37" t="str">
        <f t="shared" si="1"/>
        <v/>
      </c>
      <c r="S31" s="37" t="str">
        <f>IF(ISNUMBER(Q31),IF(ISNUMBER(R31),ROUND(Q31*'Sheet1-指标体系'!$J$8+R31*'Sheet1-指标体系'!$J$9,2),Q31),"")</f>
        <v/>
      </c>
      <c r="T31" s="26" t="str">
        <f>IF(ISNUMBER('Sheet4-原始数据'!J16),'Sheet4-原始数据'!J16,"")</f>
        <v/>
      </c>
      <c r="U31" s="26" t="str">
        <f>IF(ISNUMBER('Sheet4-原始数据'!I16),'Sheet4-原始数据'!I16,"")</f>
        <v/>
      </c>
      <c r="V31" s="45" t="str">
        <f>IF(AND(ISNUMBER(T31),ISNUMBER(U31)),(U31*'Sheet1-指标体系'!$J$6-T31*'Sheet1-指标体系'!$J$5)/'Sheet1-指标体系'!$J$7,"")</f>
        <v/>
      </c>
      <c r="W31" s="37" t="str">
        <f t="shared" si="2"/>
        <v/>
      </c>
      <c r="X31" s="37" t="str">
        <f>IF(G31&lt;&gt;"入池","",IF(ISNUMBER(V31),IF(AND(V31&gt;=0,V31&lt;=1),V31*'Sheet1-指标体系'!$J$18,IF(MAX(0,(F31-'Sheet1-指标体系'!$J$15)*'Sheet1-指标体系'!$J$20)&lt;'Sheet1-指标体系'!$J$19,'Sheet1-指标体系'!$J$18,"")),IF(MAX(0,(F31-'Sheet1-指标体系'!$J$15)*'Sheet1-指标体系'!$J$20)&lt;'Sheet1-指标体系'!$J$19,'Sheet1-指标体系'!$J$18,"")))</f>
        <v/>
      </c>
      <c r="Y31" s="37" t="str">
        <f>IF(ISNUMBER(W31),IF(ISNUMBER(X31),ROUND(W31*'Sheet1-指标体系'!$J$8+X31*'Sheet1-指标体系'!$J$9,2),W31),"")</f>
        <v/>
      </c>
      <c r="Z31" s="45" t="str">
        <f t="shared" si="3"/>
        <v/>
      </c>
      <c r="AA31" s="26" t="str">
        <f>IF(ISNUMBER('Sheet4-原始数据'!K16),'Sheet4-原始数据'!K16,"")</f>
        <v/>
      </c>
      <c r="AB31" s="45" t="str">
        <f t="shared" si="4"/>
        <v/>
      </c>
      <c r="AC31" s="37" t="str">
        <f t="shared" si="5"/>
        <v/>
      </c>
      <c r="AD31" s="30" t="str">
        <f>IF(ISNUMBER('Sheet4-原始数据'!M16),'Sheet4-原始数据'!M16,"")</f>
        <v/>
      </c>
      <c r="AE31" s="45" t="str">
        <f>IF(AND(ISNUMBER(P31),ISNUMBER(AA31),ISNUMBER(Z31)),IF(AA31&gt;Z31+'Sheet1-指标体系'!$J$11,AA31,""),"")</f>
        <v/>
      </c>
      <c r="AF31" s="37" t="str">
        <f t="shared" si="6"/>
        <v/>
      </c>
      <c r="AG31" s="37" t="str">
        <f t="shared" si="7"/>
        <v/>
      </c>
      <c r="AH31" s="37" t="str">
        <f t="shared" si="8"/>
        <v/>
      </c>
      <c r="AI31" s="37" t="str">
        <f>IF(ISNUMBER(AG31),IF(ISNUMBER(AH31),ROUND(AG31*'Sheet1-指标体系'!$J$8+AH31*'Sheet1-指标体系'!$J$9,2),AG31),"")</f>
        <v/>
      </c>
      <c r="AJ31" s="45">
        <f>IF(NOT(ISNUMBER(F31)),"",IF(F31&gt;='Sheet1-指标体系'!$J$16,IF(ISNUMBER(N31),N31,""),IF(ISNUMBER(O31),O31,"")))</f>
        <v>0.161443539957389</v>
      </c>
      <c r="AK31" s="37" t="str">
        <f>IF(AND(G31="入池",ISNUMBER(M31),ISNUMBER(AJ31)),IF(M31&gt;=AJ31,'Sheet1-指标体系'!$J$18,IF(AJ31-M31&lt;'Sheet1-指标体系'!$J$10,'Sheet1-指标体系'!$J$22,'Sheet1-指标体系'!$J$23)),"")</f>
        <v/>
      </c>
      <c r="AL31" s="37">
        <f>IF((IF(ISNUMBER(I31),'Sheet1-指标体系'!$G$4,0)+IF(ISNUMBER(K31),'Sheet1-指标体系'!$G$5,0)+IF(ISNUMBER(L31),'Sheet1-指标体系'!$G$6,0))&gt;0,ROUND((IF(ISNUMBER(I31),I31*'Sheet1-指标体系'!$G$4,0)+IF(ISNUMBER(K31),K31*'Sheet1-指标体系'!$G$5,0)+IF(ISNUMBER(L31),L31*'Sheet1-指标体系'!$G$6,0))/(IF(ISNUMBER(I31),'Sheet1-指标体系'!$G$4,0)+IF(ISNUMBER(K31),'Sheet1-指标体系'!$G$5,0)+IF(ISNUMBER(L31),'Sheet1-指标体系'!$G$6,0)),2),"")</f>
        <v>94.29</v>
      </c>
      <c r="AM31" s="37" t="str">
        <f t="shared" si="9"/>
        <v/>
      </c>
      <c r="AN31" s="37" t="str">
        <f t="shared" si="10"/>
        <v/>
      </c>
      <c r="AO31" s="37" t="str">
        <f t="shared" si="11"/>
        <v/>
      </c>
      <c r="AP31" s="37" t="str">
        <f t="shared" si="12"/>
        <v/>
      </c>
      <c r="AQ31" s="38">
        <f t="shared" si="13"/>
        <v>0</v>
      </c>
      <c r="AR31" s="37" t="str">
        <f t="shared" si="14"/>
        <v/>
      </c>
      <c r="AS31" s="37" t="str">
        <f t="shared" si="15"/>
        <v/>
      </c>
      <c r="AT31" s="40" t="str">
        <f>IF(OR(G31&lt;&gt;"入池",NOT(ISNUMBER(AS31))),"",COUNTIFS($G$17:$G$99,"入池",$AS$17:$AS$99,"&gt;"&amp;AS31)+COUNTIFS($G$17:$G$99,"入池",$AS$17:$AS$99,AS31,$AQ$17:$AQ$99,"&gt;"&amp;AQ31)+COUNTIFS($G$17:G31,"入池",$AS$17:AS31,AS31,$AQ$17:AQ31,AQ31))</f>
        <v/>
      </c>
      <c r="AU31" s="46" t="str">
        <f>IF(NOT(ISNUMBER(I31)),"管理人规模；","")&amp;IF(NOT(ISNUMBER(K31)),"产品规模标识；","")&amp;IF(NOT(ISNUMBER(M31)),"近一年收益；","")&amp;IF(NOT(ISNUMBER(T31)),"近一年胜率；","")&amp;IF(NOT(ISNUMBER(N31)),"近三年收益；","")&amp;IF(NOT(ISNUMBER(U31)),"近三年胜率；","")&amp;IF(NOT(ISNUMBER(AA31)),"近三年回撤；","")&amp;IF(NOT(ISNUMBER(AD31)),"近一年卡玛；","")&amp;IF(ISNUMBER(F31),IF(AND(F31&lt;'Sheet1-指标体系'!$J$16,NOT(ISNUMBER(O31))),"成立以来年化；",""),"成立日期；")&amp;IF(ISNUMBER(V31),IF(OR(V31&lt;0,V31&gt;1),"胜率窗口口径不一致；",""),"")&amp;IF(ISNUMBER(P31),IF(NOT(ISNUMBER(AE31)),"DD_long不可识别；",""),"")</f>
        <v>近一年收益；近一年胜率；近三年收益；近三年胜率；近三年回撤；近一年卡玛；</v>
      </c>
      <c r="AV31" s="37" t="str">
        <f>IF(ABS(SUM(CA31:CK31)-'Sheet1-指标体系'!$J$25)&lt;0.0000000001,SUM(BP31:BZ31),"")</f>
        <v/>
      </c>
      <c r="AW31" s="36" t="str">
        <f>IF(G31&lt;&gt;"入池",G31,IF(AQ31=0,"无有效评分数据",IF(ROUND(AQ31,10)=ROUND('Sheet1-指标体系'!$J$25,10),"完整赋分","暂定分／数据不完整")))</f>
        <v>不入池</v>
      </c>
      <c r="AX31" s="22" t="str">
        <f>IF('Sheet4-原始数据'!C16="","",'Sheet4-原始数据'!C16)</f>
        <v>套利策略</v>
      </c>
      <c r="AY31" s="22" t="str">
        <f>IF('Sheet4-原始数据'!D16="","",'Sheet4-原始数据'!D16)</f>
        <v>期权套利</v>
      </c>
      <c r="AZ31" s="22" t="str">
        <f>IF('Sheet5-查询核对'!S16="","",'Sheet5-查询核对'!S16)</f>
        <v>套利策略—期权套利</v>
      </c>
      <c r="BA31" s="25">
        <f>IF('Sheet5-查询核对'!A16="","",'Sheet5-查询核对'!A16)</f>
        <v>16</v>
      </c>
      <c r="BB31" s="22" t="str">
        <f>IF('Sheet5-查询核对'!F16="","",'Sheet5-查询核对'!F16)</f>
        <v>备案号匹配</v>
      </c>
      <c r="BC31" s="24" t="str">
        <f>IF('Sheet5-查询核对'!I16="","",'Sheet5-查询核对'!I16)</f>
        <v>https://mp.fof99.com/fund/view/dc199b33f4fce442</v>
      </c>
      <c r="BD31" s="23">
        <f>IF('Sheet5-查询核对'!H16="","",'Sheet5-查询核对'!H16)</f>
        <v>46269</v>
      </c>
      <c r="BE31" s="24" t="str">
        <f>IF('Sheet5-查询核对'!L16="","",'Sheet5-查询核对'!L16)</f>
        <v>https://gs.amac.org.cn/amac-infodisc/res/pof/manager/101000000235.html</v>
      </c>
      <c r="BF31" s="23">
        <f>IF('Sheet5-查询核对'!M16="","",'Sheet5-查询核对'!M16)</f>
        <v>46276</v>
      </c>
      <c r="BG31" s="24" t="str">
        <f>IF('Sheet5-查询核对'!O16="","",'Sheet5-查询核对'!O16)</f>
        <v>https://gs.amac.org.cn/amac-infodisc/res/pof/fund/2602271455104411.html</v>
      </c>
      <c r="BH31" s="23">
        <f>IF('Sheet5-查询核对'!P16="","",'Sheet5-查询核对'!P16)</f>
        <v>46276</v>
      </c>
      <c r="BI31" s="22" t="str">
        <f>IF('Sheet5-查询核对'!D16="","",'Sheet5-查询核对'!D16)</f>
        <v>SBRX68</v>
      </c>
      <c r="BJ31">
        <f>IF(ISNUMBER(AT31),AT31,COUNT($AT$17:$AT$99)+ROWS($AT$17:AT31)-COUNT($AT$17:AT31))</f>
        <v>80</v>
      </c>
      <c r="BK31" s="2">
        <f t="shared" si="16"/>
        <v>0</v>
      </c>
      <c r="BL31" s="2">
        <f t="shared" si="17"/>
        <v>0</v>
      </c>
      <c r="BM31" s="2">
        <f t="shared" si="18"/>
        <v>0</v>
      </c>
      <c r="BN31" s="2">
        <f t="shared" si="19"/>
        <v>0</v>
      </c>
      <c r="BO31" s="2">
        <f t="shared" si="20"/>
        <v>0</v>
      </c>
      <c r="BP31" s="48">
        <f>IF(G31="入池",IF(ISNUMBER(I31),I31*('Sheet1-指标体系'!$G$4),0),0)</f>
        <v>0</v>
      </c>
      <c r="BQ31" s="48">
        <f>IF(G31="入池",IF(ISNUMBER(K31),K31*('Sheet1-指标体系'!$G$5),0),0)</f>
        <v>0</v>
      </c>
      <c r="BR31" s="48">
        <f>IF(G31="入池",IF(ISNUMBER(L31),L31*('Sheet1-指标体系'!$G$6),0),0)</f>
        <v>0</v>
      </c>
      <c r="BS31" s="48">
        <f>IF(G31="入池",IF(ISNUMBER(Q31),Q31*('Sheet1-指标体系'!$G$7*'Sheet1-指标体系'!$J$8),0),0)</f>
        <v>0</v>
      </c>
      <c r="BT31" s="48">
        <f>IF(G31="入池",IF(ISNUMBER(R31),R31*('Sheet1-指标体系'!$G$7*'Sheet1-指标体系'!$J$9),0),0)</f>
        <v>0</v>
      </c>
      <c r="BU31" s="48">
        <f>IF(G31="入池",IF(ISNUMBER(W31),W31*('Sheet1-指标体系'!$G$8*'Sheet1-指标体系'!$J$8),0),0)</f>
        <v>0</v>
      </c>
      <c r="BV31" s="48">
        <f>IF(G31="入池",IF(ISNUMBER(X31),X31*('Sheet1-指标体系'!$G$8*'Sheet1-指标体系'!$J$9),0),0)</f>
        <v>0</v>
      </c>
      <c r="BW31" s="48">
        <f>IF(G31="入池",IF(ISNUMBER(AC31),AC31*('Sheet1-指标体系'!$G$9),0),0)</f>
        <v>0</v>
      </c>
      <c r="BX31" s="48">
        <f>IF(G31="入池",IF(ISNUMBER(AG31),AG31*('Sheet1-指标体系'!$G$10*'Sheet1-指标体系'!$J$8),0),0)</f>
        <v>0</v>
      </c>
      <c r="BY31" s="48">
        <f>IF(G31="入池",IF(ISNUMBER(AH31),AH31*('Sheet1-指标体系'!$G$10*'Sheet1-指标体系'!$J$9),0),0)</f>
        <v>0</v>
      </c>
      <c r="BZ31" s="48">
        <f>IF(G31="入池",IF(ISNUMBER(AK31),AK31*('Sheet1-指标体系'!$G$11),0),0)</f>
        <v>0</v>
      </c>
      <c r="CA31" s="49">
        <f>IF(G31="入池",IF(ISNUMBER(I31),'Sheet1-指标体系'!$G$4,0),0)</f>
        <v>0</v>
      </c>
      <c r="CB31" s="49">
        <f>IF(G31="入池",IF(ISNUMBER(K31),'Sheet1-指标体系'!$G$5,0),0)</f>
        <v>0</v>
      </c>
      <c r="CC31" s="49">
        <f>IF(G31="入池",IF(ISNUMBER(L31),'Sheet1-指标体系'!$G$6,0),0)</f>
        <v>0</v>
      </c>
      <c r="CD31" s="49">
        <f>IF(G31="入池",IF(ISNUMBER(Q31),'Sheet1-指标体系'!$G$7*'Sheet1-指标体系'!$J$8,0),0)</f>
        <v>0</v>
      </c>
      <c r="CE31" s="49">
        <f>IF(G31="入池",IF(ISNUMBER(R31),'Sheet1-指标体系'!$G$7*'Sheet1-指标体系'!$J$9,0),0)</f>
        <v>0</v>
      </c>
      <c r="CF31" s="49">
        <f>IF(G31="入池",IF(ISNUMBER(W31),'Sheet1-指标体系'!$G$8*'Sheet1-指标体系'!$J$8,0),0)</f>
        <v>0</v>
      </c>
      <c r="CG31" s="49">
        <f>IF(G31="入池",IF(ISNUMBER(X31),'Sheet1-指标体系'!$G$8*'Sheet1-指标体系'!$J$9,0),0)</f>
        <v>0</v>
      </c>
      <c r="CH31" s="49">
        <f>IF(G31="入池",IF(ISNUMBER(AC31),'Sheet1-指标体系'!$G$9,0),0)</f>
        <v>0</v>
      </c>
      <c r="CI31" s="49">
        <f>IF(G31="入池",IF(ISNUMBER(AG31),'Sheet1-指标体系'!$G$10*'Sheet1-指标体系'!$J$8,0),0)</f>
        <v>0</v>
      </c>
      <c r="CJ31" s="49">
        <f>IF(G31="入池",IF(ISNUMBER(AH31),'Sheet1-指标体系'!$G$10*'Sheet1-指标体系'!$J$9,0),0)</f>
        <v>0</v>
      </c>
      <c r="CK31" s="49">
        <f>IF(G31="入池",IF(ISNUMBER(AK31),'Sheet1-指标体系'!$G$11,0),0)</f>
        <v>0</v>
      </c>
    </row>
    <row r="32" ht="44" customHeight="1" spans="1:89">
      <c r="A32" s="40">
        <f>'Sheet5-查询核对'!A17-1</f>
        <v>16</v>
      </c>
      <c r="B32" s="24" t="str">
        <f>IF('Sheet4-原始数据'!A17="",'Sheet5-查询核对'!B17,'Sheet4-原始数据'!A17)</f>
        <v>放牛人5号</v>
      </c>
      <c r="C32" s="22" t="str">
        <f>IF('Sheet4-原始数据'!B17="","",'Sheet4-原始数据'!B17)</f>
        <v>SVH487</v>
      </c>
      <c r="D32" s="22" t="str">
        <f>IF('Sheet4-原始数据'!E17="","",'Sheet4-原始数据'!E17)</f>
        <v>上海放牛人</v>
      </c>
      <c r="E32" s="23">
        <f>IF('Sheet4-原始数据'!F17="","",'Sheet4-原始数据'!F17)</f>
        <v>44729</v>
      </c>
      <c r="F32" s="37">
        <f>IF(ISNUMBER(E32),ROUND(('Sheet1-指标体系'!$J$12-E32)/'Sheet1-指标体系'!$J$14,4),"")</f>
        <v>4.2327</v>
      </c>
      <c r="G32" s="36" t="str">
        <f>IF(C32="","未匹配",IF(NOT(ISNUMBER(F32)),"缺成立日期",IF(F32&lt;'Sheet1-指标体系'!$J$15,"不入池","入池")))</f>
        <v>入池</v>
      </c>
      <c r="H32" s="22" t="str">
        <f>IF('Sheet5-查询核对'!K17="","",'Sheet5-查询核对'!K17)</f>
        <v>0-5亿元</v>
      </c>
      <c r="I32" s="37">
        <f>IF(H32="","",IF(COUNTIF('Sheet1-指标体系'!$P$4:$P$10,H32)=0,"",INDEX('Sheet1-指标体系'!$Q$4:$Q$10,MATCH(H32,'Sheet1-指标体系'!$P$4:$P$10,0))))</f>
        <v>60</v>
      </c>
      <c r="J32" s="44" t="str">
        <f>IF(NOT(ISNUMBER('Sheet5-查询核对'!N17)),"",IF('Sheet5-查询核对'!N17=1,"低于"&amp;'Sheet1-指标体系'!$J$4&amp;"万元",IF('Sheet5-查询核对'!N17=0,"无低于"&amp;'Sheet1-指标体系'!$J$4&amp;"万元标识","")))</f>
        <v>无低于1000万元标识</v>
      </c>
      <c r="K32" s="37">
        <f>IF(NOT(ISNUMBER('Sheet5-查询核对'!N17)),"",IF('Sheet5-查询核对'!N17=1,'Sheet1-指标体系'!$J$21,IF('Sheet5-查询核对'!N17=0,'Sheet1-指标体系'!$J$18,"")))</f>
        <v>100</v>
      </c>
      <c r="L32" s="37">
        <f>IF(NOT(ISNUMBER(F32)),"",IF(F32&lt;'Sheet1-指标体系'!$J$15,"",IF(F32&lt;'Sheet1-指标体系'!$J$16,'Sheet1-指标体系'!$J$17,'Sheet1-指标体系'!$J$18)))</f>
        <v>100</v>
      </c>
      <c r="M32" s="26">
        <f>IF(ISNUMBER('Sheet4-原始数据'!G17),'Sheet4-原始数据'!G17,"")</f>
        <v>0.0944</v>
      </c>
      <c r="N32" s="26">
        <f>IF(ISNUMBER('Sheet4-原始数据'!H17),'Sheet4-原始数据'!H17,"")</f>
        <v>0.0809</v>
      </c>
      <c r="O32" s="26">
        <f>IF(ISNUMBER('Sheet5-查询核对'!Q17),'Sheet5-查询核对'!Q17,"")</f>
        <v>0.0713</v>
      </c>
      <c r="P32" s="45">
        <f>IF(G32&lt;&gt;"入池","",IF(F32&gt;='Sheet1-指标体系'!$J$16,IF(AND(ISNUMBER(M32),ISNUMBER(N32)),IF(AND(1+M32&gt;0,1+N32&gt;=0),((1+N32)^'Sheet1-指标体系'!$J$16/(1+M32))^(1/('Sheet1-指标体系'!$J$16-1))-1,""),""),IF(AND(ISNUMBER(M32),ISNUMBER(O32)),IF(AND(F32&gt;1,1+M32&gt;0,1+O32&gt;=0),((1+O32)^F32/(1+M32))^(1/(F32-1))-1,""),"")))</f>
        <v>0.0742125775889653</v>
      </c>
      <c r="Q32" s="37">
        <f t="shared" si="0"/>
        <v>57.64</v>
      </c>
      <c r="R32" s="37">
        <f t="shared" si="1"/>
        <v>46.97</v>
      </c>
      <c r="S32" s="37">
        <f>IF(ISNUMBER(Q32),IF(ISNUMBER(R32),ROUND(Q32*'Sheet1-指标体系'!$J$8+R32*'Sheet1-指标体系'!$J$9,2),Q32),"")</f>
        <v>53.37</v>
      </c>
      <c r="T32" s="26">
        <f>IF(ISNUMBER('Sheet4-原始数据'!J17),'Sheet4-原始数据'!J17,"")</f>
        <v>1</v>
      </c>
      <c r="U32" s="26">
        <f>IF(ISNUMBER('Sheet4-原始数据'!I17),'Sheet4-原始数据'!I17,"")</f>
        <v>0.9459</v>
      </c>
      <c r="V32" s="45">
        <f>IF(AND(ISNUMBER(T32),ISNUMBER(U32)),(U32*'Sheet1-指标体系'!$J$6-T32*'Sheet1-指标体系'!$J$5)/'Sheet1-指标体系'!$J$7,"")</f>
        <v>0.916595833333333</v>
      </c>
      <c r="W32" s="37">
        <f t="shared" si="2"/>
        <v>100</v>
      </c>
      <c r="X32" s="37">
        <f>IF(G32&lt;&gt;"入池","",IF(ISNUMBER(V32),IF(AND(V32&gt;=0,V32&lt;=1),V32*'Sheet1-指标体系'!$J$18,IF(MAX(0,(F32-'Sheet1-指标体系'!$J$15)*'Sheet1-指标体系'!$J$20)&lt;'Sheet1-指标体系'!$J$19,'Sheet1-指标体系'!$J$18,"")),IF(MAX(0,(F32-'Sheet1-指标体系'!$J$15)*'Sheet1-指标体系'!$J$20)&lt;'Sheet1-指标体系'!$J$19,'Sheet1-指标体系'!$J$18,"")))</f>
        <v>91.6595833333333</v>
      </c>
      <c r="Y32" s="37">
        <f>IF(ISNUMBER(W32),IF(ISNUMBER(X32),ROUND(W32*'Sheet1-指标体系'!$J$8+X32*'Sheet1-指标体系'!$J$9,2),W32),"")</f>
        <v>96.66</v>
      </c>
      <c r="Z32" s="45">
        <f t="shared" si="3"/>
        <v>0.00105373607483312</v>
      </c>
      <c r="AA32" s="26">
        <f>IF(ISNUMBER('Sheet4-原始数据'!K17),'Sheet4-原始数据'!K17,"")</f>
        <v>0.0033</v>
      </c>
      <c r="AB32" s="45">
        <f t="shared" si="4"/>
        <v>0.0033</v>
      </c>
      <c r="AC32" s="37">
        <f t="shared" si="5"/>
        <v>97.3</v>
      </c>
      <c r="AD32" s="30">
        <f>IF(ISNUMBER('Sheet4-原始数据'!M17),'Sheet4-原始数据'!M17,"")</f>
        <v>89.586</v>
      </c>
      <c r="AE32" s="45">
        <f>IF(AND(ISNUMBER(P32),ISNUMBER(AA32),ISNUMBER(Z32)),IF(AA32&gt;Z32+'Sheet1-指标体系'!$J$11,AA32,""),"")</f>
        <v>0.0033</v>
      </c>
      <c r="AF32" s="37">
        <f t="shared" si="6"/>
        <v>22.488659875444</v>
      </c>
      <c r="AG32" s="37">
        <f t="shared" si="7"/>
        <v>100</v>
      </c>
      <c r="AH32" s="37">
        <f t="shared" si="8"/>
        <v>96.88</v>
      </c>
      <c r="AI32" s="37">
        <f>IF(ISNUMBER(AG32),IF(ISNUMBER(AH32),ROUND(AG32*'Sheet1-指标体系'!$J$8+AH32*'Sheet1-指标体系'!$J$9,2),AG32),"")</f>
        <v>98.75</v>
      </c>
      <c r="AJ32" s="45">
        <f>IF(NOT(ISNUMBER(F32)),"",IF(F32&gt;='Sheet1-指标体系'!$J$16,IF(ISNUMBER(N32),N32,""),IF(ISNUMBER(O32),O32,"")))</f>
        <v>0.0809</v>
      </c>
      <c r="AK32" s="37">
        <f>IF(AND(G32="入池",ISNUMBER(M32),ISNUMBER(AJ32)),IF(M32&gt;=AJ32,'Sheet1-指标体系'!$J$18,IF(AJ32-M32&lt;'Sheet1-指标体系'!$J$10,'Sheet1-指标体系'!$J$22,'Sheet1-指标体系'!$J$23)),"")</f>
        <v>100</v>
      </c>
      <c r="AL32" s="37">
        <f>IF((IF(ISNUMBER(I32),'Sheet1-指标体系'!$G$4,0)+IF(ISNUMBER(K32),'Sheet1-指标体系'!$G$5,0)+IF(ISNUMBER(L32),'Sheet1-指标体系'!$G$6,0))&gt;0,ROUND((IF(ISNUMBER(I32),I32*'Sheet1-指标体系'!$G$4,0)+IF(ISNUMBER(K32),K32*'Sheet1-指标体系'!$G$5,0)+IF(ISNUMBER(L32),L32*'Sheet1-指标体系'!$G$6,0))/(IF(ISNUMBER(I32),'Sheet1-指标体系'!$G$4,0)+IF(ISNUMBER(K32),'Sheet1-指标体系'!$G$5,0)+IF(ISNUMBER(L32),'Sheet1-指标体系'!$G$6,0)),2),"")</f>
        <v>84</v>
      </c>
      <c r="AM32" s="37">
        <f t="shared" si="9"/>
        <v>66.36</v>
      </c>
      <c r="AN32" s="37">
        <f t="shared" si="10"/>
        <v>97.3</v>
      </c>
      <c r="AO32" s="37">
        <f t="shared" si="11"/>
        <v>98.75</v>
      </c>
      <c r="AP32" s="37">
        <f t="shared" si="12"/>
        <v>100</v>
      </c>
      <c r="AQ32" s="38">
        <f t="shared" si="13"/>
        <v>1</v>
      </c>
      <c r="AR32" s="37">
        <f t="shared" si="14"/>
        <v>89.82251</v>
      </c>
      <c r="AS32" s="37">
        <f t="shared" si="15"/>
        <v>89.82</v>
      </c>
      <c r="AT32" s="40">
        <f>IF(OR(G32&lt;&gt;"入池",NOT(ISNUMBER(AS32))),"",COUNTIFS($G$17:$G$99,"入池",$AS$17:$AS$99,"&gt;"&amp;AS32)+COUNTIFS($G$17:$G$99,"入池",$AS$17:$AS$99,AS32,$AQ$17:$AQ$99,"&gt;"&amp;AQ32)+COUNTIFS($G$17:G32,"入池",$AS$17:AS32,AS32,$AQ$17:AQ32,AQ32))</f>
        <v>4</v>
      </c>
      <c r="AU32" s="46" t="str">
        <f>IF(NOT(ISNUMBER(I32)),"管理人规模；","")&amp;IF(NOT(ISNUMBER(K32)),"产品规模标识；","")&amp;IF(NOT(ISNUMBER(M32)),"近一年收益；","")&amp;IF(NOT(ISNUMBER(T32)),"近一年胜率；","")&amp;IF(NOT(ISNUMBER(N32)),"近三年收益；","")&amp;IF(NOT(ISNUMBER(U32)),"近三年胜率；","")&amp;IF(NOT(ISNUMBER(AA32)),"近三年回撤；","")&amp;IF(NOT(ISNUMBER(AD32)),"近一年卡玛；","")&amp;IF(ISNUMBER(F32),IF(AND(F32&lt;'Sheet1-指标体系'!$J$16,NOT(ISNUMBER(O32))),"成立以来年化；",""),"成立日期；")&amp;IF(ISNUMBER(V32),IF(OR(V32&lt;0,V32&gt;1),"胜率窗口口径不一致；",""),"")&amp;IF(ISNUMBER(P32),IF(NOT(ISNUMBER(AE32)),"DD_long不可识别；",""),"")</f>
        <v/>
      </c>
      <c r="AV32" s="37">
        <f>IF(ABS(SUM(CA32:CK32)-'Sheet1-指标体系'!$J$25)&lt;0.0000000001,SUM(BP32:BZ32),"")</f>
        <v>89.82251</v>
      </c>
      <c r="AW32" s="36" t="str">
        <f>IF(G32&lt;&gt;"入池",G32,IF(AQ32=0,"无有效评分数据",IF(ROUND(AQ32,10)=ROUND('Sheet1-指标体系'!$J$25,10),"完整赋分","暂定分／数据不完整")))</f>
        <v>完整赋分</v>
      </c>
      <c r="AX32" s="22" t="str">
        <f>IF('Sheet4-原始数据'!C17="","",'Sheet4-原始数据'!C17)</f>
        <v>套利策略</v>
      </c>
      <c r="AY32" s="22" t="str">
        <f>IF('Sheet4-原始数据'!D17="","",'Sheet4-原始数据'!D17)</f>
        <v>期货套利</v>
      </c>
      <c r="AZ32" s="22" t="str">
        <f>IF('Sheet5-查询核对'!S17="","",'Sheet5-查询核对'!S17)</f>
        <v>套利策略—期货套利</v>
      </c>
      <c r="BA32" s="25">
        <f>IF('Sheet5-查询核对'!A17="","",'Sheet5-查询核对'!A17)</f>
        <v>17</v>
      </c>
      <c r="BB32" s="22" t="str">
        <f>IF('Sheet5-查询核对'!F17="","",'Sheet5-查询核对'!F17)</f>
        <v>备案号匹配</v>
      </c>
      <c r="BC32" s="24" t="str">
        <f>IF('Sheet5-查询核对'!I17="","",'Sheet5-查询核对'!I17)</f>
        <v>https://mp.fof99.com/fund/view/572bc921ce9d2893</v>
      </c>
      <c r="BD32" s="23">
        <f>IF('Sheet5-查询核对'!H17="","",'Sheet5-查询核对'!H17)</f>
        <v>46269</v>
      </c>
      <c r="BE32" s="24" t="str">
        <f>IF('Sheet5-查询核对'!L17="","",'Sheet5-查询核对'!L17)</f>
        <v>https://gs.amac.org.cn/amac-infodisc/res/pof/manager/2104292125100136.html</v>
      </c>
      <c r="BF32" s="23">
        <f>IF('Sheet5-查询核对'!M17="","",'Sheet5-查询核对'!M17)</f>
        <v>46276</v>
      </c>
      <c r="BG32" s="24" t="str">
        <f>IF('Sheet5-查询核对'!O17="","",'Sheet5-查询核对'!O17)</f>
        <v>https://gs.amac.org.cn/amac-infodisc/res/pof/fund/2206241503107051.html</v>
      </c>
      <c r="BH32" s="23">
        <f>IF('Sheet5-查询核对'!P17="","",'Sheet5-查询核对'!P17)</f>
        <v>46276</v>
      </c>
      <c r="BI32" s="22" t="str">
        <f>IF('Sheet5-查询核对'!D17="","",'Sheet5-查询核对'!D17)</f>
        <v>SVH487</v>
      </c>
      <c r="BJ32">
        <f>IF(ISNUMBER(AT32),AT32,COUNT($AT$17:$AT$99)+ROWS($AT$17:AT32)-COUNT($AT$17:AT32))</f>
        <v>4</v>
      </c>
      <c r="BK32" s="2">
        <f t="shared" si="16"/>
        <v>1</v>
      </c>
      <c r="BL32" s="2">
        <f t="shared" si="17"/>
        <v>1</v>
      </c>
      <c r="BM32" s="2">
        <f t="shared" si="18"/>
        <v>1</v>
      </c>
      <c r="BN32" s="2">
        <f t="shared" si="19"/>
        <v>1</v>
      </c>
      <c r="BO32" s="2">
        <f t="shared" si="20"/>
        <v>1</v>
      </c>
      <c r="BP32" s="48">
        <f>IF(G32="入池",IF(ISNUMBER(I32),I32*('Sheet1-指标体系'!$G$4),0),0)</f>
        <v>3.6</v>
      </c>
      <c r="BQ32" s="48">
        <f>IF(G32="入池",IF(ISNUMBER(K32),K32*('Sheet1-指标体系'!$G$5),0),0)</f>
        <v>4.5</v>
      </c>
      <c r="BR32" s="48">
        <f>IF(G32="入池",IF(ISNUMBER(L32),L32*('Sheet1-指标体系'!$G$6),0),0)</f>
        <v>4.5</v>
      </c>
      <c r="BS32" s="48">
        <f>IF(G32="入池",IF(ISNUMBER(Q32),Q32*('Sheet1-指标体系'!$G$7*'Sheet1-指标体系'!$J$8),0),0)</f>
        <v>4.84176</v>
      </c>
      <c r="BT32" s="48">
        <f>IF(G32="入池",IF(ISNUMBER(R32),R32*('Sheet1-指标体系'!$G$7*'Sheet1-指标体系'!$J$9),0),0)</f>
        <v>2.63032</v>
      </c>
      <c r="BU32" s="48">
        <f>IF(G32="入池",IF(ISNUMBER(W32),W32*('Sheet1-指标体系'!$G$8*'Sheet1-指标体系'!$J$8),0),0)</f>
        <v>3.6</v>
      </c>
      <c r="BV32" s="48">
        <f>IF(G32="入池",IF(ISNUMBER(X32),X32*('Sheet1-指标体系'!$G$8*'Sheet1-指标体系'!$J$9),0),0)</f>
        <v>2.19983</v>
      </c>
      <c r="BW32" s="48">
        <f>IF(G32="入池",IF(ISNUMBER(AC32),AC32*('Sheet1-指标体系'!$G$9),0),0)</f>
        <v>24.325</v>
      </c>
      <c r="BX32" s="48">
        <f>IF(G32="入池",IF(ISNUMBER(AG32),AG32*('Sheet1-指标体系'!$G$10*'Sheet1-指标体系'!$J$8),0),0)</f>
        <v>18</v>
      </c>
      <c r="BY32" s="48">
        <f>IF(G32="入池",IF(ISNUMBER(AH32),AH32*('Sheet1-指标体系'!$G$10*'Sheet1-指标体系'!$J$9),0),0)</f>
        <v>11.6256</v>
      </c>
      <c r="BZ32" s="48">
        <f>IF(G32="入池",IF(ISNUMBER(AK32),AK32*('Sheet1-指标体系'!$G$11),0),0)</f>
        <v>10</v>
      </c>
      <c r="CA32" s="49">
        <f>IF(G32="入池",IF(ISNUMBER(I32),'Sheet1-指标体系'!$G$4,0),0)</f>
        <v>0.06</v>
      </c>
      <c r="CB32" s="49">
        <f>IF(G32="入池",IF(ISNUMBER(K32),'Sheet1-指标体系'!$G$5,0),0)</f>
        <v>0.045</v>
      </c>
      <c r="CC32" s="49">
        <f>IF(G32="入池",IF(ISNUMBER(L32),'Sheet1-指标体系'!$G$6,0),0)</f>
        <v>0.045</v>
      </c>
      <c r="CD32" s="49">
        <f>IF(G32="入池",IF(ISNUMBER(Q32),'Sheet1-指标体系'!$G$7*'Sheet1-指标体系'!$J$8,0),0)</f>
        <v>0.084</v>
      </c>
      <c r="CE32" s="49">
        <f>IF(G32="入池",IF(ISNUMBER(R32),'Sheet1-指标体系'!$G$7*'Sheet1-指标体系'!$J$9,0),0)</f>
        <v>0.056</v>
      </c>
      <c r="CF32" s="49">
        <f>IF(G32="入池",IF(ISNUMBER(W32),'Sheet1-指标体系'!$G$8*'Sheet1-指标体系'!$J$8,0),0)</f>
        <v>0.036</v>
      </c>
      <c r="CG32" s="49">
        <f>IF(G32="入池",IF(ISNUMBER(X32),'Sheet1-指标体系'!$G$8*'Sheet1-指标体系'!$J$9,0),0)</f>
        <v>0.024</v>
      </c>
      <c r="CH32" s="49">
        <f>IF(G32="入池",IF(ISNUMBER(AC32),'Sheet1-指标体系'!$G$9,0),0)</f>
        <v>0.25</v>
      </c>
      <c r="CI32" s="49">
        <f>IF(G32="入池",IF(ISNUMBER(AG32),'Sheet1-指标体系'!$G$10*'Sheet1-指标体系'!$J$8,0),0)</f>
        <v>0.18</v>
      </c>
      <c r="CJ32" s="49">
        <f>IF(G32="入池",IF(ISNUMBER(AH32),'Sheet1-指标体系'!$G$10*'Sheet1-指标体系'!$J$9,0),0)</f>
        <v>0.12</v>
      </c>
      <c r="CK32" s="49">
        <f>IF(G32="入池",IF(ISNUMBER(AK32),'Sheet1-指标体系'!$G$11,0),0)</f>
        <v>0.1</v>
      </c>
    </row>
    <row r="33" ht="44" customHeight="1" spans="1:89">
      <c r="A33" s="40">
        <f>'Sheet5-查询核对'!A18-1</f>
        <v>17</v>
      </c>
      <c r="B33" s="24" t="str">
        <f>IF('Sheet4-原始数据'!A18="",'Sheet5-查询核对'!B18,'Sheet4-原始数据'!A18)</f>
        <v>广联宏丰利1号</v>
      </c>
      <c r="C33" s="22" t="str">
        <f>IF('Sheet4-原始数据'!B18="","",'Sheet4-原始数据'!B18)</f>
        <v>SAGN89</v>
      </c>
      <c r="D33" s="22" t="str">
        <f>IF('Sheet4-原始数据'!E18="","",'Sheet4-原始数据'!E18)</f>
        <v>海南广联宏</v>
      </c>
      <c r="E33" s="23">
        <f>IF('Sheet4-原始数据'!F18="","",'Sheet4-原始数据'!F18)</f>
        <v>45322</v>
      </c>
      <c r="F33" s="37">
        <f>IF(ISNUMBER(E33),ROUND(('Sheet1-指标体系'!$J$12-E33)/'Sheet1-指标体系'!$J$14,4),"")</f>
        <v>2.6092</v>
      </c>
      <c r="G33" s="36" t="str">
        <f>IF(C33="","未匹配",IF(NOT(ISNUMBER(F33)),"缺成立日期",IF(F33&lt;'Sheet1-指标体系'!$J$15,"不入池","入池")))</f>
        <v>入池</v>
      </c>
      <c r="H33" s="22" t="str">
        <f>IF('Sheet5-查询核对'!K18="","",'Sheet5-查询核对'!K18)</f>
        <v>5-10亿元</v>
      </c>
      <c r="I33" s="37">
        <f>IF(H33="","",IF(COUNTIF('Sheet1-指标体系'!$P$4:$P$10,H33)=0,"",INDEX('Sheet1-指标体系'!$Q$4:$Q$10,MATCH(H33,'Sheet1-指标体系'!$P$4:$P$10,0))))</f>
        <v>70</v>
      </c>
      <c r="J33" s="44" t="str">
        <f>IF(NOT(ISNUMBER('Sheet5-查询核对'!N18)),"",IF('Sheet5-查询核对'!N18=1,"低于"&amp;'Sheet1-指标体系'!$J$4&amp;"万元",IF('Sheet5-查询核对'!N18=0,"无低于"&amp;'Sheet1-指标体系'!$J$4&amp;"万元标识","")))</f>
        <v>无低于1000万元标识</v>
      </c>
      <c r="K33" s="37">
        <f>IF(NOT(ISNUMBER('Sheet5-查询核对'!N18)),"",IF('Sheet5-查询核对'!N18=1,'Sheet1-指标体系'!$J$21,IF('Sheet5-查询核对'!N18=0,'Sheet1-指标体系'!$J$18,"")))</f>
        <v>100</v>
      </c>
      <c r="L33" s="37">
        <f>IF(NOT(ISNUMBER(F33)),"",IF(F33&lt;'Sheet1-指标体系'!$J$15,"",IF(F33&lt;'Sheet1-指标体系'!$J$16,'Sheet1-指标体系'!$J$17,'Sheet1-指标体系'!$J$18)))</f>
        <v>70</v>
      </c>
      <c r="M33" s="26">
        <f>IF(ISNUMBER('Sheet4-原始数据'!G18),'Sheet4-原始数据'!G18,"")</f>
        <v>0.4446</v>
      </c>
      <c r="N33" s="26" t="str">
        <f>IF(ISNUMBER('Sheet4-原始数据'!H18),'Sheet4-原始数据'!H18,"")</f>
        <v/>
      </c>
      <c r="O33" s="26">
        <f>IF(ISNUMBER('Sheet5-查询核对'!Q18),'Sheet5-查询核对'!Q18,"")</f>
        <v>0.3039</v>
      </c>
      <c r="P33" s="45">
        <f>IF(G33&lt;&gt;"入池","",IF(F33&gt;='Sheet1-指标体系'!$J$16,IF(AND(ISNUMBER(M33),ISNUMBER(N33)),IF(AND(1+M33&gt;0,1+N33&gt;=0),((1+N33)^'Sheet1-指标体系'!$J$16/(1+M33))^(1/('Sheet1-指标体系'!$J$16-1))-1,""),""),IF(AND(ISNUMBER(M33),ISNUMBER(O33)),IF(AND(F33&gt;1,1+M33&gt;0,1+O33&gt;=0),((1+O33)^F33/(1+M33))^(1/(F33-1))-1,""),"")))</f>
        <v>0.223457046299118</v>
      </c>
      <c r="Q33" s="37">
        <f t="shared" si="0"/>
        <v>98.61</v>
      </c>
      <c r="R33" s="37">
        <f t="shared" si="1"/>
        <v>100</v>
      </c>
      <c r="S33" s="37">
        <f>IF(ISNUMBER(Q33),IF(ISNUMBER(R33),ROUND(Q33*'Sheet1-指标体系'!$J$8+R33*'Sheet1-指标体系'!$J$9,2),Q33),"")</f>
        <v>99.17</v>
      </c>
      <c r="T33" s="26">
        <f>IF(ISNUMBER('Sheet4-原始数据'!J18),'Sheet4-原始数据'!J18,"")</f>
        <v>0.8462</v>
      </c>
      <c r="U33" s="26" t="str">
        <f>IF(ISNUMBER('Sheet4-原始数据'!I18),'Sheet4-原始数据'!I18,"")</f>
        <v/>
      </c>
      <c r="V33" s="45" t="str">
        <f>IF(AND(ISNUMBER(T33),ISNUMBER(U33)),(U33*'Sheet1-指标体系'!$J$6-T33*'Sheet1-指标体系'!$J$5)/'Sheet1-指标体系'!$J$7,"")</f>
        <v/>
      </c>
      <c r="W33" s="37">
        <f t="shared" si="2"/>
        <v>84.62</v>
      </c>
      <c r="X33" s="37" t="str">
        <f>IF(G33&lt;&gt;"入池","",IF(ISNUMBER(V33),IF(AND(V33&gt;=0,V33&lt;=1),V33*'Sheet1-指标体系'!$J$18,IF(MAX(0,(F33-'Sheet1-指标体系'!$J$15)*'Sheet1-指标体系'!$J$20)&lt;'Sheet1-指标体系'!$J$19,'Sheet1-指标体系'!$J$18,"")),IF(MAX(0,(F33-'Sheet1-指标体系'!$J$15)*'Sheet1-指标体系'!$J$20)&lt;'Sheet1-指标体系'!$J$19,'Sheet1-指标体系'!$J$18,"")))</f>
        <v/>
      </c>
      <c r="Y33" s="37">
        <f>IF(ISNUMBER(W33),IF(ISNUMBER(X33),ROUND(W33*'Sheet1-指标体系'!$J$8+X33*'Sheet1-指标体系'!$J$9,2),W33),"")</f>
        <v>84.62</v>
      </c>
      <c r="Z33" s="45">
        <f t="shared" si="3"/>
        <v>0.0514053810311138</v>
      </c>
      <c r="AA33" s="26" t="str">
        <f>IF(ISNUMBER('Sheet4-原始数据'!K18),'Sheet4-原始数据'!K18,"")</f>
        <v/>
      </c>
      <c r="AB33" s="45">
        <f t="shared" si="4"/>
        <v>0.0514053810311138</v>
      </c>
      <c r="AC33" s="37">
        <f t="shared" si="5"/>
        <v>14.86</v>
      </c>
      <c r="AD33" s="30">
        <f>IF(ISNUMBER('Sheet4-原始数据'!M18),'Sheet4-原始数据'!M18,"")</f>
        <v>8.6489</v>
      </c>
      <c r="AE33" s="45" t="str">
        <f>IF(AND(ISNUMBER(P33),ISNUMBER(AA33),ISNUMBER(Z33)),IF(AA33&gt;Z33+'Sheet1-指标体系'!$J$11,AA33,""),"")</f>
        <v/>
      </c>
      <c r="AF33" s="37" t="str">
        <f t="shared" si="6"/>
        <v/>
      </c>
      <c r="AG33" s="37">
        <f t="shared" si="7"/>
        <v>49.3</v>
      </c>
      <c r="AH33" s="37" t="str">
        <f t="shared" si="8"/>
        <v/>
      </c>
      <c r="AI33" s="37">
        <f>IF(ISNUMBER(AG33),IF(ISNUMBER(AH33),ROUND(AG33*'Sheet1-指标体系'!$J$8+AH33*'Sheet1-指标体系'!$J$9,2),AG33),"")</f>
        <v>49.3</v>
      </c>
      <c r="AJ33" s="45">
        <f>IF(NOT(ISNUMBER(F33)),"",IF(F33&gt;='Sheet1-指标体系'!$J$16,IF(ISNUMBER(N33),N33,""),IF(ISNUMBER(O33),O33,"")))</f>
        <v>0.3039</v>
      </c>
      <c r="AK33" s="37">
        <f>IF(AND(G33="入池",ISNUMBER(M33),ISNUMBER(AJ33)),IF(M33&gt;=AJ33,'Sheet1-指标体系'!$J$18,IF(AJ33-M33&lt;'Sheet1-指标体系'!$J$10,'Sheet1-指标体系'!$J$22,'Sheet1-指标体系'!$J$23)),"")</f>
        <v>100</v>
      </c>
      <c r="AL33" s="37">
        <f>IF((IF(ISNUMBER(I33),'Sheet1-指标体系'!$G$4,0)+IF(ISNUMBER(K33),'Sheet1-指标体系'!$G$5,0)+IF(ISNUMBER(L33),'Sheet1-指标体系'!$G$6,0))&gt;0,ROUND((IF(ISNUMBER(I33),I33*'Sheet1-指标体系'!$G$4,0)+IF(ISNUMBER(K33),K33*'Sheet1-指标体系'!$G$5,0)+IF(ISNUMBER(L33),L33*'Sheet1-指标体系'!$G$6,0))/(IF(ISNUMBER(I33),'Sheet1-指标体系'!$G$4,0)+IF(ISNUMBER(K33),'Sheet1-指标体系'!$G$5,0)+IF(ISNUMBER(L33),'Sheet1-指标体系'!$G$6,0)),2),"")</f>
        <v>79</v>
      </c>
      <c r="AM33" s="37">
        <f t="shared" si="9"/>
        <v>96.19</v>
      </c>
      <c r="AN33" s="37">
        <f t="shared" si="10"/>
        <v>14.86</v>
      </c>
      <c r="AO33" s="37">
        <f t="shared" si="11"/>
        <v>49.3</v>
      </c>
      <c r="AP33" s="37">
        <f t="shared" si="12"/>
        <v>100</v>
      </c>
      <c r="AQ33" s="38">
        <f t="shared" si="13"/>
        <v>0.856</v>
      </c>
      <c r="AR33" s="37">
        <f t="shared" si="14"/>
        <v>51.36856</v>
      </c>
      <c r="AS33" s="37">
        <f t="shared" si="15"/>
        <v>60.01</v>
      </c>
      <c r="AT33" s="40">
        <f>IF(OR(G33&lt;&gt;"入池",NOT(ISNUMBER(AS33))),"",COUNTIFS($G$17:$G$99,"入池",$AS$17:$AS$99,"&gt;"&amp;AS33)+COUNTIFS($G$17:$G$99,"入池",$AS$17:$AS$99,AS33,$AQ$17:$AQ$99,"&gt;"&amp;AQ33)+COUNTIFS($G$17:G33,"入池",$AS$17:AS33,AS33,$AQ$17:AQ33,AQ33))</f>
        <v>44</v>
      </c>
      <c r="AU33" s="46" t="str">
        <f>IF(NOT(ISNUMBER(I33)),"管理人规模；","")&amp;IF(NOT(ISNUMBER(K33)),"产品规模标识；","")&amp;IF(NOT(ISNUMBER(M33)),"近一年收益；","")&amp;IF(NOT(ISNUMBER(T33)),"近一年胜率；","")&amp;IF(NOT(ISNUMBER(N33)),"近三年收益；","")&amp;IF(NOT(ISNUMBER(U33)),"近三年胜率；","")&amp;IF(NOT(ISNUMBER(AA33)),"近三年回撤；","")&amp;IF(NOT(ISNUMBER(AD33)),"近一年卡玛；","")&amp;IF(ISNUMBER(F33),IF(AND(F33&lt;'Sheet1-指标体系'!$J$16,NOT(ISNUMBER(O33))),"成立以来年化；",""),"成立日期；")&amp;IF(ISNUMBER(V33),IF(OR(V33&lt;0,V33&gt;1),"胜率窗口口径不一致；",""),"")&amp;IF(ISNUMBER(P33),IF(NOT(ISNUMBER(AE33)),"DD_long不可识别；",""),"")</f>
        <v>近三年收益；近三年胜率；近三年回撤；DD_long不可识别；</v>
      </c>
      <c r="AV33" s="37" t="str">
        <f>IF(ABS(SUM(CA33:CK33)-'Sheet1-指标体系'!$J$25)&lt;0.0000000001,SUM(BP33:BZ33),"")</f>
        <v/>
      </c>
      <c r="AW33" s="36" t="str">
        <f>IF(G33&lt;&gt;"入池",G33,IF(AQ33=0,"无有效评分数据",IF(ROUND(AQ33,10)=ROUND('Sheet1-指标体系'!$J$25,10),"完整赋分","暂定分／数据不完整")))</f>
        <v>暂定分／数据不完整</v>
      </c>
      <c r="AX33" s="22" t="str">
        <f>IF('Sheet4-原始数据'!C18="","",'Sheet4-原始数据'!C18)</f>
        <v>套利策略</v>
      </c>
      <c r="AY33" s="22" t="str">
        <f>IF('Sheet4-原始数据'!D18="","",'Sheet4-原始数据'!D18)</f>
        <v>期货套利</v>
      </c>
      <c r="AZ33" s="22" t="str">
        <f>IF('Sheet5-查询核对'!S18="","",'Sheet5-查询核对'!S18)</f>
        <v>套利策略—期货套利</v>
      </c>
      <c r="BA33" s="25">
        <f>IF('Sheet5-查询核对'!A18="","",'Sheet5-查询核对'!A18)</f>
        <v>18</v>
      </c>
      <c r="BB33" s="22" t="str">
        <f>IF('Sheet5-查询核对'!F18="","",'Sheet5-查询核对'!F18)</f>
        <v>备案号匹配</v>
      </c>
      <c r="BC33" s="24" t="str">
        <f>IF('Sheet5-查询核对'!I18="","",'Sheet5-查询核对'!I18)</f>
        <v>https://mp.fof99.com/fund/view/bf37a6579525f8b3</v>
      </c>
      <c r="BD33" s="23">
        <f>IF('Sheet5-查询核对'!H18="","",'Sheet5-查询核对'!H18)</f>
        <v>46269</v>
      </c>
      <c r="BE33" s="24" t="str">
        <f>IF('Sheet5-查询核对'!L18="","",'Sheet5-查询核对'!L18)</f>
        <v>https://gs.amac.org.cn/amac-infodisc/res/pof/manager/2109061042100364.html</v>
      </c>
      <c r="BF33" s="23">
        <f>IF('Sheet5-查询核对'!M18="","",'Sheet5-查询核对'!M18)</f>
        <v>46276</v>
      </c>
      <c r="BG33" s="24" t="str">
        <f>IF('Sheet5-查询核对'!O18="","",'Sheet5-查询核对'!O18)</f>
        <v>https://gs.amac.org.cn/amac-infodisc/res/pof/fund/2402061715110753.html</v>
      </c>
      <c r="BH33" s="23">
        <f>IF('Sheet5-查询核对'!P18="","",'Sheet5-查询核对'!P18)</f>
        <v>46276</v>
      </c>
      <c r="BI33" s="22" t="str">
        <f>IF('Sheet5-查询核对'!D18="","",'Sheet5-查询核对'!D18)</f>
        <v>SAGN89</v>
      </c>
      <c r="BJ33">
        <f>IF(ISNUMBER(AT33),AT33,COUNT($AT$17:$AT$99)+ROWS($AT$17:AT33)-COUNT($AT$17:AT33))</f>
        <v>44</v>
      </c>
      <c r="BK33" s="2">
        <f t="shared" si="16"/>
        <v>1</v>
      </c>
      <c r="BL33" s="2">
        <f t="shared" si="17"/>
        <v>1</v>
      </c>
      <c r="BM33" s="2">
        <f t="shared" si="18"/>
        <v>1</v>
      </c>
      <c r="BN33" s="2">
        <f t="shared" si="19"/>
        <v>1</v>
      </c>
      <c r="BO33" s="2">
        <f t="shared" si="20"/>
        <v>0</v>
      </c>
      <c r="BP33" s="48">
        <f>IF(G33="入池",IF(ISNUMBER(I33),I33*('Sheet1-指标体系'!$G$4),0),0)</f>
        <v>4.2</v>
      </c>
      <c r="BQ33" s="48">
        <f>IF(G33="入池",IF(ISNUMBER(K33),K33*('Sheet1-指标体系'!$G$5),0),0)</f>
        <v>4.5</v>
      </c>
      <c r="BR33" s="48">
        <f>IF(G33="入池",IF(ISNUMBER(L33),L33*('Sheet1-指标体系'!$G$6),0),0)</f>
        <v>3.15</v>
      </c>
      <c r="BS33" s="48">
        <f>IF(G33="入池",IF(ISNUMBER(Q33),Q33*('Sheet1-指标体系'!$G$7*'Sheet1-指标体系'!$J$8),0),0)</f>
        <v>8.28324</v>
      </c>
      <c r="BT33" s="48">
        <f>IF(G33="入池",IF(ISNUMBER(R33),R33*('Sheet1-指标体系'!$G$7*'Sheet1-指标体系'!$J$9),0),0)</f>
        <v>5.6</v>
      </c>
      <c r="BU33" s="48">
        <f>IF(G33="入池",IF(ISNUMBER(W33),W33*('Sheet1-指标体系'!$G$8*'Sheet1-指标体系'!$J$8),0),0)</f>
        <v>3.04632</v>
      </c>
      <c r="BV33" s="48">
        <f>IF(G33="入池",IF(ISNUMBER(X33),X33*('Sheet1-指标体系'!$G$8*'Sheet1-指标体系'!$J$9),0),0)</f>
        <v>0</v>
      </c>
      <c r="BW33" s="48">
        <f>IF(G33="入池",IF(ISNUMBER(AC33),AC33*('Sheet1-指标体系'!$G$9),0),0)</f>
        <v>3.715</v>
      </c>
      <c r="BX33" s="48">
        <f>IF(G33="入池",IF(ISNUMBER(AG33),AG33*('Sheet1-指标体系'!$G$10*'Sheet1-指标体系'!$J$8),0),0)</f>
        <v>8.874</v>
      </c>
      <c r="BY33" s="48">
        <f>IF(G33="入池",IF(ISNUMBER(AH33),AH33*('Sheet1-指标体系'!$G$10*'Sheet1-指标体系'!$J$9),0),0)</f>
        <v>0</v>
      </c>
      <c r="BZ33" s="48">
        <f>IF(G33="入池",IF(ISNUMBER(AK33),AK33*('Sheet1-指标体系'!$G$11),0),0)</f>
        <v>10</v>
      </c>
      <c r="CA33" s="49">
        <f>IF(G33="入池",IF(ISNUMBER(I33),'Sheet1-指标体系'!$G$4,0),0)</f>
        <v>0.06</v>
      </c>
      <c r="CB33" s="49">
        <f>IF(G33="入池",IF(ISNUMBER(K33),'Sheet1-指标体系'!$G$5,0),0)</f>
        <v>0.045</v>
      </c>
      <c r="CC33" s="49">
        <f>IF(G33="入池",IF(ISNUMBER(L33),'Sheet1-指标体系'!$G$6,0),0)</f>
        <v>0.045</v>
      </c>
      <c r="CD33" s="49">
        <f>IF(G33="入池",IF(ISNUMBER(Q33),'Sheet1-指标体系'!$G$7*'Sheet1-指标体系'!$J$8,0),0)</f>
        <v>0.084</v>
      </c>
      <c r="CE33" s="49">
        <f>IF(G33="入池",IF(ISNUMBER(R33),'Sheet1-指标体系'!$G$7*'Sheet1-指标体系'!$J$9,0),0)</f>
        <v>0.056</v>
      </c>
      <c r="CF33" s="49">
        <f>IF(G33="入池",IF(ISNUMBER(W33),'Sheet1-指标体系'!$G$8*'Sheet1-指标体系'!$J$8,0),0)</f>
        <v>0.036</v>
      </c>
      <c r="CG33" s="49">
        <f>IF(G33="入池",IF(ISNUMBER(X33),'Sheet1-指标体系'!$G$8*'Sheet1-指标体系'!$J$9,0),0)</f>
        <v>0</v>
      </c>
      <c r="CH33" s="49">
        <f>IF(G33="入池",IF(ISNUMBER(AC33),'Sheet1-指标体系'!$G$9,0),0)</f>
        <v>0.25</v>
      </c>
      <c r="CI33" s="49">
        <f>IF(G33="入池",IF(ISNUMBER(AG33),'Sheet1-指标体系'!$G$10*'Sheet1-指标体系'!$J$8,0),0)</f>
        <v>0.18</v>
      </c>
      <c r="CJ33" s="49">
        <f>IF(G33="入池",IF(ISNUMBER(AH33),'Sheet1-指标体系'!$G$10*'Sheet1-指标体系'!$J$9,0),0)</f>
        <v>0</v>
      </c>
      <c r="CK33" s="49">
        <f>IF(G33="入池",IF(ISNUMBER(AK33),'Sheet1-指标体系'!$G$11,0),0)</f>
        <v>0.1</v>
      </c>
    </row>
    <row r="34" ht="44" customHeight="1" spans="1:89">
      <c r="A34" s="40">
        <f>'Sheet5-查询核对'!A19-1</f>
        <v>18</v>
      </c>
      <c r="B34" s="24" t="str">
        <f>IF('Sheet4-原始数据'!A19="",'Sheet5-查询核对'!B19,'Sheet4-原始数据'!A19)</f>
        <v>广联宏稳健2号</v>
      </c>
      <c r="C34" s="22" t="str">
        <f>IF('Sheet4-原始数据'!B19="","",'Sheet4-原始数据'!B19)</f>
        <v>SATV20</v>
      </c>
      <c r="D34" s="22" t="str">
        <f>IF('Sheet4-原始数据'!E19="","",'Sheet4-原始数据'!E19)</f>
        <v>海南广联宏</v>
      </c>
      <c r="E34" s="23">
        <f>IF('Sheet4-原始数据'!F19="","",'Sheet4-原始数据'!F19)</f>
        <v>45705</v>
      </c>
      <c r="F34" s="37">
        <f>IF(ISNUMBER(E34),ROUND(('Sheet1-指标体系'!$J$12-E34)/'Sheet1-指标体系'!$J$14,4),"")</f>
        <v>1.5606</v>
      </c>
      <c r="G34" s="36" t="str">
        <f>IF(C34="","未匹配",IF(NOT(ISNUMBER(F34)),"缺成立日期",IF(F34&lt;'Sheet1-指标体系'!$J$15,"不入池","入池")))</f>
        <v>入池</v>
      </c>
      <c r="H34" s="22" t="str">
        <f>IF('Sheet5-查询核对'!K19="","",'Sheet5-查询核对'!K19)</f>
        <v>5-10亿元</v>
      </c>
      <c r="I34" s="37">
        <f>IF(H34="","",IF(COUNTIF('Sheet1-指标体系'!$P$4:$P$10,H34)=0,"",INDEX('Sheet1-指标体系'!$Q$4:$Q$10,MATCH(H34,'Sheet1-指标体系'!$P$4:$P$10,0))))</f>
        <v>70</v>
      </c>
      <c r="J34" s="44" t="str">
        <f>IF(NOT(ISNUMBER('Sheet5-查询核对'!N19)),"",IF('Sheet5-查询核对'!N19=1,"低于"&amp;'Sheet1-指标体系'!$J$4&amp;"万元",IF('Sheet5-查询核对'!N19=0,"无低于"&amp;'Sheet1-指标体系'!$J$4&amp;"万元标识","")))</f>
        <v>无低于1000万元标识</v>
      </c>
      <c r="K34" s="37">
        <f>IF(NOT(ISNUMBER('Sheet5-查询核对'!N19)),"",IF('Sheet5-查询核对'!N19=1,'Sheet1-指标体系'!$J$21,IF('Sheet5-查询核对'!N19=0,'Sheet1-指标体系'!$J$18,"")))</f>
        <v>100</v>
      </c>
      <c r="L34" s="37">
        <f>IF(NOT(ISNUMBER(F34)),"",IF(F34&lt;'Sheet1-指标体系'!$J$15,"",IF(F34&lt;'Sheet1-指标体系'!$J$16,'Sheet1-指标体系'!$J$17,'Sheet1-指标体系'!$J$18)))</f>
        <v>70</v>
      </c>
      <c r="M34" s="26">
        <f>IF(ISNUMBER('Sheet4-原始数据'!G19),'Sheet4-原始数据'!G19,"")</f>
        <v>0.2067</v>
      </c>
      <c r="N34" s="26" t="str">
        <f>IF(ISNUMBER('Sheet4-原始数据'!H19),'Sheet4-原始数据'!H19,"")</f>
        <v/>
      </c>
      <c r="O34" s="26">
        <f>IF(ISNUMBER('Sheet5-查询核对'!Q19),'Sheet5-查询核对'!Q19,"")</f>
        <v>0.1876</v>
      </c>
      <c r="P34" s="45">
        <f>IF(G34&lt;&gt;"入池","",IF(F34&gt;='Sheet1-指标体系'!$J$16,IF(AND(ISNUMBER(M34),ISNUMBER(N34)),IF(AND(1+M34&gt;0,1+N34&gt;=0),((1+N34)^'Sheet1-指标体系'!$J$16/(1+M34))^(1/('Sheet1-指标体系'!$J$16-1))-1,""),""),IF(AND(ISNUMBER(M34),ISNUMBER(O34)),IF(AND(F34&gt;1,1+M34&gt;0,1+O34&gt;=0),((1+O34)^F34/(1+M34))^(1/(F34-1))-1,""),"")))</f>
        <v>0.154276879267149</v>
      </c>
      <c r="Q34" s="37">
        <f t="shared" si="0"/>
        <v>88.89</v>
      </c>
      <c r="R34" s="37">
        <f t="shared" si="1"/>
        <v>90.91</v>
      </c>
      <c r="S34" s="37">
        <f>IF(ISNUMBER(Q34),IF(ISNUMBER(R34),ROUND(Q34*'Sheet1-指标体系'!$J$8+R34*'Sheet1-指标体系'!$J$9,2),Q34),"")</f>
        <v>89.7</v>
      </c>
      <c r="T34" s="26">
        <f>IF(ISNUMBER('Sheet4-原始数据'!J19),'Sheet4-原始数据'!J19,"")</f>
        <v>0.8462</v>
      </c>
      <c r="U34" s="26" t="str">
        <f>IF(ISNUMBER('Sheet4-原始数据'!I19),'Sheet4-原始数据'!I19,"")</f>
        <v/>
      </c>
      <c r="V34" s="45" t="str">
        <f>IF(AND(ISNUMBER(T34),ISNUMBER(U34)),(U34*'Sheet1-指标体系'!$J$6-T34*'Sheet1-指标体系'!$J$5)/'Sheet1-指标体系'!$J$7,"")</f>
        <v/>
      </c>
      <c r="W34" s="37">
        <f t="shared" si="2"/>
        <v>84.62</v>
      </c>
      <c r="X34" s="37" t="str">
        <f>IF(G34&lt;&gt;"入池","",IF(ISNUMBER(V34),IF(AND(V34&gt;=0,V34&lt;=1),V34*'Sheet1-指标体系'!$J$18,IF(MAX(0,(F34-'Sheet1-指标体系'!$J$15)*'Sheet1-指标体系'!$J$20)&lt;'Sheet1-指标体系'!$J$19,'Sheet1-指标体系'!$J$18,"")),IF(MAX(0,(F34-'Sheet1-指标体系'!$J$15)*'Sheet1-指标体系'!$J$20)&lt;'Sheet1-指标体系'!$J$19,'Sheet1-指标体系'!$J$18,"")))</f>
        <v/>
      </c>
      <c r="Y34" s="37">
        <f>IF(ISNUMBER(W34),IF(ISNUMBER(X34),ROUND(W34*'Sheet1-指标体系'!$J$8+X34*'Sheet1-指标体系'!$J$9,2),W34),"")</f>
        <v>84.62</v>
      </c>
      <c r="Z34" s="45">
        <f t="shared" si="3"/>
        <v>0.0188085207057518</v>
      </c>
      <c r="AA34" s="26" t="str">
        <f>IF(ISNUMBER('Sheet4-原始数据'!K19),'Sheet4-原始数据'!K19,"")</f>
        <v/>
      </c>
      <c r="AB34" s="45">
        <f t="shared" si="4"/>
        <v>0.0188085207057518</v>
      </c>
      <c r="AC34" s="37">
        <f t="shared" si="5"/>
        <v>54.05</v>
      </c>
      <c r="AD34" s="30">
        <f>IF(ISNUMBER('Sheet4-原始数据'!M19),'Sheet4-原始数据'!M19,"")</f>
        <v>10.9897</v>
      </c>
      <c r="AE34" s="45" t="str">
        <f>IF(AND(ISNUMBER(P34),ISNUMBER(AA34),ISNUMBER(Z34)),IF(AA34&gt;Z34+'Sheet1-指标体系'!$J$11,AA34,""),"")</f>
        <v/>
      </c>
      <c r="AF34" s="37" t="str">
        <f t="shared" si="6"/>
        <v/>
      </c>
      <c r="AG34" s="37">
        <f t="shared" si="7"/>
        <v>60.56</v>
      </c>
      <c r="AH34" s="37" t="str">
        <f t="shared" si="8"/>
        <v/>
      </c>
      <c r="AI34" s="37">
        <f>IF(ISNUMBER(AG34),IF(ISNUMBER(AH34),ROUND(AG34*'Sheet1-指标体系'!$J$8+AH34*'Sheet1-指标体系'!$J$9,2),AG34),"")</f>
        <v>60.56</v>
      </c>
      <c r="AJ34" s="45">
        <f>IF(NOT(ISNUMBER(F34)),"",IF(F34&gt;='Sheet1-指标体系'!$J$16,IF(ISNUMBER(N34),N34,""),IF(ISNUMBER(O34),O34,"")))</f>
        <v>0.1876</v>
      </c>
      <c r="AK34" s="37">
        <f>IF(AND(G34="入池",ISNUMBER(M34),ISNUMBER(AJ34)),IF(M34&gt;=AJ34,'Sheet1-指标体系'!$J$18,IF(AJ34-M34&lt;'Sheet1-指标体系'!$J$10,'Sheet1-指标体系'!$J$22,'Sheet1-指标体系'!$J$23)),"")</f>
        <v>100</v>
      </c>
      <c r="AL34" s="37">
        <f>IF((IF(ISNUMBER(I34),'Sheet1-指标体系'!$G$4,0)+IF(ISNUMBER(K34),'Sheet1-指标体系'!$G$5,0)+IF(ISNUMBER(L34),'Sheet1-指标体系'!$G$6,0))&gt;0,ROUND((IF(ISNUMBER(I34),I34*'Sheet1-指标体系'!$G$4,0)+IF(ISNUMBER(K34),K34*'Sheet1-指标体系'!$G$5,0)+IF(ISNUMBER(L34),L34*'Sheet1-指标体系'!$G$6,0))/(IF(ISNUMBER(I34),'Sheet1-指标体系'!$G$4,0)+IF(ISNUMBER(K34),'Sheet1-指标体系'!$G$5,0)+IF(ISNUMBER(L34),'Sheet1-指标体系'!$G$6,0)),2),"")</f>
        <v>79</v>
      </c>
      <c r="AM34" s="37">
        <f t="shared" si="9"/>
        <v>88.66</v>
      </c>
      <c r="AN34" s="37">
        <f t="shared" si="10"/>
        <v>54.05</v>
      </c>
      <c r="AO34" s="37">
        <f t="shared" si="11"/>
        <v>60.56</v>
      </c>
      <c r="AP34" s="37">
        <f t="shared" si="12"/>
        <v>100</v>
      </c>
      <c r="AQ34" s="38">
        <f t="shared" si="13"/>
        <v>0.856</v>
      </c>
      <c r="AR34" s="37">
        <f t="shared" si="14"/>
        <v>61.86734</v>
      </c>
      <c r="AS34" s="37">
        <f t="shared" si="15"/>
        <v>72.27</v>
      </c>
      <c r="AT34" s="40">
        <f>IF(OR(G34&lt;&gt;"入池",NOT(ISNUMBER(AS34))),"",COUNTIFS($G$17:$G$99,"入池",$AS$17:$AS$99,"&gt;"&amp;AS34)+COUNTIFS($G$17:$G$99,"入池",$AS$17:$AS$99,AS34,$AQ$17:$AQ$99,"&gt;"&amp;AQ34)+COUNTIFS($G$17:G34,"入池",$AS$17:AS34,AS34,$AQ$17:AQ34,AQ34))</f>
        <v>28</v>
      </c>
      <c r="AU34" s="46" t="str">
        <f>IF(NOT(ISNUMBER(I34)),"管理人规模；","")&amp;IF(NOT(ISNUMBER(K34)),"产品规模标识；","")&amp;IF(NOT(ISNUMBER(M34)),"近一年收益；","")&amp;IF(NOT(ISNUMBER(T34)),"近一年胜率；","")&amp;IF(NOT(ISNUMBER(N34)),"近三年收益；","")&amp;IF(NOT(ISNUMBER(U34)),"近三年胜率；","")&amp;IF(NOT(ISNUMBER(AA34)),"近三年回撤；","")&amp;IF(NOT(ISNUMBER(AD34)),"近一年卡玛；","")&amp;IF(ISNUMBER(F34),IF(AND(F34&lt;'Sheet1-指标体系'!$J$16,NOT(ISNUMBER(O34))),"成立以来年化；",""),"成立日期；")&amp;IF(ISNUMBER(V34),IF(OR(V34&lt;0,V34&gt;1),"胜率窗口口径不一致；",""),"")&amp;IF(ISNUMBER(P34),IF(NOT(ISNUMBER(AE34)),"DD_long不可识别；",""),"")</f>
        <v>近三年收益；近三年胜率；近三年回撤；DD_long不可识别；</v>
      </c>
      <c r="AV34" s="37" t="str">
        <f>IF(ABS(SUM(CA34:CK34)-'Sheet1-指标体系'!$J$25)&lt;0.0000000001,SUM(BP34:BZ34),"")</f>
        <v/>
      </c>
      <c r="AW34" s="36" t="str">
        <f>IF(G34&lt;&gt;"入池",G34,IF(AQ34=0,"无有效评分数据",IF(ROUND(AQ34,10)=ROUND('Sheet1-指标体系'!$J$25,10),"完整赋分","暂定分／数据不完整")))</f>
        <v>暂定分／数据不完整</v>
      </c>
      <c r="AX34" s="22" t="str">
        <f>IF('Sheet4-原始数据'!C19="","",'Sheet4-原始数据'!C19)</f>
        <v>套利策略</v>
      </c>
      <c r="AY34" s="22" t="str">
        <f>IF('Sheet4-原始数据'!D19="","",'Sheet4-原始数据'!D19)</f>
        <v>期货套利</v>
      </c>
      <c r="AZ34" s="22" t="str">
        <f>IF('Sheet5-查询核对'!S19="","",'Sheet5-查询核对'!S19)</f>
        <v>套利策略—期货套利</v>
      </c>
      <c r="BA34" s="25">
        <f>IF('Sheet5-查询核对'!A19="","",'Sheet5-查询核对'!A19)</f>
        <v>19</v>
      </c>
      <c r="BB34" s="22" t="str">
        <f>IF('Sheet5-查询核对'!F19="","",'Sheet5-查询核对'!F19)</f>
        <v>备案号匹配</v>
      </c>
      <c r="BC34" s="24" t="str">
        <f>IF('Sheet5-查询核对'!I19="","",'Sheet5-查询核对'!I19)</f>
        <v>https://mp.fof99.com/fund/view/c5b9a0c28942bf05</v>
      </c>
      <c r="BD34" s="23">
        <f>IF('Sheet5-查询核对'!H19="","",'Sheet5-查询核对'!H19)</f>
        <v>46269</v>
      </c>
      <c r="BE34" s="24" t="str">
        <f>IF('Sheet5-查询核对'!L19="","",'Sheet5-查询核对'!L19)</f>
        <v>https://gs.amac.org.cn/amac-infodisc/res/pof/manager/2109061042100364.html</v>
      </c>
      <c r="BF34" s="23">
        <f>IF('Sheet5-查询核对'!M19="","",'Sheet5-查询核对'!M19)</f>
        <v>46276</v>
      </c>
      <c r="BG34" s="24" t="str">
        <f>IF('Sheet5-查询核对'!O19="","",'Sheet5-查询核对'!O19)</f>
        <v>https://gs.amac.org.cn/amac-infodisc/res/pof/fund/2502201715102727.html</v>
      </c>
      <c r="BH34" s="23">
        <f>IF('Sheet5-查询核对'!P19="","",'Sheet5-查询核对'!P19)</f>
        <v>46276</v>
      </c>
      <c r="BI34" s="22" t="str">
        <f>IF('Sheet5-查询核对'!D19="","",'Sheet5-查询核对'!D19)</f>
        <v>SATV20</v>
      </c>
      <c r="BJ34">
        <f>IF(ISNUMBER(AT34),AT34,COUNT($AT$17:$AT$99)+ROWS($AT$17:AT34)-COUNT($AT$17:AT34))</f>
        <v>28</v>
      </c>
      <c r="BK34" s="2">
        <f t="shared" si="16"/>
        <v>1</v>
      </c>
      <c r="BL34" s="2">
        <f t="shared" si="17"/>
        <v>1</v>
      </c>
      <c r="BM34" s="2">
        <f t="shared" si="18"/>
        <v>1</v>
      </c>
      <c r="BN34" s="2">
        <f t="shared" si="19"/>
        <v>1</v>
      </c>
      <c r="BO34" s="2">
        <f t="shared" si="20"/>
        <v>0</v>
      </c>
      <c r="BP34" s="48">
        <f>IF(G34="入池",IF(ISNUMBER(I34),I34*('Sheet1-指标体系'!$G$4),0),0)</f>
        <v>4.2</v>
      </c>
      <c r="BQ34" s="48">
        <f>IF(G34="入池",IF(ISNUMBER(K34),K34*('Sheet1-指标体系'!$G$5),0),0)</f>
        <v>4.5</v>
      </c>
      <c r="BR34" s="48">
        <f>IF(G34="入池",IF(ISNUMBER(L34),L34*('Sheet1-指标体系'!$G$6),0),0)</f>
        <v>3.15</v>
      </c>
      <c r="BS34" s="48">
        <f>IF(G34="入池",IF(ISNUMBER(Q34),Q34*('Sheet1-指标体系'!$G$7*'Sheet1-指标体系'!$J$8),0),0)</f>
        <v>7.46676</v>
      </c>
      <c r="BT34" s="48">
        <f>IF(G34="入池",IF(ISNUMBER(R34),R34*('Sheet1-指标体系'!$G$7*'Sheet1-指标体系'!$J$9),0),0)</f>
        <v>5.09096</v>
      </c>
      <c r="BU34" s="48">
        <f>IF(G34="入池",IF(ISNUMBER(W34),W34*('Sheet1-指标体系'!$G$8*'Sheet1-指标体系'!$J$8),0),0)</f>
        <v>3.04632</v>
      </c>
      <c r="BV34" s="48">
        <f>IF(G34="入池",IF(ISNUMBER(X34),X34*('Sheet1-指标体系'!$G$8*'Sheet1-指标体系'!$J$9),0),0)</f>
        <v>0</v>
      </c>
      <c r="BW34" s="48">
        <f>IF(G34="入池",IF(ISNUMBER(AC34),AC34*('Sheet1-指标体系'!$G$9),0),0)</f>
        <v>13.5125</v>
      </c>
      <c r="BX34" s="48">
        <f>IF(G34="入池",IF(ISNUMBER(AG34),AG34*('Sheet1-指标体系'!$G$10*'Sheet1-指标体系'!$J$8),0),0)</f>
        <v>10.9008</v>
      </c>
      <c r="BY34" s="48">
        <f>IF(G34="入池",IF(ISNUMBER(AH34),AH34*('Sheet1-指标体系'!$G$10*'Sheet1-指标体系'!$J$9),0),0)</f>
        <v>0</v>
      </c>
      <c r="BZ34" s="48">
        <f>IF(G34="入池",IF(ISNUMBER(AK34),AK34*('Sheet1-指标体系'!$G$11),0),0)</f>
        <v>10</v>
      </c>
      <c r="CA34" s="49">
        <f>IF(G34="入池",IF(ISNUMBER(I34),'Sheet1-指标体系'!$G$4,0),0)</f>
        <v>0.06</v>
      </c>
      <c r="CB34" s="49">
        <f>IF(G34="入池",IF(ISNUMBER(K34),'Sheet1-指标体系'!$G$5,0),0)</f>
        <v>0.045</v>
      </c>
      <c r="CC34" s="49">
        <f>IF(G34="入池",IF(ISNUMBER(L34),'Sheet1-指标体系'!$G$6,0),0)</f>
        <v>0.045</v>
      </c>
      <c r="CD34" s="49">
        <f>IF(G34="入池",IF(ISNUMBER(Q34),'Sheet1-指标体系'!$G$7*'Sheet1-指标体系'!$J$8,0),0)</f>
        <v>0.084</v>
      </c>
      <c r="CE34" s="49">
        <f>IF(G34="入池",IF(ISNUMBER(R34),'Sheet1-指标体系'!$G$7*'Sheet1-指标体系'!$J$9,0),0)</f>
        <v>0.056</v>
      </c>
      <c r="CF34" s="49">
        <f>IF(G34="入池",IF(ISNUMBER(W34),'Sheet1-指标体系'!$G$8*'Sheet1-指标体系'!$J$8,0),0)</f>
        <v>0.036</v>
      </c>
      <c r="CG34" s="49">
        <f>IF(G34="入池",IF(ISNUMBER(X34),'Sheet1-指标体系'!$G$8*'Sheet1-指标体系'!$J$9,0),0)</f>
        <v>0</v>
      </c>
      <c r="CH34" s="49">
        <f>IF(G34="入池",IF(ISNUMBER(AC34),'Sheet1-指标体系'!$G$9,0),0)</f>
        <v>0.25</v>
      </c>
      <c r="CI34" s="49">
        <f>IF(G34="入池",IF(ISNUMBER(AG34),'Sheet1-指标体系'!$G$10*'Sheet1-指标体系'!$J$8,0),0)</f>
        <v>0.18</v>
      </c>
      <c r="CJ34" s="49">
        <f>IF(G34="入池",IF(ISNUMBER(AH34),'Sheet1-指标体系'!$G$10*'Sheet1-指标体系'!$J$9,0),0)</f>
        <v>0</v>
      </c>
      <c r="CK34" s="49">
        <f>IF(G34="入池",IF(ISNUMBER(AK34),'Sheet1-指标体系'!$G$11,0),0)</f>
        <v>0.1</v>
      </c>
    </row>
    <row r="35" ht="44" customHeight="1" spans="1:89">
      <c r="A35" s="40">
        <f>'Sheet5-查询核对'!A20-1</f>
        <v>19</v>
      </c>
      <c r="B35" s="24" t="str">
        <f>IF('Sheet4-原始数据'!A20="",'Sheet5-查询核对'!B20,'Sheet4-原始数据'!A20)</f>
        <v>杭州探融-锦鲤智能量化3号</v>
      </c>
      <c r="C35" s="22" t="str">
        <f>IF('Sheet4-原始数据'!B20="","",'Sheet4-原始数据'!B20)</f>
        <v>SQC001</v>
      </c>
      <c r="D35" s="22" t="str">
        <f>IF('Sheet4-原始数据'!E20="","",'Sheet4-原始数据'!E20)</f>
        <v>杭州探融投资</v>
      </c>
      <c r="E35" s="23">
        <f>IF('Sheet4-原始数据'!F20="","",'Sheet4-原始数据'!F20)</f>
        <v>44305</v>
      </c>
      <c r="F35" s="37">
        <f>IF(ISNUMBER(E35),ROUND(('Sheet1-指标体系'!$J$12-E35)/'Sheet1-指标体系'!$J$14,4),"")</f>
        <v>5.3936</v>
      </c>
      <c r="G35" s="36" t="str">
        <f>IF(C35="","未匹配",IF(NOT(ISNUMBER(F35)),"缺成立日期",IF(F35&lt;'Sheet1-指标体系'!$J$15,"不入池","入池")))</f>
        <v>入池</v>
      </c>
      <c r="H35" s="22" t="str">
        <f>IF('Sheet5-查询核对'!K20="","",'Sheet5-查询核对'!K20)</f>
        <v>0-5亿元</v>
      </c>
      <c r="I35" s="37">
        <f>IF(H35="","",IF(COUNTIF('Sheet1-指标体系'!$P$4:$P$10,H35)=0,"",INDEX('Sheet1-指标体系'!$Q$4:$Q$10,MATCH(H35,'Sheet1-指标体系'!$P$4:$P$10,0))))</f>
        <v>60</v>
      </c>
      <c r="J35" s="44" t="str">
        <f>IF(NOT(ISNUMBER('Sheet5-查询核对'!N20)),"",IF('Sheet5-查询核对'!N20=1,"低于"&amp;'Sheet1-指标体系'!$J$4&amp;"万元",IF('Sheet5-查询核对'!N20=0,"无低于"&amp;'Sheet1-指标体系'!$J$4&amp;"万元标识","")))</f>
        <v>无低于1000万元标识</v>
      </c>
      <c r="K35" s="37">
        <f>IF(NOT(ISNUMBER('Sheet5-查询核对'!N20)),"",IF('Sheet5-查询核对'!N20=1,'Sheet1-指标体系'!$J$21,IF('Sheet5-查询核对'!N20=0,'Sheet1-指标体系'!$J$18,"")))</f>
        <v>100</v>
      </c>
      <c r="L35" s="37">
        <f>IF(NOT(ISNUMBER(F35)),"",IF(F35&lt;'Sheet1-指标体系'!$J$15,"",IF(F35&lt;'Sheet1-指标体系'!$J$16,'Sheet1-指标体系'!$J$17,'Sheet1-指标体系'!$J$18)))</f>
        <v>100</v>
      </c>
      <c r="M35" s="26">
        <f>IF(ISNUMBER('Sheet4-原始数据'!G20),'Sheet4-原始数据'!G20,"")</f>
        <v>0.0054</v>
      </c>
      <c r="N35" s="26">
        <f>IF(ISNUMBER('Sheet4-原始数据'!H20),'Sheet4-原始数据'!H20,"")</f>
        <v>0.0383</v>
      </c>
      <c r="O35" s="26">
        <f>IF(ISNUMBER('Sheet5-查询核对'!Q20),'Sheet5-查询核对'!Q20,"")</f>
        <v>0.0466</v>
      </c>
      <c r="P35" s="45">
        <f>IF(G35&lt;&gt;"入池","",IF(F35&gt;='Sheet1-指标体系'!$J$16,IF(AND(ISNUMBER(M35),ISNUMBER(N35)),IF(AND(1+M35&gt;0,1+N35&gt;=0),((1+N35)^'Sheet1-指标体系'!$J$16/(1+M35))^(1/('Sheet1-指标体系'!$J$16-1))-1,""),""),IF(AND(ISNUMBER(M35),ISNUMBER(O35)),IF(AND(F35&gt;1,1+M35&gt;0,1+O35&gt;=0),((1+O35)^F35/(1+M35))^(1/(F35-1))-1,""),"")))</f>
        <v>0.055151548366815</v>
      </c>
      <c r="Q35" s="37">
        <f t="shared" si="0"/>
        <v>2.78</v>
      </c>
      <c r="R35" s="37">
        <f t="shared" si="1"/>
        <v>24.24</v>
      </c>
      <c r="S35" s="37">
        <f>IF(ISNUMBER(Q35),IF(ISNUMBER(R35),ROUND(Q35*'Sheet1-指标体系'!$J$8+R35*'Sheet1-指标体系'!$J$9,2),Q35),"")</f>
        <v>11.36</v>
      </c>
      <c r="T35" s="26">
        <f>IF(ISNUMBER('Sheet4-原始数据'!J20),'Sheet4-原始数据'!J20,"")</f>
        <v>0.3846</v>
      </c>
      <c r="U35" s="26">
        <f>IF(ISNUMBER('Sheet4-原始数据'!I20),'Sheet4-原始数据'!I20,"")</f>
        <v>0.5946</v>
      </c>
      <c r="V35" s="45">
        <f>IF(AND(ISNUMBER(T35),ISNUMBER(U35)),(U35*'Sheet1-指标体系'!$J$6-T35*'Sheet1-指标体系'!$J$5)/'Sheet1-指标体系'!$J$7,"")</f>
        <v>0.70835</v>
      </c>
      <c r="W35" s="37">
        <f t="shared" si="2"/>
        <v>38.46</v>
      </c>
      <c r="X35" s="37">
        <f>IF(G35&lt;&gt;"入池","",IF(ISNUMBER(V35),IF(AND(V35&gt;=0,V35&lt;=1),V35*'Sheet1-指标体系'!$J$18,IF(MAX(0,(F35-'Sheet1-指标体系'!$J$15)*'Sheet1-指标体系'!$J$20)&lt;'Sheet1-指标体系'!$J$19,'Sheet1-指标体系'!$J$18,"")),IF(MAX(0,(F35-'Sheet1-指标体系'!$J$15)*'Sheet1-指标体系'!$J$20)&lt;'Sheet1-指标体系'!$J$19,'Sheet1-指标体系'!$J$18,"")))</f>
        <v>70.835</v>
      </c>
      <c r="Y35" s="37">
        <f>IF(ISNUMBER(W35),IF(ISNUMBER(X35),ROUND(W35*'Sheet1-指标体系'!$J$8+X35*'Sheet1-指标体系'!$J$9,2),W35),"")</f>
        <v>51.41</v>
      </c>
      <c r="Z35" s="45">
        <f t="shared" si="3"/>
        <v>0.0197947214076246</v>
      </c>
      <c r="AA35" s="26">
        <f>IF(ISNUMBER('Sheet4-原始数据'!K20),'Sheet4-原始数据'!K20,"")</f>
        <v>0.0199</v>
      </c>
      <c r="AB35" s="45">
        <f t="shared" si="4"/>
        <v>0.0199</v>
      </c>
      <c r="AC35" s="37">
        <f t="shared" si="5"/>
        <v>52.7</v>
      </c>
      <c r="AD35" s="30">
        <f>IF(ISNUMBER('Sheet4-原始数据'!M20),'Sheet4-原始数据'!M20,"")</f>
        <v>0.2728</v>
      </c>
      <c r="AE35" s="45">
        <f>IF(AND(ISNUMBER(P35),ISNUMBER(AA35),ISNUMBER(Z35)),IF(AA35&gt;Z35+'Sheet1-指标体系'!$J$11,AA35,""),"")</f>
        <v>0.0199</v>
      </c>
      <c r="AF35" s="37">
        <f t="shared" si="6"/>
        <v>2.77143459129724</v>
      </c>
      <c r="AG35" s="37">
        <f t="shared" si="7"/>
        <v>5.63</v>
      </c>
      <c r="AH35" s="37">
        <f t="shared" si="8"/>
        <v>46.88</v>
      </c>
      <c r="AI35" s="37">
        <f>IF(ISNUMBER(AG35),IF(ISNUMBER(AH35),ROUND(AG35*'Sheet1-指标体系'!$J$8+AH35*'Sheet1-指标体系'!$J$9,2),AG35),"")</f>
        <v>22.13</v>
      </c>
      <c r="AJ35" s="45">
        <f>IF(NOT(ISNUMBER(F35)),"",IF(F35&gt;='Sheet1-指标体系'!$J$16,IF(ISNUMBER(N35),N35,""),IF(ISNUMBER(O35),O35,"")))</f>
        <v>0.0383</v>
      </c>
      <c r="AK35" s="37">
        <f>IF(AND(G35="入池",ISNUMBER(M35),ISNUMBER(AJ35)),IF(M35&gt;=AJ35,'Sheet1-指标体系'!$J$18,IF(AJ35-M35&lt;'Sheet1-指标体系'!$J$10,'Sheet1-指标体系'!$J$22,'Sheet1-指标体系'!$J$23)),"")</f>
        <v>80</v>
      </c>
      <c r="AL35" s="37">
        <f>IF((IF(ISNUMBER(I35),'Sheet1-指标体系'!$G$4,0)+IF(ISNUMBER(K35),'Sheet1-指标体系'!$G$5,0)+IF(ISNUMBER(L35),'Sheet1-指标体系'!$G$6,0))&gt;0,ROUND((IF(ISNUMBER(I35),I35*'Sheet1-指标体系'!$G$4,0)+IF(ISNUMBER(K35),K35*'Sheet1-指标体系'!$G$5,0)+IF(ISNUMBER(L35),L35*'Sheet1-指标体系'!$G$6,0))/(IF(ISNUMBER(I35),'Sheet1-指标体系'!$G$4,0)+IF(ISNUMBER(K35),'Sheet1-指标体系'!$G$5,0)+IF(ISNUMBER(L35),'Sheet1-指标体系'!$G$6,0)),2),"")</f>
        <v>84</v>
      </c>
      <c r="AM35" s="37">
        <f t="shared" si="9"/>
        <v>23.38</v>
      </c>
      <c r="AN35" s="37">
        <f t="shared" si="10"/>
        <v>52.7</v>
      </c>
      <c r="AO35" s="37">
        <f t="shared" si="11"/>
        <v>22.13</v>
      </c>
      <c r="AP35" s="37">
        <f t="shared" si="12"/>
        <v>80</v>
      </c>
      <c r="AQ35" s="38">
        <f t="shared" si="13"/>
        <v>1</v>
      </c>
      <c r="AR35" s="37">
        <f t="shared" si="14"/>
        <v>45.08956</v>
      </c>
      <c r="AS35" s="37">
        <f t="shared" si="15"/>
        <v>45.09</v>
      </c>
      <c r="AT35" s="40">
        <f>IF(OR(G35&lt;&gt;"入池",NOT(ISNUMBER(AS35))),"",COUNTIFS($G$17:$G$99,"入池",$AS$17:$AS$99,"&gt;"&amp;AS35)+COUNTIFS($G$17:$G$99,"入池",$AS$17:$AS$99,AS35,$AQ$17:$AQ$99,"&gt;"&amp;AQ35)+COUNTIFS($G$17:G35,"入池",$AS$17:AS35,AS35,$AQ$17:AQ35,AQ35))</f>
        <v>63</v>
      </c>
      <c r="AU35" s="46" t="str">
        <f>IF(NOT(ISNUMBER(I35)),"管理人规模；","")&amp;IF(NOT(ISNUMBER(K35)),"产品规模标识；","")&amp;IF(NOT(ISNUMBER(M35)),"近一年收益；","")&amp;IF(NOT(ISNUMBER(T35)),"近一年胜率；","")&amp;IF(NOT(ISNUMBER(N35)),"近三年收益；","")&amp;IF(NOT(ISNUMBER(U35)),"近三年胜率；","")&amp;IF(NOT(ISNUMBER(AA35)),"近三年回撤；","")&amp;IF(NOT(ISNUMBER(AD35)),"近一年卡玛；","")&amp;IF(ISNUMBER(F35),IF(AND(F35&lt;'Sheet1-指标体系'!$J$16,NOT(ISNUMBER(O35))),"成立以来年化；",""),"成立日期；")&amp;IF(ISNUMBER(V35),IF(OR(V35&lt;0,V35&gt;1),"胜率窗口口径不一致；",""),"")&amp;IF(ISNUMBER(P35),IF(NOT(ISNUMBER(AE35)),"DD_long不可识别；",""),"")</f>
        <v/>
      </c>
      <c r="AV35" s="37">
        <f>IF(ABS(SUM(CA35:CK35)-'Sheet1-指标体系'!$J$25)&lt;0.0000000001,SUM(BP35:BZ35),"")</f>
        <v>45.08956</v>
      </c>
      <c r="AW35" s="36" t="str">
        <f>IF(G35&lt;&gt;"入池",G35,IF(AQ35=0,"无有效评分数据",IF(ROUND(AQ35,10)=ROUND('Sheet1-指标体系'!$J$25,10),"完整赋分","暂定分／数据不完整")))</f>
        <v>完整赋分</v>
      </c>
      <c r="AX35" s="22" t="str">
        <f>IF('Sheet4-原始数据'!C20="","",'Sheet4-原始数据'!C20)</f>
        <v>套利策略</v>
      </c>
      <c r="AY35" s="22" t="str">
        <f>IF('Sheet4-原始数据'!D20="","",'Sheet4-原始数据'!D20)</f>
        <v>可转债套利</v>
      </c>
      <c r="AZ35" s="22" t="str">
        <f>IF('Sheet5-查询核对'!S20="","",'Sheet5-查询核对'!S20)</f>
        <v>套利策略—可转债套利</v>
      </c>
      <c r="BA35" s="25">
        <f>IF('Sheet5-查询核对'!A20="","",'Sheet5-查询核对'!A20)</f>
        <v>20</v>
      </c>
      <c r="BB35" s="22" t="str">
        <f>IF('Sheet5-查询核对'!F20="","",'Sheet5-查询核对'!F20)</f>
        <v>备案号匹配</v>
      </c>
      <c r="BC35" s="24" t="str">
        <f>IF('Sheet5-查询核对'!I20="","",'Sheet5-查询核对'!I20)</f>
        <v>https://mp.fof99.com/fund/view/e556f77ef201098a</v>
      </c>
      <c r="BD35" s="23">
        <f>IF('Sheet5-查询核对'!H20="","",'Sheet5-查询核对'!H20)</f>
        <v>46269</v>
      </c>
      <c r="BE35" s="24" t="str">
        <f>IF('Sheet5-查询核对'!L20="","",'Sheet5-查询核对'!L20)</f>
        <v>https://gs.amac.org.cn/amac-infodisc/res/pof/manager/101000049159.html</v>
      </c>
      <c r="BF35" s="23">
        <f>IF('Sheet5-查询核对'!M20="","",'Sheet5-查询核对'!M20)</f>
        <v>46276</v>
      </c>
      <c r="BG35" s="24" t="str">
        <f>IF('Sheet5-查询核对'!O20="","",'Sheet5-查询核对'!O20)</f>
        <v>https://gs.amac.org.cn/amac-infodisc/res/pof/fund/2104231724118753.html</v>
      </c>
      <c r="BH35" s="23">
        <f>IF('Sheet5-查询核对'!P20="","",'Sheet5-查询核对'!P20)</f>
        <v>46276</v>
      </c>
      <c r="BI35" s="22" t="str">
        <f>IF('Sheet5-查询核对'!D20="","",'Sheet5-查询核对'!D20)</f>
        <v>SQC001</v>
      </c>
      <c r="BJ35">
        <f>IF(ISNUMBER(AT35),AT35,COUNT($AT$17:$AT$99)+ROWS($AT$17:AT35)-COUNT($AT$17:AT35))</f>
        <v>63</v>
      </c>
      <c r="BK35" s="2">
        <f t="shared" si="16"/>
        <v>1</v>
      </c>
      <c r="BL35" s="2">
        <f t="shared" si="17"/>
        <v>1</v>
      </c>
      <c r="BM35" s="2">
        <f t="shared" si="18"/>
        <v>1</v>
      </c>
      <c r="BN35" s="2">
        <f t="shared" si="19"/>
        <v>1</v>
      </c>
      <c r="BO35" s="2">
        <f t="shared" si="20"/>
        <v>1</v>
      </c>
      <c r="BP35" s="48">
        <f>IF(G35="入池",IF(ISNUMBER(I35),I35*('Sheet1-指标体系'!$G$4),0),0)</f>
        <v>3.6</v>
      </c>
      <c r="BQ35" s="48">
        <f>IF(G35="入池",IF(ISNUMBER(K35),K35*('Sheet1-指标体系'!$G$5),0),0)</f>
        <v>4.5</v>
      </c>
      <c r="BR35" s="48">
        <f>IF(G35="入池",IF(ISNUMBER(L35),L35*('Sheet1-指标体系'!$G$6),0),0)</f>
        <v>4.5</v>
      </c>
      <c r="BS35" s="48">
        <f>IF(G35="入池",IF(ISNUMBER(Q35),Q35*('Sheet1-指标体系'!$G$7*'Sheet1-指标体系'!$J$8),0),0)</f>
        <v>0.23352</v>
      </c>
      <c r="BT35" s="48">
        <f>IF(G35="入池",IF(ISNUMBER(R35),R35*('Sheet1-指标体系'!$G$7*'Sheet1-指标体系'!$J$9),0),0)</f>
        <v>1.35744</v>
      </c>
      <c r="BU35" s="48">
        <f>IF(G35="入池",IF(ISNUMBER(W35),W35*('Sheet1-指标体系'!$G$8*'Sheet1-指标体系'!$J$8),0),0)</f>
        <v>1.38456</v>
      </c>
      <c r="BV35" s="48">
        <f>IF(G35="入池",IF(ISNUMBER(X35),X35*('Sheet1-指标体系'!$G$8*'Sheet1-指标体系'!$J$9),0),0)</f>
        <v>1.70004</v>
      </c>
      <c r="BW35" s="48">
        <f>IF(G35="入池",IF(ISNUMBER(AC35),AC35*('Sheet1-指标体系'!$G$9),0),0)</f>
        <v>13.175</v>
      </c>
      <c r="BX35" s="48">
        <f>IF(G35="入池",IF(ISNUMBER(AG35),AG35*('Sheet1-指标体系'!$G$10*'Sheet1-指标体系'!$J$8),0),0)</f>
        <v>1.0134</v>
      </c>
      <c r="BY35" s="48">
        <f>IF(G35="入池",IF(ISNUMBER(AH35),AH35*('Sheet1-指标体系'!$G$10*'Sheet1-指标体系'!$J$9),0),0)</f>
        <v>5.6256</v>
      </c>
      <c r="BZ35" s="48">
        <f>IF(G35="入池",IF(ISNUMBER(AK35),AK35*('Sheet1-指标体系'!$G$11),0),0)</f>
        <v>8</v>
      </c>
      <c r="CA35" s="49">
        <f>IF(G35="入池",IF(ISNUMBER(I35),'Sheet1-指标体系'!$G$4,0),0)</f>
        <v>0.06</v>
      </c>
      <c r="CB35" s="49">
        <f>IF(G35="入池",IF(ISNUMBER(K35),'Sheet1-指标体系'!$G$5,0),0)</f>
        <v>0.045</v>
      </c>
      <c r="CC35" s="49">
        <f>IF(G35="入池",IF(ISNUMBER(L35),'Sheet1-指标体系'!$G$6,0),0)</f>
        <v>0.045</v>
      </c>
      <c r="CD35" s="49">
        <f>IF(G35="入池",IF(ISNUMBER(Q35),'Sheet1-指标体系'!$G$7*'Sheet1-指标体系'!$J$8,0),0)</f>
        <v>0.084</v>
      </c>
      <c r="CE35" s="49">
        <f>IF(G35="入池",IF(ISNUMBER(R35),'Sheet1-指标体系'!$G$7*'Sheet1-指标体系'!$J$9,0),0)</f>
        <v>0.056</v>
      </c>
      <c r="CF35" s="49">
        <f>IF(G35="入池",IF(ISNUMBER(W35),'Sheet1-指标体系'!$G$8*'Sheet1-指标体系'!$J$8,0),0)</f>
        <v>0.036</v>
      </c>
      <c r="CG35" s="49">
        <f>IF(G35="入池",IF(ISNUMBER(X35),'Sheet1-指标体系'!$G$8*'Sheet1-指标体系'!$J$9,0),0)</f>
        <v>0.024</v>
      </c>
      <c r="CH35" s="49">
        <f>IF(G35="入池",IF(ISNUMBER(AC35),'Sheet1-指标体系'!$G$9,0),0)</f>
        <v>0.25</v>
      </c>
      <c r="CI35" s="49">
        <f>IF(G35="入池",IF(ISNUMBER(AG35),'Sheet1-指标体系'!$G$10*'Sheet1-指标体系'!$J$8,0),0)</f>
        <v>0.18</v>
      </c>
      <c r="CJ35" s="49">
        <f>IF(G35="入池",IF(ISNUMBER(AH35),'Sheet1-指标体系'!$G$10*'Sheet1-指标体系'!$J$9,0),0)</f>
        <v>0.12</v>
      </c>
      <c r="CK35" s="49">
        <f>IF(G35="入池",IF(ISNUMBER(AK35),'Sheet1-指标体系'!$G$11,0),0)</f>
        <v>0.1</v>
      </c>
    </row>
    <row r="36" ht="44" customHeight="1" spans="1:89">
      <c r="A36" s="40">
        <f>'Sheet5-查询核对'!A21-1</f>
        <v>20</v>
      </c>
      <c r="B36" s="24" t="str">
        <f>IF('Sheet4-原始数据'!A21="",'Sheet5-查询核对'!B21,'Sheet4-原始数据'!A21)</f>
        <v>汇艾稳健3号</v>
      </c>
      <c r="C36" s="22" t="str">
        <f>IF('Sheet4-原始数据'!B21="","",'Sheet4-原始数据'!B21)</f>
        <v>SR8584</v>
      </c>
      <c r="D36" s="22" t="str">
        <f>IF('Sheet4-原始数据'!E21="","",'Sheet4-原始数据'!E21)</f>
        <v>上海汇艾资管</v>
      </c>
      <c r="E36" s="23">
        <f>IF('Sheet4-原始数据'!F21="","",'Sheet4-原始数据'!F21)</f>
        <v>42772</v>
      </c>
      <c r="F36" s="37">
        <f>IF(ISNUMBER(E36),ROUND(('Sheet1-指标体系'!$J$12-E36)/'Sheet1-指标体系'!$J$14,4),"")</f>
        <v>9.5907</v>
      </c>
      <c r="G36" s="36" t="str">
        <f>IF(C36="","未匹配",IF(NOT(ISNUMBER(F36)),"缺成立日期",IF(F36&lt;'Sheet1-指标体系'!$J$15,"不入池","入池")))</f>
        <v>入池</v>
      </c>
      <c r="H36" s="22" t="str">
        <f>IF('Sheet5-查询核对'!K21="","",'Sheet5-查询核对'!K21)</f>
        <v>0-5亿元</v>
      </c>
      <c r="I36" s="37">
        <f>IF(H36="","",IF(COUNTIF('Sheet1-指标体系'!$P$4:$P$10,H36)=0,"",INDEX('Sheet1-指标体系'!$Q$4:$Q$10,MATCH(H36,'Sheet1-指标体系'!$P$4:$P$10,0))))</f>
        <v>60</v>
      </c>
      <c r="J36" s="44" t="str">
        <f>IF(NOT(ISNUMBER('Sheet5-查询核对'!N21)),"",IF('Sheet5-查询核对'!N21=1,"低于"&amp;'Sheet1-指标体系'!$J$4&amp;"万元",IF('Sheet5-查询核对'!N21=0,"无低于"&amp;'Sheet1-指标体系'!$J$4&amp;"万元标识","")))</f>
        <v>无低于1000万元标识</v>
      </c>
      <c r="K36" s="37">
        <f>IF(NOT(ISNUMBER('Sheet5-查询核对'!N21)),"",IF('Sheet5-查询核对'!N21=1,'Sheet1-指标体系'!$J$21,IF('Sheet5-查询核对'!N21=0,'Sheet1-指标体系'!$J$18,"")))</f>
        <v>100</v>
      </c>
      <c r="L36" s="37">
        <f>IF(NOT(ISNUMBER(F36)),"",IF(F36&lt;'Sheet1-指标体系'!$J$15,"",IF(F36&lt;'Sheet1-指标体系'!$J$16,'Sheet1-指标体系'!$J$17,'Sheet1-指标体系'!$J$18)))</f>
        <v>100</v>
      </c>
      <c r="M36" s="26">
        <f>IF(ISNUMBER('Sheet4-原始数据'!G21),'Sheet4-原始数据'!G21,"")</f>
        <v>0.0765</v>
      </c>
      <c r="N36" s="26">
        <f>IF(ISNUMBER('Sheet4-原始数据'!H21),'Sheet4-原始数据'!H21,"")</f>
        <v>0.0429</v>
      </c>
      <c r="O36" s="26">
        <f>IF(ISNUMBER('Sheet5-查询核对'!Q21),'Sheet5-查询核对'!Q21,"")</f>
        <v>0.1093</v>
      </c>
      <c r="P36" s="45">
        <f>IF(G36&lt;&gt;"入池","",IF(F36&gt;='Sheet1-指标体系'!$J$16,IF(AND(ISNUMBER(M36),ISNUMBER(N36)),IF(AND(1+M36&gt;0,1+N36&gt;=0),((1+N36)^'Sheet1-指标体系'!$J$16/(1+M36))^(1/('Sheet1-指标体系'!$J$16-1))-1,""),""),IF(AND(ISNUMBER(M36),ISNUMBER(O36)),IF(AND(F36&gt;1,1+M36&gt;0,1+O36&gt;=0),((1+O36)^F36/(1+M36))^(1/(F36-1))-1,""),"")))</f>
        <v>0.0264953446580931</v>
      </c>
      <c r="Q36" s="37">
        <f t="shared" si="0"/>
        <v>37.5</v>
      </c>
      <c r="R36" s="37">
        <f t="shared" si="1"/>
        <v>3.03</v>
      </c>
      <c r="S36" s="37">
        <f>IF(ISNUMBER(Q36),IF(ISNUMBER(R36),ROUND(Q36*'Sheet1-指标体系'!$J$8+R36*'Sheet1-指标体系'!$J$9,2),Q36),"")</f>
        <v>23.71</v>
      </c>
      <c r="T36" s="26">
        <f>IF(ISNUMBER('Sheet4-原始数据'!J21),'Sheet4-原始数据'!J21,"")</f>
        <v>1</v>
      </c>
      <c r="U36" s="26">
        <f>IF(ISNUMBER('Sheet4-原始数据'!I21),'Sheet4-原始数据'!I21,"")</f>
        <v>0.8108</v>
      </c>
      <c r="V36" s="45">
        <f>IF(AND(ISNUMBER(T36),ISNUMBER(U36)),(U36*'Sheet1-指标体系'!$J$6-T36*'Sheet1-指标体系'!$J$5)/'Sheet1-指标体系'!$J$7,"")</f>
        <v>0.708316666666667</v>
      </c>
      <c r="W36" s="37">
        <f t="shared" si="2"/>
        <v>100</v>
      </c>
      <c r="X36" s="37">
        <f>IF(G36&lt;&gt;"入池","",IF(ISNUMBER(V36),IF(AND(V36&gt;=0,V36&lt;=1),V36*'Sheet1-指标体系'!$J$18,IF(MAX(0,(F36-'Sheet1-指标体系'!$J$15)*'Sheet1-指标体系'!$J$20)&lt;'Sheet1-指标体系'!$J$19,'Sheet1-指标体系'!$J$18,"")),IF(MAX(0,(F36-'Sheet1-指标体系'!$J$15)*'Sheet1-指标体系'!$J$20)&lt;'Sheet1-指标体系'!$J$19,'Sheet1-指标体系'!$J$18,"")))</f>
        <v>70.8316666666667</v>
      </c>
      <c r="Y36" s="37">
        <f>IF(ISNUMBER(W36),IF(ISNUMBER(X36),ROUND(W36*'Sheet1-指标体系'!$J$8+X36*'Sheet1-指标体系'!$J$9,2),W36),"")</f>
        <v>88.33</v>
      </c>
      <c r="Z36" s="45">
        <f t="shared" si="3"/>
        <v>0.00781457494841359</v>
      </c>
      <c r="AA36" s="26">
        <f>IF(ISNUMBER('Sheet4-原始数据'!K21),'Sheet4-原始数据'!K21,"")</f>
        <v>0.0106</v>
      </c>
      <c r="AB36" s="45">
        <f t="shared" si="4"/>
        <v>0.0106</v>
      </c>
      <c r="AC36" s="37">
        <f t="shared" si="5"/>
        <v>70.27</v>
      </c>
      <c r="AD36" s="30">
        <f>IF(ISNUMBER('Sheet4-原始数据'!M21),'Sheet4-原始数据'!M21,"")</f>
        <v>9.7894</v>
      </c>
      <c r="AE36" s="45">
        <f>IF(AND(ISNUMBER(P36),ISNUMBER(AA36),ISNUMBER(Z36)),IF(AA36&gt;Z36+'Sheet1-指标体系'!$J$11,AA36,""),"")</f>
        <v>0.0106</v>
      </c>
      <c r="AF36" s="37">
        <f t="shared" si="6"/>
        <v>2.49956081680124</v>
      </c>
      <c r="AG36" s="37">
        <f t="shared" si="7"/>
        <v>53.52</v>
      </c>
      <c r="AH36" s="37">
        <f t="shared" si="8"/>
        <v>40.63</v>
      </c>
      <c r="AI36" s="37">
        <f>IF(ISNUMBER(AG36),IF(ISNUMBER(AH36),ROUND(AG36*'Sheet1-指标体系'!$J$8+AH36*'Sheet1-指标体系'!$J$9,2),AG36),"")</f>
        <v>48.36</v>
      </c>
      <c r="AJ36" s="45">
        <f>IF(NOT(ISNUMBER(F36)),"",IF(F36&gt;='Sheet1-指标体系'!$J$16,IF(ISNUMBER(N36),N36,""),IF(ISNUMBER(O36),O36,"")))</f>
        <v>0.0429</v>
      </c>
      <c r="AK36" s="37">
        <f>IF(AND(G36="入池",ISNUMBER(M36),ISNUMBER(AJ36)),IF(M36&gt;=AJ36,'Sheet1-指标体系'!$J$18,IF(AJ36-M36&lt;'Sheet1-指标体系'!$J$10,'Sheet1-指标体系'!$J$22,'Sheet1-指标体系'!$J$23)),"")</f>
        <v>100</v>
      </c>
      <c r="AL36" s="37">
        <f>IF((IF(ISNUMBER(I36),'Sheet1-指标体系'!$G$4,0)+IF(ISNUMBER(K36),'Sheet1-指标体系'!$G$5,0)+IF(ISNUMBER(L36),'Sheet1-指标体系'!$G$6,0))&gt;0,ROUND((IF(ISNUMBER(I36),I36*'Sheet1-指标体系'!$G$4,0)+IF(ISNUMBER(K36),K36*'Sheet1-指标体系'!$G$5,0)+IF(ISNUMBER(L36),L36*'Sheet1-指标体系'!$G$6,0))/(IF(ISNUMBER(I36),'Sheet1-指标体系'!$G$4,0)+IF(ISNUMBER(K36),'Sheet1-指标体系'!$G$5,0)+IF(ISNUMBER(L36),'Sheet1-指标体系'!$G$6,0)),2),"")</f>
        <v>84</v>
      </c>
      <c r="AM36" s="37">
        <f t="shared" si="9"/>
        <v>43.1</v>
      </c>
      <c r="AN36" s="37">
        <f t="shared" si="10"/>
        <v>70.27</v>
      </c>
      <c r="AO36" s="37">
        <f t="shared" si="11"/>
        <v>48.36</v>
      </c>
      <c r="AP36" s="37">
        <f t="shared" si="12"/>
        <v>100</v>
      </c>
      <c r="AQ36" s="38">
        <f t="shared" si="13"/>
        <v>1</v>
      </c>
      <c r="AR36" s="37">
        <f t="shared" si="14"/>
        <v>63.29634</v>
      </c>
      <c r="AS36" s="37">
        <f t="shared" si="15"/>
        <v>63.3</v>
      </c>
      <c r="AT36" s="40">
        <f>IF(OR(G36&lt;&gt;"入池",NOT(ISNUMBER(AS36))),"",COUNTIFS($G$17:$G$99,"入池",$AS$17:$AS$99,"&gt;"&amp;AS36)+COUNTIFS($G$17:$G$99,"入池",$AS$17:$AS$99,AS36,$AQ$17:$AQ$99,"&gt;"&amp;AQ36)+COUNTIFS($G$17:G36,"入池",$AS$17:AS36,AS36,$AQ$17:AQ36,AQ36))</f>
        <v>40</v>
      </c>
      <c r="AU36" s="46" t="str">
        <f>IF(NOT(ISNUMBER(I36)),"管理人规模；","")&amp;IF(NOT(ISNUMBER(K36)),"产品规模标识；","")&amp;IF(NOT(ISNUMBER(M36)),"近一年收益；","")&amp;IF(NOT(ISNUMBER(T36)),"近一年胜率；","")&amp;IF(NOT(ISNUMBER(N36)),"近三年收益；","")&amp;IF(NOT(ISNUMBER(U36)),"近三年胜率；","")&amp;IF(NOT(ISNUMBER(AA36)),"近三年回撤；","")&amp;IF(NOT(ISNUMBER(AD36)),"近一年卡玛；","")&amp;IF(ISNUMBER(F36),IF(AND(F36&lt;'Sheet1-指标体系'!$J$16,NOT(ISNUMBER(O36))),"成立以来年化；",""),"成立日期；")&amp;IF(ISNUMBER(V36),IF(OR(V36&lt;0,V36&gt;1),"胜率窗口口径不一致；",""),"")&amp;IF(ISNUMBER(P36),IF(NOT(ISNUMBER(AE36)),"DD_long不可识别；",""),"")</f>
        <v/>
      </c>
      <c r="AV36" s="37">
        <f>IF(ABS(SUM(CA36:CK36)-'Sheet1-指标体系'!$J$25)&lt;0.0000000001,SUM(BP36:BZ36),"")</f>
        <v>63.29634</v>
      </c>
      <c r="AW36" s="36" t="str">
        <f>IF(G36&lt;&gt;"入池",G36,IF(AQ36=0,"无有效评分数据",IF(ROUND(AQ36,10)=ROUND('Sheet1-指标体系'!$J$25,10),"完整赋分","暂定分／数据不完整")))</f>
        <v>完整赋分</v>
      </c>
      <c r="AX36" s="22" t="str">
        <f>IF('Sheet4-原始数据'!C21="","",'Sheet4-原始数据'!C21)</f>
        <v>套利策略</v>
      </c>
      <c r="AY36" s="22" t="str">
        <f>IF('Sheet4-原始数据'!D21="","",'Sheet4-原始数据'!D21)</f>
        <v>期货套利</v>
      </c>
      <c r="AZ36" s="22" t="str">
        <f>IF('Sheet5-查询核对'!S21="","",'Sheet5-查询核对'!S21)</f>
        <v>套利策略—期货套利</v>
      </c>
      <c r="BA36" s="25">
        <f>IF('Sheet5-查询核对'!A21="","",'Sheet5-查询核对'!A21)</f>
        <v>21</v>
      </c>
      <c r="BB36" s="22" t="str">
        <f>IF('Sheet5-查询核对'!F21="","",'Sheet5-查询核对'!F21)</f>
        <v>备案号匹配</v>
      </c>
      <c r="BC36" s="24" t="str">
        <f>IF('Sheet5-查询核对'!I21="","",'Sheet5-查询核对'!I21)</f>
        <v>https://mp.fof99.com/fund/view/5a95543cf10b3b66</v>
      </c>
      <c r="BD36" s="23">
        <f>IF('Sheet5-查询核对'!H21="","",'Sheet5-查询核对'!H21)</f>
        <v>46269</v>
      </c>
      <c r="BE36" s="24" t="str">
        <f>IF('Sheet5-查询核对'!L21="","",'Sheet5-查询核对'!L21)</f>
        <v>https://gs.amac.org.cn/amac-infodisc/res/pof/manager/101000016385.html</v>
      </c>
      <c r="BF36" s="23">
        <f>IF('Sheet5-查询核对'!M21="","",'Sheet5-查询核对'!M21)</f>
        <v>46276</v>
      </c>
      <c r="BG36" s="24" t="str">
        <f>IF('Sheet5-查询核对'!O21="","",'Sheet5-查询核对'!O21)</f>
        <v>https://gs.amac.org.cn/amac-infodisc/res/pof/fund/351000760422.html</v>
      </c>
      <c r="BH36" s="23">
        <f>IF('Sheet5-查询核对'!P21="","",'Sheet5-查询核对'!P21)</f>
        <v>46276</v>
      </c>
      <c r="BI36" s="22" t="str">
        <f>IF('Sheet5-查询核对'!D21="","",'Sheet5-查询核对'!D21)</f>
        <v>SR8584</v>
      </c>
      <c r="BJ36">
        <f>IF(ISNUMBER(AT36),AT36,COUNT($AT$17:$AT$99)+ROWS($AT$17:AT36)-COUNT($AT$17:AT36))</f>
        <v>40</v>
      </c>
      <c r="BK36" s="2">
        <f t="shared" si="16"/>
        <v>1</v>
      </c>
      <c r="BL36" s="2">
        <f t="shared" si="17"/>
        <v>1</v>
      </c>
      <c r="BM36" s="2">
        <f t="shared" si="18"/>
        <v>1</v>
      </c>
      <c r="BN36" s="2">
        <f t="shared" si="19"/>
        <v>1</v>
      </c>
      <c r="BO36" s="2">
        <f t="shared" si="20"/>
        <v>1</v>
      </c>
      <c r="BP36" s="48">
        <f>IF(G36="入池",IF(ISNUMBER(I36),I36*('Sheet1-指标体系'!$G$4),0),0)</f>
        <v>3.6</v>
      </c>
      <c r="BQ36" s="48">
        <f>IF(G36="入池",IF(ISNUMBER(K36),K36*('Sheet1-指标体系'!$G$5),0),0)</f>
        <v>4.5</v>
      </c>
      <c r="BR36" s="48">
        <f>IF(G36="入池",IF(ISNUMBER(L36),L36*('Sheet1-指标体系'!$G$6),0),0)</f>
        <v>4.5</v>
      </c>
      <c r="BS36" s="48">
        <f>IF(G36="入池",IF(ISNUMBER(Q36),Q36*('Sheet1-指标体系'!$G$7*'Sheet1-指标体系'!$J$8),0),0)</f>
        <v>3.15</v>
      </c>
      <c r="BT36" s="48">
        <f>IF(G36="入池",IF(ISNUMBER(R36),R36*('Sheet1-指标体系'!$G$7*'Sheet1-指标体系'!$J$9),0),0)</f>
        <v>0.16968</v>
      </c>
      <c r="BU36" s="48">
        <f>IF(G36="入池",IF(ISNUMBER(W36),W36*('Sheet1-指标体系'!$G$8*'Sheet1-指标体系'!$J$8),0),0)</f>
        <v>3.6</v>
      </c>
      <c r="BV36" s="48">
        <f>IF(G36="入池",IF(ISNUMBER(X36),X36*('Sheet1-指标体系'!$G$8*'Sheet1-指标体系'!$J$9),0),0)</f>
        <v>1.69996</v>
      </c>
      <c r="BW36" s="48">
        <f>IF(G36="入池",IF(ISNUMBER(AC36),AC36*('Sheet1-指标体系'!$G$9),0),0)</f>
        <v>17.5675</v>
      </c>
      <c r="BX36" s="48">
        <f>IF(G36="入池",IF(ISNUMBER(AG36),AG36*('Sheet1-指标体系'!$G$10*'Sheet1-指标体系'!$J$8),0),0)</f>
        <v>9.6336</v>
      </c>
      <c r="BY36" s="48">
        <f>IF(G36="入池",IF(ISNUMBER(AH36),AH36*('Sheet1-指标体系'!$G$10*'Sheet1-指标体系'!$J$9),0),0)</f>
        <v>4.8756</v>
      </c>
      <c r="BZ36" s="48">
        <f>IF(G36="入池",IF(ISNUMBER(AK36),AK36*('Sheet1-指标体系'!$G$11),0),0)</f>
        <v>10</v>
      </c>
      <c r="CA36" s="49">
        <f>IF(G36="入池",IF(ISNUMBER(I36),'Sheet1-指标体系'!$G$4,0),0)</f>
        <v>0.06</v>
      </c>
      <c r="CB36" s="49">
        <f>IF(G36="入池",IF(ISNUMBER(K36),'Sheet1-指标体系'!$G$5,0),0)</f>
        <v>0.045</v>
      </c>
      <c r="CC36" s="49">
        <f>IF(G36="入池",IF(ISNUMBER(L36),'Sheet1-指标体系'!$G$6,0),0)</f>
        <v>0.045</v>
      </c>
      <c r="CD36" s="49">
        <f>IF(G36="入池",IF(ISNUMBER(Q36),'Sheet1-指标体系'!$G$7*'Sheet1-指标体系'!$J$8,0),0)</f>
        <v>0.084</v>
      </c>
      <c r="CE36" s="49">
        <f>IF(G36="入池",IF(ISNUMBER(R36),'Sheet1-指标体系'!$G$7*'Sheet1-指标体系'!$J$9,0),0)</f>
        <v>0.056</v>
      </c>
      <c r="CF36" s="49">
        <f>IF(G36="入池",IF(ISNUMBER(W36),'Sheet1-指标体系'!$G$8*'Sheet1-指标体系'!$J$8,0),0)</f>
        <v>0.036</v>
      </c>
      <c r="CG36" s="49">
        <f>IF(G36="入池",IF(ISNUMBER(X36),'Sheet1-指标体系'!$G$8*'Sheet1-指标体系'!$J$9,0),0)</f>
        <v>0.024</v>
      </c>
      <c r="CH36" s="49">
        <f>IF(G36="入池",IF(ISNUMBER(AC36),'Sheet1-指标体系'!$G$9,0),0)</f>
        <v>0.25</v>
      </c>
      <c r="CI36" s="49">
        <f>IF(G36="入池",IF(ISNUMBER(AG36),'Sheet1-指标体系'!$G$10*'Sheet1-指标体系'!$J$8,0),0)</f>
        <v>0.18</v>
      </c>
      <c r="CJ36" s="49">
        <f>IF(G36="入池",IF(ISNUMBER(AH36),'Sheet1-指标体系'!$G$10*'Sheet1-指标体系'!$J$9,0),0)</f>
        <v>0.12</v>
      </c>
      <c r="CK36" s="49">
        <f>IF(G36="入池",IF(ISNUMBER(AK36),'Sheet1-指标体系'!$G$11,0),0)</f>
        <v>0.1</v>
      </c>
    </row>
    <row r="37" ht="44" customHeight="1" spans="1:89">
      <c r="A37" s="40">
        <f>'Sheet5-查询核对'!A22-1</f>
        <v>21</v>
      </c>
      <c r="B37" s="24" t="str">
        <f>IF('Sheet4-原始数据'!A22="",'Sheet5-查询核对'!B22,'Sheet4-原始数据'!A22)</f>
        <v>惠隆金选套利1号</v>
      </c>
      <c r="C37" s="22" t="str">
        <f>IF('Sheet4-原始数据'!B22="","",'Sheet4-原始数据'!B22)</f>
        <v>SQG026</v>
      </c>
      <c r="D37" s="22" t="str">
        <f>IF('Sheet4-原始数据'!E22="","",'Sheet4-原始数据'!E22)</f>
        <v>北京惠隆资管</v>
      </c>
      <c r="E37" s="23">
        <f>IF('Sheet4-原始数据'!F22="","",'Sheet4-原始数据'!F22)</f>
        <v>44462</v>
      </c>
      <c r="F37" s="37">
        <f>IF(ISNUMBER(E37),ROUND(('Sheet1-指标体系'!$J$12-E37)/'Sheet1-指标体系'!$J$14,4),"")</f>
        <v>4.9637</v>
      </c>
      <c r="G37" s="36" t="str">
        <f>IF(C37="","未匹配",IF(NOT(ISNUMBER(F37)),"缺成立日期",IF(F37&lt;'Sheet1-指标体系'!$J$15,"不入池","入池")))</f>
        <v>入池</v>
      </c>
      <c r="H37" s="22" t="str">
        <f>IF('Sheet5-查询核对'!K22="","",'Sheet5-查询核对'!K22)</f>
        <v>10-20亿元</v>
      </c>
      <c r="I37" s="37">
        <f>IF(H37="","",IF(COUNTIF('Sheet1-指标体系'!$P$4:$P$10,H37)=0,"",INDEX('Sheet1-指标体系'!$Q$4:$Q$10,MATCH(H37,'Sheet1-指标体系'!$P$4:$P$10,0))))</f>
        <v>80</v>
      </c>
      <c r="J37" s="44" t="str">
        <f>IF(NOT(ISNUMBER('Sheet5-查询核对'!N22)),"",IF('Sheet5-查询核对'!N22=1,"低于"&amp;'Sheet1-指标体系'!$J$4&amp;"万元",IF('Sheet5-查询核对'!N22=0,"无低于"&amp;'Sheet1-指标体系'!$J$4&amp;"万元标识","")))</f>
        <v>无低于1000万元标识</v>
      </c>
      <c r="K37" s="37">
        <f>IF(NOT(ISNUMBER('Sheet5-查询核对'!N22)),"",IF('Sheet5-查询核对'!N22=1,'Sheet1-指标体系'!$J$21,IF('Sheet5-查询核对'!N22=0,'Sheet1-指标体系'!$J$18,"")))</f>
        <v>100</v>
      </c>
      <c r="L37" s="37">
        <f>IF(NOT(ISNUMBER(F37)),"",IF(F37&lt;'Sheet1-指标体系'!$J$15,"",IF(F37&lt;'Sheet1-指标体系'!$J$16,'Sheet1-指标体系'!$J$17,'Sheet1-指标体系'!$J$18)))</f>
        <v>100</v>
      </c>
      <c r="M37" s="26">
        <f>IF(ISNUMBER('Sheet4-原始数据'!G22),'Sheet4-原始数据'!G22,"")</f>
        <v>0.1359</v>
      </c>
      <c r="N37" s="26">
        <f>IF(ISNUMBER('Sheet4-原始数据'!H22),'Sheet4-原始数据'!H22,"")</f>
        <v>0.1668</v>
      </c>
      <c r="O37" s="26">
        <f>IF(ISNUMBER('Sheet5-查询核对'!Q22),'Sheet5-查询核对'!Q22,"")</f>
        <v>0.1457</v>
      </c>
      <c r="P37" s="45">
        <f>IF(G37&lt;&gt;"入池","",IF(F37&gt;='Sheet1-指标体系'!$J$16,IF(AND(ISNUMBER(M37),ISNUMBER(N37)),IF(AND(1+M37&gt;0,1+N37&gt;=0),((1+N37)^'Sheet1-指标体系'!$J$16/(1+M37))^(1/('Sheet1-指标体系'!$J$16-1))-1,""),""),IF(AND(ISNUMBER(M37),ISNUMBER(O37)),IF(AND(F37&gt;1,1+M37&gt;0,1+O37&gt;=0),((1+O37)^F37/(1+M37))^(1/(F37-1))-1,""),"")))</f>
        <v>0.182563801150207</v>
      </c>
      <c r="Q37" s="37">
        <f t="shared" si="0"/>
        <v>75.69</v>
      </c>
      <c r="R37" s="37">
        <f t="shared" si="1"/>
        <v>98.48</v>
      </c>
      <c r="S37" s="37">
        <f>IF(ISNUMBER(Q37),IF(ISNUMBER(R37),ROUND(Q37*'Sheet1-指标体系'!$J$8+R37*'Sheet1-指标体系'!$J$9,2),Q37),"")</f>
        <v>84.81</v>
      </c>
      <c r="T37" s="26">
        <f>IF(ISNUMBER('Sheet4-原始数据'!J22),'Sheet4-原始数据'!J22,"")</f>
        <v>1</v>
      </c>
      <c r="U37" s="26">
        <f>IF(ISNUMBER('Sheet4-原始数据'!I22),'Sheet4-原始数据'!I22,"")</f>
        <v>1</v>
      </c>
      <c r="V37" s="45">
        <f>IF(AND(ISNUMBER(T37),ISNUMBER(U37)),(U37*'Sheet1-指标体系'!$J$6-T37*'Sheet1-指标体系'!$J$5)/'Sheet1-指标体系'!$J$7,"")</f>
        <v>1</v>
      </c>
      <c r="W37" s="37">
        <f t="shared" si="2"/>
        <v>100</v>
      </c>
      <c r="X37" s="37">
        <f>IF(G37&lt;&gt;"入池","",IF(ISNUMBER(V37),IF(AND(V37&gt;=0,V37&lt;=1),V37*'Sheet1-指标体系'!$J$18,IF(MAX(0,(F37-'Sheet1-指标体系'!$J$15)*'Sheet1-指标体系'!$J$20)&lt;'Sheet1-指标体系'!$J$19,'Sheet1-指标体系'!$J$18,"")),IF(MAX(0,(F37-'Sheet1-指标体系'!$J$15)*'Sheet1-指标体系'!$J$20)&lt;'Sheet1-指标体系'!$J$19,'Sheet1-指标体系'!$J$18,"")))</f>
        <v>100</v>
      </c>
      <c r="Y37" s="37">
        <f>IF(ISNUMBER(W37),IF(ISNUMBER(X37),ROUND(W37*'Sheet1-指标体系'!$J$8+X37*'Sheet1-指标体系'!$J$9,2),W37),"")</f>
        <v>100</v>
      </c>
      <c r="Z37" s="45">
        <f t="shared" si="3"/>
        <v>0.00272320677134681</v>
      </c>
      <c r="AA37" s="26">
        <f>IF(ISNUMBER('Sheet4-原始数据'!K22),'Sheet4-原始数据'!K22,"")</f>
        <v>0.0027</v>
      </c>
      <c r="AB37" s="45">
        <f t="shared" si="4"/>
        <v>0.00272320677134681</v>
      </c>
      <c r="AC37" s="37">
        <f t="shared" si="5"/>
        <v>98.65</v>
      </c>
      <c r="AD37" s="30">
        <f>IF(ISNUMBER('Sheet4-原始数据'!M22),'Sheet4-原始数据'!M22,"")</f>
        <v>49.9044</v>
      </c>
      <c r="AE37" s="45" t="str">
        <f>IF(AND(ISNUMBER(P37),ISNUMBER(AA37),ISNUMBER(Z37)),IF(AA37&gt;Z37+'Sheet1-指标体系'!$J$11,AA37,""),"")</f>
        <v/>
      </c>
      <c r="AF37" s="37" t="str">
        <f t="shared" si="6"/>
        <v/>
      </c>
      <c r="AG37" s="37">
        <f t="shared" si="7"/>
        <v>94.37</v>
      </c>
      <c r="AH37" s="37" t="str">
        <f t="shared" si="8"/>
        <v/>
      </c>
      <c r="AI37" s="37">
        <f>IF(ISNUMBER(AG37),IF(ISNUMBER(AH37),ROUND(AG37*'Sheet1-指标体系'!$J$8+AH37*'Sheet1-指标体系'!$J$9,2),AG37),"")</f>
        <v>94.37</v>
      </c>
      <c r="AJ37" s="45">
        <f>IF(NOT(ISNUMBER(F37)),"",IF(F37&gt;='Sheet1-指标体系'!$J$16,IF(ISNUMBER(N37),N37,""),IF(ISNUMBER(O37),O37,"")))</f>
        <v>0.1668</v>
      </c>
      <c r="AK37" s="37">
        <f>IF(AND(G37="入池",ISNUMBER(M37),ISNUMBER(AJ37)),IF(M37&gt;=AJ37,'Sheet1-指标体系'!$J$18,IF(AJ37-M37&lt;'Sheet1-指标体系'!$J$10,'Sheet1-指标体系'!$J$22,'Sheet1-指标体系'!$J$23)),"")</f>
        <v>80</v>
      </c>
      <c r="AL37" s="37">
        <f>IF((IF(ISNUMBER(I37),'Sheet1-指标体系'!$G$4,0)+IF(ISNUMBER(K37),'Sheet1-指标体系'!$G$5,0)+IF(ISNUMBER(L37),'Sheet1-指标体系'!$G$6,0))&gt;0,ROUND((IF(ISNUMBER(I37),I37*'Sheet1-指标体系'!$G$4,0)+IF(ISNUMBER(K37),K37*'Sheet1-指标体系'!$G$5,0)+IF(ISNUMBER(L37),L37*'Sheet1-指标体系'!$G$6,0))/(IF(ISNUMBER(I37),'Sheet1-指标体系'!$G$4,0)+IF(ISNUMBER(K37),'Sheet1-指标体系'!$G$5,0)+IF(ISNUMBER(L37),'Sheet1-指标体系'!$G$6,0)),2),"")</f>
        <v>92</v>
      </c>
      <c r="AM37" s="37">
        <f t="shared" si="9"/>
        <v>89.36</v>
      </c>
      <c r="AN37" s="37">
        <f t="shared" si="10"/>
        <v>98.65</v>
      </c>
      <c r="AO37" s="37">
        <f t="shared" si="11"/>
        <v>94.37</v>
      </c>
      <c r="AP37" s="37">
        <f t="shared" si="12"/>
        <v>80</v>
      </c>
      <c r="AQ37" s="38">
        <f t="shared" si="13"/>
        <v>0.88</v>
      </c>
      <c r="AR37" s="37">
        <f t="shared" si="14"/>
        <v>81.32194</v>
      </c>
      <c r="AS37" s="37">
        <f t="shared" si="15"/>
        <v>92.41</v>
      </c>
      <c r="AT37" s="40">
        <f>IF(OR(G37&lt;&gt;"入池",NOT(ISNUMBER(AS37))),"",COUNTIFS($G$17:$G$99,"入池",$AS$17:$AS$99,"&gt;"&amp;AS37)+COUNTIFS($G$17:$G$99,"入池",$AS$17:$AS$99,AS37,$AQ$17:$AQ$99,"&gt;"&amp;AQ37)+COUNTIFS($G$17:G37,"入池",$AS$17:AS37,AS37,$AQ$17:AQ37,AQ37))</f>
        <v>2</v>
      </c>
      <c r="AU37" s="46" t="str">
        <f>IF(NOT(ISNUMBER(I37)),"管理人规模；","")&amp;IF(NOT(ISNUMBER(K37)),"产品规模标识；","")&amp;IF(NOT(ISNUMBER(M37)),"近一年收益；","")&amp;IF(NOT(ISNUMBER(T37)),"近一年胜率；","")&amp;IF(NOT(ISNUMBER(N37)),"近三年收益；","")&amp;IF(NOT(ISNUMBER(U37)),"近三年胜率；","")&amp;IF(NOT(ISNUMBER(AA37)),"近三年回撤；","")&amp;IF(NOT(ISNUMBER(AD37)),"近一年卡玛；","")&amp;IF(ISNUMBER(F37),IF(AND(F37&lt;'Sheet1-指标体系'!$J$16,NOT(ISNUMBER(O37))),"成立以来年化；",""),"成立日期；")&amp;IF(ISNUMBER(V37),IF(OR(V37&lt;0,V37&gt;1),"胜率窗口口径不一致；",""),"")&amp;IF(ISNUMBER(P37),IF(NOT(ISNUMBER(AE37)),"DD_long不可识别；",""),"")</f>
        <v>DD_long不可识别；</v>
      </c>
      <c r="AV37" s="37" t="str">
        <f>IF(ABS(SUM(CA37:CK37)-'Sheet1-指标体系'!$J$25)&lt;0.0000000001,SUM(BP37:BZ37),"")</f>
        <v/>
      </c>
      <c r="AW37" s="36" t="str">
        <f>IF(G37&lt;&gt;"入池",G37,IF(AQ37=0,"无有效评分数据",IF(ROUND(AQ37,10)=ROUND('Sheet1-指标体系'!$J$25,10),"完整赋分","暂定分／数据不完整")))</f>
        <v>暂定分／数据不完整</v>
      </c>
      <c r="AX37" s="22" t="str">
        <f>IF('Sheet4-原始数据'!C22="","",'Sheet4-原始数据'!C22)</f>
        <v>套利策略</v>
      </c>
      <c r="AY37" s="22" t="str">
        <f>IF('Sheet4-原始数据'!D22="","",'Sheet4-原始数据'!D22)</f>
        <v>期货套利</v>
      </c>
      <c r="AZ37" s="22" t="str">
        <f>IF('Sheet5-查询核对'!S22="","",'Sheet5-查询核对'!S22)</f>
        <v>套利策略—期货套利</v>
      </c>
      <c r="BA37" s="25">
        <f>IF('Sheet5-查询核对'!A22="","",'Sheet5-查询核对'!A22)</f>
        <v>22</v>
      </c>
      <c r="BB37" s="22" t="str">
        <f>IF('Sheet5-查询核对'!F22="","",'Sheet5-查询核对'!F22)</f>
        <v>备案号匹配</v>
      </c>
      <c r="BC37" s="24" t="str">
        <f>IF('Sheet5-查询核对'!I22="","",'Sheet5-查询核对'!I22)</f>
        <v>https://mp.fof99.com/fund/view/3f5108a89aafc6d8</v>
      </c>
      <c r="BD37" s="23">
        <f>IF('Sheet5-查询核对'!H22="","",'Sheet5-查询核对'!H22)</f>
        <v>46269</v>
      </c>
      <c r="BE37" s="24" t="str">
        <f>IF('Sheet5-查询核对'!L22="","",'Sheet5-查询核对'!L22)</f>
        <v>https://gs.amac.org.cn/amac-infodisc/res/pof/manager/1705031716108118.html</v>
      </c>
      <c r="BF37" s="23">
        <f>IF('Sheet5-查询核对'!M22="","",'Sheet5-查询核对'!M22)</f>
        <v>46276</v>
      </c>
      <c r="BG37" s="24" t="str">
        <f>IF('Sheet5-查询核对'!O22="","",'Sheet5-查询核对'!O22)</f>
        <v>https://gs.amac.org.cn/amac-infodisc/res/pof/fund/2109281437101671.html</v>
      </c>
      <c r="BH37" s="23">
        <f>IF('Sheet5-查询核对'!P22="","",'Sheet5-查询核对'!P22)</f>
        <v>46276</v>
      </c>
      <c r="BI37" s="22" t="str">
        <f>IF('Sheet5-查询核对'!D22="","",'Sheet5-查询核对'!D22)</f>
        <v>SQG026</v>
      </c>
      <c r="BJ37">
        <f>IF(ISNUMBER(AT37),AT37,COUNT($AT$17:$AT$99)+ROWS($AT$17:AT37)-COUNT($AT$17:AT37))</f>
        <v>2</v>
      </c>
      <c r="BK37" s="2">
        <f t="shared" si="16"/>
        <v>1</v>
      </c>
      <c r="BL37" s="2">
        <f t="shared" si="17"/>
        <v>1</v>
      </c>
      <c r="BM37" s="2">
        <f t="shared" si="18"/>
        <v>1</v>
      </c>
      <c r="BN37" s="2">
        <f t="shared" si="19"/>
        <v>1</v>
      </c>
      <c r="BO37" s="2">
        <f t="shared" si="20"/>
        <v>0</v>
      </c>
      <c r="BP37" s="48">
        <f>IF(G37="入池",IF(ISNUMBER(I37),I37*('Sheet1-指标体系'!$G$4),0),0)</f>
        <v>4.8</v>
      </c>
      <c r="BQ37" s="48">
        <f>IF(G37="入池",IF(ISNUMBER(K37),K37*('Sheet1-指标体系'!$G$5),0),0)</f>
        <v>4.5</v>
      </c>
      <c r="BR37" s="48">
        <f>IF(G37="入池",IF(ISNUMBER(L37),L37*('Sheet1-指标体系'!$G$6),0),0)</f>
        <v>4.5</v>
      </c>
      <c r="BS37" s="48">
        <f>IF(G37="入池",IF(ISNUMBER(Q37),Q37*('Sheet1-指标体系'!$G$7*'Sheet1-指标体系'!$J$8),0),0)</f>
        <v>6.35796</v>
      </c>
      <c r="BT37" s="48">
        <f>IF(G37="入池",IF(ISNUMBER(R37),R37*('Sheet1-指标体系'!$G$7*'Sheet1-指标体系'!$J$9),0),0)</f>
        <v>5.51488</v>
      </c>
      <c r="BU37" s="48">
        <f>IF(G37="入池",IF(ISNUMBER(W37),W37*('Sheet1-指标体系'!$G$8*'Sheet1-指标体系'!$J$8),0),0)</f>
        <v>3.6</v>
      </c>
      <c r="BV37" s="48">
        <f>IF(G37="入池",IF(ISNUMBER(X37),X37*('Sheet1-指标体系'!$G$8*'Sheet1-指标体系'!$J$9),0),0)</f>
        <v>2.4</v>
      </c>
      <c r="BW37" s="48">
        <f>IF(G37="入池",IF(ISNUMBER(AC37),AC37*('Sheet1-指标体系'!$G$9),0),0)</f>
        <v>24.6625</v>
      </c>
      <c r="BX37" s="48">
        <f>IF(G37="入池",IF(ISNUMBER(AG37),AG37*('Sheet1-指标体系'!$G$10*'Sheet1-指标体系'!$J$8),0),0)</f>
        <v>16.9866</v>
      </c>
      <c r="BY37" s="48">
        <f>IF(G37="入池",IF(ISNUMBER(AH37),AH37*('Sheet1-指标体系'!$G$10*'Sheet1-指标体系'!$J$9),0),0)</f>
        <v>0</v>
      </c>
      <c r="BZ37" s="48">
        <f>IF(G37="入池",IF(ISNUMBER(AK37),AK37*('Sheet1-指标体系'!$G$11),0),0)</f>
        <v>8</v>
      </c>
      <c r="CA37" s="49">
        <f>IF(G37="入池",IF(ISNUMBER(I37),'Sheet1-指标体系'!$G$4,0),0)</f>
        <v>0.06</v>
      </c>
      <c r="CB37" s="49">
        <f>IF(G37="入池",IF(ISNUMBER(K37),'Sheet1-指标体系'!$G$5,0),0)</f>
        <v>0.045</v>
      </c>
      <c r="CC37" s="49">
        <f>IF(G37="入池",IF(ISNUMBER(L37),'Sheet1-指标体系'!$G$6,0),0)</f>
        <v>0.045</v>
      </c>
      <c r="CD37" s="49">
        <f>IF(G37="入池",IF(ISNUMBER(Q37),'Sheet1-指标体系'!$G$7*'Sheet1-指标体系'!$J$8,0),0)</f>
        <v>0.084</v>
      </c>
      <c r="CE37" s="49">
        <f>IF(G37="入池",IF(ISNUMBER(R37),'Sheet1-指标体系'!$G$7*'Sheet1-指标体系'!$J$9,0),0)</f>
        <v>0.056</v>
      </c>
      <c r="CF37" s="49">
        <f>IF(G37="入池",IF(ISNUMBER(W37),'Sheet1-指标体系'!$G$8*'Sheet1-指标体系'!$J$8,0),0)</f>
        <v>0.036</v>
      </c>
      <c r="CG37" s="49">
        <f>IF(G37="入池",IF(ISNUMBER(X37),'Sheet1-指标体系'!$G$8*'Sheet1-指标体系'!$J$9,0),0)</f>
        <v>0.024</v>
      </c>
      <c r="CH37" s="49">
        <f>IF(G37="入池",IF(ISNUMBER(AC37),'Sheet1-指标体系'!$G$9,0),0)</f>
        <v>0.25</v>
      </c>
      <c r="CI37" s="49">
        <f>IF(G37="入池",IF(ISNUMBER(AG37),'Sheet1-指标体系'!$G$10*'Sheet1-指标体系'!$J$8,0),0)</f>
        <v>0.18</v>
      </c>
      <c r="CJ37" s="49">
        <f>IF(G37="入池",IF(ISNUMBER(AH37),'Sheet1-指标体系'!$G$10*'Sheet1-指标体系'!$J$9,0),0)</f>
        <v>0</v>
      </c>
      <c r="CK37" s="49">
        <f>IF(G37="入池",IF(ISNUMBER(AK37),'Sheet1-指标体系'!$G$11,0),0)</f>
        <v>0.1</v>
      </c>
    </row>
    <row r="38" ht="44" customHeight="1" spans="1:89">
      <c r="A38" s="40">
        <f>'Sheet5-查询核对'!A23-1</f>
        <v>22</v>
      </c>
      <c r="B38" s="24" t="str">
        <f>IF('Sheet4-原始数据'!A23="",'Sheet5-查询核对'!B23,'Sheet4-原始数据'!A23)</f>
        <v>佳泽信享5号A类</v>
      </c>
      <c r="C38" s="22" t="str">
        <f>IF('Sheet4-原始数据'!B23="","",'Sheet4-原始数据'!B23)</f>
        <v>ZC395A</v>
      </c>
      <c r="D38" s="22" t="str">
        <f>IF('Sheet4-原始数据'!E23="","",'Sheet4-原始数据'!E23)</f>
        <v>海南佳泽</v>
      </c>
      <c r="E38" s="23">
        <f>IF('Sheet4-原始数据'!F23="","",'Sheet4-原始数据'!F23)</f>
        <v>44936</v>
      </c>
      <c r="F38" s="37">
        <f>IF(ISNUMBER(E38),ROUND(('Sheet1-指标体系'!$J$12-E38)/'Sheet1-指标体系'!$J$14,4),"")</f>
        <v>3.666</v>
      </c>
      <c r="G38" s="36" t="str">
        <f>IF(C38="","未匹配",IF(NOT(ISNUMBER(F38)),"缺成立日期",IF(F38&lt;'Sheet1-指标体系'!$J$15,"不入池","入池")))</f>
        <v>入池</v>
      </c>
      <c r="H38" s="22" t="str">
        <f>IF('Sheet5-查询核对'!K23="","",'Sheet5-查询核对'!K23)</f>
        <v>0-5亿元</v>
      </c>
      <c r="I38" s="37">
        <f>IF(H38="","",IF(COUNTIF('Sheet1-指标体系'!$P$4:$P$10,H38)=0,"",INDEX('Sheet1-指标体系'!$Q$4:$Q$10,MATCH(H38,'Sheet1-指标体系'!$P$4:$P$10,0))))</f>
        <v>60</v>
      </c>
      <c r="J38" s="44" t="str">
        <f>IF(NOT(ISNUMBER('Sheet5-查询核对'!N23)),"",IF('Sheet5-查询核对'!N23=1,"低于"&amp;'Sheet1-指标体系'!$J$4&amp;"万元",IF('Sheet5-查询核对'!N23=0,"无低于"&amp;'Sheet1-指标体系'!$J$4&amp;"万元标识","")))</f>
        <v/>
      </c>
      <c r="K38" s="37" t="str">
        <f>IF(NOT(ISNUMBER('Sheet5-查询核对'!N23)),"",IF('Sheet5-查询核对'!N23=1,'Sheet1-指标体系'!$J$21,IF('Sheet5-查询核对'!N23=0,'Sheet1-指标体系'!$J$18,"")))</f>
        <v/>
      </c>
      <c r="L38" s="37">
        <f>IF(NOT(ISNUMBER(F38)),"",IF(F38&lt;'Sheet1-指标体系'!$J$15,"",IF(F38&lt;'Sheet1-指标体系'!$J$16,'Sheet1-指标体系'!$J$17,'Sheet1-指标体系'!$J$18)))</f>
        <v>100</v>
      </c>
      <c r="M38" s="26">
        <f>IF(ISNUMBER('Sheet4-原始数据'!G23),'Sheet4-原始数据'!G23,"")</f>
        <v>0.076</v>
      </c>
      <c r="N38" s="26">
        <f>IF(ISNUMBER('Sheet4-原始数据'!H23),'Sheet4-原始数据'!H23,"")</f>
        <v>0.0589</v>
      </c>
      <c r="O38" s="26">
        <f>IF(ISNUMBER('Sheet5-查询核对'!Q23),'Sheet5-查询核对'!Q23,"")</f>
        <v>0.0514</v>
      </c>
      <c r="P38" s="45">
        <f>IF(G38&lt;&gt;"入池","",IF(F38&gt;='Sheet1-指标体系'!$J$16,IF(AND(ISNUMBER(M38),ISNUMBER(N38)),IF(AND(1+M38&gt;0,1+N38&gt;=0),((1+N38)^'Sheet1-指标体系'!$J$16/(1+M38))^(1/('Sheet1-指标体系'!$J$16-1))-1,""),""),IF(AND(ISNUMBER(M38),ISNUMBER(O38)),IF(AND(F38&gt;1,1+M38&gt;0,1+O38&gt;=0),((1+O38)^F38/(1+M38))^(1/(F38-1))-1,""),"")))</f>
        <v>0.0504521802365658</v>
      </c>
      <c r="Q38" s="37">
        <f t="shared" si="0"/>
        <v>36.11</v>
      </c>
      <c r="R38" s="37">
        <f t="shared" si="1"/>
        <v>18.18</v>
      </c>
      <c r="S38" s="37">
        <f>IF(ISNUMBER(Q38),IF(ISNUMBER(R38),ROUND(Q38*'Sheet1-指标体系'!$J$8+R38*'Sheet1-指标体系'!$J$9,2),Q38),"")</f>
        <v>28.94</v>
      </c>
      <c r="T38" s="26">
        <f>IF(ISNUMBER('Sheet4-原始数据'!J23),'Sheet4-原始数据'!J23,"")</f>
        <v>0.9231</v>
      </c>
      <c r="U38" s="26">
        <f>IF(ISNUMBER('Sheet4-原始数据'!I23),'Sheet4-原始数据'!I23,"")</f>
        <v>0.8108</v>
      </c>
      <c r="V38" s="45">
        <f>IF(AND(ISNUMBER(T38),ISNUMBER(U38)),(U38*'Sheet1-指标体系'!$J$6-T38*'Sheet1-指标体系'!$J$5)/'Sheet1-指标体系'!$J$7,"")</f>
        <v>0.749970833333333</v>
      </c>
      <c r="W38" s="37">
        <f t="shared" si="2"/>
        <v>92.31</v>
      </c>
      <c r="X38" s="37">
        <f>IF(G38&lt;&gt;"入池","",IF(ISNUMBER(V38),IF(AND(V38&gt;=0,V38&lt;=1),V38*'Sheet1-指标体系'!$J$18,IF(MAX(0,(F38-'Sheet1-指标体系'!$J$15)*'Sheet1-指标体系'!$J$20)&lt;'Sheet1-指标体系'!$J$19,'Sheet1-指标体系'!$J$18,"")),IF(MAX(0,(F38-'Sheet1-指标体系'!$J$15)*'Sheet1-指标体系'!$J$20)&lt;'Sheet1-指标体系'!$J$19,'Sheet1-指标体系'!$J$18,"")))</f>
        <v>74.9970833333333</v>
      </c>
      <c r="Y38" s="37">
        <f>IF(ISNUMBER(W38),IF(ISNUMBER(X38),ROUND(W38*'Sheet1-指标体系'!$J$8+X38*'Sheet1-指标体系'!$J$9,2),W38),"")</f>
        <v>85.38</v>
      </c>
      <c r="Z38" s="45">
        <f t="shared" si="3"/>
        <v>0.00458959370017875</v>
      </c>
      <c r="AA38" s="26">
        <f>IF(ISNUMBER('Sheet4-原始数据'!K23),'Sheet4-原始数据'!K23,"")</f>
        <v>0.0244</v>
      </c>
      <c r="AB38" s="45">
        <f t="shared" si="4"/>
        <v>0.0244</v>
      </c>
      <c r="AC38" s="37">
        <f t="shared" si="5"/>
        <v>45.95</v>
      </c>
      <c r="AD38" s="30">
        <f>IF(ISNUMBER('Sheet4-原始数据'!M23),'Sheet4-原始数据'!M23,"")</f>
        <v>16.5592</v>
      </c>
      <c r="AE38" s="45">
        <f>IF(AND(ISNUMBER(P38),ISNUMBER(AA38),ISNUMBER(Z38)),IF(AA38&gt;Z38+'Sheet1-指标体系'!$J$11,AA38,""),"")</f>
        <v>0.0244</v>
      </c>
      <c r="AF38" s="37">
        <f t="shared" si="6"/>
        <v>2.06771230477729</v>
      </c>
      <c r="AG38" s="37">
        <f t="shared" si="7"/>
        <v>67.61</v>
      </c>
      <c r="AH38" s="37">
        <f t="shared" si="8"/>
        <v>31.25</v>
      </c>
      <c r="AI38" s="37">
        <f>IF(ISNUMBER(AG38),IF(ISNUMBER(AH38),ROUND(AG38*'Sheet1-指标体系'!$J$8+AH38*'Sheet1-指标体系'!$J$9,2),AG38),"")</f>
        <v>53.07</v>
      </c>
      <c r="AJ38" s="45">
        <f>IF(NOT(ISNUMBER(F38)),"",IF(F38&gt;='Sheet1-指标体系'!$J$16,IF(ISNUMBER(N38),N38,""),IF(ISNUMBER(O38),O38,"")))</f>
        <v>0.0589</v>
      </c>
      <c r="AK38" s="37">
        <f>IF(AND(G38="入池",ISNUMBER(M38),ISNUMBER(AJ38)),IF(M38&gt;=AJ38,'Sheet1-指标体系'!$J$18,IF(AJ38-M38&lt;'Sheet1-指标体系'!$J$10,'Sheet1-指标体系'!$J$22,'Sheet1-指标体系'!$J$23)),"")</f>
        <v>100</v>
      </c>
      <c r="AL38" s="37">
        <f>IF((IF(ISNUMBER(I38),'Sheet1-指标体系'!$G$4,0)+IF(ISNUMBER(K38),'Sheet1-指标体系'!$G$5,0)+IF(ISNUMBER(L38),'Sheet1-指标体系'!$G$6,0))&gt;0,ROUND((IF(ISNUMBER(I38),I38*'Sheet1-指标体系'!$G$4,0)+IF(ISNUMBER(K38),K38*'Sheet1-指标体系'!$G$5,0)+IF(ISNUMBER(L38),L38*'Sheet1-指标体系'!$G$6,0))/(IF(ISNUMBER(I38),'Sheet1-指标体系'!$G$4,0)+IF(ISNUMBER(K38),'Sheet1-指标体系'!$G$5,0)+IF(ISNUMBER(L38),'Sheet1-指标体系'!$G$6,0)),2),"")</f>
        <v>77.14</v>
      </c>
      <c r="AM38" s="37">
        <f t="shared" si="9"/>
        <v>45.87</v>
      </c>
      <c r="AN38" s="37">
        <f t="shared" si="10"/>
        <v>45.95</v>
      </c>
      <c r="AO38" s="37">
        <f t="shared" si="11"/>
        <v>53.07</v>
      </c>
      <c r="AP38" s="37">
        <f t="shared" si="12"/>
        <v>100</v>
      </c>
      <c r="AQ38" s="38">
        <f t="shared" si="13"/>
        <v>0.955</v>
      </c>
      <c r="AR38" s="37">
        <f t="shared" si="14"/>
        <v>54.68171</v>
      </c>
      <c r="AS38" s="37">
        <f t="shared" si="15"/>
        <v>57.26</v>
      </c>
      <c r="AT38" s="40">
        <f>IF(OR(G38&lt;&gt;"入池",NOT(ISNUMBER(AS38))),"",COUNTIFS($G$17:$G$99,"入池",$AS$17:$AS$99,"&gt;"&amp;AS38)+COUNTIFS($G$17:$G$99,"入池",$AS$17:$AS$99,AS38,$AQ$17:$AQ$99,"&gt;"&amp;AQ38)+COUNTIFS($G$17:G38,"入池",$AS$17:AS38,AS38,$AQ$17:AQ38,AQ38))</f>
        <v>45</v>
      </c>
      <c r="AU38" s="46" t="str">
        <f>IF(NOT(ISNUMBER(I38)),"管理人规模；","")&amp;IF(NOT(ISNUMBER(K38)),"产品规模标识；","")&amp;IF(NOT(ISNUMBER(M38)),"近一年收益；","")&amp;IF(NOT(ISNUMBER(T38)),"近一年胜率；","")&amp;IF(NOT(ISNUMBER(N38)),"近三年收益；","")&amp;IF(NOT(ISNUMBER(U38)),"近三年胜率；","")&amp;IF(NOT(ISNUMBER(AA38)),"近三年回撤；","")&amp;IF(NOT(ISNUMBER(AD38)),"近一年卡玛；","")&amp;IF(ISNUMBER(F38),IF(AND(F38&lt;'Sheet1-指标体系'!$J$16,NOT(ISNUMBER(O38))),"成立以来年化；",""),"成立日期；")&amp;IF(ISNUMBER(V38),IF(OR(V38&lt;0,V38&gt;1),"胜率窗口口径不一致；",""),"")&amp;IF(ISNUMBER(P38),IF(NOT(ISNUMBER(AE38)),"DD_long不可识别；",""),"")</f>
        <v>产品规模标识；</v>
      </c>
      <c r="AV38" s="37" t="str">
        <f>IF(ABS(SUM(CA38:CK38)-'Sheet1-指标体系'!$J$25)&lt;0.0000000001,SUM(BP38:BZ38),"")</f>
        <v/>
      </c>
      <c r="AW38" s="36" t="str">
        <f>IF(G38&lt;&gt;"入池",G38,IF(AQ38=0,"无有效评分数据",IF(ROUND(AQ38,10)=ROUND('Sheet1-指标体系'!$J$25,10),"完整赋分","暂定分／数据不完整")))</f>
        <v>暂定分／数据不完整</v>
      </c>
      <c r="AX38" s="22" t="str">
        <f>IF('Sheet4-原始数据'!C23="","",'Sheet4-原始数据'!C23)</f>
        <v>套利策略</v>
      </c>
      <c r="AY38" s="22" t="str">
        <f>IF('Sheet4-原始数据'!D23="","",'Sheet4-原始数据'!D23)</f>
        <v>期货套利</v>
      </c>
      <c r="AZ38" s="22" t="str">
        <f>IF('Sheet5-查询核对'!S23="","",'Sheet5-查询核对'!S23)</f>
        <v>套利策略—期货套利</v>
      </c>
      <c r="BA38" s="25">
        <f>IF('Sheet5-查询核对'!A23="","",'Sheet5-查询核对'!A23)</f>
        <v>23</v>
      </c>
      <c r="BB38" s="22" t="str">
        <f>IF('Sheet5-查询核对'!F23="","",'Sheet5-查询核对'!F23)</f>
        <v>备案号匹配</v>
      </c>
      <c r="BC38" s="24" t="str">
        <f>IF('Sheet5-查询核对'!I23="","",'Sheet5-查询核对'!I23)</f>
        <v>https://mp.fof99.com/fund/view/441eaddd701f4a97</v>
      </c>
      <c r="BD38" s="23">
        <f>IF('Sheet5-查询核对'!H23="","",'Sheet5-查询核对'!H23)</f>
        <v>46269</v>
      </c>
      <c r="BE38" s="24" t="str">
        <f>IF('Sheet5-查询核对'!L23="","",'Sheet5-查询核对'!L23)</f>
        <v>https://gs.amac.org.cn/amac-infodisc/res/pof/manager/2202171443109430.html</v>
      </c>
      <c r="BF38" s="23">
        <f>IF('Sheet5-查询核对'!M23="","",'Sheet5-查询核对'!M23)</f>
        <v>46276</v>
      </c>
      <c r="BG38" s="24" t="str">
        <f>IF('Sheet5-查询核对'!O23="","",'Sheet5-查询核对'!O23)</f>
        <v>743</v>
      </c>
      <c r="BH38" s="23" t="str">
        <f>IF('Sheet5-查询核对'!P23="","",'Sheet5-查询核对'!P23)</f>
        <v/>
      </c>
      <c r="BI38" s="22" t="str">
        <f>IF('Sheet5-查询核对'!D23="","",'Sheet5-查询核对'!D23)</f>
        <v>ZC395A</v>
      </c>
      <c r="BJ38">
        <f>IF(ISNUMBER(AT38),AT38,COUNT($AT$17:$AT$99)+ROWS($AT$17:AT38)-COUNT($AT$17:AT38))</f>
        <v>45</v>
      </c>
      <c r="BK38" s="2">
        <f t="shared" si="16"/>
        <v>1</v>
      </c>
      <c r="BL38" s="2">
        <f t="shared" si="17"/>
        <v>1</v>
      </c>
      <c r="BM38" s="2">
        <f t="shared" si="18"/>
        <v>1</v>
      </c>
      <c r="BN38" s="2">
        <f t="shared" si="19"/>
        <v>1</v>
      </c>
      <c r="BO38" s="2">
        <f t="shared" si="20"/>
        <v>1</v>
      </c>
      <c r="BP38" s="48">
        <f>IF(G38="入池",IF(ISNUMBER(I38),I38*('Sheet1-指标体系'!$G$4),0),0)</f>
        <v>3.6</v>
      </c>
      <c r="BQ38" s="48">
        <f>IF(G38="入池",IF(ISNUMBER(K38),K38*('Sheet1-指标体系'!$G$5),0),0)</f>
        <v>0</v>
      </c>
      <c r="BR38" s="48">
        <f>IF(G38="入池",IF(ISNUMBER(L38),L38*('Sheet1-指标体系'!$G$6),0),0)</f>
        <v>4.5</v>
      </c>
      <c r="BS38" s="48">
        <f>IF(G38="入池",IF(ISNUMBER(Q38),Q38*('Sheet1-指标体系'!$G$7*'Sheet1-指标体系'!$J$8),0),0)</f>
        <v>3.03324</v>
      </c>
      <c r="BT38" s="48">
        <f>IF(G38="入池",IF(ISNUMBER(R38),R38*('Sheet1-指标体系'!$G$7*'Sheet1-指标体系'!$J$9),0),0)</f>
        <v>1.01808</v>
      </c>
      <c r="BU38" s="48">
        <f>IF(G38="入池",IF(ISNUMBER(W38),W38*('Sheet1-指标体系'!$G$8*'Sheet1-指标体系'!$J$8),0),0)</f>
        <v>3.32316</v>
      </c>
      <c r="BV38" s="48">
        <f>IF(G38="入池",IF(ISNUMBER(X38),X38*('Sheet1-指标体系'!$G$8*'Sheet1-指标体系'!$J$9),0),0)</f>
        <v>1.79993</v>
      </c>
      <c r="BW38" s="48">
        <f>IF(G38="入池",IF(ISNUMBER(AC38),AC38*('Sheet1-指标体系'!$G$9),0),0)</f>
        <v>11.4875</v>
      </c>
      <c r="BX38" s="48">
        <f>IF(G38="入池",IF(ISNUMBER(AG38),AG38*('Sheet1-指标体系'!$G$10*'Sheet1-指标体系'!$J$8),0),0)</f>
        <v>12.1698</v>
      </c>
      <c r="BY38" s="48">
        <f>IF(G38="入池",IF(ISNUMBER(AH38),AH38*('Sheet1-指标体系'!$G$10*'Sheet1-指标体系'!$J$9),0),0)</f>
        <v>3.75</v>
      </c>
      <c r="BZ38" s="48">
        <f>IF(G38="入池",IF(ISNUMBER(AK38),AK38*('Sheet1-指标体系'!$G$11),0),0)</f>
        <v>10</v>
      </c>
      <c r="CA38" s="49">
        <f>IF(G38="入池",IF(ISNUMBER(I38),'Sheet1-指标体系'!$G$4,0),0)</f>
        <v>0.06</v>
      </c>
      <c r="CB38" s="49">
        <f>IF(G38="入池",IF(ISNUMBER(K38),'Sheet1-指标体系'!$G$5,0),0)</f>
        <v>0</v>
      </c>
      <c r="CC38" s="49">
        <f>IF(G38="入池",IF(ISNUMBER(L38),'Sheet1-指标体系'!$G$6,0),0)</f>
        <v>0.045</v>
      </c>
      <c r="CD38" s="49">
        <f>IF(G38="入池",IF(ISNUMBER(Q38),'Sheet1-指标体系'!$G$7*'Sheet1-指标体系'!$J$8,0),0)</f>
        <v>0.084</v>
      </c>
      <c r="CE38" s="49">
        <f>IF(G38="入池",IF(ISNUMBER(R38),'Sheet1-指标体系'!$G$7*'Sheet1-指标体系'!$J$9,0),0)</f>
        <v>0.056</v>
      </c>
      <c r="CF38" s="49">
        <f>IF(G38="入池",IF(ISNUMBER(W38),'Sheet1-指标体系'!$G$8*'Sheet1-指标体系'!$J$8,0),0)</f>
        <v>0.036</v>
      </c>
      <c r="CG38" s="49">
        <f>IF(G38="入池",IF(ISNUMBER(X38),'Sheet1-指标体系'!$G$8*'Sheet1-指标体系'!$J$9,0),0)</f>
        <v>0.024</v>
      </c>
      <c r="CH38" s="49">
        <f>IF(G38="入池",IF(ISNUMBER(AC38),'Sheet1-指标体系'!$G$9,0),0)</f>
        <v>0.25</v>
      </c>
      <c r="CI38" s="49">
        <f>IF(G38="入池",IF(ISNUMBER(AG38),'Sheet1-指标体系'!$G$10*'Sheet1-指标体系'!$J$8,0),0)</f>
        <v>0.18</v>
      </c>
      <c r="CJ38" s="49">
        <f>IF(G38="入池",IF(ISNUMBER(AH38),'Sheet1-指标体系'!$G$10*'Sheet1-指标体系'!$J$9,0),0)</f>
        <v>0.12</v>
      </c>
      <c r="CK38" s="49">
        <f>IF(G38="入池",IF(ISNUMBER(AK38),'Sheet1-指标体系'!$G$11,0),0)</f>
        <v>0.1</v>
      </c>
    </row>
    <row r="39" ht="44" customHeight="1" spans="1:89">
      <c r="A39" s="40">
        <f>'Sheet5-查询核对'!A24-1</f>
        <v>23</v>
      </c>
      <c r="B39" s="24" t="str">
        <f>IF('Sheet4-原始数据'!A24="",'Sheet5-查询核对'!B24,'Sheet4-原始数据'!A24)</f>
        <v>嘉和传承精研二期</v>
      </c>
      <c r="C39" s="22" t="str">
        <f>IF('Sheet4-原始数据'!B24="","",'Sheet4-原始数据'!B24)</f>
        <v>STD929</v>
      </c>
      <c r="D39" s="22" t="str">
        <f>IF('Sheet4-原始数据'!E24="","",'Sheet4-原始数据'!E24)</f>
        <v>上海嘉和传承</v>
      </c>
      <c r="E39" s="23">
        <f>IF('Sheet4-原始数据'!F24="","",'Sheet4-原始数据'!F24)</f>
        <v>44537</v>
      </c>
      <c r="F39" s="37">
        <f>IF(ISNUMBER(E39),ROUND(('Sheet1-指标体系'!$J$12-E39)/'Sheet1-指标体系'!$J$14,4),"")</f>
        <v>4.7584</v>
      </c>
      <c r="G39" s="36" t="str">
        <f>IF(C39="","未匹配",IF(NOT(ISNUMBER(F39)),"缺成立日期",IF(F39&lt;'Sheet1-指标体系'!$J$15,"不入池","入池")))</f>
        <v>入池</v>
      </c>
      <c r="H39" s="22" t="str">
        <f>IF('Sheet5-查询核对'!K24="","",'Sheet5-查询核对'!K24)</f>
        <v>5-10亿元</v>
      </c>
      <c r="I39" s="37">
        <f>IF(H39="","",IF(COUNTIF('Sheet1-指标体系'!$P$4:$P$10,H39)=0,"",INDEX('Sheet1-指标体系'!$Q$4:$Q$10,MATCH(H39,'Sheet1-指标体系'!$P$4:$P$10,0))))</f>
        <v>70</v>
      </c>
      <c r="J39" s="44" t="str">
        <f>IF(NOT(ISNUMBER('Sheet5-查询核对'!N24)),"",IF('Sheet5-查询核对'!N24=1,"低于"&amp;'Sheet1-指标体系'!$J$4&amp;"万元",IF('Sheet5-查询核对'!N24=0,"无低于"&amp;'Sheet1-指标体系'!$J$4&amp;"万元标识","")))</f>
        <v>无低于1000万元标识</v>
      </c>
      <c r="K39" s="37">
        <f>IF(NOT(ISNUMBER('Sheet5-查询核对'!N24)),"",IF('Sheet5-查询核对'!N24=1,'Sheet1-指标体系'!$J$21,IF('Sheet5-查询核对'!N24=0,'Sheet1-指标体系'!$J$18,"")))</f>
        <v>100</v>
      </c>
      <c r="L39" s="37">
        <f>IF(NOT(ISNUMBER(F39)),"",IF(F39&lt;'Sheet1-指标体系'!$J$15,"",IF(F39&lt;'Sheet1-指标体系'!$J$16,'Sheet1-指标体系'!$J$17,'Sheet1-指标体系'!$J$18)))</f>
        <v>100</v>
      </c>
      <c r="M39" s="26">
        <f>IF(ISNUMBER('Sheet4-原始数据'!G24),'Sheet4-原始数据'!G24,"")</f>
        <v>0.0873</v>
      </c>
      <c r="N39" s="26">
        <f>IF(ISNUMBER('Sheet4-原始数据'!H24),'Sheet4-原始数据'!H24,"")</f>
        <v>0.1196</v>
      </c>
      <c r="O39" s="26">
        <f>IF(ISNUMBER('Sheet5-查询核对'!Q24),'Sheet5-查询核对'!Q24,"")</f>
        <v>0.1037</v>
      </c>
      <c r="P39" s="45">
        <f>IF(G39&lt;&gt;"入池","",IF(F39&gt;='Sheet1-指标体系'!$J$16,IF(AND(ISNUMBER(M39),ISNUMBER(N39)),IF(AND(1+M39&gt;0,1+N39&gt;=0),((1+N39)^'Sheet1-指标体系'!$J$16/(1+M39))^(1/('Sheet1-指标体系'!$J$16-1))-1,""),""),IF(AND(ISNUMBER(M39),ISNUMBER(O39)),IF(AND(F39&gt;1,1+M39&gt;0,1+O39&gt;=0),((1+O39)^F39/(1+M39))^(1/(F39-1))-1,""),"")))</f>
        <v>0.136108059390468</v>
      </c>
      <c r="Q39" s="37">
        <f t="shared" si="0"/>
        <v>51.39</v>
      </c>
      <c r="R39" s="37">
        <f t="shared" si="1"/>
        <v>83.33</v>
      </c>
      <c r="S39" s="37">
        <f>IF(ISNUMBER(Q39),IF(ISNUMBER(R39),ROUND(Q39*'Sheet1-指标体系'!$J$8+R39*'Sheet1-指标体系'!$J$9,2),Q39),"")</f>
        <v>64.17</v>
      </c>
      <c r="T39" s="26">
        <f>IF(ISNUMBER('Sheet4-原始数据'!J24),'Sheet4-原始数据'!J24,"")</f>
        <v>0.5385</v>
      </c>
      <c r="U39" s="26">
        <f>IF(ISNUMBER('Sheet4-原始数据'!I24),'Sheet4-原始数据'!I24,"")</f>
        <v>0.5946</v>
      </c>
      <c r="V39" s="45">
        <f>IF(AND(ISNUMBER(T39),ISNUMBER(U39)),(U39*'Sheet1-指标体系'!$J$6-T39*'Sheet1-指标体系'!$J$5)/'Sheet1-指标体系'!$J$7,"")</f>
        <v>0.6249875</v>
      </c>
      <c r="W39" s="37">
        <f t="shared" si="2"/>
        <v>53.85</v>
      </c>
      <c r="X39" s="37">
        <f>IF(G39&lt;&gt;"入池","",IF(ISNUMBER(V39),IF(AND(V39&gt;=0,V39&lt;=1),V39*'Sheet1-指标体系'!$J$18,IF(MAX(0,(F39-'Sheet1-指标体系'!$J$15)*'Sheet1-指标体系'!$J$20)&lt;'Sheet1-指标体系'!$J$19,'Sheet1-指标体系'!$J$18,"")),IF(MAX(0,(F39-'Sheet1-指标体系'!$J$15)*'Sheet1-指标体系'!$J$20)&lt;'Sheet1-指标体系'!$J$19,'Sheet1-指标体系'!$J$18,"")))</f>
        <v>62.49875</v>
      </c>
      <c r="Y39" s="37">
        <f>IF(ISNUMBER(W39),IF(ISNUMBER(X39),ROUND(W39*'Sheet1-指标体系'!$J$8+X39*'Sheet1-指标体系'!$J$9,2),W39),"")</f>
        <v>57.31</v>
      </c>
      <c r="Z39" s="45">
        <f t="shared" si="3"/>
        <v>0.0894100778369521</v>
      </c>
      <c r="AA39" s="26">
        <f>IF(ISNUMBER('Sheet4-原始数据'!K24),'Sheet4-原始数据'!K24,"")</f>
        <v>0.0894</v>
      </c>
      <c r="AB39" s="45">
        <f t="shared" si="4"/>
        <v>0.0894100778369521</v>
      </c>
      <c r="AC39" s="37">
        <f t="shared" si="5"/>
        <v>8.11</v>
      </c>
      <c r="AD39" s="30">
        <f>IF(ISNUMBER('Sheet4-原始数据'!M24),'Sheet4-原始数据'!M24,"")</f>
        <v>0.9764</v>
      </c>
      <c r="AE39" s="45" t="str">
        <f>IF(AND(ISNUMBER(P39),ISNUMBER(AA39),ISNUMBER(Z39)),IF(AA39&gt;Z39+'Sheet1-指标体系'!$J$11,AA39,""),"")</f>
        <v/>
      </c>
      <c r="AF39" s="37" t="str">
        <f t="shared" si="6"/>
        <v/>
      </c>
      <c r="AG39" s="37">
        <f t="shared" si="7"/>
        <v>7.04</v>
      </c>
      <c r="AH39" s="37" t="str">
        <f t="shared" si="8"/>
        <v/>
      </c>
      <c r="AI39" s="37">
        <f>IF(ISNUMBER(AG39),IF(ISNUMBER(AH39),ROUND(AG39*'Sheet1-指标体系'!$J$8+AH39*'Sheet1-指标体系'!$J$9,2),AG39),"")</f>
        <v>7.04</v>
      </c>
      <c r="AJ39" s="45">
        <f>IF(NOT(ISNUMBER(F39)),"",IF(F39&gt;='Sheet1-指标体系'!$J$16,IF(ISNUMBER(N39),N39,""),IF(ISNUMBER(O39),O39,"")))</f>
        <v>0.1196</v>
      </c>
      <c r="AK39" s="37">
        <f>IF(AND(G39="入池",ISNUMBER(M39),ISNUMBER(AJ39)),IF(M39&gt;=AJ39,'Sheet1-指标体系'!$J$18,IF(AJ39-M39&lt;'Sheet1-指标体系'!$J$10,'Sheet1-指标体系'!$J$22,'Sheet1-指标体系'!$J$23)),"")</f>
        <v>80</v>
      </c>
      <c r="AL39" s="37">
        <f>IF((IF(ISNUMBER(I39),'Sheet1-指标体系'!$G$4,0)+IF(ISNUMBER(K39),'Sheet1-指标体系'!$G$5,0)+IF(ISNUMBER(L39),'Sheet1-指标体系'!$G$6,0))&gt;0,ROUND((IF(ISNUMBER(I39),I39*'Sheet1-指标体系'!$G$4,0)+IF(ISNUMBER(K39),K39*'Sheet1-指标体系'!$G$5,0)+IF(ISNUMBER(L39),L39*'Sheet1-指标体系'!$G$6,0))/(IF(ISNUMBER(I39),'Sheet1-指标体系'!$G$4,0)+IF(ISNUMBER(K39),'Sheet1-指标体系'!$G$5,0)+IF(ISNUMBER(L39),'Sheet1-指标体系'!$G$6,0)),2),"")</f>
        <v>88</v>
      </c>
      <c r="AM39" s="37">
        <f t="shared" si="9"/>
        <v>62.11</v>
      </c>
      <c r="AN39" s="37">
        <f t="shared" si="10"/>
        <v>8.11</v>
      </c>
      <c r="AO39" s="37">
        <f t="shared" si="11"/>
        <v>7.04</v>
      </c>
      <c r="AP39" s="37">
        <f t="shared" si="12"/>
        <v>80</v>
      </c>
      <c r="AQ39" s="38">
        <f t="shared" si="13"/>
        <v>0.88</v>
      </c>
      <c r="AR39" s="37">
        <f t="shared" si="14"/>
        <v>36.91651</v>
      </c>
      <c r="AS39" s="37">
        <f t="shared" si="15"/>
        <v>41.95</v>
      </c>
      <c r="AT39" s="40">
        <f>IF(OR(G39&lt;&gt;"入池",NOT(ISNUMBER(AS39))),"",COUNTIFS($G$17:$G$99,"入池",$AS$17:$AS$99,"&gt;"&amp;AS39)+COUNTIFS($G$17:$G$99,"入池",$AS$17:$AS$99,AS39,$AQ$17:$AQ$99,"&gt;"&amp;AQ39)+COUNTIFS($G$17:G39,"入池",$AS$17:AS39,AS39,$AQ$17:AQ39,AQ39))</f>
        <v>67</v>
      </c>
      <c r="AU39" s="46" t="str">
        <f>IF(NOT(ISNUMBER(I39)),"管理人规模；","")&amp;IF(NOT(ISNUMBER(K39)),"产品规模标识；","")&amp;IF(NOT(ISNUMBER(M39)),"近一年收益；","")&amp;IF(NOT(ISNUMBER(T39)),"近一年胜率；","")&amp;IF(NOT(ISNUMBER(N39)),"近三年收益；","")&amp;IF(NOT(ISNUMBER(U39)),"近三年胜率；","")&amp;IF(NOT(ISNUMBER(AA39)),"近三年回撤；","")&amp;IF(NOT(ISNUMBER(AD39)),"近一年卡玛；","")&amp;IF(ISNUMBER(F39),IF(AND(F39&lt;'Sheet1-指标体系'!$J$16,NOT(ISNUMBER(O39))),"成立以来年化；",""),"成立日期；")&amp;IF(ISNUMBER(V39),IF(OR(V39&lt;0,V39&gt;1),"胜率窗口口径不一致；",""),"")&amp;IF(ISNUMBER(P39),IF(NOT(ISNUMBER(AE39)),"DD_long不可识别；",""),"")</f>
        <v>DD_long不可识别；</v>
      </c>
      <c r="AV39" s="37" t="str">
        <f>IF(ABS(SUM(CA39:CK39)-'Sheet1-指标体系'!$J$25)&lt;0.0000000001,SUM(BP39:BZ39),"")</f>
        <v/>
      </c>
      <c r="AW39" s="36" t="str">
        <f>IF(G39&lt;&gt;"入池",G39,IF(AQ39=0,"无有效评分数据",IF(ROUND(AQ39,10)=ROUND('Sheet1-指标体系'!$J$25,10),"完整赋分","暂定分／数据不完整")))</f>
        <v>暂定分／数据不完整</v>
      </c>
      <c r="AX39" s="22" t="str">
        <f>IF('Sheet4-原始数据'!C24="","",'Sheet4-原始数据'!C24)</f>
        <v>套利策略</v>
      </c>
      <c r="AY39" s="22" t="str">
        <f>IF('Sheet4-原始数据'!D24="","",'Sheet4-原始数据'!D24)</f>
        <v>期货套利</v>
      </c>
      <c r="AZ39" s="22" t="str">
        <f>IF('Sheet5-查询核对'!S24="","",'Sheet5-查询核对'!S24)</f>
        <v>套利策略—期货套利</v>
      </c>
      <c r="BA39" s="25">
        <f>IF('Sheet5-查询核对'!A24="","",'Sheet5-查询核对'!A24)</f>
        <v>24</v>
      </c>
      <c r="BB39" s="22" t="str">
        <f>IF('Sheet5-查询核对'!F24="","",'Sheet5-查询核对'!F24)</f>
        <v>备案号匹配</v>
      </c>
      <c r="BC39" s="24" t="str">
        <f>IF('Sheet5-查询核对'!I24="","",'Sheet5-查询核对'!I24)</f>
        <v>https://mp.fof99.com/fund/view/d8c5ba292c0e7653</v>
      </c>
      <c r="BD39" s="23">
        <f>IF('Sheet5-查询核对'!H24="","",'Sheet5-查询核对'!H24)</f>
        <v>46269</v>
      </c>
      <c r="BE39" s="24" t="str">
        <f>IF('Sheet5-查询核对'!L24="","",'Sheet5-查询核对'!L24)</f>
        <v>https://gs.amac.org.cn/amac-infodisc/res/pof/manager/2203031405108672.html</v>
      </c>
      <c r="BF39" s="23">
        <f>IF('Sheet5-查询核对'!M24="","",'Sheet5-查询核对'!M24)</f>
        <v>46276</v>
      </c>
      <c r="BG39" s="24" t="str">
        <f>IF('Sheet5-查询核对'!O24="","",'Sheet5-查询核对'!O24)</f>
        <v>https://gs.amac.org.cn/amac-infodisc/res/pof/fund/2112091906107607.html</v>
      </c>
      <c r="BH39" s="23">
        <f>IF('Sheet5-查询核对'!P24="","",'Sheet5-查询核对'!P24)</f>
        <v>46276</v>
      </c>
      <c r="BI39" s="22" t="str">
        <f>IF('Sheet5-查询核对'!D24="","",'Sheet5-查询核对'!D24)</f>
        <v>STD929</v>
      </c>
      <c r="BJ39">
        <f>IF(ISNUMBER(AT39),AT39,COUNT($AT$17:$AT$99)+ROWS($AT$17:AT39)-COUNT($AT$17:AT39))</f>
        <v>67</v>
      </c>
      <c r="BK39" s="2">
        <f t="shared" si="16"/>
        <v>1</v>
      </c>
      <c r="BL39" s="2">
        <f t="shared" si="17"/>
        <v>1</v>
      </c>
      <c r="BM39" s="2">
        <f t="shared" si="18"/>
        <v>1</v>
      </c>
      <c r="BN39" s="2">
        <f t="shared" si="19"/>
        <v>1</v>
      </c>
      <c r="BO39" s="2">
        <f t="shared" si="20"/>
        <v>0</v>
      </c>
      <c r="BP39" s="48">
        <f>IF(G39="入池",IF(ISNUMBER(I39),I39*('Sheet1-指标体系'!$G$4),0),0)</f>
        <v>4.2</v>
      </c>
      <c r="BQ39" s="48">
        <f>IF(G39="入池",IF(ISNUMBER(K39),K39*('Sheet1-指标体系'!$G$5),0),0)</f>
        <v>4.5</v>
      </c>
      <c r="BR39" s="48">
        <f>IF(G39="入池",IF(ISNUMBER(L39),L39*('Sheet1-指标体系'!$G$6),0),0)</f>
        <v>4.5</v>
      </c>
      <c r="BS39" s="48">
        <f>IF(G39="入池",IF(ISNUMBER(Q39),Q39*('Sheet1-指标体系'!$G$7*'Sheet1-指标体系'!$J$8),0),0)</f>
        <v>4.31676</v>
      </c>
      <c r="BT39" s="48">
        <f>IF(G39="入池",IF(ISNUMBER(R39),R39*('Sheet1-指标体系'!$G$7*'Sheet1-指标体系'!$J$9),0),0)</f>
        <v>4.66648</v>
      </c>
      <c r="BU39" s="48">
        <f>IF(G39="入池",IF(ISNUMBER(W39),W39*('Sheet1-指标体系'!$G$8*'Sheet1-指标体系'!$J$8),0),0)</f>
        <v>1.9386</v>
      </c>
      <c r="BV39" s="48">
        <f>IF(G39="入池",IF(ISNUMBER(X39),X39*('Sheet1-指标体系'!$G$8*'Sheet1-指标体系'!$J$9),0),0)</f>
        <v>1.49997</v>
      </c>
      <c r="BW39" s="48">
        <f>IF(G39="入池",IF(ISNUMBER(AC39),AC39*('Sheet1-指标体系'!$G$9),0),0)</f>
        <v>2.0275</v>
      </c>
      <c r="BX39" s="48">
        <f>IF(G39="入池",IF(ISNUMBER(AG39),AG39*('Sheet1-指标体系'!$G$10*'Sheet1-指标体系'!$J$8),0),0)</f>
        <v>1.2672</v>
      </c>
      <c r="BY39" s="48">
        <f>IF(G39="入池",IF(ISNUMBER(AH39),AH39*('Sheet1-指标体系'!$G$10*'Sheet1-指标体系'!$J$9),0),0)</f>
        <v>0</v>
      </c>
      <c r="BZ39" s="48">
        <f>IF(G39="入池",IF(ISNUMBER(AK39),AK39*('Sheet1-指标体系'!$G$11),0),0)</f>
        <v>8</v>
      </c>
      <c r="CA39" s="49">
        <f>IF(G39="入池",IF(ISNUMBER(I39),'Sheet1-指标体系'!$G$4,0),0)</f>
        <v>0.06</v>
      </c>
      <c r="CB39" s="49">
        <f>IF(G39="入池",IF(ISNUMBER(K39),'Sheet1-指标体系'!$G$5,0),0)</f>
        <v>0.045</v>
      </c>
      <c r="CC39" s="49">
        <f>IF(G39="入池",IF(ISNUMBER(L39),'Sheet1-指标体系'!$G$6,0),0)</f>
        <v>0.045</v>
      </c>
      <c r="CD39" s="49">
        <f>IF(G39="入池",IF(ISNUMBER(Q39),'Sheet1-指标体系'!$G$7*'Sheet1-指标体系'!$J$8,0),0)</f>
        <v>0.084</v>
      </c>
      <c r="CE39" s="49">
        <f>IF(G39="入池",IF(ISNUMBER(R39),'Sheet1-指标体系'!$G$7*'Sheet1-指标体系'!$J$9,0),0)</f>
        <v>0.056</v>
      </c>
      <c r="CF39" s="49">
        <f>IF(G39="入池",IF(ISNUMBER(W39),'Sheet1-指标体系'!$G$8*'Sheet1-指标体系'!$J$8,0),0)</f>
        <v>0.036</v>
      </c>
      <c r="CG39" s="49">
        <f>IF(G39="入池",IF(ISNUMBER(X39),'Sheet1-指标体系'!$G$8*'Sheet1-指标体系'!$J$9,0),0)</f>
        <v>0.024</v>
      </c>
      <c r="CH39" s="49">
        <f>IF(G39="入池",IF(ISNUMBER(AC39),'Sheet1-指标体系'!$G$9,0),0)</f>
        <v>0.25</v>
      </c>
      <c r="CI39" s="49">
        <f>IF(G39="入池",IF(ISNUMBER(AG39),'Sheet1-指标体系'!$G$10*'Sheet1-指标体系'!$J$8,0),0)</f>
        <v>0.18</v>
      </c>
      <c r="CJ39" s="49">
        <f>IF(G39="入池",IF(ISNUMBER(AH39),'Sheet1-指标体系'!$G$10*'Sheet1-指标体系'!$J$9,0),0)</f>
        <v>0</v>
      </c>
      <c r="CK39" s="49">
        <f>IF(G39="入池",IF(ISNUMBER(AK39),'Sheet1-指标体系'!$G$11,0),0)</f>
        <v>0.1</v>
      </c>
    </row>
    <row r="40" ht="44" customHeight="1" spans="1:89">
      <c r="A40" s="40">
        <f>'Sheet5-查询核对'!A25-1</f>
        <v>24</v>
      </c>
      <c r="B40" s="24" t="str">
        <f>IF('Sheet4-原始数据'!A25="",'Sheet5-查询核对'!B25,'Sheet4-原始数据'!A25)</f>
        <v>阶石稳健1号</v>
      </c>
      <c r="C40" s="22" t="str">
        <f>IF('Sheet4-原始数据'!B25="","",'Sheet4-原始数据'!B25)</f>
        <v>SATE65</v>
      </c>
      <c r="D40" s="22" t="str">
        <f>IF('Sheet4-原始数据'!E25="","",'Sheet4-原始数据'!E25)</f>
        <v>深圳阶石</v>
      </c>
      <c r="E40" s="23">
        <f>IF('Sheet4-原始数据'!F25="","",'Sheet4-原始数据'!F25)</f>
        <v>45694</v>
      </c>
      <c r="F40" s="37">
        <f>IF(ISNUMBER(E40),ROUND(('Sheet1-指标体系'!$J$12-E40)/'Sheet1-指标体系'!$J$14,4),"")</f>
        <v>1.5907</v>
      </c>
      <c r="G40" s="36" t="str">
        <f>IF(C40="","未匹配",IF(NOT(ISNUMBER(F40)),"缺成立日期",IF(F40&lt;'Sheet1-指标体系'!$J$15,"不入池","入池")))</f>
        <v>入池</v>
      </c>
      <c r="H40" s="22" t="str">
        <f>IF('Sheet5-查询核对'!K25="","",'Sheet5-查询核对'!K25)</f>
        <v>10-20亿元</v>
      </c>
      <c r="I40" s="37">
        <f>IF(H40="","",IF(COUNTIF('Sheet1-指标体系'!$P$4:$P$10,H40)=0,"",INDEX('Sheet1-指标体系'!$Q$4:$Q$10,MATCH(H40,'Sheet1-指标体系'!$P$4:$P$10,0))))</f>
        <v>80</v>
      </c>
      <c r="J40" s="44" t="str">
        <f>IF(NOT(ISNUMBER('Sheet5-查询核对'!N25)),"",IF('Sheet5-查询核对'!N25=1,"低于"&amp;'Sheet1-指标体系'!$J$4&amp;"万元",IF('Sheet5-查询核对'!N25=0,"无低于"&amp;'Sheet1-指标体系'!$J$4&amp;"万元标识","")))</f>
        <v>无低于1000万元标识</v>
      </c>
      <c r="K40" s="37">
        <f>IF(NOT(ISNUMBER('Sheet5-查询核对'!N25)),"",IF('Sheet5-查询核对'!N25=1,'Sheet1-指标体系'!$J$21,IF('Sheet5-查询核对'!N25=0,'Sheet1-指标体系'!$J$18,"")))</f>
        <v>100</v>
      </c>
      <c r="L40" s="37">
        <f>IF(NOT(ISNUMBER(F40)),"",IF(F40&lt;'Sheet1-指标体系'!$J$15,"",IF(F40&lt;'Sheet1-指标体系'!$J$16,'Sheet1-指标体系'!$J$17,'Sheet1-指标体系'!$J$18)))</f>
        <v>70</v>
      </c>
      <c r="M40" s="26">
        <f>IF(ISNUMBER('Sheet4-原始数据'!G25),'Sheet4-原始数据'!G25,"")</f>
        <v>0.316969734003115</v>
      </c>
      <c r="N40" s="26" t="str">
        <f>IF(ISNUMBER('Sheet4-原始数据'!H25),'Sheet4-原始数据'!H25,"")</f>
        <v/>
      </c>
      <c r="O40" s="26">
        <f>IF(ISNUMBER('Sheet5-查询核对'!Q25),'Sheet5-查询核对'!Q25,"")</f>
        <v>0.22997763561791</v>
      </c>
      <c r="P40" s="45">
        <f>IF(G40&lt;&gt;"入池","",IF(F40&gt;='Sheet1-指标体系'!$J$16,IF(AND(ISNUMBER(M40),ISNUMBER(N40)),IF(AND(1+M40&gt;0,1+N40&gt;=0),((1+N40)^'Sheet1-指标体系'!$J$16/(1+M40))^(1/('Sheet1-指标体系'!$J$16-1))-1,""),""),IF(AND(ISNUMBER(M40),ISNUMBER(O40)),IF(AND(F40&gt;1,1+M40&gt;0,1+O40&gt;=0),((1+O40)^F40/(1+M40))^(1/(F40-1))-1,""),"")))</f>
        <v>0.0956053597566402</v>
      </c>
      <c r="Q40" s="37">
        <f t="shared" si="0"/>
        <v>95.83</v>
      </c>
      <c r="R40" s="37">
        <f t="shared" si="1"/>
        <v>66.67</v>
      </c>
      <c r="S40" s="37">
        <f>IF(ISNUMBER(Q40),IF(ISNUMBER(R40),ROUND(Q40*'Sheet1-指标体系'!$J$8+R40*'Sheet1-指标体系'!$J$9,2),Q40),"")</f>
        <v>84.17</v>
      </c>
      <c r="T40" s="26" t="str">
        <f>IF(ISNUMBER('Sheet4-原始数据'!J25),'Sheet4-原始数据'!J25,"")</f>
        <v/>
      </c>
      <c r="U40" s="26" t="str">
        <f>IF(ISNUMBER('Sheet4-原始数据'!I25),'Sheet4-原始数据'!I25,"")</f>
        <v/>
      </c>
      <c r="V40" s="45" t="str">
        <f>IF(AND(ISNUMBER(T40),ISNUMBER(U40)),(U40*'Sheet1-指标体系'!$J$6-T40*'Sheet1-指标体系'!$J$5)/'Sheet1-指标体系'!$J$7,"")</f>
        <v/>
      </c>
      <c r="W40" s="37" t="str">
        <f t="shared" si="2"/>
        <v/>
      </c>
      <c r="X40" s="37" t="str">
        <f>IF(G40&lt;&gt;"入池","",IF(ISNUMBER(V40),IF(AND(V40&gt;=0,V40&lt;=1),V40*'Sheet1-指标体系'!$J$18,IF(MAX(0,(F40-'Sheet1-指标体系'!$J$15)*'Sheet1-指标体系'!$J$20)&lt;'Sheet1-指标体系'!$J$19,'Sheet1-指标体系'!$J$18,"")),IF(MAX(0,(F40-'Sheet1-指标体系'!$J$15)*'Sheet1-指标体系'!$J$20)&lt;'Sheet1-指标体系'!$J$19,'Sheet1-指标体系'!$J$18,"")))</f>
        <v/>
      </c>
      <c r="Y40" s="37" t="str">
        <f>IF(ISNUMBER(W40),IF(ISNUMBER(X40),ROUND(W40*'Sheet1-指标体系'!$J$8+X40*'Sheet1-指标体系'!$J$9,2),W40),"")</f>
        <v/>
      </c>
      <c r="Z40" s="45">
        <f t="shared" si="3"/>
        <v>0.00619998558142887</v>
      </c>
      <c r="AA40" s="26" t="str">
        <f>IF(ISNUMBER('Sheet4-原始数据'!K25),'Sheet4-原始数据'!K25,"")</f>
        <v/>
      </c>
      <c r="AB40" s="45">
        <f t="shared" si="4"/>
        <v>0.00619998558142887</v>
      </c>
      <c r="AC40" s="37">
        <f t="shared" si="5"/>
        <v>82.43</v>
      </c>
      <c r="AD40" s="30">
        <f>IF(ISNUMBER('Sheet4-原始数据'!M25),'Sheet4-原始数据'!M25,"")</f>
        <v>51.1242695390374</v>
      </c>
      <c r="AE40" s="45" t="str">
        <f>IF(AND(ISNUMBER(P40),ISNUMBER(AA40),ISNUMBER(Z40)),IF(AA40&gt;Z40+'Sheet1-指标体系'!$J$11,AA40,""),"")</f>
        <v/>
      </c>
      <c r="AF40" s="37" t="str">
        <f t="shared" si="6"/>
        <v/>
      </c>
      <c r="AG40" s="37">
        <f t="shared" si="7"/>
        <v>95.77</v>
      </c>
      <c r="AH40" s="37" t="str">
        <f t="shared" si="8"/>
        <v/>
      </c>
      <c r="AI40" s="37">
        <f>IF(ISNUMBER(AG40),IF(ISNUMBER(AH40),ROUND(AG40*'Sheet1-指标体系'!$J$8+AH40*'Sheet1-指标体系'!$J$9,2),AG40),"")</f>
        <v>95.77</v>
      </c>
      <c r="AJ40" s="45">
        <f>IF(NOT(ISNUMBER(F40)),"",IF(F40&gt;='Sheet1-指标体系'!$J$16,IF(ISNUMBER(N40),N40,""),IF(ISNUMBER(O40),O40,"")))</f>
        <v>0.22997763561791</v>
      </c>
      <c r="AK40" s="37">
        <f>IF(AND(G40="入池",ISNUMBER(M40),ISNUMBER(AJ40)),IF(M40&gt;=AJ40,'Sheet1-指标体系'!$J$18,IF(AJ40-M40&lt;'Sheet1-指标体系'!$J$10,'Sheet1-指标体系'!$J$22,'Sheet1-指标体系'!$J$23)),"")</f>
        <v>100</v>
      </c>
      <c r="AL40" s="37">
        <f>IF((IF(ISNUMBER(I40),'Sheet1-指标体系'!$G$4,0)+IF(ISNUMBER(K40),'Sheet1-指标体系'!$G$5,0)+IF(ISNUMBER(L40),'Sheet1-指标体系'!$G$6,0))&gt;0,ROUND((IF(ISNUMBER(I40),I40*'Sheet1-指标体系'!$G$4,0)+IF(ISNUMBER(K40),K40*'Sheet1-指标体系'!$G$5,0)+IF(ISNUMBER(L40),L40*'Sheet1-指标体系'!$G$6,0))/(IF(ISNUMBER(I40),'Sheet1-指标体系'!$G$4,0)+IF(ISNUMBER(K40),'Sheet1-指标体系'!$G$5,0)+IF(ISNUMBER(L40),'Sheet1-指标体系'!$G$6,0)),2),"")</f>
        <v>83</v>
      </c>
      <c r="AM40" s="37">
        <f t="shared" si="9"/>
        <v>84.17</v>
      </c>
      <c r="AN40" s="37">
        <f t="shared" si="10"/>
        <v>82.43</v>
      </c>
      <c r="AO40" s="37">
        <f t="shared" si="11"/>
        <v>95.77</v>
      </c>
      <c r="AP40" s="37">
        <f t="shared" si="12"/>
        <v>100</v>
      </c>
      <c r="AQ40" s="38">
        <f t="shared" si="13"/>
        <v>0.82</v>
      </c>
      <c r="AR40" s="37">
        <f t="shared" si="14"/>
        <v>72.07934</v>
      </c>
      <c r="AS40" s="37">
        <f t="shared" si="15"/>
        <v>87.9</v>
      </c>
      <c r="AT40" s="40">
        <f>IF(OR(G40&lt;&gt;"入池",NOT(ISNUMBER(AS40))),"",COUNTIFS($G$17:$G$99,"入池",$AS$17:$AS$99,"&gt;"&amp;AS40)+COUNTIFS($G$17:$G$99,"入池",$AS$17:$AS$99,AS40,$AQ$17:$AQ$99,"&gt;"&amp;AQ40)+COUNTIFS($G$17:G40,"入池",$AS$17:AS40,AS40,$AQ$17:AQ40,AQ40))</f>
        <v>5</v>
      </c>
      <c r="AU40" s="46" t="str">
        <f>IF(NOT(ISNUMBER(I40)),"管理人规模；","")&amp;IF(NOT(ISNUMBER(K40)),"产品规模标识；","")&amp;IF(NOT(ISNUMBER(M40)),"近一年收益；","")&amp;IF(NOT(ISNUMBER(T40)),"近一年胜率；","")&amp;IF(NOT(ISNUMBER(N40)),"近三年收益；","")&amp;IF(NOT(ISNUMBER(U40)),"近三年胜率；","")&amp;IF(NOT(ISNUMBER(AA40)),"近三年回撤；","")&amp;IF(NOT(ISNUMBER(AD40)),"近一年卡玛；","")&amp;IF(ISNUMBER(F40),IF(AND(F40&lt;'Sheet1-指标体系'!$J$16,NOT(ISNUMBER(O40))),"成立以来年化；",""),"成立日期；")&amp;IF(ISNUMBER(V40),IF(OR(V40&lt;0,V40&gt;1),"胜率窗口口径不一致；",""),"")&amp;IF(ISNUMBER(P40),IF(NOT(ISNUMBER(AE40)),"DD_long不可识别；",""),"")</f>
        <v>近一年胜率；近三年收益；近三年胜率；近三年回撤；DD_long不可识别；</v>
      </c>
      <c r="AV40" s="37" t="str">
        <f>IF(ABS(SUM(CA40:CK40)-'Sheet1-指标体系'!$J$25)&lt;0.0000000001,SUM(BP40:BZ40),"")</f>
        <v/>
      </c>
      <c r="AW40" s="36" t="str">
        <f>IF(G40&lt;&gt;"入池",G40,IF(AQ40=0,"无有效评分数据",IF(ROUND(AQ40,10)=ROUND('Sheet1-指标体系'!$J$25,10),"完整赋分","暂定分／数据不完整")))</f>
        <v>暂定分／数据不完整</v>
      </c>
      <c r="AX40" s="22" t="str">
        <f>IF('Sheet4-原始数据'!C25="","",'Sheet4-原始数据'!C25)</f>
        <v>套利策略</v>
      </c>
      <c r="AY40" s="22" t="str">
        <f>IF('Sheet4-原始数据'!D25="","",'Sheet4-原始数据'!D25)</f>
        <v>基金套利</v>
      </c>
      <c r="AZ40" s="22" t="str">
        <f>IF('Sheet5-查询核对'!S25="","",'Sheet5-查询核对'!S25)</f>
        <v>套利策略—基金套利</v>
      </c>
      <c r="BA40" s="25">
        <f>IF('Sheet5-查询核对'!A25="","",'Sheet5-查询核对'!A25)</f>
        <v>25</v>
      </c>
      <c r="BB40" s="22" t="str">
        <f>IF('Sheet5-查询核对'!F25="","",'Sheet5-查询核对'!F25)</f>
        <v>备案号匹配</v>
      </c>
      <c r="BC40" s="24" t="str">
        <f>IF('Sheet5-查询核对'!I25="","",'Sheet5-查询核对'!I25)</f>
        <v>https://mp.fof99.com/fund/view/735dc9bdc1713fc1</v>
      </c>
      <c r="BD40" s="23">
        <f>IF('Sheet5-查询核对'!H25="","",'Sheet5-查询核对'!H25)</f>
        <v>46269</v>
      </c>
      <c r="BE40" s="24" t="str">
        <f>IF('Sheet5-查询核对'!L25="","",'Sheet5-查询核对'!L25)</f>
        <v>https://gs.amac.org.cn/amac-infodisc/res/pof/manager/1903261812109866.html</v>
      </c>
      <c r="BF40" s="23">
        <f>IF('Sheet5-查询核对'!M25="","",'Sheet5-查询核对'!M25)</f>
        <v>46276</v>
      </c>
      <c r="BG40" s="24" t="str">
        <f>IF('Sheet5-查询核对'!O25="","",'Sheet5-查询核对'!O25)</f>
        <v>https://gs.amac.org.cn/amac-infodisc/res/pof/fund/2502121708108102.html</v>
      </c>
      <c r="BH40" s="23">
        <f>IF('Sheet5-查询核对'!P25="","",'Sheet5-查询核对'!P25)</f>
        <v>46276</v>
      </c>
      <c r="BI40" s="22" t="str">
        <f>IF('Sheet5-查询核对'!D25="","",'Sheet5-查询核对'!D25)</f>
        <v>SATE65</v>
      </c>
      <c r="BJ40">
        <f>IF(ISNUMBER(AT40),AT40,COUNT($AT$17:$AT$99)+ROWS($AT$17:AT40)-COUNT($AT$17:AT40))</f>
        <v>5</v>
      </c>
      <c r="BK40" s="2">
        <f t="shared" si="16"/>
        <v>1</v>
      </c>
      <c r="BL40" s="2">
        <f t="shared" si="17"/>
        <v>1</v>
      </c>
      <c r="BM40" s="2">
        <f t="shared" si="18"/>
        <v>1</v>
      </c>
      <c r="BN40" s="2">
        <f t="shared" si="19"/>
        <v>1</v>
      </c>
      <c r="BO40" s="2">
        <f t="shared" si="20"/>
        <v>0</v>
      </c>
      <c r="BP40" s="48">
        <f>IF(G40="入池",IF(ISNUMBER(I40),I40*('Sheet1-指标体系'!$G$4),0),0)</f>
        <v>4.8</v>
      </c>
      <c r="BQ40" s="48">
        <f>IF(G40="入池",IF(ISNUMBER(K40),K40*('Sheet1-指标体系'!$G$5),0),0)</f>
        <v>4.5</v>
      </c>
      <c r="BR40" s="48">
        <f>IF(G40="入池",IF(ISNUMBER(L40),L40*('Sheet1-指标体系'!$G$6),0),0)</f>
        <v>3.15</v>
      </c>
      <c r="BS40" s="48">
        <f>IF(G40="入池",IF(ISNUMBER(Q40),Q40*('Sheet1-指标体系'!$G$7*'Sheet1-指标体系'!$J$8),0),0)</f>
        <v>8.04972</v>
      </c>
      <c r="BT40" s="48">
        <f>IF(G40="入池",IF(ISNUMBER(R40),R40*('Sheet1-指标体系'!$G$7*'Sheet1-指标体系'!$J$9),0),0)</f>
        <v>3.73352</v>
      </c>
      <c r="BU40" s="48">
        <f>IF(G40="入池",IF(ISNUMBER(W40),W40*('Sheet1-指标体系'!$G$8*'Sheet1-指标体系'!$J$8),0),0)</f>
        <v>0</v>
      </c>
      <c r="BV40" s="48">
        <f>IF(G40="入池",IF(ISNUMBER(X40),X40*('Sheet1-指标体系'!$G$8*'Sheet1-指标体系'!$J$9),0),0)</f>
        <v>0</v>
      </c>
      <c r="BW40" s="48">
        <f>IF(G40="入池",IF(ISNUMBER(AC40),AC40*('Sheet1-指标体系'!$G$9),0),0)</f>
        <v>20.6075</v>
      </c>
      <c r="BX40" s="48">
        <f>IF(G40="入池",IF(ISNUMBER(AG40),AG40*('Sheet1-指标体系'!$G$10*'Sheet1-指标体系'!$J$8),0),0)</f>
        <v>17.2386</v>
      </c>
      <c r="BY40" s="48">
        <f>IF(G40="入池",IF(ISNUMBER(AH40),AH40*('Sheet1-指标体系'!$G$10*'Sheet1-指标体系'!$J$9),0),0)</f>
        <v>0</v>
      </c>
      <c r="BZ40" s="48">
        <f>IF(G40="入池",IF(ISNUMBER(AK40),AK40*('Sheet1-指标体系'!$G$11),0),0)</f>
        <v>10</v>
      </c>
      <c r="CA40" s="49">
        <f>IF(G40="入池",IF(ISNUMBER(I40),'Sheet1-指标体系'!$G$4,0),0)</f>
        <v>0.06</v>
      </c>
      <c r="CB40" s="49">
        <f>IF(G40="入池",IF(ISNUMBER(K40),'Sheet1-指标体系'!$G$5,0),0)</f>
        <v>0.045</v>
      </c>
      <c r="CC40" s="49">
        <f>IF(G40="入池",IF(ISNUMBER(L40),'Sheet1-指标体系'!$G$6,0),0)</f>
        <v>0.045</v>
      </c>
      <c r="CD40" s="49">
        <f>IF(G40="入池",IF(ISNUMBER(Q40),'Sheet1-指标体系'!$G$7*'Sheet1-指标体系'!$J$8,0),0)</f>
        <v>0.084</v>
      </c>
      <c r="CE40" s="49">
        <f>IF(G40="入池",IF(ISNUMBER(R40),'Sheet1-指标体系'!$G$7*'Sheet1-指标体系'!$J$9,0),0)</f>
        <v>0.056</v>
      </c>
      <c r="CF40" s="49">
        <f>IF(G40="入池",IF(ISNUMBER(W40),'Sheet1-指标体系'!$G$8*'Sheet1-指标体系'!$J$8,0),0)</f>
        <v>0</v>
      </c>
      <c r="CG40" s="49">
        <f>IF(G40="入池",IF(ISNUMBER(X40),'Sheet1-指标体系'!$G$8*'Sheet1-指标体系'!$J$9,0),0)</f>
        <v>0</v>
      </c>
      <c r="CH40" s="49">
        <f>IF(G40="入池",IF(ISNUMBER(AC40),'Sheet1-指标体系'!$G$9,0),0)</f>
        <v>0.25</v>
      </c>
      <c r="CI40" s="49">
        <f>IF(G40="入池",IF(ISNUMBER(AG40),'Sheet1-指标体系'!$G$10*'Sheet1-指标体系'!$J$8,0),0)</f>
        <v>0.18</v>
      </c>
      <c r="CJ40" s="49">
        <f>IF(G40="入池",IF(ISNUMBER(AH40),'Sheet1-指标体系'!$G$10*'Sheet1-指标体系'!$J$9,0),0)</f>
        <v>0</v>
      </c>
      <c r="CK40" s="49">
        <f>IF(G40="入池",IF(ISNUMBER(AK40),'Sheet1-指标体系'!$G$11,0),0)</f>
        <v>0.1</v>
      </c>
    </row>
    <row r="41" ht="44" customHeight="1" spans="1:89">
      <c r="A41" s="40">
        <f>'Sheet5-查询核对'!A26-1</f>
        <v>25</v>
      </c>
      <c r="B41" s="24" t="str">
        <f>IF('Sheet4-原始数据'!A26="",'Sheet5-查询核对'!B26,'Sheet4-原始数据'!A26)</f>
        <v>阶石稳健7号</v>
      </c>
      <c r="C41" s="22" t="str">
        <f>IF('Sheet4-原始数据'!B26="","",'Sheet4-原始数据'!B26)</f>
        <v>SAWS84</v>
      </c>
      <c r="D41" s="22" t="str">
        <f>IF('Sheet4-原始数据'!E26="","",'Sheet4-原始数据'!E26)</f>
        <v>深圳阶石</v>
      </c>
      <c r="E41" s="23">
        <f>IF('Sheet4-原始数据'!F26="","",'Sheet4-原始数据'!F26)</f>
        <v>45749</v>
      </c>
      <c r="F41" s="37">
        <f>IF(ISNUMBER(E41),ROUND(('Sheet1-指标体系'!$J$12-E41)/'Sheet1-指标体系'!$J$14,4),"")</f>
        <v>1.4401</v>
      </c>
      <c r="G41" s="36" t="str">
        <f>IF(C41="","未匹配",IF(NOT(ISNUMBER(F41)),"缺成立日期",IF(F41&lt;'Sheet1-指标体系'!$J$15,"不入池","入池")))</f>
        <v>入池</v>
      </c>
      <c r="H41" s="22" t="str">
        <f>IF('Sheet5-查询核对'!K26="","",'Sheet5-查询核对'!K26)</f>
        <v>10-20亿元</v>
      </c>
      <c r="I41" s="37">
        <f>IF(H41="","",IF(COUNTIF('Sheet1-指标体系'!$P$4:$P$10,H41)=0,"",INDEX('Sheet1-指标体系'!$Q$4:$Q$10,MATCH(H41,'Sheet1-指标体系'!$P$4:$P$10,0))))</f>
        <v>80</v>
      </c>
      <c r="J41" s="44" t="str">
        <f>IF(NOT(ISNUMBER('Sheet5-查询核对'!N26)),"",IF('Sheet5-查询核对'!N26=1,"低于"&amp;'Sheet1-指标体系'!$J$4&amp;"万元",IF('Sheet5-查询核对'!N26=0,"无低于"&amp;'Sheet1-指标体系'!$J$4&amp;"万元标识","")))</f>
        <v>无低于1000万元标识</v>
      </c>
      <c r="K41" s="37">
        <f>IF(NOT(ISNUMBER('Sheet5-查询核对'!N26)),"",IF('Sheet5-查询核对'!N26=1,'Sheet1-指标体系'!$J$21,IF('Sheet5-查询核对'!N26=0,'Sheet1-指标体系'!$J$18,"")))</f>
        <v>100</v>
      </c>
      <c r="L41" s="37">
        <f>IF(NOT(ISNUMBER(F41)),"",IF(F41&lt;'Sheet1-指标体系'!$J$15,"",IF(F41&lt;'Sheet1-指标体系'!$J$16,'Sheet1-指标体系'!$J$17,'Sheet1-指标体系'!$J$18)))</f>
        <v>70</v>
      </c>
      <c r="M41" s="26">
        <f>IF(ISNUMBER('Sheet4-原始数据'!G26),'Sheet4-原始数据'!G26,"")</f>
        <v>0.112408879112008</v>
      </c>
      <c r="N41" s="26" t="str">
        <f>IF(ISNUMBER('Sheet4-原始数据'!H26),'Sheet4-原始数据'!H26,"")</f>
        <v/>
      </c>
      <c r="O41" s="26" t="str">
        <f>IF(ISNUMBER('Sheet5-查询核对'!Q26),'Sheet5-查询核对'!Q26,"")</f>
        <v/>
      </c>
      <c r="P41" s="45" t="str">
        <f>IF(G41&lt;&gt;"入池","",IF(F41&gt;='Sheet1-指标体系'!$J$16,IF(AND(ISNUMBER(M41),ISNUMBER(N41)),IF(AND(1+M41&gt;0,1+N41&gt;=0),((1+N41)^'Sheet1-指标体系'!$J$16/(1+M41))^(1/('Sheet1-指标体系'!$J$16-1))-1,""),""),IF(AND(ISNUMBER(M41),ISNUMBER(O41)),IF(AND(F41&gt;1,1+M41&gt;0,1+O41&gt;=0),((1+O41)^F41/(1+M41))^(1/(F41-1))-1,""),"")))</f>
        <v/>
      </c>
      <c r="Q41" s="37">
        <f t="shared" si="0"/>
        <v>68.06</v>
      </c>
      <c r="R41" s="37" t="str">
        <f t="shared" si="1"/>
        <v/>
      </c>
      <c r="S41" s="37">
        <f>IF(ISNUMBER(Q41),IF(ISNUMBER(R41),ROUND(Q41*'Sheet1-指标体系'!$J$8+R41*'Sheet1-指标体系'!$J$9,2),Q41),"")</f>
        <v>68.06</v>
      </c>
      <c r="T41" s="26">
        <f>IF(ISNUMBER('Sheet4-原始数据'!J26),'Sheet4-原始数据'!J26,"")</f>
        <v>0.846153846153846</v>
      </c>
      <c r="U41" s="26" t="str">
        <f>IF(ISNUMBER('Sheet4-原始数据'!I26),'Sheet4-原始数据'!I26,"")</f>
        <v/>
      </c>
      <c r="V41" s="45" t="str">
        <f>IF(AND(ISNUMBER(T41),ISNUMBER(U41)),(U41*'Sheet1-指标体系'!$J$6-T41*'Sheet1-指标体系'!$J$5)/'Sheet1-指标体系'!$J$7,"")</f>
        <v/>
      </c>
      <c r="W41" s="37">
        <f t="shared" si="2"/>
        <v>84.6153846153846</v>
      </c>
      <c r="X41" s="37">
        <f>IF(G41&lt;&gt;"入池","",IF(ISNUMBER(V41),IF(AND(V41&gt;=0,V41&lt;=1),V41*'Sheet1-指标体系'!$J$18,IF(MAX(0,(F41-'Sheet1-指标体系'!$J$15)*'Sheet1-指标体系'!$J$20)&lt;'Sheet1-指标体系'!$J$19,'Sheet1-指标体系'!$J$18,"")),IF(MAX(0,(F41-'Sheet1-指标体系'!$J$15)*'Sheet1-指标体系'!$J$20)&lt;'Sheet1-指标体系'!$J$19,'Sheet1-指标体系'!$J$18,"")))</f>
        <v>100</v>
      </c>
      <c r="Y41" s="37">
        <f>IF(ISNUMBER(W41),IF(ISNUMBER(X41),ROUND(W41*'Sheet1-指标体系'!$J$8+X41*'Sheet1-指标体系'!$J$9,2),W41),"")</f>
        <v>90.77</v>
      </c>
      <c r="Z41" s="45">
        <f t="shared" si="3"/>
        <v>0.00426811523911141</v>
      </c>
      <c r="AA41" s="26" t="str">
        <f>IF(ISNUMBER('Sheet4-原始数据'!K26),'Sheet4-原始数据'!K26,"")</f>
        <v/>
      </c>
      <c r="AB41" s="45">
        <f t="shared" si="4"/>
        <v>0.00426811523911141</v>
      </c>
      <c r="AC41" s="37">
        <f t="shared" si="5"/>
        <v>90.54</v>
      </c>
      <c r="AD41" s="30">
        <f>IF(ISNUMBER('Sheet4-原始数据'!M26),'Sheet4-原始数据'!M26,"")</f>
        <v>26.3368894264932</v>
      </c>
      <c r="AE41" s="45" t="str">
        <f>IF(AND(ISNUMBER(P41),ISNUMBER(AA41),ISNUMBER(Z41)),IF(AA41&gt;Z41+'Sheet1-指标体系'!$J$11,AA41,""),"")</f>
        <v/>
      </c>
      <c r="AF41" s="37" t="str">
        <f t="shared" si="6"/>
        <v/>
      </c>
      <c r="AG41" s="37">
        <f t="shared" si="7"/>
        <v>84.51</v>
      </c>
      <c r="AH41" s="37" t="str">
        <f t="shared" si="8"/>
        <v/>
      </c>
      <c r="AI41" s="37">
        <f>IF(ISNUMBER(AG41),IF(ISNUMBER(AH41),ROUND(AG41*'Sheet1-指标体系'!$J$8+AH41*'Sheet1-指标体系'!$J$9,2),AG41),"")</f>
        <v>84.51</v>
      </c>
      <c r="AJ41" s="45" t="str">
        <f>IF(NOT(ISNUMBER(F41)),"",IF(F41&gt;='Sheet1-指标体系'!$J$16,IF(ISNUMBER(N41),N41,""),IF(ISNUMBER(O41),O41,"")))</f>
        <v/>
      </c>
      <c r="AK41" s="37" t="str">
        <f>IF(AND(G41="入池",ISNUMBER(M41),ISNUMBER(AJ41)),IF(M41&gt;=AJ41,'Sheet1-指标体系'!$J$18,IF(AJ41-M41&lt;'Sheet1-指标体系'!$J$10,'Sheet1-指标体系'!$J$22,'Sheet1-指标体系'!$J$23)),"")</f>
        <v/>
      </c>
      <c r="AL41" s="37">
        <f>IF((IF(ISNUMBER(I41),'Sheet1-指标体系'!$G$4,0)+IF(ISNUMBER(K41),'Sheet1-指标体系'!$G$5,0)+IF(ISNUMBER(L41),'Sheet1-指标体系'!$G$6,0))&gt;0,ROUND((IF(ISNUMBER(I41),I41*'Sheet1-指标体系'!$G$4,0)+IF(ISNUMBER(K41),K41*'Sheet1-指标体系'!$G$5,0)+IF(ISNUMBER(L41),L41*'Sheet1-指标体系'!$G$6,0))/(IF(ISNUMBER(I41),'Sheet1-指标体系'!$G$4,0)+IF(ISNUMBER(K41),'Sheet1-指标体系'!$G$5,0)+IF(ISNUMBER(L41),'Sheet1-指标体系'!$G$6,0)),2),"")</f>
        <v>83</v>
      </c>
      <c r="AM41" s="37">
        <f t="shared" si="9"/>
        <v>77.52</v>
      </c>
      <c r="AN41" s="37">
        <f t="shared" si="10"/>
        <v>90.54</v>
      </c>
      <c r="AO41" s="37">
        <f t="shared" si="11"/>
        <v>84.51</v>
      </c>
      <c r="AP41" s="37" t="str">
        <f t="shared" si="12"/>
        <v/>
      </c>
      <c r="AQ41" s="38">
        <f t="shared" si="13"/>
        <v>0.724</v>
      </c>
      <c r="AR41" s="37">
        <f t="shared" si="14"/>
        <v>61.4599938461538</v>
      </c>
      <c r="AS41" s="37">
        <f t="shared" si="15"/>
        <v>84.89</v>
      </c>
      <c r="AT41" s="40">
        <f>IF(OR(G41&lt;&gt;"入池",NOT(ISNUMBER(AS41))),"",COUNTIFS($G$17:$G$99,"入池",$AS$17:$AS$99,"&gt;"&amp;AS41)+COUNTIFS($G$17:$G$99,"入池",$AS$17:$AS$99,AS41,$AQ$17:$AQ$99,"&gt;"&amp;AQ41)+COUNTIFS($G$17:G41,"入池",$AS$17:AS41,AS41,$AQ$17:AQ41,AQ41))</f>
        <v>10</v>
      </c>
      <c r="AU41" s="46" t="str">
        <f>IF(NOT(ISNUMBER(I41)),"管理人规模；","")&amp;IF(NOT(ISNUMBER(K41)),"产品规模标识；","")&amp;IF(NOT(ISNUMBER(M41)),"近一年收益；","")&amp;IF(NOT(ISNUMBER(T41)),"近一年胜率；","")&amp;IF(NOT(ISNUMBER(N41)),"近三年收益；","")&amp;IF(NOT(ISNUMBER(U41)),"近三年胜率；","")&amp;IF(NOT(ISNUMBER(AA41)),"近三年回撤；","")&amp;IF(NOT(ISNUMBER(AD41)),"近一年卡玛；","")&amp;IF(ISNUMBER(F41),IF(AND(F41&lt;'Sheet1-指标体系'!$J$16,NOT(ISNUMBER(O41))),"成立以来年化；",""),"成立日期；")&amp;IF(ISNUMBER(V41),IF(OR(V41&lt;0,V41&gt;1),"胜率窗口口径不一致；",""),"")&amp;IF(ISNUMBER(P41),IF(NOT(ISNUMBER(AE41)),"DD_long不可识别；",""),"")</f>
        <v>近三年收益；近三年胜率；近三年回撤；成立以来年化；</v>
      </c>
      <c r="AV41" s="37" t="str">
        <f>IF(ABS(SUM(CA41:CK41)-'Sheet1-指标体系'!$J$25)&lt;0.0000000001,SUM(BP41:BZ41),"")</f>
        <v/>
      </c>
      <c r="AW41" s="36" t="str">
        <f>IF(G41&lt;&gt;"入池",G41,IF(AQ41=0,"无有效评分数据",IF(ROUND(AQ41,10)=ROUND('Sheet1-指标体系'!$J$25,10),"完整赋分","暂定分／数据不完整")))</f>
        <v>暂定分／数据不完整</v>
      </c>
      <c r="AX41" s="22" t="str">
        <f>IF('Sheet4-原始数据'!C26="","",'Sheet4-原始数据'!C26)</f>
        <v>套利策略</v>
      </c>
      <c r="AY41" s="22" t="str">
        <f>IF('Sheet4-原始数据'!D26="","",'Sheet4-原始数据'!D26)</f>
        <v>基金套利</v>
      </c>
      <c r="AZ41" s="22" t="str">
        <f>IF('Sheet5-查询核对'!S26="","",'Sheet5-查询核对'!S26)</f>
        <v>套利策略—基金套利</v>
      </c>
      <c r="BA41" s="25">
        <f>IF('Sheet5-查询核对'!A26="","",'Sheet5-查询核对'!A26)</f>
        <v>26</v>
      </c>
      <c r="BB41" s="22" t="str">
        <f>IF('Sheet5-查询核对'!F26="","",'Sheet5-查询核对'!F26)</f>
        <v>备案号匹配</v>
      </c>
      <c r="BC41" s="24" t="str">
        <f>IF('Sheet5-查询核对'!I26="","",'Sheet5-查询核对'!I26)</f>
        <v>https://mp.fof99.com/fund/view/a1580a40d8b17419</v>
      </c>
      <c r="BD41" s="23">
        <f>IF('Sheet5-查询核对'!H26="","",'Sheet5-查询核对'!H26)</f>
        <v>46269</v>
      </c>
      <c r="BE41" s="24" t="str">
        <f>IF('Sheet5-查询核对'!L26="","",'Sheet5-查询核对'!L26)</f>
        <v>https://gs.amac.org.cn/amac-infodisc/res/pof/manager/1903261812109866.html</v>
      </c>
      <c r="BF41" s="23">
        <f>IF('Sheet5-查询核对'!M26="","",'Sheet5-查询核对'!M26)</f>
        <v>46276</v>
      </c>
      <c r="BG41" s="24" t="str">
        <f>IF('Sheet5-查询核对'!O26="","",'Sheet5-查询核对'!O26)</f>
        <v>https://gs.amac.org.cn/amac-infodisc/res/pof/fund/2504081731100688.html</v>
      </c>
      <c r="BH41" s="23">
        <f>IF('Sheet5-查询核对'!P26="","",'Sheet5-查询核对'!P26)</f>
        <v>46276</v>
      </c>
      <c r="BI41" s="22" t="str">
        <f>IF('Sheet5-查询核对'!D26="","",'Sheet5-查询核对'!D26)</f>
        <v>SAWS84</v>
      </c>
      <c r="BJ41">
        <f>IF(ISNUMBER(AT41),AT41,COUNT($AT$17:$AT$99)+ROWS($AT$17:AT41)-COUNT($AT$17:AT41))</f>
        <v>10</v>
      </c>
      <c r="BK41" s="2">
        <f t="shared" si="16"/>
        <v>1</v>
      </c>
      <c r="BL41" s="2">
        <f t="shared" si="17"/>
        <v>0</v>
      </c>
      <c r="BM41" s="2">
        <f t="shared" si="18"/>
        <v>1</v>
      </c>
      <c r="BN41" s="2">
        <f t="shared" si="19"/>
        <v>1</v>
      </c>
      <c r="BO41" s="2">
        <f t="shared" si="20"/>
        <v>0</v>
      </c>
      <c r="BP41" s="48">
        <f>IF(G41="入池",IF(ISNUMBER(I41),I41*('Sheet1-指标体系'!$G$4),0),0)</f>
        <v>4.8</v>
      </c>
      <c r="BQ41" s="48">
        <f>IF(G41="入池",IF(ISNUMBER(K41),K41*('Sheet1-指标体系'!$G$5),0),0)</f>
        <v>4.5</v>
      </c>
      <c r="BR41" s="48">
        <f>IF(G41="入池",IF(ISNUMBER(L41),L41*('Sheet1-指标体系'!$G$6),0),0)</f>
        <v>3.15</v>
      </c>
      <c r="BS41" s="48">
        <f>IF(G41="入池",IF(ISNUMBER(Q41),Q41*('Sheet1-指标体系'!$G$7*'Sheet1-指标体系'!$J$8),0),0)</f>
        <v>5.71704</v>
      </c>
      <c r="BT41" s="48">
        <f>IF(G41="入池",IF(ISNUMBER(R41),R41*('Sheet1-指标体系'!$G$7*'Sheet1-指标体系'!$J$9),0),0)</f>
        <v>0</v>
      </c>
      <c r="BU41" s="48">
        <f>IF(G41="入池",IF(ISNUMBER(W41),W41*('Sheet1-指标体系'!$G$8*'Sheet1-指标体系'!$J$8),0),0)</f>
        <v>3.04615384615385</v>
      </c>
      <c r="BV41" s="48">
        <f>IF(G41="入池",IF(ISNUMBER(X41),X41*('Sheet1-指标体系'!$G$8*'Sheet1-指标体系'!$J$9),0),0)</f>
        <v>2.4</v>
      </c>
      <c r="BW41" s="48">
        <f>IF(G41="入池",IF(ISNUMBER(AC41),AC41*('Sheet1-指标体系'!$G$9),0),0)</f>
        <v>22.635</v>
      </c>
      <c r="BX41" s="48">
        <f>IF(G41="入池",IF(ISNUMBER(AG41),AG41*('Sheet1-指标体系'!$G$10*'Sheet1-指标体系'!$J$8),0),0)</f>
        <v>15.2118</v>
      </c>
      <c r="BY41" s="48">
        <f>IF(G41="入池",IF(ISNUMBER(AH41),AH41*('Sheet1-指标体系'!$G$10*'Sheet1-指标体系'!$J$9),0),0)</f>
        <v>0</v>
      </c>
      <c r="BZ41" s="48">
        <f>IF(G41="入池",IF(ISNUMBER(AK41),AK41*('Sheet1-指标体系'!$G$11),0),0)</f>
        <v>0</v>
      </c>
      <c r="CA41" s="49">
        <f>IF(G41="入池",IF(ISNUMBER(I41),'Sheet1-指标体系'!$G$4,0),0)</f>
        <v>0.06</v>
      </c>
      <c r="CB41" s="49">
        <f>IF(G41="入池",IF(ISNUMBER(K41),'Sheet1-指标体系'!$G$5,0),0)</f>
        <v>0.045</v>
      </c>
      <c r="CC41" s="49">
        <f>IF(G41="入池",IF(ISNUMBER(L41),'Sheet1-指标体系'!$G$6,0),0)</f>
        <v>0.045</v>
      </c>
      <c r="CD41" s="49">
        <f>IF(G41="入池",IF(ISNUMBER(Q41),'Sheet1-指标体系'!$G$7*'Sheet1-指标体系'!$J$8,0),0)</f>
        <v>0.084</v>
      </c>
      <c r="CE41" s="49">
        <f>IF(G41="入池",IF(ISNUMBER(R41),'Sheet1-指标体系'!$G$7*'Sheet1-指标体系'!$J$9,0),0)</f>
        <v>0</v>
      </c>
      <c r="CF41" s="49">
        <f>IF(G41="入池",IF(ISNUMBER(W41),'Sheet1-指标体系'!$G$8*'Sheet1-指标体系'!$J$8,0),0)</f>
        <v>0.036</v>
      </c>
      <c r="CG41" s="49">
        <f>IF(G41="入池",IF(ISNUMBER(X41),'Sheet1-指标体系'!$G$8*'Sheet1-指标体系'!$J$9,0),0)</f>
        <v>0.024</v>
      </c>
      <c r="CH41" s="49">
        <f>IF(G41="入池",IF(ISNUMBER(AC41),'Sheet1-指标体系'!$G$9,0),0)</f>
        <v>0.25</v>
      </c>
      <c r="CI41" s="49">
        <f>IF(G41="入池",IF(ISNUMBER(AG41),'Sheet1-指标体系'!$G$10*'Sheet1-指标体系'!$J$8,0),0)</f>
        <v>0.18</v>
      </c>
      <c r="CJ41" s="49">
        <f>IF(G41="入池",IF(ISNUMBER(AH41),'Sheet1-指标体系'!$G$10*'Sheet1-指标体系'!$J$9,0),0)</f>
        <v>0</v>
      </c>
      <c r="CK41" s="49">
        <f>IF(G41="入池",IF(ISNUMBER(AK41),'Sheet1-指标体系'!$G$11,0),0)</f>
        <v>0</v>
      </c>
    </row>
    <row r="42" ht="44" customHeight="1" spans="1:89">
      <c r="A42" s="40">
        <f>'Sheet5-查询核对'!A27-1</f>
        <v>26</v>
      </c>
      <c r="B42" s="24" t="str">
        <f>IF('Sheet4-原始数据'!A27="",'Sheet5-查询核对'!B27,'Sheet4-原始数据'!A27)</f>
        <v>阶石稳健9号</v>
      </c>
      <c r="C42" s="22" t="str">
        <f>IF('Sheet4-原始数据'!B27="","",'Sheet4-原始数据'!B27)</f>
        <v>SAZW60</v>
      </c>
      <c r="D42" s="22" t="str">
        <f>IF('Sheet4-原始数据'!E27="","",'Sheet4-原始数据'!E27)</f>
        <v>深圳阶石</v>
      </c>
      <c r="E42" s="23">
        <f>IF('Sheet4-原始数据'!F27="","",'Sheet4-原始数据'!F27)</f>
        <v>45818</v>
      </c>
      <c r="F42" s="37">
        <f>IF(ISNUMBER(E42),ROUND(('Sheet1-指标体系'!$J$12-E42)/'Sheet1-指标体系'!$J$14,4),"")</f>
        <v>1.2512</v>
      </c>
      <c r="G42" s="36" t="str">
        <f>IF(C42="","未匹配",IF(NOT(ISNUMBER(F42)),"缺成立日期",IF(F42&lt;'Sheet1-指标体系'!$J$15,"不入池","入池")))</f>
        <v>入池</v>
      </c>
      <c r="H42" s="22" t="str">
        <f>IF('Sheet5-查询核对'!K27="","",'Sheet5-查询核对'!K27)</f>
        <v>10-20亿元</v>
      </c>
      <c r="I42" s="37">
        <f>IF(H42="","",IF(COUNTIF('Sheet1-指标体系'!$P$4:$P$10,H42)=0,"",INDEX('Sheet1-指标体系'!$Q$4:$Q$10,MATCH(H42,'Sheet1-指标体系'!$P$4:$P$10,0))))</f>
        <v>80</v>
      </c>
      <c r="J42" s="44" t="str">
        <f>IF(NOT(ISNUMBER('Sheet5-查询核对'!N27)),"",IF('Sheet5-查询核对'!N27=1,"低于"&amp;'Sheet1-指标体系'!$J$4&amp;"万元",IF('Sheet5-查询核对'!N27=0,"无低于"&amp;'Sheet1-指标体系'!$J$4&amp;"万元标识","")))</f>
        <v>无低于1000万元标识</v>
      </c>
      <c r="K42" s="37">
        <f>IF(NOT(ISNUMBER('Sheet5-查询核对'!N27)),"",IF('Sheet5-查询核对'!N27=1,'Sheet1-指标体系'!$J$21,IF('Sheet5-查询核对'!N27=0,'Sheet1-指标体系'!$J$18,"")))</f>
        <v>100</v>
      </c>
      <c r="L42" s="37">
        <f>IF(NOT(ISNUMBER(F42)),"",IF(F42&lt;'Sheet1-指标体系'!$J$15,"",IF(F42&lt;'Sheet1-指标体系'!$J$16,'Sheet1-指标体系'!$J$17,'Sheet1-指标体系'!$J$18)))</f>
        <v>70</v>
      </c>
      <c r="M42" s="26">
        <f>IF(ISNUMBER('Sheet4-原始数据'!G27),'Sheet4-原始数据'!G27,"")</f>
        <v>0.0853083964433377</v>
      </c>
      <c r="N42" s="26" t="str">
        <f>IF(ISNUMBER('Sheet4-原始数据'!H27),'Sheet4-原始数据'!H27,"")</f>
        <v/>
      </c>
      <c r="O42" s="26" t="str">
        <f>IF(ISNUMBER('Sheet5-查询核对'!Q27),'Sheet5-查询核对'!Q27,"")</f>
        <v/>
      </c>
      <c r="P42" s="45" t="str">
        <f>IF(G42&lt;&gt;"入池","",IF(F42&gt;='Sheet1-指标体系'!$J$16,IF(AND(ISNUMBER(M42),ISNUMBER(N42)),IF(AND(1+M42&gt;0,1+N42&gt;=0),((1+N42)^'Sheet1-指标体系'!$J$16/(1+M42))^(1/('Sheet1-指标体系'!$J$16-1))-1,""),""),IF(AND(ISNUMBER(M42),ISNUMBER(O42)),IF(AND(F42&gt;1,1+M42&gt;0,1+O42&gt;=0),((1+O42)^F42/(1+M42))^(1/(F42-1))-1,""),"")))</f>
        <v/>
      </c>
      <c r="Q42" s="37">
        <f t="shared" si="0"/>
        <v>43.06</v>
      </c>
      <c r="R42" s="37" t="str">
        <f t="shared" si="1"/>
        <v/>
      </c>
      <c r="S42" s="37">
        <f>IF(ISNUMBER(Q42),IF(ISNUMBER(R42),ROUND(Q42*'Sheet1-指标体系'!$J$8+R42*'Sheet1-指标体系'!$J$9,2),Q42),"")</f>
        <v>43.06</v>
      </c>
      <c r="T42" s="26" t="str">
        <f>IF(ISNUMBER('Sheet4-原始数据'!J27),'Sheet4-原始数据'!J27,"")</f>
        <v/>
      </c>
      <c r="U42" s="26" t="str">
        <f>IF(ISNUMBER('Sheet4-原始数据'!I27),'Sheet4-原始数据'!I27,"")</f>
        <v/>
      </c>
      <c r="V42" s="45" t="str">
        <f>IF(AND(ISNUMBER(T42),ISNUMBER(U42)),(U42*'Sheet1-指标体系'!$J$6-T42*'Sheet1-指标体系'!$J$5)/'Sheet1-指标体系'!$J$7,"")</f>
        <v/>
      </c>
      <c r="W42" s="37" t="str">
        <f t="shared" si="2"/>
        <v/>
      </c>
      <c r="X42" s="37">
        <f>IF(G42&lt;&gt;"入池","",IF(ISNUMBER(V42),IF(AND(V42&gt;=0,V42&lt;=1),V42*'Sheet1-指标体系'!$J$18,IF(MAX(0,(F42-'Sheet1-指标体系'!$J$15)*'Sheet1-指标体系'!$J$20)&lt;'Sheet1-指标体系'!$J$19,'Sheet1-指标体系'!$J$18,"")),IF(MAX(0,(F42-'Sheet1-指标体系'!$J$15)*'Sheet1-指标体系'!$J$20)&lt;'Sheet1-指标体系'!$J$19,'Sheet1-指标体系'!$J$18,"")))</f>
        <v>100</v>
      </c>
      <c r="Y42" s="37" t="str">
        <f>IF(ISNUMBER(W42),IF(ISNUMBER(X42),ROUND(W42*'Sheet1-指标体系'!$J$8+X42*'Sheet1-指标体系'!$J$9,2),W42),"")</f>
        <v/>
      </c>
      <c r="Z42" s="45">
        <f t="shared" si="3"/>
        <v>0.00417435200465976</v>
      </c>
      <c r="AA42" s="26" t="str">
        <f>IF(ISNUMBER('Sheet4-原始数据'!K27),'Sheet4-原始数据'!K27,"")</f>
        <v/>
      </c>
      <c r="AB42" s="45">
        <f t="shared" si="4"/>
        <v>0.00417435200465976</v>
      </c>
      <c r="AC42" s="37">
        <f t="shared" si="5"/>
        <v>93.24</v>
      </c>
      <c r="AD42" s="30">
        <f>IF(ISNUMBER('Sheet4-原始数据'!M27),'Sheet4-原始数据'!M27,"")</f>
        <v>20.4363207386701</v>
      </c>
      <c r="AE42" s="45" t="str">
        <f>IF(AND(ISNUMBER(P42),ISNUMBER(AA42),ISNUMBER(Z42)),IF(AA42&gt;Z42+'Sheet1-指标体系'!$J$11,AA42,""),"")</f>
        <v/>
      </c>
      <c r="AF42" s="37" t="str">
        <f t="shared" si="6"/>
        <v/>
      </c>
      <c r="AG42" s="37">
        <f t="shared" si="7"/>
        <v>73.24</v>
      </c>
      <c r="AH42" s="37" t="str">
        <f t="shared" si="8"/>
        <v/>
      </c>
      <c r="AI42" s="37">
        <f>IF(ISNUMBER(AG42),IF(ISNUMBER(AH42),ROUND(AG42*'Sheet1-指标体系'!$J$8+AH42*'Sheet1-指标体系'!$J$9,2),AG42),"")</f>
        <v>73.24</v>
      </c>
      <c r="AJ42" s="45" t="str">
        <f>IF(NOT(ISNUMBER(F42)),"",IF(F42&gt;='Sheet1-指标体系'!$J$16,IF(ISNUMBER(N42),N42,""),IF(ISNUMBER(O42),O42,"")))</f>
        <v/>
      </c>
      <c r="AK42" s="37" t="str">
        <f>IF(AND(G42="入池",ISNUMBER(M42),ISNUMBER(AJ42)),IF(M42&gt;=AJ42,'Sheet1-指标体系'!$J$18,IF(AJ42-M42&lt;'Sheet1-指标体系'!$J$10,'Sheet1-指标体系'!$J$22,'Sheet1-指标体系'!$J$23)),"")</f>
        <v/>
      </c>
      <c r="AL42" s="37">
        <f>IF((IF(ISNUMBER(I42),'Sheet1-指标体系'!$G$4,0)+IF(ISNUMBER(K42),'Sheet1-指标体系'!$G$5,0)+IF(ISNUMBER(L42),'Sheet1-指标体系'!$G$6,0))&gt;0,ROUND((IF(ISNUMBER(I42),I42*'Sheet1-指标体系'!$G$4,0)+IF(ISNUMBER(K42),K42*'Sheet1-指标体系'!$G$5,0)+IF(ISNUMBER(L42),L42*'Sheet1-指标体系'!$G$6,0))/(IF(ISNUMBER(I42),'Sheet1-指标体系'!$G$4,0)+IF(ISNUMBER(K42),'Sheet1-指标体系'!$G$5,0)+IF(ISNUMBER(L42),'Sheet1-指标体系'!$G$6,0)),2),"")</f>
        <v>83</v>
      </c>
      <c r="AM42" s="37">
        <f t="shared" si="9"/>
        <v>55.71</v>
      </c>
      <c r="AN42" s="37">
        <f t="shared" si="10"/>
        <v>93.24</v>
      </c>
      <c r="AO42" s="37">
        <f t="shared" si="11"/>
        <v>73.24</v>
      </c>
      <c r="AP42" s="37" t="str">
        <f t="shared" si="12"/>
        <v/>
      </c>
      <c r="AQ42" s="38">
        <f t="shared" si="13"/>
        <v>0.688</v>
      </c>
      <c r="AR42" s="37">
        <f t="shared" si="14"/>
        <v>54.96024</v>
      </c>
      <c r="AS42" s="37">
        <f t="shared" si="15"/>
        <v>79.88</v>
      </c>
      <c r="AT42" s="40">
        <f>IF(OR(G42&lt;&gt;"入池",NOT(ISNUMBER(AS42))),"",COUNTIFS($G$17:$G$99,"入池",$AS$17:$AS$99,"&gt;"&amp;AS42)+COUNTIFS($G$17:$G$99,"入池",$AS$17:$AS$99,AS42,$AQ$17:$AQ$99,"&gt;"&amp;AQ42)+COUNTIFS($G$17:G42,"入池",$AS$17:AS42,AS42,$AQ$17:AQ42,AQ42))</f>
        <v>16</v>
      </c>
      <c r="AU42" s="46" t="str">
        <f>IF(NOT(ISNUMBER(I42)),"管理人规模；","")&amp;IF(NOT(ISNUMBER(K42)),"产品规模标识；","")&amp;IF(NOT(ISNUMBER(M42)),"近一年收益；","")&amp;IF(NOT(ISNUMBER(T42)),"近一年胜率；","")&amp;IF(NOT(ISNUMBER(N42)),"近三年收益；","")&amp;IF(NOT(ISNUMBER(U42)),"近三年胜率；","")&amp;IF(NOT(ISNUMBER(AA42)),"近三年回撤；","")&amp;IF(NOT(ISNUMBER(AD42)),"近一年卡玛；","")&amp;IF(ISNUMBER(F42),IF(AND(F42&lt;'Sheet1-指标体系'!$J$16,NOT(ISNUMBER(O42))),"成立以来年化；",""),"成立日期；")&amp;IF(ISNUMBER(V42),IF(OR(V42&lt;0,V42&gt;1),"胜率窗口口径不一致；",""),"")&amp;IF(ISNUMBER(P42),IF(NOT(ISNUMBER(AE42)),"DD_long不可识别；",""),"")</f>
        <v>近一年胜率；近三年收益；近三年胜率；近三年回撤；成立以来年化；</v>
      </c>
      <c r="AV42" s="37" t="str">
        <f>IF(ABS(SUM(CA42:CK42)-'Sheet1-指标体系'!$J$25)&lt;0.0000000001,SUM(BP42:BZ42),"")</f>
        <v/>
      </c>
      <c r="AW42" s="36" t="str">
        <f>IF(G42&lt;&gt;"入池",G42,IF(AQ42=0,"无有效评分数据",IF(ROUND(AQ42,10)=ROUND('Sheet1-指标体系'!$J$25,10),"完整赋分","暂定分／数据不完整")))</f>
        <v>暂定分／数据不完整</v>
      </c>
      <c r="AX42" s="22" t="str">
        <f>IF('Sheet4-原始数据'!C27="","",'Sheet4-原始数据'!C27)</f>
        <v>套利策略</v>
      </c>
      <c r="AY42" s="22" t="str">
        <f>IF('Sheet4-原始数据'!D27="","",'Sheet4-原始数据'!D27)</f>
        <v>基金套利</v>
      </c>
      <c r="AZ42" s="22" t="str">
        <f>IF('Sheet5-查询核对'!S27="","",'Sheet5-查询核对'!S27)</f>
        <v>套利策略—基金套利</v>
      </c>
      <c r="BA42" s="25">
        <f>IF('Sheet5-查询核对'!A27="","",'Sheet5-查询核对'!A27)</f>
        <v>27</v>
      </c>
      <c r="BB42" s="22" t="str">
        <f>IF('Sheet5-查询核对'!F27="","",'Sheet5-查询核对'!F27)</f>
        <v>备案号匹配</v>
      </c>
      <c r="BC42" s="24" t="str">
        <f>IF('Sheet5-查询核对'!I27="","",'Sheet5-查询核对'!I27)</f>
        <v>https://mp.fof99.com/fund/view/4bda29597d3247b9</v>
      </c>
      <c r="BD42" s="23">
        <f>IF('Sheet5-查询核对'!H27="","",'Sheet5-查询核对'!H27)</f>
        <v>46269</v>
      </c>
      <c r="BE42" s="24" t="str">
        <f>IF('Sheet5-查询核对'!L27="","",'Sheet5-查询核对'!L27)</f>
        <v>https://gs.amac.org.cn/amac-infodisc/res/pof/manager/1903261812109866.html</v>
      </c>
      <c r="BF42" s="23">
        <f>IF('Sheet5-查询核对'!M27="","",'Sheet5-查询核对'!M27)</f>
        <v>46276</v>
      </c>
      <c r="BG42" s="24" t="str">
        <f>IF('Sheet5-查询核对'!O27="","",'Sheet5-查询核对'!O27)</f>
        <v>https://gs.amac.org.cn/amac-infodisc/res/pof/fund/2506161812101029.html</v>
      </c>
      <c r="BH42" s="23">
        <f>IF('Sheet5-查询核对'!P27="","",'Sheet5-查询核对'!P27)</f>
        <v>46276</v>
      </c>
      <c r="BI42" s="22" t="str">
        <f>IF('Sheet5-查询核对'!D27="","",'Sheet5-查询核对'!D27)</f>
        <v>SAZW60</v>
      </c>
      <c r="BJ42">
        <f>IF(ISNUMBER(AT42),AT42,COUNT($AT$17:$AT$99)+ROWS($AT$17:AT42)-COUNT($AT$17:AT42))</f>
        <v>16</v>
      </c>
      <c r="BK42" s="2">
        <f t="shared" si="16"/>
        <v>1</v>
      </c>
      <c r="BL42" s="2">
        <f t="shared" si="17"/>
        <v>0</v>
      </c>
      <c r="BM42" s="2">
        <f t="shared" si="18"/>
        <v>1</v>
      </c>
      <c r="BN42" s="2">
        <f t="shared" si="19"/>
        <v>1</v>
      </c>
      <c r="BO42" s="2">
        <f t="shared" si="20"/>
        <v>0</v>
      </c>
      <c r="BP42" s="48">
        <f>IF(G42="入池",IF(ISNUMBER(I42),I42*('Sheet1-指标体系'!$G$4),0),0)</f>
        <v>4.8</v>
      </c>
      <c r="BQ42" s="48">
        <f>IF(G42="入池",IF(ISNUMBER(K42),K42*('Sheet1-指标体系'!$G$5),0),0)</f>
        <v>4.5</v>
      </c>
      <c r="BR42" s="48">
        <f>IF(G42="入池",IF(ISNUMBER(L42),L42*('Sheet1-指标体系'!$G$6),0),0)</f>
        <v>3.15</v>
      </c>
      <c r="BS42" s="48">
        <f>IF(G42="入池",IF(ISNUMBER(Q42),Q42*('Sheet1-指标体系'!$G$7*'Sheet1-指标体系'!$J$8),0),0)</f>
        <v>3.61704</v>
      </c>
      <c r="BT42" s="48">
        <f>IF(G42="入池",IF(ISNUMBER(R42),R42*('Sheet1-指标体系'!$G$7*'Sheet1-指标体系'!$J$9),0),0)</f>
        <v>0</v>
      </c>
      <c r="BU42" s="48">
        <f>IF(G42="入池",IF(ISNUMBER(W42),W42*('Sheet1-指标体系'!$G$8*'Sheet1-指标体系'!$J$8),0),0)</f>
        <v>0</v>
      </c>
      <c r="BV42" s="48">
        <f>IF(G42="入池",IF(ISNUMBER(X42),X42*('Sheet1-指标体系'!$G$8*'Sheet1-指标体系'!$J$9),0),0)</f>
        <v>2.4</v>
      </c>
      <c r="BW42" s="48">
        <f>IF(G42="入池",IF(ISNUMBER(AC42),AC42*('Sheet1-指标体系'!$G$9),0),0)</f>
        <v>23.31</v>
      </c>
      <c r="BX42" s="48">
        <f>IF(G42="入池",IF(ISNUMBER(AG42),AG42*('Sheet1-指标体系'!$G$10*'Sheet1-指标体系'!$J$8),0),0)</f>
        <v>13.1832</v>
      </c>
      <c r="BY42" s="48">
        <f>IF(G42="入池",IF(ISNUMBER(AH42),AH42*('Sheet1-指标体系'!$G$10*'Sheet1-指标体系'!$J$9),0),0)</f>
        <v>0</v>
      </c>
      <c r="BZ42" s="48">
        <f>IF(G42="入池",IF(ISNUMBER(AK42),AK42*('Sheet1-指标体系'!$G$11),0),0)</f>
        <v>0</v>
      </c>
      <c r="CA42" s="49">
        <f>IF(G42="入池",IF(ISNUMBER(I42),'Sheet1-指标体系'!$G$4,0),0)</f>
        <v>0.06</v>
      </c>
      <c r="CB42" s="49">
        <f>IF(G42="入池",IF(ISNUMBER(K42),'Sheet1-指标体系'!$G$5,0),0)</f>
        <v>0.045</v>
      </c>
      <c r="CC42" s="49">
        <f>IF(G42="入池",IF(ISNUMBER(L42),'Sheet1-指标体系'!$G$6,0),0)</f>
        <v>0.045</v>
      </c>
      <c r="CD42" s="49">
        <f>IF(G42="入池",IF(ISNUMBER(Q42),'Sheet1-指标体系'!$G$7*'Sheet1-指标体系'!$J$8,0),0)</f>
        <v>0.084</v>
      </c>
      <c r="CE42" s="49">
        <f>IF(G42="入池",IF(ISNUMBER(R42),'Sheet1-指标体系'!$G$7*'Sheet1-指标体系'!$J$9,0),0)</f>
        <v>0</v>
      </c>
      <c r="CF42" s="49">
        <f>IF(G42="入池",IF(ISNUMBER(W42),'Sheet1-指标体系'!$G$8*'Sheet1-指标体系'!$J$8,0),0)</f>
        <v>0</v>
      </c>
      <c r="CG42" s="49">
        <f>IF(G42="入池",IF(ISNUMBER(X42),'Sheet1-指标体系'!$G$8*'Sheet1-指标体系'!$J$9,0),0)</f>
        <v>0.024</v>
      </c>
      <c r="CH42" s="49">
        <f>IF(G42="入池",IF(ISNUMBER(AC42),'Sheet1-指标体系'!$G$9,0),0)</f>
        <v>0.25</v>
      </c>
      <c r="CI42" s="49">
        <f>IF(G42="入池",IF(ISNUMBER(AG42),'Sheet1-指标体系'!$G$10*'Sheet1-指标体系'!$J$8,0),0)</f>
        <v>0.18</v>
      </c>
      <c r="CJ42" s="49">
        <f>IF(G42="入池",IF(ISNUMBER(AH42),'Sheet1-指标体系'!$G$10*'Sheet1-指标体系'!$J$9,0),0)</f>
        <v>0</v>
      </c>
      <c r="CK42" s="49">
        <f>IF(G42="入池",IF(ISNUMBER(AK42),'Sheet1-指标体系'!$G$11,0),0)</f>
        <v>0</v>
      </c>
    </row>
    <row r="43" ht="44" customHeight="1" spans="1:89">
      <c r="A43" s="40">
        <f>'Sheet5-查询核对'!A28-1</f>
        <v>27</v>
      </c>
      <c r="B43" s="24" t="str">
        <f>IF('Sheet4-原始数据'!A28="",'Sheet5-查询核对'!B28,'Sheet4-原始数据'!A28)</f>
        <v>金锝牵星1号C类</v>
      </c>
      <c r="C43" s="22" t="str">
        <f>IF('Sheet4-原始数据'!B28="","",'Sheet4-原始数据'!B28)</f>
        <v>ASB89C</v>
      </c>
      <c r="D43" s="22" t="str">
        <f>IF('Sheet4-原始数据'!E28="","",'Sheet4-原始数据'!E28)</f>
        <v>上海金锝资管</v>
      </c>
      <c r="E43" s="23">
        <f>IF('Sheet4-原始数据'!F28="","",'Sheet4-原始数据'!F28)</f>
        <v>45652</v>
      </c>
      <c r="F43" s="37">
        <f>IF(ISNUMBER(E43),ROUND(('Sheet1-指标体系'!$J$12-E43)/'Sheet1-指标体系'!$J$14,4),"")</f>
        <v>1.7057</v>
      </c>
      <c r="G43" s="36" t="str">
        <f>IF(C43="","未匹配",IF(NOT(ISNUMBER(F43)),"缺成立日期",IF(F43&lt;'Sheet1-指标体系'!$J$15,"不入池","入池")))</f>
        <v>入池</v>
      </c>
      <c r="H43" s="22" t="str">
        <f>IF('Sheet5-查询核对'!K28="","",'Sheet5-查询核对'!K28)</f>
        <v>100亿元以上</v>
      </c>
      <c r="I43" s="37">
        <f>IF(H43="","",IF(COUNTIF('Sheet1-指标体系'!$P$4:$P$10,H43)=0,"",INDEX('Sheet1-指标体系'!$Q$4:$Q$10,MATCH(H43,'Sheet1-指标体系'!$P$4:$P$10,0))))</f>
        <v>100</v>
      </c>
      <c r="J43" s="44" t="str">
        <f>IF(NOT(ISNUMBER('Sheet5-查询核对'!N28)),"",IF('Sheet5-查询核对'!N28=1,"低于"&amp;'Sheet1-指标体系'!$J$4&amp;"万元",IF('Sheet5-查询核对'!N28=0,"无低于"&amp;'Sheet1-指标体系'!$J$4&amp;"万元标识","")))</f>
        <v/>
      </c>
      <c r="K43" s="37" t="str">
        <f>IF(NOT(ISNUMBER('Sheet5-查询核对'!N28)),"",IF('Sheet5-查询核对'!N28=1,'Sheet1-指标体系'!$J$21,IF('Sheet5-查询核对'!N28=0,'Sheet1-指标体系'!$J$18,"")))</f>
        <v/>
      </c>
      <c r="L43" s="37">
        <f>IF(NOT(ISNUMBER(F43)),"",IF(F43&lt;'Sheet1-指标体系'!$J$15,"",IF(F43&lt;'Sheet1-指标体系'!$J$16,'Sheet1-指标体系'!$J$17,'Sheet1-指标体系'!$J$18)))</f>
        <v>70</v>
      </c>
      <c r="M43" s="26">
        <f>IF(ISNUMBER('Sheet4-原始数据'!G28),'Sheet4-原始数据'!G28,"")</f>
        <v>0.011707709978378</v>
      </c>
      <c r="N43" s="26" t="str">
        <f>IF(ISNUMBER('Sheet4-原始数据'!H28),'Sheet4-原始数据'!H28,"")</f>
        <v/>
      </c>
      <c r="O43" s="26">
        <f>IF(ISNUMBER('Sheet5-查询核对'!Q28),'Sheet5-查询核对'!Q28,"")</f>
        <v>0.0268458961775353</v>
      </c>
      <c r="P43" s="45">
        <f>IF(G43&lt;&gt;"入池","",IF(F43&gt;='Sheet1-指标体系'!$J$16,IF(AND(ISNUMBER(M43),ISNUMBER(N43)),IF(AND(1+M43&gt;0,1+N43&gt;=0),((1+N43)^'Sheet1-指标体系'!$J$16/(1+M43))^(1/('Sheet1-指标体系'!$J$16-1))-1,""),""),IF(AND(ISNUMBER(M43),ISNUMBER(O43)),IF(AND(F43&gt;1,1+M43&gt;0,1+O43&gt;=0),((1+O43)^F43/(1+M43))^(1/(F43-1))-1,""),"")))</f>
        <v>0.0486859113482063</v>
      </c>
      <c r="Q43" s="37">
        <f t="shared" si="0"/>
        <v>5.56</v>
      </c>
      <c r="R43" s="37">
        <f t="shared" si="1"/>
        <v>16.67</v>
      </c>
      <c r="S43" s="37">
        <f>IF(ISNUMBER(Q43),IF(ISNUMBER(R43),ROUND(Q43*'Sheet1-指标体系'!$J$8+R43*'Sheet1-指标体系'!$J$9,2),Q43),"")</f>
        <v>10</v>
      </c>
      <c r="T43" s="26">
        <f>IF(ISNUMBER('Sheet4-原始数据'!J28),'Sheet4-原始数据'!J28,"")</f>
        <v>0.538461538461538</v>
      </c>
      <c r="U43" s="26" t="str">
        <f>IF(ISNUMBER('Sheet4-原始数据'!I28),'Sheet4-原始数据'!I28,"")</f>
        <v/>
      </c>
      <c r="V43" s="45" t="str">
        <f>IF(AND(ISNUMBER(T43),ISNUMBER(U43)),(U43*'Sheet1-指标体系'!$J$6-T43*'Sheet1-指标体系'!$J$5)/'Sheet1-指标体系'!$J$7,"")</f>
        <v/>
      </c>
      <c r="W43" s="37">
        <f t="shared" si="2"/>
        <v>53.8461538461538</v>
      </c>
      <c r="X43" s="37" t="str">
        <f>IF(G43&lt;&gt;"入池","",IF(ISNUMBER(V43),IF(AND(V43&gt;=0,V43&lt;=1),V43*'Sheet1-指标体系'!$J$18,IF(MAX(0,(F43-'Sheet1-指标体系'!$J$15)*'Sheet1-指标体系'!$J$20)&lt;'Sheet1-指标体系'!$J$19,'Sheet1-指标体系'!$J$18,"")),IF(MAX(0,(F43-'Sheet1-指标体系'!$J$15)*'Sheet1-指标体系'!$J$20)&lt;'Sheet1-指标体系'!$J$19,'Sheet1-指标体系'!$J$18,"")))</f>
        <v/>
      </c>
      <c r="Y43" s="37">
        <f>IF(ISNUMBER(W43),IF(ISNUMBER(X43),ROUND(W43*'Sheet1-指标体系'!$J$8+X43*'Sheet1-指标体系'!$J$9,2),W43),"")</f>
        <v>53.8461538461538</v>
      </c>
      <c r="Z43" s="45">
        <f t="shared" si="3"/>
        <v>0.0678208102802071</v>
      </c>
      <c r="AA43" s="26" t="str">
        <f>IF(ISNUMBER('Sheet4-原始数据'!K28),'Sheet4-原始数据'!K28,"")</f>
        <v/>
      </c>
      <c r="AB43" s="45">
        <f t="shared" si="4"/>
        <v>0.0678208102802071</v>
      </c>
      <c r="AC43" s="37">
        <f t="shared" si="5"/>
        <v>9.46</v>
      </c>
      <c r="AD43" s="30">
        <f>IF(ISNUMBER('Sheet4-原始数据'!M28),'Sheet4-原始数据'!M28,"")</f>
        <v>0.172627102654873</v>
      </c>
      <c r="AE43" s="45" t="str">
        <f>IF(AND(ISNUMBER(P43),ISNUMBER(AA43),ISNUMBER(Z43)),IF(AA43&gt;Z43+'Sheet1-指标体系'!$J$11,AA43,""),"")</f>
        <v/>
      </c>
      <c r="AF43" s="37" t="str">
        <f t="shared" si="6"/>
        <v/>
      </c>
      <c r="AG43" s="37">
        <f t="shared" si="7"/>
        <v>4.23</v>
      </c>
      <c r="AH43" s="37" t="str">
        <f t="shared" si="8"/>
        <v/>
      </c>
      <c r="AI43" s="37">
        <f>IF(ISNUMBER(AG43),IF(ISNUMBER(AH43),ROUND(AG43*'Sheet1-指标体系'!$J$8+AH43*'Sheet1-指标体系'!$J$9,2),AG43),"")</f>
        <v>4.23</v>
      </c>
      <c r="AJ43" s="45">
        <f>IF(NOT(ISNUMBER(F43)),"",IF(F43&gt;='Sheet1-指标体系'!$J$16,IF(ISNUMBER(N43),N43,""),IF(ISNUMBER(O43),O43,"")))</f>
        <v>0.0268458961775353</v>
      </c>
      <c r="AK43" s="37">
        <f>IF(AND(G43="入池",ISNUMBER(M43),ISNUMBER(AJ43)),IF(M43&gt;=AJ43,'Sheet1-指标体系'!$J$18,IF(AJ43-M43&lt;'Sheet1-指标体系'!$J$10,'Sheet1-指标体系'!$J$22,'Sheet1-指标体系'!$J$23)),"")</f>
        <v>80</v>
      </c>
      <c r="AL43" s="37">
        <f>IF((IF(ISNUMBER(I43),'Sheet1-指标体系'!$G$4,0)+IF(ISNUMBER(K43),'Sheet1-指标体系'!$G$5,0)+IF(ISNUMBER(L43),'Sheet1-指标体系'!$G$6,0))&gt;0,ROUND((IF(ISNUMBER(I43),I43*'Sheet1-指标体系'!$G$4,0)+IF(ISNUMBER(K43),K43*'Sheet1-指标体系'!$G$5,0)+IF(ISNUMBER(L43),L43*'Sheet1-指标体系'!$G$6,0))/(IF(ISNUMBER(I43),'Sheet1-指标体系'!$G$4,0)+IF(ISNUMBER(K43),'Sheet1-指标体系'!$G$5,0)+IF(ISNUMBER(L43),'Sheet1-指标体系'!$G$6,0)),2),"")</f>
        <v>87.14</v>
      </c>
      <c r="AM43" s="37">
        <f t="shared" si="9"/>
        <v>18.97</v>
      </c>
      <c r="AN43" s="37">
        <f t="shared" si="10"/>
        <v>9.46</v>
      </c>
      <c r="AO43" s="37">
        <f t="shared" si="11"/>
        <v>4.23</v>
      </c>
      <c r="AP43" s="37">
        <f t="shared" si="12"/>
        <v>80</v>
      </c>
      <c r="AQ43" s="38">
        <f t="shared" si="13"/>
        <v>0.811</v>
      </c>
      <c r="AR43" s="37">
        <f t="shared" si="14"/>
        <v>23.6154215384615</v>
      </c>
      <c r="AS43" s="37">
        <f t="shared" si="15"/>
        <v>29.12</v>
      </c>
      <c r="AT43" s="40">
        <f>IF(OR(G43&lt;&gt;"入池",NOT(ISNUMBER(AS43))),"",COUNTIFS($G$17:$G$99,"入池",$AS$17:$AS$99,"&gt;"&amp;AS43)+COUNTIFS($G$17:$G$99,"入池",$AS$17:$AS$99,AS43,$AQ$17:$AQ$99,"&gt;"&amp;AQ43)+COUNTIFS($G$17:G43,"入池",$AS$17:AS43,AS43,$AQ$17:AQ43,AQ43))</f>
        <v>76</v>
      </c>
      <c r="AU43" s="46" t="str">
        <f>IF(NOT(ISNUMBER(I43)),"管理人规模；","")&amp;IF(NOT(ISNUMBER(K43)),"产品规模标识；","")&amp;IF(NOT(ISNUMBER(M43)),"近一年收益；","")&amp;IF(NOT(ISNUMBER(T43)),"近一年胜率；","")&amp;IF(NOT(ISNUMBER(N43)),"近三年收益；","")&amp;IF(NOT(ISNUMBER(U43)),"近三年胜率；","")&amp;IF(NOT(ISNUMBER(AA43)),"近三年回撤；","")&amp;IF(NOT(ISNUMBER(AD43)),"近一年卡玛；","")&amp;IF(ISNUMBER(F43),IF(AND(F43&lt;'Sheet1-指标体系'!$J$16,NOT(ISNUMBER(O43))),"成立以来年化；",""),"成立日期；")&amp;IF(ISNUMBER(V43),IF(OR(V43&lt;0,V43&gt;1),"胜率窗口口径不一致；",""),"")&amp;IF(ISNUMBER(P43),IF(NOT(ISNUMBER(AE43)),"DD_long不可识别；",""),"")</f>
        <v>产品规模标识；近三年收益；近三年胜率；近三年回撤；DD_long不可识别；</v>
      </c>
      <c r="AV43" s="37" t="str">
        <f>IF(ABS(SUM(CA43:CK43)-'Sheet1-指标体系'!$J$25)&lt;0.0000000001,SUM(BP43:BZ43),"")</f>
        <v/>
      </c>
      <c r="AW43" s="36" t="str">
        <f>IF(G43&lt;&gt;"入池",G43,IF(AQ43=0,"无有效评分数据",IF(ROUND(AQ43,10)=ROUND('Sheet1-指标体系'!$J$25,10),"完整赋分","暂定分／数据不完整")))</f>
        <v>暂定分／数据不完整</v>
      </c>
      <c r="AX43" s="22" t="str">
        <f>IF('Sheet4-原始数据'!C28="","",'Sheet4-原始数据'!C28)</f>
        <v>套利策略</v>
      </c>
      <c r="AY43" s="22" t="str">
        <f>IF('Sheet4-原始数据'!D28="","",'Sheet4-原始数据'!D28)</f>
        <v>期权套利</v>
      </c>
      <c r="AZ43" s="22" t="str">
        <f>IF('Sheet5-查询核对'!S28="","",'Sheet5-查询核对'!S28)</f>
        <v>套利策略—期权套利</v>
      </c>
      <c r="BA43" s="25">
        <f>IF('Sheet5-查询核对'!A28="","",'Sheet5-查询核对'!A28)</f>
        <v>28</v>
      </c>
      <c r="BB43" s="22" t="str">
        <f>IF('Sheet5-查询核对'!F28="","",'Sheet5-查询核对'!F28)</f>
        <v>备案号匹配</v>
      </c>
      <c r="BC43" s="24" t="str">
        <f>IF('Sheet5-查询核对'!I28="","",'Sheet5-查询核对'!I28)</f>
        <v>https://mp.fof99.com/fund/view/a0e2d40b33d92ad4</v>
      </c>
      <c r="BD43" s="23">
        <f>IF('Sheet5-查询核对'!H28="","",'Sheet5-查询核对'!H28)</f>
        <v>46269</v>
      </c>
      <c r="BE43" s="24" t="str">
        <f>IF('Sheet5-查询核对'!L28="","",'Sheet5-查询核对'!L28)</f>
        <v>https://gs.amac.org.cn/amac-infodisc/res/pof/manager/101000003739.html</v>
      </c>
      <c r="BF43" s="23">
        <f>IF('Sheet5-查询核对'!M28="","",'Sheet5-查询核对'!M28)</f>
        <v>46276</v>
      </c>
      <c r="BG43" s="24" t="str">
        <f>IF('Sheet5-查询核对'!O28="","",'Sheet5-查询核对'!O28)</f>
        <v>743</v>
      </c>
      <c r="BH43" s="23" t="str">
        <f>IF('Sheet5-查询核对'!P28="","",'Sheet5-查询核对'!P28)</f>
        <v/>
      </c>
      <c r="BI43" s="22" t="str">
        <f>IF('Sheet5-查询核对'!D28="","",'Sheet5-查询核对'!D28)</f>
        <v>ASB89C</v>
      </c>
      <c r="BJ43">
        <f>IF(ISNUMBER(AT43),AT43,COUNT($AT$17:$AT$99)+ROWS($AT$17:AT43)-COUNT($AT$17:AT43))</f>
        <v>76</v>
      </c>
      <c r="BK43" s="2">
        <f t="shared" si="16"/>
        <v>1</v>
      </c>
      <c r="BL43" s="2">
        <f t="shared" si="17"/>
        <v>1</v>
      </c>
      <c r="BM43" s="2">
        <f t="shared" si="18"/>
        <v>1</v>
      </c>
      <c r="BN43" s="2">
        <f t="shared" si="19"/>
        <v>1</v>
      </c>
      <c r="BO43" s="2">
        <f t="shared" si="20"/>
        <v>0</v>
      </c>
      <c r="BP43" s="48">
        <f>IF(G43="入池",IF(ISNUMBER(I43),I43*('Sheet1-指标体系'!$G$4),0),0)</f>
        <v>6</v>
      </c>
      <c r="BQ43" s="48">
        <f>IF(G43="入池",IF(ISNUMBER(K43),K43*('Sheet1-指标体系'!$G$5),0),0)</f>
        <v>0</v>
      </c>
      <c r="BR43" s="48">
        <f>IF(G43="入池",IF(ISNUMBER(L43),L43*('Sheet1-指标体系'!$G$6),0),0)</f>
        <v>3.15</v>
      </c>
      <c r="BS43" s="48">
        <f>IF(G43="入池",IF(ISNUMBER(Q43),Q43*('Sheet1-指标体系'!$G$7*'Sheet1-指标体系'!$J$8),0),0)</f>
        <v>0.46704</v>
      </c>
      <c r="BT43" s="48">
        <f>IF(G43="入池",IF(ISNUMBER(R43),R43*('Sheet1-指标体系'!$G$7*'Sheet1-指标体系'!$J$9),0),0)</f>
        <v>0.93352</v>
      </c>
      <c r="BU43" s="48">
        <f>IF(G43="入池",IF(ISNUMBER(W43),W43*('Sheet1-指标体系'!$G$8*'Sheet1-指标体系'!$J$8),0),0)</f>
        <v>1.93846153846154</v>
      </c>
      <c r="BV43" s="48">
        <f>IF(G43="入池",IF(ISNUMBER(X43),X43*('Sheet1-指标体系'!$G$8*'Sheet1-指标体系'!$J$9),0),0)</f>
        <v>0</v>
      </c>
      <c r="BW43" s="48">
        <f>IF(G43="入池",IF(ISNUMBER(AC43),AC43*('Sheet1-指标体系'!$G$9),0),0)</f>
        <v>2.365</v>
      </c>
      <c r="BX43" s="48">
        <f>IF(G43="入池",IF(ISNUMBER(AG43),AG43*('Sheet1-指标体系'!$G$10*'Sheet1-指标体系'!$J$8),0),0)</f>
        <v>0.7614</v>
      </c>
      <c r="BY43" s="48">
        <f>IF(G43="入池",IF(ISNUMBER(AH43),AH43*('Sheet1-指标体系'!$G$10*'Sheet1-指标体系'!$J$9),0),0)</f>
        <v>0</v>
      </c>
      <c r="BZ43" s="48">
        <f>IF(G43="入池",IF(ISNUMBER(AK43),AK43*('Sheet1-指标体系'!$G$11),0),0)</f>
        <v>8</v>
      </c>
      <c r="CA43" s="49">
        <f>IF(G43="入池",IF(ISNUMBER(I43),'Sheet1-指标体系'!$G$4,0),0)</f>
        <v>0.06</v>
      </c>
      <c r="CB43" s="49">
        <f>IF(G43="入池",IF(ISNUMBER(K43),'Sheet1-指标体系'!$G$5,0),0)</f>
        <v>0</v>
      </c>
      <c r="CC43" s="49">
        <f>IF(G43="入池",IF(ISNUMBER(L43),'Sheet1-指标体系'!$G$6,0),0)</f>
        <v>0.045</v>
      </c>
      <c r="CD43" s="49">
        <f>IF(G43="入池",IF(ISNUMBER(Q43),'Sheet1-指标体系'!$G$7*'Sheet1-指标体系'!$J$8,0),0)</f>
        <v>0.084</v>
      </c>
      <c r="CE43" s="49">
        <f>IF(G43="入池",IF(ISNUMBER(R43),'Sheet1-指标体系'!$G$7*'Sheet1-指标体系'!$J$9,0),0)</f>
        <v>0.056</v>
      </c>
      <c r="CF43" s="49">
        <f>IF(G43="入池",IF(ISNUMBER(W43),'Sheet1-指标体系'!$G$8*'Sheet1-指标体系'!$J$8,0),0)</f>
        <v>0.036</v>
      </c>
      <c r="CG43" s="49">
        <f>IF(G43="入池",IF(ISNUMBER(X43),'Sheet1-指标体系'!$G$8*'Sheet1-指标体系'!$J$9,0),0)</f>
        <v>0</v>
      </c>
      <c r="CH43" s="49">
        <f>IF(G43="入池",IF(ISNUMBER(AC43),'Sheet1-指标体系'!$G$9,0),0)</f>
        <v>0.25</v>
      </c>
      <c r="CI43" s="49">
        <f>IF(G43="入池",IF(ISNUMBER(AG43),'Sheet1-指标体系'!$G$10*'Sheet1-指标体系'!$J$8,0),0)</f>
        <v>0.18</v>
      </c>
      <c r="CJ43" s="49">
        <f>IF(G43="入池",IF(ISNUMBER(AH43),'Sheet1-指标体系'!$G$10*'Sheet1-指标体系'!$J$9,0),0)</f>
        <v>0</v>
      </c>
      <c r="CK43" s="49">
        <f>IF(G43="入池",IF(ISNUMBER(AK43),'Sheet1-指标体系'!$G$11,0),0)</f>
        <v>0.1</v>
      </c>
    </row>
    <row r="44" ht="44" customHeight="1" spans="1:89">
      <c r="A44" s="40">
        <f>'Sheet5-查询核对'!A29-1</f>
        <v>28</v>
      </c>
      <c r="B44" s="24" t="str">
        <f>IF('Sheet4-原始数据'!A29="",'Sheet5-查询核对'!B29,'Sheet4-原始数据'!A29)</f>
        <v>九木套利9号A类</v>
      </c>
      <c r="C44" s="22" t="str">
        <f>IF('Sheet4-原始数据'!B29="","",'Sheet4-原始数据'!B29)</f>
        <v>BSA32A</v>
      </c>
      <c r="D44" s="22" t="str">
        <f>IF('Sheet4-原始数据'!E29="","",'Sheet4-原始数据'!E29)</f>
        <v>深圳九木</v>
      </c>
      <c r="E44" s="23">
        <f>IF('Sheet4-原始数据'!F29="","",'Sheet4-原始数据'!F29)</f>
        <v>46094</v>
      </c>
      <c r="F44" s="37">
        <f>IF(ISNUMBER(E44),ROUND(('Sheet1-指标体系'!$J$12-E44)/'Sheet1-指标体系'!$J$14,4),"")</f>
        <v>0.4956</v>
      </c>
      <c r="G44" s="36" t="str">
        <f>IF(C44="","未匹配",IF(NOT(ISNUMBER(F44)),"缺成立日期",IF(F44&lt;'Sheet1-指标体系'!$J$15,"不入池","入池")))</f>
        <v>不入池</v>
      </c>
      <c r="H44" s="22" t="str">
        <f>IF('Sheet5-查询核对'!K29="","",'Sheet5-查询核对'!K29)</f>
        <v>10-20亿元</v>
      </c>
      <c r="I44" s="37">
        <f>IF(H44="","",IF(COUNTIF('Sheet1-指标体系'!$P$4:$P$10,H44)=0,"",INDEX('Sheet1-指标体系'!$Q$4:$Q$10,MATCH(H44,'Sheet1-指标体系'!$P$4:$P$10,0))))</f>
        <v>80</v>
      </c>
      <c r="J44" s="44" t="str">
        <f>IF(NOT(ISNUMBER('Sheet5-查询核对'!N29)),"",IF('Sheet5-查询核对'!N29=1,"低于"&amp;'Sheet1-指标体系'!$J$4&amp;"万元",IF('Sheet5-查询核对'!N29=0,"无低于"&amp;'Sheet1-指标体系'!$J$4&amp;"万元标识","")))</f>
        <v/>
      </c>
      <c r="K44" s="37" t="str">
        <f>IF(NOT(ISNUMBER('Sheet5-查询核对'!N29)),"",IF('Sheet5-查询核对'!N29=1,'Sheet1-指标体系'!$J$21,IF('Sheet5-查询核对'!N29=0,'Sheet1-指标体系'!$J$18,"")))</f>
        <v/>
      </c>
      <c r="L44" s="37" t="str">
        <f>IF(NOT(ISNUMBER(F44)),"",IF(F44&lt;'Sheet1-指标体系'!$J$15,"",IF(F44&lt;'Sheet1-指标体系'!$J$16,'Sheet1-指标体系'!$J$17,'Sheet1-指标体系'!$J$18)))</f>
        <v/>
      </c>
      <c r="M44" s="26" t="str">
        <f>IF(ISNUMBER('Sheet4-原始数据'!G29),'Sheet4-原始数据'!G29,"")</f>
        <v/>
      </c>
      <c r="N44" s="26" t="str">
        <f>IF(ISNUMBER('Sheet4-原始数据'!H29),'Sheet4-原始数据'!H29,"")</f>
        <v/>
      </c>
      <c r="O44" s="26">
        <f>IF(ISNUMBER('Sheet5-查询核对'!Q29),'Sheet5-查询核对'!Q29,"")</f>
        <v>0.00375795437634197</v>
      </c>
      <c r="P44" s="45" t="str">
        <f>IF(G44&lt;&gt;"入池","",IF(F44&gt;='Sheet1-指标体系'!$J$16,IF(AND(ISNUMBER(M44),ISNUMBER(N44)),IF(AND(1+M44&gt;0,1+N44&gt;=0),((1+N44)^'Sheet1-指标体系'!$J$16/(1+M44))^(1/('Sheet1-指标体系'!$J$16-1))-1,""),""),IF(AND(ISNUMBER(M44),ISNUMBER(O44)),IF(AND(F44&gt;1,1+M44&gt;0,1+O44&gt;=0),((1+O44)^F44/(1+M44))^(1/(F44-1))-1,""),"")))</f>
        <v/>
      </c>
      <c r="Q44" s="37" t="str">
        <f t="shared" si="0"/>
        <v/>
      </c>
      <c r="R44" s="37" t="str">
        <f t="shared" si="1"/>
        <v/>
      </c>
      <c r="S44" s="37" t="str">
        <f>IF(ISNUMBER(Q44),IF(ISNUMBER(R44),ROUND(Q44*'Sheet1-指标体系'!$J$8+R44*'Sheet1-指标体系'!$J$9,2),Q44),"")</f>
        <v/>
      </c>
      <c r="T44" s="26" t="str">
        <f>IF(ISNUMBER('Sheet4-原始数据'!J29),'Sheet4-原始数据'!J29,"")</f>
        <v/>
      </c>
      <c r="U44" s="26" t="str">
        <f>IF(ISNUMBER('Sheet4-原始数据'!I29),'Sheet4-原始数据'!I29,"")</f>
        <v/>
      </c>
      <c r="V44" s="45" t="str">
        <f>IF(AND(ISNUMBER(T44),ISNUMBER(U44)),(U44*'Sheet1-指标体系'!$J$6-T44*'Sheet1-指标体系'!$J$5)/'Sheet1-指标体系'!$J$7,"")</f>
        <v/>
      </c>
      <c r="W44" s="37" t="str">
        <f t="shared" si="2"/>
        <v/>
      </c>
      <c r="X44" s="37" t="str">
        <f>IF(G44&lt;&gt;"入池","",IF(ISNUMBER(V44),IF(AND(V44&gt;=0,V44&lt;=1),V44*'Sheet1-指标体系'!$J$18,IF(MAX(0,(F44-'Sheet1-指标体系'!$J$15)*'Sheet1-指标体系'!$J$20)&lt;'Sheet1-指标体系'!$J$19,'Sheet1-指标体系'!$J$18,"")),IF(MAX(0,(F44-'Sheet1-指标体系'!$J$15)*'Sheet1-指标体系'!$J$20)&lt;'Sheet1-指标体系'!$J$19,'Sheet1-指标体系'!$J$18,"")))</f>
        <v/>
      </c>
      <c r="Y44" s="37" t="str">
        <f>IF(ISNUMBER(W44),IF(ISNUMBER(X44),ROUND(W44*'Sheet1-指标体系'!$J$8+X44*'Sheet1-指标体系'!$J$9,2),W44),"")</f>
        <v/>
      </c>
      <c r="Z44" s="45" t="str">
        <f t="shared" si="3"/>
        <v/>
      </c>
      <c r="AA44" s="26" t="str">
        <f>IF(ISNUMBER('Sheet4-原始数据'!K29),'Sheet4-原始数据'!K29,"")</f>
        <v/>
      </c>
      <c r="AB44" s="45" t="str">
        <f t="shared" si="4"/>
        <v/>
      </c>
      <c r="AC44" s="37" t="str">
        <f t="shared" si="5"/>
        <v/>
      </c>
      <c r="AD44" s="30" t="str">
        <f>IF(ISNUMBER('Sheet4-原始数据'!M29),'Sheet4-原始数据'!M29,"")</f>
        <v/>
      </c>
      <c r="AE44" s="45" t="str">
        <f>IF(AND(ISNUMBER(P44),ISNUMBER(AA44),ISNUMBER(Z44)),IF(AA44&gt;Z44+'Sheet1-指标体系'!$J$11,AA44,""),"")</f>
        <v/>
      </c>
      <c r="AF44" s="37" t="str">
        <f t="shared" si="6"/>
        <v/>
      </c>
      <c r="AG44" s="37" t="str">
        <f t="shared" si="7"/>
        <v/>
      </c>
      <c r="AH44" s="37" t="str">
        <f t="shared" si="8"/>
        <v/>
      </c>
      <c r="AI44" s="37" t="str">
        <f>IF(ISNUMBER(AG44),IF(ISNUMBER(AH44),ROUND(AG44*'Sheet1-指标体系'!$J$8+AH44*'Sheet1-指标体系'!$J$9,2),AG44),"")</f>
        <v/>
      </c>
      <c r="AJ44" s="45">
        <f>IF(NOT(ISNUMBER(F44)),"",IF(F44&gt;='Sheet1-指标体系'!$J$16,IF(ISNUMBER(N44),N44,""),IF(ISNUMBER(O44),O44,"")))</f>
        <v>0.00375795437634197</v>
      </c>
      <c r="AK44" s="37" t="str">
        <f>IF(AND(G44="入池",ISNUMBER(M44),ISNUMBER(AJ44)),IF(M44&gt;=AJ44,'Sheet1-指标体系'!$J$18,IF(AJ44-M44&lt;'Sheet1-指标体系'!$J$10,'Sheet1-指标体系'!$J$22,'Sheet1-指标体系'!$J$23)),"")</f>
        <v/>
      </c>
      <c r="AL44" s="37">
        <f>IF((IF(ISNUMBER(I44),'Sheet1-指标体系'!$G$4,0)+IF(ISNUMBER(K44),'Sheet1-指标体系'!$G$5,0)+IF(ISNUMBER(L44),'Sheet1-指标体系'!$G$6,0))&gt;0,ROUND((IF(ISNUMBER(I44),I44*'Sheet1-指标体系'!$G$4,0)+IF(ISNUMBER(K44),K44*'Sheet1-指标体系'!$G$5,0)+IF(ISNUMBER(L44),L44*'Sheet1-指标体系'!$G$6,0))/(IF(ISNUMBER(I44),'Sheet1-指标体系'!$G$4,0)+IF(ISNUMBER(K44),'Sheet1-指标体系'!$G$5,0)+IF(ISNUMBER(L44),'Sheet1-指标体系'!$G$6,0)),2),"")</f>
        <v>80</v>
      </c>
      <c r="AM44" s="37" t="str">
        <f t="shared" si="9"/>
        <v/>
      </c>
      <c r="AN44" s="37" t="str">
        <f t="shared" si="10"/>
        <v/>
      </c>
      <c r="AO44" s="37" t="str">
        <f t="shared" si="11"/>
        <v/>
      </c>
      <c r="AP44" s="37" t="str">
        <f t="shared" si="12"/>
        <v/>
      </c>
      <c r="AQ44" s="38">
        <f t="shared" si="13"/>
        <v>0</v>
      </c>
      <c r="AR44" s="37" t="str">
        <f t="shared" si="14"/>
        <v/>
      </c>
      <c r="AS44" s="37" t="str">
        <f t="shared" si="15"/>
        <v/>
      </c>
      <c r="AT44" s="40" t="str">
        <f>IF(OR(G44&lt;&gt;"入池",NOT(ISNUMBER(AS44))),"",COUNTIFS($G$17:$G$99,"入池",$AS$17:$AS$99,"&gt;"&amp;AS44)+COUNTIFS($G$17:$G$99,"入池",$AS$17:$AS$99,AS44,$AQ$17:$AQ$99,"&gt;"&amp;AQ44)+COUNTIFS($G$17:G44,"入池",$AS$17:AS44,AS44,$AQ$17:AQ44,AQ44))</f>
        <v/>
      </c>
      <c r="AU44" s="46" t="str">
        <f>IF(NOT(ISNUMBER(I44)),"管理人规模；","")&amp;IF(NOT(ISNUMBER(K44)),"产品规模标识；","")&amp;IF(NOT(ISNUMBER(M44)),"近一年收益；","")&amp;IF(NOT(ISNUMBER(T44)),"近一年胜率；","")&amp;IF(NOT(ISNUMBER(N44)),"近三年收益；","")&amp;IF(NOT(ISNUMBER(U44)),"近三年胜率；","")&amp;IF(NOT(ISNUMBER(AA44)),"近三年回撤；","")&amp;IF(NOT(ISNUMBER(AD44)),"近一年卡玛；","")&amp;IF(ISNUMBER(F44),IF(AND(F44&lt;'Sheet1-指标体系'!$J$16,NOT(ISNUMBER(O44))),"成立以来年化；",""),"成立日期；")&amp;IF(ISNUMBER(V44),IF(OR(V44&lt;0,V44&gt;1),"胜率窗口口径不一致；",""),"")&amp;IF(ISNUMBER(P44),IF(NOT(ISNUMBER(AE44)),"DD_long不可识别；",""),"")</f>
        <v>产品规模标识；近一年收益；近一年胜率；近三年收益；近三年胜率；近三年回撤；近一年卡玛；</v>
      </c>
      <c r="AV44" s="37" t="str">
        <f>IF(ABS(SUM(CA44:CK44)-'Sheet1-指标体系'!$J$25)&lt;0.0000000001,SUM(BP44:BZ44),"")</f>
        <v/>
      </c>
      <c r="AW44" s="36" t="str">
        <f>IF(G44&lt;&gt;"入池",G44,IF(AQ44=0,"无有效评分数据",IF(ROUND(AQ44,10)=ROUND('Sheet1-指标体系'!$J$25,10),"完整赋分","暂定分／数据不完整")))</f>
        <v>不入池</v>
      </c>
      <c r="AX44" s="22" t="str">
        <f>IF('Sheet4-原始数据'!C29="","",'Sheet4-原始数据'!C29)</f>
        <v>套利策略</v>
      </c>
      <c r="AY44" s="22" t="str">
        <f>IF('Sheet4-原始数据'!D29="","",'Sheet4-原始数据'!D29)</f>
        <v>期货套利</v>
      </c>
      <c r="AZ44" s="22" t="str">
        <f>IF('Sheet5-查询核对'!S29="","",'Sheet5-查询核对'!S29)</f>
        <v>套利策略—期货套利</v>
      </c>
      <c r="BA44" s="25">
        <f>IF('Sheet5-查询核对'!A29="","",'Sheet5-查询核对'!A29)</f>
        <v>29</v>
      </c>
      <c r="BB44" s="22" t="str">
        <f>IF('Sheet5-查询核对'!F29="","",'Sheet5-查询核对'!F29)</f>
        <v>备案号匹配</v>
      </c>
      <c r="BC44" s="24" t="str">
        <f>IF('Sheet5-查询核对'!I29="","",'Sheet5-查询核对'!I29)</f>
        <v>https://mp.fof99.com/fund/view/54b1f815aaee62da</v>
      </c>
      <c r="BD44" s="23">
        <f>IF('Sheet5-查询核对'!H29="","",'Sheet5-查询核对'!H29)</f>
        <v>46269</v>
      </c>
      <c r="BE44" s="24" t="str">
        <f>IF('Sheet5-查询核对'!L29="","",'Sheet5-查询核对'!L29)</f>
        <v>https://gs.amac.org.cn/amac-infodisc/res/pof/manager/2502261446106414.html</v>
      </c>
      <c r="BF44" s="23">
        <f>IF('Sheet5-查询核对'!M29="","",'Sheet5-查询核对'!M29)</f>
        <v>46276</v>
      </c>
      <c r="BG44" s="24" t="str">
        <f>IF('Sheet5-查询核对'!O29="","",'Sheet5-查询核对'!O29)</f>
        <v>743</v>
      </c>
      <c r="BH44" s="23" t="str">
        <f>IF('Sheet5-查询核对'!P29="","",'Sheet5-查询核对'!P29)</f>
        <v/>
      </c>
      <c r="BI44" s="22" t="str">
        <f>IF('Sheet5-查询核对'!D29="","",'Sheet5-查询核对'!D29)</f>
        <v>BSA32A</v>
      </c>
      <c r="BJ44">
        <f>IF(ISNUMBER(AT44),AT44,COUNT($AT$17:$AT$99)+ROWS($AT$17:AT44)-COUNT($AT$17:AT44))</f>
        <v>81</v>
      </c>
      <c r="BK44" s="2">
        <f t="shared" si="16"/>
        <v>0</v>
      </c>
      <c r="BL44" s="2">
        <f t="shared" si="17"/>
        <v>0</v>
      </c>
      <c r="BM44" s="2">
        <f t="shared" si="18"/>
        <v>0</v>
      </c>
      <c r="BN44" s="2">
        <f t="shared" si="19"/>
        <v>0</v>
      </c>
      <c r="BO44" s="2">
        <f t="shared" si="20"/>
        <v>0</v>
      </c>
      <c r="BP44" s="48">
        <f>IF(G44="入池",IF(ISNUMBER(I44),I44*('Sheet1-指标体系'!$G$4),0),0)</f>
        <v>0</v>
      </c>
      <c r="BQ44" s="48">
        <f>IF(G44="入池",IF(ISNUMBER(K44),K44*('Sheet1-指标体系'!$G$5),0),0)</f>
        <v>0</v>
      </c>
      <c r="BR44" s="48">
        <f>IF(G44="入池",IF(ISNUMBER(L44),L44*('Sheet1-指标体系'!$G$6),0),0)</f>
        <v>0</v>
      </c>
      <c r="BS44" s="48">
        <f>IF(G44="入池",IF(ISNUMBER(Q44),Q44*('Sheet1-指标体系'!$G$7*'Sheet1-指标体系'!$J$8),0),0)</f>
        <v>0</v>
      </c>
      <c r="BT44" s="48">
        <f>IF(G44="入池",IF(ISNUMBER(R44),R44*('Sheet1-指标体系'!$G$7*'Sheet1-指标体系'!$J$9),0),0)</f>
        <v>0</v>
      </c>
      <c r="BU44" s="48">
        <f>IF(G44="入池",IF(ISNUMBER(W44),W44*('Sheet1-指标体系'!$G$8*'Sheet1-指标体系'!$J$8),0),0)</f>
        <v>0</v>
      </c>
      <c r="BV44" s="48">
        <f>IF(G44="入池",IF(ISNUMBER(X44),X44*('Sheet1-指标体系'!$G$8*'Sheet1-指标体系'!$J$9),0),0)</f>
        <v>0</v>
      </c>
      <c r="BW44" s="48">
        <f>IF(G44="入池",IF(ISNUMBER(AC44),AC44*('Sheet1-指标体系'!$G$9),0),0)</f>
        <v>0</v>
      </c>
      <c r="BX44" s="48">
        <f>IF(G44="入池",IF(ISNUMBER(AG44),AG44*('Sheet1-指标体系'!$G$10*'Sheet1-指标体系'!$J$8),0),0)</f>
        <v>0</v>
      </c>
      <c r="BY44" s="48">
        <f>IF(G44="入池",IF(ISNUMBER(AH44),AH44*('Sheet1-指标体系'!$G$10*'Sheet1-指标体系'!$J$9),0),0)</f>
        <v>0</v>
      </c>
      <c r="BZ44" s="48">
        <f>IF(G44="入池",IF(ISNUMBER(AK44),AK44*('Sheet1-指标体系'!$G$11),0),0)</f>
        <v>0</v>
      </c>
      <c r="CA44" s="49">
        <f>IF(G44="入池",IF(ISNUMBER(I44),'Sheet1-指标体系'!$G$4,0),0)</f>
        <v>0</v>
      </c>
      <c r="CB44" s="49">
        <f>IF(G44="入池",IF(ISNUMBER(K44),'Sheet1-指标体系'!$G$5,0),0)</f>
        <v>0</v>
      </c>
      <c r="CC44" s="49">
        <f>IF(G44="入池",IF(ISNUMBER(L44),'Sheet1-指标体系'!$G$6,0),0)</f>
        <v>0</v>
      </c>
      <c r="CD44" s="49">
        <f>IF(G44="入池",IF(ISNUMBER(Q44),'Sheet1-指标体系'!$G$7*'Sheet1-指标体系'!$J$8,0),0)</f>
        <v>0</v>
      </c>
      <c r="CE44" s="49">
        <f>IF(G44="入池",IF(ISNUMBER(R44),'Sheet1-指标体系'!$G$7*'Sheet1-指标体系'!$J$9,0),0)</f>
        <v>0</v>
      </c>
      <c r="CF44" s="49">
        <f>IF(G44="入池",IF(ISNUMBER(W44),'Sheet1-指标体系'!$G$8*'Sheet1-指标体系'!$J$8,0),0)</f>
        <v>0</v>
      </c>
      <c r="CG44" s="49">
        <f>IF(G44="入池",IF(ISNUMBER(X44),'Sheet1-指标体系'!$G$8*'Sheet1-指标体系'!$J$9,0),0)</f>
        <v>0</v>
      </c>
      <c r="CH44" s="49">
        <f>IF(G44="入池",IF(ISNUMBER(AC44),'Sheet1-指标体系'!$G$9,0),0)</f>
        <v>0</v>
      </c>
      <c r="CI44" s="49">
        <f>IF(G44="入池",IF(ISNUMBER(AG44),'Sheet1-指标体系'!$G$10*'Sheet1-指标体系'!$J$8,0),0)</f>
        <v>0</v>
      </c>
      <c r="CJ44" s="49">
        <f>IF(G44="入池",IF(ISNUMBER(AH44),'Sheet1-指标体系'!$G$10*'Sheet1-指标体系'!$J$9,0),0)</f>
        <v>0</v>
      </c>
      <c r="CK44" s="49">
        <f>IF(G44="入池",IF(ISNUMBER(AK44),'Sheet1-指标体系'!$G$11,0),0)</f>
        <v>0</v>
      </c>
    </row>
    <row r="45" ht="44" customHeight="1" spans="1:89">
      <c r="A45" s="40">
        <f>'Sheet5-查询核对'!A30-1</f>
        <v>29</v>
      </c>
      <c r="B45" s="24" t="str">
        <f>IF('Sheet4-原始数据'!A30="",'Sheet5-查询核对'!B30,'Sheet4-原始数据'!A30)</f>
        <v>九招真格量化套利一号</v>
      </c>
      <c r="C45" s="22" t="str">
        <f>IF('Sheet4-原始数据'!B30="","",'Sheet4-原始数据'!B30)</f>
        <v>SQD546</v>
      </c>
      <c r="D45" s="22" t="str">
        <f>IF('Sheet4-原始数据'!E30="","",'Sheet4-原始数据'!E30)</f>
        <v>武汉九招</v>
      </c>
      <c r="E45" s="23">
        <f>IF('Sheet4-原始数据'!F30="","",'Sheet4-原始数据'!F30)</f>
        <v>44271</v>
      </c>
      <c r="F45" s="37">
        <f>IF(ISNUMBER(E45),ROUND(('Sheet1-指标体系'!$J$12-E45)/'Sheet1-指标体系'!$J$14,4),"")</f>
        <v>5.4867</v>
      </c>
      <c r="G45" s="36" t="str">
        <f>IF(C45="","未匹配",IF(NOT(ISNUMBER(F45)),"缺成立日期",IF(F45&lt;'Sheet1-指标体系'!$J$15,"不入池","入池")))</f>
        <v>入池</v>
      </c>
      <c r="H45" s="22" t="str">
        <f>IF('Sheet5-查询核对'!K30="","",'Sheet5-查询核对'!K30)</f>
        <v>5-10亿元</v>
      </c>
      <c r="I45" s="37">
        <f>IF(H45="","",IF(COUNTIF('Sheet1-指标体系'!$P$4:$P$10,H45)=0,"",INDEX('Sheet1-指标体系'!$Q$4:$Q$10,MATCH(H45,'Sheet1-指标体系'!$P$4:$P$10,0))))</f>
        <v>70</v>
      </c>
      <c r="J45" s="44" t="str">
        <f>IF(NOT(ISNUMBER('Sheet5-查询核对'!N30)),"",IF('Sheet5-查询核对'!N30=1,"低于"&amp;'Sheet1-指标体系'!$J$4&amp;"万元",IF('Sheet5-查询核对'!N30=0,"无低于"&amp;'Sheet1-指标体系'!$J$4&amp;"万元标识","")))</f>
        <v>无低于1000万元标识</v>
      </c>
      <c r="K45" s="37">
        <f>IF(NOT(ISNUMBER('Sheet5-查询核对'!N30)),"",IF('Sheet5-查询核对'!N30=1,'Sheet1-指标体系'!$J$21,IF('Sheet5-查询核对'!N30=0,'Sheet1-指标体系'!$J$18,"")))</f>
        <v>100</v>
      </c>
      <c r="L45" s="37">
        <f>IF(NOT(ISNUMBER(F45)),"",IF(F45&lt;'Sheet1-指标体系'!$J$15,"",IF(F45&lt;'Sheet1-指标体系'!$J$16,'Sheet1-指标体系'!$J$17,'Sheet1-指标体系'!$J$18)))</f>
        <v>100</v>
      </c>
      <c r="M45" s="26">
        <f>IF(ISNUMBER('Sheet4-原始数据'!G30),'Sheet4-原始数据'!G30,"")</f>
        <v>0.1369</v>
      </c>
      <c r="N45" s="26">
        <f>IF(ISNUMBER('Sheet4-原始数据'!H30),'Sheet4-原始数据'!H30,"")</f>
        <v>0.1341</v>
      </c>
      <c r="O45" s="26">
        <f>IF(ISNUMBER('Sheet5-查询核对'!Q30),'Sheet5-查询核对'!Q30,"")</f>
        <v>0.1149</v>
      </c>
      <c r="P45" s="45">
        <f>IF(G45&lt;&gt;"入池","",IF(F45&gt;='Sheet1-指标体系'!$J$16,IF(AND(ISNUMBER(M45),ISNUMBER(N45)),IF(AND(1+M45&gt;0,1+N45&gt;=0),((1+N45)^'Sheet1-指标体系'!$J$16/(1+M45))^(1/('Sheet1-指标体系'!$J$16-1))-1,""),""),IF(AND(ISNUMBER(M45),ISNUMBER(O45)),IF(AND(F45&gt;1,1+M45&gt;0,1+O45&gt;=0),((1+O45)^F45/(1+M45))^(1/(F45-1))-1,""),"")))</f>
        <v>0.132702587041874</v>
      </c>
      <c r="Q45" s="37">
        <f t="shared" si="0"/>
        <v>77.78</v>
      </c>
      <c r="R45" s="37">
        <f t="shared" si="1"/>
        <v>81.82</v>
      </c>
      <c r="S45" s="37">
        <f>IF(ISNUMBER(Q45),IF(ISNUMBER(R45),ROUND(Q45*'Sheet1-指标体系'!$J$8+R45*'Sheet1-指标体系'!$J$9,2),Q45),"")</f>
        <v>79.4</v>
      </c>
      <c r="T45" s="26">
        <f>IF(ISNUMBER('Sheet4-原始数据'!J30),'Sheet4-原始数据'!J30,"")</f>
        <v>1</v>
      </c>
      <c r="U45" s="26">
        <f>IF(ISNUMBER('Sheet4-原始数据'!I30),'Sheet4-原始数据'!I30,"")</f>
        <v>0.8919</v>
      </c>
      <c r="V45" s="45">
        <f>IF(AND(ISNUMBER(T45),ISNUMBER(U45)),(U45*'Sheet1-指标体系'!$J$6-T45*'Sheet1-指标体系'!$J$5)/'Sheet1-指标体系'!$J$7,"")</f>
        <v>0.833345833333333</v>
      </c>
      <c r="W45" s="37">
        <f t="shared" si="2"/>
        <v>100</v>
      </c>
      <c r="X45" s="37">
        <f>IF(G45&lt;&gt;"入池","",IF(ISNUMBER(V45),IF(AND(V45&gt;=0,V45&lt;=1),V45*'Sheet1-指标体系'!$J$18,IF(MAX(0,(F45-'Sheet1-指标体系'!$J$15)*'Sheet1-指标体系'!$J$20)&lt;'Sheet1-指标体系'!$J$19,'Sheet1-指标体系'!$J$18,"")),IF(MAX(0,(F45-'Sheet1-指标体系'!$J$15)*'Sheet1-指标体系'!$J$20)&lt;'Sheet1-指标体系'!$J$19,'Sheet1-指标体系'!$J$18,"")))</f>
        <v>83.3345833333333</v>
      </c>
      <c r="Y45" s="37">
        <f>IF(ISNUMBER(W45),IF(ISNUMBER(X45),ROUND(W45*'Sheet1-指标体系'!$J$8+X45*'Sheet1-指标体系'!$J$9,2),W45),"")</f>
        <v>93.33</v>
      </c>
      <c r="Z45" s="45">
        <f t="shared" si="3"/>
        <v>0.00474641851692623</v>
      </c>
      <c r="AA45" s="26">
        <f>IF(ISNUMBER('Sheet4-原始数据'!K30),'Sheet4-原始数据'!K30,"")</f>
        <v>0.0249</v>
      </c>
      <c r="AB45" s="45">
        <f t="shared" si="4"/>
        <v>0.0249</v>
      </c>
      <c r="AC45" s="37">
        <f t="shared" si="5"/>
        <v>44.59</v>
      </c>
      <c r="AD45" s="30">
        <f>IF(ISNUMBER('Sheet4-原始数据'!M30),'Sheet4-原始数据'!M30,"")</f>
        <v>28.8428</v>
      </c>
      <c r="AE45" s="45">
        <f>IF(AND(ISNUMBER(P45),ISNUMBER(AA45),ISNUMBER(Z45)),IF(AA45&gt;Z45+'Sheet1-指标体系'!$J$11,AA45,""),"")</f>
        <v>0.0249</v>
      </c>
      <c r="AF45" s="37">
        <f t="shared" si="6"/>
        <v>5.32942116634032</v>
      </c>
      <c r="AG45" s="37">
        <f t="shared" si="7"/>
        <v>87.32</v>
      </c>
      <c r="AH45" s="37">
        <f t="shared" si="8"/>
        <v>62.5</v>
      </c>
      <c r="AI45" s="37">
        <f>IF(ISNUMBER(AG45),IF(ISNUMBER(AH45),ROUND(AG45*'Sheet1-指标体系'!$J$8+AH45*'Sheet1-指标体系'!$J$9,2),AG45),"")</f>
        <v>77.39</v>
      </c>
      <c r="AJ45" s="45">
        <f>IF(NOT(ISNUMBER(F45)),"",IF(F45&gt;='Sheet1-指标体系'!$J$16,IF(ISNUMBER(N45),N45,""),IF(ISNUMBER(O45),O45,"")))</f>
        <v>0.1341</v>
      </c>
      <c r="AK45" s="37">
        <f>IF(AND(G45="入池",ISNUMBER(M45),ISNUMBER(AJ45)),IF(M45&gt;=AJ45,'Sheet1-指标体系'!$J$18,IF(AJ45-M45&lt;'Sheet1-指标体系'!$J$10,'Sheet1-指标体系'!$J$22,'Sheet1-指标体系'!$J$23)),"")</f>
        <v>100</v>
      </c>
      <c r="AL45" s="37">
        <f>IF((IF(ISNUMBER(I45),'Sheet1-指标体系'!$G$4,0)+IF(ISNUMBER(K45),'Sheet1-指标体系'!$G$5,0)+IF(ISNUMBER(L45),'Sheet1-指标体系'!$G$6,0))&gt;0,ROUND((IF(ISNUMBER(I45),I45*'Sheet1-指标体系'!$G$4,0)+IF(ISNUMBER(K45),K45*'Sheet1-指标体系'!$G$5,0)+IF(ISNUMBER(L45),L45*'Sheet1-指标体系'!$G$6,0))/(IF(ISNUMBER(I45),'Sheet1-指标体系'!$G$4,0)+IF(ISNUMBER(K45),'Sheet1-指标体系'!$G$5,0)+IF(ISNUMBER(L45),'Sheet1-指标体系'!$G$6,0)),2),"")</f>
        <v>88</v>
      </c>
      <c r="AM45" s="37">
        <f t="shared" si="9"/>
        <v>83.58</v>
      </c>
      <c r="AN45" s="37">
        <f t="shared" si="10"/>
        <v>44.59</v>
      </c>
      <c r="AO45" s="37">
        <f t="shared" si="11"/>
        <v>77.39</v>
      </c>
      <c r="AP45" s="37">
        <f t="shared" si="12"/>
        <v>100</v>
      </c>
      <c r="AQ45" s="38">
        <f t="shared" si="13"/>
        <v>1</v>
      </c>
      <c r="AR45" s="37">
        <f t="shared" si="14"/>
        <v>74.28057</v>
      </c>
      <c r="AS45" s="37">
        <f t="shared" si="15"/>
        <v>74.28</v>
      </c>
      <c r="AT45" s="40">
        <f>IF(OR(G45&lt;&gt;"入池",NOT(ISNUMBER(AS45))),"",COUNTIFS($G$17:$G$99,"入池",$AS$17:$AS$99,"&gt;"&amp;AS45)+COUNTIFS($G$17:$G$99,"入池",$AS$17:$AS$99,AS45,$AQ$17:$AQ$99,"&gt;"&amp;AQ45)+COUNTIFS($G$17:G45,"入池",$AS$17:AS45,AS45,$AQ$17:AQ45,AQ45))</f>
        <v>24</v>
      </c>
      <c r="AU45" s="46" t="str">
        <f>IF(NOT(ISNUMBER(I45)),"管理人规模；","")&amp;IF(NOT(ISNUMBER(K45)),"产品规模标识；","")&amp;IF(NOT(ISNUMBER(M45)),"近一年收益；","")&amp;IF(NOT(ISNUMBER(T45)),"近一年胜率；","")&amp;IF(NOT(ISNUMBER(N45)),"近三年收益；","")&amp;IF(NOT(ISNUMBER(U45)),"近三年胜率；","")&amp;IF(NOT(ISNUMBER(AA45)),"近三年回撤；","")&amp;IF(NOT(ISNUMBER(AD45)),"近一年卡玛；","")&amp;IF(ISNUMBER(F45),IF(AND(F45&lt;'Sheet1-指标体系'!$J$16,NOT(ISNUMBER(O45))),"成立以来年化；",""),"成立日期；")&amp;IF(ISNUMBER(V45),IF(OR(V45&lt;0,V45&gt;1),"胜率窗口口径不一致；",""),"")&amp;IF(ISNUMBER(P45),IF(NOT(ISNUMBER(AE45)),"DD_long不可识别；",""),"")</f>
        <v/>
      </c>
      <c r="AV45" s="37">
        <f>IF(ABS(SUM(CA45:CK45)-'Sheet1-指标体系'!$J$25)&lt;0.0000000001,SUM(BP45:BZ45),"")</f>
        <v>74.28057</v>
      </c>
      <c r="AW45" s="36" t="str">
        <f>IF(G45&lt;&gt;"入池",G45,IF(AQ45=0,"无有效评分数据",IF(ROUND(AQ45,10)=ROUND('Sheet1-指标体系'!$J$25,10),"完整赋分","暂定分／数据不完整")))</f>
        <v>完整赋分</v>
      </c>
      <c r="AX45" s="22" t="str">
        <f>IF('Sheet4-原始数据'!C30="","",'Sheet4-原始数据'!C30)</f>
        <v>套利策略</v>
      </c>
      <c r="AY45" s="22" t="str">
        <f>IF('Sheet4-原始数据'!D30="","",'Sheet4-原始数据'!D30)</f>
        <v>期货套利</v>
      </c>
      <c r="AZ45" s="22" t="str">
        <f>IF('Sheet5-查询核对'!S30="","",'Sheet5-查询核对'!S30)</f>
        <v>套利策略—期货套利</v>
      </c>
      <c r="BA45" s="25">
        <f>IF('Sheet5-查询核对'!A30="","",'Sheet5-查询核对'!A30)</f>
        <v>30</v>
      </c>
      <c r="BB45" s="22" t="str">
        <f>IF('Sheet5-查询核对'!F30="","",'Sheet5-查询核对'!F30)</f>
        <v>备案号匹配</v>
      </c>
      <c r="BC45" s="24" t="str">
        <f>IF('Sheet5-查询核对'!I30="","",'Sheet5-查询核对'!I30)</f>
        <v>https://mp.fof99.com/fund/view/206ccc429e7e2414</v>
      </c>
      <c r="BD45" s="23">
        <f>IF('Sheet5-查询核对'!H30="","",'Sheet5-查询核对'!H30)</f>
        <v>46269</v>
      </c>
      <c r="BE45" s="24" t="str">
        <f>IF('Sheet5-查询核对'!L30="","",'Sheet5-查询核对'!L30)</f>
        <v>https://gs.amac.org.cn/amac-infodisc/res/pof/manager/2301051740101642.html</v>
      </c>
      <c r="BF45" s="23">
        <f>IF('Sheet5-查询核对'!M30="","",'Sheet5-查询核对'!M30)</f>
        <v>46276</v>
      </c>
      <c r="BG45" s="24" t="str">
        <f>IF('Sheet5-查询核对'!O30="","",'Sheet5-查询核对'!O30)</f>
        <v>https://gs.amac.org.cn/amac-infodisc/res/pof/fund/2103231905105915.html</v>
      </c>
      <c r="BH45" s="23">
        <f>IF('Sheet5-查询核对'!P30="","",'Sheet5-查询核对'!P30)</f>
        <v>46276</v>
      </c>
      <c r="BI45" s="22" t="str">
        <f>IF('Sheet5-查询核对'!D30="","",'Sheet5-查询核对'!D30)</f>
        <v>SQD546</v>
      </c>
      <c r="BJ45">
        <f>IF(ISNUMBER(AT45),AT45,COUNT($AT$17:$AT$99)+ROWS($AT$17:AT45)-COUNT($AT$17:AT45))</f>
        <v>24</v>
      </c>
      <c r="BK45" s="2">
        <f t="shared" si="16"/>
        <v>1</v>
      </c>
      <c r="BL45" s="2">
        <f t="shared" si="17"/>
        <v>1</v>
      </c>
      <c r="BM45" s="2">
        <f t="shared" si="18"/>
        <v>1</v>
      </c>
      <c r="BN45" s="2">
        <f t="shared" si="19"/>
        <v>1</v>
      </c>
      <c r="BO45" s="2">
        <f t="shared" si="20"/>
        <v>1</v>
      </c>
      <c r="BP45" s="48">
        <f>IF(G45="入池",IF(ISNUMBER(I45),I45*('Sheet1-指标体系'!$G$4),0),0)</f>
        <v>4.2</v>
      </c>
      <c r="BQ45" s="48">
        <f>IF(G45="入池",IF(ISNUMBER(K45),K45*('Sheet1-指标体系'!$G$5),0),0)</f>
        <v>4.5</v>
      </c>
      <c r="BR45" s="48">
        <f>IF(G45="入池",IF(ISNUMBER(L45),L45*('Sheet1-指标体系'!$G$6),0),0)</f>
        <v>4.5</v>
      </c>
      <c r="BS45" s="48">
        <f>IF(G45="入池",IF(ISNUMBER(Q45),Q45*('Sheet1-指标体系'!$G$7*'Sheet1-指标体系'!$J$8),0),0)</f>
        <v>6.53352</v>
      </c>
      <c r="BT45" s="48">
        <f>IF(G45="入池",IF(ISNUMBER(R45),R45*('Sheet1-指标体系'!$G$7*'Sheet1-指标体系'!$J$9),0),0)</f>
        <v>4.58192</v>
      </c>
      <c r="BU45" s="48">
        <f>IF(G45="入池",IF(ISNUMBER(W45),W45*('Sheet1-指标体系'!$G$8*'Sheet1-指标体系'!$J$8),0),0)</f>
        <v>3.6</v>
      </c>
      <c r="BV45" s="48">
        <f>IF(G45="入池",IF(ISNUMBER(X45),X45*('Sheet1-指标体系'!$G$8*'Sheet1-指标体系'!$J$9),0),0)</f>
        <v>2.00003</v>
      </c>
      <c r="BW45" s="48">
        <f>IF(G45="入池",IF(ISNUMBER(AC45),AC45*('Sheet1-指标体系'!$G$9),0),0)</f>
        <v>11.1475</v>
      </c>
      <c r="BX45" s="48">
        <f>IF(G45="入池",IF(ISNUMBER(AG45),AG45*('Sheet1-指标体系'!$G$10*'Sheet1-指标体系'!$J$8),0),0)</f>
        <v>15.7176</v>
      </c>
      <c r="BY45" s="48">
        <f>IF(G45="入池",IF(ISNUMBER(AH45),AH45*('Sheet1-指标体系'!$G$10*'Sheet1-指标体系'!$J$9),0),0)</f>
        <v>7.5</v>
      </c>
      <c r="BZ45" s="48">
        <f>IF(G45="入池",IF(ISNUMBER(AK45),AK45*('Sheet1-指标体系'!$G$11),0),0)</f>
        <v>10</v>
      </c>
      <c r="CA45" s="49">
        <f>IF(G45="入池",IF(ISNUMBER(I45),'Sheet1-指标体系'!$G$4,0),0)</f>
        <v>0.06</v>
      </c>
      <c r="CB45" s="49">
        <f>IF(G45="入池",IF(ISNUMBER(K45),'Sheet1-指标体系'!$G$5,0),0)</f>
        <v>0.045</v>
      </c>
      <c r="CC45" s="49">
        <f>IF(G45="入池",IF(ISNUMBER(L45),'Sheet1-指标体系'!$G$6,0),0)</f>
        <v>0.045</v>
      </c>
      <c r="CD45" s="49">
        <f>IF(G45="入池",IF(ISNUMBER(Q45),'Sheet1-指标体系'!$G$7*'Sheet1-指标体系'!$J$8,0),0)</f>
        <v>0.084</v>
      </c>
      <c r="CE45" s="49">
        <f>IF(G45="入池",IF(ISNUMBER(R45),'Sheet1-指标体系'!$G$7*'Sheet1-指标体系'!$J$9,0),0)</f>
        <v>0.056</v>
      </c>
      <c r="CF45" s="49">
        <f>IF(G45="入池",IF(ISNUMBER(W45),'Sheet1-指标体系'!$G$8*'Sheet1-指标体系'!$J$8,0),0)</f>
        <v>0.036</v>
      </c>
      <c r="CG45" s="49">
        <f>IF(G45="入池",IF(ISNUMBER(X45),'Sheet1-指标体系'!$G$8*'Sheet1-指标体系'!$J$9,0),0)</f>
        <v>0.024</v>
      </c>
      <c r="CH45" s="49">
        <f>IF(G45="入池",IF(ISNUMBER(AC45),'Sheet1-指标体系'!$G$9,0),0)</f>
        <v>0.25</v>
      </c>
      <c r="CI45" s="49">
        <f>IF(G45="入池",IF(ISNUMBER(AG45),'Sheet1-指标体系'!$G$10*'Sheet1-指标体系'!$J$8,0),0)</f>
        <v>0.18</v>
      </c>
      <c r="CJ45" s="49">
        <f>IF(G45="入池",IF(ISNUMBER(AH45),'Sheet1-指标体系'!$G$10*'Sheet1-指标体系'!$J$9,0),0)</f>
        <v>0.12</v>
      </c>
      <c r="CK45" s="49">
        <f>IF(G45="入池",IF(ISNUMBER(AK45),'Sheet1-指标体系'!$G$11,0),0)</f>
        <v>0.1</v>
      </c>
    </row>
    <row r="46" ht="44" customHeight="1" spans="1:89">
      <c r="A46" s="40">
        <f>'Sheet5-查询核对'!A31-1</f>
        <v>30</v>
      </c>
      <c r="B46" s="24" t="str">
        <f>IF('Sheet4-原始数据'!A31="",'Sheet5-查询核对'!B31,'Sheet4-原始数据'!A31)</f>
        <v>聚亿具臻B类</v>
      </c>
      <c r="C46" s="22" t="str">
        <f>IF('Sheet4-原始数据'!B31="","",'Sheet4-原始数据'!B31)</f>
        <v>LM995B</v>
      </c>
      <c r="D46" s="22" t="str">
        <f>IF('Sheet4-原始数据'!E31="","",'Sheet4-原始数据'!E31)</f>
        <v>珠海聚亿基金</v>
      </c>
      <c r="E46" s="23">
        <f>IF('Sheet4-原始数据'!F31="","",'Sheet4-原始数据'!F31)</f>
        <v>44061</v>
      </c>
      <c r="F46" s="37">
        <f>IF(ISNUMBER(E46),ROUND(('Sheet1-指标体系'!$J$12-E46)/'Sheet1-指标体系'!$J$14,4),"")</f>
        <v>6.0616</v>
      </c>
      <c r="G46" s="36" t="str">
        <f>IF(C46="","未匹配",IF(NOT(ISNUMBER(F46)),"缺成立日期",IF(F46&lt;'Sheet1-指标体系'!$J$15,"不入池","入池")))</f>
        <v>入池</v>
      </c>
      <c r="H46" s="22" t="str">
        <f>IF('Sheet5-查询核对'!K31="","",'Sheet5-查询核对'!K31)</f>
        <v>0-5亿元</v>
      </c>
      <c r="I46" s="37">
        <f>IF(H46="","",IF(COUNTIF('Sheet1-指标体系'!$P$4:$P$10,H46)=0,"",INDEX('Sheet1-指标体系'!$Q$4:$Q$10,MATCH(H46,'Sheet1-指标体系'!$P$4:$P$10,0))))</f>
        <v>60</v>
      </c>
      <c r="J46" s="44" t="str">
        <f>IF(NOT(ISNUMBER('Sheet5-查询核对'!N31)),"",IF('Sheet5-查询核对'!N31=1,"低于"&amp;'Sheet1-指标体系'!$J$4&amp;"万元",IF('Sheet5-查询核对'!N31=0,"无低于"&amp;'Sheet1-指标体系'!$J$4&amp;"万元标识","")))</f>
        <v/>
      </c>
      <c r="K46" s="37" t="str">
        <f>IF(NOT(ISNUMBER('Sheet5-查询核对'!N31)),"",IF('Sheet5-查询核对'!N31=1,'Sheet1-指标体系'!$J$21,IF('Sheet5-查询核对'!N31=0,'Sheet1-指标体系'!$J$18,"")))</f>
        <v/>
      </c>
      <c r="L46" s="37">
        <f>IF(NOT(ISNUMBER(F46)),"",IF(F46&lt;'Sheet1-指标体系'!$J$15,"",IF(F46&lt;'Sheet1-指标体系'!$J$16,'Sheet1-指标体系'!$J$17,'Sheet1-指标体系'!$J$18)))</f>
        <v>100</v>
      </c>
      <c r="M46" s="26">
        <f>IF(ISNUMBER('Sheet4-原始数据'!G31),'Sheet4-原始数据'!G31,"")</f>
        <v>0.3558</v>
      </c>
      <c r="N46" s="26" t="str">
        <f>IF(ISNUMBER('Sheet4-原始数据'!H31),'Sheet4-原始数据'!H31,"")</f>
        <v/>
      </c>
      <c r="O46" s="26">
        <f>IF(ISNUMBER('Sheet5-查询核对'!Q31),'Sheet5-查询核对'!Q31,"")</f>
        <v>0.2739</v>
      </c>
      <c r="P46" s="45" t="str">
        <f>IF(G46&lt;&gt;"入池","",IF(F46&gt;='Sheet1-指标体系'!$J$16,IF(AND(ISNUMBER(M46),ISNUMBER(N46)),IF(AND(1+M46&gt;0,1+N46&gt;=0),((1+N46)^'Sheet1-指标体系'!$J$16/(1+M46))^(1/('Sheet1-指标体系'!$J$16-1))-1,""),""),IF(AND(ISNUMBER(M46),ISNUMBER(O46)),IF(AND(F46&gt;1,1+M46&gt;0,1+O46&gt;=0),((1+O46)^F46/(1+M46))^(1/(F46-1))-1,""),"")))</f>
        <v/>
      </c>
      <c r="Q46" s="37">
        <f t="shared" si="0"/>
        <v>97.22</v>
      </c>
      <c r="R46" s="37" t="str">
        <f t="shared" si="1"/>
        <v/>
      </c>
      <c r="S46" s="37">
        <f>IF(ISNUMBER(Q46),IF(ISNUMBER(R46),ROUND(Q46*'Sheet1-指标体系'!$J$8+R46*'Sheet1-指标体系'!$J$9,2),Q46),"")</f>
        <v>97.22</v>
      </c>
      <c r="T46" s="26">
        <f>IF(ISNUMBER('Sheet4-原始数据'!J31),'Sheet4-原始数据'!J31,"")</f>
        <v>0.7692</v>
      </c>
      <c r="U46" s="26" t="str">
        <f>IF(ISNUMBER('Sheet4-原始数据'!I31),'Sheet4-原始数据'!I31,"")</f>
        <v/>
      </c>
      <c r="V46" s="45" t="str">
        <f>IF(AND(ISNUMBER(T46),ISNUMBER(U46)),(U46*'Sheet1-指标体系'!$J$6-T46*'Sheet1-指标体系'!$J$5)/'Sheet1-指标体系'!$J$7,"")</f>
        <v/>
      </c>
      <c r="W46" s="37">
        <f t="shared" si="2"/>
        <v>76.92</v>
      </c>
      <c r="X46" s="37" t="str">
        <f>IF(G46&lt;&gt;"入池","",IF(ISNUMBER(V46),IF(AND(V46&gt;=0,V46&lt;=1),V46*'Sheet1-指标体系'!$J$18,IF(MAX(0,(F46-'Sheet1-指标体系'!$J$15)*'Sheet1-指标体系'!$J$20)&lt;'Sheet1-指标体系'!$J$19,'Sheet1-指标体系'!$J$18,"")),IF(MAX(0,(F46-'Sheet1-指标体系'!$J$15)*'Sheet1-指标体系'!$J$20)&lt;'Sheet1-指标体系'!$J$19,'Sheet1-指标体系'!$J$18,"")))</f>
        <v/>
      </c>
      <c r="Y46" s="37">
        <f>IF(ISNUMBER(W46),IF(ISNUMBER(X46),ROUND(W46*'Sheet1-指标体系'!$J$8+X46*'Sheet1-指标体系'!$J$9,2),W46),"")</f>
        <v>76.92</v>
      </c>
      <c r="Z46" s="45">
        <f t="shared" si="3"/>
        <v>0.0256434280607428</v>
      </c>
      <c r="AA46" s="26" t="str">
        <f>IF(ISNUMBER('Sheet4-原始数据'!K31),'Sheet4-原始数据'!K31,"")</f>
        <v/>
      </c>
      <c r="AB46" s="45">
        <f t="shared" si="4"/>
        <v>0.0256434280607428</v>
      </c>
      <c r="AC46" s="37">
        <f t="shared" si="5"/>
        <v>40.54</v>
      </c>
      <c r="AD46" s="30">
        <f>IF(ISNUMBER('Sheet4-原始数据'!M31),'Sheet4-原始数据'!M31,"")</f>
        <v>13.8749</v>
      </c>
      <c r="AE46" s="45" t="str">
        <f>IF(AND(ISNUMBER(P46),ISNUMBER(AA46),ISNUMBER(Z46)),IF(AA46&gt;Z46+'Sheet1-指标体系'!$J$11,AA46,""),"")</f>
        <v/>
      </c>
      <c r="AF46" s="37" t="str">
        <f t="shared" si="6"/>
        <v/>
      </c>
      <c r="AG46" s="37">
        <f t="shared" si="7"/>
        <v>64.79</v>
      </c>
      <c r="AH46" s="37" t="str">
        <f t="shared" si="8"/>
        <v/>
      </c>
      <c r="AI46" s="37">
        <f>IF(ISNUMBER(AG46),IF(ISNUMBER(AH46),ROUND(AG46*'Sheet1-指标体系'!$J$8+AH46*'Sheet1-指标体系'!$J$9,2),AG46),"")</f>
        <v>64.79</v>
      </c>
      <c r="AJ46" s="45" t="str">
        <f>IF(NOT(ISNUMBER(F46)),"",IF(F46&gt;='Sheet1-指标体系'!$J$16,IF(ISNUMBER(N46),N46,""),IF(ISNUMBER(O46),O46,"")))</f>
        <v/>
      </c>
      <c r="AK46" s="37" t="str">
        <f>IF(AND(G46="入池",ISNUMBER(M46),ISNUMBER(AJ46)),IF(M46&gt;=AJ46,'Sheet1-指标体系'!$J$18,IF(AJ46-M46&lt;'Sheet1-指标体系'!$J$10,'Sheet1-指标体系'!$J$22,'Sheet1-指标体系'!$J$23)),"")</f>
        <v/>
      </c>
      <c r="AL46" s="37">
        <f>IF((IF(ISNUMBER(I46),'Sheet1-指标体系'!$G$4,0)+IF(ISNUMBER(K46),'Sheet1-指标体系'!$G$5,0)+IF(ISNUMBER(L46),'Sheet1-指标体系'!$G$6,0))&gt;0,ROUND((IF(ISNUMBER(I46),I46*'Sheet1-指标体系'!$G$4,0)+IF(ISNUMBER(K46),K46*'Sheet1-指标体系'!$G$5,0)+IF(ISNUMBER(L46),L46*'Sheet1-指标体系'!$G$6,0))/(IF(ISNUMBER(I46),'Sheet1-指标体系'!$G$4,0)+IF(ISNUMBER(K46),'Sheet1-指标体系'!$G$5,0)+IF(ISNUMBER(L46),'Sheet1-指标体系'!$G$6,0)),2),"")</f>
        <v>77.14</v>
      </c>
      <c r="AM46" s="37">
        <f t="shared" si="9"/>
        <v>91.13</v>
      </c>
      <c r="AN46" s="37">
        <f t="shared" si="10"/>
        <v>40.54</v>
      </c>
      <c r="AO46" s="37">
        <f t="shared" si="11"/>
        <v>64.79</v>
      </c>
      <c r="AP46" s="37" t="str">
        <f t="shared" si="12"/>
        <v/>
      </c>
      <c r="AQ46" s="38">
        <f t="shared" si="13"/>
        <v>0.655</v>
      </c>
      <c r="AR46" s="37">
        <f t="shared" si="14"/>
        <v>40.8328</v>
      </c>
      <c r="AS46" s="37">
        <f t="shared" si="15"/>
        <v>62.34</v>
      </c>
      <c r="AT46" s="40">
        <f>IF(OR(G46&lt;&gt;"入池",NOT(ISNUMBER(AS46))),"",COUNTIFS($G$17:$G$99,"入池",$AS$17:$AS$99,"&gt;"&amp;AS46)+COUNTIFS($G$17:$G$99,"入池",$AS$17:$AS$99,AS46,$AQ$17:$AQ$99,"&gt;"&amp;AQ46)+COUNTIFS($G$17:G46,"入池",$AS$17:AS46,AS46,$AQ$17:AQ46,AQ46))</f>
        <v>42</v>
      </c>
      <c r="AU46" s="46" t="str">
        <f>IF(NOT(ISNUMBER(I46)),"管理人规模；","")&amp;IF(NOT(ISNUMBER(K46)),"产品规模标识；","")&amp;IF(NOT(ISNUMBER(M46)),"近一年收益；","")&amp;IF(NOT(ISNUMBER(T46)),"近一年胜率；","")&amp;IF(NOT(ISNUMBER(N46)),"近三年收益；","")&amp;IF(NOT(ISNUMBER(U46)),"近三年胜率；","")&amp;IF(NOT(ISNUMBER(AA46)),"近三年回撤；","")&amp;IF(NOT(ISNUMBER(AD46)),"近一年卡玛；","")&amp;IF(ISNUMBER(F46),IF(AND(F46&lt;'Sheet1-指标体系'!$J$16,NOT(ISNUMBER(O46))),"成立以来年化；",""),"成立日期；")&amp;IF(ISNUMBER(V46),IF(OR(V46&lt;0,V46&gt;1),"胜率窗口口径不一致；",""),"")&amp;IF(ISNUMBER(P46),IF(NOT(ISNUMBER(AE46)),"DD_long不可识别；",""),"")</f>
        <v>产品规模标识；近三年收益；近三年胜率；近三年回撤；</v>
      </c>
      <c r="AV46" s="37" t="str">
        <f>IF(ABS(SUM(CA46:CK46)-'Sheet1-指标体系'!$J$25)&lt;0.0000000001,SUM(BP46:BZ46),"")</f>
        <v/>
      </c>
      <c r="AW46" s="36" t="str">
        <f>IF(G46&lt;&gt;"入池",G46,IF(AQ46=0,"无有效评分数据",IF(ROUND(AQ46,10)=ROUND('Sheet1-指标体系'!$J$25,10),"完整赋分","暂定分／数据不完整")))</f>
        <v>暂定分／数据不完整</v>
      </c>
      <c r="AX46" s="22" t="str">
        <f>IF('Sheet4-原始数据'!C31="","",'Sheet4-原始数据'!C31)</f>
        <v>套利策略</v>
      </c>
      <c r="AY46" s="22" t="str">
        <f>IF('Sheet4-原始数据'!D31="","",'Sheet4-原始数据'!D31)</f>
        <v>期货套利</v>
      </c>
      <c r="AZ46" s="22" t="str">
        <f>IF('Sheet5-查询核对'!S31="","",'Sheet5-查询核对'!S31)</f>
        <v>套利策略—期货套利</v>
      </c>
      <c r="BA46" s="25">
        <f>IF('Sheet5-查询核对'!A31="","",'Sheet5-查询核对'!A31)</f>
        <v>31</v>
      </c>
      <c r="BB46" s="22" t="str">
        <f>IF('Sheet5-查询核对'!F31="","",'Sheet5-查询核对'!F31)</f>
        <v>备案号匹配</v>
      </c>
      <c r="BC46" s="24" t="str">
        <f>IF('Sheet5-查询核对'!I31="","",'Sheet5-查询核对'!I31)</f>
        <v>https://mp.fof99.com/fund/view/62a3dc6ac3c3204d</v>
      </c>
      <c r="BD46" s="23">
        <f>IF('Sheet5-查询核对'!H31="","",'Sheet5-查询核对'!H31)</f>
        <v>46269</v>
      </c>
      <c r="BE46" s="24" t="str">
        <f>IF('Sheet5-查询核对'!L31="","",'Sheet5-查询核对'!L31)</f>
        <v>https://gs.amac.org.cn/amac-infodisc/res/pof/manager/1706231108101144.html</v>
      </c>
      <c r="BF46" s="23">
        <f>IF('Sheet5-查询核对'!M31="","",'Sheet5-查询核对'!M31)</f>
        <v>46276</v>
      </c>
      <c r="BG46" s="24" t="str">
        <f>IF('Sheet5-查询核对'!O31="","",'Sheet5-查询核对'!O31)</f>
        <v>743</v>
      </c>
      <c r="BH46" s="23" t="str">
        <f>IF('Sheet5-查询核对'!P31="","",'Sheet5-查询核对'!P31)</f>
        <v/>
      </c>
      <c r="BI46" s="22" t="str">
        <f>IF('Sheet5-查询核对'!D31="","",'Sheet5-查询核对'!D31)</f>
        <v>LM995B</v>
      </c>
      <c r="BJ46">
        <f>IF(ISNUMBER(AT46),AT46,COUNT($AT$17:$AT$99)+ROWS($AT$17:AT46)-COUNT($AT$17:AT46))</f>
        <v>42</v>
      </c>
      <c r="BK46" s="2">
        <f t="shared" si="16"/>
        <v>1</v>
      </c>
      <c r="BL46" s="2">
        <f t="shared" si="17"/>
        <v>0</v>
      </c>
      <c r="BM46" s="2">
        <f t="shared" si="18"/>
        <v>1</v>
      </c>
      <c r="BN46" s="2">
        <f t="shared" si="19"/>
        <v>1</v>
      </c>
      <c r="BO46" s="2">
        <f t="shared" si="20"/>
        <v>0</v>
      </c>
      <c r="BP46" s="48">
        <f>IF(G46="入池",IF(ISNUMBER(I46),I46*('Sheet1-指标体系'!$G$4),0),0)</f>
        <v>3.6</v>
      </c>
      <c r="BQ46" s="48">
        <f>IF(G46="入池",IF(ISNUMBER(K46),K46*('Sheet1-指标体系'!$G$5),0),0)</f>
        <v>0</v>
      </c>
      <c r="BR46" s="48">
        <f>IF(G46="入池",IF(ISNUMBER(L46),L46*('Sheet1-指标体系'!$G$6),0),0)</f>
        <v>4.5</v>
      </c>
      <c r="BS46" s="48">
        <f>IF(G46="入池",IF(ISNUMBER(Q46),Q46*('Sheet1-指标体系'!$G$7*'Sheet1-指标体系'!$J$8),0),0)</f>
        <v>8.16648</v>
      </c>
      <c r="BT46" s="48">
        <f>IF(G46="入池",IF(ISNUMBER(R46),R46*('Sheet1-指标体系'!$G$7*'Sheet1-指标体系'!$J$9),0),0)</f>
        <v>0</v>
      </c>
      <c r="BU46" s="48">
        <f>IF(G46="入池",IF(ISNUMBER(W46),W46*('Sheet1-指标体系'!$G$8*'Sheet1-指标体系'!$J$8),0),0)</f>
        <v>2.76912</v>
      </c>
      <c r="BV46" s="48">
        <f>IF(G46="入池",IF(ISNUMBER(X46),X46*('Sheet1-指标体系'!$G$8*'Sheet1-指标体系'!$J$9),0),0)</f>
        <v>0</v>
      </c>
      <c r="BW46" s="48">
        <f>IF(G46="入池",IF(ISNUMBER(AC46),AC46*('Sheet1-指标体系'!$G$9),0),0)</f>
        <v>10.135</v>
      </c>
      <c r="BX46" s="48">
        <f>IF(G46="入池",IF(ISNUMBER(AG46),AG46*('Sheet1-指标体系'!$G$10*'Sheet1-指标体系'!$J$8),0),0)</f>
        <v>11.6622</v>
      </c>
      <c r="BY46" s="48">
        <f>IF(G46="入池",IF(ISNUMBER(AH46),AH46*('Sheet1-指标体系'!$G$10*'Sheet1-指标体系'!$J$9),0),0)</f>
        <v>0</v>
      </c>
      <c r="BZ46" s="48">
        <f>IF(G46="入池",IF(ISNUMBER(AK46),AK46*('Sheet1-指标体系'!$G$11),0),0)</f>
        <v>0</v>
      </c>
      <c r="CA46" s="49">
        <f>IF(G46="入池",IF(ISNUMBER(I46),'Sheet1-指标体系'!$G$4,0),0)</f>
        <v>0.06</v>
      </c>
      <c r="CB46" s="49">
        <f>IF(G46="入池",IF(ISNUMBER(K46),'Sheet1-指标体系'!$G$5,0),0)</f>
        <v>0</v>
      </c>
      <c r="CC46" s="49">
        <f>IF(G46="入池",IF(ISNUMBER(L46),'Sheet1-指标体系'!$G$6,0),0)</f>
        <v>0.045</v>
      </c>
      <c r="CD46" s="49">
        <f>IF(G46="入池",IF(ISNUMBER(Q46),'Sheet1-指标体系'!$G$7*'Sheet1-指标体系'!$J$8,0),0)</f>
        <v>0.084</v>
      </c>
      <c r="CE46" s="49">
        <f>IF(G46="入池",IF(ISNUMBER(R46),'Sheet1-指标体系'!$G$7*'Sheet1-指标体系'!$J$9,0),0)</f>
        <v>0</v>
      </c>
      <c r="CF46" s="49">
        <f>IF(G46="入池",IF(ISNUMBER(W46),'Sheet1-指标体系'!$G$8*'Sheet1-指标体系'!$J$8,0),0)</f>
        <v>0.036</v>
      </c>
      <c r="CG46" s="49">
        <f>IF(G46="入池",IF(ISNUMBER(X46),'Sheet1-指标体系'!$G$8*'Sheet1-指标体系'!$J$9,0),0)</f>
        <v>0</v>
      </c>
      <c r="CH46" s="49">
        <f>IF(G46="入池",IF(ISNUMBER(AC46),'Sheet1-指标体系'!$G$9,0),0)</f>
        <v>0.25</v>
      </c>
      <c r="CI46" s="49">
        <f>IF(G46="入池",IF(ISNUMBER(AG46),'Sheet1-指标体系'!$G$10*'Sheet1-指标体系'!$J$8,0),0)</f>
        <v>0.18</v>
      </c>
      <c r="CJ46" s="49">
        <f>IF(G46="入池",IF(ISNUMBER(AH46),'Sheet1-指标体系'!$G$10*'Sheet1-指标体系'!$J$9,0),0)</f>
        <v>0</v>
      </c>
      <c r="CK46" s="49">
        <f>IF(G46="入池",IF(ISNUMBER(AK46),'Sheet1-指标体系'!$G$11,0),0)</f>
        <v>0</v>
      </c>
    </row>
    <row r="47" ht="44" customHeight="1" spans="1:89">
      <c r="A47" s="40">
        <f>'Sheet5-查询核对'!A32-1</f>
        <v>31</v>
      </c>
      <c r="B47" s="24" t="str">
        <f>IF('Sheet4-原始数据'!A32="",'Sheet5-查询核对'!B32,'Sheet4-原始数据'!A32)</f>
        <v>钧誉厚德量化对冲11号</v>
      </c>
      <c r="C47" s="22" t="str">
        <f>IF('Sheet4-原始数据'!B32="","",'Sheet4-原始数据'!B32)</f>
        <v>SQN453</v>
      </c>
      <c r="D47" s="22" t="str">
        <f>IF('Sheet4-原始数据'!E32="","",'Sheet4-原始数据'!E32)</f>
        <v>珠海钧誉资管</v>
      </c>
      <c r="E47" s="23">
        <f>IF('Sheet4-原始数据'!F32="","",'Sheet4-原始数据'!F32)</f>
        <v>44323</v>
      </c>
      <c r="F47" s="37">
        <f>IF(ISNUMBER(E47),ROUND(('Sheet1-指标体系'!$J$12-E47)/'Sheet1-指标体系'!$J$14,4),"")</f>
        <v>5.3443</v>
      </c>
      <c r="G47" s="36" t="str">
        <f>IF(C47="","未匹配",IF(NOT(ISNUMBER(F47)),"缺成立日期",IF(F47&lt;'Sheet1-指标体系'!$J$15,"不入池","入池")))</f>
        <v>入池</v>
      </c>
      <c r="H47" s="22" t="str">
        <f>IF('Sheet5-查询核对'!K32="","",'Sheet5-查询核对'!K32)</f>
        <v>0-5亿元</v>
      </c>
      <c r="I47" s="37">
        <f>IF(H47="","",IF(COUNTIF('Sheet1-指标体系'!$P$4:$P$10,H47)=0,"",INDEX('Sheet1-指标体系'!$Q$4:$Q$10,MATCH(H47,'Sheet1-指标体系'!$P$4:$P$10,0))))</f>
        <v>60</v>
      </c>
      <c r="J47" s="44" t="str">
        <f>IF(NOT(ISNUMBER('Sheet5-查询核对'!N32)),"",IF('Sheet5-查询核对'!N32=1,"低于"&amp;'Sheet1-指标体系'!$J$4&amp;"万元",IF('Sheet5-查询核对'!N32=0,"无低于"&amp;'Sheet1-指标体系'!$J$4&amp;"万元标识","")))</f>
        <v>无低于1000万元标识</v>
      </c>
      <c r="K47" s="37">
        <f>IF(NOT(ISNUMBER('Sheet5-查询核对'!N32)),"",IF('Sheet5-查询核对'!N32=1,'Sheet1-指标体系'!$J$21,IF('Sheet5-查询核对'!N32=0,'Sheet1-指标体系'!$J$18,"")))</f>
        <v>100</v>
      </c>
      <c r="L47" s="37">
        <f>IF(NOT(ISNUMBER(F47)),"",IF(F47&lt;'Sheet1-指标体系'!$J$15,"",IF(F47&lt;'Sheet1-指标体系'!$J$16,'Sheet1-指标体系'!$J$17,'Sheet1-指标体系'!$J$18)))</f>
        <v>100</v>
      </c>
      <c r="M47" s="26">
        <f>IF(ISNUMBER('Sheet4-原始数据'!G32),'Sheet4-原始数据'!G32,"")</f>
        <v>0.109031152301643</v>
      </c>
      <c r="N47" s="26">
        <f>IF(ISNUMBER('Sheet4-原始数据'!H32),'Sheet4-原始数据'!H32,"")</f>
        <v>0.0803812845919136</v>
      </c>
      <c r="O47" s="26">
        <f>IF(ISNUMBER('Sheet5-查询核对'!Q32),'Sheet5-查询核对'!Q32,"")</f>
        <v>0.0898549556576955</v>
      </c>
      <c r="P47" s="45">
        <f>IF(G47&lt;&gt;"入池","",IF(F47&gt;='Sheet1-指标体系'!$J$16,IF(AND(ISNUMBER(M47),ISNUMBER(N47)),IF(AND(1+M47&gt;0,1+N47&gt;=0),((1+N47)^'Sheet1-指标体系'!$J$16/(1+M47))^(1/('Sheet1-指标体系'!$J$16-1))-1,""),""),IF(AND(ISNUMBER(M47),ISNUMBER(O47)),IF(AND(F47&gt;1,1+M47&gt;0,1+O47&gt;=0),((1+O47)^F47/(1+M47))^(1/(F47-1))-1,""),"")))</f>
        <v>0.0663351020331149</v>
      </c>
      <c r="Q47" s="37">
        <f t="shared" si="0"/>
        <v>63.89</v>
      </c>
      <c r="R47" s="37">
        <f t="shared" si="1"/>
        <v>40.91</v>
      </c>
      <c r="S47" s="37">
        <f>IF(ISNUMBER(Q47),IF(ISNUMBER(R47),ROUND(Q47*'Sheet1-指标体系'!$J$8+R47*'Sheet1-指标体系'!$J$9,2),Q47),"")</f>
        <v>54.7</v>
      </c>
      <c r="T47" s="26" t="str">
        <f>IF(ISNUMBER('Sheet4-原始数据'!J32),'Sheet4-原始数据'!J32,"")</f>
        <v/>
      </c>
      <c r="U47" s="26" t="str">
        <f>IF(ISNUMBER('Sheet4-原始数据'!I32),'Sheet4-原始数据'!I32,"")</f>
        <v/>
      </c>
      <c r="V47" s="45" t="str">
        <f>IF(AND(ISNUMBER(T47),ISNUMBER(U47)),(U47*'Sheet1-指标体系'!$J$6-T47*'Sheet1-指标体系'!$J$5)/'Sheet1-指标体系'!$J$7,"")</f>
        <v/>
      </c>
      <c r="W47" s="37" t="str">
        <f t="shared" si="2"/>
        <v/>
      </c>
      <c r="X47" s="37" t="str">
        <f>IF(G47&lt;&gt;"入池","",IF(ISNUMBER(V47),IF(AND(V47&gt;=0,V47&lt;=1),V47*'Sheet1-指标体系'!$J$18,IF(MAX(0,(F47-'Sheet1-指标体系'!$J$15)*'Sheet1-指标体系'!$J$20)&lt;'Sheet1-指标体系'!$J$19,'Sheet1-指标体系'!$J$18,"")),IF(MAX(0,(F47-'Sheet1-指标体系'!$J$15)*'Sheet1-指标体系'!$J$20)&lt;'Sheet1-指标体系'!$J$19,'Sheet1-指标体系'!$J$18,"")))</f>
        <v/>
      </c>
      <c r="Y47" s="37" t="str">
        <f>IF(ISNUMBER(W47),IF(ISNUMBER(X47),ROUND(W47*'Sheet1-指标体系'!$J$8+X47*'Sheet1-指标体系'!$J$9,2),W47),"")</f>
        <v/>
      </c>
      <c r="Z47" s="45">
        <f t="shared" si="3"/>
        <v>0.00826733361122689</v>
      </c>
      <c r="AA47" s="26">
        <f>IF(ISNUMBER('Sheet4-原始数据'!K32),'Sheet4-原始数据'!K32,"")</f>
        <v>0.00826733361122689</v>
      </c>
      <c r="AB47" s="45">
        <f t="shared" si="4"/>
        <v>0.00826733361122689</v>
      </c>
      <c r="AC47" s="37">
        <f t="shared" si="5"/>
        <v>77.03</v>
      </c>
      <c r="AD47" s="30">
        <f>IF(ISNUMBER('Sheet4-原始数据'!M32),'Sheet4-原始数据'!M32,"")</f>
        <v>13.1881882876458</v>
      </c>
      <c r="AE47" s="45" t="str">
        <f>IF(AND(ISNUMBER(P47),ISNUMBER(AA47),ISNUMBER(Z47)),IF(AA47&gt;Z47+'Sheet1-指标体系'!$J$11,AA47,""),"")</f>
        <v/>
      </c>
      <c r="AF47" s="37" t="str">
        <f t="shared" si="6"/>
        <v/>
      </c>
      <c r="AG47" s="37">
        <f t="shared" si="7"/>
        <v>63.38</v>
      </c>
      <c r="AH47" s="37" t="str">
        <f t="shared" si="8"/>
        <v/>
      </c>
      <c r="AI47" s="37">
        <f>IF(ISNUMBER(AG47),IF(ISNUMBER(AH47),ROUND(AG47*'Sheet1-指标体系'!$J$8+AH47*'Sheet1-指标体系'!$J$9,2),AG47),"")</f>
        <v>63.38</v>
      </c>
      <c r="AJ47" s="45">
        <f>IF(NOT(ISNUMBER(F47)),"",IF(F47&gt;='Sheet1-指标体系'!$J$16,IF(ISNUMBER(N47),N47,""),IF(ISNUMBER(O47),O47,"")))</f>
        <v>0.0803812845919136</v>
      </c>
      <c r="AK47" s="37">
        <f>IF(AND(G47="入池",ISNUMBER(M47),ISNUMBER(AJ47)),IF(M47&gt;=AJ47,'Sheet1-指标体系'!$J$18,IF(AJ47-M47&lt;'Sheet1-指标体系'!$J$10,'Sheet1-指标体系'!$J$22,'Sheet1-指标体系'!$J$23)),"")</f>
        <v>100</v>
      </c>
      <c r="AL47" s="37">
        <f>IF((IF(ISNUMBER(I47),'Sheet1-指标体系'!$G$4,0)+IF(ISNUMBER(K47),'Sheet1-指标体系'!$G$5,0)+IF(ISNUMBER(L47),'Sheet1-指标体系'!$G$6,0))&gt;0,ROUND((IF(ISNUMBER(I47),I47*'Sheet1-指标体系'!$G$4,0)+IF(ISNUMBER(K47),K47*'Sheet1-指标体系'!$G$5,0)+IF(ISNUMBER(L47),L47*'Sheet1-指标体系'!$G$6,0))/(IF(ISNUMBER(I47),'Sheet1-指标体系'!$G$4,0)+IF(ISNUMBER(K47),'Sheet1-指标体系'!$G$5,0)+IF(ISNUMBER(L47),'Sheet1-指标体系'!$G$6,0)),2),"")</f>
        <v>84</v>
      </c>
      <c r="AM47" s="37">
        <f t="shared" si="9"/>
        <v>54.7</v>
      </c>
      <c r="AN47" s="37">
        <f t="shared" si="10"/>
        <v>77.03</v>
      </c>
      <c r="AO47" s="37">
        <f t="shared" si="11"/>
        <v>63.38</v>
      </c>
      <c r="AP47" s="37">
        <f t="shared" si="12"/>
        <v>100</v>
      </c>
      <c r="AQ47" s="38">
        <f t="shared" si="13"/>
        <v>0.82</v>
      </c>
      <c r="AR47" s="37">
        <f t="shared" si="14"/>
        <v>60.92362</v>
      </c>
      <c r="AS47" s="37">
        <f t="shared" si="15"/>
        <v>74.3</v>
      </c>
      <c r="AT47" s="40">
        <f>IF(OR(G47&lt;&gt;"入池",NOT(ISNUMBER(AS47))),"",COUNTIFS($G$17:$G$99,"入池",$AS$17:$AS$99,"&gt;"&amp;AS47)+COUNTIFS($G$17:$G$99,"入池",$AS$17:$AS$99,AS47,$AQ$17:$AQ$99,"&gt;"&amp;AQ47)+COUNTIFS($G$17:G47,"入池",$AS$17:AS47,AS47,$AQ$17:AQ47,AQ47))</f>
        <v>23</v>
      </c>
      <c r="AU47" s="46" t="str">
        <f>IF(NOT(ISNUMBER(I47)),"管理人规模；","")&amp;IF(NOT(ISNUMBER(K47)),"产品规模标识；","")&amp;IF(NOT(ISNUMBER(M47)),"近一年收益；","")&amp;IF(NOT(ISNUMBER(T47)),"近一年胜率；","")&amp;IF(NOT(ISNUMBER(N47)),"近三年收益；","")&amp;IF(NOT(ISNUMBER(U47)),"近三年胜率；","")&amp;IF(NOT(ISNUMBER(AA47)),"近三年回撤；","")&amp;IF(NOT(ISNUMBER(AD47)),"近一年卡玛；","")&amp;IF(ISNUMBER(F47),IF(AND(F47&lt;'Sheet1-指标体系'!$J$16,NOT(ISNUMBER(O47))),"成立以来年化；",""),"成立日期；")&amp;IF(ISNUMBER(V47),IF(OR(V47&lt;0,V47&gt;1),"胜率窗口口径不一致；",""),"")&amp;IF(ISNUMBER(P47),IF(NOT(ISNUMBER(AE47)),"DD_long不可识别；",""),"")</f>
        <v>近一年胜率；近三年胜率；DD_long不可识别；</v>
      </c>
      <c r="AV47" s="37" t="str">
        <f>IF(ABS(SUM(CA47:CK47)-'Sheet1-指标体系'!$J$25)&lt;0.0000000001,SUM(BP47:BZ47),"")</f>
        <v/>
      </c>
      <c r="AW47" s="36" t="str">
        <f>IF(G47&lt;&gt;"入池",G47,IF(AQ47=0,"无有效评分数据",IF(ROUND(AQ47,10)=ROUND('Sheet1-指标体系'!$J$25,10),"完整赋分","暂定分／数据不完整")))</f>
        <v>暂定分／数据不完整</v>
      </c>
      <c r="AX47" s="22" t="str">
        <f>IF('Sheet4-原始数据'!C32="","",'Sheet4-原始数据'!C32)</f>
        <v>套利策略</v>
      </c>
      <c r="AY47" s="22" t="str">
        <f>IF('Sheet4-原始数据'!D32="","",'Sheet4-原始数据'!D32)</f>
        <v>期货套利</v>
      </c>
      <c r="AZ47" s="22" t="str">
        <f>IF('Sheet5-查询核对'!S32="","",'Sheet5-查询核对'!S32)</f>
        <v>套利策略—期货套利</v>
      </c>
      <c r="BA47" s="25">
        <f>IF('Sheet5-查询核对'!A32="","",'Sheet5-查询核对'!A32)</f>
        <v>32</v>
      </c>
      <c r="BB47" s="22" t="str">
        <f>IF('Sheet5-查询核对'!F32="","",'Sheet5-查询核对'!F32)</f>
        <v>备案号匹配</v>
      </c>
      <c r="BC47" s="24" t="str">
        <f>IF('Sheet5-查询核对'!I32="","",'Sheet5-查询核对'!I32)</f>
        <v>https://mp.fof99.com/fund/view/8e3ad7d155f41bc3</v>
      </c>
      <c r="BD47" s="23">
        <f>IF('Sheet5-查询核对'!H32="","",'Sheet5-查询核对'!H32)</f>
        <v>46269</v>
      </c>
      <c r="BE47" s="24" t="str">
        <f>IF('Sheet5-查询核对'!L32="","",'Sheet5-查询核对'!L32)</f>
        <v>https://gs.amac.org.cn/amac-infodisc/res/pof/manager/1801241613109731.html</v>
      </c>
      <c r="BF47" s="23">
        <f>IF('Sheet5-查询核对'!M32="","",'Sheet5-查询核对'!M32)</f>
        <v>46276</v>
      </c>
      <c r="BG47" s="24" t="str">
        <f>IF('Sheet5-查询核对'!O32="","",'Sheet5-查询核对'!O32)</f>
        <v>https://gs.amac.org.cn/amac-infodisc/res/pof/fund/2105111737102298.html</v>
      </c>
      <c r="BH47" s="23">
        <f>IF('Sheet5-查询核对'!P32="","",'Sheet5-查询核对'!P32)</f>
        <v>46276</v>
      </c>
      <c r="BI47" s="22" t="str">
        <f>IF('Sheet5-查询核对'!D32="","",'Sheet5-查询核对'!D32)</f>
        <v>SQN453</v>
      </c>
      <c r="BJ47">
        <f>IF(ISNUMBER(AT47),AT47,COUNT($AT$17:$AT$99)+ROWS($AT$17:AT47)-COUNT($AT$17:AT47))</f>
        <v>23</v>
      </c>
      <c r="BK47" s="2">
        <f t="shared" si="16"/>
        <v>1</v>
      </c>
      <c r="BL47" s="2">
        <f t="shared" si="17"/>
        <v>1</v>
      </c>
      <c r="BM47" s="2">
        <f t="shared" si="18"/>
        <v>1</v>
      </c>
      <c r="BN47" s="2">
        <f t="shared" si="19"/>
        <v>1</v>
      </c>
      <c r="BO47" s="2">
        <f t="shared" si="20"/>
        <v>0</v>
      </c>
      <c r="BP47" s="48">
        <f>IF(G47="入池",IF(ISNUMBER(I47),I47*('Sheet1-指标体系'!$G$4),0),0)</f>
        <v>3.6</v>
      </c>
      <c r="BQ47" s="48">
        <f>IF(G47="入池",IF(ISNUMBER(K47),K47*('Sheet1-指标体系'!$G$5),0),0)</f>
        <v>4.5</v>
      </c>
      <c r="BR47" s="48">
        <f>IF(G47="入池",IF(ISNUMBER(L47),L47*('Sheet1-指标体系'!$G$6),0),0)</f>
        <v>4.5</v>
      </c>
      <c r="BS47" s="48">
        <f>IF(G47="入池",IF(ISNUMBER(Q47),Q47*('Sheet1-指标体系'!$G$7*'Sheet1-指标体系'!$J$8),0),0)</f>
        <v>5.36676</v>
      </c>
      <c r="BT47" s="48">
        <f>IF(G47="入池",IF(ISNUMBER(R47),R47*('Sheet1-指标体系'!$G$7*'Sheet1-指标体系'!$J$9),0),0)</f>
        <v>2.29096</v>
      </c>
      <c r="BU47" s="48">
        <f>IF(G47="入池",IF(ISNUMBER(W47),W47*('Sheet1-指标体系'!$G$8*'Sheet1-指标体系'!$J$8),0),0)</f>
        <v>0</v>
      </c>
      <c r="BV47" s="48">
        <f>IF(G47="入池",IF(ISNUMBER(X47),X47*('Sheet1-指标体系'!$G$8*'Sheet1-指标体系'!$J$9),0),0)</f>
        <v>0</v>
      </c>
      <c r="BW47" s="48">
        <f>IF(G47="入池",IF(ISNUMBER(AC47),AC47*('Sheet1-指标体系'!$G$9),0),0)</f>
        <v>19.2575</v>
      </c>
      <c r="BX47" s="48">
        <f>IF(G47="入池",IF(ISNUMBER(AG47),AG47*('Sheet1-指标体系'!$G$10*'Sheet1-指标体系'!$J$8),0),0)</f>
        <v>11.4084</v>
      </c>
      <c r="BY47" s="48">
        <f>IF(G47="入池",IF(ISNUMBER(AH47),AH47*('Sheet1-指标体系'!$G$10*'Sheet1-指标体系'!$J$9),0),0)</f>
        <v>0</v>
      </c>
      <c r="BZ47" s="48">
        <f>IF(G47="入池",IF(ISNUMBER(AK47),AK47*('Sheet1-指标体系'!$G$11),0),0)</f>
        <v>10</v>
      </c>
      <c r="CA47" s="49">
        <f>IF(G47="入池",IF(ISNUMBER(I47),'Sheet1-指标体系'!$G$4,0),0)</f>
        <v>0.06</v>
      </c>
      <c r="CB47" s="49">
        <f>IF(G47="入池",IF(ISNUMBER(K47),'Sheet1-指标体系'!$G$5,0),0)</f>
        <v>0.045</v>
      </c>
      <c r="CC47" s="49">
        <f>IF(G47="入池",IF(ISNUMBER(L47),'Sheet1-指标体系'!$G$6,0),0)</f>
        <v>0.045</v>
      </c>
      <c r="CD47" s="49">
        <f>IF(G47="入池",IF(ISNUMBER(Q47),'Sheet1-指标体系'!$G$7*'Sheet1-指标体系'!$J$8,0),0)</f>
        <v>0.084</v>
      </c>
      <c r="CE47" s="49">
        <f>IF(G47="入池",IF(ISNUMBER(R47),'Sheet1-指标体系'!$G$7*'Sheet1-指标体系'!$J$9,0),0)</f>
        <v>0.056</v>
      </c>
      <c r="CF47" s="49">
        <f>IF(G47="入池",IF(ISNUMBER(W47),'Sheet1-指标体系'!$G$8*'Sheet1-指标体系'!$J$8,0),0)</f>
        <v>0</v>
      </c>
      <c r="CG47" s="49">
        <f>IF(G47="入池",IF(ISNUMBER(X47),'Sheet1-指标体系'!$G$8*'Sheet1-指标体系'!$J$9,0),0)</f>
        <v>0</v>
      </c>
      <c r="CH47" s="49">
        <f>IF(G47="入池",IF(ISNUMBER(AC47),'Sheet1-指标体系'!$G$9,0),0)</f>
        <v>0.25</v>
      </c>
      <c r="CI47" s="49">
        <f>IF(G47="入池",IF(ISNUMBER(AG47),'Sheet1-指标体系'!$G$10*'Sheet1-指标体系'!$J$8,0),0)</f>
        <v>0.18</v>
      </c>
      <c r="CJ47" s="49">
        <f>IF(G47="入池",IF(ISNUMBER(AH47),'Sheet1-指标体系'!$G$10*'Sheet1-指标体系'!$J$9,0),0)</f>
        <v>0</v>
      </c>
      <c r="CK47" s="49">
        <f>IF(G47="入池",IF(ISNUMBER(AK47),'Sheet1-指标体系'!$G$11,0),0)</f>
        <v>0.1</v>
      </c>
    </row>
    <row r="48" ht="44" customHeight="1" spans="1:89">
      <c r="A48" s="40">
        <f>'Sheet5-查询核对'!A33-1</f>
        <v>32</v>
      </c>
      <c r="B48" s="24" t="str">
        <f>IF('Sheet4-原始数据'!A33="",'Sheet5-查询核对'!B33,'Sheet4-原始数据'!A33)</f>
        <v>澜胜稳赋套利1号</v>
      </c>
      <c r="C48" s="22" t="str">
        <f>IF('Sheet4-原始数据'!B33="","",'Sheet4-原始数据'!B33)</f>
        <v>SBPY84</v>
      </c>
      <c r="D48" s="22" t="str">
        <f>IF('Sheet4-原始数据'!E33="","",'Sheet4-原始数据'!E33)</f>
        <v>上海澜胜</v>
      </c>
      <c r="E48" s="23">
        <f>IF('Sheet4-原始数据'!F33="","",'Sheet4-原始数据'!F33)</f>
        <v>46049</v>
      </c>
      <c r="F48" s="37">
        <f>IF(ISNUMBER(E48),ROUND(('Sheet1-指标体系'!$J$12-E48)/'Sheet1-指标体系'!$J$14,4),"")</f>
        <v>0.6188</v>
      </c>
      <c r="G48" s="36" t="str">
        <f>IF(C48="","未匹配",IF(NOT(ISNUMBER(F48)),"缺成立日期",IF(F48&lt;'Sheet1-指标体系'!$J$15,"不入池","入池")))</f>
        <v>不入池</v>
      </c>
      <c r="H48" s="22" t="str">
        <f>IF('Sheet5-查询核对'!K33="","",'Sheet5-查询核对'!K33)</f>
        <v>0-5亿元</v>
      </c>
      <c r="I48" s="37">
        <f>IF(H48="","",IF(COUNTIF('Sheet1-指标体系'!$P$4:$P$10,H48)=0,"",INDEX('Sheet1-指标体系'!$Q$4:$Q$10,MATCH(H48,'Sheet1-指标体系'!$P$4:$P$10,0))))</f>
        <v>60</v>
      </c>
      <c r="J48" s="44" t="str">
        <f>IF(NOT(ISNUMBER('Sheet5-查询核对'!N33)),"",IF('Sheet5-查询核对'!N33=1,"低于"&amp;'Sheet1-指标体系'!$J$4&amp;"万元",IF('Sheet5-查询核对'!N33=0,"无低于"&amp;'Sheet1-指标体系'!$J$4&amp;"万元标识","")))</f>
        <v>无低于1000万元标识</v>
      </c>
      <c r="K48" s="37">
        <f>IF(NOT(ISNUMBER('Sheet5-查询核对'!N33)),"",IF('Sheet5-查询核对'!N33=1,'Sheet1-指标体系'!$J$21,IF('Sheet5-查询核对'!N33=0,'Sheet1-指标体系'!$J$18,"")))</f>
        <v>100</v>
      </c>
      <c r="L48" s="37" t="str">
        <f>IF(NOT(ISNUMBER(F48)),"",IF(F48&lt;'Sheet1-指标体系'!$J$15,"",IF(F48&lt;'Sheet1-指标体系'!$J$16,'Sheet1-指标体系'!$J$17,'Sheet1-指标体系'!$J$18)))</f>
        <v/>
      </c>
      <c r="M48" s="26" t="str">
        <f>IF(ISNUMBER('Sheet4-原始数据'!G33),'Sheet4-原始数据'!G33,"")</f>
        <v/>
      </c>
      <c r="N48" s="26" t="str">
        <f>IF(ISNUMBER('Sheet4-原始数据'!H33),'Sheet4-原始数据'!H33,"")</f>
        <v/>
      </c>
      <c r="O48" s="26">
        <f>IF(ISNUMBER('Sheet5-查询核对'!Q33),'Sheet5-查询核对'!Q33,"")</f>
        <v>0.137766765771663</v>
      </c>
      <c r="P48" s="45" t="str">
        <f>IF(G48&lt;&gt;"入池","",IF(F48&gt;='Sheet1-指标体系'!$J$16,IF(AND(ISNUMBER(M48),ISNUMBER(N48)),IF(AND(1+M48&gt;0,1+N48&gt;=0),((1+N48)^'Sheet1-指标体系'!$J$16/(1+M48))^(1/('Sheet1-指标体系'!$J$16-1))-1,""),""),IF(AND(ISNUMBER(M48),ISNUMBER(O48)),IF(AND(F48&gt;1,1+M48&gt;0,1+O48&gt;=0),((1+O48)^F48/(1+M48))^(1/(F48-1))-1,""),"")))</f>
        <v/>
      </c>
      <c r="Q48" s="37" t="str">
        <f t="shared" si="0"/>
        <v/>
      </c>
      <c r="R48" s="37" t="str">
        <f t="shared" si="1"/>
        <v/>
      </c>
      <c r="S48" s="37" t="str">
        <f>IF(ISNUMBER(Q48),IF(ISNUMBER(R48),ROUND(Q48*'Sheet1-指标体系'!$J$8+R48*'Sheet1-指标体系'!$J$9,2),Q48),"")</f>
        <v/>
      </c>
      <c r="T48" s="26" t="str">
        <f>IF(ISNUMBER('Sheet4-原始数据'!J33),'Sheet4-原始数据'!J33,"")</f>
        <v/>
      </c>
      <c r="U48" s="26" t="str">
        <f>IF(ISNUMBER('Sheet4-原始数据'!I33),'Sheet4-原始数据'!I33,"")</f>
        <v/>
      </c>
      <c r="V48" s="45" t="str">
        <f>IF(AND(ISNUMBER(T48),ISNUMBER(U48)),(U48*'Sheet1-指标体系'!$J$6-T48*'Sheet1-指标体系'!$J$5)/'Sheet1-指标体系'!$J$7,"")</f>
        <v/>
      </c>
      <c r="W48" s="37" t="str">
        <f t="shared" si="2"/>
        <v/>
      </c>
      <c r="X48" s="37" t="str">
        <f>IF(G48&lt;&gt;"入池","",IF(ISNUMBER(V48),IF(AND(V48&gt;=0,V48&lt;=1),V48*'Sheet1-指标体系'!$J$18,IF(MAX(0,(F48-'Sheet1-指标体系'!$J$15)*'Sheet1-指标体系'!$J$20)&lt;'Sheet1-指标体系'!$J$19,'Sheet1-指标体系'!$J$18,"")),IF(MAX(0,(F48-'Sheet1-指标体系'!$J$15)*'Sheet1-指标体系'!$J$20)&lt;'Sheet1-指标体系'!$J$19,'Sheet1-指标体系'!$J$18,"")))</f>
        <v/>
      </c>
      <c r="Y48" s="37" t="str">
        <f>IF(ISNUMBER(W48),IF(ISNUMBER(X48),ROUND(W48*'Sheet1-指标体系'!$J$8+X48*'Sheet1-指标体系'!$J$9,2),W48),"")</f>
        <v/>
      </c>
      <c r="Z48" s="45" t="str">
        <f t="shared" si="3"/>
        <v/>
      </c>
      <c r="AA48" s="26" t="str">
        <f>IF(ISNUMBER('Sheet4-原始数据'!K33),'Sheet4-原始数据'!K33,"")</f>
        <v/>
      </c>
      <c r="AB48" s="45" t="str">
        <f t="shared" si="4"/>
        <v/>
      </c>
      <c r="AC48" s="37" t="str">
        <f t="shared" si="5"/>
        <v/>
      </c>
      <c r="AD48" s="30" t="str">
        <f>IF(ISNUMBER('Sheet4-原始数据'!M33),'Sheet4-原始数据'!M33,"")</f>
        <v/>
      </c>
      <c r="AE48" s="45" t="str">
        <f>IF(AND(ISNUMBER(P48),ISNUMBER(AA48),ISNUMBER(Z48)),IF(AA48&gt;Z48+'Sheet1-指标体系'!$J$11,AA48,""),"")</f>
        <v/>
      </c>
      <c r="AF48" s="37" t="str">
        <f t="shared" si="6"/>
        <v/>
      </c>
      <c r="AG48" s="37" t="str">
        <f t="shared" si="7"/>
        <v/>
      </c>
      <c r="AH48" s="37" t="str">
        <f t="shared" si="8"/>
        <v/>
      </c>
      <c r="AI48" s="37" t="str">
        <f>IF(ISNUMBER(AG48),IF(ISNUMBER(AH48),ROUND(AG48*'Sheet1-指标体系'!$J$8+AH48*'Sheet1-指标体系'!$J$9,2),AG48),"")</f>
        <v/>
      </c>
      <c r="AJ48" s="45">
        <f>IF(NOT(ISNUMBER(F48)),"",IF(F48&gt;='Sheet1-指标体系'!$J$16,IF(ISNUMBER(N48),N48,""),IF(ISNUMBER(O48),O48,"")))</f>
        <v>0.137766765771663</v>
      </c>
      <c r="AK48" s="37" t="str">
        <f>IF(AND(G48="入池",ISNUMBER(M48),ISNUMBER(AJ48)),IF(M48&gt;=AJ48,'Sheet1-指标体系'!$J$18,IF(AJ48-M48&lt;'Sheet1-指标体系'!$J$10,'Sheet1-指标体系'!$J$22,'Sheet1-指标体系'!$J$23)),"")</f>
        <v/>
      </c>
      <c r="AL48" s="37">
        <f>IF((IF(ISNUMBER(I48),'Sheet1-指标体系'!$G$4,0)+IF(ISNUMBER(K48),'Sheet1-指标体系'!$G$5,0)+IF(ISNUMBER(L48),'Sheet1-指标体系'!$G$6,0))&gt;0,ROUND((IF(ISNUMBER(I48),I48*'Sheet1-指标体系'!$G$4,0)+IF(ISNUMBER(K48),K48*'Sheet1-指标体系'!$G$5,0)+IF(ISNUMBER(L48),L48*'Sheet1-指标体系'!$G$6,0))/(IF(ISNUMBER(I48),'Sheet1-指标体系'!$G$4,0)+IF(ISNUMBER(K48),'Sheet1-指标体系'!$G$5,0)+IF(ISNUMBER(L48),'Sheet1-指标体系'!$G$6,0)),2),"")</f>
        <v>77.14</v>
      </c>
      <c r="AM48" s="37" t="str">
        <f t="shared" si="9"/>
        <v/>
      </c>
      <c r="AN48" s="37" t="str">
        <f t="shared" si="10"/>
        <v/>
      </c>
      <c r="AO48" s="37" t="str">
        <f t="shared" si="11"/>
        <v/>
      </c>
      <c r="AP48" s="37" t="str">
        <f t="shared" si="12"/>
        <v/>
      </c>
      <c r="AQ48" s="38">
        <f t="shared" si="13"/>
        <v>0</v>
      </c>
      <c r="AR48" s="37" t="str">
        <f t="shared" si="14"/>
        <v/>
      </c>
      <c r="AS48" s="37" t="str">
        <f t="shared" si="15"/>
        <v/>
      </c>
      <c r="AT48" s="40" t="str">
        <f>IF(OR(G48&lt;&gt;"入池",NOT(ISNUMBER(AS48))),"",COUNTIFS($G$17:$G$99,"入池",$AS$17:$AS$99,"&gt;"&amp;AS48)+COUNTIFS($G$17:$G$99,"入池",$AS$17:$AS$99,AS48,$AQ$17:$AQ$99,"&gt;"&amp;AQ48)+COUNTIFS($G$17:G48,"入池",$AS$17:AS48,AS48,$AQ$17:AQ48,AQ48))</f>
        <v/>
      </c>
      <c r="AU48" s="46" t="str">
        <f>IF(NOT(ISNUMBER(I48)),"管理人规模；","")&amp;IF(NOT(ISNUMBER(K48)),"产品规模标识；","")&amp;IF(NOT(ISNUMBER(M48)),"近一年收益；","")&amp;IF(NOT(ISNUMBER(T48)),"近一年胜率；","")&amp;IF(NOT(ISNUMBER(N48)),"近三年收益；","")&amp;IF(NOT(ISNUMBER(U48)),"近三年胜率；","")&amp;IF(NOT(ISNUMBER(AA48)),"近三年回撤；","")&amp;IF(NOT(ISNUMBER(AD48)),"近一年卡玛；","")&amp;IF(ISNUMBER(F48),IF(AND(F48&lt;'Sheet1-指标体系'!$J$16,NOT(ISNUMBER(O48))),"成立以来年化；",""),"成立日期；")&amp;IF(ISNUMBER(V48),IF(OR(V48&lt;0,V48&gt;1),"胜率窗口口径不一致；",""),"")&amp;IF(ISNUMBER(P48),IF(NOT(ISNUMBER(AE48)),"DD_long不可识别；",""),"")</f>
        <v>近一年收益；近一年胜率；近三年收益；近三年胜率；近三年回撤；近一年卡玛；</v>
      </c>
      <c r="AV48" s="37" t="str">
        <f>IF(ABS(SUM(CA48:CK48)-'Sheet1-指标体系'!$J$25)&lt;0.0000000001,SUM(BP48:BZ48),"")</f>
        <v/>
      </c>
      <c r="AW48" s="36" t="str">
        <f>IF(G48&lt;&gt;"入池",G48,IF(AQ48=0,"无有效评分数据",IF(ROUND(AQ48,10)=ROUND('Sheet1-指标体系'!$J$25,10),"完整赋分","暂定分／数据不完整")))</f>
        <v>不入池</v>
      </c>
      <c r="AX48" s="22" t="str">
        <f>IF('Sheet4-原始数据'!C33="","",'Sheet4-原始数据'!C33)</f>
        <v>套利策略</v>
      </c>
      <c r="AY48" s="22" t="str">
        <f>IF('Sheet4-原始数据'!D33="","",'Sheet4-原始数据'!D33)</f>
        <v/>
      </c>
      <c r="AZ48" s="22" t="str">
        <f>IF('Sheet5-查询核对'!S33="","",'Sheet5-查询核对'!S33)</f>
        <v>套利策略—其他</v>
      </c>
      <c r="BA48" s="25">
        <f>IF('Sheet5-查询核对'!A33="","",'Sheet5-查询核对'!A33)</f>
        <v>33</v>
      </c>
      <c r="BB48" s="22" t="str">
        <f>IF('Sheet5-查询核对'!F33="","",'Sheet5-查询核对'!F33)</f>
        <v>备案号匹配</v>
      </c>
      <c r="BC48" s="24" t="str">
        <f>IF('Sheet5-查询核对'!I33="","",'Sheet5-查询核对'!I33)</f>
        <v>https://mp.fof99.com/fund/view/fd609fddab73af1e</v>
      </c>
      <c r="BD48" s="23">
        <f>IF('Sheet5-查询核对'!H33="","",'Sheet5-查询核对'!H33)</f>
        <v>46269</v>
      </c>
      <c r="BE48" s="24" t="str">
        <f>IF('Sheet5-查询核对'!L33="","",'Sheet5-查询核对'!L33)</f>
        <v>https://gs.amac.org.cn/amac-infodisc/res/pof/manager/101000031933.html</v>
      </c>
      <c r="BF48" s="23">
        <f>IF('Sheet5-查询核对'!M33="","",'Sheet5-查询核对'!M33)</f>
        <v>46276</v>
      </c>
      <c r="BG48" s="24" t="str">
        <f>IF('Sheet5-查询核对'!O33="","",'Sheet5-查询核对'!O33)</f>
        <v>https://gs.amac.org.cn/amac-infodisc/res/pof/fund/2602121726109819.html</v>
      </c>
      <c r="BH48" s="23">
        <f>IF('Sheet5-查询核对'!P33="","",'Sheet5-查询核对'!P33)</f>
        <v>46276</v>
      </c>
      <c r="BI48" s="22" t="str">
        <f>IF('Sheet5-查询核对'!D33="","",'Sheet5-查询核对'!D33)</f>
        <v>SBPY84</v>
      </c>
      <c r="BJ48">
        <f>IF(ISNUMBER(AT48),AT48,COUNT($AT$17:$AT$99)+ROWS($AT$17:AT48)-COUNT($AT$17:AT48))</f>
        <v>82</v>
      </c>
      <c r="BK48" s="2">
        <f t="shared" si="16"/>
        <v>0</v>
      </c>
      <c r="BL48" s="2">
        <f t="shared" si="17"/>
        <v>0</v>
      </c>
      <c r="BM48" s="2">
        <f t="shared" si="18"/>
        <v>0</v>
      </c>
      <c r="BN48" s="2">
        <f t="shared" si="19"/>
        <v>0</v>
      </c>
      <c r="BO48" s="2">
        <f t="shared" si="20"/>
        <v>0</v>
      </c>
      <c r="BP48" s="48">
        <f>IF(G48="入池",IF(ISNUMBER(I48),I48*('Sheet1-指标体系'!$G$4),0),0)</f>
        <v>0</v>
      </c>
      <c r="BQ48" s="48">
        <f>IF(G48="入池",IF(ISNUMBER(K48),K48*('Sheet1-指标体系'!$G$5),0),0)</f>
        <v>0</v>
      </c>
      <c r="BR48" s="48">
        <f>IF(G48="入池",IF(ISNUMBER(L48),L48*('Sheet1-指标体系'!$G$6),0),0)</f>
        <v>0</v>
      </c>
      <c r="BS48" s="48">
        <f>IF(G48="入池",IF(ISNUMBER(Q48),Q48*('Sheet1-指标体系'!$G$7*'Sheet1-指标体系'!$J$8),0),0)</f>
        <v>0</v>
      </c>
      <c r="BT48" s="48">
        <f>IF(G48="入池",IF(ISNUMBER(R48),R48*('Sheet1-指标体系'!$G$7*'Sheet1-指标体系'!$J$9),0),0)</f>
        <v>0</v>
      </c>
      <c r="BU48" s="48">
        <f>IF(G48="入池",IF(ISNUMBER(W48),W48*('Sheet1-指标体系'!$G$8*'Sheet1-指标体系'!$J$8),0),0)</f>
        <v>0</v>
      </c>
      <c r="BV48" s="48">
        <f>IF(G48="入池",IF(ISNUMBER(X48),X48*('Sheet1-指标体系'!$G$8*'Sheet1-指标体系'!$J$9),0),0)</f>
        <v>0</v>
      </c>
      <c r="BW48" s="48">
        <f>IF(G48="入池",IF(ISNUMBER(AC48),AC48*('Sheet1-指标体系'!$G$9),0),0)</f>
        <v>0</v>
      </c>
      <c r="BX48" s="48">
        <f>IF(G48="入池",IF(ISNUMBER(AG48),AG48*('Sheet1-指标体系'!$G$10*'Sheet1-指标体系'!$J$8),0),0)</f>
        <v>0</v>
      </c>
      <c r="BY48" s="48">
        <f>IF(G48="入池",IF(ISNUMBER(AH48),AH48*('Sheet1-指标体系'!$G$10*'Sheet1-指标体系'!$J$9),0),0)</f>
        <v>0</v>
      </c>
      <c r="BZ48" s="48">
        <f>IF(G48="入池",IF(ISNUMBER(AK48),AK48*('Sheet1-指标体系'!$G$11),0),0)</f>
        <v>0</v>
      </c>
      <c r="CA48" s="49">
        <f>IF(G48="入池",IF(ISNUMBER(I48),'Sheet1-指标体系'!$G$4,0),0)</f>
        <v>0</v>
      </c>
      <c r="CB48" s="49">
        <f>IF(G48="入池",IF(ISNUMBER(K48),'Sheet1-指标体系'!$G$5,0),0)</f>
        <v>0</v>
      </c>
      <c r="CC48" s="49">
        <f>IF(G48="入池",IF(ISNUMBER(L48),'Sheet1-指标体系'!$G$6,0),0)</f>
        <v>0</v>
      </c>
      <c r="CD48" s="49">
        <f>IF(G48="入池",IF(ISNUMBER(Q48),'Sheet1-指标体系'!$G$7*'Sheet1-指标体系'!$J$8,0),0)</f>
        <v>0</v>
      </c>
      <c r="CE48" s="49">
        <f>IF(G48="入池",IF(ISNUMBER(R48),'Sheet1-指标体系'!$G$7*'Sheet1-指标体系'!$J$9,0),0)</f>
        <v>0</v>
      </c>
      <c r="CF48" s="49">
        <f>IF(G48="入池",IF(ISNUMBER(W48),'Sheet1-指标体系'!$G$8*'Sheet1-指标体系'!$J$8,0),0)</f>
        <v>0</v>
      </c>
      <c r="CG48" s="49">
        <f>IF(G48="入池",IF(ISNUMBER(X48),'Sheet1-指标体系'!$G$8*'Sheet1-指标体系'!$J$9,0),0)</f>
        <v>0</v>
      </c>
      <c r="CH48" s="49">
        <f>IF(G48="入池",IF(ISNUMBER(AC48),'Sheet1-指标体系'!$G$9,0),0)</f>
        <v>0</v>
      </c>
      <c r="CI48" s="49">
        <f>IF(G48="入池",IF(ISNUMBER(AG48),'Sheet1-指标体系'!$G$10*'Sheet1-指标体系'!$J$8,0),0)</f>
        <v>0</v>
      </c>
      <c r="CJ48" s="49">
        <f>IF(G48="入池",IF(ISNUMBER(AH48),'Sheet1-指标体系'!$G$10*'Sheet1-指标体系'!$J$9,0),0)</f>
        <v>0</v>
      </c>
      <c r="CK48" s="49">
        <f>IF(G48="入池",IF(ISNUMBER(AK48),'Sheet1-指标体系'!$G$11,0),0)</f>
        <v>0</v>
      </c>
    </row>
    <row r="49" ht="44" customHeight="1" spans="1:89">
      <c r="A49" s="40">
        <f>'Sheet5-查询核对'!A34-1</f>
        <v>33</v>
      </c>
      <c r="B49" s="24" t="str">
        <f>IF('Sheet4-原始数据'!A34="",'Sheet5-查询核对'!B34,'Sheet4-原始数据'!A34)</f>
        <v>量金灵瑞1号</v>
      </c>
      <c r="C49" s="22" t="str">
        <f>IF('Sheet4-原始数据'!B34="","",'Sheet4-原始数据'!B34)</f>
        <v>SAPV10</v>
      </c>
      <c r="D49" s="22" t="str">
        <f>IF('Sheet4-原始数据'!E34="","",'Sheet4-原始数据'!E34)</f>
        <v>上海坤灵</v>
      </c>
      <c r="E49" s="23">
        <f>IF('Sheet4-原始数据'!F34="","",'Sheet4-原始数据'!F34)</f>
        <v>45594</v>
      </c>
      <c r="F49" s="37">
        <f>IF(ISNUMBER(E49),ROUND(('Sheet1-指标体系'!$J$12-E49)/'Sheet1-指标体系'!$J$14,4),"")</f>
        <v>1.8645</v>
      </c>
      <c r="G49" s="36" t="str">
        <f>IF(C49="","未匹配",IF(NOT(ISNUMBER(F49)),"缺成立日期",IF(F49&lt;'Sheet1-指标体系'!$J$15,"不入池","入池")))</f>
        <v>入池</v>
      </c>
      <c r="H49" s="22" t="str">
        <f>IF('Sheet5-查询核对'!K34="","",'Sheet5-查询核对'!K34)</f>
        <v>20-50亿元</v>
      </c>
      <c r="I49" s="37">
        <f>IF(H49="","",IF(COUNTIF('Sheet1-指标体系'!$P$4:$P$10,H49)=0,"",INDEX('Sheet1-指标体系'!$Q$4:$Q$10,MATCH(H49,'Sheet1-指标体系'!$P$4:$P$10,0))))</f>
        <v>90</v>
      </c>
      <c r="J49" s="44" t="str">
        <f>IF(NOT(ISNUMBER('Sheet5-查询核对'!N34)),"",IF('Sheet5-查询核对'!N34=1,"低于"&amp;'Sheet1-指标体系'!$J$4&amp;"万元",IF('Sheet5-查询核对'!N34=0,"无低于"&amp;'Sheet1-指标体系'!$J$4&amp;"万元标识","")))</f>
        <v>无低于1000万元标识</v>
      </c>
      <c r="K49" s="37">
        <f>IF(NOT(ISNUMBER('Sheet5-查询核对'!N34)),"",IF('Sheet5-查询核对'!N34=1,'Sheet1-指标体系'!$J$21,IF('Sheet5-查询核对'!N34=0,'Sheet1-指标体系'!$J$18,"")))</f>
        <v>100</v>
      </c>
      <c r="L49" s="37">
        <f>IF(NOT(ISNUMBER(F49)),"",IF(F49&lt;'Sheet1-指标体系'!$J$15,"",IF(F49&lt;'Sheet1-指标体系'!$J$16,'Sheet1-指标体系'!$J$17,'Sheet1-指标体系'!$J$18)))</f>
        <v>70</v>
      </c>
      <c r="M49" s="26">
        <f>IF(ISNUMBER('Sheet4-原始数据'!G34),'Sheet4-原始数据'!G34,"")</f>
        <v>-0.0482785647879772</v>
      </c>
      <c r="N49" s="26" t="str">
        <f>IF(ISNUMBER('Sheet4-原始数据'!H34),'Sheet4-原始数据'!H34,"")</f>
        <v/>
      </c>
      <c r="O49" s="26" t="str">
        <f>IF(ISNUMBER('Sheet5-查询核对'!Q34),'Sheet5-查询核对'!Q34,"")</f>
        <v/>
      </c>
      <c r="P49" s="45" t="str">
        <f>IF(G49&lt;&gt;"入池","",IF(F49&gt;='Sheet1-指标体系'!$J$16,IF(AND(ISNUMBER(M49),ISNUMBER(N49)),IF(AND(1+M49&gt;0,1+N49&gt;=0),((1+N49)^'Sheet1-指标体系'!$J$16/(1+M49))^(1/('Sheet1-指标体系'!$J$16-1))-1,""),""),IF(AND(ISNUMBER(M49),ISNUMBER(O49)),IF(AND(F49&gt;1,1+M49&gt;0,1+O49&gt;=0),((1+O49)^F49/(1+M49))^(1/(F49-1))-1,""),"")))</f>
        <v/>
      </c>
      <c r="Q49" s="37">
        <f t="shared" si="0"/>
        <v>0</v>
      </c>
      <c r="R49" s="37" t="str">
        <f t="shared" si="1"/>
        <v/>
      </c>
      <c r="S49" s="37">
        <f>IF(ISNUMBER(Q49),IF(ISNUMBER(R49),ROUND(Q49*'Sheet1-指标体系'!$J$8+R49*'Sheet1-指标体系'!$J$9,2),Q49),"")</f>
        <v>0</v>
      </c>
      <c r="T49" s="26">
        <f>IF(ISNUMBER('Sheet4-原始数据'!J34),'Sheet4-原始数据'!J34,"")</f>
        <v>0.538461538461538</v>
      </c>
      <c r="U49" s="26" t="str">
        <f>IF(ISNUMBER('Sheet4-原始数据'!I34),'Sheet4-原始数据'!I34,"")</f>
        <v/>
      </c>
      <c r="V49" s="45" t="str">
        <f>IF(AND(ISNUMBER(T49),ISNUMBER(U49)),(U49*'Sheet1-指标体系'!$J$6-T49*'Sheet1-指标体系'!$J$5)/'Sheet1-指标体系'!$J$7,"")</f>
        <v/>
      </c>
      <c r="W49" s="37">
        <f t="shared" si="2"/>
        <v>53.8461538461538</v>
      </c>
      <c r="X49" s="37" t="str">
        <f>IF(G49&lt;&gt;"入池","",IF(ISNUMBER(V49),IF(AND(V49&gt;=0,V49&lt;=1),V49*'Sheet1-指标体系'!$J$18,IF(MAX(0,(F49-'Sheet1-指标体系'!$J$15)*'Sheet1-指标体系'!$J$20)&lt;'Sheet1-指标体系'!$J$19,'Sheet1-指标体系'!$J$18,"")),IF(MAX(0,(F49-'Sheet1-指标体系'!$J$15)*'Sheet1-指标体系'!$J$20)&lt;'Sheet1-指标体系'!$J$19,'Sheet1-指标体系'!$J$18,"")))</f>
        <v/>
      </c>
      <c r="Y49" s="37">
        <f>IF(ISNUMBER(W49),IF(ISNUMBER(X49),ROUND(W49*'Sheet1-指标体系'!$J$8+X49*'Sheet1-指标体系'!$J$9,2),W49),"")</f>
        <v>53.8461538461538</v>
      </c>
      <c r="Z49" s="45">
        <f t="shared" si="3"/>
        <v>0.12206139946529</v>
      </c>
      <c r="AA49" s="26" t="str">
        <f>IF(ISNUMBER('Sheet4-原始数据'!K34),'Sheet4-原始数据'!K34,"")</f>
        <v/>
      </c>
      <c r="AB49" s="45">
        <f t="shared" si="4"/>
        <v>0.12206139946529</v>
      </c>
      <c r="AC49" s="37">
        <f t="shared" si="5"/>
        <v>5.41</v>
      </c>
      <c r="AD49" s="30">
        <f>IF(ISNUMBER('Sheet4-原始数据'!M34),'Sheet4-原始数据'!M34,"")</f>
        <v>-0.395526882367967</v>
      </c>
      <c r="AE49" s="45" t="str">
        <f>IF(AND(ISNUMBER(P49),ISNUMBER(AA49),ISNUMBER(Z49)),IF(AA49&gt;Z49+'Sheet1-指标体系'!$J$11,AA49,""),"")</f>
        <v/>
      </c>
      <c r="AF49" s="37" t="str">
        <f t="shared" si="6"/>
        <v/>
      </c>
      <c r="AG49" s="37">
        <f t="shared" si="7"/>
        <v>0</v>
      </c>
      <c r="AH49" s="37" t="str">
        <f t="shared" si="8"/>
        <v/>
      </c>
      <c r="AI49" s="37">
        <f>IF(ISNUMBER(AG49),IF(ISNUMBER(AH49),ROUND(AG49*'Sheet1-指标体系'!$J$8+AH49*'Sheet1-指标体系'!$J$9,2),AG49),"")</f>
        <v>0</v>
      </c>
      <c r="AJ49" s="45" t="str">
        <f>IF(NOT(ISNUMBER(F49)),"",IF(F49&gt;='Sheet1-指标体系'!$J$16,IF(ISNUMBER(N49),N49,""),IF(ISNUMBER(O49),O49,"")))</f>
        <v/>
      </c>
      <c r="AK49" s="37" t="str">
        <f>IF(AND(G49="入池",ISNUMBER(M49),ISNUMBER(AJ49)),IF(M49&gt;=AJ49,'Sheet1-指标体系'!$J$18,IF(AJ49-M49&lt;'Sheet1-指标体系'!$J$10,'Sheet1-指标体系'!$J$22,'Sheet1-指标体系'!$J$23)),"")</f>
        <v/>
      </c>
      <c r="AL49" s="37">
        <f>IF((IF(ISNUMBER(I49),'Sheet1-指标体系'!$G$4,0)+IF(ISNUMBER(K49),'Sheet1-指标体系'!$G$5,0)+IF(ISNUMBER(L49),'Sheet1-指标体系'!$G$6,0))&gt;0,ROUND((IF(ISNUMBER(I49),I49*'Sheet1-指标体系'!$G$4,0)+IF(ISNUMBER(K49),K49*'Sheet1-指标体系'!$G$5,0)+IF(ISNUMBER(L49),L49*'Sheet1-指标体系'!$G$6,0))/(IF(ISNUMBER(I49),'Sheet1-指标体系'!$G$4,0)+IF(ISNUMBER(K49),'Sheet1-指标体系'!$G$5,0)+IF(ISNUMBER(L49),'Sheet1-指标体系'!$G$6,0)),2),"")</f>
        <v>87</v>
      </c>
      <c r="AM49" s="37">
        <f t="shared" si="9"/>
        <v>16.15</v>
      </c>
      <c r="AN49" s="37">
        <f t="shared" si="10"/>
        <v>5.41</v>
      </c>
      <c r="AO49" s="37">
        <f t="shared" si="11"/>
        <v>0</v>
      </c>
      <c r="AP49" s="37" t="str">
        <f t="shared" si="12"/>
        <v/>
      </c>
      <c r="AQ49" s="38">
        <f t="shared" si="13"/>
        <v>0.7</v>
      </c>
      <c r="AR49" s="37">
        <f t="shared" si="14"/>
        <v>16.3409615384615</v>
      </c>
      <c r="AS49" s="37">
        <f t="shared" si="15"/>
        <v>23.34</v>
      </c>
      <c r="AT49" s="40">
        <f>IF(OR(G49&lt;&gt;"入池",NOT(ISNUMBER(AS49))),"",COUNTIFS($G$17:$G$99,"入池",$AS$17:$AS$99,"&gt;"&amp;AS49)+COUNTIFS($G$17:$G$99,"入池",$AS$17:$AS$99,AS49,$AQ$17:$AQ$99,"&gt;"&amp;AQ49)+COUNTIFS($G$17:G49,"入池",$AS$17:AS49,AS49,$AQ$17:AQ49,AQ49))</f>
        <v>77</v>
      </c>
      <c r="AU49" s="46" t="str">
        <f>IF(NOT(ISNUMBER(I49)),"管理人规模；","")&amp;IF(NOT(ISNUMBER(K49)),"产品规模标识；","")&amp;IF(NOT(ISNUMBER(M49)),"近一年收益；","")&amp;IF(NOT(ISNUMBER(T49)),"近一年胜率；","")&amp;IF(NOT(ISNUMBER(N49)),"近三年收益；","")&amp;IF(NOT(ISNUMBER(U49)),"近三年胜率；","")&amp;IF(NOT(ISNUMBER(AA49)),"近三年回撤；","")&amp;IF(NOT(ISNUMBER(AD49)),"近一年卡玛；","")&amp;IF(ISNUMBER(F49),IF(AND(F49&lt;'Sheet1-指标体系'!$J$16,NOT(ISNUMBER(O49))),"成立以来年化；",""),"成立日期；")&amp;IF(ISNUMBER(V49),IF(OR(V49&lt;0,V49&gt;1),"胜率窗口口径不一致；",""),"")&amp;IF(ISNUMBER(P49),IF(NOT(ISNUMBER(AE49)),"DD_long不可识别；",""),"")</f>
        <v>近三年收益；近三年胜率；近三年回撤；成立以来年化；</v>
      </c>
      <c r="AV49" s="37" t="str">
        <f>IF(ABS(SUM(CA49:CK49)-'Sheet1-指标体系'!$J$25)&lt;0.0000000001,SUM(BP49:BZ49),"")</f>
        <v/>
      </c>
      <c r="AW49" s="36" t="str">
        <f>IF(G49&lt;&gt;"入池",G49,IF(AQ49=0,"无有效评分数据",IF(ROUND(AQ49,10)=ROUND('Sheet1-指标体系'!$J$25,10),"完整赋分","暂定分／数据不完整")))</f>
        <v>暂定分／数据不完整</v>
      </c>
      <c r="AX49" s="22" t="str">
        <f>IF('Sheet4-原始数据'!C34="","",'Sheet4-原始数据'!C34)</f>
        <v>套利策略</v>
      </c>
      <c r="AY49" s="22" t="str">
        <f>IF('Sheet4-原始数据'!D34="","",'Sheet4-原始数据'!D34)</f>
        <v>期货套利</v>
      </c>
      <c r="AZ49" s="22" t="str">
        <f>IF('Sheet5-查询核对'!S34="","",'Sheet5-查询核对'!S34)</f>
        <v>套利策略—期货套利</v>
      </c>
      <c r="BA49" s="25">
        <f>IF('Sheet5-查询核对'!A34="","",'Sheet5-查询核对'!A34)</f>
        <v>34</v>
      </c>
      <c r="BB49" s="22" t="str">
        <f>IF('Sheet5-查询核对'!F34="","",'Sheet5-查询核对'!F34)</f>
        <v>备案号匹配</v>
      </c>
      <c r="BC49" s="24" t="str">
        <f>IF('Sheet5-查询核对'!I34="","",'Sheet5-查询核对'!I34)</f>
        <v>https://mp.fof99.com/fund/view/672dc1ead9cd9d03</v>
      </c>
      <c r="BD49" s="23">
        <f>IF('Sheet5-查询核对'!H34="","",'Sheet5-查询核对'!H34)</f>
        <v>46269</v>
      </c>
      <c r="BE49" s="24" t="str">
        <f>IF('Sheet5-查询核对'!L34="","",'Sheet5-查询核对'!L34)</f>
        <v>https://gs.amac.org.cn/amac-infodisc/res/pof/manager/101000023324.html</v>
      </c>
      <c r="BF49" s="23">
        <f>IF('Sheet5-查询核对'!M34="","",'Sheet5-查询核对'!M34)</f>
        <v>46276</v>
      </c>
      <c r="BG49" s="24" t="str">
        <f>IF('Sheet5-查询核对'!O34="","",'Sheet5-查询核对'!O34)</f>
        <v>https://gs.amac.org.cn/amac-infodisc/res/pof/fund/2410291900103465.html</v>
      </c>
      <c r="BH49" s="23">
        <f>IF('Sheet5-查询核对'!P34="","",'Sheet5-查询核对'!P34)</f>
        <v>46276</v>
      </c>
      <c r="BI49" s="22" t="str">
        <f>IF('Sheet5-查询核对'!D34="","",'Sheet5-查询核对'!D34)</f>
        <v>SAPV10</v>
      </c>
      <c r="BJ49">
        <f>IF(ISNUMBER(AT49),AT49,COUNT($AT$17:$AT$99)+ROWS($AT$17:AT49)-COUNT($AT$17:AT49))</f>
        <v>77</v>
      </c>
      <c r="BK49" s="2">
        <f t="shared" si="16"/>
        <v>1</v>
      </c>
      <c r="BL49" s="2">
        <f t="shared" si="17"/>
        <v>0</v>
      </c>
      <c r="BM49" s="2">
        <f t="shared" si="18"/>
        <v>1</v>
      </c>
      <c r="BN49" s="2">
        <f t="shared" si="19"/>
        <v>1</v>
      </c>
      <c r="BO49" s="2">
        <f t="shared" si="20"/>
        <v>0</v>
      </c>
      <c r="BP49" s="48">
        <f>IF(G49="入池",IF(ISNUMBER(I49),I49*('Sheet1-指标体系'!$G$4),0),0)</f>
        <v>5.4</v>
      </c>
      <c r="BQ49" s="48">
        <f>IF(G49="入池",IF(ISNUMBER(K49),K49*('Sheet1-指标体系'!$G$5),0),0)</f>
        <v>4.5</v>
      </c>
      <c r="BR49" s="48">
        <f>IF(G49="入池",IF(ISNUMBER(L49),L49*('Sheet1-指标体系'!$G$6),0),0)</f>
        <v>3.15</v>
      </c>
      <c r="BS49" s="48">
        <f>IF(G49="入池",IF(ISNUMBER(Q49),Q49*('Sheet1-指标体系'!$G$7*'Sheet1-指标体系'!$J$8),0),0)</f>
        <v>0</v>
      </c>
      <c r="BT49" s="48">
        <f>IF(G49="入池",IF(ISNUMBER(R49),R49*('Sheet1-指标体系'!$G$7*'Sheet1-指标体系'!$J$9),0),0)</f>
        <v>0</v>
      </c>
      <c r="BU49" s="48">
        <f>IF(G49="入池",IF(ISNUMBER(W49),W49*('Sheet1-指标体系'!$G$8*'Sheet1-指标体系'!$J$8),0),0)</f>
        <v>1.93846153846154</v>
      </c>
      <c r="BV49" s="48">
        <f>IF(G49="入池",IF(ISNUMBER(X49),X49*('Sheet1-指标体系'!$G$8*'Sheet1-指标体系'!$J$9),0),0)</f>
        <v>0</v>
      </c>
      <c r="BW49" s="48">
        <f>IF(G49="入池",IF(ISNUMBER(AC49),AC49*('Sheet1-指标体系'!$G$9),0),0)</f>
        <v>1.3525</v>
      </c>
      <c r="BX49" s="48">
        <f>IF(G49="入池",IF(ISNUMBER(AG49),AG49*('Sheet1-指标体系'!$G$10*'Sheet1-指标体系'!$J$8),0),0)</f>
        <v>0</v>
      </c>
      <c r="BY49" s="48">
        <f>IF(G49="入池",IF(ISNUMBER(AH49),AH49*('Sheet1-指标体系'!$G$10*'Sheet1-指标体系'!$J$9),0),0)</f>
        <v>0</v>
      </c>
      <c r="BZ49" s="48">
        <f>IF(G49="入池",IF(ISNUMBER(AK49),AK49*('Sheet1-指标体系'!$G$11),0),0)</f>
        <v>0</v>
      </c>
      <c r="CA49" s="49">
        <f>IF(G49="入池",IF(ISNUMBER(I49),'Sheet1-指标体系'!$G$4,0),0)</f>
        <v>0.06</v>
      </c>
      <c r="CB49" s="49">
        <f>IF(G49="入池",IF(ISNUMBER(K49),'Sheet1-指标体系'!$G$5,0),0)</f>
        <v>0.045</v>
      </c>
      <c r="CC49" s="49">
        <f>IF(G49="入池",IF(ISNUMBER(L49),'Sheet1-指标体系'!$G$6,0),0)</f>
        <v>0.045</v>
      </c>
      <c r="CD49" s="49">
        <f>IF(G49="入池",IF(ISNUMBER(Q49),'Sheet1-指标体系'!$G$7*'Sheet1-指标体系'!$J$8,0),0)</f>
        <v>0.084</v>
      </c>
      <c r="CE49" s="49">
        <f>IF(G49="入池",IF(ISNUMBER(R49),'Sheet1-指标体系'!$G$7*'Sheet1-指标体系'!$J$9,0),0)</f>
        <v>0</v>
      </c>
      <c r="CF49" s="49">
        <f>IF(G49="入池",IF(ISNUMBER(W49),'Sheet1-指标体系'!$G$8*'Sheet1-指标体系'!$J$8,0),0)</f>
        <v>0.036</v>
      </c>
      <c r="CG49" s="49">
        <f>IF(G49="入池",IF(ISNUMBER(X49),'Sheet1-指标体系'!$G$8*'Sheet1-指标体系'!$J$9,0),0)</f>
        <v>0</v>
      </c>
      <c r="CH49" s="49">
        <f>IF(G49="入池",IF(ISNUMBER(AC49),'Sheet1-指标体系'!$G$9,0),0)</f>
        <v>0.25</v>
      </c>
      <c r="CI49" s="49">
        <f>IF(G49="入池",IF(ISNUMBER(AG49),'Sheet1-指标体系'!$G$10*'Sheet1-指标体系'!$J$8,0),0)</f>
        <v>0.18</v>
      </c>
      <c r="CJ49" s="49">
        <f>IF(G49="入池",IF(ISNUMBER(AH49),'Sheet1-指标体系'!$G$10*'Sheet1-指标体系'!$J$9,0),0)</f>
        <v>0</v>
      </c>
      <c r="CK49" s="49">
        <f>IF(G49="入池",IF(ISNUMBER(AK49),'Sheet1-指标体系'!$G$11,0),0)</f>
        <v>0</v>
      </c>
    </row>
    <row r="50" ht="44" customHeight="1" spans="1:89">
      <c r="A50" s="40">
        <f>'Sheet5-查询核对'!A35-1</f>
        <v>34</v>
      </c>
      <c r="B50" s="24" t="str">
        <f>IF('Sheet4-原始数据'!A35="",'Sheet5-查询核对'!B35,'Sheet4-原始数据'!A35)</f>
        <v>量客投资金选套利1号</v>
      </c>
      <c r="C50" s="22" t="str">
        <f>IF('Sheet4-原始数据'!B35="","",'Sheet4-原始数据'!B35)</f>
        <v>SNH457</v>
      </c>
      <c r="D50" s="22" t="str">
        <f>IF('Sheet4-原始数据'!E35="","",'Sheet4-原始数据'!E35)</f>
        <v>上海量客</v>
      </c>
      <c r="E50" s="23">
        <f>IF('Sheet4-原始数据'!F35="","",'Sheet4-原始数据'!F35)</f>
        <v>44196</v>
      </c>
      <c r="F50" s="37">
        <f>IF(ISNUMBER(E50),ROUND(('Sheet1-指标体系'!$J$12-E50)/'Sheet1-指标体系'!$J$14,4),"")</f>
        <v>5.692</v>
      </c>
      <c r="G50" s="36" t="str">
        <f>IF(C50="","未匹配",IF(NOT(ISNUMBER(F50)),"缺成立日期",IF(F50&lt;'Sheet1-指标体系'!$J$15,"不入池","入池")))</f>
        <v>入池</v>
      </c>
      <c r="H50" s="22" t="str">
        <f>IF('Sheet5-查询核对'!K35="","",'Sheet5-查询核对'!K35)</f>
        <v>50-100亿元</v>
      </c>
      <c r="I50" s="37">
        <f>IF(H50="","",IF(COUNTIF('Sheet1-指标体系'!$P$4:$P$10,H50)=0,"",INDEX('Sheet1-指标体系'!$Q$4:$Q$10,MATCH(H50,'Sheet1-指标体系'!$P$4:$P$10,0))))</f>
        <v>90</v>
      </c>
      <c r="J50" s="44" t="str">
        <f>IF(NOT(ISNUMBER('Sheet5-查询核对'!N35)),"",IF('Sheet5-查询核对'!N35=1,"低于"&amp;'Sheet1-指标体系'!$J$4&amp;"万元",IF('Sheet5-查询核对'!N35=0,"无低于"&amp;'Sheet1-指标体系'!$J$4&amp;"万元标识","")))</f>
        <v>无低于1000万元标识</v>
      </c>
      <c r="K50" s="37">
        <f>IF(NOT(ISNUMBER('Sheet5-查询核对'!N35)),"",IF('Sheet5-查询核对'!N35=1,'Sheet1-指标体系'!$J$21,IF('Sheet5-查询核对'!N35=0,'Sheet1-指标体系'!$J$18,"")))</f>
        <v>100</v>
      </c>
      <c r="L50" s="37">
        <f>IF(NOT(ISNUMBER(F50)),"",IF(F50&lt;'Sheet1-指标体系'!$J$15,"",IF(F50&lt;'Sheet1-指标体系'!$J$16,'Sheet1-指标体系'!$J$17,'Sheet1-指标体系'!$J$18)))</f>
        <v>100</v>
      </c>
      <c r="M50" s="26">
        <f>IF(ISNUMBER('Sheet4-原始数据'!G35),'Sheet4-原始数据'!G35,"")</f>
        <v>0.0648994493369395</v>
      </c>
      <c r="N50" s="26">
        <f>IF(ISNUMBER('Sheet4-原始数据'!H35),'Sheet4-原始数据'!H35,"")</f>
        <v>0.0854840487275965</v>
      </c>
      <c r="O50" s="26">
        <f>IF(ISNUMBER('Sheet5-查询核对'!Q35),'Sheet5-查询核对'!Q35,"")</f>
        <v>0.128288174778181</v>
      </c>
      <c r="P50" s="45">
        <f>IF(G50&lt;&gt;"入池","",IF(F50&gt;='Sheet1-指标体系'!$J$16,IF(AND(ISNUMBER(M50),ISNUMBER(N50)),IF(AND(1+M50&gt;0,1+N50&gt;=0),((1+N50)^'Sheet1-指标体系'!$J$16/(1+M50))^(1/('Sheet1-指标体系'!$J$16-1))-1,""),""),IF(AND(ISNUMBER(M50),ISNUMBER(O50)),IF(AND(F50&gt;1,1+M50&gt;0,1+O50&gt;=0),((1+O50)^F50/(1+M50))^(1/(F50-1))-1,""),"")))</f>
        <v>0.0959250844458095</v>
      </c>
      <c r="Q50" s="37">
        <f t="shared" si="0"/>
        <v>27.78</v>
      </c>
      <c r="R50" s="37">
        <f t="shared" si="1"/>
        <v>68.18</v>
      </c>
      <c r="S50" s="37">
        <f>IF(ISNUMBER(Q50),IF(ISNUMBER(R50),ROUND(Q50*'Sheet1-指标体系'!$J$8+R50*'Sheet1-指标体系'!$J$9,2),Q50),"")</f>
        <v>43.94</v>
      </c>
      <c r="T50" s="26">
        <f>IF(ISNUMBER('Sheet4-原始数据'!J35),'Sheet4-原始数据'!J35,"")</f>
        <v>1</v>
      </c>
      <c r="U50" s="26">
        <f>IF(ISNUMBER('Sheet4-原始数据'!I35),'Sheet4-原始数据'!I35,"")</f>
        <v>0.918918918918919</v>
      </c>
      <c r="V50" s="45">
        <f>IF(AND(ISNUMBER(T50),ISNUMBER(U50)),(U50*'Sheet1-指标体系'!$J$6-T50*'Sheet1-指标体系'!$J$5)/'Sheet1-指标体系'!$J$7,"")</f>
        <v>0.875</v>
      </c>
      <c r="W50" s="37">
        <f t="shared" si="2"/>
        <v>100</v>
      </c>
      <c r="X50" s="37">
        <f>IF(G50&lt;&gt;"入池","",IF(ISNUMBER(V50),IF(AND(V50&gt;=0,V50&lt;=1),V50*'Sheet1-指标体系'!$J$18,IF(MAX(0,(F50-'Sheet1-指标体系'!$J$15)*'Sheet1-指标体系'!$J$20)&lt;'Sheet1-指标体系'!$J$19,'Sheet1-指标体系'!$J$18,"")),IF(MAX(0,(F50-'Sheet1-指标体系'!$J$15)*'Sheet1-指标体系'!$J$20)&lt;'Sheet1-指标体系'!$J$19,'Sheet1-指标体系'!$J$18,"")))</f>
        <v>87.5</v>
      </c>
      <c r="Y50" s="37">
        <f>IF(ISNUMBER(W50),IF(ISNUMBER(X50),ROUND(W50*'Sheet1-指标体系'!$J$8+X50*'Sheet1-指标体系'!$J$9,2),W50),"")</f>
        <v>95</v>
      </c>
      <c r="Z50" s="45">
        <f t="shared" si="3"/>
        <v>0.00148077634988641</v>
      </c>
      <c r="AA50" s="26">
        <f>IF(ISNUMBER('Sheet4-原始数据'!K35),'Sheet4-原始数据'!K35,"")</f>
        <v>0.003369637162284</v>
      </c>
      <c r="AB50" s="45">
        <f t="shared" si="4"/>
        <v>0.003369637162284</v>
      </c>
      <c r="AC50" s="37">
        <f t="shared" si="5"/>
        <v>95.95</v>
      </c>
      <c r="AD50" s="30">
        <f>IF(ISNUMBER('Sheet4-原始数据'!M35),'Sheet4-原始数据'!M35,"")</f>
        <v>43.8279888397176</v>
      </c>
      <c r="AE50" s="45">
        <f>IF(AND(ISNUMBER(P50),ISNUMBER(AA50),ISNUMBER(Z50)),IF(AA50&gt;Z50+'Sheet1-指标体系'!$J$11,AA50,""),"")</f>
        <v>0.003369637162284</v>
      </c>
      <c r="AF50" s="37">
        <f t="shared" si="6"/>
        <v>28.4674817572316</v>
      </c>
      <c r="AG50" s="37">
        <f t="shared" si="7"/>
        <v>91.55</v>
      </c>
      <c r="AH50" s="37">
        <f t="shared" si="8"/>
        <v>100</v>
      </c>
      <c r="AI50" s="37">
        <f>IF(ISNUMBER(AG50),IF(ISNUMBER(AH50),ROUND(AG50*'Sheet1-指标体系'!$J$8+AH50*'Sheet1-指标体系'!$J$9,2),AG50),"")</f>
        <v>94.93</v>
      </c>
      <c r="AJ50" s="45">
        <f>IF(NOT(ISNUMBER(F50)),"",IF(F50&gt;='Sheet1-指标体系'!$J$16,IF(ISNUMBER(N50),N50,""),IF(ISNUMBER(O50),O50,"")))</f>
        <v>0.0854840487275965</v>
      </c>
      <c r="AK50" s="37">
        <f>IF(AND(G50="入池",ISNUMBER(M50),ISNUMBER(AJ50)),IF(M50&gt;=AJ50,'Sheet1-指标体系'!$J$18,IF(AJ50-M50&lt;'Sheet1-指标体系'!$J$10,'Sheet1-指标体系'!$J$22,'Sheet1-指标体系'!$J$23)),"")</f>
        <v>80</v>
      </c>
      <c r="AL50" s="37">
        <f>IF((IF(ISNUMBER(I50),'Sheet1-指标体系'!$G$4,0)+IF(ISNUMBER(K50),'Sheet1-指标体系'!$G$5,0)+IF(ISNUMBER(L50),'Sheet1-指标体系'!$G$6,0))&gt;0,ROUND((IF(ISNUMBER(I50),I50*'Sheet1-指标体系'!$G$4,0)+IF(ISNUMBER(K50),K50*'Sheet1-指标体系'!$G$5,0)+IF(ISNUMBER(L50),L50*'Sheet1-指标体系'!$G$6,0))/(IF(ISNUMBER(I50),'Sheet1-指标体系'!$G$4,0)+IF(ISNUMBER(K50),'Sheet1-指标体系'!$G$5,0)+IF(ISNUMBER(L50),'Sheet1-指标体系'!$G$6,0)),2),"")</f>
        <v>96</v>
      </c>
      <c r="AM50" s="37">
        <f t="shared" si="9"/>
        <v>59.26</v>
      </c>
      <c r="AN50" s="37">
        <f t="shared" si="10"/>
        <v>95.95</v>
      </c>
      <c r="AO50" s="37">
        <f t="shared" si="11"/>
        <v>94.93</v>
      </c>
      <c r="AP50" s="37">
        <f t="shared" si="12"/>
        <v>80</v>
      </c>
      <c r="AQ50" s="38">
        <f t="shared" si="13"/>
        <v>1</v>
      </c>
      <c r="AR50" s="37">
        <f t="shared" si="14"/>
        <v>86.7181</v>
      </c>
      <c r="AS50" s="37">
        <f t="shared" si="15"/>
        <v>86.72</v>
      </c>
      <c r="AT50" s="40">
        <f>IF(OR(G50&lt;&gt;"入池",NOT(ISNUMBER(AS50))),"",COUNTIFS($G$17:$G$99,"入池",$AS$17:$AS$99,"&gt;"&amp;AS50)+COUNTIFS($G$17:$G$99,"入池",$AS$17:$AS$99,AS50,$AQ$17:$AQ$99,"&gt;"&amp;AQ50)+COUNTIFS($G$17:G50,"入池",$AS$17:AS50,AS50,$AQ$17:AQ50,AQ50))</f>
        <v>6</v>
      </c>
      <c r="AU50" s="46" t="str">
        <f>IF(NOT(ISNUMBER(I50)),"管理人规模；","")&amp;IF(NOT(ISNUMBER(K50)),"产品规模标识；","")&amp;IF(NOT(ISNUMBER(M50)),"近一年收益；","")&amp;IF(NOT(ISNUMBER(T50)),"近一年胜率；","")&amp;IF(NOT(ISNUMBER(N50)),"近三年收益；","")&amp;IF(NOT(ISNUMBER(U50)),"近三年胜率；","")&amp;IF(NOT(ISNUMBER(AA50)),"近三年回撤；","")&amp;IF(NOT(ISNUMBER(AD50)),"近一年卡玛；","")&amp;IF(ISNUMBER(F50),IF(AND(F50&lt;'Sheet1-指标体系'!$J$16,NOT(ISNUMBER(O50))),"成立以来年化；",""),"成立日期；")&amp;IF(ISNUMBER(V50),IF(OR(V50&lt;0,V50&gt;1),"胜率窗口口径不一致；",""),"")&amp;IF(ISNUMBER(P50),IF(NOT(ISNUMBER(AE50)),"DD_long不可识别；",""),"")</f>
        <v/>
      </c>
      <c r="AV50" s="37">
        <f>IF(ABS(SUM(CA50:CK50)-'Sheet1-指标体系'!$J$25)&lt;0.0000000001,SUM(BP50:BZ50),"")</f>
        <v>86.7181</v>
      </c>
      <c r="AW50" s="36" t="str">
        <f>IF(G50&lt;&gt;"入池",G50,IF(AQ50=0,"无有效评分数据",IF(ROUND(AQ50,10)=ROUND('Sheet1-指标体系'!$J$25,10),"完整赋分","暂定分／数据不完整")))</f>
        <v>完整赋分</v>
      </c>
      <c r="AX50" s="22" t="str">
        <f>IF('Sheet4-原始数据'!C35="","",'Sheet4-原始数据'!C35)</f>
        <v>套利策略</v>
      </c>
      <c r="AY50" s="22" t="str">
        <f>IF('Sheet4-原始数据'!D35="","",'Sheet4-原始数据'!D35)</f>
        <v>期权套利</v>
      </c>
      <c r="AZ50" s="22" t="str">
        <f>IF('Sheet5-查询核对'!S35="","",'Sheet5-查询核对'!S35)</f>
        <v>套利策略—期权套利</v>
      </c>
      <c r="BA50" s="25">
        <f>IF('Sheet5-查询核对'!A35="","",'Sheet5-查询核对'!A35)</f>
        <v>35</v>
      </c>
      <c r="BB50" s="22" t="str">
        <f>IF('Sheet5-查询核对'!F35="","",'Sheet5-查询核对'!F35)</f>
        <v>备案号匹配</v>
      </c>
      <c r="BC50" s="24" t="str">
        <f>IF('Sheet5-查询核对'!I35="","",'Sheet5-查询核对'!I35)</f>
        <v>https://mp.fof99.com/fund/view/509478ab548cc2b3</v>
      </c>
      <c r="BD50" s="23">
        <f>IF('Sheet5-查询核对'!H35="","",'Sheet5-查询核对'!H35)</f>
        <v>46269</v>
      </c>
      <c r="BE50" s="24" t="str">
        <f>IF('Sheet5-查询核对'!L35="","",'Sheet5-查询核对'!L35)</f>
        <v>https://gs.amac.org.cn/amac-infodisc/res/pof/manager/101000000790.html</v>
      </c>
      <c r="BF50" s="23">
        <f>IF('Sheet5-查询核对'!M35="","",'Sheet5-查询核对'!M35)</f>
        <v>46276</v>
      </c>
      <c r="BG50" s="24" t="str">
        <f>IF('Sheet5-查询核对'!O35="","",'Sheet5-查询核对'!O35)</f>
        <v>https://gs.amac.org.cn/amac-infodisc/res/pof/fund/2101061734111873.html</v>
      </c>
      <c r="BH50" s="23">
        <f>IF('Sheet5-查询核对'!P35="","",'Sheet5-查询核对'!P35)</f>
        <v>46276</v>
      </c>
      <c r="BI50" s="22" t="str">
        <f>IF('Sheet5-查询核对'!D35="","",'Sheet5-查询核对'!D35)</f>
        <v>SNH457</v>
      </c>
      <c r="BJ50">
        <f>IF(ISNUMBER(AT50),AT50,COUNT($AT$17:$AT$99)+ROWS($AT$17:AT50)-COUNT($AT$17:AT50))</f>
        <v>6</v>
      </c>
      <c r="BK50" s="2">
        <f t="shared" si="16"/>
        <v>1</v>
      </c>
      <c r="BL50" s="2">
        <f t="shared" si="17"/>
        <v>1</v>
      </c>
      <c r="BM50" s="2">
        <f t="shared" si="18"/>
        <v>1</v>
      </c>
      <c r="BN50" s="2">
        <f t="shared" si="19"/>
        <v>1</v>
      </c>
      <c r="BO50" s="2">
        <f t="shared" si="20"/>
        <v>1</v>
      </c>
      <c r="BP50" s="48">
        <f>IF(G50="入池",IF(ISNUMBER(I50),I50*('Sheet1-指标体系'!$G$4),0),0)</f>
        <v>5.4</v>
      </c>
      <c r="BQ50" s="48">
        <f>IF(G50="入池",IF(ISNUMBER(K50),K50*('Sheet1-指标体系'!$G$5),0),0)</f>
        <v>4.5</v>
      </c>
      <c r="BR50" s="48">
        <f>IF(G50="入池",IF(ISNUMBER(L50),L50*('Sheet1-指标体系'!$G$6),0),0)</f>
        <v>4.5</v>
      </c>
      <c r="BS50" s="48">
        <f>IF(G50="入池",IF(ISNUMBER(Q50),Q50*('Sheet1-指标体系'!$G$7*'Sheet1-指标体系'!$J$8),0),0)</f>
        <v>2.33352</v>
      </c>
      <c r="BT50" s="48">
        <f>IF(G50="入池",IF(ISNUMBER(R50),R50*('Sheet1-指标体系'!$G$7*'Sheet1-指标体系'!$J$9),0),0)</f>
        <v>3.81808</v>
      </c>
      <c r="BU50" s="48">
        <f>IF(G50="入池",IF(ISNUMBER(W50),W50*('Sheet1-指标体系'!$G$8*'Sheet1-指标体系'!$J$8),0),0)</f>
        <v>3.6</v>
      </c>
      <c r="BV50" s="48">
        <f>IF(G50="入池",IF(ISNUMBER(X50),X50*('Sheet1-指标体系'!$G$8*'Sheet1-指标体系'!$J$9),0),0)</f>
        <v>2.1</v>
      </c>
      <c r="BW50" s="48">
        <f>IF(G50="入池",IF(ISNUMBER(AC50),AC50*('Sheet1-指标体系'!$G$9),0),0)</f>
        <v>23.9875</v>
      </c>
      <c r="BX50" s="48">
        <f>IF(G50="入池",IF(ISNUMBER(AG50),AG50*('Sheet1-指标体系'!$G$10*'Sheet1-指标体系'!$J$8),0),0)</f>
        <v>16.479</v>
      </c>
      <c r="BY50" s="48">
        <f>IF(G50="入池",IF(ISNUMBER(AH50),AH50*('Sheet1-指标体系'!$G$10*'Sheet1-指标体系'!$J$9),0),0)</f>
        <v>12</v>
      </c>
      <c r="BZ50" s="48">
        <f>IF(G50="入池",IF(ISNUMBER(AK50),AK50*('Sheet1-指标体系'!$G$11),0),0)</f>
        <v>8</v>
      </c>
      <c r="CA50" s="49">
        <f>IF(G50="入池",IF(ISNUMBER(I50),'Sheet1-指标体系'!$G$4,0),0)</f>
        <v>0.06</v>
      </c>
      <c r="CB50" s="49">
        <f>IF(G50="入池",IF(ISNUMBER(K50),'Sheet1-指标体系'!$G$5,0),0)</f>
        <v>0.045</v>
      </c>
      <c r="CC50" s="49">
        <f>IF(G50="入池",IF(ISNUMBER(L50),'Sheet1-指标体系'!$G$6,0),0)</f>
        <v>0.045</v>
      </c>
      <c r="CD50" s="49">
        <f>IF(G50="入池",IF(ISNUMBER(Q50),'Sheet1-指标体系'!$G$7*'Sheet1-指标体系'!$J$8,0),0)</f>
        <v>0.084</v>
      </c>
      <c r="CE50" s="49">
        <f>IF(G50="入池",IF(ISNUMBER(R50),'Sheet1-指标体系'!$G$7*'Sheet1-指标体系'!$J$9,0),0)</f>
        <v>0.056</v>
      </c>
      <c r="CF50" s="49">
        <f>IF(G50="入池",IF(ISNUMBER(W50),'Sheet1-指标体系'!$G$8*'Sheet1-指标体系'!$J$8,0),0)</f>
        <v>0.036</v>
      </c>
      <c r="CG50" s="49">
        <f>IF(G50="入池",IF(ISNUMBER(X50),'Sheet1-指标体系'!$G$8*'Sheet1-指标体系'!$J$9,0),0)</f>
        <v>0.024</v>
      </c>
      <c r="CH50" s="49">
        <f>IF(G50="入池",IF(ISNUMBER(AC50),'Sheet1-指标体系'!$G$9,0),0)</f>
        <v>0.25</v>
      </c>
      <c r="CI50" s="49">
        <f>IF(G50="入池",IF(ISNUMBER(AG50),'Sheet1-指标体系'!$G$10*'Sheet1-指标体系'!$J$8,0),0)</f>
        <v>0.18</v>
      </c>
      <c r="CJ50" s="49">
        <f>IF(G50="入池",IF(ISNUMBER(AH50),'Sheet1-指标体系'!$G$10*'Sheet1-指标体系'!$J$9,0),0)</f>
        <v>0.12</v>
      </c>
      <c r="CK50" s="49">
        <f>IF(G50="入池",IF(ISNUMBER(AK50),'Sheet1-指标体系'!$G$11,0),0)</f>
        <v>0.1</v>
      </c>
    </row>
    <row r="51" ht="44" customHeight="1" spans="1:89">
      <c r="A51" s="40">
        <f>'Sheet5-查询核对'!A36-1</f>
        <v>35</v>
      </c>
      <c r="B51" s="24" t="str">
        <f>IF('Sheet4-原始数据'!A36="",'Sheet5-查询核对'!B36,'Sheet4-原始数据'!A36)</f>
        <v>龙帆恒盛稳固9号</v>
      </c>
      <c r="C51" s="22" t="str">
        <f>IF('Sheet4-原始数据'!B36="","",'Sheet4-原始数据'!B36)</f>
        <v>SSX605</v>
      </c>
      <c r="D51" s="22" t="str">
        <f>IF('Sheet4-原始数据'!E36="","",'Sheet4-原始数据'!E36)</f>
        <v>厦门龙帆资管</v>
      </c>
      <c r="E51" s="23">
        <f>IF('Sheet4-原始数据'!F36="","",'Sheet4-原始数据'!F36)</f>
        <v>44489</v>
      </c>
      <c r="F51" s="37">
        <f>IF(ISNUMBER(E51),ROUND(('Sheet1-指标体系'!$J$12-E51)/'Sheet1-指标体系'!$J$14,4),"")</f>
        <v>4.8898</v>
      </c>
      <c r="G51" s="36" t="str">
        <f>IF(C51="","未匹配",IF(NOT(ISNUMBER(F51)),"缺成立日期",IF(F51&lt;'Sheet1-指标体系'!$J$15,"不入池","入池")))</f>
        <v>入池</v>
      </c>
      <c r="H51" s="22" t="str">
        <f>IF('Sheet5-查询核对'!K36="","",'Sheet5-查询核对'!K36)</f>
        <v>5-10亿元</v>
      </c>
      <c r="I51" s="37">
        <f>IF(H51="","",IF(COUNTIF('Sheet1-指标体系'!$P$4:$P$10,H51)=0,"",INDEX('Sheet1-指标体系'!$Q$4:$Q$10,MATCH(H51,'Sheet1-指标体系'!$P$4:$P$10,0))))</f>
        <v>70</v>
      </c>
      <c r="J51" s="44" t="str">
        <f>IF(NOT(ISNUMBER('Sheet5-查询核对'!N36)),"",IF('Sheet5-查询核对'!N36=1,"低于"&amp;'Sheet1-指标体系'!$J$4&amp;"万元",IF('Sheet5-查询核对'!N36=0,"无低于"&amp;'Sheet1-指标体系'!$J$4&amp;"万元标识","")))</f>
        <v>无低于1000万元标识</v>
      </c>
      <c r="K51" s="37">
        <f>IF(NOT(ISNUMBER('Sheet5-查询核对'!N36)),"",IF('Sheet5-查询核对'!N36=1,'Sheet1-指标体系'!$J$21,IF('Sheet5-查询核对'!N36=0,'Sheet1-指标体系'!$J$18,"")))</f>
        <v>100</v>
      </c>
      <c r="L51" s="37">
        <f>IF(NOT(ISNUMBER(F51)),"",IF(F51&lt;'Sheet1-指标体系'!$J$15,"",IF(F51&lt;'Sheet1-指标体系'!$J$16,'Sheet1-指标体系'!$J$17,'Sheet1-指标体系'!$J$18)))</f>
        <v>100</v>
      </c>
      <c r="M51" s="26">
        <f>IF(ISNUMBER('Sheet4-原始数据'!G36),'Sheet4-原始数据'!G36,"")</f>
        <v>0.0869</v>
      </c>
      <c r="N51" s="26">
        <f>IF(ISNUMBER('Sheet4-原始数据'!H36),'Sheet4-原始数据'!H36,"")</f>
        <v>0.0498</v>
      </c>
      <c r="O51" s="26">
        <f>IF(ISNUMBER('Sheet5-查询核对'!Q36),'Sheet5-查询核对'!Q36,"")</f>
        <v>0.0697</v>
      </c>
      <c r="P51" s="45">
        <f>IF(G51&lt;&gt;"入池","",IF(F51&gt;='Sheet1-指标体系'!$J$16,IF(AND(ISNUMBER(M51),ISNUMBER(N51)),IF(AND(1+M51&gt;0,1+N51&gt;=0),((1+N51)^'Sheet1-指标体系'!$J$16/(1+M51))^(1/('Sheet1-指标体系'!$J$16-1))-1,""),""),IF(AND(ISNUMBER(M51),ISNUMBER(O51)),IF(AND(F51&gt;1,1+M51&gt;0,1+O51&gt;=0),((1+O51)^F51/(1+M51))^(1/(F51-1))-1,""),"")))</f>
        <v>0.0317276229367964</v>
      </c>
      <c r="Q51" s="37">
        <f t="shared" si="0"/>
        <v>48.61</v>
      </c>
      <c r="R51" s="37">
        <f t="shared" si="1"/>
        <v>6.06</v>
      </c>
      <c r="S51" s="37">
        <f>IF(ISNUMBER(Q51),IF(ISNUMBER(R51),ROUND(Q51*'Sheet1-指标体系'!$J$8+R51*'Sheet1-指标体系'!$J$9,2),Q51),"")</f>
        <v>31.59</v>
      </c>
      <c r="T51" s="26">
        <f>IF(ISNUMBER('Sheet4-原始数据'!J36),'Sheet4-原始数据'!J36,"")</f>
        <v>0.7692</v>
      </c>
      <c r="U51" s="26">
        <f>IF(ISNUMBER('Sheet4-原始数据'!I36),'Sheet4-原始数据'!I36,"")</f>
        <v>0.7297</v>
      </c>
      <c r="V51" s="45">
        <f>IF(AND(ISNUMBER(T51),ISNUMBER(U51)),(U51*'Sheet1-指标体系'!$J$6-T51*'Sheet1-指标体系'!$J$5)/'Sheet1-指标体系'!$J$7,"")</f>
        <v>0.708304166666667</v>
      </c>
      <c r="W51" s="37">
        <f t="shared" si="2"/>
        <v>76.92</v>
      </c>
      <c r="X51" s="37">
        <f>IF(G51&lt;&gt;"入池","",IF(ISNUMBER(V51),IF(AND(V51&gt;=0,V51&lt;=1),V51*'Sheet1-指标体系'!$J$18,IF(MAX(0,(F51-'Sheet1-指标体系'!$J$15)*'Sheet1-指标体系'!$J$20)&lt;'Sheet1-指标体系'!$J$19,'Sheet1-指标体系'!$J$18,"")),IF(MAX(0,(F51-'Sheet1-指标体系'!$J$15)*'Sheet1-指标体系'!$J$20)&lt;'Sheet1-指标体系'!$J$19,'Sheet1-指标体系'!$J$18,"")))</f>
        <v>70.8304166666667</v>
      </c>
      <c r="Y51" s="37">
        <f>IF(ISNUMBER(W51),IF(ISNUMBER(X51),ROUND(W51*'Sheet1-指标体系'!$J$8+X51*'Sheet1-指标体系'!$J$9,2),W51),"")</f>
        <v>74.48</v>
      </c>
      <c r="Z51" s="45">
        <f t="shared" si="3"/>
        <v>0.00420751930665505</v>
      </c>
      <c r="AA51" s="26">
        <f>IF(ISNUMBER('Sheet4-原始数据'!K36),'Sheet4-原始数据'!K36,"")</f>
        <v>0.013</v>
      </c>
      <c r="AB51" s="45">
        <f t="shared" si="4"/>
        <v>0.013</v>
      </c>
      <c r="AC51" s="37">
        <f t="shared" si="5"/>
        <v>60.81</v>
      </c>
      <c r="AD51" s="30">
        <f>IF(ISNUMBER('Sheet4-原始数据'!M36),'Sheet4-原始数据'!M36,"")</f>
        <v>20.6535</v>
      </c>
      <c r="AE51" s="45">
        <f>IF(AND(ISNUMBER(P51),ISNUMBER(AA51),ISNUMBER(Z51)),IF(AA51&gt;Z51+'Sheet1-指标体系'!$J$11,AA51,""),"")</f>
        <v>0.013</v>
      </c>
      <c r="AF51" s="37">
        <f t="shared" si="6"/>
        <v>2.44058637975357</v>
      </c>
      <c r="AG51" s="37">
        <f t="shared" si="7"/>
        <v>74.65</v>
      </c>
      <c r="AH51" s="37">
        <f t="shared" si="8"/>
        <v>37.5</v>
      </c>
      <c r="AI51" s="37">
        <f>IF(ISNUMBER(AG51),IF(ISNUMBER(AH51),ROUND(AG51*'Sheet1-指标体系'!$J$8+AH51*'Sheet1-指标体系'!$J$9,2),AG51),"")</f>
        <v>59.79</v>
      </c>
      <c r="AJ51" s="45">
        <f>IF(NOT(ISNUMBER(F51)),"",IF(F51&gt;='Sheet1-指标体系'!$J$16,IF(ISNUMBER(N51),N51,""),IF(ISNUMBER(O51),O51,"")))</f>
        <v>0.0498</v>
      </c>
      <c r="AK51" s="37">
        <f>IF(AND(G51="入池",ISNUMBER(M51),ISNUMBER(AJ51)),IF(M51&gt;=AJ51,'Sheet1-指标体系'!$J$18,IF(AJ51-M51&lt;'Sheet1-指标体系'!$J$10,'Sheet1-指标体系'!$J$22,'Sheet1-指标体系'!$J$23)),"")</f>
        <v>100</v>
      </c>
      <c r="AL51" s="37">
        <f>IF((IF(ISNUMBER(I51),'Sheet1-指标体系'!$G$4,0)+IF(ISNUMBER(K51),'Sheet1-指标体系'!$G$5,0)+IF(ISNUMBER(L51),'Sheet1-指标体系'!$G$6,0))&gt;0,ROUND((IF(ISNUMBER(I51),I51*'Sheet1-指标体系'!$G$4,0)+IF(ISNUMBER(K51),K51*'Sheet1-指标体系'!$G$5,0)+IF(ISNUMBER(L51),L51*'Sheet1-指标体系'!$G$6,0))/(IF(ISNUMBER(I51),'Sheet1-指标体系'!$G$4,0)+IF(ISNUMBER(K51),'Sheet1-指标体系'!$G$5,0)+IF(ISNUMBER(L51),'Sheet1-指标体系'!$G$6,0)),2),"")</f>
        <v>88</v>
      </c>
      <c r="AM51" s="37">
        <f t="shared" si="9"/>
        <v>44.46</v>
      </c>
      <c r="AN51" s="37">
        <f t="shared" si="10"/>
        <v>60.81</v>
      </c>
      <c r="AO51" s="37">
        <f t="shared" si="11"/>
        <v>59.79</v>
      </c>
      <c r="AP51" s="37">
        <f t="shared" si="12"/>
        <v>100</v>
      </c>
      <c r="AQ51" s="38">
        <f t="shared" si="13"/>
        <v>1</v>
      </c>
      <c r="AR51" s="37">
        <f t="shared" si="14"/>
        <v>65.23115</v>
      </c>
      <c r="AS51" s="37">
        <f t="shared" si="15"/>
        <v>65.23</v>
      </c>
      <c r="AT51" s="40">
        <f>IF(OR(G51&lt;&gt;"入池",NOT(ISNUMBER(AS51))),"",COUNTIFS($G$17:$G$99,"入池",$AS$17:$AS$99,"&gt;"&amp;AS51)+COUNTIFS($G$17:$G$99,"入池",$AS$17:$AS$99,AS51,$AQ$17:$AQ$99,"&gt;"&amp;AQ51)+COUNTIFS($G$17:G51,"入池",$AS$17:AS51,AS51,$AQ$17:AQ51,AQ51))</f>
        <v>38</v>
      </c>
      <c r="AU51" s="46" t="str">
        <f>IF(NOT(ISNUMBER(I51)),"管理人规模；","")&amp;IF(NOT(ISNUMBER(K51)),"产品规模标识；","")&amp;IF(NOT(ISNUMBER(M51)),"近一年收益；","")&amp;IF(NOT(ISNUMBER(T51)),"近一年胜率；","")&amp;IF(NOT(ISNUMBER(N51)),"近三年收益；","")&amp;IF(NOT(ISNUMBER(U51)),"近三年胜率；","")&amp;IF(NOT(ISNUMBER(AA51)),"近三年回撤；","")&amp;IF(NOT(ISNUMBER(AD51)),"近一年卡玛；","")&amp;IF(ISNUMBER(F51),IF(AND(F51&lt;'Sheet1-指标体系'!$J$16,NOT(ISNUMBER(O51))),"成立以来年化；",""),"成立日期；")&amp;IF(ISNUMBER(V51),IF(OR(V51&lt;0,V51&gt;1),"胜率窗口口径不一致；",""),"")&amp;IF(ISNUMBER(P51),IF(NOT(ISNUMBER(AE51)),"DD_long不可识别；",""),"")</f>
        <v/>
      </c>
      <c r="AV51" s="37">
        <f>IF(ABS(SUM(CA51:CK51)-'Sheet1-指标体系'!$J$25)&lt;0.0000000001,SUM(BP51:BZ51),"")</f>
        <v>65.23115</v>
      </c>
      <c r="AW51" s="36" t="str">
        <f>IF(G51&lt;&gt;"入池",G51,IF(AQ51=0,"无有效评分数据",IF(ROUND(AQ51,10)=ROUND('Sheet1-指标体系'!$J$25,10),"完整赋分","暂定分／数据不完整")))</f>
        <v>完整赋分</v>
      </c>
      <c r="AX51" s="22" t="str">
        <f>IF('Sheet4-原始数据'!C36="","",'Sheet4-原始数据'!C36)</f>
        <v>套利策略</v>
      </c>
      <c r="AY51" s="22" t="str">
        <f>IF('Sheet4-原始数据'!D36="","",'Sheet4-原始数据'!D36)</f>
        <v>期货套利</v>
      </c>
      <c r="AZ51" s="22" t="str">
        <f>IF('Sheet5-查询核对'!S36="","",'Sheet5-查询核对'!S36)</f>
        <v>套利策略—期货套利</v>
      </c>
      <c r="BA51" s="25">
        <f>IF('Sheet5-查询核对'!A36="","",'Sheet5-查询核对'!A36)</f>
        <v>36</v>
      </c>
      <c r="BB51" s="22" t="str">
        <f>IF('Sheet5-查询核对'!F36="","",'Sheet5-查询核对'!F36)</f>
        <v>备案号匹配</v>
      </c>
      <c r="BC51" s="24" t="str">
        <f>IF('Sheet5-查询核对'!I36="","",'Sheet5-查询核对'!I36)</f>
        <v>https://mp.fof99.com/fund/view/3ccbf07c4d4ac642</v>
      </c>
      <c r="BD51" s="23">
        <f>IF('Sheet5-查询核对'!H36="","",'Sheet5-查询核对'!H36)</f>
        <v>46269</v>
      </c>
      <c r="BE51" s="24" t="str">
        <f>IF('Sheet5-查询核对'!L36="","",'Sheet5-查询核对'!L36)</f>
        <v>https://gs.amac.org.cn/amac-infodisc/res/pof/manager/1611020850101525.html</v>
      </c>
      <c r="BF51" s="23">
        <f>IF('Sheet5-查询核对'!M36="","",'Sheet5-查询核对'!M36)</f>
        <v>46276</v>
      </c>
      <c r="BG51" s="24" t="str">
        <f>IF('Sheet5-查询核对'!O36="","",'Sheet5-查询核对'!O36)</f>
        <v>https://gs.amac.org.cn/amac-infodisc/res/pof/fund/2110191748104317.html</v>
      </c>
      <c r="BH51" s="23">
        <f>IF('Sheet5-查询核对'!P36="","",'Sheet5-查询核对'!P36)</f>
        <v>46276</v>
      </c>
      <c r="BI51" s="22" t="str">
        <f>IF('Sheet5-查询核对'!D36="","",'Sheet5-查询核对'!D36)</f>
        <v>SSX605</v>
      </c>
      <c r="BJ51">
        <f>IF(ISNUMBER(AT51),AT51,COUNT($AT$17:$AT$99)+ROWS($AT$17:AT51)-COUNT($AT$17:AT51))</f>
        <v>38</v>
      </c>
      <c r="BK51" s="2">
        <f t="shared" si="16"/>
        <v>1</v>
      </c>
      <c r="BL51" s="2">
        <f t="shared" si="17"/>
        <v>1</v>
      </c>
      <c r="BM51" s="2">
        <f t="shared" si="18"/>
        <v>1</v>
      </c>
      <c r="BN51" s="2">
        <f t="shared" si="19"/>
        <v>1</v>
      </c>
      <c r="BO51" s="2">
        <f t="shared" si="20"/>
        <v>1</v>
      </c>
      <c r="BP51" s="48">
        <f>IF(G51="入池",IF(ISNUMBER(I51),I51*('Sheet1-指标体系'!$G$4),0),0)</f>
        <v>4.2</v>
      </c>
      <c r="BQ51" s="48">
        <f>IF(G51="入池",IF(ISNUMBER(K51),K51*('Sheet1-指标体系'!$G$5),0),0)</f>
        <v>4.5</v>
      </c>
      <c r="BR51" s="48">
        <f>IF(G51="入池",IF(ISNUMBER(L51),L51*('Sheet1-指标体系'!$G$6),0),0)</f>
        <v>4.5</v>
      </c>
      <c r="BS51" s="48">
        <f>IF(G51="入池",IF(ISNUMBER(Q51),Q51*('Sheet1-指标体系'!$G$7*'Sheet1-指标体系'!$J$8),0),0)</f>
        <v>4.08324</v>
      </c>
      <c r="BT51" s="48">
        <f>IF(G51="入池",IF(ISNUMBER(R51),R51*('Sheet1-指标体系'!$G$7*'Sheet1-指标体系'!$J$9),0),0)</f>
        <v>0.33936</v>
      </c>
      <c r="BU51" s="48">
        <f>IF(G51="入池",IF(ISNUMBER(W51),W51*('Sheet1-指标体系'!$G$8*'Sheet1-指标体系'!$J$8),0),0)</f>
        <v>2.76912</v>
      </c>
      <c r="BV51" s="48">
        <f>IF(G51="入池",IF(ISNUMBER(X51),X51*('Sheet1-指标体系'!$G$8*'Sheet1-指标体系'!$J$9),0),0)</f>
        <v>1.69993</v>
      </c>
      <c r="BW51" s="48">
        <f>IF(G51="入池",IF(ISNUMBER(AC51),AC51*('Sheet1-指标体系'!$G$9),0),0)</f>
        <v>15.2025</v>
      </c>
      <c r="BX51" s="48">
        <f>IF(G51="入池",IF(ISNUMBER(AG51),AG51*('Sheet1-指标体系'!$G$10*'Sheet1-指标体系'!$J$8),0),0)</f>
        <v>13.437</v>
      </c>
      <c r="BY51" s="48">
        <f>IF(G51="入池",IF(ISNUMBER(AH51),AH51*('Sheet1-指标体系'!$G$10*'Sheet1-指标体系'!$J$9),0),0)</f>
        <v>4.5</v>
      </c>
      <c r="BZ51" s="48">
        <f>IF(G51="入池",IF(ISNUMBER(AK51),AK51*('Sheet1-指标体系'!$G$11),0),0)</f>
        <v>10</v>
      </c>
      <c r="CA51" s="49">
        <f>IF(G51="入池",IF(ISNUMBER(I51),'Sheet1-指标体系'!$G$4,0),0)</f>
        <v>0.06</v>
      </c>
      <c r="CB51" s="49">
        <f>IF(G51="入池",IF(ISNUMBER(K51),'Sheet1-指标体系'!$G$5,0),0)</f>
        <v>0.045</v>
      </c>
      <c r="CC51" s="49">
        <f>IF(G51="入池",IF(ISNUMBER(L51),'Sheet1-指标体系'!$G$6,0),0)</f>
        <v>0.045</v>
      </c>
      <c r="CD51" s="49">
        <f>IF(G51="入池",IF(ISNUMBER(Q51),'Sheet1-指标体系'!$G$7*'Sheet1-指标体系'!$J$8,0),0)</f>
        <v>0.084</v>
      </c>
      <c r="CE51" s="49">
        <f>IF(G51="入池",IF(ISNUMBER(R51),'Sheet1-指标体系'!$G$7*'Sheet1-指标体系'!$J$9,0),0)</f>
        <v>0.056</v>
      </c>
      <c r="CF51" s="49">
        <f>IF(G51="入池",IF(ISNUMBER(W51),'Sheet1-指标体系'!$G$8*'Sheet1-指标体系'!$J$8,0),0)</f>
        <v>0.036</v>
      </c>
      <c r="CG51" s="49">
        <f>IF(G51="入池",IF(ISNUMBER(X51),'Sheet1-指标体系'!$G$8*'Sheet1-指标体系'!$J$9,0),0)</f>
        <v>0.024</v>
      </c>
      <c r="CH51" s="49">
        <f>IF(G51="入池",IF(ISNUMBER(AC51),'Sheet1-指标体系'!$G$9,0),0)</f>
        <v>0.25</v>
      </c>
      <c r="CI51" s="49">
        <f>IF(G51="入池",IF(ISNUMBER(AG51),'Sheet1-指标体系'!$G$10*'Sheet1-指标体系'!$J$8,0),0)</f>
        <v>0.18</v>
      </c>
      <c r="CJ51" s="49">
        <f>IF(G51="入池",IF(ISNUMBER(AH51),'Sheet1-指标体系'!$G$10*'Sheet1-指标体系'!$J$9,0),0)</f>
        <v>0.12</v>
      </c>
      <c r="CK51" s="49">
        <f>IF(G51="入池",IF(ISNUMBER(AK51),'Sheet1-指标体系'!$G$11,0),0)</f>
        <v>0.1</v>
      </c>
    </row>
    <row r="52" ht="44" customHeight="1" spans="1:89">
      <c r="A52" s="40">
        <f>'Sheet5-查询核对'!A37-1</f>
        <v>36</v>
      </c>
      <c r="B52" s="24" t="str">
        <f>IF('Sheet4-原始数据'!A37="",'Sheet5-查询核对'!B37,'Sheet4-原始数据'!A37)</f>
        <v>龙壹盛善时1号</v>
      </c>
      <c r="C52" s="22" t="str">
        <f>IF('Sheet4-原始数据'!B37="","",'Sheet4-原始数据'!B37)</f>
        <v>SB1261</v>
      </c>
      <c r="D52" s="22" t="str">
        <f>IF('Sheet4-原始数据'!E37="","",'Sheet4-原始数据'!E37)</f>
        <v>杭州龙壹盛</v>
      </c>
      <c r="E52" s="23">
        <f>IF('Sheet4-原始数据'!F37="","",'Sheet4-原始数据'!F37)</f>
        <v>45096</v>
      </c>
      <c r="F52" s="37">
        <f>IF(ISNUMBER(E52),ROUND(('Sheet1-指标体系'!$J$12-E52)/'Sheet1-指标体系'!$J$14,4),"")</f>
        <v>3.2279</v>
      </c>
      <c r="G52" s="36" t="str">
        <f>IF(C52="","未匹配",IF(NOT(ISNUMBER(F52)),"缺成立日期",IF(F52&lt;'Sheet1-指标体系'!$J$15,"不入池","入池")))</f>
        <v>入池</v>
      </c>
      <c r="H52" s="22" t="str">
        <f>IF('Sheet5-查询核对'!K37="","",'Sheet5-查询核对'!K37)</f>
        <v>10-20亿元</v>
      </c>
      <c r="I52" s="37">
        <f>IF(H52="","",IF(COUNTIF('Sheet1-指标体系'!$P$4:$P$10,H52)=0,"",INDEX('Sheet1-指标体系'!$Q$4:$Q$10,MATCH(H52,'Sheet1-指标体系'!$P$4:$P$10,0))))</f>
        <v>80</v>
      </c>
      <c r="J52" s="44" t="str">
        <f>IF(NOT(ISNUMBER('Sheet5-查询核对'!N37)),"",IF('Sheet5-查询核对'!N37=1,"低于"&amp;'Sheet1-指标体系'!$J$4&amp;"万元",IF('Sheet5-查询核对'!N37=0,"无低于"&amp;'Sheet1-指标体系'!$J$4&amp;"万元标识","")))</f>
        <v>无低于1000万元标识</v>
      </c>
      <c r="K52" s="37">
        <f>IF(NOT(ISNUMBER('Sheet5-查询核对'!N37)),"",IF('Sheet5-查询核对'!N37=1,'Sheet1-指标体系'!$J$21,IF('Sheet5-查询核对'!N37=0,'Sheet1-指标体系'!$J$18,"")))</f>
        <v>100</v>
      </c>
      <c r="L52" s="37">
        <f>IF(NOT(ISNUMBER(F52)),"",IF(F52&lt;'Sheet1-指标体系'!$J$15,"",IF(F52&lt;'Sheet1-指标体系'!$J$16,'Sheet1-指标体系'!$J$17,'Sheet1-指标体系'!$J$18)))</f>
        <v>100</v>
      </c>
      <c r="M52" s="26" t="str">
        <f>IF(ISNUMBER('Sheet4-原始数据'!G37),'Sheet4-原始数据'!G37,"")</f>
        <v/>
      </c>
      <c r="N52" s="26" t="str">
        <f>IF(ISNUMBER('Sheet4-原始数据'!H37),'Sheet4-原始数据'!H37,"")</f>
        <v/>
      </c>
      <c r="O52" s="26" t="str">
        <f>IF(ISNUMBER('Sheet5-查询核对'!Q37),'Sheet5-查询核对'!Q37,"")</f>
        <v/>
      </c>
      <c r="P52" s="45" t="str">
        <f>IF(G52&lt;&gt;"入池","",IF(F52&gt;='Sheet1-指标体系'!$J$16,IF(AND(ISNUMBER(M52),ISNUMBER(N52)),IF(AND(1+M52&gt;0,1+N52&gt;=0),((1+N52)^'Sheet1-指标体系'!$J$16/(1+M52))^(1/('Sheet1-指标体系'!$J$16-1))-1,""),""),IF(AND(ISNUMBER(M52),ISNUMBER(O52)),IF(AND(F52&gt;1,1+M52&gt;0,1+O52&gt;=0),((1+O52)^F52/(1+M52))^(1/(F52-1))-1,""),"")))</f>
        <v/>
      </c>
      <c r="Q52" s="37" t="str">
        <f t="shared" si="0"/>
        <v/>
      </c>
      <c r="R52" s="37" t="str">
        <f t="shared" si="1"/>
        <v/>
      </c>
      <c r="S52" s="37" t="str">
        <f>IF(ISNUMBER(Q52),IF(ISNUMBER(R52),ROUND(Q52*'Sheet1-指标体系'!$J$8+R52*'Sheet1-指标体系'!$J$9,2),Q52),"")</f>
        <v/>
      </c>
      <c r="T52" s="26" t="str">
        <f>IF(ISNUMBER('Sheet4-原始数据'!J37),'Sheet4-原始数据'!J37,"")</f>
        <v/>
      </c>
      <c r="U52" s="26" t="str">
        <f>IF(ISNUMBER('Sheet4-原始数据'!I37),'Sheet4-原始数据'!I37,"")</f>
        <v/>
      </c>
      <c r="V52" s="45" t="str">
        <f>IF(AND(ISNUMBER(T52),ISNUMBER(U52)),(U52*'Sheet1-指标体系'!$J$6-T52*'Sheet1-指标体系'!$J$5)/'Sheet1-指标体系'!$J$7,"")</f>
        <v/>
      </c>
      <c r="W52" s="37" t="str">
        <f t="shared" si="2"/>
        <v/>
      </c>
      <c r="X52" s="37" t="str">
        <f>IF(G52&lt;&gt;"入池","",IF(ISNUMBER(V52),IF(AND(V52&gt;=0,V52&lt;=1),V52*'Sheet1-指标体系'!$J$18,IF(MAX(0,(F52-'Sheet1-指标体系'!$J$15)*'Sheet1-指标体系'!$J$20)&lt;'Sheet1-指标体系'!$J$19,'Sheet1-指标体系'!$J$18,"")),IF(MAX(0,(F52-'Sheet1-指标体系'!$J$15)*'Sheet1-指标体系'!$J$20)&lt;'Sheet1-指标体系'!$J$19,'Sheet1-指标体系'!$J$18,"")))</f>
        <v/>
      </c>
      <c r="Y52" s="37" t="str">
        <f>IF(ISNUMBER(W52),IF(ISNUMBER(X52),ROUND(W52*'Sheet1-指标体系'!$J$8+X52*'Sheet1-指标体系'!$J$9,2),W52),"")</f>
        <v/>
      </c>
      <c r="Z52" s="45" t="str">
        <f t="shared" si="3"/>
        <v/>
      </c>
      <c r="AA52" s="26" t="str">
        <f>IF(ISNUMBER('Sheet4-原始数据'!K37),'Sheet4-原始数据'!K37,"")</f>
        <v/>
      </c>
      <c r="AB52" s="45" t="str">
        <f t="shared" si="4"/>
        <v/>
      </c>
      <c r="AC52" s="37" t="str">
        <f t="shared" si="5"/>
        <v/>
      </c>
      <c r="AD52" s="30" t="str">
        <f>IF(ISNUMBER('Sheet4-原始数据'!M37),'Sheet4-原始数据'!M37,"")</f>
        <v/>
      </c>
      <c r="AE52" s="45" t="str">
        <f>IF(AND(ISNUMBER(P52),ISNUMBER(AA52),ISNUMBER(Z52)),IF(AA52&gt;Z52+'Sheet1-指标体系'!$J$11,AA52,""),"")</f>
        <v/>
      </c>
      <c r="AF52" s="37" t="str">
        <f t="shared" si="6"/>
        <v/>
      </c>
      <c r="AG52" s="37" t="str">
        <f t="shared" si="7"/>
        <v/>
      </c>
      <c r="AH52" s="37" t="str">
        <f t="shared" si="8"/>
        <v/>
      </c>
      <c r="AI52" s="37" t="str">
        <f>IF(ISNUMBER(AG52),IF(ISNUMBER(AH52),ROUND(AG52*'Sheet1-指标体系'!$J$8+AH52*'Sheet1-指标体系'!$J$9,2),AG52),"")</f>
        <v/>
      </c>
      <c r="AJ52" s="45" t="str">
        <f>IF(NOT(ISNUMBER(F52)),"",IF(F52&gt;='Sheet1-指标体系'!$J$16,IF(ISNUMBER(N52),N52,""),IF(ISNUMBER(O52),O52,"")))</f>
        <v/>
      </c>
      <c r="AK52" s="37" t="str">
        <f>IF(AND(G52="入池",ISNUMBER(M52),ISNUMBER(AJ52)),IF(M52&gt;=AJ52,'Sheet1-指标体系'!$J$18,IF(AJ52-M52&lt;'Sheet1-指标体系'!$J$10,'Sheet1-指标体系'!$J$22,'Sheet1-指标体系'!$J$23)),"")</f>
        <v/>
      </c>
      <c r="AL52" s="37">
        <f>IF((IF(ISNUMBER(I52),'Sheet1-指标体系'!$G$4,0)+IF(ISNUMBER(K52),'Sheet1-指标体系'!$G$5,0)+IF(ISNUMBER(L52),'Sheet1-指标体系'!$G$6,0))&gt;0,ROUND((IF(ISNUMBER(I52),I52*'Sheet1-指标体系'!$G$4,0)+IF(ISNUMBER(K52),K52*'Sheet1-指标体系'!$G$5,0)+IF(ISNUMBER(L52),L52*'Sheet1-指标体系'!$G$6,0))/(IF(ISNUMBER(I52),'Sheet1-指标体系'!$G$4,0)+IF(ISNUMBER(K52),'Sheet1-指标体系'!$G$5,0)+IF(ISNUMBER(L52),'Sheet1-指标体系'!$G$6,0)),2),"")</f>
        <v>92</v>
      </c>
      <c r="AM52" s="37" t="str">
        <f t="shared" si="9"/>
        <v/>
      </c>
      <c r="AN52" s="37" t="str">
        <f t="shared" si="10"/>
        <v/>
      </c>
      <c r="AO52" s="37" t="str">
        <f t="shared" si="11"/>
        <v/>
      </c>
      <c r="AP52" s="37" t="str">
        <f t="shared" si="12"/>
        <v/>
      </c>
      <c r="AQ52" s="38">
        <f t="shared" si="13"/>
        <v>0.15</v>
      </c>
      <c r="AR52" s="37">
        <f t="shared" si="14"/>
        <v>13.8</v>
      </c>
      <c r="AS52" s="37">
        <f t="shared" si="15"/>
        <v>92</v>
      </c>
      <c r="AT52" s="40">
        <f>IF(OR(G52&lt;&gt;"入池",NOT(ISNUMBER(AS52))),"",COUNTIFS($G$17:$G$99,"入池",$AS$17:$AS$99,"&gt;"&amp;AS52)+COUNTIFS($G$17:$G$99,"入池",$AS$17:$AS$99,AS52,$AQ$17:$AQ$99,"&gt;"&amp;AQ52)+COUNTIFS($G$17:G52,"入池",$AS$17:AS52,AS52,$AQ$17:AQ52,AQ52))</f>
        <v>3</v>
      </c>
      <c r="AU52" s="46" t="str">
        <f>IF(NOT(ISNUMBER(I52)),"管理人规模；","")&amp;IF(NOT(ISNUMBER(K52)),"产品规模标识；","")&amp;IF(NOT(ISNUMBER(M52)),"近一年收益；","")&amp;IF(NOT(ISNUMBER(T52)),"近一年胜率；","")&amp;IF(NOT(ISNUMBER(N52)),"近三年收益；","")&amp;IF(NOT(ISNUMBER(U52)),"近三年胜率；","")&amp;IF(NOT(ISNUMBER(AA52)),"近三年回撤；","")&amp;IF(NOT(ISNUMBER(AD52)),"近一年卡玛；","")&amp;IF(ISNUMBER(F52),IF(AND(F52&lt;'Sheet1-指标体系'!$J$16,NOT(ISNUMBER(O52))),"成立以来年化；",""),"成立日期；")&amp;IF(ISNUMBER(V52),IF(OR(V52&lt;0,V52&gt;1),"胜率窗口口径不一致；",""),"")&amp;IF(ISNUMBER(P52),IF(NOT(ISNUMBER(AE52)),"DD_long不可识别；",""),"")</f>
        <v>近一年收益；近一年胜率；近三年收益；近三年胜率；近三年回撤；近一年卡玛；</v>
      </c>
      <c r="AV52" s="37" t="str">
        <f>IF(ABS(SUM(CA52:CK52)-'Sheet1-指标体系'!$J$25)&lt;0.0000000001,SUM(BP52:BZ52),"")</f>
        <v/>
      </c>
      <c r="AW52" s="36" t="str">
        <f>IF(G52&lt;&gt;"入池",G52,IF(AQ52=0,"无有效评分数据",IF(ROUND(AQ52,10)=ROUND('Sheet1-指标体系'!$J$25,10),"完整赋分","暂定分／数据不完整")))</f>
        <v>暂定分／数据不完整</v>
      </c>
      <c r="AX52" s="22" t="str">
        <f>IF('Sheet4-原始数据'!C37="","",'Sheet4-原始数据'!C37)</f>
        <v>套利策略</v>
      </c>
      <c r="AY52" s="22" t="str">
        <f>IF('Sheet4-原始数据'!D37="","",'Sheet4-原始数据'!D37)</f>
        <v>期货套利</v>
      </c>
      <c r="AZ52" s="22" t="str">
        <f>IF('Sheet5-查询核对'!S37="","",'Sheet5-查询核对'!S37)</f>
        <v>套利策略—期货套利</v>
      </c>
      <c r="BA52" s="25">
        <f>IF('Sheet5-查询核对'!A37="","",'Sheet5-查询核对'!A37)</f>
        <v>37</v>
      </c>
      <c r="BB52" s="22" t="str">
        <f>IF('Sheet5-查询核对'!F37="","",'Sheet5-查询核对'!F37)</f>
        <v>备案号匹配</v>
      </c>
      <c r="BC52" s="24" t="str">
        <f>IF('Sheet5-查询核对'!I37="","",'Sheet5-查询核对'!I37)</f>
        <v>https://mp.fof99.com/fund/view/beb13b86d2a4cfb2</v>
      </c>
      <c r="BD52" s="23">
        <f>IF('Sheet5-查询核对'!H37="","",'Sheet5-查询核对'!H37)</f>
        <v>46269</v>
      </c>
      <c r="BE52" s="24" t="str">
        <f>IF('Sheet5-查询核对'!L37="","",'Sheet5-查询核对'!L37)</f>
        <v>https://gs.amac.org.cn/amac-infodisc/res/pof/manager/2303061547109927.html</v>
      </c>
      <c r="BF52" s="23">
        <f>IF('Sheet5-查询核对'!M37="","",'Sheet5-查询核对'!M37)</f>
        <v>46276</v>
      </c>
      <c r="BG52" s="24" t="str">
        <f>IF('Sheet5-查询核对'!O37="","",'Sheet5-查询核对'!O37)</f>
        <v>https://gs.amac.org.cn/amac-infodisc/res/pof/fund/2306261750102641.html</v>
      </c>
      <c r="BH52" s="23">
        <f>IF('Sheet5-查询核对'!P37="","",'Sheet5-查询核对'!P37)</f>
        <v>46276</v>
      </c>
      <c r="BI52" s="22" t="str">
        <f>IF('Sheet5-查询核对'!D37="","",'Sheet5-查询核对'!D37)</f>
        <v>SB1261</v>
      </c>
      <c r="BJ52">
        <f>IF(ISNUMBER(AT52),AT52,COUNT($AT$17:$AT$99)+ROWS($AT$17:AT52)-COUNT($AT$17:AT52))</f>
        <v>3</v>
      </c>
      <c r="BK52" s="2">
        <f t="shared" si="16"/>
        <v>0</v>
      </c>
      <c r="BL52" s="2">
        <f t="shared" si="17"/>
        <v>0</v>
      </c>
      <c r="BM52" s="2">
        <f t="shared" si="18"/>
        <v>0</v>
      </c>
      <c r="BN52" s="2">
        <f t="shared" si="19"/>
        <v>0</v>
      </c>
      <c r="BO52" s="2">
        <f t="shared" si="20"/>
        <v>0</v>
      </c>
      <c r="BP52" s="48">
        <f>IF(G52="入池",IF(ISNUMBER(I52),I52*('Sheet1-指标体系'!$G$4),0),0)</f>
        <v>4.8</v>
      </c>
      <c r="BQ52" s="48">
        <f>IF(G52="入池",IF(ISNUMBER(K52),K52*('Sheet1-指标体系'!$G$5),0),0)</f>
        <v>4.5</v>
      </c>
      <c r="BR52" s="48">
        <f>IF(G52="入池",IF(ISNUMBER(L52),L52*('Sheet1-指标体系'!$G$6),0),0)</f>
        <v>4.5</v>
      </c>
      <c r="BS52" s="48">
        <f>IF(G52="入池",IF(ISNUMBER(Q52),Q52*('Sheet1-指标体系'!$G$7*'Sheet1-指标体系'!$J$8),0),0)</f>
        <v>0</v>
      </c>
      <c r="BT52" s="48">
        <f>IF(G52="入池",IF(ISNUMBER(R52),R52*('Sheet1-指标体系'!$G$7*'Sheet1-指标体系'!$J$9),0),0)</f>
        <v>0</v>
      </c>
      <c r="BU52" s="48">
        <f>IF(G52="入池",IF(ISNUMBER(W52),W52*('Sheet1-指标体系'!$G$8*'Sheet1-指标体系'!$J$8),0),0)</f>
        <v>0</v>
      </c>
      <c r="BV52" s="48">
        <f>IF(G52="入池",IF(ISNUMBER(X52),X52*('Sheet1-指标体系'!$G$8*'Sheet1-指标体系'!$J$9),0),0)</f>
        <v>0</v>
      </c>
      <c r="BW52" s="48">
        <f>IF(G52="入池",IF(ISNUMBER(AC52),AC52*('Sheet1-指标体系'!$G$9),0),0)</f>
        <v>0</v>
      </c>
      <c r="BX52" s="48">
        <f>IF(G52="入池",IF(ISNUMBER(AG52),AG52*('Sheet1-指标体系'!$G$10*'Sheet1-指标体系'!$J$8),0),0)</f>
        <v>0</v>
      </c>
      <c r="BY52" s="48">
        <f>IF(G52="入池",IF(ISNUMBER(AH52),AH52*('Sheet1-指标体系'!$G$10*'Sheet1-指标体系'!$J$9),0),0)</f>
        <v>0</v>
      </c>
      <c r="BZ52" s="48">
        <f>IF(G52="入池",IF(ISNUMBER(AK52),AK52*('Sheet1-指标体系'!$G$11),0),0)</f>
        <v>0</v>
      </c>
      <c r="CA52" s="49">
        <f>IF(G52="入池",IF(ISNUMBER(I52),'Sheet1-指标体系'!$G$4,0),0)</f>
        <v>0.06</v>
      </c>
      <c r="CB52" s="49">
        <f>IF(G52="入池",IF(ISNUMBER(K52),'Sheet1-指标体系'!$G$5,0),0)</f>
        <v>0.045</v>
      </c>
      <c r="CC52" s="49">
        <f>IF(G52="入池",IF(ISNUMBER(L52),'Sheet1-指标体系'!$G$6,0),0)</f>
        <v>0.045</v>
      </c>
      <c r="CD52" s="49">
        <f>IF(G52="入池",IF(ISNUMBER(Q52),'Sheet1-指标体系'!$G$7*'Sheet1-指标体系'!$J$8,0),0)</f>
        <v>0</v>
      </c>
      <c r="CE52" s="49">
        <f>IF(G52="入池",IF(ISNUMBER(R52),'Sheet1-指标体系'!$G$7*'Sheet1-指标体系'!$J$9,0),0)</f>
        <v>0</v>
      </c>
      <c r="CF52" s="49">
        <f>IF(G52="入池",IF(ISNUMBER(W52),'Sheet1-指标体系'!$G$8*'Sheet1-指标体系'!$J$8,0),0)</f>
        <v>0</v>
      </c>
      <c r="CG52" s="49">
        <f>IF(G52="入池",IF(ISNUMBER(X52),'Sheet1-指标体系'!$G$8*'Sheet1-指标体系'!$J$9,0),0)</f>
        <v>0</v>
      </c>
      <c r="CH52" s="49">
        <f>IF(G52="入池",IF(ISNUMBER(AC52),'Sheet1-指标体系'!$G$9,0),0)</f>
        <v>0</v>
      </c>
      <c r="CI52" s="49">
        <f>IF(G52="入池",IF(ISNUMBER(AG52),'Sheet1-指标体系'!$G$10*'Sheet1-指标体系'!$J$8,0),0)</f>
        <v>0</v>
      </c>
      <c r="CJ52" s="49">
        <f>IF(G52="入池",IF(ISNUMBER(AH52),'Sheet1-指标体系'!$G$10*'Sheet1-指标体系'!$J$9,0),0)</f>
        <v>0</v>
      </c>
      <c r="CK52" s="49">
        <f>IF(G52="入池",IF(ISNUMBER(AK52),'Sheet1-指标体系'!$G$11,0),0)</f>
        <v>0</v>
      </c>
    </row>
    <row r="53" ht="44" customHeight="1" spans="1:89">
      <c r="A53" s="40">
        <f>'Sheet5-查询核对'!A38-1</f>
        <v>37</v>
      </c>
      <c r="B53" s="24" t="str">
        <f>IF('Sheet4-原始数据'!A38="",'Sheet5-查询核对'!B38,'Sheet4-原始数据'!A38)</f>
        <v>鸣熙资产-招享套利1号</v>
      </c>
      <c r="C53" s="22" t="str">
        <f>IF('Sheet4-原始数据'!B38="","",'Sheet4-原始数据'!B38)</f>
        <v>SJZ381</v>
      </c>
      <c r="D53" s="22" t="str">
        <f>IF('Sheet4-原始数据'!E38="","",'Sheet4-原始数据'!E38)</f>
        <v>鸣熙资本</v>
      </c>
      <c r="E53" s="23">
        <f>IF('Sheet4-原始数据'!F38="","",'Sheet4-原始数据'!F38)</f>
        <v>43937</v>
      </c>
      <c r="F53" s="37">
        <f>IF(ISNUMBER(E53),ROUND(('Sheet1-指标体系'!$J$12-E53)/'Sheet1-指标体系'!$J$14,4),"")</f>
        <v>6.4011</v>
      </c>
      <c r="G53" s="36" t="str">
        <f>IF(C53="","未匹配",IF(NOT(ISNUMBER(F53)),"缺成立日期",IF(F53&lt;'Sheet1-指标体系'!$J$15,"不入池","入池")))</f>
        <v>入池</v>
      </c>
      <c r="H53" s="22" t="str">
        <f>IF('Sheet5-查询核对'!K38="","",'Sheet5-查询核对'!K38)</f>
        <v>100亿元以上</v>
      </c>
      <c r="I53" s="37">
        <f>IF(H53="","",IF(COUNTIF('Sheet1-指标体系'!$P$4:$P$10,H53)=0,"",INDEX('Sheet1-指标体系'!$Q$4:$Q$10,MATCH(H53,'Sheet1-指标体系'!$P$4:$P$10,0))))</f>
        <v>100</v>
      </c>
      <c r="J53" s="44" t="str">
        <f>IF(NOT(ISNUMBER('Sheet5-查询核对'!N38)),"",IF('Sheet5-查询核对'!N38=1,"低于"&amp;'Sheet1-指标体系'!$J$4&amp;"万元",IF('Sheet5-查询核对'!N38=0,"无低于"&amp;'Sheet1-指标体系'!$J$4&amp;"万元标识","")))</f>
        <v>无低于1000万元标识</v>
      </c>
      <c r="K53" s="37">
        <f>IF(NOT(ISNUMBER('Sheet5-查询核对'!N38)),"",IF('Sheet5-查询核对'!N38=1,'Sheet1-指标体系'!$J$21,IF('Sheet5-查询核对'!N38=0,'Sheet1-指标体系'!$J$18,"")))</f>
        <v>100</v>
      </c>
      <c r="L53" s="37">
        <f>IF(NOT(ISNUMBER(F53)),"",IF(F53&lt;'Sheet1-指标体系'!$J$15,"",IF(F53&lt;'Sheet1-指标体系'!$J$16,'Sheet1-指标体系'!$J$17,'Sheet1-指标体系'!$J$18)))</f>
        <v>100</v>
      </c>
      <c r="M53" s="26">
        <f>IF(ISNUMBER('Sheet4-原始数据'!G38),'Sheet4-原始数据'!G38,"")</f>
        <v>0.0406</v>
      </c>
      <c r="N53" s="26">
        <f>IF(ISNUMBER('Sheet4-原始数据'!H38),'Sheet4-原始数据'!H38,"")</f>
        <v>0.0728</v>
      </c>
      <c r="O53" s="26">
        <f>IF(ISNUMBER('Sheet5-查询核对'!Q38),'Sheet5-查询核对'!Q38,"")</f>
        <v>0.1002</v>
      </c>
      <c r="P53" s="45">
        <f>IF(G53&lt;&gt;"入池","",IF(F53&gt;='Sheet1-指标体系'!$J$16,IF(AND(ISNUMBER(M53),ISNUMBER(N53)),IF(AND(1+M53&gt;0,1+N53&gt;=0),((1+N53)^'Sheet1-指标体系'!$J$16/(1+M53))^(1/('Sheet1-指标体系'!$J$16-1))-1,""),""),IF(AND(ISNUMBER(M53),ISNUMBER(O53)),IF(AND(F53&gt;1,1+M53&gt;0,1+O53&gt;=0),((1+O53)^F53/(1+M53))^(1/(F53-1))-1,""),"")))</f>
        <v>0.0892717400409042</v>
      </c>
      <c r="Q53" s="37">
        <f t="shared" si="0"/>
        <v>18.06</v>
      </c>
      <c r="R53" s="37">
        <f t="shared" si="1"/>
        <v>63.64</v>
      </c>
      <c r="S53" s="37">
        <f>IF(ISNUMBER(Q53),IF(ISNUMBER(R53),ROUND(Q53*'Sheet1-指标体系'!$J$8+R53*'Sheet1-指标体系'!$J$9,2),Q53),"")</f>
        <v>36.29</v>
      </c>
      <c r="T53" s="26">
        <f>IF(ISNUMBER('Sheet4-原始数据'!J38),'Sheet4-原始数据'!J38,"")</f>
        <v>0.7692</v>
      </c>
      <c r="U53" s="26">
        <f>IF(ISNUMBER('Sheet4-原始数据'!I38),'Sheet4-原始数据'!I38,"")</f>
        <v>0.8919</v>
      </c>
      <c r="V53" s="45">
        <f>IF(AND(ISNUMBER(T53),ISNUMBER(U53)),(U53*'Sheet1-指标体系'!$J$6-T53*'Sheet1-指标体系'!$J$5)/'Sheet1-指标体系'!$J$7,"")</f>
        <v>0.9583625</v>
      </c>
      <c r="W53" s="37">
        <f t="shared" si="2"/>
        <v>76.92</v>
      </c>
      <c r="X53" s="37">
        <f>IF(G53&lt;&gt;"入池","",IF(ISNUMBER(V53),IF(AND(V53&gt;=0,V53&lt;=1),V53*'Sheet1-指标体系'!$J$18,IF(MAX(0,(F53-'Sheet1-指标体系'!$J$15)*'Sheet1-指标体系'!$J$20)&lt;'Sheet1-指标体系'!$J$19,'Sheet1-指标体系'!$J$18,"")),IF(MAX(0,(F53-'Sheet1-指标体系'!$J$15)*'Sheet1-指标体系'!$J$20)&lt;'Sheet1-指标体系'!$J$19,'Sheet1-指标体系'!$J$18,"")))</f>
        <v>95.83625</v>
      </c>
      <c r="Y53" s="37">
        <f>IF(ISNUMBER(W53),IF(ISNUMBER(X53),ROUND(W53*'Sheet1-指标体系'!$J$8+X53*'Sheet1-指标体系'!$J$9,2),W53),"")</f>
        <v>84.49</v>
      </c>
      <c r="Z53" s="45">
        <f t="shared" si="3"/>
        <v>0.0046932075646183</v>
      </c>
      <c r="AA53" s="26">
        <f>IF(ISNUMBER('Sheet4-原始数据'!K38),'Sheet4-原始数据'!K38,"")</f>
        <v>0.0047</v>
      </c>
      <c r="AB53" s="45">
        <f t="shared" si="4"/>
        <v>0.0047</v>
      </c>
      <c r="AC53" s="37">
        <f t="shared" si="5"/>
        <v>89.19</v>
      </c>
      <c r="AD53" s="30">
        <f>IF(ISNUMBER('Sheet4-原始数据'!M38),'Sheet4-原始数据'!M38,"")</f>
        <v>8.6508</v>
      </c>
      <c r="AE53" s="45" t="str">
        <f>IF(AND(ISNUMBER(P53),ISNUMBER(AA53),ISNUMBER(Z53)),IF(AA53&gt;Z53+'Sheet1-指标体系'!$J$11,AA53,""),"")</f>
        <v/>
      </c>
      <c r="AF53" s="37" t="str">
        <f t="shared" si="6"/>
        <v/>
      </c>
      <c r="AG53" s="37">
        <f t="shared" si="7"/>
        <v>50.7</v>
      </c>
      <c r="AH53" s="37" t="str">
        <f t="shared" si="8"/>
        <v/>
      </c>
      <c r="AI53" s="37">
        <f>IF(ISNUMBER(AG53),IF(ISNUMBER(AH53),ROUND(AG53*'Sheet1-指标体系'!$J$8+AH53*'Sheet1-指标体系'!$J$9,2),AG53),"")</f>
        <v>50.7</v>
      </c>
      <c r="AJ53" s="45">
        <f>IF(NOT(ISNUMBER(F53)),"",IF(F53&gt;='Sheet1-指标体系'!$J$16,IF(ISNUMBER(N53),N53,""),IF(ISNUMBER(O53),O53,"")))</f>
        <v>0.0728</v>
      </c>
      <c r="AK53" s="37">
        <f>IF(AND(G53="入池",ISNUMBER(M53),ISNUMBER(AJ53)),IF(M53&gt;=AJ53,'Sheet1-指标体系'!$J$18,IF(AJ53-M53&lt;'Sheet1-指标体系'!$J$10,'Sheet1-指标体系'!$J$22,'Sheet1-指标体系'!$J$23)),"")</f>
        <v>80</v>
      </c>
      <c r="AL53" s="37">
        <f>IF((IF(ISNUMBER(I53),'Sheet1-指标体系'!$G$4,0)+IF(ISNUMBER(K53),'Sheet1-指标体系'!$G$5,0)+IF(ISNUMBER(L53),'Sheet1-指标体系'!$G$6,0))&gt;0,ROUND((IF(ISNUMBER(I53),I53*'Sheet1-指标体系'!$G$4,0)+IF(ISNUMBER(K53),K53*'Sheet1-指标体系'!$G$5,0)+IF(ISNUMBER(L53),L53*'Sheet1-指标体系'!$G$6,0))/(IF(ISNUMBER(I53),'Sheet1-指标体系'!$G$4,0)+IF(ISNUMBER(K53),'Sheet1-指标体系'!$G$5,0)+IF(ISNUMBER(L53),'Sheet1-指标体系'!$G$6,0)),2),"")</f>
        <v>100</v>
      </c>
      <c r="AM53" s="37">
        <f t="shared" si="9"/>
        <v>50.75</v>
      </c>
      <c r="AN53" s="37">
        <f t="shared" si="10"/>
        <v>89.19</v>
      </c>
      <c r="AO53" s="37">
        <f t="shared" si="11"/>
        <v>50.7</v>
      </c>
      <c r="AP53" s="37">
        <f t="shared" si="12"/>
        <v>80</v>
      </c>
      <c r="AQ53" s="38">
        <f t="shared" si="13"/>
        <v>0.88</v>
      </c>
      <c r="AR53" s="37">
        <f t="shared" si="14"/>
        <v>64.57357</v>
      </c>
      <c r="AS53" s="37">
        <f t="shared" si="15"/>
        <v>73.38</v>
      </c>
      <c r="AT53" s="40">
        <f>IF(OR(G53&lt;&gt;"入池",NOT(ISNUMBER(AS53))),"",COUNTIFS($G$17:$G$99,"入池",$AS$17:$AS$99,"&gt;"&amp;AS53)+COUNTIFS($G$17:$G$99,"入池",$AS$17:$AS$99,AS53,$AQ$17:$AQ$99,"&gt;"&amp;AQ53)+COUNTIFS($G$17:G53,"入池",$AS$17:AS53,AS53,$AQ$17:AQ53,AQ53))</f>
        <v>25</v>
      </c>
      <c r="AU53" s="46" t="str">
        <f>IF(NOT(ISNUMBER(I53)),"管理人规模；","")&amp;IF(NOT(ISNUMBER(K53)),"产品规模标识；","")&amp;IF(NOT(ISNUMBER(M53)),"近一年收益；","")&amp;IF(NOT(ISNUMBER(T53)),"近一年胜率；","")&amp;IF(NOT(ISNUMBER(N53)),"近三年收益；","")&amp;IF(NOT(ISNUMBER(U53)),"近三年胜率；","")&amp;IF(NOT(ISNUMBER(AA53)),"近三年回撤；","")&amp;IF(NOT(ISNUMBER(AD53)),"近一年卡玛；","")&amp;IF(ISNUMBER(F53),IF(AND(F53&lt;'Sheet1-指标体系'!$J$16,NOT(ISNUMBER(O53))),"成立以来年化；",""),"成立日期；")&amp;IF(ISNUMBER(V53),IF(OR(V53&lt;0,V53&gt;1),"胜率窗口口径不一致；",""),"")&amp;IF(ISNUMBER(P53),IF(NOT(ISNUMBER(AE53)),"DD_long不可识别；",""),"")</f>
        <v>DD_long不可识别；</v>
      </c>
      <c r="AV53" s="37" t="str">
        <f>IF(ABS(SUM(CA53:CK53)-'Sheet1-指标体系'!$J$25)&lt;0.0000000001,SUM(BP53:BZ53),"")</f>
        <v/>
      </c>
      <c r="AW53" s="36" t="str">
        <f>IF(G53&lt;&gt;"入池",G53,IF(AQ53=0,"无有效评分数据",IF(ROUND(AQ53,10)=ROUND('Sheet1-指标体系'!$J$25,10),"完整赋分","暂定分／数据不完整")))</f>
        <v>暂定分／数据不完整</v>
      </c>
      <c r="AX53" s="22" t="str">
        <f>IF('Sheet4-原始数据'!C38="","",'Sheet4-原始数据'!C38)</f>
        <v>套利策略</v>
      </c>
      <c r="AY53" s="22" t="str">
        <f>IF('Sheet4-原始数据'!D38="","",'Sheet4-原始数据'!D38)</f>
        <v>期货套利</v>
      </c>
      <c r="AZ53" s="22" t="str">
        <f>IF('Sheet5-查询核对'!S38="","",'Sheet5-查询核对'!S38)</f>
        <v>套利策略—期货套利</v>
      </c>
      <c r="BA53" s="25">
        <f>IF('Sheet5-查询核对'!A38="","",'Sheet5-查询核对'!A38)</f>
        <v>38</v>
      </c>
      <c r="BB53" s="22" t="str">
        <f>IF('Sheet5-查询核对'!F38="","",'Sheet5-查询核对'!F38)</f>
        <v>备案号匹配</v>
      </c>
      <c r="BC53" s="24" t="str">
        <f>IF('Sheet5-查询核对'!I38="","",'Sheet5-查询核对'!I38)</f>
        <v>https://mp.fof99.com/fund/view/28d3372af2406528</v>
      </c>
      <c r="BD53" s="23">
        <f>IF('Sheet5-查询核对'!H38="","",'Sheet5-查询核对'!H38)</f>
        <v>46269</v>
      </c>
      <c r="BE53" s="24" t="str">
        <f>IF('Sheet5-查询核对'!L38="","",'Sheet5-查询核对'!L38)</f>
        <v>https://gs.amac.org.cn/amac-infodisc/res/pof/manager/101000039347.html</v>
      </c>
      <c r="BF53" s="23">
        <f>IF('Sheet5-查询核对'!M38="","",'Sheet5-查询核对'!M38)</f>
        <v>46276</v>
      </c>
      <c r="BG53" s="24" t="str">
        <f>IF('Sheet5-查询核对'!O38="","",'Sheet5-查询核对'!O38)</f>
        <v>https://gs.amac.org.cn/amac-infodisc/res/pof/fund/2004141732109376.html</v>
      </c>
      <c r="BH53" s="23">
        <f>IF('Sheet5-查询核对'!P38="","",'Sheet5-查询核对'!P38)</f>
        <v>46276</v>
      </c>
      <c r="BI53" s="22" t="str">
        <f>IF('Sheet5-查询核对'!D38="","",'Sheet5-查询核对'!D38)</f>
        <v>SJZ381</v>
      </c>
      <c r="BJ53">
        <f>IF(ISNUMBER(AT53),AT53,COUNT($AT$17:$AT$99)+ROWS($AT$17:AT53)-COUNT($AT$17:AT53))</f>
        <v>25</v>
      </c>
      <c r="BK53" s="2">
        <f t="shared" si="16"/>
        <v>1</v>
      </c>
      <c r="BL53" s="2">
        <f t="shared" si="17"/>
        <v>1</v>
      </c>
      <c r="BM53" s="2">
        <f t="shared" si="18"/>
        <v>1</v>
      </c>
      <c r="BN53" s="2">
        <f t="shared" si="19"/>
        <v>1</v>
      </c>
      <c r="BO53" s="2">
        <f t="shared" si="20"/>
        <v>0</v>
      </c>
      <c r="BP53" s="48">
        <f>IF(G53="入池",IF(ISNUMBER(I53),I53*('Sheet1-指标体系'!$G$4),0),0)</f>
        <v>6</v>
      </c>
      <c r="BQ53" s="48">
        <f>IF(G53="入池",IF(ISNUMBER(K53),K53*('Sheet1-指标体系'!$G$5),0),0)</f>
        <v>4.5</v>
      </c>
      <c r="BR53" s="48">
        <f>IF(G53="入池",IF(ISNUMBER(L53),L53*('Sheet1-指标体系'!$G$6),0),0)</f>
        <v>4.5</v>
      </c>
      <c r="BS53" s="48">
        <f>IF(G53="入池",IF(ISNUMBER(Q53),Q53*('Sheet1-指标体系'!$G$7*'Sheet1-指标体系'!$J$8),0),0)</f>
        <v>1.51704</v>
      </c>
      <c r="BT53" s="48">
        <f>IF(G53="入池",IF(ISNUMBER(R53),R53*('Sheet1-指标体系'!$G$7*'Sheet1-指标体系'!$J$9),0),0)</f>
        <v>3.56384</v>
      </c>
      <c r="BU53" s="48">
        <f>IF(G53="入池",IF(ISNUMBER(W53),W53*('Sheet1-指标体系'!$G$8*'Sheet1-指标体系'!$J$8),0),0)</f>
        <v>2.76912</v>
      </c>
      <c r="BV53" s="48">
        <f>IF(G53="入池",IF(ISNUMBER(X53),X53*('Sheet1-指标体系'!$G$8*'Sheet1-指标体系'!$J$9),0),0)</f>
        <v>2.30007</v>
      </c>
      <c r="BW53" s="48">
        <f>IF(G53="入池",IF(ISNUMBER(AC53),AC53*('Sheet1-指标体系'!$G$9),0),0)</f>
        <v>22.2975</v>
      </c>
      <c r="BX53" s="48">
        <f>IF(G53="入池",IF(ISNUMBER(AG53),AG53*('Sheet1-指标体系'!$G$10*'Sheet1-指标体系'!$J$8),0),0)</f>
        <v>9.126</v>
      </c>
      <c r="BY53" s="48">
        <f>IF(G53="入池",IF(ISNUMBER(AH53),AH53*('Sheet1-指标体系'!$G$10*'Sheet1-指标体系'!$J$9),0),0)</f>
        <v>0</v>
      </c>
      <c r="BZ53" s="48">
        <f>IF(G53="入池",IF(ISNUMBER(AK53),AK53*('Sheet1-指标体系'!$G$11),0),0)</f>
        <v>8</v>
      </c>
      <c r="CA53" s="49">
        <f>IF(G53="入池",IF(ISNUMBER(I53),'Sheet1-指标体系'!$G$4,0),0)</f>
        <v>0.06</v>
      </c>
      <c r="CB53" s="49">
        <f>IF(G53="入池",IF(ISNUMBER(K53),'Sheet1-指标体系'!$G$5,0),0)</f>
        <v>0.045</v>
      </c>
      <c r="CC53" s="49">
        <f>IF(G53="入池",IF(ISNUMBER(L53),'Sheet1-指标体系'!$G$6,0),0)</f>
        <v>0.045</v>
      </c>
      <c r="CD53" s="49">
        <f>IF(G53="入池",IF(ISNUMBER(Q53),'Sheet1-指标体系'!$G$7*'Sheet1-指标体系'!$J$8,0),0)</f>
        <v>0.084</v>
      </c>
      <c r="CE53" s="49">
        <f>IF(G53="入池",IF(ISNUMBER(R53),'Sheet1-指标体系'!$G$7*'Sheet1-指标体系'!$J$9,0),0)</f>
        <v>0.056</v>
      </c>
      <c r="CF53" s="49">
        <f>IF(G53="入池",IF(ISNUMBER(W53),'Sheet1-指标体系'!$G$8*'Sheet1-指标体系'!$J$8,0),0)</f>
        <v>0.036</v>
      </c>
      <c r="CG53" s="49">
        <f>IF(G53="入池",IF(ISNUMBER(X53),'Sheet1-指标体系'!$G$8*'Sheet1-指标体系'!$J$9,0),0)</f>
        <v>0.024</v>
      </c>
      <c r="CH53" s="49">
        <f>IF(G53="入池",IF(ISNUMBER(AC53),'Sheet1-指标体系'!$G$9,0),0)</f>
        <v>0.25</v>
      </c>
      <c r="CI53" s="49">
        <f>IF(G53="入池",IF(ISNUMBER(AG53),'Sheet1-指标体系'!$G$10*'Sheet1-指标体系'!$J$8,0),0)</f>
        <v>0.18</v>
      </c>
      <c r="CJ53" s="49">
        <f>IF(G53="入池",IF(ISNUMBER(AH53),'Sheet1-指标体系'!$G$10*'Sheet1-指标体系'!$J$9,0),0)</f>
        <v>0</v>
      </c>
      <c r="CK53" s="49">
        <f>IF(G53="入池",IF(ISNUMBER(AK53),'Sheet1-指标体系'!$G$11,0),0)</f>
        <v>0.1</v>
      </c>
    </row>
    <row r="54" ht="44" customHeight="1" spans="1:89">
      <c r="A54" s="40">
        <f>'Sheet5-查询核对'!A39-1</f>
        <v>38</v>
      </c>
      <c r="B54" s="24" t="str">
        <f>IF('Sheet4-原始数据'!A39="",'Sheet5-查询核对'!B39,'Sheet4-原始数据'!A39)</f>
        <v>铭杉量化稳健5号</v>
      </c>
      <c r="C54" s="22" t="str">
        <f>IF('Sheet4-原始数据'!B39="","",'Sheet4-原始数据'!B39)</f>
        <v>SLT573</v>
      </c>
      <c r="D54" s="22" t="str">
        <f>IF('Sheet4-原始数据'!E39="","",'Sheet4-原始数据'!E39)</f>
        <v>上海铭杉投资</v>
      </c>
      <c r="E54" s="23">
        <f>IF('Sheet4-原始数据'!F39="","",'Sheet4-原始数据'!F39)</f>
        <v>44088</v>
      </c>
      <c r="F54" s="37">
        <f>IF(ISNUMBER(E54),ROUND(('Sheet1-指标体系'!$J$12-E54)/'Sheet1-指标体系'!$J$14,4),"")</f>
        <v>5.9877</v>
      </c>
      <c r="G54" s="36" t="str">
        <f>IF(C54="","未匹配",IF(NOT(ISNUMBER(F54)),"缺成立日期",IF(F54&lt;'Sheet1-指标体系'!$J$15,"不入池","入池")))</f>
        <v>入池</v>
      </c>
      <c r="H54" s="22" t="str">
        <f>IF('Sheet5-查询核对'!K39="","",'Sheet5-查询核对'!K39)</f>
        <v>0-5亿元</v>
      </c>
      <c r="I54" s="37">
        <f>IF(H54="","",IF(COUNTIF('Sheet1-指标体系'!$P$4:$P$10,H54)=0,"",INDEX('Sheet1-指标体系'!$Q$4:$Q$10,MATCH(H54,'Sheet1-指标体系'!$P$4:$P$10,0))))</f>
        <v>60</v>
      </c>
      <c r="J54" s="44" t="str">
        <f>IF(NOT(ISNUMBER('Sheet5-查询核对'!N39)),"",IF('Sheet5-查询核对'!N39=1,"低于"&amp;'Sheet1-指标体系'!$J$4&amp;"万元",IF('Sheet5-查询核对'!N39=0,"无低于"&amp;'Sheet1-指标体系'!$J$4&amp;"万元标识","")))</f>
        <v>低于1000万元</v>
      </c>
      <c r="K54" s="37">
        <f>IF(NOT(ISNUMBER('Sheet5-查询核对'!N39)),"",IF('Sheet5-查询核对'!N39=1,'Sheet1-指标体系'!$J$21,IF('Sheet5-查询核对'!N39=0,'Sheet1-指标体系'!$J$18,"")))</f>
        <v>0</v>
      </c>
      <c r="L54" s="37">
        <f>IF(NOT(ISNUMBER(F54)),"",IF(F54&lt;'Sheet1-指标体系'!$J$15,"",IF(F54&lt;'Sheet1-指标体系'!$J$16,'Sheet1-指标体系'!$J$17,'Sheet1-指标体系'!$J$18)))</f>
        <v>100</v>
      </c>
      <c r="M54" s="26">
        <f>IF(ISNUMBER('Sheet4-原始数据'!G39),'Sheet4-原始数据'!G39,"")</f>
        <v>0.0505</v>
      </c>
      <c r="N54" s="26">
        <f>IF(ISNUMBER('Sheet4-原始数据'!H39),'Sheet4-原始数据'!H39,"")</f>
        <v>0.0567</v>
      </c>
      <c r="O54" s="26">
        <f>IF(ISNUMBER('Sheet5-查询核对'!Q39),'Sheet5-查询核对'!Q39,"")</f>
        <v>0.0599</v>
      </c>
      <c r="P54" s="45">
        <f>IF(G54&lt;&gt;"入池","",IF(F54&gt;='Sheet1-指标体系'!$J$16,IF(AND(ISNUMBER(M54),ISNUMBER(N54)),IF(AND(1+M54&gt;0,1+N54&gt;=0),((1+N54)^'Sheet1-指标体系'!$J$16/(1+M54))^(1/('Sheet1-指标体系'!$J$16-1))-1,""),""),IF(AND(ISNUMBER(M54),ISNUMBER(O54)),IF(AND(F54&gt;1,1+M54&gt;0,1+O54&gt;=0),((1+O54)^F54/(1+M54))^(1/(F54-1))-1,""),"")))</f>
        <v>0.0598137085691117</v>
      </c>
      <c r="Q54" s="37">
        <f t="shared" si="0"/>
        <v>20.83</v>
      </c>
      <c r="R54" s="37">
        <f t="shared" si="1"/>
        <v>33.33</v>
      </c>
      <c r="S54" s="37">
        <f>IF(ISNUMBER(Q54),IF(ISNUMBER(R54),ROUND(Q54*'Sheet1-指标体系'!$J$8+R54*'Sheet1-指标体系'!$J$9,2),Q54),"")</f>
        <v>25.83</v>
      </c>
      <c r="T54" s="26">
        <f>IF(ISNUMBER('Sheet4-原始数据'!J39),'Sheet4-原始数据'!J39,"")</f>
        <v>0.7692</v>
      </c>
      <c r="U54" s="26">
        <f>IF(ISNUMBER('Sheet4-原始数据'!I39),'Sheet4-原始数据'!I39,"")</f>
        <v>0.8649</v>
      </c>
      <c r="V54" s="45">
        <f>IF(AND(ISNUMBER(T54),ISNUMBER(U54)),(U54*'Sheet1-指标体系'!$J$6-T54*'Sheet1-指标体系'!$J$5)/'Sheet1-指标体系'!$J$7,"")</f>
        <v>0.9167375</v>
      </c>
      <c r="W54" s="37">
        <f t="shared" si="2"/>
        <v>76.92</v>
      </c>
      <c r="X54" s="37">
        <f>IF(G54&lt;&gt;"入池","",IF(ISNUMBER(V54),IF(AND(V54&gt;=0,V54&lt;=1),V54*'Sheet1-指标体系'!$J$18,IF(MAX(0,(F54-'Sheet1-指标体系'!$J$15)*'Sheet1-指标体系'!$J$20)&lt;'Sheet1-指标体系'!$J$19,'Sheet1-指标体系'!$J$18,"")),IF(MAX(0,(F54-'Sheet1-指标体系'!$J$15)*'Sheet1-指标体系'!$J$20)&lt;'Sheet1-指标体系'!$J$19,'Sheet1-指标体系'!$J$18,"")))</f>
        <v>91.67375</v>
      </c>
      <c r="Y54" s="37">
        <f>IF(ISNUMBER(W54),IF(ISNUMBER(X54),ROUND(W54*'Sheet1-指标体系'!$J$8+X54*'Sheet1-指标体系'!$J$9,2),W54),"")</f>
        <v>82.82</v>
      </c>
      <c r="Z54" s="45">
        <f t="shared" si="3"/>
        <v>0.0250831967416679</v>
      </c>
      <c r="AA54" s="26">
        <f>IF(ISNUMBER('Sheet4-原始数据'!K39),'Sheet4-原始数据'!K39,"")</f>
        <v>0.0251</v>
      </c>
      <c r="AB54" s="45">
        <f t="shared" si="4"/>
        <v>0.0251</v>
      </c>
      <c r="AC54" s="37">
        <f t="shared" si="5"/>
        <v>43.24</v>
      </c>
      <c r="AD54" s="30">
        <f>IF(ISNUMBER('Sheet4-原始数据'!M39),'Sheet4-原始数据'!M39,"")</f>
        <v>2.0133</v>
      </c>
      <c r="AE54" s="45" t="str">
        <f>IF(AND(ISNUMBER(P54),ISNUMBER(AA54),ISNUMBER(Z54)),IF(AA54&gt;Z54+'Sheet1-指标体系'!$J$11,AA54,""),"")</f>
        <v/>
      </c>
      <c r="AF54" s="37" t="str">
        <f t="shared" si="6"/>
        <v/>
      </c>
      <c r="AG54" s="37">
        <f t="shared" si="7"/>
        <v>14.08</v>
      </c>
      <c r="AH54" s="37" t="str">
        <f t="shared" si="8"/>
        <v/>
      </c>
      <c r="AI54" s="37">
        <f>IF(ISNUMBER(AG54),IF(ISNUMBER(AH54),ROUND(AG54*'Sheet1-指标体系'!$J$8+AH54*'Sheet1-指标体系'!$J$9,2),AG54),"")</f>
        <v>14.08</v>
      </c>
      <c r="AJ54" s="45">
        <f>IF(NOT(ISNUMBER(F54)),"",IF(F54&gt;='Sheet1-指标体系'!$J$16,IF(ISNUMBER(N54),N54,""),IF(ISNUMBER(O54),O54,"")))</f>
        <v>0.0567</v>
      </c>
      <c r="AK54" s="37">
        <f>IF(AND(G54="入池",ISNUMBER(M54),ISNUMBER(AJ54)),IF(M54&gt;=AJ54,'Sheet1-指标体系'!$J$18,IF(AJ54-M54&lt;'Sheet1-指标体系'!$J$10,'Sheet1-指标体系'!$J$22,'Sheet1-指标体系'!$J$23)),"")</f>
        <v>80</v>
      </c>
      <c r="AL54" s="37">
        <f>IF((IF(ISNUMBER(I54),'Sheet1-指标体系'!$G$4,0)+IF(ISNUMBER(K54),'Sheet1-指标体系'!$G$5,0)+IF(ISNUMBER(L54),'Sheet1-指标体系'!$G$6,0))&gt;0,ROUND((IF(ISNUMBER(I54),I54*'Sheet1-指标体系'!$G$4,0)+IF(ISNUMBER(K54),K54*'Sheet1-指标体系'!$G$5,0)+IF(ISNUMBER(L54),L54*'Sheet1-指标体系'!$G$6,0))/(IF(ISNUMBER(I54),'Sheet1-指标体系'!$G$4,0)+IF(ISNUMBER(K54),'Sheet1-指标体系'!$G$5,0)+IF(ISNUMBER(L54),'Sheet1-指标体系'!$G$6,0)),2),"")</f>
        <v>54</v>
      </c>
      <c r="AM54" s="37">
        <f t="shared" si="9"/>
        <v>42.93</v>
      </c>
      <c r="AN54" s="37">
        <f t="shared" si="10"/>
        <v>43.24</v>
      </c>
      <c r="AO54" s="37">
        <f t="shared" si="11"/>
        <v>14.08</v>
      </c>
      <c r="AP54" s="37">
        <f t="shared" si="12"/>
        <v>80</v>
      </c>
      <c r="AQ54" s="38">
        <f t="shared" si="13"/>
        <v>0.88</v>
      </c>
      <c r="AR54" s="37">
        <f t="shared" si="14"/>
        <v>38.02989</v>
      </c>
      <c r="AS54" s="37">
        <f t="shared" si="15"/>
        <v>43.22</v>
      </c>
      <c r="AT54" s="40">
        <f>IF(OR(G54&lt;&gt;"入池",NOT(ISNUMBER(AS54))),"",COUNTIFS($G$17:$G$99,"入池",$AS$17:$AS$99,"&gt;"&amp;AS54)+COUNTIFS($G$17:$G$99,"入池",$AS$17:$AS$99,AS54,$AQ$17:$AQ$99,"&gt;"&amp;AQ54)+COUNTIFS($G$17:G54,"入池",$AS$17:AS54,AS54,$AQ$17:AQ54,AQ54))</f>
        <v>65</v>
      </c>
      <c r="AU54" s="46" t="str">
        <f>IF(NOT(ISNUMBER(I54)),"管理人规模；","")&amp;IF(NOT(ISNUMBER(K54)),"产品规模标识；","")&amp;IF(NOT(ISNUMBER(M54)),"近一年收益；","")&amp;IF(NOT(ISNUMBER(T54)),"近一年胜率；","")&amp;IF(NOT(ISNUMBER(N54)),"近三年收益；","")&amp;IF(NOT(ISNUMBER(U54)),"近三年胜率；","")&amp;IF(NOT(ISNUMBER(AA54)),"近三年回撤；","")&amp;IF(NOT(ISNUMBER(AD54)),"近一年卡玛；","")&amp;IF(ISNUMBER(F54),IF(AND(F54&lt;'Sheet1-指标体系'!$J$16,NOT(ISNUMBER(O54))),"成立以来年化；",""),"成立日期；")&amp;IF(ISNUMBER(V54),IF(OR(V54&lt;0,V54&gt;1),"胜率窗口口径不一致；",""),"")&amp;IF(ISNUMBER(P54),IF(NOT(ISNUMBER(AE54)),"DD_long不可识别；",""),"")</f>
        <v>DD_long不可识别；</v>
      </c>
      <c r="AV54" s="37" t="str">
        <f>IF(ABS(SUM(CA54:CK54)-'Sheet1-指标体系'!$J$25)&lt;0.0000000001,SUM(BP54:BZ54),"")</f>
        <v/>
      </c>
      <c r="AW54" s="36" t="str">
        <f>IF(G54&lt;&gt;"入池",G54,IF(AQ54=0,"无有效评分数据",IF(ROUND(AQ54,10)=ROUND('Sheet1-指标体系'!$J$25,10),"完整赋分","暂定分／数据不完整")))</f>
        <v>暂定分／数据不完整</v>
      </c>
      <c r="AX54" s="22" t="str">
        <f>IF('Sheet4-原始数据'!C39="","",'Sheet4-原始数据'!C39)</f>
        <v>套利策略</v>
      </c>
      <c r="AY54" s="22" t="str">
        <f>IF('Sheet4-原始数据'!D39="","",'Sheet4-原始数据'!D39)</f>
        <v>期货套利</v>
      </c>
      <c r="AZ54" s="22" t="str">
        <f>IF('Sheet5-查询核对'!S39="","",'Sheet5-查询核对'!S39)</f>
        <v>套利策略—期货套利</v>
      </c>
      <c r="BA54" s="25">
        <f>IF('Sheet5-查询核对'!A39="","",'Sheet5-查询核对'!A39)</f>
        <v>39</v>
      </c>
      <c r="BB54" s="22" t="str">
        <f>IF('Sheet5-查询核对'!F39="","",'Sheet5-查询核对'!F39)</f>
        <v>备案号匹配</v>
      </c>
      <c r="BC54" s="24" t="str">
        <f>IF('Sheet5-查询核对'!I39="","",'Sheet5-查询核对'!I39)</f>
        <v>https://mp.fof99.com/fund/view/9289c50ffc89f5de</v>
      </c>
      <c r="BD54" s="23">
        <f>IF('Sheet5-查询核对'!H39="","",'Sheet5-查询核对'!H39)</f>
        <v>46269</v>
      </c>
      <c r="BE54" s="24" t="str">
        <f>IF('Sheet5-查询核对'!L39="","",'Sheet5-查询核对'!L39)</f>
        <v>https://gs.amac.org.cn/amac-infodisc/res/pof/manager/1708301158107602.html</v>
      </c>
      <c r="BF54" s="23">
        <f>IF('Sheet5-查询核对'!M39="","",'Sheet5-查询核对'!M39)</f>
        <v>46276</v>
      </c>
      <c r="BG54" s="24" t="str">
        <f>IF('Sheet5-查询核对'!O39="","",'Sheet5-查询核对'!O39)</f>
        <v>https://gs.amac.org.cn/amac-infodisc/res/pof/fund/2009171717131963.html</v>
      </c>
      <c r="BH54" s="23">
        <f>IF('Sheet5-查询核对'!P39="","",'Sheet5-查询核对'!P39)</f>
        <v>46276</v>
      </c>
      <c r="BI54" s="22" t="str">
        <f>IF('Sheet5-查询核对'!D39="","",'Sheet5-查询核对'!D39)</f>
        <v>SLT573</v>
      </c>
      <c r="BJ54">
        <f>IF(ISNUMBER(AT54),AT54,COUNT($AT$17:$AT$99)+ROWS($AT$17:AT54)-COUNT($AT$17:AT54))</f>
        <v>65</v>
      </c>
      <c r="BK54" s="2">
        <f t="shared" si="16"/>
        <v>1</v>
      </c>
      <c r="BL54" s="2">
        <f t="shared" si="17"/>
        <v>1</v>
      </c>
      <c r="BM54" s="2">
        <f t="shared" si="18"/>
        <v>1</v>
      </c>
      <c r="BN54" s="2">
        <f t="shared" si="19"/>
        <v>1</v>
      </c>
      <c r="BO54" s="2">
        <f t="shared" si="20"/>
        <v>0</v>
      </c>
      <c r="BP54" s="48">
        <f>IF(G54="入池",IF(ISNUMBER(I54),I54*('Sheet1-指标体系'!$G$4),0),0)</f>
        <v>3.6</v>
      </c>
      <c r="BQ54" s="48">
        <f>IF(G54="入池",IF(ISNUMBER(K54),K54*('Sheet1-指标体系'!$G$5),0),0)</f>
        <v>0</v>
      </c>
      <c r="BR54" s="48">
        <f>IF(G54="入池",IF(ISNUMBER(L54),L54*('Sheet1-指标体系'!$G$6),0),0)</f>
        <v>4.5</v>
      </c>
      <c r="BS54" s="48">
        <f>IF(G54="入池",IF(ISNUMBER(Q54),Q54*('Sheet1-指标体系'!$G$7*'Sheet1-指标体系'!$J$8),0),0)</f>
        <v>1.74972</v>
      </c>
      <c r="BT54" s="48">
        <f>IF(G54="入池",IF(ISNUMBER(R54),R54*('Sheet1-指标体系'!$G$7*'Sheet1-指标体系'!$J$9),0),0)</f>
        <v>1.86648</v>
      </c>
      <c r="BU54" s="48">
        <f>IF(G54="入池",IF(ISNUMBER(W54),W54*('Sheet1-指标体系'!$G$8*'Sheet1-指标体系'!$J$8),0),0)</f>
        <v>2.76912</v>
      </c>
      <c r="BV54" s="48">
        <f>IF(G54="入池",IF(ISNUMBER(X54),X54*('Sheet1-指标体系'!$G$8*'Sheet1-指标体系'!$J$9),0),0)</f>
        <v>2.20017</v>
      </c>
      <c r="BW54" s="48">
        <f>IF(G54="入池",IF(ISNUMBER(AC54),AC54*('Sheet1-指标体系'!$G$9),0),0)</f>
        <v>10.81</v>
      </c>
      <c r="BX54" s="48">
        <f>IF(G54="入池",IF(ISNUMBER(AG54),AG54*('Sheet1-指标体系'!$G$10*'Sheet1-指标体系'!$J$8),0),0)</f>
        <v>2.5344</v>
      </c>
      <c r="BY54" s="48">
        <f>IF(G54="入池",IF(ISNUMBER(AH54),AH54*('Sheet1-指标体系'!$G$10*'Sheet1-指标体系'!$J$9),0),0)</f>
        <v>0</v>
      </c>
      <c r="BZ54" s="48">
        <f>IF(G54="入池",IF(ISNUMBER(AK54),AK54*('Sheet1-指标体系'!$G$11),0),0)</f>
        <v>8</v>
      </c>
      <c r="CA54" s="49">
        <f>IF(G54="入池",IF(ISNUMBER(I54),'Sheet1-指标体系'!$G$4,0),0)</f>
        <v>0.06</v>
      </c>
      <c r="CB54" s="49">
        <f>IF(G54="入池",IF(ISNUMBER(K54),'Sheet1-指标体系'!$G$5,0),0)</f>
        <v>0.045</v>
      </c>
      <c r="CC54" s="49">
        <f>IF(G54="入池",IF(ISNUMBER(L54),'Sheet1-指标体系'!$G$6,0),0)</f>
        <v>0.045</v>
      </c>
      <c r="CD54" s="49">
        <f>IF(G54="入池",IF(ISNUMBER(Q54),'Sheet1-指标体系'!$G$7*'Sheet1-指标体系'!$J$8,0),0)</f>
        <v>0.084</v>
      </c>
      <c r="CE54" s="49">
        <f>IF(G54="入池",IF(ISNUMBER(R54),'Sheet1-指标体系'!$G$7*'Sheet1-指标体系'!$J$9,0),0)</f>
        <v>0.056</v>
      </c>
      <c r="CF54" s="49">
        <f>IF(G54="入池",IF(ISNUMBER(W54),'Sheet1-指标体系'!$G$8*'Sheet1-指标体系'!$J$8,0),0)</f>
        <v>0.036</v>
      </c>
      <c r="CG54" s="49">
        <f>IF(G54="入池",IF(ISNUMBER(X54),'Sheet1-指标体系'!$G$8*'Sheet1-指标体系'!$J$9,0),0)</f>
        <v>0.024</v>
      </c>
      <c r="CH54" s="49">
        <f>IF(G54="入池",IF(ISNUMBER(AC54),'Sheet1-指标体系'!$G$9,0),0)</f>
        <v>0.25</v>
      </c>
      <c r="CI54" s="49">
        <f>IF(G54="入池",IF(ISNUMBER(AG54),'Sheet1-指标体系'!$G$10*'Sheet1-指标体系'!$J$8,0),0)</f>
        <v>0.18</v>
      </c>
      <c r="CJ54" s="49">
        <f>IF(G54="入池",IF(ISNUMBER(AH54),'Sheet1-指标体系'!$G$10*'Sheet1-指标体系'!$J$9,0),0)</f>
        <v>0</v>
      </c>
      <c r="CK54" s="49">
        <f>IF(G54="入池",IF(ISNUMBER(AK54),'Sheet1-指标体系'!$G$11,0),0)</f>
        <v>0.1</v>
      </c>
    </row>
    <row r="55" ht="44" customHeight="1" spans="1:89">
      <c r="A55" s="40">
        <f>'Sheet5-查询核对'!A40-1</f>
        <v>39</v>
      </c>
      <c r="B55" s="24" t="str">
        <f>IF('Sheet4-原始数据'!A40="",'Sheet5-查询核对'!B40,'Sheet4-原始数据'!A40)</f>
        <v>摩旗ETF套利1号</v>
      </c>
      <c r="C55" s="22" t="str">
        <f>IF('Sheet4-原始数据'!B40="","",'Sheet4-原始数据'!B40)</f>
        <v>STR466</v>
      </c>
      <c r="D55" s="22" t="str">
        <f>IF('Sheet4-原始数据'!E40="","",'Sheet4-原始数据'!E40)</f>
        <v>上海摩旗投资</v>
      </c>
      <c r="E55" s="23">
        <f>IF('Sheet4-原始数据'!F40="","",'Sheet4-原始数据'!F40)</f>
        <v>44571</v>
      </c>
      <c r="F55" s="37">
        <f>IF(ISNUMBER(E55),ROUND(('Sheet1-指标体系'!$J$12-E55)/'Sheet1-指标体系'!$J$14,4),"")</f>
        <v>4.6653</v>
      </c>
      <c r="G55" s="36" t="str">
        <f>IF(C55="","未匹配",IF(NOT(ISNUMBER(F55)),"缺成立日期",IF(F55&lt;'Sheet1-指标体系'!$J$15,"不入池","入池")))</f>
        <v>入池</v>
      </c>
      <c r="H55" s="22" t="str">
        <f>IF('Sheet5-查询核对'!K40="","",'Sheet5-查询核对'!K40)</f>
        <v>10-20亿元</v>
      </c>
      <c r="I55" s="37">
        <f>IF(H55="","",IF(COUNTIF('Sheet1-指标体系'!$P$4:$P$10,H55)=0,"",INDEX('Sheet1-指标体系'!$Q$4:$Q$10,MATCH(H55,'Sheet1-指标体系'!$P$4:$P$10,0))))</f>
        <v>80</v>
      </c>
      <c r="J55" s="44" t="str">
        <f>IF(NOT(ISNUMBER('Sheet5-查询核对'!N40)),"",IF('Sheet5-查询核对'!N40=1,"低于"&amp;'Sheet1-指标体系'!$J$4&amp;"万元",IF('Sheet5-查询核对'!N40=0,"无低于"&amp;'Sheet1-指标体系'!$J$4&amp;"万元标识","")))</f>
        <v>无低于1000万元标识</v>
      </c>
      <c r="K55" s="37">
        <f>IF(NOT(ISNUMBER('Sheet5-查询核对'!N40)),"",IF('Sheet5-查询核对'!N40=1,'Sheet1-指标体系'!$J$21,IF('Sheet5-查询核对'!N40=0,'Sheet1-指标体系'!$J$18,"")))</f>
        <v>100</v>
      </c>
      <c r="L55" s="37">
        <f>IF(NOT(ISNUMBER(F55)),"",IF(F55&lt;'Sheet1-指标体系'!$J$15,"",IF(F55&lt;'Sheet1-指标体系'!$J$16,'Sheet1-指标体系'!$J$17,'Sheet1-指标体系'!$J$18)))</f>
        <v>100</v>
      </c>
      <c r="M55" s="26">
        <f>IF(ISNUMBER('Sheet4-原始数据'!G40),'Sheet4-原始数据'!G40,"")</f>
        <v>0.1092</v>
      </c>
      <c r="N55" s="26">
        <f>IF(ISNUMBER('Sheet4-原始数据'!H40),'Sheet4-原始数据'!H40,"")</f>
        <v>0.1448</v>
      </c>
      <c r="O55" s="26">
        <f>IF(ISNUMBER('Sheet5-查询核对'!Q40),'Sheet5-查询核对'!Q40,"")</f>
        <v>0.1133</v>
      </c>
      <c r="P55" s="45">
        <f>IF(G55&lt;&gt;"入池","",IF(F55&gt;='Sheet1-指标体系'!$J$16,IF(AND(ISNUMBER(M55),ISNUMBER(N55)),IF(AND(1+M55&gt;0,1+N55&gt;=0),((1+N55)^'Sheet1-指标体系'!$J$16/(1+M55))^(1/('Sheet1-指标体系'!$J$16-1))-1,""),""),IF(AND(ISNUMBER(M55),ISNUMBER(O55)),IF(AND(F55&gt;1,1+M55&gt;0,1+O55&gt;=0),((1+O55)^F55/(1+M55))^(1/(F55-1))-1,""),"")))</f>
        <v>0.163026206143879</v>
      </c>
      <c r="Q55" s="37">
        <f t="shared" si="0"/>
        <v>65.28</v>
      </c>
      <c r="R55" s="37">
        <f t="shared" si="1"/>
        <v>93.94</v>
      </c>
      <c r="S55" s="37">
        <f>IF(ISNUMBER(Q55),IF(ISNUMBER(R55),ROUND(Q55*'Sheet1-指标体系'!$J$8+R55*'Sheet1-指标体系'!$J$9,2),Q55),"")</f>
        <v>76.74</v>
      </c>
      <c r="T55" s="26">
        <f>IF(ISNUMBER('Sheet4-原始数据'!J40),'Sheet4-原始数据'!J40,"")</f>
        <v>0.9231</v>
      </c>
      <c r="U55" s="26">
        <f>IF(ISNUMBER('Sheet4-原始数据'!I40),'Sheet4-原始数据'!I40,"")</f>
        <v>0.9459</v>
      </c>
      <c r="V55" s="45">
        <f>IF(AND(ISNUMBER(T55),ISNUMBER(U55)),(U55*'Sheet1-指标体系'!$J$6-T55*'Sheet1-指标体系'!$J$5)/'Sheet1-指标体系'!$J$7,"")</f>
        <v>0.95825</v>
      </c>
      <c r="W55" s="37">
        <f t="shared" si="2"/>
        <v>92.31</v>
      </c>
      <c r="X55" s="37">
        <f>IF(G55&lt;&gt;"入池","",IF(ISNUMBER(V55),IF(AND(V55&gt;=0,V55&lt;=1),V55*'Sheet1-指标体系'!$J$18,IF(MAX(0,(F55-'Sheet1-指标体系'!$J$15)*'Sheet1-指标体系'!$J$20)&lt;'Sheet1-指标体系'!$J$19,'Sheet1-指标体系'!$J$18,"")),IF(MAX(0,(F55-'Sheet1-指标体系'!$J$15)*'Sheet1-指标体系'!$J$20)&lt;'Sheet1-指标体系'!$J$19,'Sheet1-指标体系'!$J$18,"")))</f>
        <v>95.825</v>
      </c>
      <c r="Y55" s="37">
        <f>IF(ISNUMBER(W55),IF(ISNUMBER(X55),ROUND(W55*'Sheet1-指标体系'!$J$8+X55*'Sheet1-指标体系'!$J$9,2),W55),"")</f>
        <v>93.72</v>
      </c>
      <c r="Z55" s="45">
        <f t="shared" si="3"/>
        <v>0.00570455424028084</v>
      </c>
      <c r="AA55" s="26">
        <f>IF(ISNUMBER('Sheet4-原始数据'!K40),'Sheet4-原始数据'!K40,"")</f>
        <v>0.0057</v>
      </c>
      <c r="AB55" s="45">
        <f t="shared" si="4"/>
        <v>0.00570455424028084</v>
      </c>
      <c r="AC55" s="37">
        <f t="shared" si="5"/>
        <v>83.78</v>
      </c>
      <c r="AD55" s="30">
        <f>IF(ISNUMBER('Sheet4-原始数据'!M40),'Sheet4-原始数据'!M40,"")</f>
        <v>19.1426</v>
      </c>
      <c r="AE55" s="45" t="str">
        <f>IF(AND(ISNUMBER(P55),ISNUMBER(AA55),ISNUMBER(Z55)),IF(AA55&gt;Z55+'Sheet1-指标体系'!$J$11,AA55,""),"")</f>
        <v/>
      </c>
      <c r="AF55" s="37" t="str">
        <f t="shared" si="6"/>
        <v/>
      </c>
      <c r="AG55" s="37">
        <f t="shared" si="7"/>
        <v>71.83</v>
      </c>
      <c r="AH55" s="37" t="str">
        <f t="shared" si="8"/>
        <v/>
      </c>
      <c r="AI55" s="37">
        <f>IF(ISNUMBER(AG55),IF(ISNUMBER(AH55),ROUND(AG55*'Sheet1-指标体系'!$J$8+AH55*'Sheet1-指标体系'!$J$9,2),AG55),"")</f>
        <v>71.83</v>
      </c>
      <c r="AJ55" s="45">
        <f>IF(NOT(ISNUMBER(F55)),"",IF(F55&gt;='Sheet1-指标体系'!$J$16,IF(ISNUMBER(N55),N55,""),IF(ISNUMBER(O55),O55,"")))</f>
        <v>0.1448</v>
      </c>
      <c r="AK55" s="37">
        <f>IF(AND(G55="入池",ISNUMBER(M55),ISNUMBER(AJ55)),IF(M55&gt;=AJ55,'Sheet1-指标体系'!$J$18,IF(AJ55-M55&lt;'Sheet1-指标体系'!$J$10,'Sheet1-指标体系'!$J$22,'Sheet1-指标体系'!$J$23)),"")</f>
        <v>80</v>
      </c>
      <c r="AL55" s="37">
        <f>IF((IF(ISNUMBER(I55),'Sheet1-指标体系'!$G$4,0)+IF(ISNUMBER(K55),'Sheet1-指标体系'!$G$5,0)+IF(ISNUMBER(L55),'Sheet1-指标体系'!$G$6,0))&gt;0,ROUND((IF(ISNUMBER(I55),I55*'Sheet1-指标体系'!$G$4,0)+IF(ISNUMBER(K55),K55*'Sheet1-指标体系'!$G$5,0)+IF(ISNUMBER(L55),L55*'Sheet1-指标体系'!$G$6,0))/(IF(ISNUMBER(I55),'Sheet1-指标体系'!$G$4,0)+IF(ISNUMBER(K55),'Sheet1-指标体系'!$G$5,0)+IF(ISNUMBER(L55),'Sheet1-指标体系'!$G$6,0)),2),"")</f>
        <v>92</v>
      </c>
      <c r="AM55" s="37">
        <f t="shared" si="9"/>
        <v>81.84</v>
      </c>
      <c r="AN55" s="37">
        <f t="shared" si="10"/>
        <v>83.78</v>
      </c>
      <c r="AO55" s="37">
        <f t="shared" si="11"/>
        <v>71.83</v>
      </c>
      <c r="AP55" s="37">
        <f t="shared" si="12"/>
        <v>80</v>
      </c>
      <c r="AQ55" s="38">
        <f t="shared" si="13"/>
        <v>0.88</v>
      </c>
      <c r="AR55" s="37">
        <f t="shared" si="14"/>
        <v>72.04152</v>
      </c>
      <c r="AS55" s="37">
        <f t="shared" si="15"/>
        <v>81.87</v>
      </c>
      <c r="AT55" s="40">
        <f>IF(OR(G55&lt;&gt;"入池",NOT(ISNUMBER(AS55))),"",COUNTIFS($G$17:$G$99,"入池",$AS$17:$AS$99,"&gt;"&amp;AS55)+COUNTIFS($G$17:$G$99,"入池",$AS$17:$AS$99,AS55,$AQ$17:$AQ$99,"&gt;"&amp;AQ55)+COUNTIFS($G$17:G55,"入池",$AS$17:AS55,AS55,$AQ$17:AQ55,AQ55))</f>
        <v>14</v>
      </c>
      <c r="AU55" s="46" t="str">
        <f>IF(NOT(ISNUMBER(I55)),"管理人规模；","")&amp;IF(NOT(ISNUMBER(K55)),"产品规模标识；","")&amp;IF(NOT(ISNUMBER(M55)),"近一年收益；","")&amp;IF(NOT(ISNUMBER(T55)),"近一年胜率；","")&amp;IF(NOT(ISNUMBER(N55)),"近三年收益；","")&amp;IF(NOT(ISNUMBER(U55)),"近三年胜率；","")&amp;IF(NOT(ISNUMBER(AA55)),"近三年回撤；","")&amp;IF(NOT(ISNUMBER(AD55)),"近一年卡玛；","")&amp;IF(ISNUMBER(F55),IF(AND(F55&lt;'Sheet1-指标体系'!$J$16,NOT(ISNUMBER(O55))),"成立以来年化；",""),"成立日期；")&amp;IF(ISNUMBER(V55),IF(OR(V55&lt;0,V55&gt;1),"胜率窗口口径不一致；",""),"")&amp;IF(ISNUMBER(P55),IF(NOT(ISNUMBER(AE55)),"DD_long不可识别；",""),"")</f>
        <v>DD_long不可识别；</v>
      </c>
      <c r="AV55" s="37" t="str">
        <f>IF(ABS(SUM(CA55:CK55)-'Sheet1-指标体系'!$J$25)&lt;0.0000000001,SUM(BP55:BZ55),"")</f>
        <v/>
      </c>
      <c r="AW55" s="36" t="str">
        <f>IF(G55&lt;&gt;"入池",G55,IF(AQ55=0,"无有效评分数据",IF(ROUND(AQ55,10)=ROUND('Sheet1-指标体系'!$J$25,10),"完整赋分","暂定分／数据不完整")))</f>
        <v>暂定分／数据不完整</v>
      </c>
      <c r="AX55" s="22" t="str">
        <f>IF('Sheet4-原始数据'!C40="","",'Sheet4-原始数据'!C40)</f>
        <v>套利策略</v>
      </c>
      <c r="AY55" s="22" t="str">
        <f>IF('Sheet4-原始数据'!D40="","",'Sheet4-原始数据'!D40)</f>
        <v>基金套利</v>
      </c>
      <c r="AZ55" s="22" t="str">
        <f>IF('Sheet5-查询核对'!S40="","",'Sheet5-查询核对'!S40)</f>
        <v>套利策略—基金套利</v>
      </c>
      <c r="BA55" s="25">
        <f>IF('Sheet5-查询核对'!A40="","",'Sheet5-查询核对'!A40)</f>
        <v>40</v>
      </c>
      <c r="BB55" s="22" t="str">
        <f>IF('Sheet5-查询核对'!F40="","",'Sheet5-查询核对'!F40)</f>
        <v>备案号匹配</v>
      </c>
      <c r="BC55" s="24" t="str">
        <f>IF('Sheet5-查询核对'!I40="","",'Sheet5-查询核对'!I40)</f>
        <v>https://mp.fof99.com/fund/view/f263e8836aad5b82</v>
      </c>
      <c r="BD55" s="23">
        <f>IF('Sheet5-查询核对'!H40="","",'Sheet5-查询核对'!H40)</f>
        <v>46269</v>
      </c>
      <c r="BE55" s="24" t="str">
        <f>IF('Sheet5-查询核对'!L40="","",'Sheet5-查询核对'!L40)</f>
        <v>https://gs.amac.org.cn/amac-infodisc/res/pof/manager/101000000297.html</v>
      </c>
      <c r="BF55" s="23">
        <f>IF('Sheet5-查询核对'!M40="","",'Sheet5-查询核对'!M40)</f>
        <v>46276</v>
      </c>
      <c r="BG55" s="24" t="str">
        <f>IF('Sheet5-查询核对'!O40="","",'Sheet5-查询核对'!O40)</f>
        <v>https://gs.amac.org.cn/amac-infodisc/res/pof/fund/2201111049116796.html</v>
      </c>
      <c r="BH55" s="23">
        <f>IF('Sheet5-查询核对'!P40="","",'Sheet5-查询核对'!P40)</f>
        <v>46276</v>
      </c>
      <c r="BI55" s="22" t="str">
        <f>IF('Sheet5-查询核对'!D40="","",'Sheet5-查询核对'!D40)</f>
        <v>STR466</v>
      </c>
      <c r="BJ55">
        <f>IF(ISNUMBER(AT55),AT55,COUNT($AT$17:$AT$99)+ROWS($AT$17:AT55)-COUNT($AT$17:AT55))</f>
        <v>14</v>
      </c>
      <c r="BK55" s="2">
        <f t="shared" si="16"/>
        <v>1</v>
      </c>
      <c r="BL55" s="2">
        <f t="shared" si="17"/>
        <v>1</v>
      </c>
      <c r="BM55" s="2">
        <f t="shared" si="18"/>
        <v>1</v>
      </c>
      <c r="BN55" s="2">
        <f t="shared" si="19"/>
        <v>1</v>
      </c>
      <c r="BO55" s="2">
        <f t="shared" si="20"/>
        <v>0</v>
      </c>
      <c r="BP55" s="48">
        <f>IF(G55="入池",IF(ISNUMBER(I55),I55*('Sheet1-指标体系'!$G$4),0),0)</f>
        <v>4.8</v>
      </c>
      <c r="BQ55" s="48">
        <f>IF(G55="入池",IF(ISNUMBER(K55),K55*('Sheet1-指标体系'!$G$5),0),0)</f>
        <v>4.5</v>
      </c>
      <c r="BR55" s="48">
        <f>IF(G55="入池",IF(ISNUMBER(L55),L55*('Sheet1-指标体系'!$G$6),0),0)</f>
        <v>4.5</v>
      </c>
      <c r="BS55" s="48">
        <f>IF(G55="入池",IF(ISNUMBER(Q55),Q55*('Sheet1-指标体系'!$G$7*'Sheet1-指标体系'!$J$8),0),0)</f>
        <v>5.48352</v>
      </c>
      <c r="BT55" s="48">
        <f>IF(G55="入池",IF(ISNUMBER(R55),R55*('Sheet1-指标体系'!$G$7*'Sheet1-指标体系'!$J$9),0),0)</f>
        <v>5.26064</v>
      </c>
      <c r="BU55" s="48">
        <f>IF(G55="入池",IF(ISNUMBER(W55),W55*('Sheet1-指标体系'!$G$8*'Sheet1-指标体系'!$J$8),0),0)</f>
        <v>3.32316</v>
      </c>
      <c r="BV55" s="48">
        <f>IF(G55="入池",IF(ISNUMBER(X55),X55*('Sheet1-指标体系'!$G$8*'Sheet1-指标体系'!$J$9),0),0)</f>
        <v>2.2998</v>
      </c>
      <c r="BW55" s="48">
        <f>IF(G55="入池",IF(ISNUMBER(AC55),AC55*('Sheet1-指标体系'!$G$9),0),0)</f>
        <v>20.945</v>
      </c>
      <c r="BX55" s="48">
        <f>IF(G55="入池",IF(ISNUMBER(AG55),AG55*('Sheet1-指标体系'!$G$10*'Sheet1-指标体系'!$J$8),0),0)</f>
        <v>12.9294</v>
      </c>
      <c r="BY55" s="48">
        <f>IF(G55="入池",IF(ISNUMBER(AH55),AH55*('Sheet1-指标体系'!$G$10*'Sheet1-指标体系'!$J$9),0),0)</f>
        <v>0</v>
      </c>
      <c r="BZ55" s="48">
        <f>IF(G55="入池",IF(ISNUMBER(AK55),AK55*('Sheet1-指标体系'!$G$11),0),0)</f>
        <v>8</v>
      </c>
      <c r="CA55" s="49">
        <f>IF(G55="入池",IF(ISNUMBER(I55),'Sheet1-指标体系'!$G$4,0),0)</f>
        <v>0.06</v>
      </c>
      <c r="CB55" s="49">
        <f>IF(G55="入池",IF(ISNUMBER(K55),'Sheet1-指标体系'!$G$5,0),0)</f>
        <v>0.045</v>
      </c>
      <c r="CC55" s="49">
        <f>IF(G55="入池",IF(ISNUMBER(L55),'Sheet1-指标体系'!$G$6,0),0)</f>
        <v>0.045</v>
      </c>
      <c r="CD55" s="49">
        <f>IF(G55="入池",IF(ISNUMBER(Q55),'Sheet1-指标体系'!$G$7*'Sheet1-指标体系'!$J$8,0),0)</f>
        <v>0.084</v>
      </c>
      <c r="CE55" s="49">
        <f>IF(G55="入池",IF(ISNUMBER(R55),'Sheet1-指标体系'!$G$7*'Sheet1-指标体系'!$J$9,0),0)</f>
        <v>0.056</v>
      </c>
      <c r="CF55" s="49">
        <f>IF(G55="入池",IF(ISNUMBER(W55),'Sheet1-指标体系'!$G$8*'Sheet1-指标体系'!$J$8,0),0)</f>
        <v>0.036</v>
      </c>
      <c r="CG55" s="49">
        <f>IF(G55="入池",IF(ISNUMBER(X55),'Sheet1-指标体系'!$G$8*'Sheet1-指标体系'!$J$9,0),0)</f>
        <v>0.024</v>
      </c>
      <c r="CH55" s="49">
        <f>IF(G55="入池",IF(ISNUMBER(AC55),'Sheet1-指标体系'!$G$9,0),0)</f>
        <v>0.25</v>
      </c>
      <c r="CI55" s="49">
        <f>IF(G55="入池",IF(ISNUMBER(AG55),'Sheet1-指标体系'!$G$10*'Sheet1-指标体系'!$J$8,0),0)</f>
        <v>0.18</v>
      </c>
      <c r="CJ55" s="49">
        <f>IF(G55="入池",IF(ISNUMBER(AH55),'Sheet1-指标体系'!$G$10*'Sheet1-指标体系'!$J$9,0),0)</f>
        <v>0</v>
      </c>
      <c r="CK55" s="49">
        <f>IF(G55="入池",IF(ISNUMBER(AK55),'Sheet1-指标体系'!$G$11,0),0)</f>
        <v>0.1</v>
      </c>
    </row>
    <row r="56" ht="44" customHeight="1" spans="1:89">
      <c r="A56" s="40">
        <f>'Sheet5-查询核对'!A41-1</f>
        <v>40</v>
      </c>
      <c r="B56" s="24" t="str">
        <f>IF('Sheet4-原始数据'!A41="",'Sheet5-查询核对'!B41,'Sheet4-原始数据'!A41)</f>
        <v>慕途基本面量化1号</v>
      </c>
      <c r="C56" s="22" t="str">
        <f>IF('Sheet4-原始数据'!B41="","",'Sheet4-原始数据'!B41)</f>
        <v>SVW787</v>
      </c>
      <c r="D56" s="22" t="str">
        <f>IF('Sheet4-原始数据'!E41="","",'Sheet4-原始数据'!E41)</f>
        <v>慕途基金</v>
      </c>
      <c r="E56" s="23">
        <f>IF('Sheet4-原始数据'!F41="","",'Sheet4-原始数据'!F41)</f>
        <v>44750</v>
      </c>
      <c r="F56" s="37">
        <f>IF(ISNUMBER(E56),ROUND(('Sheet1-指标体系'!$J$12-E56)/'Sheet1-指标体系'!$J$14,4),"")</f>
        <v>4.1752</v>
      </c>
      <c r="G56" s="36" t="str">
        <f>IF(C56="","未匹配",IF(NOT(ISNUMBER(F56)),"缺成立日期",IF(F56&lt;'Sheet1-指标体系'!$J$15,"不入池","入池")))</f>
        <v>入池</v>
      </c>
      <c r="H56" s="22" t="str">
        <f>IF('Sheet5-查询核对'!K41="","",'Sheet5-查询核对'!K41)</f>
        <v>10-20亿元</v>
      </c>
      <c r="I56" s="37">
        <f>IF(H56="","",IF(COUNTIF('Sheet1-指标体系'!$P$4:$P$10,H56)=0,"",INDEX('Sheet1-指标体系'!$Q$4:$Q$10,MATCH(H56,'Sheet1-指标体系'!$P$4:$P$10,0))))</f>
        <v>80</v>
      </c>
      <c r="J56" s="44" t="str">
        <f>IF(NOT(ISNUMBER('Sheet5-查询核对'!N41)),"",IF('Sheet5-查询核对'!N41=1,"低于"&amp;'Sheet1-指标体系'!$J$4&amp;"万元",IF('Sheet5-查询核对'!N41=0,"无低于"&amp;'Sheet1-指标体系'!$J$4&amp;"万元标识","")))</f>
        <v>无低于1000万元标识</v>
      </c>
      <c r="K56" s="37">
        <f>IF(NOT(ISNUMBER('Sheet5-查询核对'!N41)),"",IF('Sheet5-查询核对'!N41=1,'Sheet1-指标体系'!$J$21,IF('Sheet5-查询核对'!N41=0,'Sheet1-指标体系'!$J$18,"")))</f>
        <v>100</v>
      </c>
      <c r="L56" s="37">
        <f>IF(NOT(ISNUMBER(F56)),"",IF(F56&lt;'Sheet1-指标体系'!$J$15,"",IF(F56&lt;'Sheet1-指标体系'!$J$16,'Sheet1-指标体系'!$J$17,'Sheet1-指标体系'!$J$18)))</f>
        <v>100</v>
      </c>
      <c r="M56" s="26">
        <f>IF(ISNUMBER('Sheet4-原始数据'!G41),'Sheet4-原始数据'!G41,"")</f>
        <v>0.1031</v>
      </c>
      <c r="N56" s="26">
        <f>IF(ISNUMBER('Sheet4-原始数据'!H41),'Sheet4-原始数据'!H41,"")</f>
        <v>0.0898</v>
      </c>
      <c r="O56" s="26">
        <f>IF(ISNUMBER('Sheet5-查询核对'!Q41),'Sheet5-查询核对'!Q41,"")</f>
        <v>0.1139</v>
      </c>
      <c r="P56" s="45">
        <f>IF(G56&lt;&gt;"入池","",IF(F56&gt;='Sheet1-指标体系'!$J$16,IF(AND(ISNUMBER(M56),ISNUMBER(N56)),IF(AND(1+M56&gt;0,1+N56&gt;=0),((1+N56)^'Sheet1-指标体系'!$J$16/(1+M56))^(1/('Sheet1-指标体系'!$J$16-1))-1,""),""),IF(AND(ISNUMBER(M56),ISNUMBER(O56)),IF(AND(F56&gt;1,1+M56&gt;0,1+O56&gt;=0),((1+O56)^F56/(1+M56))^(1/(F56-1))-1,""),"")))</f>
        <v>0.0832102553288394</v>
      </c>
      <c r="Q56" s="37">
        <f t="shared" si="0"/>
        <v>62.5</v>
      </c>
      <c r="R56" s="37">
        <f t="shared" si="1"/>
        <v>59.09</v>
      </c>
      <c r="S56" s="37">
        <f>IF(ISNUMBER(Q56),IF(ISNUMBER(R56),ROUND(Q56*'Sheet1-指标体系'!$J$8+R56*'Sheet1-指标体系'!$J$9,2),Q56),"")</f>
        <v>61.14</v>
      </c>
      <c r="T56" s="26">
        <f>IF(ISNUMBER('Sheet4-原始数据'!J41),'Sheet4-原始数据'!J41,"")</f>
        <v>0.6923</v>
      </c>
      <c r="U56" s="26">
        <f>IF(ISNUMBER('Sheet4-原始数据'!I41),'Sheet4-原始数据'!I41,"")</f>
        <v>0.7027</v>
      </c>
      <c r="V56" s="45">
        <f>IF(AND(ISNUMBER(T56),ISNUMBER(U56)),(U56*'Sheet1-指标体系'!$J$6-T56*'Sheet1-指标体系'!$J$5)/'Sheet1-指标体系'!$J$7,"")</f>
        <v>0.708333333333333</v>
      </c>
      <c r="W56" s="37">
        <f t="shared" si="2"/>
        <v>69.23</v>
      </c>
      <c r="X56" s="37">
        <f>IF(G56&lt;&gt;"入池","",IF(ISNUMBER(V56),IF(AND(V56&gt;=0,V56&lt;=1),V56*'Sheet1-指标体系'!$J$18,IF(MAX(0,(F56-'Sheet1-指标体系'!$J$15)*'Sheet1-指标体系'!$J$20)&lt;'Sheet1-指标体系'!$J$19,'Sheet1-指标体系'!$J$18,"")),IF(MAX(0,(F56-'Sheet1-指标体系'!$J$15)*'Sheet1-指标体系'!$J$20)&lt;'Sheet1-指标体系'!$J$19,'Sheet1-指标体系'!$J$18,"")))</f>
        <v>70.8333333333333</v>
      </c>
      <c r="Y56" s="37">
        <f>IF(ISNUMBER(W56),IF(ISNUMBER(X56),ROUND(W56*'Sheet1-指标体系'!$J$8+X56*'Sheet1-指标体系'!$J$9,2),W56),"")</f>
        <v>69.87</v>
      </c>
      <c r="Z56" s="45">
        <f t="shared" si="3"/>
        <v>0.0402168825089718</v>
      </c>
      <c r="AA56" s="26">
        <f>IF(ISNUMBER('Sheet4-原始数据'!K41),'Sheet4-原始数据'!K41,"")</f>
        <v>0.0402</v>
      </c>
      <c r="AB56" s="45">
        <f t="shared" si="4"/>
        <v>0.0402168825089718</v>
      </c>
      <c r="AC56" s="37">
        <f t="shared" si="5"/>
        <v>27.03</v>
      </c>
      <c r="AD56" s="30">
        <f>IF(ISNUMBER('Sheet4-原始数据'!M41),'Sheet4-原始数据'!M41,"")</f>
        <v>2.5636</v>
      </c>
      <c r="AE56" s="45" t="str">
        <f>IF(AND(ISNUMBER(P56),ISNUMBER(AA56),ISNUMBER(Z56)),IF(AA56&gt;Z56+'Sheet1-指标体系'!$J$11,AA56,""),"")</f>
        <v/>
      </c>
      <c r="AF56" s="37" t="str">
        <f t="shared" si="6"/>
        <v/>
      </c>
      <c r="AG56" s="37">
        <f t="shared" si="7"/>
        <v>23.94</v>
      </c>
      <c r="AH56" s="37" t="str">
        <f t="shared" si="8"/>
        <v/>
      </c>
      <c r="AI56" s="37">
        <f>IF(ISNUMBER(AG56),IF(ISNUMBER(AH56),ROUND(AG56*'Sheet1-指标体系'!$J$8+AH56*'Sheet1-指标体系'!$J$9,2),AG56),"")</f>
        <v>23.94</v>
      </c>
      <c r="AJ56" s="45">
        <f>IF(NOT(ISNUMBER(F56)),"",IF(F56&gt;='Sheet1-指标体系'!$J$16,IF(ISNUMBER(N56),N56,""),IF(ISNUMBER(O56),O56,"")))</f>
        <v>0.0898</v>
      </c>
      <c r="AK56" s="37">
        <f>IF(AND(G56="入池",ISNUMBER(M56),ISNUMBER(AJ56)),IF(M56&gt;=AJ56,'Sheet1-指标体系'!$J$18,IF(AJ56-M56&lt;'Sheet1-指标体系'!$J$10,'Sheet1-指标体系'!$J$22,'Sheet1-指标体系'!$J$23)),"")</f>
        <v>100</v>
      </c>
      <c r="AL56" s="37">
        <f>IF((IF(ISNUMBER(I56),'Sheet1-指标体系'!$G$4,0)+IF(ISNUMBER(K56),'Sheet1-指标体系'!$G$5,0)+IF(ISNUMBER(L56),'Sheet1-指标体系'!$G$6,0))&gt;0,ROUND((IF(ISNUMBER(I56),I56*'Sheet1-指标体系'!$G$4,0)+IF(ISNUMBER(K56),K56*'Sheet1-指标体系'!$G$5,0)+IF(ISNUMBER(L56),L56*'Sheet1-指标体系'!$G$6,0))/(IF(ISNUMBER(I56),'Sheet1-指标体系'!$G$4,0)+IF(ISNUMBER(K56),'Sheet1-指标体系'!$G$5,0)+IF(ISNUMBER(L56),'Sheet1-指标体系'!$G$6,0)),2),"")</f>
        <v>92</v>
      </c>
      <c r="AM56" s="37">
        <f t="shared" si="9"/>
        <v>63.76</v>
      </c>
      <c r="AN56" s="37">
        <f t="shared" si="10"/>
        <v>27.03</v>
      </c>
      <c r="AO56" s="37">
        <f t="shared" si="11"/>
        <v>23.94</v>
      </c>
      <c r="AP56" s="37">
        <f t="shared" si="12"/>
        <v>100</v>
      </c>
      <c r="AQ56" s="38">
        <f t="shared" si="13"/>
        <v>0.88</v>
      </c>
      <c r="AR56" s="37">
        <f t="shared" si="14"/>
        <v>47.61802</v>
      </c>
      <c r="AS56" s="37">
        <f t="shared" si="15"/>
        <v>54.11</v>
      </c>
      <c r="AT56" s="40">
        <f>IF(OR(G56&lt;&gt;"入池",NOT(ISNUMBER(AS56))),"",COUNTIFS($G$17:$G$99,"入池",$AS$17:$AS$99,"&gt;"&amp;AS56)+COUNTIFS($G$17:$G$99,"入池",$AS$17:$AS$99,AS56,$AQ$17:$AQ$99,"&gt;"&amp;AQ56)+COUNTIFS($G$17:G56,"入池",$AS$17:AS56,AS56,$AQ$17:AQ56,AQ56))</f>
        <v>51</v>
      </c>
      <c r="AU56" s="46" t="str">
        <f>IF(NOT(ISNUMBER(I56)),"管理人规模；","")&amp;IF(NOT(ISNUMBER(K56)),"产品规模标识；","")&amp;IF(NOT(ISNUMBER(M56)),"近一年收益；","")&amp;IF(NOT(ISNUMBER(T56)),"近一年胜率；","")&amp;IF(NOT(ISNUMBER(N56)),"近三年收益；","")&amp;IF(NOT(ISNUMBER(U56)),"近三年胜率；","")&amp;IF(NOT(ISNUMBER(AA56)),"近三年回撤；","")&amp;IF(NOT(ISNUMBER(AD56)),"近一年卡玛；","")&amp;IF(ISNUMBER(F56),IF(AND(F56&lt;'Sheet1-指标体系'!$J$16,NOT(ISNUMBER(O56))),"成立以来年化；",""),"成立日期；")&amp;IF(ISNUMBER(V56),IF(OR(V56&lt;0,V56&gt;1),"胜率窗口口径不一致；",""),"")&amp;IF(ISNUMBER(P56),IF(NOT(ISNUMBER(AE56)),"DD_long不可识别；",""),"")</f>
        <v>DD_long不可识别；</v>
      </c>
      <c r="AV56" s="37" t="str">
        <f>IF(ABS(SUM(CA56:CK56)-'Sheet1-指标体系'!$J$25)&lt;0.0000000001,SUM(BP56:BZ56),"")</f>
        <v/>
      </c>
      <c r="AW56" s="36" t="str">
        <f>IF(G56&lt;&gt;"入池",G56,IF(AQ56=0,"无有效评分数据",IF(ROUND(AQ56,10)=ROUND('Sheet1-指标体系'!$J$25,10),"完整赋分","暂定分／数据不完整")))</f>
        <v>暂定分／数据不完整</v>
      </c>
      <c r="AX56" s="22" t="str">
        <f>IF('Sheet4-原始数据'!C41="","",'Sheet4-原始数据'!C41)</f>
        <v>套利策略</v>
      </c>
      <c r="AY56" s="22" t="str">
        <f>IF('Sheet4-原始数据'!D41="","",'Sheet4-原始数据'!D41)</f>
        <v>期货套利</v>
      </c>
      <c r="AZ56" s="22" t="str">
        <f>IF('Sheet5-查询核对'!S41="","",'Sheet5-查询核对'!S41)</f>
        <v>套利策略—期货套利</v>
      </c>
      <c r="BA56" s="25">
        <f>IF('Sheet5-查询核对'!A41="","",'Sheet5-查询核对'!A41)</f>
        <v>41</v>
      </c>
      <c r="BB56" s="22" t="str">
        <f>IF('Sheet5-查询核对'!F41="","",'Sheet5-查询核对'!F41)</f>
        <v>备案号匹配</v>
      </c>
      <c r="BC56" s="24" t="str">
        <f>IF('Sheet5-查询核对'!I41="","",'Sheet5-查询核对'!I41)</f>
        <v>https://mp.fof99.com/fund/view/437e3feded28d12d</v>
      </c>
      <c r="BD56" s="23">
        <f>IF('Sheet5-查询核对'!H41="","",'Sheet5-查询核对'!H41)</f>
        <v>46269</v>
      </c>
      <c r="BE56" s="24" t="str">
        <f>IF('Sheet5-查询核对'!L41="","",'Sheet5-查询核对'!L41)</f>
        <v>https://gs.amac.org.cn/amac-infodisc/res/pof/manager/2106221238106983.html</v>
      </c>
      <c r="BF56" s="23">
        <f>IF('Sheet5-查询核对'!M41="","",'Sheet5-查询核对'!M41)</f>
        <v>46276</v>
      </c>
      <c r="BG56" s="24" t="str">
        <f>IF('Sheet5-查询核对'!O41="","",'Sheet5-查询核对'!O41)</f>
        <v>https://gs.amac.org.cn/amac-infodisc/res/pof/fund/2207141704102568.html</v>
      </c>
      <c r="BH56" s="23">
        <f>IF('Sheet5-查询核对'!P41="","",'Sheet5-查询核对'!P41)</f>
        <v>46276</v>
      </c>
      <c r="BI56" s="22" t="str">
        <f>IF('Sheet5-查询核对'!D41="","",'Sheet5-查询核对'!D41)</f>
        <v>SVW787</v>
      </c>
      <c r="BJ56">
        <f>IF(ISNUMBER(AT56),AT56,COUNT($AT$17:$AT$99)+ROWS($AT$17:AT56)-COUNT($AT$17:AT56))</f>
        <v>51</v>
      </c>
      <c r="BK56" s="2">
        <f t="shared" si="16"/>
        <v>1</v>
      </c>
      <c r="BL56" s="2">
        <f t="shared" si="17"/>
        <v>1</v>
      </c>
      <c r="BM56" s="2">
        <f t="shared" si="18"/>
        <v>1</v>
      </c>
      <c r="BN56" s="2">
        <f t="shared" si="19"/>
        <v>1</v>
      </c>
      <c r="BO56" s="2">
        <f t="shared" si="20"/>
        <v>0</v>
      </c>
      <c r="BP56" s="48">
        <f>IF(G56="入池",IF(ISNUMBER(I56),I56*('Sheet1-指标体系'!$G$4),0),0)</f>
        <v>4.8</v>
      </c>
      <c r="BQ56" s="48">
        <f>IF(G56="入池",IF(ISNUMBER(K56),K56*('Sheet1-指标体系'!$G$5),0),0)</f>
        <v>4.5</v>
      </c>
      <c r="BR56" s="48">
        <f>IF(G56="入池",IF(ISNUMBER(L56),L56*('Sheet1-指标体系'!$G$6),0),0)</f>
        <v>4.5</v>
      </c>
      <c r="BS56" s="48">
        <f>IF(G56="入池",IF(ISNUMBER(Q56),Q56*('Sheet1-指标体系'!$G$7*'Sheet1-指标体系'!$J$8),0),0)</f>
        <v>5.25</v>
      </c>
      <c r="BT56" s="48">
        <f>IF(G56="入池",IF(ISNUMBER(R56),R56*('Sheet1-指标体系'!$G$7*'Sheet1-指标体系'!$J$9),0),0)</f>
        <v>3.30904</v>
      </c>
      <c r="BU56" s="48">
        <f>IF(G56="入池",IF(ISNUMBER(W56),W56*('Sheet1-指标体系'!$G$8*'Sheet1-指标体系'!$J$8),0),0)</f>
        <v>2.49228</v>
      </c>
      <c r="BV56" s="48">
        <f>IF(G56="入池",IF(ISNUMBER(X56),X56*('Sheet1-指标体系'!$G$8*'Sheet1-指标体系'!$J$9),0),0)</f>
        <v>1.7</v>
      </c>
      <c r="BW56" s="48">
        <f>IF(G56="入池",IF(ISNUMBER(AC56),AC56*('Sheet1-指标体系'!$G$9),0),0)</f>
        <v>6.7575</v>
      </c>
      <c r="BX56" s="48">
        <f>IF(G56="入池",IF(ISNUMBER(AG56),AG56*('Sheet1-指标体系'!$G$10*'Sheet1-指标体系'!$J$8),0),0)</f>
        <v>4.3092</v>
      </c>
      <c r="BY56" s="48">
        <f>IF(G56="入池",IF(ISNUMBER(AH56),AH56*('Sheet1-指标体系'!$G$10*'Sheet1-指标体系'!$J$9),0),0)</f>
        <v>0</v>
      </c>
      <c r="BZ56" s="48">
        <f>IF(G56="入池",IF(ISNUMBER(AK56),AK56*('Sheet1-指标体系'!$G$11),0),0)</f>
        <v>10</v>
      </c>
      <c r="CA56" s="49">
        <f>IF(G56="入池",IF(ISNUMBER(I56),'Sheet1-指标体系'!$G$4,0),0)</f>
        <v>0.06</v>
      </c>
      <c r="CB56" s="49">
        <f>IF(G56="入池",IF(ISNUMBER(K56),'Sheet1-指标体系'!$G$5,0),0)</f>
        <v>0.045</v>
      </c>
      <c r="CC56" s="49">
        <f>IF(G56="入池",IF(ISNUMBER(L56),'Sheet1-指标体系'!$G$6,0),0)</f>
        <v>0.045</v>
      </c>
      <c r="CD56" s="49">
        <f>IF(G56="入池",IF(ISNUMBER(Q56),'Sheet1-指标体系'!$G$7*'Sheet1-指标体系'!$J$8,0),0)</f>
        <v>0.084</v>
      </c>
      <c r="CE56" s="49">
        <f>IF(G56="入池",IF(ISNUMBER(R56),'Sheet1-指标体系'!$G$7*'Sheet1-指标体系'!$J$9,0),0)</f>
        <v>0.056</v>
      </c>
      <c r="CF56" s="49">
        <f>IF(G56="入池",IF(ISNUMBER(W56),'Sheet1-指标体系'!$G$8*'Sheet1-指标体系'!$J$8,0),0)</f>
        <v>0.036</v>
      </c>
      <c r="CG56" s="49">
        <f>IF(G56="入池",IF(ISNUMBER(X56),'Sheet1-指标体系'!$G$8*'Sheet1-指标体系'!$J$9,0),0)</f>
        <v>0.024</v>
      </c>
      <c r="CH56" s="49">
        <f>IF(G56="入池",IF(ISNUMBER(AC56),'Sheet1-指标体系'!$G$9,0),0)</f>
        <v>0.25</v>
      </c>
      <c r="CI56" s="49">
        <f>IF(G56="入池",IF(ISNUMBER(AG56),'Sheet1-指标体系'!$G$10*'Sheet1-指标体系'!$J$8,0),0)</f>
        <v>0.18</v>
      </c>
      <c r="CJ56" s="49">
        <f>IF(G56="入池",IF(ISNUMBER(AH56),'Sheet1-指标体系'!$G$10*'Sheet1-指标体系'!$J$9,0),0)</f>
        <v>0</v>
      </c>
      <c r="CK56" s="49">
        <f>IF(G56="入池",IF(ISNUMBER(AK56),'Sheet1-指标体系'!$G$11,0),0)</f>
        <v>0.1</v>
      </c>
    </row>
    <row r="57" ht="44" customHeight="1" spans="1:89">
      <c r="A57" s="40">
        <f>'Sheet5-查询核对'!A42-1</f>
        <v>41</v>
      </c>
      <c r="B57" s="24" t="str">
        <f>IF('Sheet4-原始数据'!A42="",'Sheet5-查询核对'!B42,'Sheet4-原始数据'!A42)</f>
        <v>慕途基本面量化2号</v>
      </c>
      <c r="C57" s="22" t="str">
        <f>IF('Sheet4-原始数据'!B42="","",'Sheet4-原始数据'!B42)</f>
        <v>SB9576</v>
      </c>
      <c r="D57" s="22" t="str">
        <f>IF('Sheet4-原始数据'!E42="","",'Sheet4-原始数据'!E42)</f>
        <v>慕途基金</v>
      </c>
      <c r="E57" s="23">
        <f>IF('Sheet4-原始数据'!F42="","",'Sheet4-原始数据'!F42)</f>
        <v>45166</v>
      </c>
      <c r="F57" s="37">
        <f>IF(ISNUMBER(E57),ROUND(('Sheet1-指标体系'!$J$12-E57)/'Sheet1-指标体系'!$J$14,4),"")</f>
        <v>3.0363</v>
      </c>
      <c r="G57" s="36" t="str">
        <f>IF(C57="","未匹配",IF(NOT(ISNUMBER(F57)),"缺成立日期",IF(F57&lt;'Sheet1-指标体系'!$J$15,"不入池","入池")))</f>
        <v>入池</v>
      </c>
      <c r="H57" s="22" t="str">
        <f>IF('Sheet5-查询核对'!K42="","",'Sheet5-查询核对'!K42)</f>
        <v>10-20亿元</v>
      </c>
      <c r="I57" s="37">
        <f>IF(H57="","",IF(COUNTIF('Sheet1-指标体系'!$P$4:$P$10,H57)=0,"",INDEX('Sheet1-指标体系'!$Q$4:$Q$10,MATCH(H57,'Sheet1-指标体系'!$P$4:$P$10,0))))</f>
        <v>80</v>
      </c>
      <c r="J57" s="44" t="str">
        <f>IF(NOT(ISNUMBER('Sheet5-查询核对'!N42)),"",IF('Sheet5-查询核对'!N42=1,"低于"&amp;'Sheet1-指标体系'!$J$4&amp;"万元",IF('Sheet5-查询核对'!N42=0,"无低于"&amp;'Sheet1-指标体系'!$J$4&amp;"万元标识","")))</f>
        <v>无低于1000万元标识</v>
      </c>
      <c r="K57" s="37">
        <f>IF(NOT(ISNUMBER('Sheet5-查询核对'!N42)),"",IF('Sheet5-查询核对'!N42=1,'Sheet1-指标体系'!$J$21,IF('Sheet5-查询核对'!N42=0,'Sheet1-指标体系'!$J$18,"")))</f>
        <v>100</v>
      </c>
      <c r="L57" s="37">
        <f>IF(NOT(ISNUMBER(F57)),"",IF(F57&lt;'Sheet1-指标体系'!$J$15,"",IF(F57&lt;'Sheet1-指标体系'!$J$16,'Sheet1-指标体系'!$J$17,'Sheet1-指标体系'!$J$18)))</f>
        <v>100</v>
      </c>
      <c r="M57" s="26">
        <f>IF(ISNUMBER('Sheet4-原始数据'!G42),'Sheet4-原始数据'!G42,"")</f>
        <v>0.1102</v>
      </c>
      <c r="N57" s="26">
        <f>IF(ISNUMBER('Sheet4-原始数据'!H42),'Sheet4-原始数据'!H42,"")</f>
        <v>0.0942</v>
      </c>
      <c r="O57" s="26">
        <f>IF(ISNUMBER('Sheet5-查询核对'!Q42),'Sheet5-查询核对'!Q42,"")</f>
        <v>0.0939</v>
      </c>
      <c r="P57" s="45">
        <f>IF(G57&lt;&gt;"入池","",IF(F57&gt;='Sheet1-指标体系'!$J$16,IF(AND(ISNUMBER(M57),ISNUMBER(N57)),IF(AND(1+M57&gt;0,1+N57&gt;=0),((1+N57)^'Sheet1-指标体系'!$J$16/(1+M57))^(1/('Sheet1-指标体系'!$J$16-1))-1,""),""),IF(AND(ISNUMBER(M57),ISNUMBER(O57)),IF(AND(F57&gt;1,1+M57&gt;0,1+O57&gt;=0),((1+O57)^F57/(1+M57))^(1/(F57-1))-1,""),"")))</f>
        <v>0.0862866797372925</v>
      </c>
      <c r="Q57" s="37">
        <f t="shared" si="0"/>
        <v>66.67</v>
      </c>
      <c r="R57" s="37">
        <f t="shared" si="1"/>
        <v>62.12</v>
      </c>
      <c r="S57" s="37">
        <f>IF(ISNUMBER(Q57),IF(ISNUMBER(R57),ROUND(Q57*'Sheet1-指标体系'!$J$8+R57*'Sheet1-指标体系'!$J$9,2),Q57),"")</f>
        <v>64.85</v>
      </c>
      <c r="T57" s="26">
        <f>IF(ISNUMBER('Sheet4-原始数据'!J42),'Sheet4-原始数据'!J42,"")</f>
        <v>0.6923</v>
      </c>
      <c r="U57" s="26">
        <f>IF(ISNUMBER('Sheet4-原始数据'!I42),'Sheet4-原始数据'!I42,"")</f>
        <v>0.7838</v>
      </c>
      <c r="V57" s="45">
        <f>IF(AND(ISNUMBER(T57),ISNUMBER(U57)),(U57*'Sheet1-指标体系'!$J$6-T57*'Sheet1-指标体系'!$J$5)/'Sheet1-指标体系'!$J$7,"")</f>
        <v>0.8333625</v>
      </c>
      <c r="W57" s="37">
        <f t="shared" si="2"/>
        <v>69.23</v>
      </c>
      <c r="X57" s="37">
        <f>IF(G57&lt;&gt;"入池","",IF(ISNUMBER(V57),IF(AND(V57&gt;=0,V57&lt;=1),V57*'Sheet1-指标体系'!$J$18,IF(MAX(0,(F57-'Sheet1-指标体系'!$J$15)*'Sheet1-指标体系'!$J$20)&lt;'Sheet1-指标体系'!$J$19,'Sheet1-指标体系'!$J$18,"")),IF(MAX(0,(F57-'Sheet1-指标体系'!$J$15)*'Sheet1-指标体系'!$J$20)&lt;'Sheet1-指标体系'!$J$19,'Sheet1-指标体系'!$J$18,"")))</f>
        <v>83.33625</v>
      </c>
      <c r="Y57" s="37">
        <f>IF(ISNUMBER(W57),IF(ISNUMBER(X57),ROUND(W57*'Sheet1-指标体系'!$J$8+X57*'Sheet1-指标体系'!$J$9,2),W57),"")</f>
        <v>74.87</v>
      </c>
      <c r="Z57" s="45">
        <f t="shared" si="3"/>
        <v>0.0374829931972789</v>
      </c>
      <c r="AA57" s="26">
        <f>IF(ISNUMBER('Sheet4-原始数据'!K42),'Sheet4-原始数据'!K42,"")</f>
        <v>0.0375</v>
      </c>
      <c r="AB57" s="45">
        <f t="shared" si="4"/>
        <v>0.0375</v>
      </c>
      <c r="AC57" s="37">
        <f t="shared" si="5"/>
        <v>29.73</v>
      </c>
      <c r="AD57" s="30">
        <f>IF(ISNUMBER('Sheet4-原始数据'!M42),'Sheet4-原始数据'!M42,"")</f>
        <v>2.94</v>
      </c>
      <c r="AE57" s="45" t="str">
        <f>IF(AND(ISNUMBER(P57),ISNUMBER(AA57),ISNUMBER(Z57)),IF(AA57&gt;Z57+'Sheet1-指标体系'!$J$11,AA57,""),"")</f>
        <v/>
      </c>
      <c r="AF57" s="37" t="str">
        <f t="shared" si="6"/>
        <v/>
      </c>
      <c r="AG57" s="37">
        <f t="shared" si="7"/>
        <v>26.76</v>
      </c>
      <c r="AH57" s="37" t="str">
        <f t="shared" si="8"/>
        <v/>
      </c>
      <c r="AI57" s="37">
        <f>IF(ISNUMBER(AG57),IF(ISNUMBER(AH57),ROUND(AG57*'Sheet1-指标体系'!$J$8+AH57*'Sheet1-指标体系'!$J$9,2),AG57),"")</f>
        <v>26.76</v>
      </c>
      <c r="AJ57" s="45">
        <f>IF(NOT(ISNUMBER(F57)),"",IF(F57&gt;='Sheet1-指标体系'!$J$16,IF(ISNUMBER(N57),N57,""),IF(ISNUMBER(O57),O57,"")))</f>
        <v>0.0942</v>
      </c>
      <c r="AK57" s="37">
        <f>IF(AND(G57="入池",ISNUMBER(M57),ISNUMBER(AJ57)),IF(M57&gt;=AJ57,'Sheet1-指标体系'!$J$18,IF(AJ57-M57&lt;'Sheet1-指标体系'!$J$10,'Sheet1-指标体系'!$J$22,'Sheet1-指标体系'!$J$23)),"")</f>
        <v>100</v>
      </c>
      <c r="AL57" s="37">
        <f>IF((IF(ISNUMBER(I57),'Sheet1-指标体系'!$G$4,0)+IF(ISNUMBER(K57),'Sheet1-指标体系'!$G$5,0)+IF(ISNUMBER(L57),'Sheet1-指标体系'!$G$6,0))&gt;0,ROUND((IF(ISNUMBER(I57),I57*'Sheet1-指标体系'!$G$4,0)+IF(ISNUMBER(K57),K57*'Sheet1-指标体系'!$G$5,0)+IF(ISNUMBER(L57),L57*'Sheet1-指标体系'!$G$6,0))/(IF(ISNUMBER(I57),'Sheet1-指标体系'!$G$4,0)+IF(ISNUMBER(K57),'Sheet1-指标体系'!$G$5,0)+IF(ISNUMBER(L57),'Sheet1-指标体系'!$G$6,0)),2),"")</f>
        <v>92</v>
      </c>
      <c r="AM57" s="37">
        <f t="shared" si="9"/>
        <v>67.86</v>
      </c>
      <c r="AN57" s="37">
        <f t="shared" si="10"/>
        <v>29.73</v>
      </c>
      <c r="AO57" s="37">
        <f t="shared" si="11"/>
        <v>26.76</v>
      </c>
      <c r="AP57" s="37">
        <f t="shared" si="12"/>
        <v>100</v>
      </c>
      <c r="AQ57" s="38">
        <f t="shared" si="13"/>
        <v>0.88</v>
      </c>
      <c r="AR57" s="37">
        <f t="shared" si="14"/>
        <v>49.62065</v>
      </c>
      <c r="AS57" s="37">
        <f t="shared" si="15"/>
        <v>56.39</v>
      </c>
      <c r="AT57" s="40">
        <f>IF(OR(G57&lt;&gt;"入池",NOT(ISNUMBER(AS57))),"",COUNTIFS($G$17:$G$99,"入池",$AS$17:$AS$99,"&gt;"&amp;AS57)+COUNTIFS($G$17:$G$99,"入池",$AS$17:$AS$99,AS57,$AQ$17:$AQ$99,"&gt;"&amp;AQ57)+COUNTIFS($G$17:G57,"入池",$AS$17:AS57,AS57,$AQ$17:AQ57,AQ57))</f>
        <v>48</v>
      </c>
      <c r="AU57" s="46" t="str">
        <f>IF(NOT(ISNUMBER(I57)),"管理人规模；","")&amp;IF(NOT(ISNUMBER(K57)),"产品规模标识；","")&amp;IF(NOT(ISNUMBER(M57)),"近一年收益；","")&amp;IF(NOT(ISNUMBER(T57)),"近一年胜率；","")&amp;IF(NOT(ISNUMBER(N57)),"近三年收益；","")&amp;IF(NOT(ISNUMBER(U57)),"近三年胜率；","")&amp;IF(NOT(ISNUMBER(AA57)),"近三年回撤；","")&amp;IF(NOT(ISNUMBER(AD57)),"近一年卡玛；","")&amp;IF(ISNUMBER(F57),IF(AND(F57&lt;'Sheet1-指标体系'!$J$16,NOT(ISNUMBER(O57))),"成立以来年化；",""),"成立日期；")&amp;IF(ISNUMBER(V57),IF(OR(V57&lt;0,V57&gt;1),"胜率窗口口径不一致；",""),"")&amp;IF(ISNUMBER(P57),IF(NOT(ISNUMBER(AE57)),"DD_long不可识别；",""),"")</f>
        <v>DD_long不可识别；</v>
      </c>
      <c r="AV57" s="37" t="str">
        <f>IF(ABS(SUM(CA57:CK57)-'Sheet1-指标体系'!$J$25)&lt;0.0000000001,SUM(BP57:BZ57),"")</f>
        <v/>
      </c>
      <c r="AW57" s="36" t="str">
        <f>IF(G57&lt;&gt;"入池",G57,IF(AQ57=0,"无有效评分数据",IF(ROUND(AQ57,10)=ROUND('Sheet1-指标体系'!$J$25,10),"完整赋分","暂定分／数据不完整")))</f>
        <v>暂定分／数据不完整</v>
      </c>
      <c r="AX57" s="22" t="str">
        <f>IF('Sheet4-原始数据'!C42="","",'Sheet4-原始数据'!C42)</f>
        <v>套利策略</v>
      </c>
      <c r="AY57" s="22" t="str">
        <f>IF('Sheet4-原始数据'!D42="","",'Sheet4-原始数据'!D42)</f>
        <v>期货套利</v>
      </c>
      <c r="AZ57" s="22" t="str">
        <f>IF('Sheet5-查询核对'!S42="","",'Sheet5-查询核对'!S42)</f>
        <v>套利策略—期货套利</v>
      </c>
      <c r="BA57" s="25">
        <f>IF('Sheet5-查询核对'!A42="","",'Sheet5-查询核对'!A42)</f>
        <v>42</v>
      </c>
      <c r="BB57" s="22" t="str">
        <f>IF('Sheet5-查询核对'!F42="","",'Sheet5-查询核对'!F42)</f>
        <v>备案号匹配</v>
      </c>
      <c r="BC57" s="24" t="str">
        <f>IF('Sheet5-查询核对'!I42="","",'Sheet5-查询核对'!I42)</f>
        <v>https://mp.fof99.com/fund/view/2b81990a6051e6e6</v>
      </c>
      <c r="BD57" s="23">
        <f>IF('Sheet5-查询核对'!H42="","",'Sheet5-查询核对'!H42)</f>
        <v>46269</v>
      </c>
      <c r="BE57" s="24" t="str">
        <f>IF('Sheet5-查询核对'!L42="","",'Sheet5-查询核对'!L42)</f>
        <v>https://gs.amac.org.cn/amac-infodisc/res/pof/manager/2106221238106983.html</v>
      </c>
      <c r="BF57" s="23">
        <f>IF('Sheet5-查询核对'!M42="","",'Sheet5-查询核对'!M42)</f>
        <v>46276</v>
      </c>
      <c r="BG57" s="24" t="str">
        <f>IF('Sheet5-查询核对'!O42="","",'Sheet5-查询核对'!O42)</f>
        <v>https://gs.amac.org.cn/amac-infodisc/res/pof/fund/2309061045105511.html</v>
      </c>
      <c r="BH57" s="23">
        <f>IF('Sheet5-查询核对'!P42="","",'Sheet5-查询核对'!P42)</f>
        <v>46276</v>
      </c>
      <c r="BI57" s="22" t="str">
        <f>IF('Sheet5-查询核对'!D42="","",'Sheet5-查询核对'!D42)</f>
        <v>SB9576</v>
      </c>
      <c r="BJ57">
        <f>IF(ISNUMBER(AT57),AT57,COUNT($AT$17:$AT$99)+ROWS($AT$17:AT57)-COUNT($AT$17:AT57))</f>
        <v>48</v>
      </c>
      <c r="BK57" s="2">
        <f t="shared" si="16"/>
        <v>1</v>
      </c>
      <c r="BL57" s="2">
        <f t="shared" si="17"/>
        <v>1</v>
      </c>
      <c r="BM57" s="2">
        <f t="shared" si="18"/>
        <v>1</v>
      </c>
      <c r="BN57" s="2">
        <f t="shared" si="19"/>
        <v>1</v>
      </c>
      <c r="BO57" s="2">
        <f t="shared" si="20"/>
        <v>0</v>
      </c>
      <c r="BP57" s="48">
        <f>IF(G57="入池",IF(ISNUMBER(I57),I57*('Sheet1-指标体系'!$G$4),0),0)</f>
        <v>4.8</v>
      </c>
      <c r="BQ57" s="48">
        <f>IF(G57="入池",IF(ISNUMBER(K57),K57*('Sheet1-指标体系'!$G$5),0),0)</f>
        <v>4.5</v>
      </c>
      <c r="BR57" s="48">
        <f>IF(G57="入池",IF(ISNUMBER(L57),L57*('Sheet1-指标体系'!$G$6),0),0)</f>
        <v>4.5</v>
      </c>
      <c r="BS57" s="48">
        <f>IF(G57="入池",IF(ISNUMBER(Q57),Q57*('Sheet1-指标体系'!$G$7*'Sheet1-指标体系'!$J$8),0),0)</f>
        <v>5.60028</v>
      </c>
      <c r="BT57" s="48">
        <f>IF(G57="入池",IF(ISNUMBER(R57),R57*('Sheet1-指标体系'!$G$7*'Sheet1-指标体系'!$J$9),0),0)</f>
        <v>3.47872</v>
      </c>
      <c r="BU57" s="48">
        <f>IF(G57="入池",IF(ISNUMBER(W57),W57*('Sheet1-指标体系'!$G$8*'Sheet1-指标体系'!$J$8),0),0)</f>
        <v>2.49228</v>
      </c>
      <c r="BV57" s="48">
        <f>IF(G57="入池",IF(ISNUMBER(X57),X57*('Sheet1-指标体系'!$G$8*'Sheet1-指标体系'!$J$9),0),0)</f>
        <v>2.00007</v>
      </c>
      <c r="BW57" s="48">
        <f>IF(G57="入池",IF(ISNUMBER(AC57),AC57*('Sheet1-指标体系'!$G$9),0),0)</f>
        <v>7.4325</v>
      </c>
      <c r="BX57" s="48">
        <f>IF(G57="入池",IF(ISNUMBER(AG57),AG57*('Sheet1-指标体系'!$G$10*'Sheet1-指标体系'!$J$8),0),0)</f>
        <v>4.8168</v>
      </c>
      <c r="BY57" s="48">
        <f>IF(G57="入池",IF(ISNUMBER(AH57),AH57*('Sheet1-指标体系'!$G$10*'Sheet1-指标体系'!$J$9),0),0)</f>
        <v>0</v>
      </c>
      <c r="BZ57" s="48">
        <f>IF(G57="入池",IF(ISNUMBER(AK57),AK57*('Sheet1-指标体系'!$G$11),0),0)</f>
        <v>10</v>
      </c>
      <c r="CA57" s="49">
        <f>IF(G57="入池",IF(ISNUMBER(I57),'Sheet1-指标体系'!$G$4,0),0)</f>
        <v>0.06</v>
      </c>
      <c r="CB57" s="49">
        <f>IF(G57="入池",IF(ISNUMBER(K57),'Sheet1-指标体系'!$G$5,0),0)</f>
        <v>0.045</v>
      </c>
      <c r="CC57" s="49">
        <f>IF(G57="入池",IF(ISNUMBER(L57),'Sheet1-指标体系'!$G$6,0),0)</f>
        <v>0.045</v>
      </c>
      <c r="CD57" s="49">
        <f>IF(G57="入池",IF(ISNUMBER(Q57),'Sheet1-指标体系'!$G$7*'Sheet1-指标体系'!$J$8,0),0)</f>
        <v>0.084</v>
      </c>
      <c r="CE57" s="49">
        <f>IF(G57="入池",IF(ISNUMBER(R57),'Sheet1-指标体系'!$G$7*'Sheet1-指标体系'!$J$9,0),0)</f>
        <v>0.056</v>
      </c>
      <c r="CF57" s="49">
        <f>IF(G57="入池",IF(ISNUMBER(W57),'Sheet1-指标体系'!$G$8*'Sheet1-指标体系'!$J$8,0),0)</f>
        <v>0.036</v>
      </c>
      <c r="CG57" s="49">
        <f>IF(G57="入池",IF(ISNUMBER(X57),'Sheet1-指标体系'!$G$8*'Sheet1-指标体系'!$J$9,0),0)</f>
        <v>0.024</v>
      </c>
      <c r="CH57" s="49">
        <f>IF(G57="入池",IF(ISNUMBER(AC57),'Sheet1-指标体系'!$G$9,0),0)</f>
        <v>0.25</v>
      </c>
      <c r="CI57" s="49">
        <f>IF(G57="入池",IF(ISNUMBER(AG57),'Sheet1-指标体系'!$G$10*'Sheet1-指标体系'!$J$8,0),0)</f>
        <v>0.18</v>
      </c>
      <c r="CJ57" s="49">
        <f>IF(G57="入池",IF(ISNUMBER(AH57),'Sheet1-指标体系'!$G$10*'Sheet1-指标体系'!$J$9,0),0)</f>
        <v>0</v>
      </c>
      <c r="CK57" s="49">
        <f>IF(G57="入池",IF(ISNUMBER(AK57),'Sheet1-指标体系'!$G$11,0),0)</f>
        <v>0.1</v>
      </c>
    </row>
    <row r="58" ht="44" customHeight="1" spans="1:89">
      <c r="A58" s="40">
        <f>'Sheet5-查询核对'!A43-1</f>
        <v>42</v>
      </c>
      <c r="B58" s="24" t="str">
        <f>IF('Sheet4-原始数据'!A43="",'Sheet5-查询核对'!B43,'Sheet4-原始数据'!A43)</f>
        <v>慕途商品套利1号</v>
      </c>
      <c r="C58" s="22" t="str">
        <f>IF('Sheet4-原始数据'!B43="","",'Sheet4-原始数据'!B43)</f>
        <v>SAHX36</v>
      </c>
      <c r="D58" s="22" t="str">
        <f>IF('Sheet4-原始数据'!E43="","",'Sheet4-原始数据'!E43)</f>
        <v>慕途基金</v>
      </c>
      <c r="E58" s="23">
        <f>IF('Sheet4-原始数据'!F43="","",'Sheet4-原始数据'!F43)</f>
        <v>45376</v>
      </c>
      <c r="F58" s="37">
        <f>IF(ISNUMBER(E58),ROUND(('Sheet1-指标体系'!$J$12-E58)/'Sheet1-指标体系'!$J$14,4),"")</f>
        <v>2.4613</v>
      </c>
      <c r="G58" s="36" t="str">
        <f>IF(C58="","未匹配",IF(NOT(ISNUMBER(F58)),"缺成立日期",IF(F58&lt;'Sheet1-指标体系'!$J$15,"不入池","入池")))</f>
        <v>入池</v>
      </c>
      <c r="H58" s="22" t="str">
        <f>IF('Sheet5-查询核对'!K43="","",'Sheet5-查询核对'!K43)</f>
        <v>10-20亿元</v>
      </c>
      <c r="I58" s="37">
        <f>IF(H58="","",IF(COUNTIF('Sheet1-指标体系'!$P$4:$P$10,H58)=0,"",INDEX('Sheet1-指标体系'!$Q$4:$Q$10,MATCH(H58,'Sheet1-指标体系'!$P$4:$P$10,0))))</f>
        <v>80</v>
      </c>
      <c r="J58" s="44" t="str">
        <f>IF(NOT(ISNUMBER('Sheet5-查询核对'!N43)),"",IF('Sheet5-查询核对'!N43=1,"低于"&amp;'Sheet1-指标体系'!$J$4&amp;"万元",IF('Sheet5-查询核对'!N43=0,"无低于"&amp;'Sheet1-指标体系'!$J$4&amp;"万元标识","")))</f>
        <v>无低于1000万元标识</v>
      </c>
      <c r="K58" s="37">
        <f>IF(NOT(ISNUMBER('Sheet5-查询核对'!N43)),"",IF('Sheet5-查询核对'!N43=1,'Sheet1-指标体系'!$J$21,IF('Sheet5-查询核对'!N43=0,'Sheet1-指标体系'!$J$18,"")))</f>
        <v>100</v>
      </c>
      <c r="L58" s="37">
        <f>IF(NOT(ISNUMBER(F58)),"",IF(F58&lt;'Sheet1-指标体系'!$J$15,"",IF(F58&lt;'Sheet1-指标体系'!$J$16,'Sheet1-指标体系'!$J$17,'Sheet1-指标体系'!$J$18)))</f>
        <v>70</v>
      </c>
      <c r="M58" s="26">
        <f>IF(ISNUMBER('Sheet4-原始数据'!G43),'Sheet4-原始数据'!G43,"")</f>
        <v>0.1317</v>
      </c>
      <c r="N58" s="26" t="str">
        <f>IF(ISNUMBER('Sheet4-原始数据'!H43),'Sheet4-原始数据'!H43,"")</f>
        <v/>
      </c>
      <c r="O58" s="26">
        <f>IF(ISNUMBER('Sheet5-查询核对'!Q43),'Sheet5-查询核对'!Q43,"")</f>
        <v>0.0882</v>
      </c>
      <c r="P58" s="45">
        <f>IF(G58&lt;&gt;"入池","",IF(F58&gt;='Sheet1-指标体系'!$J$16,IF(AND(ISNUMBER(M58),ISNUMBER(N58)),IF(AND(1+M58&gt;0,1+N58&gt;=0),((1+N58)^'Sheet1-指标体系'!$J$16/(1+M58))^(1/('Sheet1-指标体系'!$J$16-1))-1,""),""),IF(AND(ISNUMBER(M58),ISNUMBER(O58)),IF(AND(F58&gt;1,1+M58&gt;0,1+O58&gt;=0),((1+O58)^F58/(1+M58))^(1/(F58-1))-1,""),"")))</f>
        <v>0.0593995466125621</v>
      </c>
      <c r="Q58" s="37">
        <f t="shared" si="0"/>
        <v>73.61</v>
      </c>
      <c r="R58" s="37">
        <f t="shared" si="1"/>
        <v>31.82</v>
      </c>
      <c r="S58" s="37">
        <f>IF(ISNUMBER(Q58),IF(ISNUMBER(R58),ROUND(Q58*'Sheet1-指标体系'!$J$8+R58*'Sheet1-指标体系'!$J$9,2),Q58),"")</f>
        <v>56.89</v>
      </c>
      <c r="T58" s="26">
        <f>IF(ISNUMBER('Sheet4-原始数据'!J43),'Sheet4-原始数据'!J43,"")</f>
        <v>0.8462</v>
      </c>
      <c r="U58" s="26" t="str">
        <f>IF(ISNUMBER('Sheet4-原始数据'!I43),'Sheet4-原始数据'!I43,"")</f>
        <v/>
      </c>
      <c r="V58" s="45" t="str">
        <f>IF(AND(ISNUMBER(T58),ISNUMBER(U58)),(U58*'Sheet1-指标体系'!$J$6-T58*'Sheet1-指标体系'!$J$5)/'Sheet1-指标体系'!$J$7,"")</f>
        <v/>
      </c>
      <c r="W58" s="37">
        <f t="shared" si="2"/>
        <v>84.62</v>
      </c>
      <c r="X58" s="37" t="str">
        <f>IF(G58&lt;&gt;"入池","",IF(ISNUMBER(V58),IF(AND(V58&gt;=0,V58&lt;=1),V58*'Sheet1-指标体系'!$J$18,IF(MAX(0,(F58-'Sheet1-指标体系'!$J$15)*'Sheet1-指标体系'!$J$20)&lt;'Sheet1-指标体系'!$J$19,'Sheet1-指标体系'!$J$18,"")),IF(MAX(0,(F58-'Sheet1-指标体系'!$J$15)*'Sheet1-指标体系'!$J$20)&lt;'Sheet1-指标体系'!$J$19,'Sheet1-指标体系'!$J$18,"")))</f>
        <v/>
      </c>
      <c r="Y58" s="37">
        <f>IF(ISNUMBER(W58),IF(ISNUMBER(X58),ROUND(W58*'Sheet1-指标体系'!$J$8+X58*'Sheet1-指标体系'!$J$9,2),W58),"")</f>
        <v>84.62</v>
      </c>
      <c r="Z58" s="45">
        <f t="shared" si="3"/>
        <v>0.0125902203527556</v>
      </c>
      <c r="AA58" s="26" t="str">
        <f>IF(ISNUMBER('Sheet4-原始数据'!K43),'Sheet4-原始数据'!K43,"")</f>
        <v/>
      </c>
      <c r="AB58" s="45">
        <f t="shared" si="4"/>
        <v>0.0125902203527556</v>
      </c>
      <c r="AC58" s="37">
        <f t="shared" si="5"/>
        <v>63.51</v>
      </c>
      <c r="AD58" s="30">
        <f>IF(ISNUMBER('Sheet4-原始数据'!M43),'Sheet4-原始数据'!M43,"")</f>
        <v>10.4605</v>
      </c>
      <c r="AE58" s="45" t="str">
        <f>IF(AND(ISNUMBER(P58),ISNUMBER(AA58),ISNUMBER(Z58)),IF(AA58&gt;Z58+'Sheet1-指标体系'!$J$11,AA58,""),"")</f>
        <v/>
      </c>
      <c r="AF58" s="37" t="str">
        <f t="shared" si="6"/>
        <v/>
      </c>
      <c r="AG58" s="37">
        <f t="shared" si="7"/>
        <v>54.93</v>
      </c>
      <c r="AH58" s="37" t="str">
        <f t="shared" si="8"/>
        <v/>
      </c>
      <c r="AI58" s="37">
        <f>IF(ISNUMBER(AG58),IF(ISNUMBER(AH58),ROUND(AG58*'Sheet1-指标体系'!$J$8+AH58*'Sheet1-指标体系'!$J$9,2),AG58),"")</f>
        <v>54.93</v>
      </c>
      <c r="AJ58" s="45">
        <f>IF(NOT(ISNUMBER(F58)),"",IF(F58&gt;='Sheet1-指标体系'!$J$16,IF(ISNUMBER(N58),N58,""),IF(ISNUMBER(O58),O58,"")))</f>
        <v>0.0882</v>
      </c>
      <c r="AK58" s="37">
        <f>IF(AND(G58="入池",ISNUMBER(M58),ISNUMBER(AJ58)),IF(M58&gt;=AJ58,'Sheet1-指标体系'!$J$18,IF(AJ58-M58&lt;'Sheet1-指标体系'!$J$10,'Sheet1-指标体系'!$J$22,'Sheet1-指标体系'!$J$23)),"")</f>
        <v>100</v>
      </c>
      <c r="AL58" s="37">
        <f>IF((IF(ISNUMBER(I58),'Sheet1-指标体系'!$G$4,0)+IF(ISNUMBER(K58),'Sheet1-指标体系'!$G$5,0)+IF(ISNUMBER(L58),'Sheet1-指标体系'!$G$6,0))&gt;0,ROUND((IF(ISNUMBER(I58),I58*'Sheet1-指标体系'!$G$4,0)+IF(ISNUMBER(K58),K58*'Sheet1-指标体系'!$G$5,0)+IF(ISNUMBER(L58),L58*'Sheet1-指标体系'!$G$6,0))/(IF(ISNUMBER(I58),'Sheet1-指标体系'!$G$4,0)+IF(ISNUMBER(K58),'Sheet1-指标体系'!$G$5,0)+IF(ISNUMBER(L58),'Sheet1-指标体系'!$G$6,0)),2),"")</f>
        <v>83</v>
      </c>
      <c r="AM58" s="37">
        <f t="shared" si="9"/>
        <v>62.57</v>
      </c>
      <c r="AN58" s="37">
        <f t="shared" si="10"/>
        <v>63.51</v>
      </c>
      <c r="AO58" s="37">
        <f t="shared" si="11"/>
        <v>54.93</v>
      </c>
      <c r="AP58" s="37">
        <f t="shared" si="12"/>
        <v>100</v>
      </c>
      <c r="AQ58" s="38">
        <f t="shared" si="13"/>
        <v>0.856</v>
      </c>
      <c r="AR58" s="37">
        <f t="shared" si="14"/>
        <v>59.22638</v>
      </c>
      <c r="AS58" s="37">
        <f t="shared" si="15"/>
        <v>69.19</v>
      </c>
      <c r="AT58" s="40">
        <f>IF(OR(G58&lt;&gt;"入池",NOT(ISNUMBER(AS58))),"",COUNTIFS($G$17:$G$99,"入池",$AS$17:$AS$99,"&gt;"&amp;AS58)+COUNTIFS($G$17:$G$99,"入池",$AS$17:$AS$99,AS58,$AQ$17:$AQ$99,"&gt;"&amp;AQ58)+COUNTIFS($G$17:G58,"入池",$AS$17:AS58,AS58,$AQ$17:AQ58,AQ58))</f>
        <v>35</v>
      </c>
      <c r="AU58" s="46" t="str">
        <f>IF(NOT(ISNUMBER(I58)),"管理人规模；","")&amp;IF(NOT(ISNUMBER(K58)),"产品规模标识；","")&amp;IF(NOT(ISNUMBER(M58)),"近一年收益；","")&amp;IF(NOT(ISNUMBER(T58)),"近一年胜率；","")&amp;IF(NOT(ISNUMBER(N58)),"近三年收益；","")&amp;IF(NOT(ISNUMBER(U58)),"近三年胜率；","")&amp;IF(NOT(ISNUMBER(AA58)),"近三年回撤；","")&amp;IF(NOT(ISNUMBER(AD58)),"近一年卡玛；","")&amp;IF(ISNUMBER(F58),IF(AND(F58&lt;'Sheet1-指标体系'!$J$16,NOT(ISNUMBER(O58))),"成立以来年化；",""),"成立日期；")&amp;IF(ISNUMBER(V58),IF(OR(V58&lt;0,V58&gt;1),"胜率窗口口径不一致；",""),"")&amp;IF(ISNUMBER(P58),IF(NOT(ISNUMBER(AE58)),"DD_long不可识别；",""),"")</f>
        <v>近三年收益；近三年胜率；近三年回撤；DD_long不可识别；</v>
      </c>
      <c r="AV58" s="37" t="str">
        <f>IF(ABS(SUM(CA58:CK58)-'Sheet1-指标体系'!$J$25)&lt;0.0000000001,SUM(BP58:BZ58),"")</f>
        <v/>
      </c>
      <c r="AW58" s="36" t="str">
        <f>IF(G58&lt;&gt;"入池",G58,IF(AQ58=0,"无有效评分数据",IF(ROUND(AQ58,10)=ROUND('Sheet1-指标体系'!$J$25,10),"完整赋分","暂定分／数据不完整")))</f>
        <v>暂定分／数据不完整</v>
      </c>
      <c r="AX58" s="22" t="str">
        <f>IF('Sheet4-原始数据'!C43="","",'Sheet4-原始数据'!C43)</f>
        <v>套利策略</v>
      </c>
      <c r="AY58" s="22" t="str">
        <f>IF('Sheet4-原始数据'!D43="","",'Sheet4-原始数据'!D43)</f>
        <v>期货套利</v>
      </c>
      <c r="AZ58" s="22" t="str">
        <f>IF('Sheet5-查询核对'!S43="","",'Sheet5-查询核对'!S43)</f>
        <v>套利策略—期货套利</v>
      </c>
      <c r="BA58" s="25">
        <f>IF('Sheet5-查询核对'!A43="","",'Sheet5-查询核对'!A43)</f>
        <v>43</v>
      </c>
      <c r="BB58" s="22" t="str">
        <f>IF('Sheet5-查询核对'!F43="","",'Sheet5-查询核对'!F43)</f>
        <v>备案号匹配</v>
      </c>
      <c r="BC58" s="24" t="str">
        <f>IF('Sheet5-查询核对'!I43="","",'Sheet5-查询核对'!I43)</f>
        <v>https://mp.fof99.com/fund/view/6170fbc34ea41205</v>
      </c>
      <c r="BD58" s="23">
        <f>IF('Sheet5-查询核对'!H43="","",'Sheet5-查询核对'!H43)</f>
        <v>46269</v>
      </c>
      <c r="BE58" s="24" t="str">
        <f>IF('Sheet5-查询核对'!L43="","",'Sheet5-查询核对'!L43)</f>
        <v>https://gs.amac.org.cn/amac-infodisc/res/pof/manager/2106221238106983.html</v>
      </c>
      <c r="BF58" s="23">
        <f>IF('Sheet5-查询核对'!M43="","",'Sheet5-查询核对'!M43)</f>
        <v>46276</v>
      </c>
      <c r="BG58" s="24" t="str">
        <f>IF('Sheet5-查询核对'!O43="","",'Sheet5-查询核对'!O43)</f>
        <v>https://gs.amac.org.cn/amac-infodisc/res/pof/fund/2404081616103724.html</v>
      </c>
      <c r="BH58" s="23">
        <f>IF('Sheet5-查询核对'!P43="","",'Sheet5-查询核对'!P43)</f>
        <v>46276</v>
      </c>
      <c r="BI58" s="22" t="str">
        <f>IF('Sheet5-查询核对'!D43="","",'Sheet5-查询核对'!D43)</f>
        <v>SAHX36</v>
      </c>
      <c r="BJ58">
        <f>IF(ISNUMBER(AT58),AT58,COUNT($AT$17:$AT$99)+ROWS($AT$17:AT58)-COUNT($AT$17:AT58))</f>
        <v>35</v>
      </c>
      <c r="BK58" s="2">
        <f t="shared" si="16"/>
        <v>1</v>
      </c>
      <c r="BL58" s="2">
        <f t="shared" si="17"/>
        <v>1</v>
      </c>
      <c r="BM58" s="2">
        <f t="shared" si="18"/>
        <v>1</v>
      </c>
      <c r="BN58" s="2">
        <f t="shared" si="19"/>
        <v>1</v>
      </c>
      <c r="BO58" s="2">
        <f t="shared" si="20"/>
        <v>0</v>
      </c>
      <c r="BP58" s="48">
        <f>IF(G58="入池",IF(ISNUMBER(I58),I58*('Sheet1-指标体系'!$G$4),0),0)</f>
        <v>4.8</v>
      </c>
      <c r="BQ58" s="48">
        <f>IF(G58="入池",IF(ISNUMBER(K58),K58*('Sheet1-指标体系'!$G$5),0),0)</f>
        <v>4.5</v>
      </c>
      <c r="BR58" s="48">
        <f>IF(G58="入池",IF(ISNUMBER(L58),L58*('Sheet1-指标体系'!$G$6),0),0)</f>
        <v>3.15</v>
      </c>
      <c r="BS58" s="48">
        <f>IF(G58="入池",IF(ISNUMBER(Q58),Q58*('Sheet1-指标体系'!$G$7*'Sheet1-指标体系'!$J$8),0),0)</f>
        <v>6.18324</v>
      </c>
      <c r="BT58" s="48">
        <f>IF(G58="入池",IF(ISNUMBER(R58),R58*('Sheet1-指标体系'!$G$7*'Sheet1-指标体系'!$J$9),0),0)</f>
        <v>1.78192</v>
      </c>
      <c r="BU58" s="48">
        <f>IF(G58="入池",IF(ISNUMBER(W58),W58*('Sheet1-指标体系'!$G$8*'Sheet1-指标体系'!$J$8),0),0)</f>
        <v>3.04632</v>
      </c>
      <c r="BV58" s="48">
        <f>IF(G58="入池",IF(ISNUMBER(X58),X58*('Sheet1-指标体系'!$G$8*'Sheet1-指标体系'!$J$9),0),0)</f>
        <v>0</v>
      </c>
      <c r="BW58" s="48">
        <f>IF(G58="入池",IF(ISNUMBER(AC58),AC58*('Sheet1-指标体系'!$G$9),0),0)</f>
        <v>15.8775</v>
      </c>
      <c r="BX58" s="48">
        <f>IF(G58="入池",IF(ISNUMBER(AG58),AG58*('Sheet1-指标体系'!$G$10*'Sheet1-指标体系'!$J$8),0),0)</f>
        <v>9.8874</v>
      </c>
      <c r="BY58" s="48">
        <f>IF(G58="入池",IF(ISNUMBER(AH58),AH58*('Sheet1-指标体系'!$G$10*'Sheet1-指标体系'!$J$9),0),0)</f>
        <v>0</v>
      </c>
      <c r="BZ58" s="48">
        <f>IF(G58="入池",IF(ISNUMBER(AK58),AK58*('Sheet1-指标体系'!$G$11),0),0)</f>
        <v>10</v>
      </c>
      <c r="CA58" s="49">
        <f>IF(G58="入池",IF(ISNUMBER(I58),'Sheet1-指标体系'!$G$4,0),0)</f>
        <v>0.06</v>
      </c>
      <c r="CB58" s="49">
        <f>IF(G58="入池",IF(ISNUMBER(K58),'Sheet1-指标体系'!$G$5,0),0)</f>
        <v>0.045</v>
      </c>
      <c r="CC58" s="49">
        <f>IF(G58="入池",IF(ISNUMBER(L58),'Sheet1-指标体系'!$G$6,0),0)</f>
        <v>0.045</v>
      </c>
      <c r="CD58" s="49">
        <f>IF(G58="入池",IF(ISNUMBER(Q58),'Sheet1-指标体系'!$G$7*'Sheet1-指标体系'!$J$8,0),0)</f>
        <v>0.084</v>
      </c>
      <c r="CE58" s="49">
        <f>IF(G58="入池",IF(ISNUMBER(R58),'Sheet1-指标体系'!$G$7*'Sheet1-指标体系'!$J$9,0),0)</f>
        <v>0.056</v>
      </c>
      <c r="CF58" s="49">
        <f>IF(G58="入池",IF(ISNUMBER(W58),'Sheet1-指标体系'!$G$8*'Sheet1-指标体系'!$J$8,0),0)</f>
        <v>0.036</v>
      </c>
      <c r="CG58" s="49">
        <f>IF(G58="入池",IF(ISNUMBER(X58),'Sheet1-指标体系'!$G$8*'Sheet1-指标体系'!$J$9,0),0)</f>
        <v>0</v>
      </c>
      <c r="CH58" s="49">
        <f>IF(G58="入池",IF(ISNUMBER(AC58),'Sheet1-指标体系'!$G$9,0),0)</f>
        <v>0.25</v>
      </c>
      <c r="CI58" s="49">
        <f>IF(G58="入池",IF(ISNUMBER(AG58),'Sheet1-指标体系'!$G$10*'Sheet1-指标体系'!$J$8,0),0)</f>
        <v>0.18</v>
      </c>
      <c r="CJ58" s="49">
        <f>IF(G58="入池",IF(ISNUMBER(AH58),'Sheet1-指标体系'!$G$10*'Sheet1-指标体系'!$J$9,0),0)</f>
        <v>0</v>
      </c>
      <c r="CK58" s="49">
        <f>IF(G58="入池",IF(ISNUMBER(AK58),'Sheet1-指标体系'!$G$11,0),0)</f>
        <v>0.1</v>
      </c>
    </row>
    <row r="59" ht="44" customHeight="1" spans="1:89">
      <c r="A59" s="40">
        <f>'Sheet5-查询核对'!A44-1</f>
        <v>43</v>
      </c>
      <c r="B59" s="24" t="str">
        <f>IF('Sheet4-原始数据'!A44="",'Sheet5-查询核对'!B44,'Sheet4-原始数据'!A44)</f>
        <v>慕途稳健1号</v>
      </c>
      <c r="C59" s="22" t="str">
        <f>IF('Sheet4-原始数据'!B44="","",'Sheet4-原始数据'!B44)</f>
        <v>SVM029</v>
      </c>
      <c r="D59" s="22" t="str">
        <f>IF('Sheet4-原始数据'!E44="","",'Sheet4-原始数据'!E44)</f>
        <v>慕途基金</v>
      </c>
      <c r="E59" s="23">
        <f>IF('Sheet4-原始数据'!F44="","",'Sheet4-原始数据'!F44)</f>
        <v>44691</v>
      </c>
      <c r="F59" s="37">
        <f>IF(ISNUMBER(E59),ROUND(('Sheet1-指标体系'!$J$12-E59)/'Sheet1-指标体系'!$J$14,4),"")</f>
        <v>4.3368</v>
      </c>
      <c r="G59" s="36" t="str">
        <f>IF(C59="","未匹配",IF(NOT(ISNUMBER(F59)),"缺成立日期",IF(F59&lt;'Sheet1-指标体系'!$J$15,"不入池","入池")))</f>
        <v>入池</v>
      </c>
      <c r="H59" s="22" t="str">
        <f>IF('Sheet5-查询核对'!K44="","",'Sheet5-查询核对'!K44)</f>
        <v>10-20亿元</v>
      </c>
      <c r="I59" s="37">
        <f>IF(H59="","",IF(COUNTIF('Sheet1-指标体系'!$P$4:$P$10,H59)=0,"",INDEX('Sheet1-指标体系'!$Q$4:$Q$10,MATCH(H59,'Sheet1-指标体系'!$P$4:$P$10,0))))</f>
        <v>80</v>
      </c>
      <c r="J59" s="44" t="str">
        <f>IF(NOT(ISNUMBER('Sheet5-查询核对'!N44)),"",IF('Sheet5-查询核对'!N44=1,"低于"&amp;'Sheet1-指标体系'!$J$4&amp;"万元",IF('Sheet5-查询核对'!N44=0,"无低于"&amp;'Sheet1-指标体系'!$J$4&amp;"万元标识","")))</f>
        <v>无低于1000万元标识</v>
      </c>
      <c r="K59" s="37">
        <f>IF(NOT(ISNUMBER('Sheet5-查询核对'!N44)),"",IF('Sheet5-查询核对'!N44=1,'Sheet1-指标体系'!$J$21,IF('Sheet5-查询核对'!N44=0,'Sheet1-指标体系'!$J$18,"")))</f>
        <v>100</v>
      </c>
      <c r="L59" s="37">
        <f>IF(NOT(ISNUMBER(F59)),"",IF(F59&lt;'Sheet1-指标体系'!$J$15,"",IF(F59&lt;'Sheet1-指标体系'!$J$16,'Sheet1-指标体系'!$J$17,'Sheet1-指标体系'!$J$18)))</f>
        <v>100</v>
      </c>
      <c r="M59" s="26">
        <f>IF(ISNUMBER('Sheet4-原始数据'!G44),'Sheet4-原始数据'!G44,"")</f>
        <v>0.0804</v>
      </c>
      <c r="N59" s="26">
        <f>IF(ISNUMBER('Sheet4-原始数据'!H44),'Sheet4-原始数据'!H44,"")</f>
        <v>0.079</v>
      </c>
      <c r="O59" s="26">
        <f>IF(ISNUMBER('Sheet5-查询核对'!Q44),'Sheet5-查询核对'!Q44,"")</f>
        <v>0.0767</v>
      </c>
      <c r="P59" s="45">
        <f>IF(G59&lt;&gt;"入池","",IF(F59&gt;='Sheet1-指标体系'!$J$16,IF(AND(ISNUMBER(M59),ISNUMBER(N59)),IF(AND(1+M59&gt;0,1+N59&gt;=0),((1+N59)^'Sheet1-指标体系'!$J$16/(1+M59))^(1/('Sheet1-指标体系'!$J$16-1))-1,""),""),IF(AND(ISNUMBER(M59),ISNUMBER(O59)),IF(AND(F59&gt;1,1+M59&gt;0,1+O59&gt;=0),((1+O59)^F59/(1+M59))^(1/(F59-1))-1,""),"")))</f>
        <v>0.0783006804505875</v>
      </c>
      <c r="Q59" s="37">
        <f t="shared" si="0"/>
        <v>40.28</v>
      </c>
      <c r="R59" s="37">
        <f t="shared" si="1"/>
        <v>51.52</v>
      </c>
      <c r="S59" s="37">
        <f>IF(ISNUMBER(Q59),IF(ISNUMBER(R59),ROUND(Q59*'Sheet1-指标体系'!$J$8+R59*'Sheet1-指标体系'!$J$9,2),Q59),"")</f>
        <v>44.78</v>
      </c>
      <c r="T59" s="26">
        <f>IF(ISNUMBER('Sheet4-原始数据'!J44),'Sheet4-原始数据'!J44,"")</f>
        <v>1</v>
      </c>
      <c r="U59" s="26">
        <f>IF(ISNUMBER('Sheet4-原始数据'!I44),'Sheet4-原始数据'!I44,"")</f>
        <v>1</v>
      </c>
      <c r="V59" s="45">
        <f>IF(AND(ISNUMBER(T59),ISNUMBER(U59)),(U59*'Sheet1-指标体系'!$J$6-T59*'Sheet1-指标体系'!$J$5)/'Sheet1-指标体系'!$J$7,"")</f>
        <v>1</v>
      </c>
      <c r="W59" s="37">
        <f t="shared" si="2"/>
        <v>100</v>
      </c>
      <c r="X59" s="37">
        <f>IF(G59&lt;&gt;"入池","",IF(ISNUMBER(V59),IF(AND(V59&gt;=0,V59&lt;=1),V59*'Sheet1-指标体系'!$J$18,IF(MAX(0,(F59-'Sheet1-指标体系'!$J$15)*'Sheet1-指标体系'!$J$20)&lt;'Sheet1-指标体系'!$J$19,'Sheet1-指标体系'!$J$18,"")),IF(MAX(0,(F59-'Sheet1-指标体系'!$J$15)*'Sheet1-指标体系'!$J$20)&lt;'Sheet1-指标体系'!$J$19,'Sheet1-指标体系'!$J$18,"")))</f>
        <v>100</v>
      </c>
      <c r="Y59" s="37">
        <f>IF(ISNUMBER(W59),IF(ISNUMBER(X59),ROUND(W59*'Sheet1-指标体系'!$J$8+X59*'Sheet1-指标体系'!$J$9,2),W59),"")</f>
        <v>100</v>
      </c>
      <c r="Z59" s="45">
        <f t="shared" si="3"/>
        <v>0.00344783223980445</v>
      </c>
      <c r="AA59" s="26">
        <f>IF(ISNUMBER('Sheet4-原始数据'!K44),'Sheet4-原始数据'!K44,"")</f>
        <v>0.0084</v>
      </c>
      <c r="AB59" s="45">
        <f t="shared" si="4"/>
        <v>0.0084</v>
      </c>
      <c r="AC59" s="37">
        <f t="shared" si="5"/>
        <v>75.68</v>
      </c>
      <c r="AD59" s="30">
        <f>IF(ISNUMBER('Sheet4-原始数据'!M44),'Sheet4-原始数据'!M44,"")</f>
        <v>23.319</v>
      </c>
      <c r="AE59" s="45">
        <f>IF(AND(ISNUMBER(P59),ISNUMBER(AA59),ISNUMBER(Z59)),IF(AA59&gt;Z59+'Sheet1-指标体系'!$J$11,AA59,""),"")</f>
        <v>0.0084</v>
      </c>
      <c r="AF59" s="37">
        <f t="shared" si="6"/>
        <v>9.32150957745089</v>
      </c>
      <c r="AG59" s="37">
        <f t="shared" si="7"/>
        <v>80.28</v>
      </c>
      <c r="AH59" s="37">
        <f t="shared" si="8"/>
        <v>78.13</v>
      </c>
      <c r="AI59" s="37">
        <f>IF(ISNUMBER(AG59),IF(ISNUMBER(AH59),ROUND(AG59*'Sheet1-指标体系'!$J$8+AH59*'Sheet1-指标体系'!$J$9,2),AG59),"")</f>
        <v>79.42</v>
      </c>
      <c r="AJ59" s="45">
        <f>IF(NOT(ISNUMBER(F59)),"",IF(F59&gt;='Sheet1-指标体系'!$J$16,IF(ISNUMBER(N59),N59,""),IF(ISNUMBER(O59),O59,"")))</f>
        <v>0.079</v>
      </c>
      <c r="AK59" s="37">
        <f>IF(AND(G59="入池",ISNUMBER(M59),ISNUMBER(AJ59)),IF(M59&gt;=AJ59,'Sheet1-指标体系'!$J$18,IF(AJ59-M59&lt;'Sheet1-指标体系'!$J$10,'Sheet1-指标体系'!$J$22,'Sheet1-指标体系'!$J$23)),"")</f>
        <v>100</v>
      </c>
      <c r="AL59" s="37">
        <f>IF((IF(ISNUMBER(I59),'Sheet1-指标体系'!$G$4,0)+IF(ISNUMBER(K59),'Sheet1-指标体系'!$G$5,0)+IF(ISNUMBER(L59),'Sheet1-指标体系'!$G$6,0))&gt;0,ROUND((IF(ISNUMBER(I59),I59*'Sheet1-指标体系'!$G$4,0)+IF(ISNUMBER(K59),K59*'Sheet1-指标体系'!$G$5,0)+IF(ISNUMBER(L59),L59*'Sheet1-指标体系'!$G$6,0))/(IF(ISNUMBER(I59),'Sheet1-指标体系'!$G$4,0)+IF(ISNUMBER(K59),'Sheet1-指标体系'!$G$5,0)+IF(ISNUMBER(L59),'Sheet1-指标体系'!$G$6,0)),2),"")</f>
        <v>92</v>
      </c>
      <c r="AM59" s="37">
        <f t="shared" si="9"/>
        <v>61.34</v>
      </c>
      <c r="AN59" s="37">
        <f t="shared" si="10"/>
        <v>75.68</v>
      </c>
      <c r="AO59" s="37">
        <f t="shared" si="11"/>
        <v>79.42</v>
      </c>
      <c r="AP59" s="37">
        <f t="shared" si="12"/>
        <v>100</v>
      </c>
      <c r="AQ59" s="38">
        <f t="shared" si="13"/>
        <v>1</v>
      </c>
      <c r="AR59" s="37">
        <f t="shared" si="14"/>
        <v>78.81464</v>
      </c>
      <c r="AS59" s="37">
        <f t="shared" si="15"/>
        <v>78.81</v>
      </c>
      <c r="AT59" s="40">
        <f>IF(OR(G59&lt;&gt;"入池",NOT(ISNUMBER(AS59))),"",COUNTIFS($G$17:$G$99,"入池",$AS$17:$AS$99,"&gt;"&amp;AS59)+COUNTIFS($G$17:$G$99,"入池",$AS$17:$AS$99,AS59,$AQ$17:$AQ$99,"&gt;"&amp;AQ59)+COUNTIFS($G$17:G59,"入池",$AS$17:AS59,AS59,$AQ$17:AQ59,AQ59))</f>
        <v>20</v>
      </c>
      <c r="AU59" s="46" t="str">
        <f>IF(NOT(ISNUMBER(I59)),"管理人规模；","")&amp;IF(NOT(ISNUMBER(K59)),"产品规模标识；","")&amp;IF(NOT(ISNUMBER(M59)),"近一年收益；","")&amp;IF(NOT(ISNUMBER(T59)),"近一年胜率；","")&amp;IF(NOT(ISNUMBER(N59)),"近三年收益；","")&amp;IF(NOT(ISNUMBER(U59)),"近三年胜率；","")&amp;IF(NOT(ISNUMBER(AA59)),"近三年回撤；","")&amp;IF(NOT(ISNUMBER(AD59)),"近一年卡玛；","")&amp;IF(ISNUMBER(F59),IF(AND(F59&lt;'Sheet1-指标体系'!$J$16,NOT(ISNUMBER(O59))),"成立以来年化；",""),"成立日期；")&amp;IF(ISNUMBER(V59),IF(OR(V59&lt;0,V59&gt;1),"胜率窗口口径不一致；",""),"")&amp;IF(ISNUMBER(P59),IF(NOT(ISNUMBER(AE59)),"DD_long不可识别；",""),"")</f>
        <v/>
      </c>
      <c r="AV59" s="37">
        <f>IF(ABS(SUM(CA59:CK59)-'Sheet1-指标体系'!$J$25)&lt;0.0000000001,SUM(BP59:BZ59),"")</f>
        <v>78.81464</v>
      </c>
      <c r="AW59" s="36" t="str">
        <f>IF(G59&lt;&gt;"入池",G59,IF(AQ59=0,"无有效评分数据",IF(ROUND(AQ59,10)=ROUND('Sheet1-指标体系'!$J$25,10),"完整赋分","暂定分／数据不完整")))</f>
        <v>完整赋分</v>
      </c>
      <c r="AX59" s="22" t="str">
        <f>IF('Sheet4-原始数据'!C44="","",'Sheet4-原始数据'!C44)</f>
        <v>期权策略</v>
      </c>
      <c r="AY59" s="22" t="str">
        <f>IF('Sheet4-原始数据'!D44="","",'Sheet4-原始数据'!D44)</f>
        <v>场内期权</v>
      </c>
      <c r="AZ59" s="22" t="str">
        <f>IF('Sheet5-查询核对'!S44="","",'Sheet5-查询核对'!S44)</f>
        <v>期权策略</v>
      </c>
      <c r="BA59" s="25">
        <f>IF('Sheet5-查询核对'!A44="","",'Sheet5-查询核对'!A44)</f>
        <v>44</v>
      </c>
      <c r="BB59" s="22" t="str">
        <f>IF('Sheet5-查询核对'!F44="","",'Sheet5-查询核对'!F44)</f>
        <v>备案号匹配</v>
      </c>
      <c r="BC59" s="24" t="str">
        <f>IF('Sheet5-查询核对'!I44="","",'Sheet5-查询核对'!I44)</f>
        <v>https://mp.fof99.com/fund/view/1a1f9e733b6e6ee0</v>
      </c>
      <c r="BD59" s="23">
        <f>IF('Sheet5-查询核对'!H44="","",'Sheet5-查询核对'!H44)</f>
        <v>46269</v>
      </c>
      <c r="BE59" s="24" t="str">
        <f>IF('Sheet5-查询核对'!L44="","",'Sheet5-查询核对'!L44)</f>
        <v>https://gs.amac.org.cn/amac-infodisc/res/pof/manager/2106221238106983.html</v>
      </c>
      <c r="BF59" s="23">
        <f>IF('Sheet5-查询核对'!M44="","",'Sheet5-查询核对'!M44)</f>
        <v>46276</v>
      </c>
      <c r="BG59" s="24" t="str">
        <f>IF('Sheet5-查询核对'!O44="","",'Sheet5-查询核对'!O44)</f>
        <v>https://gs.amac.org.cn/amac-infodisc/res/pof/fund/2205181829119258.html</v>
      </c>
      <c r="BH59" s="23">
        <f>IF('Sheet5-查询核对'!P44="","",'Sheet5-查询核对'!P44)</f>
        <v>46276</v>
      </c>
      <c r="BI59" s="22" t="str">
        <f>IF('Sheet5-查询核对'!D44="","",'Sheet5-查询核对'!D44)</f>
        <v>SVM029</v>
      </c>
      <c r="BJ59">
        <f>IF(ISNUMBER(AT59),AT59,COUNT($AT$17:$AT$99)+ROWS($AT$17:AT59)-COUNT($AT$17:AT59))</f>
        <v>20</v>
      </c>
      <c r="BK59" s="2">
        <f t="shared" si="16"/>
        <v>1</v>
      </c>
      <c r="BL59" s="2">
        <f t="shared" si="17"/>
        <v>1</v>
      </c>
      <c r="BM59" s="2">
        <f t="shared" si="18"/>
        <v>1</v>
      </c>
      <c r="BN59" s="2">
        <f t="shared" si="19"/>
        <v>1</v>
      </c>
      <c r="BO59" s="2">
        <f t="shared" si="20"/>
        <v>1</v>
      </c>
      <c r="BP59" s="48">
        <f>IF(G59="入池",IF(ISNUMBER(I59),I59*('Sheet1-指标体系'!$G$4),0),0)</f>
        <v>4.8</v>
      </c>
      <c r="BQ59" s="48">
        <f>IF(G59="入池",IF(ISNUMBER(K59),K59*('Sheet1-指标体系'!$G$5),0),0)</f>
        <v>4.5</v>
      </c>
      <c r="BR59" s="48">
        <f>IF(G59="入池",IF(ISNUMBER(L59),L59*('Sheet1-指标体系'!$G$6),0),0)</f>
        <v>4.5</v>
      </c>
      <c r="BS59" s="48">
        <f>IF(G59="入池",IF(ISNUMBER(Q59),Q59*('Sheet1-指标体系'!$G$7*'Sheet1-指标体系'!$J$8),0),0)</f>
        <v>3.38352</v>
      </c>
      <c r="BT59" s="48">
        <f>IF(G59="入池",IF(ISNUMBER(R59),R59*('Sheet1-指标体系'!$G$7*'Sheet1-指标体系'!$J$9),0),0)</f>
        <v>2.88512</v>
      </c>
      <c r="BU59" s="48">
        <f>IF(G59="入池",IF(ISNUMBER(W59),W59*('Sheet1-指标体系'!$G$8*'Sheet1-指标体系'!$J$8),0),0)</f>
        <v>3.6</v>
      </c>
      <c r="BV59" s="48">
        <f>IF(G59="入池",IF(ISNUMBER(X59),X59*('Sheet1-指标体系'!$G$8*'Sheet1-指标体系'!$J$9),0),0)</f>
        <v>2.4</v>
      </c>
      <c r="BW59" s="48">
        <f>IF(G59="入池",IF(ISNUMBER(AC59),AC59*('Sheet1-指标体系'!$G$9),0),0)</f>
        <v>18.92</v>
      </c>
      <c r="BX59" s="48">
        <f>IF(G59="入池",IF(ISNUMBER(AG59),AG59*('Sheet1-指标体系'!$G$10*'Sheet1-指标体系'!$J$8),0),0)</f>
        <v>14.4504</v>
      </c>
      <c r="BY59" s="48">
        <f>IF(G59="入池",IF(ISNUMBER(AH59),AH59*('Sheet1-指标体系'!$G$10*'Sheet1-指标体系'!$J$9),0),0)</f>
        <v>9.3756</v>
      </c>
      <c r="BZ59" s="48">
        <f>IF(G59="入池",IF(ISNUMBER(AK59),AK59*('Sheet1-指标体系'!$G$11),0),0)</f>
        <v>10</v>
      </c>
      <c r="CA59" s="49">
        <f>IF(G59="入池",IF(ISNUMBER(I59),'Sheet1-指标体系'!$G$4,0),0)</f>
        <v>0.06</v>
      </c>
      <c r="CB59" s="49">
        <f>IF(G59="入池",IF(ISNUMBER(K59),'Sheet1-指标体系'!$G$5,0),0)</f>
        <v>0.045</v>
      </c>
      <c r="CC59" s="49">
        <f>IF(G59="入池",IF(ISNUMBER(L59),'Sheet1-指标体系'!$G$6,0),0)</f>
        <v>0.045</v>
      </c>
      <c r="CD59" s="49">
        <f>IF(G59="入池",IF(ISNUMBER(Q59),'Sheet1-指标体系'!$G$7*'Sheet1-指标体系'!$J$8,0),0)</f>
        <v>0.084</v>
      </c>
      <c r="CE59" s="49">
        <f>IF(G59="入池",IF(ISNUMBER(R59),'Sheet1-指标体系'!$G$7*'Sheet1-指标体系'!$J$9,0),0)</f>
        <v>0.056</v>
      </c>
      <c r="CF59" s="49">
        <f>IF(G59="入池",IF(ISNUMBER(W59),'Sheet1-指标体系'!$G$8*'Sheet1-指标体系'!$J$8,0),0)</f>
        <v>0.036</v>
      </c>
      <c r="CG59" s="49">
        <f>IF(G59="入池",IF(ISNUMBER(X59),'Sheet1-指标体系'!$G$8*'Sheet1-指标体系'!$J$9,0),0)</f>
        <v>0.024</v>
      </c>
      <c r="CH59" s="49">
        <f>IF(G59="入池",IF(ISNUMBER(AC59),'Sheet1-指标体系'!$G$9,0),0)</f>
        <v>0.25</v>
      </c>
      <c r="CI59" s="49">
        <f>IF(G59="入池",IF(ISNUMBER(AG59),'Sheet1-指标体系'!$G$10*'Sheet1-指标体系'!$J$8,0),0)</f>
        <v>0.18</v>
      </c>
      <c r="CJ59" s="49">
        <f>IF(G59="入池",IF(ISNUMBER(AH59),'Sheet1-指标体系'!$G$10*'Sheet1-指标体系'!$J$9,0),0)</f>
        <v>0.12</v>
      </c>
      <c r="CK59" s="49">
        <f>IF(G59="入池",IF(ISNUMBER(AK59),'Sheet1-指标体系'!$G$11,0),0)</f>
        <v>0.1</v>
      </c>
    </row>
    <row r="60" ht="44" customHeight="1" spans="1:89">
      <c r="A60" s="40">
        <f>'Sheet5-查询核对'!A45-1</f>
        <v>44</v>
      </c>
      <c r="B60" s="24" t="str">
        <f>IF('Sheet4-原始数据'!A45="",'Sheet5-查询核对'!B45,'Sheet4-原始数据'!A45)</f>
        <v>慕途盈川1号</v>
      </c>
      <c r="C60" s="22" t="str">
        <f>IF('Sheet4-原始数据'!B45="","",'Sheet4-原始数据'!B45)</f>
        <v>SAQQ67</v>
      </c>
      <c r="D60" s="22" t="str">
        <f>IF('Sheet4-原始数据'!E45="","",'Sheet4-原始数据'!E45)</f>
        <v>慕途基金</v>
      </c>
      <c r="E60" s="23">
        <f>IF('Sheet4-原始数据'!F45="","",'Sheet4-原始数据'!F45)</f>
        <v>45621</v>
      </c>
      <c r="F60" s="37">
        <f>IF(ISNUMBER(E60),ROUND(('Sheet1-指标体系'!$J$12-E60)/'Sheet1-指标体系'!$J$14,4),"")</f>
        <v>1.7906</v>
      </c>
      <c r="G60" s="36" t="str">
        <f>IF(C60="","未匹配",IF(NOT(ISNUMBER(F60)),"缺成立日期",IF(F60&lt;'Sheet1-指标体系'!$J$15,"不入池","入池")))</f>
        <v>入池</v>
      </c>
      <c r="H60" s="22" t="str">
        <f>IF('Sheet5-查询核对'!K45="","",'Sheet5-查询核对'!K45)</f>
        <v>10-20亿元</v>
      </c>
      <c r="I60" s="37">
        <f>IF(H60="","",IF(COUNTIF('Sheet1-指标体系'!$P$4:$P$10,H60)=0,"",INDEX('Sheet1-指标体系'!$Q$4:$Q$10,MATCH(H60,'Sheet1-指标体系'!$P$4:$P$10,0))))</f>
        <v>80</v>
      </c>
      <c r="J60" s="44" t="str">
        <f>IF(NOT(ISNUMBER('Sheet5-查询核对'!N45)),"",IF('Sheet5-查询核对'!N45=1,"低于"&amp;'Sheet1-指标体系'!$J$4&amp;"万元",IF('Sheet5-查询核对'!N45=0,"无低于"&amp;'Sheet1-指标体系'!$J$4&amp;"万元标识","")))</f>
        <v>无低于1000万元标识</v>
      </c>
      <c r="K60" s="37">
        <f>IF(NOT(ISNUMBER('Sheet5-查询核对'!N45)),"",IF('Sheet5-查询核对'!N45=1,'Sheet1-指标体系'!$J$21,IF('Sheet5-查询核对'!N45=0,'Sheet1-指标体系'!$J$18,"")))</f>
        <v>100</v>
      </c>
      <c r="L60" s="37">
        <f>IF(NOT(ISNUMBER(F60)),"",IF(F60&lt;'Sheet1-指标体系'!$J$15,"",IF(F60&lt;'Sheet1-指标体系'!$J$16,'Sheet1-指标体系'!$J$17,'Sheet1-指标体系'!$J$18)))</f>
        <v>70</v>
      </c>
      <c r="M60" s="26">
        <f>IF(ISNUMBER('Sheet4-原始数据'!G45),'Sheet4-原始数据'!G45,"")</f>
        <v>0.1359</v>
      </c>
      <c r="N60" s="26" t="str">
        <f>IF(ISNUMBER('Sheet4-原始数据'!H45),'Sheet4-原始数据'!H45,"")</f>
        <v/>
      </c>
      <c r="O60" s="26">
        <f>IF(ISNUMBER('Sheet5-查询核对'!Q45),'Sheet5-查询核对'!Q45,"")</f>
        <v>0.1099</v>
      </c>
      <c r="P60" s="45">
        <f>IF(G60&lt;&gt;"入池","",IF(F60&gt;='Sheet1-指标体系'!$J$16,IF(AND(ISNUMBER(M60),ISNUMBER(N60)),IF(AND(1+M60&gt;0,1+N60&gt;=0),((1+N60)^'Sheet1-指标体系'!$J$16/(1+M60))^(1/('Sheet1-指标体系'!$J$16-1))-1,""),""),IF(AND(ISNUMBER(M60),ISNUMBER(O60)),IF(AND(F60&gt;1,1+M60&gt;0,1+O60&gt;=0),((1+O60)^F60/(1+M60))^(1/(F60-1))-1,""),"")))</f>
        <v>0.0778642902438393</v>
      </c>
      <c r="Q60" s="37">
        <f t="shared" si="0"/>
        <v>75.69</v>
      </c>
      <c r="R60" s="37">
        <f t="shared" si="1"/>
        <v>50</v>
      </c>
      <c r="S60" s="37">
        <f>IF(ISNUMBER(Q60),IF(ISNUMBER(R60),ROUND(Q60*'Sheet1-指标体系'!$J$8+R60*'Sheet1-指标体系'!$J$9,2),Q60),"")</f>
        <v>65.41</v>
      </c>
      <c r="T60" s="26">
        <f>IF(ISNUMBER('Sheet4-原始数据'!J45),'Sheet4-原始数据'!J45,"")</f>
        <v>0.7692</v>
      </c>
      <c r="U60" s="26" t="str">
        <f>IF(ISNUMBER('Sheet4-原始数据'!I45),'Sheet4-原始数据'!I45,"")</f>
        <v/>
      </c>
      <c r="V60" s="45" t="str">
        <f>IF(AND(ISNUMBER(T60),ISNUMBER(U60)),(U60*'Sheet1-指标体系'!$J$6-T60*'Sheet1-指标体系'!$J$5)/'Sheet1-指标体系'!$J$7,"")</f>
        <v/>
      </c>
      <c r="W60" s="37">
        <f t="shared" si="2"/>
        <v>76.92</v>
      </c>
      <c r="X60" s="37" t="str">
        <f>IF(G60&lt;&gt;"入池","",IF(ISNUMBER(V60),IF(AND(V60&gt;=0,V60&lt;=1),V60*'Sheet1-指标体系'!$J$18,IF(MAX(0,(F60-'Sheet1-指标体系'!$J$15)*'Sheet1-指标体系'!$J$20)&lt;'Sheet1-指标体系'!$J$19,'Sheet1-指标体系'!$J$18,"")),IF(MAX(0,(F60-'Sheet1-指标体系'!$J$15)*'Sheet1-指标体系'!$J$20)&lt;'Sheet1-指标体系'!$J$19,'Sheet1-指标体系'!$J$18,"")))</f>
        <v/>
      </c>
      <c r="Y60" s="37">
        <f>IF(ISNUMBER(W60),IF(ISNUMBER(X60),ROUND(W60*'Sheet1-指标体系'!$J$8+X60*'Sheet1-指标体系'!$J$9,2),W60),"")</f>
        <v>76.92</v>
      </c>
      <c r="Z60" s="45">
        <f t="shared" si="3"/>
        <v>0.0225680029227141</v>
      </c>
      <c r="AA60" s="26" t="str">
        <f>IF(ISNUMBER('Sheet4-原始数据'!K45),'Sheet4-原始数据'!K45,"")</f>
        <v/>
      </c>
      <c r="AB60" s="45">
        <f t="shared" si="4"/>
        <v>0.0225680029227141</v>
      </c>
      <c r="AC60" s="37">
        <f t="shared" si="5"/>
        <v>50</v>
      </c>
      <c r="AD60" s="30">
        <f>IF(ISNUMBER('Sheet4-原始数据'!M45),'Sheet4-原始数据'!M45,"")</f>
        <v>6.0218</v>
      </c>
      <c r="AE60" s="45" t="str">
        <f>IF(AND(ISNUMBER(P60),ISNUMBER(AA60),ISNUMBER(Z60)),IF(AA60&gt;Z60+'Sheet1-指标体系'!$J$11,AA60,""),"")</f>
        <v/>
      </c>
      <c r="AF60" s="37" t="str">
        <f t="shared" si="6"/>
        <v/>
      </c>
      <c r="AG60" s="37">
        <f t="shared" si="7"/>
        <v>39.44</v>
      </c>
      <c r="AH60" s="37" t="str">
        <f t="shared" si="8"/>
        <v/>
      </c>
      <c r="AI60" s="37">
        <f>IF(ISNUMBER(AG60),IF(ISNUMBER(AH60),ROUND(AG60*'Sheet1-指标体系'!$J$8+AH60*'Sheet1-指标体系'!$J$9,2),AG60),"")</f>
        <v>39.44</v>
      </c>
      <c r="AJ60" s="45">
        <f>IF(NOT(ISNUMBER(F60)),"",IF(F60&gt;='Sheet1-指标体系'!$J$16,IF(ISNUMBER(N60),N60,""),IF(ISNUMBER(O60),O60,"")))</f>
        <v>0.1099</v>
      </c>
      <c r="AK60" s="37">
        <f>IF(AND(G60="入池",ISNUMBER(M60),ISNUMBER(AJ60)),IF(M60&gt;=AJ60,'Sheet1-指标体系'!$J$18,IF(AJ60-M60&lt;'Sheet1-指标体系'!$J$10,'Sheet1-指标体系'!$J$22,'Sheet1-指标体系'!$J$23)),"")</f>
        <v>100</v>
      </c>
      <c r="AL60" s="37">
        <f>IF((IF(ISNUMBER(I60),'Sheet1-指标体系'!$G$4,0)+IF(ISNUMBER(K60),'Sheet1-指标体系'!$G$5,0)+IF(ISNUMBER(L60),'Sheet1-指标体系'!$G$6,0))&gt;0,ROUND((IF(ISNUMBER(I60),I60*'Sheet1-指标体系'!$G$4,0)+IF(ISNUMBER(K60),K60*'Sheet1-指标体系'!$G$5,0)+IF(ISNUMBER(L60),L60*'Sheet1-指标体系'!$G$6,0))/(IF(ISNUMBER(I60),'Sheet1-指标体系'!$G$4,0)+IF(ISNUMBER(K60),'Sheet1-指标体系'!$G$5,0)+IF(ISNUMBER(L60),'Sheet1-指标体系'!$G$6,0)),2),"")</f>
        <v>83</v>
      </c>
      <c r="AM60" s="37">
        <f t="shared" si="9"/>
        <v>67.77</v>
      </c>
      <c r="AN60" s="37">
        <f t="shared" si="10"/>
        <v>50</v>
      </c>
      <c r="AO60" s="37">
        <f t="shared" si="11"/>
        <v>39.44</v>
      </c>
      <c r="AP60" s="37">
        <f t="shared" si="12"/>
        <v>100</v>
      </c>
      <c r="AQ60" s="38">
        <f t="shared" si="13"/>
        <v>0.856</v>
      </c>
      <c r="AR60" s="37">
        <f t="shared" si="14"/>
        <v>53.97628</v>
      </c>
      <c r="AS60" s="37">
        <f t="shared" si="15"/>
        <v>63.06</v>
      </c>
      <c r="AT60" s="40">
        <f>IF(OR(G60&lt;&gt;"入池",NOT(ISNUMBER(AS60))),"",COUNTIFS($G$17:$G$99,"入池",$AS$17:$AS$99,"&gt;"&amp;AS60)+COUNTIFS($G$17:$G$99,"入池",$AS$17:$AS$99,AS60,$AQ$17:$AQ$99,"&gt;"&amp;AQ60)+COUNTIFS($G$17:G60,"入池",$AS$17:AS60,AS60,$AQ$17:AQ60,AQ60))</f>
        <v>41</v>
      </c>
      <c r="AU60" s="46" t="str">
        <f>IF(NOT(ISNUMBER(I60)),"管理人规模；","")&amp;IF(NOT(ISNUMBER(K60)),"产品规模标识；","")&amp;IF(NOT(ISNUMBER(M60)),"近一年收益；","")&amp;IF(NOT(ISNUMBER(T60)),"近一年胜率；","")&amp;IF(NOT(ISNUMBER(N60)),"近三年收益；","")&amp;IF(NOT(ISNUMBER(U60)),"近三年胜率；","")&amp;IF(NOT(ISNUMBER(AA60)),"近三年回撤；","")&amp;IF(NOT(ISNUMBER(AD60)),"近一年卡玛；","")&amp;IF(ISNUMBER(F60),IF(AND(F60&lt;'Sheet1-指标体系'!$J$16,NOT(ISNUMBER(O60))),"成立以来年化；",""),"成立日期；")&amp;IF(ISNUMBER(V60),IF(OR(V60&lt;0,V60&gt;1),"胜率窗口口径不一致；",""),"")&amp;IF(ISNUMBER(P60),IF(NOT(ISNUMBER(AE60)),"DD_long不可识别；",""),"")</f>
        <v>近三年收益；近三年胜率；近三年回撤；DD_long不可识别；</v>
      </c>
      <c r="AV60" s="37" t="str">
        <f>IF(ABS(SUM(CA60:CK60)-'Sheet1-指标体系'!$J$25)&lt;0.0000000001,SUM(BP60:BZ60),"")</f>
        <v/>
      </c>
      <c r="AW60" s="36" t="str">
        <f>IF(G60&lt;&gt;"入池",G60,IF(AQ60=0,"无有效评分数据",IF(ROUND(AQ60,10)=ROUND('Sheet1-指标体系'!$J$25,10),"完整赋分","暂定分／数据不完整")))</f>
        <v>暂定分／数据不完整</v>
      </c>
      <c r="AX60" s="22" t="str">
        <f>IF('Sheet4-原始数据'!C45="","",'Sheet4-原始数据'!C45)</f>
        <v>套利策略</v>
      </c>
      <c r="AY60" s="22" t="str">
        <f>IF('Sheet4-原始数据'!D45="","",'Sheet4-原始数据'!D45)</f>
        <v>期货套利</v>
      </c>
      <c r="AZ60" s="22" t="str">
        <f>IF('Sheet5-查询核对'!S45="","",'Sheet5-查询核对'!S45)</f>
        <v>套利策略—期货套利</v>
      </c>
      <c r="BA60" s="25">
        <f>IF('Sheet5-查询核对'!A45="","",'Sheet5-查询核对'!A45)</f>
        <v>45</v>
      </c>
      <c r="BB60" s="22" t="str">
        <f>IF('Sheet5-查询核对'!F45="","",'Sheet5-查询核对'!F45)</f>
        <v>备案号匹配</v>
      </c>
      <c r="BC60" s="24" t="str">
        <f>IF('Sheet5-查询核对'!I45="","",'Sheet5-查询核对'!I45)</f>
        <v>https://mp.fof99.com/fund/view/26b4ccb26333ca6a</v>
      </c>
      <c r="BD60" s="23">
        <f>IF('Sheet5-查询核对'!H45="","",'Sheet5-查询核对'!H45)</f>
        <v>46269</v>
      </c>
      <c r="BE60" s="24" t="str">
        <f>IF('Sheet5-查询核对'!L45="","",'Sheet5-查询核对'!L45)</f>
        <v>https://gs.amac.org.cn/amac-infodisc/res/pof/manager/2106221238106983.html</v>
      </c>
      <c r="BF60" s="23">
        <f>IF('Sheet5-查询核对'!M45="","",'Sheet5-查询核对'!M45)</f>
        <v>46276</v>
      </c>
      <c r="BG60" s="24" t="str">
        <f>IF('Sheet5-查询核对'!O45="","",'Sheet5-查询核对'!O45)</f>
        <v>https://gs.amac.org.cn/amac-infodisc/res/pof/fund/2412092007109429.html</v>
      </c>
      <c r="BH60" s="23">
        <f>IF('Sheet5-查询核对'!P45="","",'Sheet5-查询核对'!P45)</f>
        <v>46276</v>
      </c>
      <c r="BI60" s="22" t="str">
        <f>IF('Sheet5-查询核对'!D45="","",'Sheet5-查询核对'!D45)</f>
        <v>SAQQ67</v>
      </c>
      <c r="BJ60">
        <f>IF(ISNUMBER(AT60),AT60,COUNT($AT$17:$AT$99)+ROWS($AT$17:AT60)-COUNT($AT$17:AT60))</f>
        <v>41</v>
      </c>
      <c r="BK60" s="2">
        <f t="shared" si="16"/>
        <v>1</v>
      </c>
      <c r="BL60" s="2">
        <f t="shared" si="17"/>
        <v>1</v>
      </c>
      <c r="BM60" s="2">
        <f t="shared" si="18"/>
        <v>1</v>
      </c>
      <c r="BN60" s="2">
        <f t="shared" si="19"/>
        <v>1</v>
      </c>
      <c r="BO60" s="2">
        <f t="shared" si="20"/>
        <v>0</v>
      </c>
      <c r="BP60" s="48">
        <f>IF(G60="入池",IF(ISNUMBER(I60),I60*('Sheet1-指标体系'!$G$4),0),0)</f>
        <v>4.8</v>
      </c>
      <c r="BQ60" s="48">
        <f>IF(G60="入池",IF(ISNUMBER(K60),K60*('Sheet1-指标体系'!$G$5),0),0)</f>
        <v>4.5</v>
      </c>
      <c r="BR60" s="48">
        <f>IF(G60="入池",IF(ISNUMBER(L60),L60*('Sheet1-指标体系'!$G$6),0),0)</f>
        <v>3.15</v>
      </c>
      <c r="BS60" s="48">
        <f>IF(G60="入池",IF(ISNUMBER(Q60),Q60*('Sheet1-指标体系'!$G$7*'Sheet1-指标体系'!$J$8),0),0)</f>
        <v>6.35796</v>
      </c>
      <c r="BT60" s="48">
        <f>IF(G60="入池",IF(ISNUMBER(R60),R60*('Sheet1-指标体系'!$G$7*'Sheet1-指标体系'!$J$9),0),0)</f>
        <v>2.8</v>
      </c>
      <c r="BU60" s="48">
        <f>IF(G60="入池",IF(ISNUMBER(W60),W60*('Sheet1-指标体系'!$G$8*'Sheet1-指标体系'!$J$8),0),0)</f>
        <v>2.76912</v>
      </c>
      <c r="BV60" s="48">
        <f>IF(G60="入池",IF(ISNUMBER(X60),X60*('Sheet1-指标体系'!$G$8*'Sheet1-指标体系'!$J$9),0),0)</f>
        <v>0</v>
      </c>
      <c r="BW60" s="48">
        <f>IF(G60="入池",IF(ISNUMBER(AC60),AC60*('Sheet1-指标体系'!$G$9),0),0)</f>
        <v>12.5</v>
      </c>
      <c r="BX60" s="48">
        <f>IF(G60="入池",IF(ISNUMBER(AG60),AG60*('Sheet1-指标体系'!$G$10*'Sheet1-指标体系'!$J$8),0),0)</f>
        <v>7.0992</v>
      </c>
      <c r="BY60" s="48">
        <f>IF(G60="入池",IF(ISNUMBER(AH60),AH60*('Sheet1-指标体系'!$G$10*'Sheet1-指标体系'!$J$9),0),0)</f>
        <v>0</v>
      </c>
      <c r="BZ60" s="48">
        <f>IF(G60="入池",IF(ISNUMBER(AK60),AK60*('Sheet1-指标体系'!$G$11),0),0)</f>
        <v>10</v>
      </c>
      <c r="CA60" s="49">
        <f>IF(G60="入池",IF(ISNUMBER(I60),'Sheet1-指标体系'!$G$4,0),0)</f>
        <v>0.06</v>
      </c>
      <c r="CB60" s="49">
        <f>IF(G60="入池",IF(ISNUMBER(K60),'Sheet1-指标体系'!$G$5,0),0)</f>
        <v>0.045</v>
      </c>
      <c r="CC60" s="49">
        <f>IF(G60="入池",IF(ISNUMBER(L60),'Sheet1-指标体系'!$G$6,0),0)</f>
        <v>0.045</v>
      </c>
      <c r="CD60" s="49">
        <f>IF(G60="入池",IF(ISNUMBER(Q60),'Sheet1-指标体系'!$G$7*'Sheet1-指标体系'!$J$8,0),0)</f>
        <v>0.084</v>
      </c>
      <c r="CE60" s="49">
        <f>IF(G60="入池",IF(ISNUMBER(R60),'Sheet1-指标体系'!$G$7*'Sheet1-指标体系'!$J$9,0),0)</f>
        <v>0.056</v>
      </c>
      <c r="CF60" s="49">
        <f>IF(G60="入池",IF(ISNUMBER(W60),'Sheet1-指标体系'!$G$8*'Sheet1-指标体系'!$J$8,0),0)</f>
        <v>0.036</v>
      </c>
      <c r="CG60" s="49">
        <f>IF(G60="入池",IF(ISNUMBER(X60),'Sheet1-指标体系'!$G$8*'Sheet1-指标体系'!$J$9,0),0)</f>
        <v>0</v>
      </c>
      <c r="CH60" s="49">
        <f>IF(G60="入池",IF(ISNUMBER(AC60),'Sheet1-指标体系'!$G$9,0),0)</f>
        <v>0.25</v>
      </c>
      <c r="CI60" s="49">
        <f>IF(G60="入池",IF(ISNUMBER(AG60),'Sheet1-指标体系'!$G$10*'Sheet1-指标体系'!$J$8,0),0)</f>
        <v>0.18</v>
      </c>
      <c r="CJ60" s="49">
        <f>IF(G60="入池",IF(ISNUMBER(AH60),'Sheet1-指标体系'!$G$10*'Sheet1-指标体系'!$J$9,0),0)</f>
        <v>0</v>
      </c>
      <c r="CK60" s="49">
        <f>IF(G60="入池",IF(ISNUMBER(AK60),'Sheet1-指标体系'!$G$11,0),0)</f>
        <v>0.1</v>
      </c>
    </row>
    <row r="61" ht="44" customHeight="1" spans="1:89">
      <c r="A61" s="40">
        <f>'Sheet5-查询核对'!A46-1</f>
        <v>45</v>
      </c>
      <c r="B61" s="24" t="str">
        <f>IF('Sheet4-原始数据'!A46="",'Sheet5-查询核对'!B46,'Sheet4-原始数据'!A46)</f>
        <v>奶酪鑫鑫宝二号</v>
      </c>
      <c r="C61" s="22" t="str">
        <f>IF('Sheet4-原始数据'!B46="","",'Sheet4-原始数据'!B46)</f>
        <v>SB2838</v>
      </c>
      <c r="D61" s="22" t="str">
        <f>IF('Sheet4-原始数据'!E46="","",'Sheet4-原始数据'!E46)</f>
        <v>广东奶酪</v>
      </c>
      <c r="E61" s="23">
        <f>IF('Sheet4-原始数据'!F46="","",'Sheet4-原始数据'!F46)</f>
        <v>45092</v>
      </c>
      <c r="F61" s="37">
        <f>IF(ISNUMBER(E61),ROUND(('Sheet1-指标体系'!$J$12-E61)/'Sheet1-指标体系'!$J$14,4),"")</f>
        <v>3.2389</v>
      </c>
      <c r="G61" s="36" t="str">
        <f>IF(C61="","未匹配",IF(NOT(ISNUMBER(F61)),"缺成立日期",IF(F61&lt;'Sheet1-指标体系'!$J$15,"不入池","入池")))</f>
        <v>入池</v>
      </c>
      <c r="H61" s="22" t="str">
        <f>IF('Sheet5-查询核对'!K46="","",'Sheet5-查询核对'!K46)</f>
        <v>10-20亿元</v>
      </c>
      <c r="I61" s="37">
        <f>IF(H61="","",IF(COUNTIF('Sheet1-指标体系'!$P$4:$P$10,H61)=0,"",INDEX('Sheet1-指标体系'!$Q$4:$Q$10,MATCH(H61,'Sheet1-指标体系'!$P$4:$P$10,0))))</f>
        <v>80</v>
      </c>
      <c r="J61" s="44" t="str">
        <f>IF(NOT(ISNUMBER('Sheet5-查询核对'!N46)),"",IF('Sheet5-查询核对'!N46=1,"低于"&amp;'Sheet1-指标体系'!$J$4&amp;"万元",IF('Sheet5-查询核对'!N46=0,"无低于"&amp;'Sheet1-指标体系'!$J$4&amp;"万元标识","")))</f>
        <v>无低于1000万元标识</v>
      </c>
      <c r="K61" s="37">
        <f>IF(NOT(ISNUMBER('Sheet5-查询核对'!N46)),"",IF('Sheet5-查询核对'!N46=1,'Sheet1-指标体系'!$J$21,IF('Sheet5-查询核对'!N46=0,'Sheet1-指标体系'!$J$18,"")))</f>
        <v>100</v>
      </c>
      <c r="L61" s="37">
        <f>IF(NOT(ISNUMBER(F61)),"",IF(F61&lt;'Sheet1-指标体系'!$J$15,"",IF(F61&lt;'Sheet1-指标体系'!$J$16,'Sheet1-指标体系'!$J$17,'Sheet1-指标体系'!$J$18)))</f>
        <v>100</v>
      </c>
      <c r="M61" s="26">
        <f>IF(ISNUMBER('Sheet4-原始数据'!G46),'Sheet4-原始数据'!G46,"")</f>
        <v>0.0667</v>
      </c>
      <c r="N61" s="26">
        <f>IF(ISNUMBER('Sheet4-原始数据'!H46),'Sheet4-原始数据'!H46,"")</f>
        <v>0.0475</v>
      </c>
      <c r="O61" s="26">
        <f>IF(ISNUMBER('Sheet5-查询核对'!Q46),'Sheet5-查询核对'!Q46,"")</f>
        <v>0.047</v>
      </c>
      <c r="P61" s="45">
        <f>IF(G61&lt;&gt;"入池","",IF(F61&gt;='Sheet1-指标体系'!$J$16,IF(AND(ISNUMBER(M61),ISNUMBER(N61)),IF(AND(1+M61&gt;0,1+N61&gt;=0),((1+N61)^'Sheet1-指标体系'!$J$16/(1+M61))^(1/('Sheet1-指标体系'!$J$16-1))-1,""),""),IF(AND(ISNUMBER(M61),ISNUMBER(O61)),IF(AND(F61&gt;1,1+M61&gt;0,1+O61&gt;=0),((1+O61)^F61/(1+M61))^(1/(F61-1))-1,""),"")))</f>
        <v>0.0380299873738494</v>
      </c>
      <c r="Q61" s="37">
        <f t="shared" si="0"/>
        <v>29.17</v>
      </c>
      <c r="R61" s="37">
        <f t="shared" si="1"/>
        <v>9.09</v>
      </c>
      <c r="S61" s="37">
        <f>IF(ISNUMBER(Q61),IF(ISNUMBER(R61),ROUND(Q61*'Sheet1-指标体系'!$J$8+R61*'Sheet1-指标体系'!$J$9,2),Q61),"")</f>
        <v>21.14</v>
      </c>
      <c r="T61" s="26">
        <f>IF(ISNUMBER('Sheet4-原始数据'!J46),'Sheet4-原始数据'!J46,"")</f>
        <v>1</v>
      </c>
      <c r="U61" s="26">
        <f>IF(ISNUMBER('Sheet4-原始数据'!I46),'Sheet4-原始数据'!I46,"")</f>
        <v>1</v>
      </c>
      <c r="V61" s="45">
        <f>IF(AND(ISNUMBER(T61),ISNUMBER(U61)),(U61*'Sheet1-指标体系'!$J$6-T61*'Sheet1-指标体系'!$J$5)/'Sheet1-指标体系'!$J$7,"")</f>
        <v>1</v>
      </c>
      <c r="W61" s="37">
        <f t="shared" si="2"/>
        <v>100</v>
      </c>
      <c r="X61" s="37">
        <f>IF(G61&lt;&gt;"入池","",IF(ISNUMBER(V61),IF(AND(V61&gt;=0,V61&lt;=1),V61*'Sheet1-指标体系'!$J$18,IF(MAX(0,(F61-'Sheet1-指标体系'!$J$15)*'Sheet1-指标体系'!$J$20)&lt;'Sheet1-指标体系'!$J$19,'Sheet1-指标体系'!$J$18,"")),IF(MAX(0,(F61-'Sheet1-指标体系'!$J$15)*'Sheet1-指标体系'!$J$20)&lt;'Sheet1-指标体系'!$J$19,'Sheet1-指标体系'!$J$18,"")))</f>
        <v>100</v>
      </c>
      <c r="Y61" s="37">
        <f>IF(ISNUMBER(W61),IF(ISNUMBER(X61),ROUND(W61*'Sheet1-指标体系'!$J$8+X61*'Sheet1-指标体系'!$J$9,2),W61),"")</f>
        <v>100</v>
      </c>
      <c r="Z61" s="45" t="str">
        <f t="shared" si="3"/>
        <v/>
      </c>
      <c r="AA61" s="26">
        <f>IF(ISNUMBER('Sheet4-原始数据'!K46),'Sheet4-原始数据'!K46,"")</f>
        <v>0</v>
      </c>
      <c r="AB61" s="45">
        <f t="shared" si="4"/>
        <v>0</v>
      </c>
      <c r="AC61" s="37">
        <f t="shared" si="5"/>
        <v>100</v>
      </c>
      <c r="AD61" s="30" t="str">
        <f>IF(ISNUMBER('Sheet4-原始数据'!M46),'Sheet4-原始数据'!M46,"")</f>
        <v/>
      </c>
      <c r="AE61" s="45" t="str">
        <f>IF(AND(ISNUMBER(P61),ISNUMBER(AA61),ISNUMBER(Z61)),IF(AA61&gt;Z61+'Sheet1-指标体系'!$J$11,AA61,""),"")</f>
        <v/>
      </c>
      <c r="AF61" s="37" t="str">
        <f t="shared" si="6"/>
        <v/>
      </c>
      <c r="AG61" s="37" t="str">
        <f t="shared" si="7"/>
        <v/>
      </c>
      <c r="AH61" s="37" t="str">
        <f t="shared" si="8"/>
        <v/>
      </c>
      <c r="AI61" s="37" t="str">
        <f>IF(ISNUMBER(AG61),IF(ISNUMBER(AH61),ROUND(AG61*'Sheet1-指标体系'!$J$8+AH61*'Sheet1-指标体系'!$J$9,2),AG61),"")</f>
        <v/>
      </c>
      <c r="AJ61" s="45">
        <f>IF(NOT(ISNUMBER(F61)),"",IF(F61&gt;='Sheet1-指标体系'!$J$16,IF(ISNUMBER(N61),N61,""),IF(ISNUMBER(O61),O61,"")))</f>
        <v>0.0475</v>
      </c>
      <c r="AK61" s="37">
        <f>IF(AND(G61="入池",ISNUMBER(M61),ISNUMBER(AJ61)),IF(M61&gt;=AJ61,'Sheet1-指标体系'!$J$18,IF(AJ61-M61&lt;'Sheet1-指标体系'!$J$10,'Sheet1-指标体系'!$J$22,'Sheet1-指标体系'!$J$23)),"")</f>
        <v>100</v>
      </c>
      <c r="AL61" s="37">
        <f>IF((IF(ISNUMBER(I61),'Sheet1-指标体系'!$G$4,0)+IF(ISNUMBER(K61),'Sheet1-指标体系'!$G$5,0)+IF(ISNUMBER(L61),'Sheet1-指标体系'!$G$6,0))&gt;0,ROUND((IF(ISNUMBER(I61),I61*'Sheet1-指标体系'!$G$4,0)+IF(ISNUMBER(K61),K61*'Sheet1-指标体系'!$G$5,0)+IF(ISNUMBER(L61),L61*'Sheet1-指标体系'!$G$6,0))/(IF(ISNUMBER(I61),'Sheet1-指标体系'!$G$4,0)+IF(ISNUMBER(K61),'Sheet1-指标体系'!$G$5,0)+IF(ISNUMBER(L61),'Sheet1-指标体系'!$G$6,0)),2),"")</f>
        <v>92</v>
      </c>
      <c r="AM61" s="37">
        <f t="shared" si="9"/>
        <v>44.8</v>
      </c>
      <c r="AN61" s="37">
        <f t="shared" si="10"/>
        <v>100</v>
      </c>
      <c r="AO61" s="37" t="str">
        <f t="shared" si="11"/>
        <v/>
      </c>
      <c r="AP61" s="37">
        <f t="shared" si="12"/>
        <v>100</v>
      </c>
      <c r="AQ61" s="38">
        <f t="shared" si="13"/>
        <v>0.7</v>
      </c>
      <c r="AR61" s="37">
        <f t="shared" si="14"/>
        <v>57.75932</v>
      </c>
      <c r="AS61" s="37">
        <f t="shared" si="15"/>
        <v>82.51</v>
      </c>
      <c r="AT61" s="40">
        <f>IF(OR(G61&lt;&gt;"入池",NOT(ISNUMBER(AS61))),"",COUNTIFS($G$17:$G$99,"入池",$AS$17:$AS$99,"&gt;"&amp;AS61)+COUNTIFS($G$17:$G$99,"入池",$AS$17:$AS$99,AS61,$AQ$17:$AQ$99,"&gt;"&amp;AQ61)+COUNTIFS($G$17:G61,"入池",$AS$17:AS61,AS61,$AQ$17:AQ61,AQ61))</f>
        <v>12</v>
      </c>
      <c r="AU61" s="46" t="str">
        <f>IF(NOT(ISNUMBER(I61)),"管理人规模；","")&amp;IF(NOT(ISNUMBER(K61)),"产品规模标识；","")&amp;IF(NOT(ISNUMBER(M61)),"近一年收益；","")&amp;IF(NOT(ISNUMBER(T61)),"近一年胜率；","")&amp;IF(NOT(ISNUMBER(N61)),"近三年收益；","")&amp;IF(NOT(ISNUMBER(U61)),"近三年胜率；","")&amp;IF(NOT(ISNUMBER(AA61)),"近三年回撤；","")&amp;IF(NOT(ISNUMBER(AD61)),"近一年卡玛；","")&amp;IF(ISNUMBER(F61),IF(AND(F61&lt;'Sheet1-指标体系'!$J$16,NOT(ISNUMBER(O61))),"成立以来年化；",""),"成立日期；")&amp;IF(ISNUMBER(V61),IF(OR(V61&lt;0,V61&gt;1),"胜率窗口口径不一致；",""),"")&amp;IF(ISNUMBER(P61),IF(NOT(ISNUMBER(AE61)),"DD_long不可识别；",""),"")</f>
        <v>近一年卡玛；DD_long不可识别；</v>
      </c>
      <c r="AV61" s="37" t="str">
        <f>IF(ABS(SUM(CA61:CK61)-'Sheet1-指标体系'!$J$25)&lt;0.0000000001,SUM(BP61:BZ61),"")</f>
        <v/>
      </c>
      <c r="AW61" s="36" t="str">
        <f>IF(G61&lt;&gt;"入池",G61,IF(AQ61=0,"无有效评分数据",IF(ROUND(AQ61,10)=ROUND('Sheet1-指标体系'!$J$25,10),"完整赋分","暂定分／数据不完整")))</f>
        <v>暂定分／数据不完整</v>
      </c>
      <c r="AX61" s="22" t="str">
        <f>IF('Sheet4-原始数据'!C46="","",'Sheet4-原始数据'!C46)</f>
        <v>套利策略</v>
      </c>
      <c r="AY61" s="22" t="str">
        <f>IF('Sheet4-原始数据'!D46="","",'Sheet4-原始数据'!D46)</f>
        <v>期货套利</v>
      </c>
      <c r="AZ61" s="22" t="str">
        <f>IF('Sheet5-查询核对'!S46="","",'Sheet5-查询核对'!S46)</f>
        <v>套利策略—期货套利</v>
      </c>
      <c r="BA61" s="25">
        <f>IF('Sheet5-查询核对'!A46="","",'Sheet5-查询核对'!A46)</f>
        <v>46</v>
      </c>
      <c r="BB61" s="22" t="str">
        <f>IF('Sheet5-查询核对'!F46="","",'Sheet5-查询核对'!F46)</f>
        <v>备案号匹配</v>
      </c>
      <c r="BC61" s="24" t="str">
        <f>IF('Sheet5-查询核对'!I46="","",'Sheet5-查询核对'!I46)</f>
        <v>https://mp.fof99.com/fund/view/3a6601028e5010ab</v>
      </c>
      <c r="BD61" s="23">
        <f>IF('Sheet5-查询核对'!H46="","",'Sheet5-查询核对'!H46)</f>
        <v>46269</v>
      </c>
      <c r="BE61" s="24" t="str">
        <f>IF('Sheet5-查询核对'!L46="","",'Sheet5-查询核对'!L46)</f>
        <v>https://gs.amac.org.cn/amac-infodisc/res/pof/manager/101000045017.html</v>
      </c>
      <c r="BF61" s="23">
        <f>IF('Sheet5-查询核对'!M46="","",'Sheet5-查询核对'!M46)</f>
        <v>46276</v>
      </c>
      <c r="BG61" s="24" t="str">
        <f>IF('Sheet5-查询核对'!O46="","",'Sheet5-查询核对'!O46)</f>
        <v>https://gs.amac.org.cn/amac-infodisc/res/pof/fund/2306141909104356.html</v>
      </c>
      <c r="BH61" s="23">
        <f>IF('Sheet5-查询核对'!P46="","",'Sheet5-查询核对'!P46)</f>
        <v>46276</v>
      </c>
      <c r="BI61" s="22" t="str">
        <f>IF('Sheet5-查询核对'!D46="","",'Sheet5-查询核对'!D46)</f>
        <v>SB2838</v>
      </c>
      <c r="BJ61">
        <f>IF(ISNUMBER(AT61),AT61,COUNT($AT$17:$AT$99)+ROWS($AT$17:AT61)-COUNT($AT$17:AT61))</f>
        <v>12</v>
      </c>
      <c r="BK61" s="2">
        <f t="shared" si="16"/>
        <v>1</v>
      </c>
      <c r="BL61" s="2">
        <f t="shared" si="17"/>
        <v>1</v>
      </c>
      <c r="BM61" s="2">
        <f t="shared" si="18"/>
        <v>1</v>
      </c>
      <c r="BN61" s="2">
        <f t="shared" si="19"/>
        <v>0</v>
      </c>
      <c r="BO61" s="2">
        <f t="shared" si="20"/>
        <v>0</v>
      </c>
      <c r="BP61" s="48">
        <f>IF(G61="入池",IF(ISNUMBER(I61),I61*('Sheet1-指标体系'!$G$4),0),0)</f>
        <v>4.8</v>
      </c>
      <c r="BQ61" s="48">
        <f>IF(G61="入池",IF(ISNUMBER(K61),K61*('Sheet1-指标体系'!$G$5),0),0)</f>
        <v>4.5</v>
      </c>
      <c r="BR61" s="48">
        <f>IF(G61="入池",IF(ISNUMBER(L61),L61*('Sheet1-指标体系'!$G$6),0),0)</f>
        <v>4.5</v>
      </c>
      <c r="BS61" s="48">
        <f>IF(G61="入池",IF(ISNUMBER(Q61),Q61*('Sheet1-指标体系'!$G$7*'Sheet1-指标体系'!$J$8),0),0)</f>
        <v>2.45028</v>
      </c>
      <c r="BT61" s="48">
        <f>IF(G61="入池",IF(ISNUMBER(R61),R61*('Sheet1-指标体系'!$G$7*'Sheet1-指标体系'!$J$9),0),0)</f>
        <v>0.50904</v>
      </c>
      <c r="BU61" s="48">
        <f>IF(G61="入池",IF(ISNUMBER(W61),W61*('Sheet1-指标体系'!$G$8*'Sheet1-指标体系'!$J$8),0),0)</f>
        <v>3.6</v>
      </c>
      <c r="BV61" s="48">
        <f>IF(G61="入池",IF(ISNUMBER(X61),X61*('Sheet1-指标体系'!$G$8*'Sheet1-指标体系'!$J$9),0),0)</f>
        <v>2.4</v>
      </c>
      <c r="BW61" s="48">
        <f>IF(G61="入池",IF(ISNUMBER(AC61),AC61*('Sheet1-指标体系'!$G$9),0),0)</f>
        <v>25</v>
      </c>
      <c r="BX61" s="48">
        <f>IF(G61="入池",IF(ISNUMBER(AG61),AG61*('Sheet1-指标体系'!$G$10*'Sheet1-指标体系'!$J$8),0),0)</f>
        <v>0</v>
      </c>
      <c r="BY61" s="48">
        <f>IF(G61="入池",IF(ISNUMBER(AH61),AH61*('Sheet1-指标体系'!$G$10*'Sheet1-指标体系'!$J$9),0),0)</f>
        <v>0</v>
      </c>
      <c r="BZ61" s="48">
        <f>IF(G61="入池",IF(ISNUMBER(AK61),AK61*('Sheet1-指标体系'!$G$11),0),0)</f>
        <v>10</v>
      </c>
      <c r="CA61" s="49">
        <f>IF(G61="入池",IF(ISNUMBER(I61),'Sheet1-指标体系'!$G$4,0),0)</f>
        <v>0.06</v>
      </c>
      <c r="CB61" s="49">
        <f>IF(G61="入池",IF(ISNUMBER(K61),'Sheet1-指标体系'!$G$5,0),0)</f>
        <v>0.045</v>
      </c>
      <c r="CC61" s="49">
        <f>IF(G61="入池",IF(ISNUMBER(L61),'Sheet1-指标体系'!$G$6,0),0)</f>
        <v>0.045</v>
      </c>
      <c r="CD61" s="49">
        <f>IF(G61="入池",IF(ISNUMBER(Q61),'Sheet1-指标体系'!$G$7*'Sheet1-指标体系'!$J$8,0),0)</f>
        <v>0.084</v>
      </c>
      <c r="CE61" s="49">
        <f>IF(G61="入池",IF(ISNUMBER(R61),'Sheet1-指标体系'!$G$7*'Sheet1-指标体系'!$J$9,0),0)</f>
        <v>0.056</v>
      </c>
      <c r="CF61" s="49">
        <f>IF(G61="入池",IF(ISNUMBER(W61),'Sheet1-指标体系'!$G$8*'Sheet1-指标体系'!$J$8,0),0)</f>
        <v>0.036</v>
      </c>
      <c r="CG61" s="49">
        <f>IF(G61="入池",IF(ISNUMBER(X61),'Sheet1-指标体系'!$G$8*'Sheet1-指标体系'!$J$9,0),0)</f>
        <v>0.024</v>
      </c>
      <c r="CH61" s="49">
        <f>IF(G61="入池",IF(ISNUMBER(AC61),'Sheet1-指标体系'!$G$9,0),0)</f>
        <v>0.25</v>
      </c>
      <c r="CI61" s="49">
        <f>IF(G61="入池",IF(ISNUMBER(AG61),'Sheet1-指标体系'!$G$10*'Sheet1-指标体系'!$J$8,0),0)</f>
        <v>0</v>
      </c>
      <c r="CJ61" s="49">
        <f>IF(G61="入池",IF(ISNUMBER(AH61),'Sheet1-指标体系'!$G$10*'Sheet1-指标体系'!$J$9,0),0)</f>
        <v>0</v>
      </c>
      <c r="CK61" s="49">
        <f>IF(G61="入池",IF(ISNUMBER(AK61),'Sheet1-指标体系'!$G$11,0),0)</f>
        <v>0.1</v>
      </c>
    </row>
    <row r="62" ht="44" customHeight="1" spans="1:89">
      <c r="A62" s="40">
        <f>'Sheet5-查询核对'!A47-1</f>
        <v>46</v>
      </c>
      <c r="B62" s="24" t="str">
        <f>IF('Sheet4-原始数据'!A47="",'Sheet5-查询核对'!B47,'Sheet4-原始数据'!A47)</f>
        <v>平凡凡响二号</v>
      </c>
      <c r="C62" s="22" t="str">
        <f>IF('Sheet4-原始数据'!B47="","",'Sheet4-原始数据'!B47)</f>
        <v>SZU727</v>
      </c>
      <c r="D62" s="22" t="str">
        <f>IF('Sheet4-原始数据'!E47="","",'Sheet4-原始数据'!E47)</f>
        <v>北京平凡</v>
      </c>
      <c r="E62" s="23">
        <f>IF('Sheet4-原始数据'!F47="","",'Sheet4-原始数据'!F47)</f>
        <v>45023</v>
      </c>
      <c r="F62" s="37">
        <f>IF(ISNUMBER(E62),ROUND(('Sheet1-指标体系'!$J$12-E62)/'Sheet1-指标体系'!$J$14,4),"")</f>
        <v>3.4278</v>
      </c>
      <c r="G62" s="36" t="str">
        <f>IF(C62="","未匹配",IF(NOT(ISNUMBER(F62)),"缺成立日期",IF(F62&lt;'Sheet1-指标体系'!$J$15,"不入池","入池")))</f>
        <v>入池</v>
      </c>
      <c r="H62" s="22" t="str">
        <f>IF('Sheet5-查询核对'!K47="","",'Sheet5-查询核对'!K47)</f>
        <v>50-100亿元</v>
      </c>
      <c r="I62" s="37">
        <f>IF(H62="","",IF(COUNTIF('Sheet1-指标体系'!$P$4:$P$10,H62)=0,"",INDEX('Sheet1-指标体系'!$Q$4:$Q$10,MATCH(H62,'Sheet1-指标体系'!$P$4:$P$10,0))))</f>
        <v>90</v>
      </c>
      <c r="J62" s="44" t="str">
        <f>IF(NOT(ISNUMBER('Sheet5-查询核对'!N47)),"",IF('Sheet5-查询核对'!N47=1,"低于"&amp;'Sheet1-指标体系'!$J$4&amp;"万元",IF('Sheet5-查询核对'!N47=0,"无低于"&amp;'Sheet1-指标体系'!$J$4&amp;"万元标识","")))</f>
        <v>无低于1000万元标识</v>
      </c>
      <c r="K62" s="37">
        <f>IF(NOT(ISNUMBER('Sheet5-查询核对'!N47)),"",IF('Sheet5-查询核对'!N47=1,'Sheet1-指标体系'!$J$21,IF('Sheet5-查询核对'!N47=0,'Sheet1-指标体系'!$J$18,"")))</f>
        <v>100</v>
      </c>
      <c r="L62" s="37">
        <f>IF(NOT(ISNUMBER(F62)),"",IF(F62&lt;'Sheet1-指标体系'!$J$15,"",IF(F62&lt;'Sheet1-指标体系'!$J$16,'Sheet1-指标体系'!$J$17,'Sheet1-指标体系'!$J$18)))</f>
        <v>100</v>
      </c>
      <c r="M62" s="26">
        <f>IF(ISNUMBER('Sheet4-原始数据'!G47),'Sheet4-原始数据'!G47,"")</f>
        <v>0.0904</v>
      </c>
      <c r="N62" s="26">
        <f>IF(ISNUMBER('Sheet4-原始数据'!H47),'Sheet4-原始数据'!H47,"")</f>
        <v>0.0493</v>
      </c>
      <c r="O62" s="26">
        <f>IF(ISNUMBER('Sheet5-查询核对'!Q47),'Sheet5-查询核对'!Q47,"")</f>
        <v>0.0448</v>
      </c>
      <c r="P62" s="45">
        <f>IF(G62&lt;&gt;"入池","",IF(F62&gt;='Sheet1-指标体系'!$J$16,IF(AND(ISNUMBER(M62),ISNUMBER(N62)),IF(AND(1+M62&gt;0,1+N62&gt;=0),((1+N62)^'Sheet1-指标体系'!$J$16/(1+M62))^(1/('Sheet1-指标体系'!$J$16-1))-1,""),""),IF(AND(ISNUMBER(M62),ISNUMBER(O62)),IF(AND(F62&gt;1,1+M62&gt;0,1+O62&gt;=0),((1+O62)^F62/(1+M62))^(1/(F62-1))-1,""),"")))</f>
        <v>0.0293346391238647</v>
      </c>
      <c r="Q62" s="37">
        <f t="shared" si="0"/>
        <v>54.17</v>
      </c>
      <c r="R62" s="37">
        <f t="shared" si="1"/>
        <v>4.55</v>
      </c>
      <c r="S62" s="37">
        <f>IF(ISNUMBER(Q62),IF(ISNUMBER(R62),ROUND(Q62*'Sheet1-指标体系'!$J$8+R62*'Sheet1-指标体系'!$J$9,2),Q62),"")</f>
        <v>34.32</v>
      </c>
      <c r="T62" s="26">
        <f>IF(ISNUMBER('Sheet4-原始数据'!J47),'Sheet4-原始数据'!J47,"")</f>
        <v>1</v>
      </c>
      <c r="U62" s="26">
        <f>IF(ISNUMBER('Sheet4-原始数据'!I47),'Sheet4-原始数据'!I47,"")</f>
        <v>0.8649</v>
      </c>
      <c r="V62" s="45">
        <f>IF(AND(ISNUMBER(T62),ISNUMBER(U62)),(U62*'Sheet1-指标体系'!$J$6-T62*'Sheet1-指标体系'!$J$5)/'Sheet1-指标体系'!$J$7,"")</f>
        <v>0.791720833333333</v>
      </c>
      <c r="W62" s="37">
        <f t="shared" si="2"/>
        <v>100</v>
      </c>
      <c r="X62" s="37">
        <f>IF(G62&lt;&gt;"入池","",IF(ISNUMBER(V62),IF(AND(V62&gt;=0,V62&lt;=1),V62*'Sheet1-指标体系'!$J$18,IF(MAX(0,(F62-'Sheet1-指标体系'!$J$15)*'Sheet1-指标体系'!$J$20)&lt;'Sheet1-指标体系'!$J$19,'Sheet1-指标体系'!$J$18,"")),IF(MAX(0,(F62-'Sheet1-指标体系'!$J$15)*'Sheet1-指标体系'!$J$20)&lt;'Sheet1-指标体系'!$J$19,'Sheet1-指标体系'!$J$18,"")))</f>
        <v>79.1720833333333</v>
      </c>
      <c r="Y62" s="37">
        <f>IF(ISNUMBER(W62),IF(ISNUMBER(X62),ROUND(W62*'Sheet1-指标体系'!$J$8+X62*'Sheet1-指标体系'!$J$9,2),W62),"")</f>
        <v>91.67</v>
      </c>
      <c r="Z62" s="45">
        <f t="shared" si="3"/>
        <v>0.00130196893997549</v>
      </c>
      <c r="AA62" s="26">
        <f>IF(ISNUMBER('Sheet4-原始数据'!K47),'Sheet4-原始数据'!K47,"")</f>
        <v>0.0068</v>
      </c>
      <c r="AB62" s="45">
        <f t="shared" si="4"/>
        <v>0.0068</v>
      </c>
      <c r="AC62" s="37">
        <f t="shared" si="5"/>
        <v>79.73</v>
      </c>
      <c r="AD62" s="30">
        <f>IF(ISNUMBER('Sheet4-原始数据'!M47),'Sheet4-原始数据'!M47,"")</f>
        <v>69.4333</v>
      </c>
      <c r="AE62" s="45">
        <f>IF(AND(ISNUMBER(P62),ISNUMBER(AA62),ISNUMBER(Z62)),IF(AA62&gt;Z62+'Sheet1-指标体系'!$J$11,AA62,""),"")</f>
        <v>0.0068</v>
      </c>
      <c r="AF62" s="37">
        <f t="shared" si="6"/>
        <v>4.3139175182154</v>
      </c>
      <c r="AG62" s="37">
        <f t="shared" si="7"/>
        <v>98.59</v>
      </c>
      <c r="AH62" s="37">
        <f t="shared" si="8"/>
        <v>56.25</v>
      </c>
      <c r="AI62" s="37">
        <f>IF(ISNUMBER(AG62),IF(ISNUMBER(AH62),ROUND(AG62*'Sheet1-指标体系'!$J$8+AH62*'Sheet1-指标体系'!$J$9,2),AG62),"")</f>
        <v>81.65</v>
      </c>
      <c r="AJ62" s="45">
        <f>IF(NOT(ISNUMBER(F62)),"",IF(F62&gt;='Sheet1-指标体系'!$J$16,IF(ISNUMBER(N62),N62,""),IF(ISNUMBER(O62),O62,"")))</f>
        <v>0.0493</v>
      </c>
      <c r="AK62" s="37">
        <f>IF(AND(G62="入池",ISNUMBER(M62),ISNUMBER(AJ62)),IF(M62&gt;=AJ62,'Sheet1-指标体系'!$J$18,IF(AJ62-M62&lt;'Sheet1-指标体系'!$J$10,'Sheet1-指标体系'!$J$22,'Sheet1-指标体系'!$J$23)),"")</f>
        <v>100</v>
      </c>
      <c r="AL62" s="37">
        <f>IF((IF(ISNUMBER(I62),'Sheet1-指标体系'!$G$4,0)+IF(ISNUMBER(K62),'Sheet1-指标体系'!$G$5,0)+IF(ISNUMBER(L62),'Sheet1-指标体系'!$G$6,0))&gt;0,ROUND((IF(ISNUMBER(I62),I62*'Sheet1-指标体系'!$G$4,0)+IF(ISNUMBER(K62),K62*'Sheet1-指标体系'!$G$5,0)+IF(ISNUMBER(L62),L62*'Sheet1-指标体系'!$G$6,0))/(IF(ISNUMBER(I62),'Sheet1-指标体系'!$G$4,0)+IF(ISNUMBER(K62),'Sheet1-指标体系'!$G$5,0)+IF(ISNUMBER(L62),'Sheet1-指标体系'!$G$6,0)),2),"")</f>
        <v>96</v>
      </c>
      <c r="AM62" s="37">
        <f t="shared" si="9"/>
        <v>51.53</v>
      </c>
      <c r="AN62" s="37">
        <f t="shared" si="10"/>
        <v>79.73</v>
      </c>
      <c r="AO62" s="37">
        <f t="shared" si="11"/>
        <v>81.65</v>
      </c>
      <c r="AP62" s="37">
        <f t="shared" si="12"/>
        <v>100</v>
      </c>
      <c r="AQ62" s="38">
        <f t="shared" si="13"/>
        <v>1</v>
      </c>
      <c r="AR62" s="37">
        <f t="shared" si="14"/>
        <v>79.13391</v>
      </c>
      <c r="AS62" s="37">
        <f t="shared" si="15"/>
        <v>79.13</v>
      </c>
      <c r="AT62" s="40">
        <f>IF(OR(G62&lt;&gt;"入池",NOT(ISNUMBER(AS62))),"",COUNTIFS($G$17:$G$99,"入池",$AS$17:$AS$99,"&gt;"&amp;AS62)+COUNTIFS($G$17:$G$99,"入池",$AS$17:$AS$99,AS62,$AQ$17:$AQ$99,"&gt;"&amp;AQ62)+COUNTIFS($G$17:G62,"入池",$AS$17:AS62,AS62,$AQ$17:AQ62,AQ62))</f>
        <v>18</v>
      </c>
      <c r="AU62" s="46" t="str">
        <f>IF(NOT(ISNUMBER(I62)),"管理人规模；","")&amp;IF(NOT(ISNUMBER(K62)),"产品规模标识；","")&amp;IF(NOT(ISNUMBER(M62)),"近一年收益；","")&amp;IF(NOT(ISNUMBER(T62)),"近一年胜率；","")&amp;IF(NOT(ISNUMBER(N62)),"近三年收益；","")&amp;IF(NOT(ISNUMBER(U62)),"近三年胜率；","")&amp;IF(NOT(ISNUMBER(AA62)),"近三年回撤；","")&amp;IF(NOT(ISNUMBER(AD62)),"近一年卡玛；","")&amp;IF(ISNUMBER(F62),IF(AND(F62&lt;'Sheet1-指标体系'!$J$16,NOT(ISNUMBER(O62))),"成立以来年化；",""),"成立日期；")&amp;IF(ISNUMBER(V62),IF(OR(V62&lt;0,V62&gt;1),"胜率窗口口径不一致；",""),"")&amp;IF(ISNUMBER(P62),IF(NOT(ISNUMBER(AE62)),"DD_long不可识别；",""),"")</f>
        <v/>
      </c>
      <c r="AV62" s="37">
        <f>IF(ABS(SUM(CA62:CK62)-'Sheet1-指标体系'!$J$25)&lt;0.0000000001,SUM(BP62:BZ62),"")</f>
        <v>79.13391</v>
      </c>
      <c r="AW62" s="36" t="str">
        <f>IF(G62&lt;&gt;"入池",G62,IF(AQ62=0,"无有效评分数据",IF(ROUND(AQ62,10)=ROUND('Sheet1-指标体系'!$J$25,10),"完整赋分","暂定分／数据不完整")))</f>
        <v>完整赋分</v>
      </c>
      <c r="AX62" s="22" t="str">
        <f>IF('Sheet4-原始数据'!C47="","",'Sheet4-原始数据'!C47)</f>
        <v>套利策略</v>
      </c>
      <c r="AY62" s="22" t="str">
        <f>IF('Sheet4-原始数据'!D47="","",'Sheet4-原始数据'!D47)</f>
        <v>基金套利</v>
      </c>
      <c r="AZ62" s="22" t="str">
        <f>IF('Sheet5-查询核对'!S47="","",'Sheet5-查询核对'!S47)</f>
        <v>套利策略—基金套利</v>
      </c>
      <c r="BA62" s="25">
        <f>IF('Sheet5-查询核对'!A47="","",'Sheet5-查询核对'!A47)</f>
        <v>47</v>
      </c>
      <c r="BB62" s="22" t="str">
        <f>IF('Sheet5-查询核对'!F47="","",'Sheet5-查询核对'!F47)</f>
        <v>备案号匹配</v>
      </c>
      <c r="BC62" s="24" t="str">
        <f>IF('Sheet5-查询核对'!I47="","",'Sheet5-查询核对'!I47)</f>
        <v>https://mp.fof99.com/fund/view/1cfd48f3c3164c34</v>
      </c>
      <c r="BD62" s="23">
        <f>IF('Sheet5-查询核对'!H47="","",'Sheet5-查询核对'!H47)</f>
        <v>46269</v>
      </c>
      <c r="BE62" s="24" t="str">
        <f>IF('Sheet5-查询核对'!L47="","",'Sheet5-查询核对'!L47)</f>
        <v>https://gs.amac.org.cn/amac-infodisc/res/pof/manager/101000030286.html</v>
      </c>
      <c r="BF62" s="23">
        <f>IF('Sheet5-查询核对'!M47="","",'Sheet5-查询核对'!M47)</f>
        <v>46276</v>
      </c>
      <c r="BG62" s="24" t="str">
        <f>IF('Sheet5-查询核对'!O47="","",'Sheet5-查询核对'!O47)</f>
        <v>https://gs.amac.org.cn/amac-infodisc/res/pof/fund/2304121918100513.html</v>
      </c>
      <c r="BH62" s="23">
        <f>IF('Sheet5-查询核对'!P47="","",'Sheet5-查询核对'!P47)</f>
        <v>46276</v>
      </c>
      <c r="BI62" s="22" t="str">
        <f>IF('Sheet5-查询核对'!D47="","",'Sheet5-查询核对'!D47)</f>
        <v>SZU727</v>
      </c>
      <c r="BJ62">
        <f>IF(ISNUMBER(AT62),AT62,COUNT($AT$17:$AT$99)+ROWS($AT$17:AT62)-COUNT($AT$17:AT62))</f>
        <v>18</v>
      </c>
      <c r="BK62" s="2">
        <f t="shared" si="16"/>
        <v>1</v>
      </c>
      <c r="BL62" s="2">
        <f t="shared" si="17"/>
        <v>1</v>
      </c>
      <c r="BM62" s="2">
        <f t="shared" si="18"/>
        <v>1</v>
      </c>
      <c r="BN62" s="2">
        <f t="shared" si="19"/>
        <v>1</v>
      </c>
      <c r="BO62" s="2">
        <f t="shared" si="20"/>
        <v>1</v>
      </c>
      <c r="BP62" s="48">
        <f>IF(G62="入池",IF(ISNUMBER(I62),I62*('Sheet1-指标体系'!$G$4),0),0)</f>
        <v>5.4</v>
      </c>
      <c r="BQ62" s="48">
        <f>IF(G62="入池",IF(ISNUMBER(K62),K62*('Sheet1-指标体系'!$G$5),0),0)</f>
        <v>4.5</v>
      </c>
      <c r="BR62" s="48">
        <f>IF(G62="入池",IF(ISNUMBER(L62),L62*('Sheet1-指标体系'!$G$6),0),0)</f>
        <v>4.5</v>
      </c>
      <c r="BS62" s="48">
        <f>IF(G62="入池",IF(ISNUMBER(Q62),Q62*('Sheet1-指标体系'!$G$7*'Sheet1-指标体系'!$J$8),0),0)</f>
        <v>4.55028</v>
      </c>
      <c r="BT62" s="48">
        <f>IF(G62="入池",IF(ISNUMBER(R62),R62*('Sheet1-指标体系'!$G$7*'Sheet1-指标体系'!$J$9),0),0)</f>
        <v>0.2548</v>
      </c>
      <c r="BU62" s="48">
        <f>IF(G62="入池",IF(ISNUMBER(W62),W62*('Sheet1-指标体系'!$G$8*'Sheet1-指标体系'!$J$8),0),0)</f>
        <v>3.6</v>
      </c>
      <c r="BV62" s="48">
        <f>IF(G62="入池",IF(ISNUMBER(X62),X62*('Sheet1-指标体系'!$G$8*'Sheet1-指标体系'!$J$9),0),0)</f>
        <v>1.90013</v>
      </c>
      <c r="BW62" s="48">
        <f>IF(G62="入池",IF(ISNUMBER(AC62),AC62*('Sheet1-指标体系'!$G$9),0),0)</f>
        <v>19.9325</v>
      </c>
      <c r="BX62" s="48">
        <f>IF(G62="入池",IF(ISNUMBER(AG62),AG62*('Sheet1-指标体系'!$G$10*'Sheet1-指标体系'!$J$8),0),0)</f>
        <v>17.7462</v>
      </c>
      <c r="BY62" s="48">
        <f>IF(G62="入池",IF(ISNUMBER(AH62),AH62*('Sheet1-指标体系'!$G$10*'Sheet1-指标体系'!$J$9),0),0)</f>
        <v>6.75</v>
      </c>
      <c r="BZ62" s="48">
        <f>IF(G62="入池",IF(ISNUMBER(AK62),AK62*('Sheet1-指标体系'!$G$11),0),0)</f>
        <v>10</v>
      </c>
      <c r="CA62" s="49">
        <f>IF(G62="入池",IF(ISNUMBER(I62),'Sheet1-指标体系'!$G$4,0),0)</f>
        <v>0.06</v>
      </c>
      <c r="CB62" s="49">
        <f>IF(G62="入池",IF(ISNUMBER(K62),'Sheet1-指标体系'!$G$5,0),0)</f>
        <v>0.045</v>
      </c>
      <c r="CC62" s="49">
        <f>IF(G62="入池",IF(ISNUMBER(L62),'Sheet1-指标体系'!$G$6,0),0)</f>
        <v>0.045</v>
      </c>
      <c r="CD62" s="49">
        <f>IF(G62="入池",IF(ISNUMBER(Q62),'Sheet1-指标体系'!$G$7*'Sheet1-指标体系'!$J$8,0),0)</f>
        <v>0.084</v>
      </c>
      <c r="CE62" s="49">
        <f>IF(G62="入池",IF(ISNUMBER(R62),'Sheet1-指标体系'!$G$7*'Sheet1-指标体系'!$J$9,0),0)</f>
        <v>0.056</v>
      </c>
      <c r="CF62" s="49">
        <f>IF(G62="入池",IF(ISNUMBER(W62),'Sheet1-指标体系'!$G$8*'Sheet1-指标体系'!$J$8,0),0)</f>
        <v>0.036</v>
      </c>
      <c r="CG62" s="49">
        <f>IF(G62="入池",IF(ISNUMBER(X62),'Sheet1-指标体系'!$G$8*'Sheet1-指标体系'!$J$9,0),0)</f>
        <v>0.024</v>
      </c>
      <c r="CH62" s="49">
        <f>IF(G62="入池",IF(ISNUMBER(AC62),'Sheet1-指标体系'!$G$9,0),0)</f>
        <v>0.25</v>
      </c>
      <c r="CI62" s="49">
        <f>IF(G62="入池",IF(ISNUMBER(AG62),'Sheet1-指标体系'!$G$10*'Sheet1-指标体系'!$J$8,0),0)</f>
        <v>0.18</v>
      </c>
      <c r="CJ62" s="49">
        <f>IF(G62="入池",IF(ISNUMBER(AH62),'Sheet1-指标体系'!$G$10*'Sheet1-指标体系'!$J$9,0),0)</f>
        <v>0.12</v>
      </c>
      <c r="CK62" s="49">
        <f>IF(G62="入池",IF(ISNUMBER(AK62),'Sheet1-指标体系'!$G$11,0),0)</f>
        <v>0.1</v>
      </c>
    </row>
    <row r="63" ht="44" customHeight="1" spans="1:89">
      <c r="A63" s="40">
        <f>'Sheet5-查询核对'!A48-1</f>
        <v>47</v>
      </c>
      <c r="B63" s="24" t="str">
        <f>IF('Sheet4-原始数据'!A48="",'Sheet5-查询核对'!B48,'Sheet4-原始数据'!A48)</f>
        <v>平凡浩睿</v>
      </c>
      <c r="C63" s="22" t="str">
        <f>IF('Sheet4-原始数据'!B48="","",'Sheet4-原始数据'!B48)</f>
        <v>SJS890</v>
      </c>
      <c r="D63" s="22" t="str">
        <f>IF('Sheet4-原始数据'!E48="","",'Sheet4-原始数据'!E48)</f>
        <v>北京平凡</v>
      </c>
      <c r="E63" s="23">
        <f>IF('Sheet4-原始数据'!F48="","",'Sheet4-原始数据'!F48)</f>
        <v>43894</v>
      </c>
      <c r="F63" s="37">
        <f>IF(ISNUMBER(E63),ROUND(('Sheet1-指标体系'!$J$12-E63)/'Sheet1-指标体系'!$J$14,4),"")</f>
        <v>6.5188</v>
      </c>
      <c r="G63" s="36" t="str">
        <f>IF(C63="","未匹配",IF(NOT(ISNUMBER(F63)),"缺成立日期",IF(F63&lt;'Sheet1-指标体系'!$J$15,"不入池","入池")))</f>
        <v>入池</v>
      </c>
      <c r="H63" s="22" t="str">
        <f>IF('Sheet5-查询核对'!K48="","",'Sheet5-查询核对'!K48)</f>
        <v>50-100亿元</v>
      </c>
      <c r="I63" s="37">
        <f>IF(H63="","",IF(COUNTIF('Sheet1-指标体系'!$P$4:$P$10,H63)=0,"",INDEX('Sheet1-指标体系'!$Q$4:$Q$10,MATCH(H63,'Sheet1-指标体系'!$P$4:$P$10,0))))</f>
        <v>90</v>
      </c>
      <c r="J63" s="44" t="str">
        <f>IF(NOT(ISNUMBER('Sheet5-查询核对'!N48)),"",IF('Sheet5-查询核对'!N48=1,"低于"&amp;'Sheet1-指标体系'!$J$4&amp;"万元",IF('Sheet5-查询核对'!N48=0,"无低于"&amp;'Sheet1-指标体系'!$J$4&amp;"万元标识","")))</f>
        <v>无低于1000万元标识</v>
      </c>
      <c r="K63" s="37">
        <f>IF(NOT(ISNUMBER('Sheet5-查询核对'!N48)),"",IF('Sheet5-查询核对'!N48=1,'Sheet1-指标体系'!$J$21,IF('Sheet5-查询核对'!N48=0,'Sheet1-指标体系'!$J$18,"")))</f>
        <v>100</v>
      </c>
      <c r="L63" s="37">
        <f>IF(NOT(ISNUMBER(F63)),"",IF(F63&lt;'Sheet1-指标体系'!$J$15,"",IF(F63&lt;'Sheet1-指标体系'!$J$16,'Sheet1-指标体系'!$J$17,'Sheet1-指标体系'!$J$18)))</f>
        <v>100</v>
      </c>
      <c r="M63" s="26">
        <f>IF(ISNUMBER('Sheet4-原始数据'!G48),'Sheet4-原始数据'!G48,"")</f>
        <v>0.2062</v>
      </c>
      <c r="N63" s="26">
        <f>IF(ISNUMBER('Sheet4-原始数据'!H48),'Sheet4-原始数据'!H48,"")</f>
        <v>0.1364</v>
      </c>
      <c r="O63" s="26">
        <f>IF(ISNUMBER('Sheet5-查询核对'!Q48),'Sheet5-查询核对'!Q48,"")</f>
        <v>0.1454</v>
      </c>
      <c r="P63" s="45">
        <f>IF(G63&lt;&gt;"入池","",IF(F63&gt;='Sheet1-指标体系'!$J$16,IF(AND(ISNUMBER(M63),ISNUMBER(N63)),IF(AND(1+M63&gt;0,1+N63&gt;=0),((1+N63)^'Sheet1-指标体系'!$J$16/(1+M63))^(1/('Sheet1-指标体系'!$J$16-1))-1,""),""),IF(AND(ISNUMBER(M63),ISNUMBER(O63)),IF(AND(F63&gt;1,1+M63&gt;0,1+O63&gt;=0),((1+O63)^F63/(1+M63))^(1/(F63-1))-1,""),"")))</f>
        <v>0.103029621692285</v>
      </c>
      <c r="Q63" s="37">
        <f t="shared" si="0"/>
        <v>87.5</v>
      </c>
      <c r="R63" s="37">
        <f t="shared" si="1"/>
        <v>71.21</v>
      </c>
      <c r="S63" s="37">
        <f>IF(ISNUMBER(Q63),IF(ISNUMBER(R63),ROUND(Q63*'Sheet1-指标体系'!$J$8+R63*'Sheet1-指标体系'!$J$9,2),Q63),"")</f>
        <v>80.98</v>
      </c>
      <c r="T63" s="26">
        <f>IF(ISNUMBER('Sheet4-原始数据'!J48),'Sheet4-原始数据'!J48,"")</f>
        <v>0.9231</v>
      </c>
      <c r="U63" s="26">
        <f>IF(ISNUMBER('Sheet4-原始数据'!I48),'Sheet4-原始数据'!I48,"")</f>
        <v>0.8649</v>
      </c>
      <c r="V63" s="45">
        <f>IF(AND(ISNUMBER(T63),ISNUMBER(U63)),(U63*'Sheet1-指标体系'!$J$6-T63*'Sheet1-指标体系'!$J$5)/'Sheet1-指标体系'!$J$7,"")</f>
        <v>0.833375</v>
      </c>
      <c r="W63" s="37">
        <f t="shared" si="2"/>
        <v>92.31</v>
      </c>
      <c r="X63" s="37">
        <f>IF(G63&lt;&gt;"入池","",IF(ISNUMBER(V63),IF(AND(V63&gt;=0,V63&lt;=1),V63*'Sheet1-指标体系'!$J$18,IF(MAX(0,(F63-'Sheet1-指标体系'!$J$15)*'Sheet1-指标体系'!$J$20)&lt;'Sheet1-指标体系'!$J$19,'Sheet1-指标体系'!$J$18,"")),IF(MAX(0,(F63-'Sheet1-指标体系'!$J$15)*'Sheet1-指标体系'!$J$20)&lt;'Sheet1-指标体系'!$J$19,'Sheet1-指标体系'!$J$18,"")))</f>
        <v>83.3375</v>
      </c>
      <c r="Y63" s="37">
        <f>IF(ISNUMBER(W63),IF(ISNUMBER(X63),ROUND(W63*'Sheet1-指标体系'!$J$8+X63*'Sheet1-指标体系'!$J$9,2),W63),"")</f>
        <v>88.72</v>
      </c>
      <c r="Z63" s="45">
        <f t="shared" si="3"/>
        <v>0.00399891397098751</v>
      </c>
      <c r="AA63" s="26">
        <f>IF(ISNUMBER('Sheet4-原始数据'!K48),'Sheet4-原始数据'!K48,"")</f>
        <v>0.0257</v>
      </c>
      <c r="AB63" s="45">
        <f t="shared" si="4"/>
        <v>0.0257</v>
      </c>
      <c r="AC63" s="37">
        <f t="shared" si="5"/>
        <v>39.19</v>
      </c>
      <c r="AD63" s="30">
        <f>IF(ISNUMBER('Sheet4-原始数据'!M48),'Sheet4-原始数据'!M48,"")</f>
        <v>51.564</v>
      </c>
      <c r="AE63" s="45">
        <f>IF(AND(ISNUMBER(P63),ISNUMBER(AA63),ISNUMBER(Z63)),IF(AA63&gt;Z63+'Sheet1-指标体系'!$J$11,AA63,""),"")</f>
        <v>0.0257</v>
      </c>
      <c r="AF63" s="37">
        <f t="shared" si="6"/>
        <v>4.00893469619786</v>
      </c>
      <c r="AG63" s="37">
        <f t="shared" si="7"/>
        <v>97.18</v>
      </c>
      <c r="AH63" s="37">
        <f t="shared" si="8"/>
        <v>53.13</v>
      </c>
      <c r="AI63" s="37">
        <f>IF(ISNUMBER(AG63),IF(ISNUMBER(AH63),ROUND(AG63*'Sheet1-指标体系'!$J$8+AH63*'Sheet1-指标体系'!$J$9,2),AG63),"")</f>
        <v>79.56</v>
      </c>
      <c r="AJ63" s="45">
        <f>IF(NOT(ISNUMBER(F63)),"",IF(F63&gt;='Sheet1-指标体系'!$J$16,IF(ISNUMBER(N63),N63,""),IF(ISNUMBER(O63),O63,"")))</f>
        <v>0.1364</v>
      </c>
      <c r="AK63" s="37">
        <f>IF(AND(G63="入池",ISNUMBER(M63),ISNUMBER(AJ63)),IF(M63&gt;=AJ63,'Sheet1-指标体系'!$J$18,IF(AJ63-M63&lt;'Sheet1-指标体系'!$J$10,'Sheet1-指标体系'!$J$22,'Sheet1-指标体系'!$J$23)),"")</f>
        <v>100</v>
      </c>
      <c r="AL63" s="37">
        <f>IF((IF(ISNUMBER(I63),'Sheet1-指标体系'!$G$4,0)+IF(ISNUMBER(K63),'Sheet1-指标体系'!$G$5,0)+IF(ISNUMBER(L63),'Sheet1-指标体系'!$G$6,0))&gt;0,ROUND((IF(ISNUMBER(I63),I63*'Sheet1-指标体系'!$G$4,0)+IF(ISNUMBER(K63),K63*'Sheet1-指标体系'!$G$5,0)+IF(ISNUMBER(L63),L63*'Sheet1-指标体系'!$G$6,0))/(IF(ISNUMBER(I63),'Sheet1-指标体系'!$G$4,0)+IF(ISNUMBER(K63),'Sheet1-指标体系'!$G$5,0)+IF(ISNUMBER(L63),'Sheet1-指标体系'!$G$6,0)),2),"")</f>
        <v>96</v>
      </c>
      <c r="AM63" s="37">
        <f t="shared" si="9"/>
        <v>83.31</v>
      </c>
      <c r="AN63" s="37">
        <f t="shared" si="10"/>
        <v>39.19</v>
      </c>
      <c r="AO63" s="37">
        <f t="shared" si="11"/>
        <v>79.56</v>
      </c>
      <c r="AP63" s="37">
        <f t="shared" si="12"/>
        <v>100</v>
      </c>
      <c r="AQ63" s="38">
        <f t="shared" si="13"/>
        <v>1</v>
      </c>
      <c r="AR63" s="37">
        <f t="shared" si="14"/>
        <v>74.72652</v>
      </c>
      <c r="AS63" s="37">
        <f t="shared" si="15"/>
        <v>74.73</v>
      </c>
      <c r="AT63" s="40">
        <f>IF(OR(G63&lt;&gt;"入池",NOT(ISNUMBER(AS63))),"",COUNTIFS($G$17:$G$99,"入池",$AS$17:$AS$99,"&gt;"&amp;AS63)+COUNTIFS($G$17:$G$99,"入池",$AS$17:$AS$99,AS63,$AQ$17:$AQ$99,"&gt;"&amp;AQ63)+COUNTIFS($G$17:G63,"入池",$AS$17:AS63,AS63,$AQ$17:AQ63,AQ63))</f>
        <v>22</v>
      </c>
      <c r="AU63" s="46" t="str">
        <f>IF(NOT(ISNUMBER(I63)),"管理人规模；","")&amp;IF(NOT(ISNUMBER(K63)),"产品规模标识；","")&amp;IF(NOT(ISNUMBER(M63)),"近一年收益；","")&amp;IF(NOT(ISNUMBER(T63)),"近一年胜率；","")&amp;IF(NOT(ISNUMBER(N63)),"近三年收益；","")&amp;IF(NOT(ISNUMBER(U63)),"近三年胜率；","")&amp;IF(NOT(ISNUMBER(AA63)),"近三年回撤；","")&amp;IF(NOT(ISNUMBER(AD63)),"近一年卡玛；","")&amp;IF(ISNUMBER(F63),IF(AND(F63&lt;'Sheet1-指标体系'!$J$16,NOT(ISNUMBER(O63))),"成立以来年化；",""),"成立日期；")&amp;IF(ISNUMBER(V63),IF(OR(V63&lt;0,V63&gt;1),"胜率窗口口径不一致；",""),"")&amp;IF(ISNUMBER(P63),IF(NOT(ISNUMBER(AE63)),"DD_long不可识别；",""),"")</f>
        <v/>
      </c>
      <c r="AV63" s="37">
        <f>IF(ABS(SUM(CA63:CK63)-'Sheet1-指标体系'!$J$25)&lt;0.0000000001,SUM(BP63:BZ63),"")</f>
        <v>74.72652</v>
      </c>
      <c r="AW63" s="36" t="str">
        <f>IF(G63&lt;&gt;"入池",G63,IF(AQ63=0,"无有效评分数据",IF(ROUND(AQ63,10)=ROUND('Sheet1-指标体系'!$J$25,10),"完整赋分","暂定分／数据不完整")))</f>
        <v>完整赋分</v>
      </c>
      <c r="AX63" s="22" t="str">
        <f>IF('Sheet4-原始数据'!C48="","",'Sheet4-原始数据'!C48)</f>
        <v>套利策略</v>
      </c>
      <c r="AY63" s="22" t="str">
        <f>IF('Sheet4-原始数据'!D48="","",'Sheet4-原始数据'!D48)</f>
        <v>基金套利</v>
      </c>
      <c r="AZ63" s="22" t="str">
        <f>IF('Sheet5-查询核对'!S48="","",'Sheet5-查询核对'!S48)</f>
        <v>套利策略—基金套利</v>
      </c>
      <c r="BA63" s="25">
        <f>IF('Sheet5-查询核对'!A48="","",'Sheet5-查询核对'!A48)</f>
        <v>48</v>
      </c>
      <c r="BB63" s="22" t="str">
        <f>IF('Sheet5-查询核对'!F48="","",'Sheet5-查询核对'!F48)</f>
        <v>备案号匹配</v>
      </c>
      <c r="BC63" s="24" t="str">
        <f>IF('Sheet5-查询核对'!I48="","",'Sheet5-查询核对'!I48)</f>
        <v>https://mp.fof99.com/fund/view/cede2959c01b91f6</v>
      </c>
      <c r="BD63" s="23">
        <f>IF('Sheet5-查询核对'!H48="","",'Sheet5-查询核对'!H48)</f>
        <v>46269</v>
      </c>
      <c r="BE63" s="24" t="str">
        <f>IF('Sheet5-查询核对'!L48="","",'Sheet5-查询核对'!L48)</f>
        <v>https://gs.amac.org.cn/amac-infodisc/res/pof/manager/101000030286.html</v>
      </c>
      <c r="BF63" s="23">
        <f>IF('Sheet5-查询核对'!M48="","",'Sheet5-查询核对'!M48)</f>
        <v>46276</v>
      </c>
      <c r="BG63" s="24" t="str">
        <f>IF('Sheet5-查询核对'!O48="","",'Sheet5-查询核对'!O48)</f>
        <v>https://gs.amac.org.cn/amac-infodisc/res/pof/fund/2003111724111317.html</v>
      </c>
      <c r="BH63" s="23">
        <f>IF('Sheet5-查询核对'!P48="","",'Sheet5-查询核对'!P48)</f>
        <v>46276</v>
      </c>
      <c r="BI63" s="22" t="str">
        <f>IF('Sheet5-查询核对'!D48="","",'Sheet5-查询核对'!D48)</f>
        <v>SJS890</v>
      </c>
      <c r="BJ63">
        <f>IF(ISNUMBER(AT63),AT63,COUNT($AT$17:$AT$99)+ROWS($AT$17:AT63)-COUNT($AT$17:AT63))</f>
        <v>22</v>
      </c>
      <c r="BK63" s="2">
        <f t="shared" si="16"/>
        <v>1</v>
      </c>
      <c r="BL63" s="2">
        <f t="shared" si="17"/>
        <v>1</v>
      </c>
      <c r="BM63" s="2">
        <f t="shared" si="18"/>
        <v>1</v>
      </c>
      <c r="BN63" s="2">
        <f t="shared" si="19"/>
        <v>1</v>
      </c>
      <c r="BO63" s="2">
        <f t="shared" si="20"/>
        <v>1</v>
      </c>
      <c r="BP63" s="48">
        <f>IF(G63="入池",IF(ISNUMBER(I63),I63*('Sheet1-指标体系'!$G$4),0),0)</f>
        <v>5.4</v>
      </c>
      <c r="BQ63" s="48">
        <f>IF(G63="入池",IF(ISNUMBER(K63),K63*('Sheet1-指标体系'!$G$5),0),0)</f>
        <v>4.5</v>
      </c>
      <c r="BR63" s="48">
        <f>IF(G63="入池",IF(ISNUMBER(L63),L63*('Sheet1-指标体系'!$G$6),0),0)</f>
        <v>4.5</v>
      </c>
      <c r="BS63" s="48">
        <f>IF(G63="入池",IF(ISNUMBER(Q63),Q63*('Sheet1-指标体系'!$G$7*'Sheet1-指标体系'!$J$8),0),0)</f>
        <v>7.35</v>
      </c>
      <c r="BT63" s="48">
        <f>IF(G63="入池",IF(ISNUMBER(R63),R63*('Sheet1-指标体系'!$G$7*'Sheet1-指标体系'!$J$9),0),0)</f>
        <v>3.98776</v>
      </c>
      <c r="BU63" s="48">
        <f>IF(G63="入池",IF(ISNUMBER(W63),W63*('Sheet1-指标体系'!$G$8*'Sheet1-指标体系'!$J$8),0),0)</f>
        <v>3.32316</v>
      </c>
      <c r="BV63" s="48">
        <f>IF(G63="入池",IF(ISNUMBER(X63),X63*('Sheet1-指标体系'!$G$8*'Sheet1-指标体系'!$J$9),0),0)</f>
        <v>2.0001</v>
      </c>
      <c r="BW63" s="48">
        <f>IF(G63="入池",IF(ISNUMBER(AC63),AC63*('Sheet1-指标体系'!$G$9),0),0)</f>
        <v>9.7975</v>
      </c>
      <c r="BX63" s="48">
        <f>IF(G63="入池",IF(ISNUMBER(AG63),AG63*('Sheet1-指标体系'!$G$10*'Sheet1-指标体系'!$J$8),0),0)</f>
        <v>17.4924</v>
      </c>
      <c r="BY63" s="48">
        <f>IF(G63="入池",IF(ISNUMBER(AH63),AH63*('Sheet1-指标体系'!$G$10*'Sheet1-指标体系'!$J$9),0),0)</f>
        <v>6.3756</v>
      </c>
      <c r="BZ63" s="48">
        <f>IF(G63="入池",IF(ISNUMBER(AK63),AK63*('Sheet1-指标体系'!$G$11),0),0)</f>
        <v>10</v>
      </c>
      <c r="CA63" s="49">
        <f>IF(G63="入池",IF(ISNUMBER(I63),'Sheet1-指标体系'!$G$4,0),0)</f>
        <v>0.06</v>
      </c>
      <c r="CB63" s="49">
        <f>IF(G63="入池",IF(ISNUMBER(K63),'Sheet1-指标体系'!$G$5,0),0)</f>
        <v>0.045</v>
      </c>
      <c r="CC63" s="49">
        <f>IF(G63="入池",IF(ISNUMBER(L63),'Sheet1-指标体系'!$G$6,0),0)</f>
        <v>0.045</v>
      </c>
      <c r="CD63" s="49">
        <f>IF(G63="入池",IF(ISNUMBER(Q63),'Sheet1-指标体系'!$G$7*'Sheet1-指标体系'!$J$8,0),0)</f>
        <v>0.084</v>
      </c>
      <c r="CE63" s="49">
        <f>IF(G63="入池",IF(ISNUMBER(R63),'Sheet1-指标体系'!$G$7*'Sheet1-指标体系'!$J$9,0),0)</f>
        <v>0.056</v>
      </c>
      <c r="CF63" s="49">
        <f>IF(G63="入池",IF(ISNUMBER(W63),'Sheet1-指标体系'!$G$8*'Sheet1-指标体系'!$J$8,0),0)</f>
        <v>0.036</v>
      </c>
      <c r="CG63" s="49">
        <f>IF(G63="入池",IF(ISNUMBER(X63),'Sheet1-指标体系'!$G$8*'Sheet1-指标体系'!$J$9,0),0)</f>
        <v>0.024</v>
      </c>
      <c r="CH63" s="49">
        <f>IF(G63="入池",IF(ISNUMBER(AC63),'Sheet1-指标体系'!$G$9,0),0)</f>
        <v>0.25</v>
      </c>
      <c r="CI63" s="49">
        <f>IF(G63="入池",IF(ISNUMBER(AG63),'Sheet1-指标体系'!$G$10*'Sheet1-指标体系'!$J$8,0),0)</f>
        <v>0.18</v>
      </c>
      <c r="CJ63" s="49">
        <f>IF(G63="入池",IF(ISNUMBER(AH63),'Sheet1-指标体系'!$G$10*'Sheet1-指标体系'!$J$9,0),0)</f>
        <v>0.12</v>
      </c>
      <c r="CK63" s="49">
        <f>IF(G63="入池",IF(ISNUMBER(AK63),'Sheet1-指标体系'!$G$11,0),0)</f>
        <v>0.1</v>
      </c>
    </row>
    <row r="64" ht="44" customHeight="1" spans="1:89">
      <c r="A64" s="40">
        <f>'Sheet5-查询核对'!A49-1</f>
        <v>48</v>
      </c>
      <c r="B64" s="24" t="str">
        <f>IF('Sheet4-原始数据'!A49="",'Sheet5-查询核对'!B49,'Sheet4-原始数据'!A49)</f>
        <v>平凡悟鑫</v>
      </c>
      <c r="C64" s="22" t="str">
        <f>IF('Sheet4-原始数据'!B49="","",'Sheet4-原始数据'!B49)</f>
        <v>SJ2870</v>
      </c>
      <c r="D64" s="22" t="str">
        <f>IF('Sheet4-原始数据'!E49="","",'Sheet4-原始数据'!E49)</f>
        <v>北京平凡</v>
      </c>
      <c r="E64" s="23">
        <f>IF('Sheet4-原始数据'!F49="","",'Sheet4-原始数据'!F49)</f>
        <v>42479</v>
      </c>
      <c r="F64" s="37">
        <f>IF(ISNUMBER(E64),ROUND(('Sheet1-指标体系'!$J$12-E64)/'Sheet1-指标体系'!$J$14,4),"")</f>
        <v>10.3929</v>
      </c>
      <c r="G64" s="36" t="str">
        <f>IF(C64="","未匹配",IF(NOT(ISNUMBER(F64)),"缺成立日期",IF(F64&lt;'Sheet1-指标体系'!$J$15,"不入池","入池")))</f>
        <v>入池</v>
      </c>
      <c r="H64" s="22" t="str">
        <f>IF('Sheet5-查询核对'!K49="","",'Sheet5-查询核对'!K49)</f>
        <v>50-100亿元</v>
      </c>
      <c r="I64" s="37">
        <f>IF(H64="","",IF(COUNTIF('Sheet1-指标体系'!$P$4:$P$10,H64)=0,"",INDEX('Sheet1-指标体系'!$Q$4:$Q$10,MATCH(H64,'Sheet1-指标体系'!$P$4:$P$10,0))))</f>
        <v>90</v>
      </c>
      <c r="J64" s="44" t="str">
        <f>IF(NOT(ISNUMBER('Sheet5-查询核对'!N49)),"",IF('Sheet5-查询核对'!N49=1,"低于"&amp;'Sheet1-指标体系'!$J$4&amp;"万元",IF('Sheet5-查询核对'!N49=0,"无低于"&amp;'Sheet1-指标体系'!$J$4&amp;"万元标识","")))</f>
        <v>无低于1000万元标识</v>
      </c>
      <c r="K64" s="37">
        <f>IF(NOT(ISNUMBER('Sheet5-查询核对'!N49)),"",IF('Sheet5-查询核对'!N49=1,'Sheet1-指标体系'!$J$21,IF('Sheet5-查询核对'!N49=0,'Sheet1-指标体系'!$J$18,"")))</f>
        <v>100</v>
      </c>
      <c r="L64" s="37">
        <f>IF(NOT(ISNUMBER(F64)),"",IF(F64&lt;'Sheet1-指标体系'!$J$15,"",IF(F64&lt;'Sheet1-指标体系'!$J$16,'Sheet1-指标体系'!$J$17,'Sheet1-指标体系'!$J$18)))</f>
        <v>100</v>
      </c>
      <c r="M64" s="26">
        <f>IF(ISNUMBER('Sheet4-原始数据'!G49),'Sheet4-原始数据'!G49,"")</f>
        <v>0.0719</v>
      </c>
      <c r="N64" s="26">
        <f>IF(ISNUMBER('Sheet4-原始数据'!H49),'Sheet4-原始数据'!H49,"")</f>
        <v>0.0646</v>
      </c>
      <c r="O64" s="26">
        <f>IF(ISNUMBER('Sheet5-查询核对'!Q49),'Sheet5-查询核对'!Q49,"")</f>
        <v>0.0786</v>
      </c>
      <c r="P64" s="45">
        <f>IF(G64&lt;&gt;"入池","",IF(F64&gt;='Sheet1-指标体系'!$J$16,IF(AND(ISNUMBER(M64),ISNUMBER(N64)),IF(AND(1+M64&gt;0,1+N64&gt;=0),((1+N64)^'Sheet1-指标体系'!$J$16/(1+M64))^(1/('Sheet1-指标体系'!$J$16-1))-1,""),""),IF(AND(ISNUMBER(M64),ISNUMBER(O64)),IF(AND(F64&gt;1,1+M64&gt;0,1+O64&gt;=0),((1+O64)^F64/(1+M64))^(1/(F64-1))-1,""),"")))</f>
        <v>0.0609686645123657</v>
      </c>
      <c r="Q64" s="37">
        <f t="shared" si="0"/>
        <v>33.33</v>
      </c>
      <c r="R64" s="37">
        <f t="shared" si="1"/>
        <v>36.36</v>
      </c>
      <c r="S64" s="37">
        <f>IF(ISNUMBER(Q64),IF(ISNUMBER(R64),ROUND(Q64*'Sheet1-指标体系'!$J$8+R64*'Sheet1-指标体系'!$J$9,2),Q64),"")</f>
        <v>34.54</v>
      </c>
      <c r="T64" s="26">
        <f>IF(ISNUMBER('Sheet4-原始数据'!J49),'Sheet4-原始数据'!J49,"")</f>
        <v>0.9231</v>
      </c>
      <c r="U64" s="26">
        <f>IF(ISNUMBER('Sheet4-原始数据'!I49),'Sheet4-原始数据'!I49,"")</f>
        <v>0.8919</v>
      </c>
      <c r="V64" s="45">
        <f>IF(AND(ISNUMBER(T64),ISNUMBER(U64)),(U64*'Sheet1-指标体系'!$J$6-T64*'Sheet1-指标体系'!$J$5)/'Sheet1-指标体系'!$J$7,"")</f>
        <v>0.875</v>
      </c>
      <c r="W64" s="37">
        <f t="shared" si="2"/>
        <v>92.31</v>
      </c>
      <c r="X64" s="37">
        <f>IF(G64&lt;&gt;"入池","",IF(ISNUMBER(V64),IF(AND(V64&gt;=0,V64&lt;=1),V64*'Sheet1-指标体系'!$J$18,IF(MAX(0,(F64-'Sheet1-指标体系'!$J$15)*'Sheet1-指标体系'!$J$20)&lt;'Sheet1-指标体系'!$J$19,'Sheet1-指标体系'!$J$18,"")),IF(MAX(0,(F64-'Sheet1-指标体系'!$J$15)*'Sheet1-指标体系'!$J$20)&lt;'Sheet1-指标体系'!$J$19,'Sheet1-指标体系'!$J$18,"")))</f>
        <v>87.5</v>
      </c>
      <c r="Y64" s="37">
        <f>IF(ISNUMBER(W64),IF(ISNUMBER(X64),ROUND(W64*'Sheet1-指标体系'!$J$8+X64*'Sheet1-指标体系'!$J$9,2),W64),"")</f>
        <v>90.39</v>
      </c>
      <c r="Z64" s="45">
        <f t="shared" si="3"/>
        <v>0.00971647882375199</v>
      </c>
      <c r="AA64" s="26">
        <f>IF(ISNUMBER('Sheet4-原始数据'!K49),'Sheet4-原始数据'!K49,"")</f>
        <v>0.0097</v>
      </c>
      <c r="AB64" s="45">
        <f t="shared" si="4"/>
        <v>0.00971647882375199</v>
      </c>
      <c r="AC64" s="37">
        <f t="shared" si="5"/>
        <v>74.32</v>
      </c>
      <c r="AD64" s="30">
        <f>IF(ISNUMBER('Sheet4-原始数据'!M49),'Sheet4-原始数据'!M49,"")</f>
        <v>7.3998</v>
      </c>
      <c r="AE64" s="45" t="str">
        <f>IF(AND(ISNUMBER(P64),ISNUMBER(AA64),ISNUMBER(Z64)),IF(AA64&gt;Z64+'Sheet1-指标体系'!$J$11,AA64,""),"")</f>
        <v/>
      </c>
      <c r="AF64" s="37" t="str">
        <f t="shared" si="6"/>
        <v/>
      </c>
      <c r="AG64" s="37">
        <f t="shared" si="7"/>
        <v>45.07</v>
      </c>
      <c r="AH64" s="37" t="str">
        <f t="shared" si="8"/>
        <v/>
      </c>
      <c r="AI64" s="37">
        <f>IF(ISNUMBER(AG64),IF(ISNUMBER(AH64),ROUND(AG64*'Sheet1-指标体系'!$J$8+AH64*'Sheet1-指标体系'!$J$9,2),AG64),"")</f>
        <v>45.07</v>
      </c>
      <c r="AJ64" s="45">
        <f>IF(NOT(ISNUMBER(F64)),"",IF(F64&gt;='Sheet1-指标体系'!$J$16,IF(ISNUMBER(N64),N64,""),IF(ISNUMBER(O64),O64,"")))</f>
        <v>0.0646</v>
      </c>
      <c r="AK64" s="37">
        <f>IF(AND(G64="入池",ISNUMBER(M64),ISNUMBER(AJ64)),IF(M64&gt;=AJ64,'Sheet1-指标体系'!$J$18,IF(AJ64-M64&lt;'Sheet1-指标体系'!$J$10,'Sheet1-指标体系'!$J$22,'Sheet1-指标体系'!$J$23)),"")</f>
        <v>100</v>
      </c>
      <c r="AL64" s="37">
        <f>IF((IF(ISNUMBER(I64),'Sheet1-指标体系'!$G$4,0)+IF(ISNUMBER(K64),'Sheet1-指标体系'!$G$5,0)+IF(ISNUMBER(L64),'Sheet1-指标体系'!$G$6,0))&gt;0,ROUND((IF(ISNUMBER(I64),I64*'Sheet1-指标体系'!$G$4,0)+IF(ISNUMBER(K64),K64*'Sheet1-指标体系'!$G$5,0)+IF(ISNUMBER(L64),L64*'Sheet1-指标体系'!$G$6,0))/(IF(ISNUMBER(I64),'Sheet1-指标体系'!$G$4,0)+IF(ISNUMBER(K64),'Sheet1-指标体系'!$G$5,0)+IF(ISNUMBER(L64),'Sheet1-指标体系'!$G$6,0)),2),"")</f>
        <v>96</v>
      </c>
      <c r="AM64" s="37">
        <f t="shared" si="9"/>
        <v>51.3</v>
      </c>
      <c r="AN64" s="37">
        <f t="shared" si="10"/>
        <v>74.32</v>
      </c>
      <c r="AO64" s="37">
        <f t="shared" si="11"/>
        <v>45.07</v>
      </c>
      <c r="AP64" s="37">
        <f t="shared" si="12"/>
        <v>100</v>
      </c>
      <c r="AQ64" s="38">
        <f t="shared" si="13"/>
        <v>0.88</v>
      </c>
      <c r="AR64" s="37">
        <f t="shared" si="14"/>
        <v>61.35164</v>
      </c>
      <c r="AS64" s="37">
        <f t="shared" si="15"/>
        <v>69.72</v>
      </c>
      <c r="AT64" s="40">
        <f>IF(OR(G64&lt;&gt;"入池",NOT(ISNUMBER(AS64))),"",COUNTIFS($G$17:$G$99,"入池",$AS$17:$AS$99,"&gt;"&amp;AS64)+COUNTIFS($G$17:$G$99,"入池",$AS$17:$AS$99,AS64,$AQ$17:$AQ$99,"&gt;"&amp;AQ64)+COUNTIFS($G$17:G64,"入池",$AS$17:AS64,AS64,$AQ$17:AQ64,AQ64))</f>
        <v>33</v>
      </c>
      <c r="AU64" s="46" t="str">
        <f>IF(NOT(ISNUMBER(I64)),"管理人规模；","")&amp;IF(NOT(ISNUMBER(K64)),"产品规模标识；","")&amp;IF(NOT(ISNUMBER(M64)),"近一年收益；","")&amp;IF(NOT(ISNUMBER(T64)),"近一年胜率；","")&amp;IF(NOT(ISNUMBER(N64)),"近三年收益；","")&amp;IF(NOT(ISNUMBER(U64)),"近三年胜率；","")&amp;IF(NOT(ISNUMBER(AA64)),"近三年回撤；","")&amp;IF(NOT(ISNUMBER(AD64)),"近一年卡玛；","")&amp;IF(ISNUMBER(F64),IF(AND(F64&lt;'Sheet1-指标体系'!$J$16,NOT(ISNUMBER(O64))),"成立以来年化；",""),"成立日期；")&amp;IF(ISNUMBER(V64),IF(OR(V64&lt;0,V64&gt;1),"胜率窗口口径不一致；",""),"")&amp;IF(ISNUMBER(P64),IF(NOT(ISNUMBER(AE64)),"DD_long不可识别；",""),"")</f>
        <v>DD_long不可识别；</v>
      </c>
      <c r="AV64" s="37" t="str">
        <f>IF(ABS(SUM(CA64:CK64)-'Sheet1-指标体系'!$J$25)&lt;0.0000000001,SUM(BP64:BZ64),"")</f>
        <v/>
      </c>
      <c r="AW64" s="36" t="str">
        <f>IF(G64&lt;&gt;"入池",G64,IF(AQ64=0,"无有效评分数据",IF(ROUND(AQ64,10)=ROUND('Sheet1-指标体系'!$J$25,10),"完整赋分","暂定分／数据不完整")))</f>
        <v>暂定分／数据不完整</v>
      </c>
      <c r="AX64" s="22" t="str">
        <f>IF('Sheet4-原始数据'!C49="","",'Sheet4-原始数据'!C49)</f>
        <v>套利策略</v>
      </c>
      <c r="AY64" s="22" t="str">
        <f>IF('Sheet4-原始数据'!D49="","",'Sheet4-原始数据'!D49)</f>
        <v>基金套利</v>
      </c>
      <c r="AZ64" s="22" t="str">
        <f>IF('Sheet5-查询核对'!S49="","",'Sheet5-查询核对'!S49)</f>
        <v>套利策略—基金套利</v>
      </c>
      <c r="BA64" s="25">
        <f>IF('Sheet5-查询核对'!A49="","",'Sheet5-查询核对'!A49)</f>
        <v>49</v>
      </c>
      <c r="BB64" s="22" t="str">
        <f>IF('Sheet5-查询核对'!F49="","",'Sheet5-查询核对'!F49)</f>
        <v>备案号匹配</v>
      </c>
      <c r="BC64" s="24" t="str">
        <f>IF('Sheet5-查询核对'!I49="","",'Sheet5-查询核对'!I49)</f>
        <v>https://mp.fof99.com/fund/view/8b4dbf527867d6d0</v>
      </c>
      <c r="BD64" s="23">
        <f>IF('Sheet5-查询核对'!H49="","",'Sheet5-查询核对'!H49)</f>
        <v>46269</v>
      </c>
      <c r="BE64" s="24" t="str">
        <f>IF('Sheet5-查询核对'!L49="","",'Sheet5-查询核对'!L49)</f>
        <v>https://gs.amac.org.cn/amac-infodisc/res/pof/manager/101000030286.html</v>
      </c>
      <c r="BF64" s="23">
        <f>IF('Sheet5-查询核对'!M49="","",'Sheet5-查询核对'!M49)</f>
        <v>46276</v>
      </c>
      <c r="BG64" s="24" t="str">
        <f>IF('Sheet5-查询核对'!O49="","",'Sheet5-查询核对'!O49)</f>
        <v>https://gs.amac.org.cn/amac-infodisc/res/pof/fund/351000410825.html</v>
      </c>
      <c r="BH64" s="23">
        <f>IF('Sheet5-查询核对'!P49="","",'Sheet5-查询核对'!P49)</f>
        <v>46276</v>
      </c>
      <c r="BI64" s="22" t="str">
        <f>IF('Sheet5-查询核对'!D49="","",'Sheet5-查询核对'!D49)</f>
        <v>SJ2870</v>
      </c>
      <c r="BJ64">
        <f>IF(ISNUMBER(AT64),AT64,COUNT($AT$17:$AT$99)+ROWS($AT$17:AT64)-COUNT($AT$17:AT64))</f>
        <v>33</v>
      </c>
      <c r="BK64" s="2">
        <f t="shared" si="16"/>
        <v>1</v>
      </c>
      <c r="BL64" s="2">
        <f t="shared" si="17"/>
        <v>1</v>
      </c>
      <c r="BM64" s="2">
        <f t="shared" si="18"/>
        <v>1</v>
      </c>
      <c r="BN64" s="2">
        <f t="shared" si="19"/>
        <v>1</v>
      </c>
      <c r="BO64" s="2">
        <f t="shared" si="20"/>
        <v>0</v>
      </c>
      <c r="BP64" s="48">
        <f>IF(G64="入池",IF(ISNUMBER(I64),I64*('Sheet1-指标体系'!$G$4),0),0)</f>
        <v>5.4</v>
      </c>
      <c r="BQ64" s="48">
        <f>IF(G64="入池",IF(ISNUMBER(K64),K64*('Sheet1-指标体系'!$G$5),0),0)</f>
        <v>4.5</v>
      </c>
      <c r="BR64" s="48">
        <f>IF(G64="入池",IF(ISNUMBER(L64),L64*('Sheet1-指标体系'!$G$6),0),0)</f>
        <v>4.5</v>
      </c>
      <c r="BS64" s="48">
        <f>IF(G64="入池",IF(ISNUMBER(Q64),Q64*('Sheet1-指标体系'!$G$7*'Sheet1-指标体系'!$J$8),0),0)</f>
        <v>2.79972</v>
      </c>
      <c r="BT64" s="48">
        <f>IF(G64="入池",IF(ISNUMBER(R64),R64*('Sheet1-指标体系'!$G$7*'Sheet1-指标体系'!$J$9),0),0)</f>
        <v>2.03616</v>
      </c>
      <c r="BU64" s="48">
        <f>IF(G64="入池",IF(ISNUMBER(W64),W64*('Sheet1-指标体系'!$G$8*'Sheet1-指标体系'!$J$8),0),0)</f>
        <v>3.32316</v>
      </c>
      <c r="BV64" s="48">
        <f>IF(G64="入池",IF(ISNUMBER(X64),X64*('Sheet1-指标体系'!$G$8*'Sheet1-指标体系'!$J$9),0),0)</f>
        <v>2.1</v>
      </c>
      <c r="BW64" s="48">
        <f>IF(G64="入池",IF(ISNUMBER(AC64),AC64*('Sheet1-指标体系'!$G$9),0),0)</f>
        <v>18.58</v>
      </c>
      <c r="BX64" s="48">
        <f>IF(G64="入池",IF(ISNUMBER(AG64),AG64*('Sheet1-指标体系'!$G$10*'Sheet1-指标体系'!$J$8),0),0)</f>
        <v>8.1126</v>
      </c>
      <c r="BY64" s="48">
        <f>IF(G64="入池",IF(ISNUMBER(AH64),AH64*('Sheet1-指标体系'!$G$10*'Sheet1-指标体系'!$J$9),0),0)</f>
        <v>0</v>
      </c>
      <c r="BZ64" s="48">
        <f>IF(G64="入池",IF(ISNUMBER(AK64),AK64*('Sheet1-指标体系'!$G$11),0),0)</f>
        <v>10</v>
      </c>
      <c r="CA64" s="49">
        <f>IF(G64="入池",IF(ISNUMBER(I64),'Sheet1-指标体系'!$G$4,0),0)</f>
        <v>0.06</v>
      </c>
      <c r="CB64" s="49">
        <f>IF(G64="入池",IF(ISNUMBER(K64),'Sheet1-指标体系'!$G$5,0),0)</f>
        <v>0.045</v>
      </c>
      <c r="CC64" s="49">
        <f>IF(G64="入池",IF(ISNUMBER(L64),'Sheet1-指标体系'!$G$6,0),0)</f>
        <v>0.045</v>
      </c>
      <c r="CD64" s="49">
        <f>IF(G64="入池",IF(ISNUMBER(Q64),'Sheet1-指标体系'!$G$7*'Sheet1-指标体系'!$J$8,0),0)</f>
        <v>0.084</v>
      </c>
      <c r="CE64" s="49">
        <f>IF(G64="入池",IF(ISNUMBER(R64),'Sheet1-指标体系'!$G$7*'Sheet1-指标体系'!$J$9,0),0)</f>
        <v>0.056</v>
      </c>
      <c r="CF64" s="49">
        <f>IF(G64="入池",IF(ISNUMBER(W64),'Sheet1-指标体系'!$G$8*'Sheet1-指标体系'!$J$8,0),0)</f>
        <v>0.036</v>
      </c>
      <c r="CG64" s="49">
        <f>IF(G64="入池",IF(ISNUMBER(X64),'Sheet1-指标体系'!$G$8*'Sheet1-指标体系'!$J$9,0),0)</f>
        <v>0.024</v>
      </c>
      <c r="CH64" s="49">
        <f>IF(G64="入池",IF(ISNUMBER(AC64),'Sheet1-指标体系'!$G$9,0),0)</f>
        <v>0.25</v>
      </c>
      <c r="CI64" s="49">
        <f>IF(G64="入池",IF(ISNUMBER(AG64),'Sheet1-指标体系'!$G$10*'Sheet1-指标体系'!$J$8,0),0)</f>
        <v>0.18</v>
      </c>
      <c r="CJ64" s="49">
        <f>IF(G64="入池",IF(ISNUMBER(AH64),'Sheet1-指标体系'!$G$10*'Sheet1-指标体系'!$J$9,0),0)</f>
        <v>0</v>
      </c>
      <c r="CK64" s="49">
        <f>IF(G64="入池",IF(ISNUMBER(AK64),'Sheet1-指标体系'!$G$11,0),0)</f>
        <v>0.1</v>
      </c>
    </row>
    <row r="65" ht="44" customHeight="1" spans="1:89">
      <c r="A65" s="40">
        <f>'Sheet5-查询核对'!A50-1</f>
        <v>49</v>
      </c>
      <c r="B65" s="24" t="str">
        <f>IF('Sheet4-原始数据'!A50="",'Sheet5-查询核对'!B50,'Sheet4-原始数据'!A50)</f>
        <v>祁腾蜂赢1号</v>
      </c>
      <c r="C65" s="22" t="str">
        <f>IF('Sheet4-原始数据'!B50="","",'Sheet4-原始数据'!B50)</f>
        <v>SEV580</v>
      </c>
      <c r="D65" s="22" t="str">
        <f>IF('Sheet4-原始数据'!E50="","",'Sheet4-原始数据'!E50)</f>
        <v>宁波祁腾投资</v>
      </c>
      <c r="E65" s="23">
        <f>IF('Sheet4-原始数据'!F50="","",'Sheet4-原始数据'!F50)</f>
        <v>43490</v>
      </c>
      <c r="F65" s="37">
        <f>IF(ISNUMBER(E65),ROUND(('Sheet1-指标体系'!$J$12-E65)/'Sheet1-指标体系'!$J$14,4),"")</f>
        <v>7.6249</v>
      </c>
      <c r="G65" s="36" t="str">
        <f>IF(C65="","未匹配",IF(NOT(ISNUMBER(F65)),"缺成立日期",IF(F65&lt;'Sheet1-指标体系'!$J$15,"不入池","入池")))</f>
        <v>入池</v>
      </c>
      <c r="H65" s="22" t="str">
        <f>IF('Sheet5-查询核对'!K50="","",'Sheet5-查询核对'!K50)</f>
        <v>0-5亿元</v>
      </c>
      <c r="I65" s="37">
        <f>IF(H65="","",IF(COUNTIF('Sheet1-指标体系'!$P$4:$P$10,H65)=0,"",INDEX('Sheet1-指标体系'!$Q$4:$Q$10,MATCH(H65,'Sheet1-指标体系'!$P$4:$P$10,0))))</f>
        <v>60</v>
      </c>
      <c r="J65" s="44" t="str">
        <f>IF(NOT(ISNUMBER('Sheet5-查询核对'!N50)),"",IF('Sheet5-查询核对'!N50=1,"低于"&amp;'Sheet1-指标体系'!$J$4&amp;"万元",IF('Sheet5-查询核对'!N50=0,"无低于"&amp;'Sheet1-指标体系'!$J$4&amp;"万元标识","")))</f>
        <v>无低于1000万元标识</v>
      </c>
      <c r="K65" s="37">
        <f>IF(NOT(ISNUMBER('Sheet5-查询核对'!N50)),"",IF('Sheet5-查询核对'!N50=1,'Sheet1-指标体系'!$J$21,IF('Sheet5-查询核对'!N50=0,'Sheet1-指标体系'!$J$18,"")))</f>
        <v>100</v>
      </c>
      <c r="L65" s="37">
        <f>IF(NOT(ISNUMBER(F65)),"",IF(F65&lt;'Sheet1-指标体系'!$J$15,"",IF(F65&lt;'Sheet1-指标体系'!$J$16,'Sheet1-指标体系'!$J$17,'Sheet1-指标体系'!$J$18)))</f>
        <v>100</v>
      </c>
      <c r="M65" s="26">
        <f>IF(ISNUMBER('Sheet4-原始数据'!G50),'Sheet4-原始数据'!G50,"")</f>
        <v>0.138372093023256</v>
      </c>
      <c r="N65" s="26">
        <f>IF(ISNUMBER('Sheet4-原始数据'!H50),'Sheet4-原始数据'!H50,"")</f>
        <v>0.120073116138451</v>
      </c>
      <c r="O65" s="26">
        <f>IF(ISNUMBER('Sheet5-查询核对'!Q50),'Sheet5-查询核对'!Q50,"")</f>
        <v>0.12473444211069</v>
      </c>
      <c r="P65" s="45">
        <f>IF(G65&lt;&gt;"入池","",IF(F65&gt;='Sheet1-指标体系'!$J$16,IF(AND(ISNUMBER(M65),ISNUMBER(N65)),IF(AND(1+M65&gt;0,1+N65&gt;=0),((1+N65)^'Sheet1-指标体系'!$J$16/(1+M65))^(1/('Sheet1-指标体系'!$J$16-1))-1,""),""),IF(AND(ISNUMBER(M65),ISNUMBER(O65)),IF(AND(F65&gt;1,1+M65&gt;0,1+O65&gt;=0),((1+O65)^F65/(1+M65))^(1/(F65-1))-1,""),"")))</f>
        <v>0.111034231398421</v>
      </c>
      <c r="Q65" s="37">
        <f t="shared" si="0"/>
        <v>79.17</v>
      </c>
      <c r="R65" s="37">
        <f t="shared" si="1"/>
        <v>75.76</v>
      </c>
      <c r="S65" s="37">
        <f>IF(ISNUMBER(Q65),IF(ISNUMBER(R65),ROUND(Q65*'Sheet1-指标体系'!$J$8+R65*'Sheet1-指标体系'!$J$9,2),Q65),"")</f>
        <v>77.81</v>
      </c>
      <c r="T65" s="26">
        <f>IF(ISNUMBER('Sheet4-原始数据'!J50),'Sheet4-原始数据'!J50,"")</f>
        <v>0.769230769230769</v>
      </c>
      <c r="U65" s="26">
        <f>IF(ISNUMBER('Sheet4-原始数据'!I50),'Sheet4-原始数据'!I50,"")</f>
        <v>0.783783783783784</v>
      </c>
      <c r="V65" s="45">
        <f>IF(AND(ISNUMBER(T65),ISNUMBER(U65)),(U65*'Sheet1-指标体系'!$J$6-T65*'Sheet1-指标体系'!$J$5)/'Sheet1-指标体系'!$J$7,"")</f>
        <v>0.791666666666667</v>
      </c>
      <c r="W65" s="37">
        <f t="shared" si="2"/>
        <v>76.9230769230769</v>
      </c>
      <c r="X65" s="37">
        <f>IF(G65&lt;&gt;"入池","",IF(ISNUMBER(V65),IF(AND(V65&gt;=0,V65&lt;=1),V65*'Sheet1-指标体系'!$J$18,IF(MAX(0,(F65-'Sheet1-指标体系'!$J$15)*'Sheet1-指标体系'!$J$20)&lt;'Sheet1-指标体系'!$J$19,'Sheet1-指标体系'!$J$18,"")),IF(MAX(0,(F65-'Sheet1-指标体系'!$J$15)*'Sheet1-指标体系'!$J$20)&lt;'Sheet1-指标体系'!$J$19,'Sheet1-指标体系'!$J$18,"")))</f>
        <v>79.1666666666667</v>
      </c>
      <c r="Y65" s="37">
        <f>IF(ISNUMBER(W65),IF(ISNUMBER(X65),ROUND(W65*'Sheet1-指标体系'!$J$8+X65*'Sheet1-指标体系'!$J$9,2),W65),"")</f>
        <v>77.82</v>
      </c>
      <c r="Z65" s="45">
        <f t="shared" si="3"/>
        <v>0.00486317177711837</v>
      </c>
      <c r="AA65" s="26">
        <f>IF(ISNUMBER('Sheet4-原始数据'!K50),'Sheet4-原始数据'!K50,"")</f>
        <v>0.00533091362785687</v>
      </c>
      <c r="AB65" s="45">
        <f t="shared" si="4"/>
        <v>0.00533091362785687</v>
      </c>
      <c r="AC65" s="37">
        <f t="shared" si="5"/>
        <v>86.49</v>
      </c>
      <c r="AD65" s="30">
        <f>IF(ISNUMBER('Sheet4-原始数据'!M50),'Sheet4-原始数据'!M50,"")</f>
        <v>28.453054789121</v>
      </c>
      <c r="AE65" s="45">
        <f>IF(AND(ISNUMBER(P65),ISNUMBER(AA65),ISNUMBER(Z65)),IF(AA65&gt;Z65+'Sheet1-指标体系'!$J$11,AA65,""),"")</f>
        <v>0.00533091362785687</v>
      </c>
      <c r="AF65" s="37">
        <f t="shared" si="6"/>
        <v>20.8283681090251</v>
      </c>
      <c r="AG65" s="37">
        <f t="shared" si="7"/>
        <v>85.92</v>
      </c>
      <c r="AH65" s="37">
        <f t="shared" si="8"/>
        <v>93.75</v>
      </c>
      <c r="AI65" s="37">
        <f>IF(ISNUMBER(AG65),IF(ISNUMBER(AH65),ROUND(AG65*'Sheet1-指标体系'!$J$8+AH65*'Sheet1-指标体系'!$J$9,2),AG65),"")</f>
        <v>89.05</v>
      </c>
      <c r="AJ65" s="45">
        <f>IF(NOT(ISNUMBER(F65)),"",IF(F65&gt;='Sheet1-指标体系'!$J$16,IF(ISNUMBER(N65),N65,""),IF(ISNUMBER(O65),O65,"")))</f>
        <v>0.120073116138451</v>
      </c>
      <c r="AK65" s="37">
        <f>IF(AND(G65="入池",ISNUMBER(M65),ISNUMBER(AJ65)),IF(M65&gt;=AJ65,'Sheet1-指标体系'!$J$18,IF(AJ65-M65&lt;'Sheet1-指标体系'!$J$10,'Sheet1-指标体系'!$J$22,'Sheet1-指标体系'!$J$23)),"")</f>
        <v>100</v>
      </c>
      <c r="AL65" s="37">
        <f>IF((IF(ISNUMBER(I65),'Sheet1-指标体系'!$G$4,0)+IF(ISNUMBER(K65),'Sheet1-指标体系'!$G$5,0)+IF(ISNUMBER(L65),'Sheet1-指标体系'!$G$6,0))&gt;0,ROUND((IF(ISNUMBER(I65),I65*'Sheet1-指标体系'!$G$4,0)+IF(ISNUMBER(K65),K65*'Sheet1-指标体系'!$G$5,0)+IF(ISNUMBER(L65),L65*'Sheet1-指标体系'!$G$6,0))/(IF(ISNUMBER(I65),'Sheet1-指标体系'!$G$4,0)+IF(ISNUMBER(K65),'Sheet1-指标体系'!$G$5,0)+IF(ISNUMBER(L65),'Sheet1-指标体系'!$G$6,0)),2),"")</f>
        <v>84</v>
      </c>
      <c r="AM65" s="37">
        <f t="shared" si="9"/>
        <v>77.81</v>
      </c>
      <c r="AN65" s="37">
        <f t="shared" si="10"/>
        <v>86.49</v>
      </c>
      <c r="AO65" s="37">
        <f t="shared" si="11"/>
        <v>89.05</v>
      </c>
      <c r="AP65" s="37">
        <f t="shared" si="12"/>
        <v>100</v>
      </c>
      <c r="AQ65" s="38">
        <f t="shared" si="13"/>
        <v>1</v>
      </c>
      <c r="AR65" s="37">
        <f t="shared" si="14"/>
        <v>86.5001707692308</v>
      </c>
      <c r="AS65" s="37">
        <f t="shared" si="15"/>
        <v>86.5</v>
      </c>
      <c r="AT65" s="40">
        <f>IF(OR(G65&lt;&gt;"入池",NOT(ISNUMBER(AS65))),"",COUNTIFS($G$17:$G$99,"入池",$AS$17:$AS$99,"&gt;"&amp;AS65)+COUNTIFS($G$17:$G$99,"入池",$AS$17:$AS$99,AS65,$AQ$17:$AQ$99,"&gt;"&amp;AQ65)+COUNTIFS($G$17:G65,"入池",$AS$17:AS65,AS65,$AQ$17:AQ65,AQ65))</f>
        <v>7</v>
      </c>
      <c r="AU65" s="46" t="str">
        <f>IF(NOT(ISNUMBER(I65)),"管理人规模；","")&amp;IF(NOT(ISNUMBER(K65)),"产品规模标识；","")&amp;IF(NOT(ISNUMBER(M65)),"近一年收益；","")&amp;IF(NOT(ISNUMBER(T65)),"近一年胜率；","")&amp;IF(NOT(ISNUMBER(N65)),"近三年收益；","")&amp;IF(NOT(ISNUMBER(U65)),"近三年胜率；","")&amp;IF(NOT(ISNUMBER(AA65)),"近三年回撤；","")&amp;IF(NOT(ISNUMBER(AD65)),"近一年卡玛；","")&amp;IF(ISNUMBER(F65),IF(AND(F65&lt;'Sheet1-指标体系'!$J$16,NOT(ISNUMBER(O65))),"成立以来年化；",""),"成立日期；")&amp;IF(ISNUMBER(V65),IF(OR(V65&lt;0,V65&gt;1),"胜率窗口口径不一致；",""),"")&amp;IF(ISNUMBER(P65),IF(NOT(ISNUMBER(AE65)),"DD_long不可识别；",""),"")</f>
        <v/>
      </c>
      <c r="AV65" s="37">
        <f>IF(ABS(SUM(CA65:CK65)-'Sheet1-指标体系'!$J$25)&lt;0.0000000001,SUM(BP65:BZ65),"")</f>
        <v>86.5001707692308</v>
      </c>
      <c r="AW65" s="36" t="str">
        <f>IF(G65&lt;&gt;"入池",G65,IF(AQ65=0,"无有效评分数据",IF(ROUND(AQ65,10)=ROUND('Sheet1-指标体系'!$J$25,10),"完整赋分","暂定分／数据不完整")))</f>
        <v>完整赋分</v>
      </c>
      <c r="AX65" s="22" t="str">
        <f>IF('Sheet4-原始数据'!C50="","",'Sheet4-原始数据'!C50)</f>
        <v>套利策略</v>
      </c>
      <c r="AY65" s="22" t="str">
        <f>IF('Sheet4-原始数据'!D50="","",'Sheet4-原始数据'!D50)</f>
        <v>期货套利</v>
      </c>
      <c r="AZ65" s="22" t="str">
        <f>IF('Sheet5-查询核对'!S50="","",'Sheet5-查询核对'!S50)</f>
        <v>套利策略—期货套利</v>
      </c>
      <c r="BA65" s="25">
        <f>IF('Sheet5-查询核对'!A50="","",'Sheet5-查询核对'!A50)</f>
        <v>50</v>
      </c>
      <c r="BB65" s="22" t="str">
        <f>IF('Sheet5-查询核对'!F50="","",'Sheet5-查询核对'!F50)</f>
        <v>备案号匹配</v>
      </c>
      <c r="BC65" s="24" t="str">
        <f>IF('Sheet5-查询核对'!I50="","",'Sheet5-查询核对'!I50)</f>
        <v>https://mp.fof99.com/fund/view/47e9165a9812665a</v>
      </c>
      <c r="BD65" s="23">
        <f>IF('Sheet5-查询核对'!H50="","",'Sheet5-查询核对'!H50)</f>
        <v>46269</v>
      </c>
      <c r="BE65" s="24" t="str">
        <f>IF('Sheet5-查询核对'!L50="","",'Sheet5-查询核对'!L50)</f>
        <v>https://gs.amac.org.cn/amac-infodisc/res/pof/manager/1809041559102185.html</v>
      </c>
      <c r="BF65" s="23">
        <f>IF('Sheet5-查询核对'!M50="","",'Sheet5-查询核对'!M50)</f>
        <v>46276</v>
      </c>
      <c r="BG65" s="24" t="str">
        <f>IF('Sheet5-查询核对'!O50="","",'Sheet5-查询核对'!O50)</f>
        <v>https://gs.amac.org.cn/amac-infodisc/res/pof/fund/1902010925104002.html</v>
      </c>
      <c r="BH65" s="23">
        <f>IF('Sheet5-查询核对'!P50="","",'Sheet5-查询核对'!P50)</f>
        <v>46276</v>
      </c>
      <c r="BI65" s="22" t="str">
        <f>IF('Sheet5-查询核对'!D50="","",'Sheet5-查询核对'!D50)</f>
        <v>SEV580</v>
      </c>
      <c r="BJ65">
        <f>IF(ISNUMBER(AT65),AT65,COUNT($AT$17:$AT$99)+ROWS($AT$17:AT65)-COUNT($AT$17:AT65))</f>
        <v>7</v>
      </c>
      <c r="BK65" s="2">
        <f t="shared" si="16"/>
        <v>1</v>
      </c>
      <c r="BL65" s="2">
        <f t="shared" si="17"/>
        <v>1</v>
      </c>
      <c r="BM65" s="2">
        <f t="shared" si="18"/>
        <v>1</v>
      </c>
      <c r="BN65" s="2">
        <f t="shared" si="19"/>
        <v>1</v>
      </c>
      <c r="BO65" s="2">
        <f t="shared" si="20"/>
        <v>1</v>
      </c>
      <c r="BP65" s="48">
        <f>IF(G65="入池",IF(ISNUMBER(I65),I65*('Sheet1-指标体系'!$G$4),0),0)</f>
        <v>3.6</v>
      </c>
      <c r="BQ65" s="48">
        <f>IF(G65="入池",IF(ISNUMBER(K65),K65*('Sheet1-指标体系'!$G$5),0),0)</f>
        <v>4.5</v>
      </c>
      <c r="BR65" s="48">
        <f>IF(G65="入池",IF(ISNUMBER(L65),L65*('Sheet1-指标体系'!$G$6),0),0)</f>
        <v>4.5</v>
      </c>
      <c r="BS65" s="48">
        <f>IF(G65="入池",IF(ISNUMBER(Q65),Q65*('Sheet1-指标体系'!$G$7*'Sheet1-指标体系'!$J$8),0),0)</f>
        <v>6.65028</v>
      </c>
      <c r="BT65" s="48">
        <f>IF(G65="入池",IF(ISNUMBER(R65),R65*('Sheet1-指标体系'!$G$7*'Sheet1-指标体系'!$J$9),0),0)</f>
        <v>4.24256</v>
      </c>
      <c r="BU65" s="48">
        <f>IF(G65="入池",IF(ISNUMBER(W65),W65*('Sheet1-指标体系'!$G$8*'Sheet1-指标体系'!$J$8),0),0)</f>
        <v>2.76923076923077</v>
      </c>
      <c r="BV65" s="48">
        <f>IF(G65="入池",IF(ISNUMBER(X65),X65*('Sheet1-指标体系'!$G$8*'Sheet1-指标体系'!$J$9),0),0)</f>
        <v>1.9</v>
      </c>
      <c r="BW65" s="48">
        <f>IF(G65="入池",IF(ISNUMBER(AC65),AC65*('Sheet1-指标体系'!$G$9),0),0)</f>
        <v>21.6225</v>
      </c>
      <c r="BX65" s="48">
        <f>IF(G65="入池",IF(ISNUMBER(AG65),AG65*('Sheet1-指标体系'!$G$10*'Sheet1-指标体系'!$J$8),0),0)</f>
        <v>15.4656</v>
      </c>
      <c r="BY65" s="48">
        <f>IF(G65="入池",IF(ISNUMBER(AH65),AH65*('Sheet1-指标体系'!$G$10*'Sheet1-指标体系'!$J$9),0),0)</f>
        <v>11.25</v>
      </c>
      <c r="BZ65" s="48">
        <f>IF(G65="入池",IF(ISNUMBER(AK65),AK65*('Sheet1-指标体系'!$G$11),0),0)</f>
        <v>10</v>
      </c>
      <c r="CA65" s="49">
        <f>IF(G65="入池",IF(ISNUMBER(I65),'Sheet1-指标体系'!$G$4,0),0)</f>
        <v>0.06</v>
      </c>
      <c r="CB65" s="49">
        <f>IF(G65="入池",IF(ISNUMBER(K65),'Sheet1-指标体系'!$G$5,0),0)</f>
        <v>0.045</v>
      </c>
      <c r="CC65" s="49">
        <f>IF(G65="入池",IF(ISNUMBER(L65),'Sheet1-指标体系'!$G$6,0),0)</f>
        <v>0.045</v>
      </c>
      <c r="CD65" s="49">
        <f>IF(G65="入池",IF(ISNUMBER(Q65),'Sheet1-指标体系'!$G$7*'Sheet1-指标体系'!$J$8,0),0)</f>
        <v>0.084</v>
      </c>
      <c r="CE65" s="49">
        <f>IF(G65="入池",IF(ISNUMBER(R65),'Sheet1-指标体系'!$G$7*'Sheet1-指标体系'!$J$9,0),0)</f>
        <v>0.056</v>
      </c>
      <c r="CF65" s="49">
        <f>IF(G65="入池",IF(ISNUMBER(W65),'Sheet1-指标体系'!$G$8*'Sheet1-指标体系'!$J$8,0),0)</f>
        <v>0.036</v>
      </c>
      <c r="CG65" s="49">
        <f>IF(G65="入池",IF(ISNUMBER(X65),'Sheet1-指标体系'!$G$8*'Sheet1-指标体系'!$J$9,0),0)</f>
        <v>0.024</v>
      </c>
      <c r="CH65" s="49">
        <f>IF(G65="入池",IF(ISNUMBER(AC65),'Sheet1-指标体系'!$G$9,0),0)</f>
        <v>0.25</v>
      </c>
      <c r="CI65" s="49">
        <f>IF(G65="入池",IF(ISNUMBER(AG65),'Sheet1-指标体系'!$G$10*'Sheet1-指标体系'!$J$8,0),0)</f>
        <v>0.18</v>
      </c>
      <c r="CJ65" s="49">
        <f>IF(G65="入池",IF(ISNUMBER(AH65),'Sheet1-指标体系'!$G$10*'Sheet1-指标体系'!$J$9,0),0)</f>
        <v>0.12</v>
      </c>
      <c r="CK65" s="49">
        <f>IF(G65="入池",IF(ISNUMBER(AK65),'Sheet1-指标体系'!$G$11,0),0)</f>
        <v>0.1</v>
      </c>
    </row>
    <row r="66" ht="44" customHeight="1" spans="1:89">
      <c r="A66" s="40">
        <f>'Sheet5-查询核对'!A51-1</f>
        <v>50</v>
      </c>
      <c r="B66" s="24" t="str">
        <f>IF('Sheet4-原始数据'!A51="",'Sheet5-查询核对'!B51,'Sheet4-原始数据'!A51)</f>
        <v>融昊青松CTA套利一号</v>
      </c>
      <c r="C66" s="22" t="str">
        <f>IF('Sheet4-原始数据'!B51="","",'Sheet4-原始数据'!B51)</f>
        <v>S09735</v>
      </c>
      <c r="D66" s="22" t="str">
        <f>IF('Sheet4-原始数据'!E51="","",'Sheet4-原始数据'!E51)</f>
        <v>上海融昊投资</v>
      </c>
      <c r="E66" s="23">
        <f>IF('Sheet4-原始数据'!F51="","",'Sheet4-原始数据'!F51)</f>
        <v>45064</v>
      </c>
      <c r="F66" s="37">
        <f>IF(ISNUMBER(E66),ROUND(('Sheet1-指标体系'!$J$12-E66)/'Sheet1-指标体系'!$J$14,4),"")</f>
        <v>3.3155</v>
      </c>
      <c r="G66" s="36" t="str">
        <f>IF(C66="","未匹配",IF(NOT(ISNUMBER(F66)),"缺成立日期",IF(F66&lt;'Sheet1-指标体系'!$J$15,"不入池","入池")))</f>
        <v>入池</v>
      </c>
      <c r="H66" s="22" t="str">
        <f>IF('Sheet5-查询核对'!K51="","",'Sheet5-查询核对'!K51)</f>
        <v>10-20亿元</v>
      </c>
      <c r="I66" s="37">
        <f>IF(H66="","",IF(COUNTIF('Sheet1-指标体系'!$P$4:$P$10,H66)=0,"",INDEX('Sheet1-指标体系'!$Q$4:$Q$10,MATCH(H66,'Sheet1-指标体系'!$P$4:$P$10,0))))</f>
        <v>80</v>
      </c>
      <c r="J66" s="44" t="str">
        <f>IF(NOT(ISNUMBER('Sheet5-查询核对'!N51)),"",IF('Sheet5-查询核对'!N51=1,"低于"&amp;'Sheet1-指标体系'!$J$4&amp;"万元",IF('Sheet5-查询核对'!N51=0,"无低于"&amp;'Sheet1-指标体系'!$J$4&amp;"万元标识","")))</f>
        <v>无低于1000万元标识</v>
      </c>
      <c r="K66" s="37">
        <f>IF(NOT(ISNUMBER('Sheet5-查询核对'!N51)),"",IF('Sheet5-查询核对'!N51=1,'Sheet1-指标体系'!$J$21,IF('Sheet5-查询核对'!N51=0,'Sheet1-指标体系'!$J$18,"")))</f>
        <v>100</v>
      </c>
      <c r="L66" s="37">
        <f>IF(NOT(ISNUMBER(F66)),"",IF(F66&lt;'Sheet1-指标体系'!$J$15,"",IF(F66&lt;'Sheet1-指标体系'!$J$16,'Sheet1-指标体系'!$J$17,'Sheet1-指标体系'!$J$18)))</f>
        <v>100</v>
      </c>
      <c r="M66" s="26">
        <f>IF(ISNUMBER('Sheet4-原始数据'!G51),'Sheet4-原始数据'!G51,"")</f>
        <v>0.0945</v>
      </c>
      <c r="N66" s="26">
        <f>IF(ISNUMBER('Sheet4-原始数据'!H51),'Sheet4-原始数据'!H51,"")</f>
        <v>0.1009</v>
      </c>
      <c r="O66" s="26">
        <f>IF(ISNUMBER('Sheet5-查询核对'!Q51),'Sheet5-查询核对'!Q51,"")</f>
        <v>0.0924</v>
      </c>
      <c r="P66" s="45">
        <f>IF(G66&lt;&gt;"入池","",IF(F66&gt;='Sheet1-指标体系'!$J$16,IF(AND(ISNUMBER(M66),ISNUMBER(N66)),IF(AND(1+M66&gt;0,1+N66&gt;=0),((1+N66)^'Sheet1-指标体系'!$J$16/(1+M66))^(1/('Sheet1-指标体系'!$J$16-1))-1,""),""),IF(AND(ISNUMBER(M66),ISNUMBER(O66)),IF(AND(F66&gt;1,1+M66&gt;0,1+O66&gt;=0),((1+O66)^F66/(1+M66))^(1/(F66-1))-1,""),"")))</f>
        <v>0.104114020158371</v>
      </c>
      <c r="Q66" s="37">
        <f t="shared" si="0"/>
        <v>59.72</v>
      </c>
      <c r="R66" s="37">
        <f t="shared" si="1"/>
        <v>72.73</v>
      </c>
      <c r="S66" s="37">
        <f>IF(ISNUMBER(Q66),IF(ISNUMBER(R66),ROUND(Q66*'Sheet1-指标体系'!$J$8+R66*'Sheet1-指标体系'!$J$9,2),Q66),"")</f>
        <v>64.92</v>
      </c>
      <c r="T66" s="26">
        <f>IF(ISNUMBER('Sheet4-原始数据'!J51),'Sheet4-原始数据'!J51,"")</f>
        <v>0.8462</v>
      </c>
      <c r="U66" s="26">
        <f>IF(ISNUMBER('Sheet4-原始数据'!I51),'Sheet4-原始数据'!I51,"")</f>
        <v>0.7838</v>
      </c>
      <c r="V66" s="45">
        <f>IF(AND(ISNUMBER(T66),ISNUMBER(U66)),(U66*'Sheet1-指标体系'!$J$6-T66*'Sheet1-指标体系'!$J$5)/'Sheet1-指标体系'!$J$7,"")</f>
        <v>0.75</v>
      </c>
      <c r="W66" s="37">
        <f t="shared" si="2"/>
        <v>84.62</v>
      </c>
      <c r="X66" s="37">
        <f>IF(G66&lt;&gt;"入池","",IF(ISNUMBER(V66),IF(AND(V66&gt;=0,V66&lt;=1),V66*'Sheet1-指标体系'!$J$18,IF(MAX(0,(F66-'Sheet1-指标体系'!$J$15)*'Sheet1-指标体系'!$J$20)&lt;'Sheet1-指标体系'!$J$19,'Sheet1-指标体系'!$J$18,"")),IF(MAX(0,(F66-'Sheet1-指标体系'!$J$15)*'Sheet1-指标体系'!$J$20)&lt;'Sheet1-指标体系'!$J$19,'Sheet1-指标体系'!$J$18,"")))</f>
        <v>75</v>
      </c>
      <c r="Y66" s="37">
        <f>IF(ISNUMBER(W66),IF(ISNUMBER(X66),ROUND(W66*'Sheet1-指标体系'!$J$8+X66*'Sheet1-指标体系'!$J$9,2),W66),"")</f>
        <v>80.77</v>
      </c>
      <c r="Z66" s="45">
        <f t="shared" si="3"/>
        <v>0.016419077404222</v>
      </c>
      <c r="AA66" s="26">
        <f>IF(ISNUMBER('Sheet4-原始数据'!K51),'Sheet4-原始数据'!K51,"")</f>
        <v>0.0362</v>
      </c>
      <c r="AB66" s="45">
        <f t="shared" si="4"/>
        <v>0.0362</v>
      </c>
      <c r="AC66" s="37">
        <f t="shared" si="5"/>
        <v>33.78</v>
      </c>
      <c r="AD66" s="30">
        <f>IF(ISNUMBER('Sheet4-原始数据'!M51),'Sheet4-原始数据'!M51,"")</f>
        <v>5.7555</v>
      </c>
      <c r="AE66" s="45">
        <f>IF(AND(ISNUMBER(P66),ISNUMBER(AA66),ISNUMBER(Z66)),IF(AA66&gt;Z66+'Sheet1-指标体系'!$J$11,AA66,""),"")</f>
        <v>0.0362</v>
      </c>
      <c r="AF66" s="37">
        <f t="shared" si="6"/>
        <v>2.87607790492736</v>
      </c>
      <c r="AG66" s="37">
        <f t="shared" si="7"/>
        <v>36.62</v>
      </c>
      <c r="AH66" s="37">
        <f t="shared" si="8"/>
        <v>50</v>
      </c>
      <c r="AI66" s="37">
        <f>IF(ISNUMBER(AG66),IF(ISNUMBER(AH66),ROUND(AG66*'Sheet1-指标体系'!$J$8+AH66*'Sheet1-指标体系'!$J$9,2),AG66),"")</f>
        <v>41.97</v>
      </c>
      <c r="AJ66" s="45">
        <f>IF(NOT(ISNUMBER(F66)),"",IF(F66&gt;='Sheet1-指标体系'!$J$16,IF(ISNUMBER(N66),N66,""),IF(ISNUMBER(O66),O66,"")))</f>
        <v>0.1009</v>
      </c>
      <c r="AK66" s="37">
        <f>IF(AND(G66="入池",ISNUMBER(M66),ISNUMBER(AJ66)),IF(M66&gt;=AJ66,'Sheet1-指标体系'!$J$18,IF(AJ66-M66&lt;'Sheet1-指标体系'!$J$10,'Sheet1-指标体系'!$J$22,'Sheet1-指标体系'!$J$23)),"")</f>
        <v>80</v>
      </c>
      <c r="AL66" s="37">
        <f>IF((IF(ISNUMBER(I66),'Sheet1-指标体系'!$G$4,0)+IF(ISNUMBER(K66),'Sheet1-指标体系'!$G$5,0)+IF(ISNUMBER(L66),'Sheet1-指标体系'!$G$6,0))&gt;0,ROUND((IF(ISNUMBER(I66),I66*'Sheet1-指标体系'!$G$4,0)+IF(ISNUMBER(K66),K66*'Sheet1-指标体系'!$G$5,0)+IF(ISNUMBER(L66),L66*'Sheet1-指标体系'!$G$6,0))/(IF(ISNUMBER(I66),'Sheet1-指标体系'!$G$4,0)+IF(ISNUMBER(K66),'Sheet1-指标体系'!$G$5,0)+IF(ISNUMBER(L66),'Sheet1-指标体系'!$G$6,0)),2),"")</f>
        <v>92</v>
      </c>
      <c r="AM66" s="37">
        <f t="shared" si="9"/>
        <v>69.68</v>
      </c>
      <c r="AN66" s="37">
        <f t="shared" si="10"/>
        <v>33.78</v>
      </c>
      <c r="AO66" s="37">
        <f t="shared" si="11"/>
        <v>41.97</v>
      </c>
      <c r="AP66" s="37">
        <f t="shared" si="12"/>
        <v>80</v>
      </c>
      <c r="AQ66" s="38">
        <f t="shared" si="13"/>
        <v>1</v>
      </c>
      <c r="AR66" s="37">
        <f t="shared" si="14"/>
        <v>56.77228</v>
      </c>
      <c r="AS66" s="37">
        <f t="shared" si="15"/>
        <v>56.77</v>
      </c>
      <c r="AT66" s="40">
        <f>IF(OR(G66&lt;&gt;"入池",NOT(ISNUMBER(AS66))),"",COUNTIFS($G$17:$G$99,"入池",$AS$17:$AS$99,"&gt;"&amp;AS66)+COUNTIFS($G$17:$G$99,"入池",$AS$17:$AS$99,AS66,$AQ$17:$AQ$99,"&gt;"&amp;AQ66)+COUNTIFS($G$17:G66,"入池",$AS$17:AS66,AS66,$AQ$17:AQ66,AQ66))</f>
        <v>47</v>
      </c>
      <c r="AU66" s="46" t="str">
        <f>IF(NOT(ISNUMBER(I66)),"管理人规模；","")&amp;IF(NOT(ISNUMBER(K66)),"产品规模标识；","")&amp;IF(NOT(ISNUMBER(M66)),"近一年收益；","")&amp;IF(NOT(ISNUMBER(T66)),"近一年胜率；","")&amp;IF(NOT(ISNUMBER(N66)),"近三年收益；","")&amp;IF(NOT(ISNUMBER(U66)),"近三年胜率；","")&amp;IF(NOT(ISNUMBER(AA66)),"近三年回撤；","")&amp;IF(NOT(ISNUMBER(AD66)),"近一年卡玛；","")&amp;IF(ISNUMBER(F66),IF(AND(F66&lt;'Sheet1-指标体系'!$J$16,NOT(ISNUMBER(O66))),"成立以来年化；",""),"成立日期；")&amp;IF(ISNUMBER(V66),IF(OR(V66&lt;0,V66&gt;1),"胜率窗口口径不一致；",""),"")&amp;IF(ISNUMBER(P66),IF(NOT(ISNUMBER(AE66)),"DD_long不可识别；",""),"")</f>
        <v/>
      </c>
      <c r="AV66" s="37">
        <f>IF(ABS(SUM(CA66:CK66)-'Sheet1-指标体系'!$J$25)&lt;0.0000000001,SUM(BP66:BZ66),"")</f>
        <v>56.77228</v>
      </c>
      <c r="AW66" s="36" t="str">
        <f>IF(G66&lt;&gt;"入池",G66,IF(AQ66=0,"无有效评分数据",IF(ROUND(AQ66,10)=ROUND('Sheet1-指标体系'!$J$25,10),"完整赋分","暂定分／数据不完整")))</f>
        <v>完整赋分</v>
      </c>
      <c r="AX66" s="22" t="str">
        <f>IF('Sheet4-原始数据'!C51="","",'Sheet4-原始数据'!C51)</f>
        <v>期货策略</v>
      </c>
      <c r="AY66" s="22" t="str">
        <f>IF('Sheet4-原始数据'!D51="","",'Sheet4-原始数据'!D51)</f>
        <v>主观期货</v>
      </c>
      <c r="AZ66" s="22" t="str">
        <f>IF('Sheet5-查询核对'!S51="","",'Sheet5-查询核对'!S51)</f>
        <v>管理期货—主观CTA</v>
      </c>
      <c r="BA66" s="25">
        <f>IF('Sheet5-查询核对'!A51="","",'Sheet5-查询核对'!A51)</f>
        <v>51</v>
      </c>
      <c r="BB66" s="22" t="str">
        <f>IF('Sheet5-查询核对'!F51="","",'Sheet5-查询核对'!F51)</f>
        <v>备案号匹配</v>
      </c>
      <c r="BC66" s="24" t="str">
        <f>IF('Sheet5-查询核对'!I51="","",'Sheet5-查询核对'!I51)</f>
        <v>https://mp.fof99.com/fund/view/a88265fe21033296</v>
      </c>
      <c r="BD66" s="23">
        <f>IF('Sheet5-查询核对'!H51="","",'Sheet5-查询核对'!H51)</f>
        <v>46269</v>
      </c>
      <c r="BE66" s="24" t="str">
        <f>IF('Sheet5-查询核对'!L51="","",'Sheet5-查询核对'!L51)</f>
        <v>https://gs.amac.org.cn/amac-infodisc/res/pof/manager/101000008109.html</v>
      </c>
      <c r="BF66" s="23">
        <f>IF('Sheet5-查询核对'!M51="","",'Sheet5-查询核对'!M51)</f>
        <v>46276</v>
      </c>
      <c r="BG66" s="24" t="str">
        <f>IF('Sheet5-查询核对'!O51="","",'Sheet5-查询核对'!O51)</f>
        <v>https://gs.amac.org.cn/amac-infodisc/res/pof/fund/2305231100107580.html</v>
      </c>
      <c r="BH66" s="23">
        <f>IF('Sheet5-查询核对'!P51="","",'Sheet5-查询核对'!P51)</f>
        <v>46276</v>
      </c>
      <c r="BI66" s="22" t="str">
        <f>IF('Sheet5-查询核对'!D51="","",'Sheet5-查询核对'!D51)</f>
        <v>S09735</v>
      </c>
      <c r="BJ66">
        <f>IF(ISNUMBER(AT66),AT66,COUNT($AT$17:$AT$99)+ROWS($AT$17:AT66)-COUNT($AT$17:AT66))</f>
        <v>47</v>
      </c>
      <c r="BK66" s="2">
        <f t="shared" si="16"/>
        <v>1</v>
      </c>
      <c r="BL66" s="2">
        <f t="shared" si="17"/>
        <v>1</v>
      </c>
      <c r="BM66" s="2">
        <f t="shared" si="18"/>
        <v>1</v>
      </c>
      <c r="BN66" s="2">
        <f t="shared" si="19"/>
        <v>1</v>
      </c>
      <c r="BO66" s="2">
        <f t="shared" si="20"/>
        <v>1</v>
      </c>
      <c r="BP66" s="48">
        <f>IF(G66="入池",IF(ISNUMBER(I66),I66*('Sheet1-指标体系'!$G$4),0),0)</f>
        <v>4.8</v>
      </c>
      <c r="BQ66" s="48">
        <f>IF(G66="入池",IF(ISNUMBER(K66),K66*('Sheet1-指标体系'!$G$5),0),0)</f>
        <v>4.5</v>
      </c>
      <c r="BR66" s="48">
        <f>IF(G66="入池",IF(ISNUMBER(L66),L66*('Sheet1-指标体系'!$G$6),0),0)</f>
        <v>4.5</v>
      </c>
      <c r="BS66" s="48">
        <f>IF(G66="入池",IF(ISNUMBER(Q66),Q66*('Sheet1-指标体系'!$G$7*'Sheet1-指标体系'!$J$8),0),0)</f>
        <v>5.01648</v>
      </c>
      <c r="BT66" s="48">
        <f>IF(G66="入池",IF(ISNUMBER(R66),R66*('Sheet1-指标体系'!$G$7*'Sheet1-指标体系'!$J$9),0),0)</f>
        <v>4.07288</v>
      </c>
      <c r="BU66" s="48">
        <f>IF(G66="入池",IF(ISNUMBER(W66),W66*('Sheet1-指标体系'!$G$8*'Sheet1-指标体系'!$J$8),0),0)</f>
        <v>3.04632</v>
      </c>
      <c r="BV66" s="48">
        <f>IF(G66="入池",IF(ISNUMBER(X66),X66*('Sheet1-指标体系'!$G$8*'Sheet1-指标体系'!$J$9),0),0)</f>
        <v>1.8</v>
      </c>
      <c r="BW66" s="48">
        <f>IF(G66="入池",IF(ISNUMBER(AC66),AC66*('Sheet1-指标体系'!$G$9),0),0)</f>
        <v>8.445</v>
      </c>
      <c r="BX66" s="48">
        <f>IF(G66="入池",IF(ISNUMBER(AG66),AG66*('Sheet1-指标体系'!$G$10*'Sheet1-指标体系'!$J$8),0),0)</f>
        <v>6.5916</v>
      </c>
      <c r="BY66" s="48">
        <f>IF(G66="入池",IF(ISNUMBER(AH66),AH66*('Sheet1-指标体系'!$G$10*'Sheet1-指标体系'!$J$9),0),0)</f>
        <v>6</v>
      </c>
      <c r="BZ66" s="48">
        <f>IF(G66="入池",IF(ISNUMBER(AK66),AK66*('Sheet1-指标体系'!$G$11),0),0)</f>
        <v>8</v>
      </c>
      <c r="CA66" s="49">
        <f>IF(G66="入池",IF(ISNUMBER(I66),'Sheet1-指标体系'!$G$4,0),0)</f>
        <v>0.06</v>
      </c>
      <c r="CB66" s="49">
        <f>IF(G66="入池",IF(ISNUMBER(K66),'Sheet1-指标体系'!$G$5,0),0)</f>
        <v>0.045</v>
      </c>
      <c r="CC66" s="49">
        <f>IF(G66="入池",IF(ISNUMBER(L66),'Sheet1-指标体系'!$G$6,0),0)</f>
        <v>0.045</v>
      </c>
      <c r="CD66" s="49">
        <f>IF(G66="入池",IF(ISNUMBER(Q66),'Sheet1-指标体系'!$G$7*'Sheet1-指标体系'!$J$8,0),0)</f>
        <v>0.084</v>
      </c>
      <c r="CE66" s="49">
        <f>IF(G66="入池",IF(ISNUMBER(R66),'Sheet1-指标体系'!$G$7*'Sheet1-指标体系'!$J$9,0),0)</f>
        <v>0.056</v>
      </c>
      <c r="CF66" s="49">
        <f>IF(G66="入池",IF(ISNUMBER(W66),'Sheet1-指标体系'!$G$8*'Sheet1-指标体系'!$J$8,0),0)</f>
        <v>0.036</v>
      </c>
      <c r="CG66" s="49">
        <f>IF(G66="入池",IF(ISNUMBER(X66),'Sheet1-指标体系'!$G$8*'Sheet1-指标体系'!$J$9,0),0)</f>
        <v>0.024</v>
      </c>
      <c r="CH66" s="49">
        <f>IF(G66="入池",IF(ISNUMBER(AC66),'Sheet1-指标体系'!$G$9,0),0)</f>
        <v>0.25</v>
      </c>
      <c r="CI66" s="49">
        <f>IF(G66="入池",IF(ISNUMBER(AG66),'Sheet1-指标体系'!$G$10*'Sheet1-指标体系'!$J$8,0),0)</f>
        <v>0.18</v>
      </c>
      <c r="CJ66" s="49">
        <f>IF(G66="入池",IF(ISNUMBER(AH66),'Sheet1-指标体系'!$G$10*'Sheet1-指标体系'!$J$9,0),0)</f>
        <v>0.12</v>
      </c>
      <c r="CK66" s="49">
        <f>IF(G66="入池",IF(ISNUMBER(AK66),'Sheet1-指标体系'!$G$11,0),0)</f>
        <v>0.1</v>
      </c>
    </row>
    <row r="67" ht="44" customHeight="1" spans="1:89">
      <c r="A67" s="40">
        <f>'Sheet5-查询核对'!A52-1</f>
        <v>51</v>
      </c>
      <c r="B67" s="24" t="str">
        <f>IF('Sheet4-原始数据'!A52="",'Sheet5-查询核对'!B52,'Sheet4-原始数据'!A52)</f>
        <v>锐耐复利倍增2号C类</v>
      </c>
      <c r="C67" s="22" t="str">
        <f>IF('Sheet4-原始数据'!B52="","",'Sheet4-原始数据'!B52)</f>
        <v>XV513C</v>
      </c>
      <c r="D67" s="22" t="str">
        <f>IF('Sheet4-原始数据'!E52="","",'Sheet4-原始数据'!E52)</f>
        <v>上海锐耐</v>
      </c>
      <c r="E67" s="23">
        <f>IF('Sheet4-原始数据'!F52="","",'Sheet4-原始数据'!F52)</f>
        <v>44893</v>
      </c>
      <c r="F67" s="37">
        <f>IF(ISNUMBER(E67),ROUND(('Sheet1-指标体系'!$J$12-E67)/'Sheet1-指标体系'!$J$14,4),"")</f>
        <v>3.7837</v>
      </c>
      <c r="G67" s="36" t="str">
        <f>IF(C67="","未匹配",IF(NOT(ISNUMBER(F67)),"缺成立日期",IF(F67&lt;'Sheet1-指标体系'!$J$15,"不入池","入池")))</f>
        <v>入池</v>
      </c>
      <c r="H67" s="22" t="str">
        <f>IF('Sheet5-查询核对'!K52="","",'Sheet5-查询核对'!K52)</f>
        <v>20-50亿元</v>
      </c>
      <c r="I67" s="37">
        <f>IF(H67="","",IF(COUNTIF('Sheet1-指标体系'!$P$4:$P$10,H67)=0,"",INDEX('Sheet1-指标体系'!$Q$4:$Q$10,MATCH(H67,'Sheet1-指标体系'!$P$4:$P$10,0))))</f>
        <v>90</v>
      </c>
      <c r="J67" s="44" t="str">
        <f>IF(NOT(ISNUMBER('Sheet5-查询核对'!N52)),"",IF('Sheet5-查询核对'!N52=1,"低于"&amp;'Sheet1-指标体系'!$J$4&amp;"万元",IF('Sheet5-查询核对'!N52=0,"无低于"&amp;'Sheet1-指标体系'!$J$4&amp;"万元标识","")))</f>
        <v/>
      </c>
      <c r="K67" s="37" t="str">
        <f>IF(NOT(ISNUMBER('Sheet5-查询核对'!N52)),"",IF('Sheet5-查询核对'!N52=1,'Sheet1-指标体系'!$J$21,IF('Sheet5-查询核对'!N52=0,'Sheet1-指标体系'!$J$18,"")))</f>
        <v/>
      </c>
      <c r="L67" s="37">
        <f>IF(NOT(ISNUMBER(F67)),"",IF(F67&lt;'Sheet1-指标体系'!$J$15,"",IF(F67&lt;'Sheet1-指标体系'!$J$16,'Sheet1-指标体系'!$J$17,'Sheet1-指标体系'!$J$18)))</f>
        <v>100</v>
      </c>
      <c r="M67" s="26" t="str">
        <f>IF(ISNUMBER('Sheet4-原始数据'!G52),'Sheet4-原始数据'!G52,"")</f>
        <v/>
      </c>
      <c r="N67" s="26" t="str">
        <f>IF(ISNUMBER('Sheet4-原始数据'!H52),'Sheet4-原始数据'!H52,"")</f>
        <v/>
      </c>
      <c r="O67" s="26" t="str">
        <f>IF(ISNUMBER('Sheet5-查询核对'!Q52),'Sheet5-查询核对'!Q52,"")</f>
        <v/>
      </c>
      <c r="P67" s="45" t="str">
        <f>IF(G67&lt;&gt;"入池","",IF(F67&gt;='Sheet1-指标体系'!$J$16,IF(AND(ISNUMBER(M67),ISNUMBER(N67)),IF(AND(1+M67&gt;0,1+N67&gt;=0),((1+N67)^'Sheet1-指标体系'!$J$16/(1+M67))^(1/('Sheet1-指标体系'!$J$16-1))-1,""),""),IF(AND(ISNUMBER(M67),ISNUMBER(O67)),IF(AND(F67&gt;1,1+M67&gt;0,1+O67&gt;=0),((1+O67)^F67/(1+M67))^(1/(F67-1))-1,""),"")))</f>
        <v/>
      </c>
      <c r="Q67" s="37" t="str">
        <f t="shared" si="0"/>
        <v/>
      </c>
      <c r="R67" s="37" t="str">
        <f t="shared" si="1"/>
        <v/>
      </c>
      <c r="S67" s="37" t="str">
        <f>IF(ISNUMBER(Q67),IF(ISNUMBER(R67),ROUND(Q67*'Sheet1-指标体系'!$J$8+R67*'Sheet1-指标体系'!$J$9,2),Q67),"")</f>
        <v/>
      </c>
      <c r="T67" s="26" t="str">
        <f>IF(ISNUMBER('Sheet4-原始数据'!J52),'Sheet4-原始数据'!J52,"")</f>
        <v/>
      </c>
      <c r="U67" s="26" t="str">
        <f>IF(ISNUMBER('Sheet4-原始数据'!I52),'Sheet4-原始数据'!I52,"")</f>
        <v/>
      </c>
      <c r="V67" s="45" t="str">
        <f>IF(AND(ISNUMBER(T67),ISNUMBER(U67)),(U67*'Sheet1-指标体系'!$J$6-T67*'Sheet1-指标体系'!$J$5)/'Sheet1-指标体系'!$J$7,"")</f>
        <v/>
      </c>
      <c r="W67" s="37" t="str">
        <f t="shared" si="2"/>
        <v/>
      </c>
      <c r="X67" s="37" t="str">
        <f>IF(G67&lt;&gt;"入池","",IF(ISNUMBER(V67),IF(AND(V67&gt;=0,V67&lt;=1),V67*'Sheet1-指标体系'!$J$18,IF(MAX(0,(F67-'Sheet1-指标体系'!$J$15)*'Sheet1-指标体系'!$J$20)&lt;'Sheet1-指标体系'!$J$19,'Sheet1-指标体系'!$J$18,"")),IF(MAX(0,(F67-'Sheet1-指标体系'!$J$15)*'Sheet1-指标体系'!$J$20)&lt;'Sheet1-指标体系'!$J$19,'Sheet1-指标体系'!$J$18,"")))</f>
        <v/>
      </c>
      <c r="Y67" s="37" t="str">
        <f>IF(ISNUMBER(W67),IF(ISNUMBER(X67),ROUND(W67*'Sheet1-指标体系'!$J$8+X67*'Sheet1-指标体系'!$J$9,2),W67),"")</f>
        <v/>
      </c>
      <c r="Z67" s="45" t="str">
        <f t="shared" si="3"/>
        <v/>
      </c>
      <c r="AA67" s="26" t="str">
        <f>IF(ISNUMBER('Sheet4-原始数据'!K52),'Sheet4-原始数据'!K52,"")</f>
        <v/>
      </c>
      <c r="AB67" s="45" t="str">
        <f t="shared" si="4"/>
        <v/>
      </c>
      <c r="AC67" s="37" t="str">
        <f t="shared" si="5"/>
        <v/>
      </c>
      <c r="AD67" s="30" t="str">
        <f>IF(ISNUMBER('Sheet4-原始数据'!M52),'Sheet4-原始数据'!M52,"")</f>
        <v/>
      </c>
      <c r="AE67" s="45" t="str">
        <f>IF(AND(ISNUMBER(P67),ISNUMBER(AA67),ISNUMBER(Z67)),IF(AA67&gt;Z67+'Sheet1-指标体系'!$J$11,AA67,""),"")</f>
        <v/>
      </c>
      <c r="AF67" s="37" t="str">
        <f t="shared" si="6"/>
        <v/>
      </c>
      <c r="AG67" s="37" t="str">
        <f t="shared" si="7"/>
        <v/>
      </c>
      <c r="AH67" s="37" t="str">
        <f t="shared" si="8"/>
        <v/>
      </c>
      <c r="AI67" s="37" t="str">
        <f>IF(ISNUMBER(AG67),IF(ISNUMBER(AH67),ROUND(AG67*'Sheet1-指标体系'!$J$8+AH67*'Sheet1-指标体系'!$J$9,2),AG67),"")</f>
        <v/>
      </c>
      <c r="AJ67" s="45" t="str">
        <f>IF(NOT(ISNUMBER(F67)),"",IF(F67&gt;='Sheet1-指标体系'!$J$16,IF(ISNUMBER(N67),N67,""),IF(ISNUMBER(O67),O67,"")))</f>
        <v/>
      </c>
      <c r="AK67" s="37" t="str">
        <f>IF(AND(G67="入池",ISNUMBER(M67),ISNUMBER(AJ67)),IF(M67&gt;=AJ67,'Sheet1-指标体系'!$J$18,IF(AJ67-M67&lt;'Sheet1-指标体系'!$J$10,'Sheet1-指标体系'!$J$22,'Sheet1-指标体系'!$J$23)),"")</f>
        <v/>
      </c>
      <c r="AL67" s="37">
        <f>IF((IF(ISNUMBER(I67),'Sheet1-指标体系'!$G$4,0)+IF(ISNUMBER(K67),'Sheet1-指标体系'!$G$5,0)+IF(ISNUMBER(L67),'Sheet1-指标体系'!$G$6,0))&gt;0,ROUND((IF(ISNUMBER(I67),I67*'Sheet1-指标体系'!$G$4,0)+IF(ISNUMBER(K67),K67*'Sheet1-指标体系'!$G$5,0)+IF(ISNUMBER(L67),L67*'Sheet1-指标体系'!$G$6,0))/(IF(ISNUMBER(I67),'Sheet1-指标体系'!$G$4,0)+IF(ISNUMBER(K67),'Sheet1-指标体系'!$G$5,0)+IF(ISNUMBER(L67),'Sheet1-指标体系'!$G$6,0)),2),"")</f>
        <v>94.29</v>
      </c>
      <c r="AM67" s="37" t="str">
        <f t="shared" si="9"/>
        <v/>
      </c>
      <c r="AN67" s="37" t="str">
        <f t="shared" si="10"/>
        <v/>
      </c>
      <c r="AO67" s="37" t="str">
        <f t="shared" si="11"/>
        <v/>
      </c>
      <c r="AP67" s="37" t="str">
        <f t="shared" si="12"/>
        <v/>
      </c>
      <c r="AQ67" s="38">
        <f t="shared" si="13"/>
        <v>0.105</v>
      </c>
      <c r="AR67" s="37">
        <f t="shared" si="14"/>
        <v>9.9</v>
      </c>
      <c r="AS67" s="37">
        <f t="shared" si="15"/>
        <v>94.29</v>
      </c>
      <c r="AT67" s="40">
        <f>IF(OR(G67&lt;&gt;"入池",NOT(ISNUMBER(AS67))),"",COUNTIFS($G$17:$G$99,"入池",$AS$17:$AS$99,"&gt;"&amp;AS67)+COUNTIFS($G$17:$G$99,"入池",$AS$17:$AS$99,AS67,$AQ$17:$AQ$99,"&gt;"&amp;AQ67)+COUNTIFS($G$17:G67,"入池",$AS$17:AS67,AS67,$AQ$17:AQ67,AQ67))</f>
        <v>1</v>
      </c>
      <c r="AU67" s="46" t="str">
        <f>IF(NOT(ISNUMBER(I67)),"管理人规模；","")&amp;IF(NOT(ISNUMBER(K67)),"产品规模标识；","")&amp;IF(NOT(ISNUMBER(M67)),"近一年收益；","")&amp;IF(NOT(ISNUMBER(T67)),"近一年胜率；","")&amp;IF(NOT(ISNUMBER(N67)),"近三年收益；","")&amp;IF(NOT(ISNUMBER(U67)),"近三年胜率；","")&amp;IF(NOT(ISNUMBER(AA67)),"近三年回撤；","")&amp;IF(NOT(ISNUMBER(AD67)),"近一年卡玛；","")&amp;IF(ISNUMBER(F67),IF(AND(F67&lt;'Sheet1-指标体系'!$J$16,NOT(ISNUMBER(O67))),"成立以来年化；",""),"成立日期；")&amp;IF(ISNUMBER(V67),IF(OR(V67&lt;0,V67&gt;1),"胜率窗口口径不一致；",""),"")&amp;IF(ISNUMBER(P67),IF(NOT(ISNUMBER(AE67)),"DD_long不可识别；",""),"")</f>
        <v>产品规模标识；近一年收益；近一年胜率；近三年收益；近三年胜率；近三年回撤；近一年卡玛；</v>
      </c>
      <c r="AV67" s="37" t="str">
        <f>IF(ABS(SUM(CA67:CK67)-'Sheet1-指标体系'!$J$25)&lt;0.0000000001,SUM(BP67:BZ67),"")</f>
        <v/>
      </c>
      <c r="AW67" s="36" t="str">
        <f>IF(G67&lt;&gt;"入池",G67,IF(AQ67=0,"无有效评分数据",IF(ROUND(AQ67,10)=ROUND('Sheet1-指标体系'!$J$25,10),"完整赋分","暂定分／数据不完整")))</f>
        <v>暂定分／数据不完整</v>
      </c>
      <c r="AX67" s="22" t="str">
        <f>IF('Sheet4-原始数据'!C52="","",'Sheet4-原始数据'!C52)</f>
        <v>套利策略</v>
      </c>
      <c r="AY67" s="22" t="str">
        <f>IF('Sheet4-原始数据'!D52="","",'Sheet4-原始数据'!D52)</f>
        <v>期货套利</v>
      </c>
      <c r="AZ67" s="22" t="str">
        <f>IF('Sheet5-查询核对'!S52="","",'Sheet5-查询核对'!S52)</f>
        <v>套利策略—期货套利</v>
      </c>
      <c r="BA67" s="25">
        <f>IF('Sheet5-查询核对'!A52="","",'Sheet5-查询核对'!A52)</f>
        <v>52</v>
      </c>
      <c r="BB67" s="22" t="str">
        <f>IF('Sheet5-查询核对'!F52="","",'Sheet5-查询核对'!F52)</f>
        <v>备案号匹配</v>
      </c>
      <c r="BC67" s="24" t="str">
        <f>IF('Sheet5-查询核对'!I52="","",'Sheet5-查询核对'!I52)</f>
        <v>https://mp.fof99.com/fund/view/31ef590a8e08938a</v>
      </c>
      <c r="BD67" s="23">
        <f>IF('Sheet5-查询核对'!H52="","",'Sheet5-查询核对'!H52)</f>
        <v>46269</v>
      </c>
      <c r="BE67" s="24" t="str">
        <f>IF('Sheet5-查询核对'!L52="","",'Sheet5-查询核对'!L52)</f>
        <v>https://gs.amac.org.cn/amac-infodisc/res/pof/manager/2011201413105709.html</v>
      </c>
      <c r="BF67" s="23">
        <f>IF('Sheet5-查询核对'!M52="","",'Sheet5-查询核对'!M52)</f>
        <v>46276</v>
      </c>
      <c r="BG67" s="24" t="str">
        <f>IF('Sheet5-查询核对'!O52="","",'Sheet5-查询核对'!O52)</f>
        <v>743</v>
      </c>
      <c r="BH67" s="23" t="str">
        <f>IF('Sheet5-查询核对'!P52="","",'Sheet5-查询核对'!P52)</f>
        <v/>
      </c>
      <c r="BI67" s="22" t="str">
        <f>IF('Sheet5-查询核对'!D52="","",'Sheet5-查询核对'!D52)</f>
        <v>XV513C</v>
      </c>
      <c r="BJ67">
        <f>IF(ISNUMBER(AT67),AT67,COUNT($AT$17:$AT$99)+ROWS($AT$17:AT67)-COUNT($AT$17:AT67))</f>
        <v>1</v>
      </c>
      <c r="BK67" s="2">
        <f t="shared" si="16"/>
        <v>0</v>
      </c>
      <c r="BL67" s="2">
        <f t="shared" si="17"/>
        <v>0</v>
      </c>
      <c r="BM67" s="2">
        <f t="shared" si="18"/>
        <v>0</v>
      </c>
      <c r="BN67" s="2">
        <f t="shared" si="19"/>
        <v>0</v>
      </c>
      <c r="BO67" s="2">
        <f t="shared" si="20"/>
        <v>0</v>
      </c>
      <c r="BP67" s="48">
        <f>IF(G67="入池",IF(ISNUMBER(I67),I67*('Sheet1-指标体系'!$G$4),0),0)</f>
        <v>5.4</v>
      </c>
      <c r="BQ67" s="48">
        <f>IF(G67="入池",IF(ISNUMBER(K67),K67*('Sheet1-指标体系'!$G$5),0),0)</f>
        <v>0</v>
      </c>
      <c r="BR67" s="48">
        <f>IF(G67="入池",IF(ISNUMBER(L67),L67*('Sheet1-指标体系'!$G$6),0),0)</f>
        <v>4.5</v>
      </c>
      <c r="BS67" s="48">
        <f>IF(G67="入池",IF(ISNUMBER(Q67),Q67*('Sheet1-指标体系'!$G$7*'Sheet1-指标体系'!$J$8),0),0)</f>
        <v>0</v>
      </c>
      <c r="BT67" s="48">
        <f>IF(G67="入池",IF(ISNUMBER(R67),R67*('Sheet1-指标体系'!$G$7*'Sheet1-指标体系'!$J$9),0),0)</f>
        <v>0</v>
      </c>
      <c r="BU67" s="48">
        <f>IF(G67="入池",IF(ISNUMBER(W67),W67*('Sheet1-指标体系'!$G$8*'Sheet1-指标体系'!$J$8),0),0)</f>
        <v>0</v>
      </c>
      <c r="BV67" s="48">
        <f>IF(G67="入池",IF(ISNUMBER(X67),X67*('Sheet1-指标体系'!$G$8*'Sheet1-指标体系'!$J$9),0),0)</f>
        <v>0</v>
      </c>
      <c r="BW67" s="48">
        <f>IF(G67="入池",IF(ISNUMBER(AC67),AC67*('Sheet1-指标体系'!$G$9),0),0)</f>
        <v>0</v>
      </c>
      <c r="BX67" s="48">
        <f>IF(G67="入池",IF(ISNUMBER(AG67),AG67*('Sheet1-指标体系'!$G$10*'Sheet1-指标体系'!$J$8),0),0)</f>
        <v>0</v>
      </c>
      <c r="BY67" s="48">
        <f>IF(G67="入池",IF(ISNUMBER(AH67),AH67*('Sheet1-指标体系'!$G$10*'Sheet1-指标体系'!$J$9),0),0)</f>
        <v>0</v>
      </c>
      <c r="BZ67" s="48">
        <f>IF(G67="入池",IF(ISNUMBER(AK67),AK67*('Sheet1-指标体系'!$G$11),0),0)</f>
        <v>0</v>
      </c>
      <c r="CA67" s="49">
        <f>IF(G67="入池",IF(ISNUMBER(I67),'Sheet1-指标体系'!$G$4,0),0)</f>
        <v>0.06</v>
      </c>
      <c r="CB67" s="49">
        <f>IF(G67="入池",IF(ISNUMBER(K67),'Sheet1-指标体系'!$G$5,0),0)</f>
        <v>0</v>
      </c>
      <c r="CC67" s="49">
        <f>IF(G67="入池",IF(ISNUMBER(L67),'Sheet1-指标体系'!$G$6,0),0)</f>
        <v>0.045</v>
      </c>
      <c r="CD67" s="49">
        <f>IF(G67="入池",IF(ISNUMBER(Q67),'Sheet1-指标体系'!$G$7*'Sheet1-指标体系'!$J$8,0),0)</f>
        <v>0</v>
      </c>
      <c r="CE67" s="49">
        <f>IF(G67="入池",IF(ISNUMBER(R67),'Sheet1-指标体系'!$G$7*'Sheet1-指标体系'!$J$9,0),0)</f>
        <v>0</v>
      </c>
      <c r="CF67" s="49">
        <f>IF(G67="入池",IF(ISNUMBER(W67),'Sheet1-指标体系'!$G$8*'Sheet1-指标体系'!$J$8,0),0)</f>
        <v>0</v>
      </c>
      <c r="CG67" s="49">
        <f>IF(G67="入池",IF(ISNUMBER(X67),'Sheet1-指标体系'!$G$8*'Sheet1-指标体系'!$J$9,0),0)</f>
        <v>0</v>
      </c>
      <c r="CH67" s="49">
        <f>IF(G67="入池",IF(ISNUMBER(AC67),'Sheet1-指标体系'!$G$9,0),0)</f>
        <v>0</v>
      </c>
      <c r="CI67" s="49">
        <f>IF(G67="入池",IF(ISNUMBER(AG67),'Sheet1-指标体系'!$G$10*'Sheet1-指标体系'!$J$8,0),0)</f>
        <v>0</v>
      </c>
      <c r="CJ67" s="49">
        <f>IF(G67="入池",IF(ISNUMBER(AH67),'Sheet1-指标体系'!$G$10*'Sheet1-指标体系'!$J$9,0),0)</f>
        <v>0</v>
      </c>
      <c r="CK67" s="49">
        <f>IF(G67="入池",IF(ISNUMBER(AK67),'Sheet1-指标体系'!$G$11,0),0)</f>
        <v>0</v>
      </c>
    </row>
    <row r="68" ht="44" customHeight="1" spans="1:89">
      <c r="A68" s="40">
        <f>'Sheet5-查询核对'!A53-1</f>
        <v>52</v>
      </c>
      <c r="B68" s="24" t="str">
        <f>IF('Sheet4-原始数据'!A53="",'Sheet5-查询核对'!B53,'Sheet4-原始数据'!A53)</f>
        <v>睿启鑫享1号</v>
      </c>
      <c r="C68" s="22" t="str">
        <f>IF('Sheet4-原始数据'!B53="","",'Sheet4-原始数据'!B53)</f>
        <v>SAQD46</v>
      </c>
      <c r="D68" s="22" t="str">
        <f>IF('Sheet4-原始数据'!E53="","",'Sheet4-原始数据'!E53)</f>
        <v>无锡睿启</v>
      </c>
      <c r="E68" s="23">
        <f>IF('Sheet4-原始数据'!F53="","",'Sheet4-原始数据'!F53)</f>
        <v>45595</v>
      </c>
      <c r="F68" s="37">
        <f>IF(ISNUMBER(E68),ROUND(('Sheet1-指标体系'!$J$12-E68)/'Sheet1-指标体系'!$J$14,4),"")</f>
        <v>1.8617</v>
      </c>
      <c r="G68" s="36" t="str">
        <f>IF(C68="","未匹配",IF(NOT(ISNUMBER(F68)),"缺成立日期",IF(F68&lt;'Sheet1-指标体系'!$J$15,"不入池","入池")))</f>
        <v>入池</v>
      </c>
      <c r="H68" s="22" t="str">
        <f>IF('Sheet5-查询核对'!K53="","",'Sheet5-查询核对'!K53)</f>
        <v>5-10亿元</v>
      </c>
      <c r="I68" s="37">
        <f>IF(H68="","",IF(COUNTIF('Sheet1-指标体系'!$P$4:$P$10,H68)=0,"",INDEX('Sheet1-指标体系'!$Q$4:$Q$10,MATCH(H68,'Sheet1-指标体系'!$P$4:$P$10,0))))</f>
        <v>70</v>
      </c>
      <c r="J68" s="44" t="str">
        <f>IF(NOT(ISNUMBER('Sheet5-查询核对'!N53)),"",IF('Sheet5-查询核对'!N53=1,"低于"&amp;'Sheet1-指标体系'!$J$4&amp;"万元",IF('Sheet5-查询核对'!N53=0,"无低于"&amp;'Sheet1-指标体系'!$J$4&amp;"万元标识","")))</f>
        <v>无低于1000万元标识</v>
      </c>
      <c r="K68" s="37">
        <f>IF(NOT(ISNUMBER('Sheet5-查询核对'!N53)),"",IF('Sheet5-查询核对'!N53=1,'Sheet1-指标体系'!$J$21,IF('Sheet5-查询核对'!N53=0,'Sheet1-指标体系'!$J$18,"")))</f>
        <v>100</v>
      </c>
      <c r="L68" s="37">
        <f>IF(NOT(ISNUMBER(F68)),"",IF(F68&lt;'Sheet1-指标体系'!$J$15,"",IF(F68&lt;'Sheet1-指标体系'!$J$16,'Sheet1-指标体系'!$J$17,'Sheet1-指标体系'!$J$18)))</f>
        <v>70</v>
      </c>
      <c r="M68" s="26">
        <f>IF(ISNUMBER('Sheet4-原始数据'!G53),'Sheet4-原始数据'!G53,"")</f>
        <v>0.113688504314173</v>
      </c>
      <c r="N68" s="26" t="str">
        <f>IF(ISNUMBER('Sheet4-原始数据'!H53),'Sheet4-原始数据'!H53,"")</f>
        <v/>
      </c>
      <c r="O68" s="26">
        <f>IF(ISNUMBER('Sheet5-查询核对'!Q53),'Sheet5-查询核对'!Q53,"")</f>
        <v>0.100382114301413</v>
      </c>
      <c r="P68" s="45">
        <f>IF(G68&lt;&gt;"入池","",IF(F68&gt;='Sheet1-指标体系'!$J$16,IF(AND(ISNUMBER(M68),ISNUMBER(N68)),IF(AND(1+M68&gt;0,1+N68&gt;=0),((1+N68)^'Sheet1-指标体系'!$J$16/(1+M68))^(1/('Sheet1-指标体系'!$J$16-1))-1,""),""),IF(AND(ISNUMBER(M68),ISNUMBER(O68)),IF(AND(F68&gt;1,1+M68&gt;0,1+O68&gt;=0),((1+O68)^F68/(1+M68))^(1/(F68-1))-1,""),"")))</f>
        <v>0.0851392727734026</v>
      </c>
      <c r="Q68" s="37">
        <f t="shared" si="0"/>
        <v>69.44</v>
      </c>
      <c r="R68" s="37">
        <f t="shared" si="1"/>
        <v>60.61</v>
      </c>
      <c r="S68" s="37">
        <f>IF(ISNUMBER(Q68),IF(ISNUMBER(R68),ROUND(Q68*'Sheet1-指标体系'!$J$8+R68*'Sheet1-指标体系'!$J$9,2),Q68),"")</f>
        <v>65.91</v>
      </c>
      <c r="T68" s="26">
        <f>IF(ISNUMBER('Sheet4-原始数据'!J53),'Sheet4-原始数据'!J53,"")</f>
        <v>0.615384615384615</v>
      </c>
      <c r="U68" s="26" t="str">
        <f>IF(ISNUMBER('Sheet4-原始数据'!I53),'Sheet4-原始数据'!I53,"")</f>
        <v/>
      </c>
      <c r="V68" s="45" t="str">
        <f>IF(AND(ISNUMBER(T68),ISNUMBER(U68)),(U68*'Sheet1-指标体系'!$J$6-T68*'Sheet1-指标体系'!$J$5)/'Sheet1-指标体系'!$J$7,"")</f>
        <v/>
      </c>
      <c r="W68" s="37">
        <f t="shared" si="2"/>
        <v>61.5384615384615</v>
      </c>
      <c r="X68" s="37" t="str">
        <f>IF(G68&lt;&gt;"入池","",IF(ISNUMBER(V68),IF(AND(V68&gt;=0,V68&lt;=1),V68*'Sheet1-指标体系'!$J$18,IF(MAX(0,(F68-'Sheet1-指标体系'!$J$15)*'Sheet1-指标体系'!$J$20)&lt;'Sheet1-指标体系'!$J$19,'Sheet1-指标体系'!$J$18,"")),IF(MAX(0,(F68-'Sheet1-指标体系'!$J$15)*'Sheet1-指标体系'!$J$20)&lt;'Sheet1-指标体系'!$J$19,'Sheet1-指标体系'!$J$18,"")))</f>
        <v/>
      </c>
      <c r="Y68" s="37">
        <f>IF(ISNUMBER(W68),IF(ISNUMBER(X68),ROUND(W68*'Sheet1-指标体系'!$J$8+X68*'Sheet1-指标体系'!$J$9,2),W68),"")</f>
        <v>61.5384615384615</v>
      </c>
      <c r="Z68" s="45">
        <f t="shared" si="3"/>
        <v>0.0104599037024738</v>
      </c>
      <c r="AA68" s="26" t="str">
        <f>IF(ISNUMBER('Sheet4-原始数据'!K53),'Sheet4-原始数据'!K53,"")</f>
        <v/>
      </c>
      <c r="AB68" s="45">
        <f t="shared" si="4"/>
        <v>0.0104599037024738</v>
      </c>
      <c r="AC68" s="37">
        <f t="shared" si="5"/>
        <v>72.97</v>
      </c>
      <c r="AD68" s="30">
        <f>IF(ISNUMBER('Sheet4-原始数据'!M53),'Sheet4-原始数据'!M53,"")</f>
        <v>10.8689819283216</v>
      </c>
      <c r="AE68" s="45" t="str">
        <f>IF(AND(ISNUMBER(P68),ISNUMBER(AA68),ISNUMBER(Z68)),IF(AA68&gt;Z68+'Sheet1-指标体系'!$J$11,AA68,""),"")</f>
        <v/>
      </c>
      <c r="AF68" s="37" t="str">
        <f t="shared" si="6"/>
        <v/>
      </c>
      <c r="AG68" s="37">
        <f t="shared" si="7"/>
        <v>57.75</v>
      </c>
      <c r="AH68" s="37" t="str">
        <f t="shared" si="8"/>
        <v/>
      </c>
      <c r="AI68" s="37">
        <f>IF(ISNUMBER(AG68),IF(ISNUMBER(AH68),ROUND(AG68*'Sheet1-指标体系'!$J$8+AH68*'Sheet1-指标体系'!$J$9,2),AG68),"")</f>
        <v>57.75</v>
      </c>
      <c r="AJ68" s="45">
        <f>IF(NOT(ISNUMBER(F68)),"",IF(F68&gt;='Sheet1-指标体系'!$J$16,IF(ISNUMBER(N68),N68,""),IF(ISNUMBER(O68),O68,"")))</f>
        <v>0.100382114301413</v>
      </c>
      <c r="AK68" s="37">
        <f>IF(AND(G68="入池",ISNUMBER(M68),ISNUMBER(AJ68)),IF(M68&gt;=AJ68,'Sheet1-指标体系'!$J$18,IF(AJ68-M68&lt;'Sheet1-指标体系'!$J$10,'Sheet1-指标体系'!$J$22,'Sheet1-指标体系'!$J$23)),"")</f>
        <v>100</v>
      </c>
      <c r="AL68" s="37">
        <f>IF((IF(ISNUMBER(I68),'Sheet1-指标体系'!$G$4,0)+IF(ISNUMBER(K68),'Sheet1-指标体系'!$G$5,0)+IF(ISNUMBER(L68),'Sheet1-指标体系'!$G$6,0))&gt;0,ROUND((IF(ISNUMBER(I68),I68*'Sheet1-指标体系'!$G$4,0)+IF(ISNUMBER(K68),K68*'Sheet1-指标体系'!$G$5,0)+IF(ISNUMBER(L68),L68*'Sheet1-指标体系'!$G$6,0))/(IF(ISNUMBER(I68),'Sheet1-指标体系'!$G$4,0)+IF(ISNUMBER(K68),'Sheet1-指标体系'!$G$5,0)+IF(ISNUMBER(L68),'Sheet1-指标体系'!$G$6,0)),2),"")</f>
        <v>79</v>
      </c>
      <c r="AM68" s="37">
        <f t="shared" si="9"/>
        <v>65.01</v>
      </c>
      <c r="AN68" s="37">
        <f t="shared" si="10"/>
        <v>72.97</v>
      </c>
      <c r="AO68" s="37">
        <f t="shared" si="11"/>
        <v>57.75</v>
      </c>
      <c r="AP68" s="37">
        <f t="shared" si="12"/>
        <v>100</v>
      </c>
      <c r="AQ68" s="38">
        <f t="shared" si="13"/>
        <v>0.856</v>
      </c>
      <c r="AR68" s="37">
        <f t="shared" si="14"/>
        <v>61.9300046153846</v>
      </c>
      <c r="AS68" s="37">
        <f t="shared" si="15"/>
        <v>72.35</v>
      </c>
      <c r="AT68" s="40">
        <f>IF(OR(G68&lt;&gt;"入池",NOT(ISNUMBER(AS68))),"",COUNTIFS($G$17:$G$99,"入池",$AS$17:$AS$99,"&gt;"&amp;AS68)+COUNTIFS($G$17:$G$99,"入池",$AS$17:$AS$99,AS68,$AQ$17:$AQ$99,"&gt;"&amp;AQ68)+COUNTIFS($G$17:G68,"入池",$AS$17:AS68,AS68,$AQ$17:AQ68,AQ68))</f>
        <v>27</v>
      </c>
      <c r="AU68" s="46" t="str">
        <f>IF(NOT(ISNUMBER(I68)),"管理人规模；","")&amp;IF(NOT(ISNUMBER(K68)),"产品规模标识；","")&amp;IF(NOT(ISNUMBER(M68)),"近一年收益；","")&amp;IF(NOT(ISNUMBER(T68)),"近一年胜率；","")&amp;IF(NOT(ISNUMBER(N68)),"近三年收益；","")&amp;IF(NOT(ISNUMBER(U68)),"近三年胜率；","")&amp;IF(NOT(ISNUMBER(AA68)),"近三年回撤；","")&amp;IF(NOT(ISNUMBER(AD68)),"近一年卡玛；","")&amp;IF(ISNUMBER(F68),IF(AND(F68&lt;'Sheet1-指标体系'!$J$16,NOT(ISNUMBER(O68))),"成立以来年化；",""),"成立日期；")&amp;IF(ISNUMBER(V68),IF(OR(V68&lt;0,V68&gt;1),"胜率窗口口径不一致；",""),"")&amp;IF(ISNUMBER(P68),IF(NOT(ISNUMBER(AE68)),"DD_long不可识别；",""),"")</f>
        <v>近三年收益；近三年胜率；近三年回撤；DD_long不可识别；</v>
      </c>
      <c r="AV68" s="37" t="str">
        <f>IF(ABS(SUM(CA68:CK68)-'Sheet1-指标体系'!$J$25)&lt;0.0000000001,SUM(BP68:BZ68),"")</f>
        <v/>
      </c>
      <c r="AW68" s="36" t="str">
        <f>IF(G68&lt;&gt;"入池",G68,IF(AQ68=0,"无有效评分数据",IF(ROUND(AQ68,10)=ROUND('Sheet1-指标体系'!$J$25,10),"完整赋分","暂定分／数据不完整")))</f>
        <v>暂定分／数据不完整</v>
      </c>
      <c r="AX68" s="22" t="str">
        <f>IF('Sheet4-原始数据'!C53="","",'Sheet4-原始数据'!C53)</f>
        <v>套利策略</v>
      </c>
      <c r="AY68" s="22" t="str">
        <f>IF('Sheet4-原始数据'!D53="","",'Sheet4-原始数据'!D53)</f>
        <v>期货套利</v>
      </c>
      <c r="AZ68" s="22" t="str">
        <f>IF('Sheet5-查询核对'!S53="","",'Sheet5-查询核对'!S53)</f>
        <v>套利策略—期货套利</v>
      </c>
      <c r="BA68" s="25">
        <f>IF('Sheet5-查询核对'!A53="","",'Sheet5-查询核对'!A53)</f>
        <v>53</v>
      </c>
      <c r="BB68" s="22" t="str">
        <f>IF('Sheet5-查询核对'!F53="","",'Sheet5-查询核对'!F53)</f>
        <v>备案号匹配</v>
      </c>
      <c r="BC68" s="24" t="str">
        <f>IF('Sheet5-查询核对'!I53="","",'Sheet5-查询核对'!I53)</f>
        <v>https://mp.fof99.com/fund/view/a9c8655ec835e06f</v>
      </c>
      <c r="BD68" s="23">
        <f>IF('Sheet5-查询核对'!H53="","",'Sheet5-查询核对'!H53)</f>
        <v>46269</v>
      </c>
      <c r="BE68" s="24" t="str">
        <f>IF('Sheet5-查询核对'!L53="","",'Sheet5-查询核对'!L53)</f>
        <v>https://gs.amac.org.cn/amac-infodisc/res/pof/manager/2302061359107599.html</v>
      </c>
      <c r="BF68" s="23">
        <f>IF('Sheet5-查询核对'!M53="","",'Sheet5-查询核对'!M53)</f>
        <v>46276</v>
      </c>
      <c r="BG68" s="24" t="str">
        <f>IF('Sheet5-查询核对'!O53="","",'Sheet5-查询核对'!O53)</f>
        <v>https://gs.amac.org.cn/amac-infodisc/res/pof/fund/2411111031107269.html</v>
      </c>
      <c r="BH68" s="23">
        <f>IF('Sheet5-查询核对'!P53="","",'Sheet5-查询核对'!P53)</f>
        <v>46276</v>
      </c>
      <c r="BI68" s="22" t="str">
        <f>IF('Sheet5-查询核对'!D53="","",'Sheet5-查询核对'!D53)</f>
        <v>SAQD46</v>
      </c>
      <c r="BJ68">
        <f>IF(ISNUMBER(AT68),AT68,COUNT($AT$17:$AT$99)+ROWS($AT$17:AT68)-COUNT($AT$17:AT68))</f>
        <v>27</v>
      </c>
      <c r="BK68" s="2">
        <f t="shared" si="16"/>
        <v>1</v>
      </c>
      <c r="BL68" s="2">
        <f t="shared" si="17"/>
        <v>1</v>
      </c>
      <c r="BM68" s="2">
        <f t="shared" si="18"/>
        <v>1</v>
      </c>
      <c r="BN68" s="2">
        <f t="shared" si="19"/>
        <v>1</v>
      </c>
      <c r="BO68" s="2">
        <f t="shared" si="20"/>
        <v>0</v>
      </c>
      <c r="BP68" s="48">
        <f>IF(G68="入池",IF(ISNUMBER(I68),I68*('Sheet1-指标体系'!$G$4),0),0)</f>
        <v>4.2</v>
      </c>
      <c r="BQ68" s="48">
        <f>IF(G68="入池",IF(ISNUMBER(K68),K68*('Sheet1-指标体系'!$G$5),0),0)</f>
        <v>4.5</v>
      </c>
      <c r="BR68" s="48">
        <f>IF(G68="入池",IF(ISNUMBER(L68),L68*('Sheet1-指标体系'!$G$6),0),0)</f>
        <v>3.15</v>
      </c>
      <c r="BS68" s="48">
        <f>IF(G68="入池",IF(ISNUMBER(Q68),Q68*('Sheet1-指标体系'!$G$7*'Sheet1-指标体系'!$J$8),0),0)</f>
        <v>5.83296</v>
      </c>
      <c r="BT68" s="48">
        <f>IF(G68="入池",IF(ISNUMBER(R68),R68*('Sheet1-指标体系'!$G$7*'Sheet1-指标体系'!$J$9),0),0)</f>
        <v>3.39416</v>
      </c>
      <c r="BU68" s="48">
        <f>IF(G68="入池",IF(ISNUMBER(W68),W68*('Sheet1-指标体系'!$G$8*'Sheet1-指标体系'!$J$8),0),0)</f>
        <v>2.21538461538461</v>
      </c>
      <c r="BV68" s="48">
        <f>IF(G68="入池",IF(ISNUMBER(X68),X68*('Sheet1-指标体系'!$G$8*'Sheet1-指标体系'!$J$9),0),0)</f>
        <v>0</v>
      </c>
      <c r="BW68" s="48">
        <f>IF(G68="入池",IF(ISNUMBER(AC68),AC68*('Sheet1-指标体系'!$G$9),0),0)</f>
        <v>18.2425</v>
      </c>
      <c r="BX68" s="48">
        <f>IF(G68="入池",IF(ISNUMBER(AG68),AG68*('Sheet1-指标体系'!$G$10*'Sheet1-指标体系'!$J$8),0),0)</f>
        <v>10.395</v>
      </c>
      <c r="BY68" s="48">
        <f>IF(G68="入池",IF(ISNUMBER(AH68),AH68*('Sheet1-指标体系'!$G$10*'Sheet1-指标体系'!$J$9),0),0)</f>
        <v>0</v>
      </c>
      <c r="BZ68" s="48">
        <f>IF(G68="入池",IF(ISNUMBER(AK68),AK68*('Sheet1-指标体系'!$G$11),0),0)</f>
        <v>10</v>
      </c>
      <c r="CA68" s="49">
        <f>IF(G68="入池",IF(ISNUMBER(I68),'Sheet1-指标体系'!$G$4,0),0)</f>
        <v>0.06</v>
      </c>
      <c r="CB68" s="49">
        <f>IF(G68="入池",IF(ISNUMBER(K68),'Sheet1-指标体系'!$G$5,0),0)</f>
        <v>0.045</v>
      </c>
      <c r="CC68" s="49">
        <f>IF(G68="入池",IF(ISNUMBER(L68),'Sheet1-指标体系'!$G$6,0),0)</f>
        <v>0.045</v>
      </c>
      <c r="CD68" s="49">
        <f>IF(G68="入池",IF(ISNUMBER(Q68),'Sheet1-指标体系'!$G$7*'Sheet1-指标体系'!$J$8,0),0)</f>
        <v>0.084</v>
      </c>
      <c r="CE68" s="49">
        <f>IF(G68="入池",IF(ISNUMBER(R68),'Sheet1-指标体系'!$G$7*'Sheet1-指标体系'!$J$9,0),0)</f>
        <v>0.056</v>
      </c>
      <c r="CF68" s="49">
        <f>IF(G68="入池",IF(ISNUMBER(W68),'Sheet1-指标体系'!$G$8*'Sheet1-指标体系'!$J$8,0),0)</f>
        <v>0.036</v>
      </c>
      <c r="CG68" s="49">
        <f>IF(G68="入池",IF(ISNUMBER(X68),'Sheet1-指标体系'!$G$8*'Sheet1-指标体系'!$J$9,0),0)</f>
        <v>0</v>
      </c>
      <c r="CH68" s="49">
        <f>IF(G68="入池",IF(ISNUMBER(AC68),'Sheet1-指标体系'!$G$9,0),0)</f>
        <v>0.25</v>
      </c>
      <c r="CI68" s="49">
        <f>IF(G68="入池",IF(ISNUMBER(AG68),'Sheet1-指标体系'!$G$10*'Sheet1-指标体系'!$J$8,0),0)</f>
        <v>0.18</v>
      </c>
      <c r="CJ68" s="49">
        <f>IF(G68="入池",IF(ISNUMBER(AH68),'Sheet1-指标体系'!$G$10*'Sheet1-指标体系'!$J$9,0),0)</f>
        <v>0</v>
      </c>
      <c r="CK68" s="49">
        <f>IF(G68="入池",IF(ISNUMBER(AK68),'Sheet1-指标体系'!$G$11,0),0)</f>
        <v>0.1</v>
      </c>
    </row>
    <row r="69" ht="44" customHeight="1" spans="1:89">
      <c r="A69" s="40">
        <f>'Sheet5-查询核对'!A54-1</f>
        <v>53</v>
      </c>
      <c r="B69" s="24" t="str">
        <f>IF('Sheet4-原始数据'!A54="",'Sheet5-查询核对'!B54,'Sheet4-原始数据'!A54)</f>
        <v>杉阳云杉混合1号A类</v>
      </c>
      <c r="C69" s="22" t="str">
        <f>IF('Sheet4-原始数据'!B54="","",'Sheet4-原始数据'!B54)</f>
        <v>LA063A</v>
      </c>
      <c r="D69" s="22" t="str">
        <f>IF('Sheet4-原始数据'!E54="","",'Sheet4-原始数据'!E54)</f>
        <v>上海杉阳</v>
      </c>
      <c r="E69" s="23">
        <f>IF('Sheet4-原始数据'!F54="","",'Sheet4-原始数据'!F54)</f>
        <v>43980</v>
      </c>
      <c r="F69" s="37">
        <f>IF(ISNUMBER(E69),ROUND(('Sheet1-指标体系'!$J$12-E69)/'Sheet1-指标体系'!$J$14,4),"")</f>
        <v>6.2834</v>
      </c>
      <c r="G69" s="36" t="str">
        <f>IF(C69="","未匹配",IF(NOT(ISNUMBER(F69)),"缺成立日期",IF(F69&lt;'Sheet1-指标体系'!$J$15,"不入池","入池")))</f>
        <v>入池</v>
      </c>
      <c r="H69" s="22" t="str">
        <f>IF('Sheet5-查询核对'!K54="","",'Sheet5-查询核对'!K54)</f>
        <v>0-5亿元</v>
      </c>
      <c r="I69" s="37">
        <f>IF(H69="","",IF(COUNTIF('Sheet1-指标体系'!$P$4:$P$10,H69)=0,"",INDEX('Sheet1-指标体系'!$Q$4:$Q$10,MATCH(H69,'Sheet1-指标体系'!$P$4:$P$10,0))))</f>
        <v>60</v>
      </c>
      <c r="J69" s="44" t="str">
        <f>IF(NOT(ISNUMBER('Sheet5-查询核对'!N54)),"",IF('Sheet5-查询核对'!N54=1,"低于"&amp;'Sheet1-指标体系'!$J$4&amp;"万元",IF('Sheet5-查询核对'!N54=0,"无低于"&amp;'Sheet1-指标体系'!$J$4&amp;"万元标识","")))</f>
        <v/>
      </c>
      <c r="K69" s="37" t="str">
        <f>IF(NOT(ISNUMBER('Sheet5-查询核对'!N54)),"",IF('Sheet5-查询核对'!N54=1,'Sheet1-指标体系'!$J$21,IF('Sheet5-查询核对'!N54=0,'Sheet1-指标体系'!$J$18,"")))</f>
        <v/>
      </c>
      <c r="L69" s="37">
        <f>IF(NOT(ISNUMBER(F69)),"",IF(F69&lt;'Sheet1-指标体系'!$J$15,"",IF(F69&lt;'Sheet1-指标体系'!$J$16,'Sheet1-指标体系'!$J$17,'Sheet1-指标体系'!$J$18)))</f>
        <v>100</v>
      </c>
      <c r="M69" s="26">
        <f>IF(ISNUMBER('Sheet4-原始数据'!G54),'Sheet4-原始数据'!G54,"")</f>
        <v>0.0707</v>
      </c>
      <c r="N69" s="26">
        <f>IF(ISNUMBER('Sheet4-原始数据'!H54),'Sheet4-原始数据'!H54,"")</f>
        <v>0.0386</v>
      </c>
      <c r="O69" s="26">
        <f>IF(ISNUMBER('Sheet5-查询核对'!Q54),'Sheet5-查询核对'!Q54,"")</f>
        <v>0.0686</v>
      </c>
      <c r="P69" s="45">
        <f>IF(G69&lt;&gt;"入池","",IF(F69&gt;='Sheet1-指标体系'!$J$16,IF(AND(ISNUMBER(M69),ISNUMBER(N69)),IF(AND(1+M69&gt;0,1+N69&gt;=0),((1+N69)^'Sheet1-指标体系'!$J$16/(1+M69))^(1/('Sheet1-指标体系'!$J$16-1))-1,""),""),IF(AND(ISNUMBER(M69),ISNUMBER(O69)),IF(AND(F69&gt;1,1+M69&gt;0,1+O69&gt;=0),((1+O69)^F69/(1+M69))^(1/(F69-1))-1,""),"")))</f>
        <v>0.0229127127520601</v>
      </c>
      <c r="Q69" s="37">
        <f t="shared" si="0"/>
        <v>30.56</v>
      </c>
      <c r="R69" s="37">
        <f t="shared" si="1"/>
        <v>1.52</v>
      </c>
      <c r="S69" s="37">
        <f>IF(ISNUMBER(Q69),IF(ISNUMBER(R69),ROUND(Q69*'Sheet1-指标体系'!$J$8+R69*'Sheet1-指标体系'!$J$9,2),Q69),"")</f>
        <v>18.94</v>
      </c>
      <c r="T69" s="26">
        <f>IF(ISNUMBER('Sheet4-原始数据'!J54),'Sheet4-原始数据'!J54,"")</f>
        <v>0.7692</v>
      </c>
      <c r="U69" s="26">
        <f>IF(ISNUMBER('Sheet4-原始数据'!I54),'Sheet4-原始数据'!I54,"")</f>
        <v>0.6757</v>
      </c>
      <c r="V69" s="45">
        <f>IF(AND(ISNUMBER(T69),ISNUMBER(U69)),(U69*'Sheet1-指标体系'!$J$6-T69*'Sheet1-指标体系'!$J$5)/'Sheet1-指标体系'!$J$7,"")</f>
        <v>0.625054166666667</v>
      </c>
      <c r="W69" s="37">
        <f t="shared" si="2"/>
        <v>76.92</v>
      </c>
      <c r="X69" s="37">
        <f>IF(G69&lt;&gt;"入池","",IF(ISNUMBER(V69),IF(AND(V69&gt;=0,V69&lt;=1),V69*'Sheet1-指标体系'!$J$18,IF(MAX(0,(F69-'Sheet1-指标体系'!$J$15)*'Sheet1-指标体系'!$J$20)&lt;'Sheet1-指标体系'!$J$19,'Sheet1-指标体系'!$J$18,"")),IF(MAX(0,(F69-'Sheet1-指标体系'!$J$15)*'Sheet1-指标体系'!$J$20)&lt;'Sheet1-指标体系'!$J$19,'Sheet1-指标体系'!$J$18,"")))</f>
        <v>62.5054166666667</v>
      </c>
      <c r="Y69" s="37">
        <f>IF(ISNUMBER(W69),IF(ISNUMBER(X69),ROUND(W69*'Sheet1-指标体系'!$J$8+X69*'Sheet1-指标体系'!$J$9,2),W69),"")</f>
        <v>71.15</v>
      </c>
      <c r="Z69" s="45">
        <f t="shared" si="3"/>
        <v>0.00584157515967247</v>
      </c>
      <c r="AA69" s="26">
        <f>IF(ISNUMBER('Sheet4-原始数据'!K54),'Sheet4-原始数据'!K54,"")</f>
        <v>0.031</v>
      </c>
      <c r="AB69" s="45">
        <f t="shared" si="4"/>
        <v>0.031</v>
      </c>
      <c r="AC69" s="37">
        <f t="shared" si="5"/>
        <v>36.49</v>
      </c>
      <c r="AD69" s="30">
        <f>IF(ISNUMBER('Sheet4-原始数据'!M54),'Sheet4-原始数据'!M54,"")</f>
        <v>12.1029</v>
      </c>
      <c r="AE69" s="45">
        <f>IF(AND(ISNUMBER(P69),ISNUMBER(AA69),ISNUMBER(Z69)),IF(AA69&gt;Z69+'Sheet1-指标体系'!$J$11,AA69,""),"")</f>
        <v>0.031</v>
      </c>
      <c r="AF69" s="37">
        <f t="shared" si="6"/>
        <v>0.739119766195487</v>
      </c>
      <c r="AG69" s="37">
        <f t="shared" si="7"/>
        <v>61.97</v>
      </c>
      <c r="AH69" s="37">
        <f t="shared" si="8"/>
        <v>3.13</v>
      </c>
      <c r="AI69" s="37">
        <f>IF(ISNUMBER(AG69),IF(ISNUMBER(AH69),ROUND(AG69*'Sheet1-指标体系'!$J$8+AH69*'Sheet1-指标体系'!$J$9,2),AG69),"")</f>
        <v>38.43</v>
      </c>
      <c r="AJ69" s="45">
        <f>IF(NOT(ISNUMBER(F69)),"",IF(F69&gt;='Sheet1-指标体系'!$J$16,IF(ISNUMBER(N69),N69,""),IF(ISNUMBER(O69),O69,"")))</f>
        <v>0.0386</v>
      </c>
      <c r="AK69" s="37">
        <f>IF(AND(G69="入池",ISNUMBER(M69),ISNUMBER(AJ69)),IF(M69&gt;=AJ69,'Sheet1-指标体系'!$J$18,IF(AJ69-M69&lt;'Sheet1-指标体系'!$J$10,'Sheet1-指标体系'!$J$22,'Sheet1-指标体系'!$J$23)),"")</f>
        <v>100</v>
      </c>
      <c r="AL69" s="37">
        <f>IF((IF(ISNUMBER(I69),'Sheet1-指标体系'!$G$4,0)+IF(ISNUMBER(K69),'Sheet1-指标体系'!$G$5,0)+IF(ISNUMBER(L69),'Sheet1-指标体系'!$G$6,0))&gt;0,ROUND((IF(ISNUMBER(I69),I69*'Sheet1-指标体系'!$G$4,0)+IF(ISNUMBER(K69),K69*'Sheet1-指标体系'!$G$5,0)+IF(ISNUMBER(L69),L69*'Sheet1-指标体系'!$G$6,0))/(IF(ISNUMBER(I69),'Sheet1-指标体系'!$G$4,0)+IF(ISNUMBER(K69),'Sheet1-指标体系'!$G$5,0)+IF(ISNUMBER(L69),'Sheet1-指标体系'!$G$6,0)),2),"")</f>
        <v>77.14</v>
      </c>
      <c r="AM69" s="37">
        <f t="shared" si="9"/>
        <v>34.61</v>
      </c>
      <c r="AN69" s="37">
        <f t="shared" si="10"/>
        <v>36.49</v>
      </c>
      <c r="AO69" s="37">
        <f t="shared" si="11"/>
        <v>38.43</v>
      </c>
      <c r="AP69" s="37">
        <f t="shared" si="12"/>
        <v>100</v>
      </c>
      <c r="AQ69" s="38">
        <f t="shared" si="13"/>
        <v>0.955</v>
      </c>
      <c r="AR69" s="37">
        <f t="shared" si="14"/>
        <v>45.67411</v>
      </c>
      <c r="AS69" s="37">
        <f t="shared" si="15"/>
        <v>47.83</v>
      </c>
      <c r="AT69" s="40">
        <f>IF(OR(G69&lt;&gt;"入池",NOT(ISNUMBER(AS69))),"",COUNTIFS($G$17:$G$99,"入池",$AS$17:$AS$99,"&gt;"&amp;AS69)+COUNTIFS($G$17:$G$99,"入池",$AS$17:$AS$99,AS69,$AQ$17:$AQ$99,"&gt;"&amp;AQ69)+COUNTIFS($G$17:G69,"入池",$AS$17:AS69,AS69,$AQ$17:AQ69,AQ69))</f>
        <v>61</v>
      </c>
      <c r="AU69" s="46" t="str">
        <f>IF(NOT(ISNUMBER(I69)),"管理人规模；","")&amp;IF(NOT(ISNUMBER(K69)),"产品规模标识；","")&amp;IF(NOT(ISNUMBER(M69)),"近一年收益；","")&amp;IF(NOT(ISNUMBER(T69)),"近一年胜率；","")&amp;IF(NOT(ISNUMBER(N69)),"近三年收益；","")&amp;IF(NOT(ISNUMBER(U69)),"近三年胜率；","")&amp;IF(NOT(ISNUMBER(AA69)),"近三年回撤；","")&amp;IF(NOT(ISNUMBER(AD69)),"近一年卡玛；","")&amp;IF(ISNUMBER(F69),IF(AND(F69&lt;'Sheet1-指标体系'!$J$16,NOT(ISNUMBER(O69))),"成立以来年化；",""),"成立日期；")&amp;IF(ISNUMBER(V69),IF(OR(V69&lt;0,V69&gt;1),"胜率窗口口径不一致；",""),"")&amp;IF(ISNUMBER(P69),IF(NOT(ISNUMBER(AE69)),"DD_long不可识别；",""),"")</f>
        <v>产品规模标识；</v>
      </c>
      <c r="AV69" s="37" t="str">
        <f>IF(ABS(SUM(CA69:CK69)-'Sheet1-指标体系'!$J$25)&lt;0.0000000001,SUM(BP69:BZ69),"")</f>
        <v/>
      </c>
      <c r="AW69" s="36" t="str">
        <f>IF(G69&lt;&gt;"入池",G69,IF(AQ69=0,"无有效评分数据",IF(ROUND(AQ69,10)=ROUND('Sheet1-指标体系'!$J$25,10),"完整赋分","暂定分／数据不完整")))</f>
        <v>暂定分／数据不完整</v>
      </c>
      <c r="AX69" s="22" t="str">
        <f>IF('Sheet4-原始数据'!C54="","",'Sheet4-原始数据'!C54)</f>
        <v>套利策略</v>
      </c>
      <c r="AY69" s="22" t="str">
        <f>IF('Sheet4-原始数据'!D54="","",'Sheet4-原始数据'!D54)</f>
        <v>期货套利</v>
      </c>
      <c r="AZ69" s="22" t="str">
        <f>IF('Sheet5-查询核对'!S54="","",'Sheet5-查询核对'!S54)</f>
        <v>套利策略—期货套利</v>
      </c>
      <c r="BA69" s="25">
        <f>IF('Sheet5-查询核对'!A54="","",'Sheet5-查询核对'!A54)</f>
        <v>54</v>
      </c>
      <c r="BB69" s="22" t="str">
        <f>IF('Sheet5-查询核对'!F54="","",'Sheet5-查询核对'!F54)</f>
        <v>备案号匹配</v>
      </c>
      <c r="BC69" s="24" t="str">
        <f>IF('Sheet5-查询核对'!I54="","",'Sheet5-查询核对'!I54)</f>
        <v>https://mp.fof99.com/fund/view/da0c65e7ce600ec9</v>
      </c>
      <c r="BD69" s="23">
        <f>IF('Sheet5-查询核对'!H54="","",'Sheet5-查询核对'!H54)</f>
        <v>46269</v>
      </c>
      <c r="BE69" s="24" t="str">
        <f>IF('Sheet5-查询核对'!L54="","",'Sheet5-查询核对'!L54)</f>
        <v>https://gs.amac.org.cn/amac-infodisc/res/pof/manager/2001061547104837.html</v>
      </c>
      <c r="BF69" s="23">
        <f>IF('Sheet5-查询核对'!M54="","",'Sheet5-查询核对'!M54)</f>
        <v>46276</v>
      </c>
      <c r="BG69" s="24" t="str">
        <f>IF('Sheet5-查询核对'!O54="","",'Sheet5-查询核对'!O54)</f>
        <v>743</v>
      </c>
      <c r="BH69" s="23" t="str">
        <f>IF('Sheet5-查询核对'!P54="","",'Sheet5-查询核对'!P54)</f>
        <v/>
      </c>
      <c r="BI69" s="22" t="str">
        <f>IF('Sheet5-查询核对'!D54="","",'Sheet5-查询核对'!D54)</f>
        <v>LA063A</v>
      </c>
      <c r="BJ69">
        <f>IF(ISNUMBER(AT69),AT69,COUNT($AT$17:$AT$99)+ROWS($AT$17:AT69)-COUNT($AT$17:AT69))</f>
        <v>61</v>
      </c>
      <c r="BK69" s="2">
        <f t="shared" si="16"/>
        <v>1</v>
      </c>
      <c r="BL69" s="2">
        <f t="shared" si="17"/>
        <v>1</v>
      </c>
      <c r="BM69" s="2">
        <f t="shared" si="18"/>
        <v>1</v>
      </c>
      <c r="BN69" s="2">
        <f t="shared" si="19"/>
        <v>1</v>
      </c>
      <c r="BO69" s="2">
        <f t="shared" si="20"/>
        <v>1</v>
      </c>
      <c r="BP69" s="48">
        <f>IF(G69="入池",IF(ISNUMBER(I69),I69*('Sheet1-指标体系'!$G$4),0),0)</f>
        <v>3.6</v>
      </c>
      <c r="BQ69" s="48">
        <f>IF(G69="入池",IF(ISNUMBER(K69),K69*('Sheet1-指标体系'!$G$5),0),0)</f>
        <v>0</v>
      </c>
      <c r="BR69" s="48">
        <f>IF(G69="入池",IF(ISNUMBER(L69),L69*('Sheet1-指标体系'!$G$6),0),0)</f>
        <v>4.5</v>
      </c>
      <c r="BS69" s="48">
        <f>IF(G69="入池",IF(ISNUMBER(Q69),Q69*('Sheet1-指标体系'!$G$7*'Sheet1-指标体系'!$J$8),0),0)</f>
        <v>2.56704</v>
      </c>
      <c r="BT69" s="48">
        <f>IF(G69="入池",IF(ISNUMBER(R69),R69*('Sheet1-指标体系'!$G$7*'Sheet1-指标体系'!$J$9),0),0)</f>
        <v>0.08512</v>
      </c>
      <c r="BU69" s="48">
        <f>IF(G69="入池",IF(ISNUMBER(W69),W69*('Sheet1-指标体系'!$G$8*'Sheet1-指标体系'!$J$8),0),0)</f>
        <v>2.76912</v>
      </c>
      <c r="BV69" s="48">
        <f>IF(G69="入池",IF(ISNUMBER(X69),X69*('Sheet1-指标体系'!$G$8*'Sheet1-指标体系'!$J$9),0),0)</f>
        <v>1.50013</v>
      </c>
      <c r="BW69" s="48">
        <f>IF(G69="入池",IF(ISNUMBER(AC69),AC69*('Sheet1-指标体系'!$G$9),0),0)</f>
        <v>9.1225</v>
      </c>
      <c r="BX69" s="48">
        <f>IF(G69="入池",IF(ISNUMBER(AG69),AG69*('Sheet1-指标体系'!$G$10*'Sheet1-指标体系'!$J$8),0),0)</f>
        <v>11.1546</v>
      </c>
      <c r="BY69" s="48">
        <f>IF(G69="入池",IF(ISNUMBER(AH69),AH69*('Sheet1-指标体系'!$G$10*'Sheet1-指标体系'!$J$9),0),0)</f>
        <v>0.3756</v>
      </c>
      <c r="BZ69" s="48">
        <f>IF(G69="入池",IF(ISNUMBER(AK69),AK69*('Sheet1-指标体系'!$G$11),0),0)</f>
        <v>10</v>
      </c>
      <c r="CA69" s="49">
        <f>IF(G69="入池",IF(ISNUMBER(I69),'Sheet1-指标体系'!$G$4,0),0)</f>
        <v>0.06</v>
      </c>
      <c r="CB69" s="49">
        <f>IF(G69="入池",IF(ISNUMBER(K69),'Sheet1-指标体系'!$G$5,0),0)</f>
        <v>0</v>
      </c>
      <c r="CC69" s="49">
        <f>IF(G69="入池",IF(ISNUMBER(L69),'Sheet1-指标体系'!$G$6,0),0)</f>
        <v>0.045</v>
      </c>
      <c r="CD69" s="49">
        <f>IF(G69="入池",IF(ISNUMBER(Q69),'Sheet1-指标体系'!$G$7*'Sheet1-指标体系'!$J$8,0),0)</f>
        <v>0.084</v>
      </c>
      <c r="CE69" s="49">
        <f>IF(G69="入池",IF(ISNUMBER(R69),'Sheet1-指标体系'!$G$7*'Sheet1-指标体系'!$J$9,0),0)</f>
        <v>0.056</v>
      </c>
      <c r="CF69" s="49">
        <f>IF(G69="入池",IF(ISNUMBER(W69),'Sheet1-指标体系'!$G$8*'Sheet1-指标体系'!$J$8,0),0)</f>
        <v>0.036</v>
      </c>
      <c r="CG69" s="49">
        <f>IF(G69="入池",IF(ISNUMBER(X69),'Sheet1-指标体系'!$G$8*'Sheet1-指标体系'!$J$9,0),0)</f>
        <v>0.024</v>
      </c>
      <c r="CH69" s="49">
        <f>IF(G69="入池",IF(ISNUMBER(AC69),'Sheet1-指标体系'!$G$9,0),0)</f>
        <v>0.25</v>
      </c>
      <c r="CI69" s="49">
        <f>IF(G69="入池",IF(ISNUMBER(AG69),'Sheet1-指标体系'!$G$10*'Sheet1-指标体系'!$J$8,0),0)</f>
        <v>0.18</v>
      </c>
      <c r="CJ69" s="49">
        <f>IF(G69="入池",IF(ISNUMBER(AH69),'Sheet1-指标体系'!$G$10*'Sheet1-指标体系'!$J$9,0),0)</f>
        <v>0.12</v>
      </c>
      <c r="CK69" s="49">
        <f>IF(G69="入池",IF(ISNUMBER(AK69),'Sheet1-指标体系'!$G$11,0),0)</f>
        <v>0.1</v>
      </c>
    </row>
    <row r="70" ht="44" customHeight="1" spans="1:89">
      <c r="A70" s="40">
        <f>'Sheet5-查询核对'!A55-1</f>
        <v>54</v>
      </c>
      <c r="B70" s="24" t="str">
        <f>IF('Sheet4-原始数据'!A55="",'Sheet5-查询核对'!B55,'Sheet4-原始数据'!A55)</f>
        <v>尚湖期权套利安享1号</v>
      </c>
      <c r="C70" s="22" t="str">
        <f>IF('Sheet4-原始数据'!B55="","",'Sheet4-原始数据'!B55)</f>
        <v>SXZ850</v>
      </c>
      <c r="D70" s="22" t="str">
        <f>IF('Sheet4-原始数据'!E55="","",'Sheet4-原始数据'!E55)</f>
        <v>上海尚湖</v>
      </c>
      <c r="E70" s="23">
        <f>IF('Sheet4-原始数据'!F55="","",'Sheet4-原始数据'!F55)</f>
        <v>44915</v>
      </c>
      <c r="F70" s="37">
        <f>IF(ISNUMBER(E70),ROUND(('Sheet1-指标体系'!$J$12-E70)/'Sheet1-指标体系'!$J$14,4),"")</f>
        <v>3.7235</v>
      </c>
      <c r="G70" s="36" t="str">
        <f>IF(C70="","未匹配",IF(NOT(ISNUMBER(F70)),"缺成立日期",IF(F70&lt;'Sheet1-指标体系'!$J$15,"不入池","入池")))</f>
        <v>入池</v>
      </c>
      <c r="H70" s="22" t="str">
        <f>IF('Sheet5-查询核对'!K55="","",'Sheet5-查询核对'!K55)</f>
        <v>5-10亿元</v>
      </c>
      <c r="I70" s="37">
        <f>IF(H70="","",IF(COUNTIF('Sheet1-指标体系'!$P$4:$P$10,H70)=0,"",INDEX('Sheet1-指标体系'!$Q$4:$Q$10,MATCH(H70,'Sheet1-指标体系'!$P$4:$P$10,0))))</f>
        <v>70</v>
      </c>
      <c r="J70" s="44" t="str">
        <f>IF(NOT(ISNUMBER('Sheet5-查询核对'!N55)),"",IF('Sheet5-查询核对'!N55=1,"低于"&amp;'Sheet1-指标体系'!$J$4&amp;"万元",IF('Sheet5-查询核对'!N55=0,"无低于"&amp;'Sheet1-指标体系'!$J$4&amp;"万元标识","")))</f>
        <v>无低于1000万元标识</v>
      </c>
      <c r="K70" s="37">
        <f>IF(NOT(ISNUMBER('Sheet5-查询核对'!N55)),"",IF('Sheet5-查询核对'!N55=1,'Sheet1-指标体系'!$J$21,IF('Sheet5-查询核对'!N55=0,'Sheet1-指标体系'!$J$18,"")))</f>
        <v>100</v>
      </c>
      <c r="L70" s="37">
        <f>IF(NOT(ISNUMBER(F70)),"",IF(F70&lt;'Sheet1-指标体系'!$J$15,"",IF(F70&lt;'Sheet1-指标体系'!$J$16,'Sheet1-指标体系'!$J$17,'Sheet1-指标体系'!$J$18)))</f>
        <v>100</v>
      </c>
      <c r="M70" s="26">
        <f>IF(ISNUMBER('Sheet4-原始数据'!G55),'Sheet4-原始数据'!G55,"")</f>
        <v>0.0257</v>
      </c>
      <c r="N70" s="26">
        <f>IF(ISNUMBER('Sheet4-原始数据'!H55),'Sheet4-原始数据'!H55,"")</f>
        <v>0.0498</v>
      </c>
      <c r="O70" s="26">
        <f>IF(ISNUMBER('Sheet5-查询核对'!Q55),'Sheet5-查询核对'!Q55,"")</f>
        <v>0.0503</v>
      </c>
      <c r="P70" s="45">
        <f>IF(G70&lt;&gt;"入池","",IF(F70&gt;='Sheet1-指标体系'!$J$16,IF(AND(ISNUMBER(M70),ISNUMBER(N70)),IF(AND(1+M70&gt;0,1+N70&gt;=0),((1+N70)^'Sheet1-指标体系'!$J$16/(1+M70))^(1/('Sheet1-指标体系'!$J$16-1))-1,""),""),IF(AND(ISNUMBER(M70),ISNUMBER(O70)),IF(AND(F70&gt;1,1+M70&gt;0,1+O70&gt;=0),((1+O70)^F70/(1+M70))^(1/(F70-1))-1,""),"")))</f>
        <v>0.0620615221343275</v>
      </c>
      <c r="Q70" s="37">
        <f t="shared" si="0"/>
        <v>11.11</v>
      </c>
      <c r="R70" s="37">
        <f t="shared" si="1"/>
        <v>37.88</v>
      </c>
      <c r="S70" s="37">
        <f>IF(ISNUMBER(Q70),IF(ISNUMBER(R70),ROUND(Q70*'Sheet1-指标体系'!$J$8+R70*'Sheet1-指标体系'!$J$9,2),Q70),"")</f>
        <v>21.82</v>
      </c>
      <c r="T70" s="26">
        <f>IF(ISNUMBER('Sheet4-原始数据'!J55),'Sheet4-原始数据'!J55,"")</f>
        <v>0.7692</v>
      </c>
      <c r="U70" s="26">
        <f>IF(ISNUMBER('Sheet4-原始数据'!I55),'Sheet4-原始数据'!I55,"")</f>
        <v>0.8378</v>
      </c>
      <c r="V70" s="45">
        <f>IF(AND(ISNUMBER(T70),ISNUMBER(U70)),(U70*'Sheet1-指标体系'!$J$6-T70*'Sheet1-指标体系'!$J$5)/'Sheet1-指标体系'!$J$7,"")</f>
        <v>0.874958333333333</v>
      </c>
      <c r="W70" s="37">
        <f t="shared" si="2"/>
        <v>76.92</v>
      </c>
      <c r="X70" s="37">
        <f>IF(G70&lt;&gt;"入池","",IF(ISNUMBER(V70),IF(AND(V70&gt;=0,V70&lt;=1),V70*'Sheet1-指标体系'!$J$18,IF(MAX(0,(F70-'Sheet1-指标体系'!$J$15)*'Sheet1-指标体系'!$J$20)&lt;'Sheet1-指标体系'!$J$19,'Sheet1-指标体系'!$J$18,"")),IF(MAX(0,(F70-'Sheet1-指标体系'!$J$15)*'Sheet1-指标体系'!$J$20)&lt;'Sheet1-指标体系'!$J$19,'Sheet1-指标体系'!$J$18,"")))</f>
        <v>87.4958333333333</v>
      </c>
      <c r="Y70" s="37">
        <f>IF(ISNUMBER(W70),IF(ISNUMBER(X70),ROUND(W70*'Sheet1-指标体系'!$J$8+X70*'Sheet1-指标体系'!$J$9,2),W70),"")</f>
        <v>81.15</v>
      </c>
      <c r="Z70" s="45">
        <f t="shared" si="3"/>
        <v>0.0105988122731772</v>
      </c>
      <c r="AA70" s="26">
        <f>IF(ISNUMBER('Sheet4-原始数据'!K55),'Sheet4-原始数据'!K55,"")</f>
        <v>0.0498</v>
      </c>
      <c r="AB70" s="45">
        <f t="shared" si="4"/>
        <v>0.0498</v>
      </c>
      <c r="AC70" s="37">
        <f t="shared" si="5"/>
        <v>18.92</v>
      </c>
      <c r="AD70" s="30">
        <f>IF(ISNUMBER('Sheet4-原始数据'!M55),'Sheet4-原始数据'!M55,"")</f>
        <v>2.4248</v>
      </c>
      <c r="AE70" s="45">
        <f>IF(AND(ISNUMBER(P70),ISNUMBER(AA70),ISNUMBER(Z70)),IF(AA70&gt;Z70+'Sheet1-指标体系'!$J$11,AA70,""),"")</f>
        <v>0.0498</v>
      </c>
      <c r="AF70" s="37">
        <f t="shared" si="6"/>
        <v>1.24621530390216</v>
      </c>
      <c r="AG70" s="37">
        <f t="shared" si="7"/>
        <v>19.72</v>
      </c>
      <c r="AH70" s="37">
        <f t="shared" si="8"/>
        <v>12.5</v>
      </c>
      <c r="AI70" s="37">
        <f>IF(ISNUMBER(AG70),IF(ISNUMBER(AH70),ROUND(AG70*'Sheet1-指标体系'!$J$8+AH70*'Sheet1-指标体系'!$J$9,2),AG70),"")</f>
        <v>16.83</v>
      </c>
      <c r="AJ70" s="45">
        <f>IF(NOT(ISNUMBER(F70)),"",IF(F70&gt;='Sheet1-指标体系'!$J$16,IF(ISNUMBER(N70),N70,""),IF(ISNUMBER(O70),O70,"")))</f>
        <v>0.0498</v>
      </c>
      <c r="AK70" s="37">
        <f>IF(AND(G70="入池",ISNUMBER(M70),ISNUMBER(AJ70)),IF(M70&gt;=AJ70,'Sheet1-指标体系'!$J$18,IF(AJ70-M70&lt;'Sheet1-指标体系'!$J$10,'Sheet1-指标体系'!$J$22,'Sheet1-指标体系'!$J$23)),"")</f>
        <v>80</v>
      </c>
      <c r="AL70" s="37">
        <f>IF((IF(ISNUMBER(I70),'Sheet1-指标体系'!$G$4,0)+IF(ISNUMBER(K70),'Sheet1-指标体系'!$G$5,0)+IF(ISNUMBER(L70),'Sheet1-指标体系'!$G$6,0))&gt;0,ROUND((IF(ISNUMBER(I70),I70*'Sheet1-指标体系'!$G$4,0)+IF(ISNUMBER(K70),K70*'Sheet1-指标体系'!$G$5,0)+IF(ISNUMBER(L70),L70*'Sheet1-指标体系'!$G$6,0))/(IF(ISNUMBER(I70),'Sheet1-指标体系'!$G$4,0)+IF(ISNUMBER(K70),'Sheet1-指标体系'!$G$5,0)+IF(ISNUMBER(L70),'Sheet1-指标体系'!$G$6,0)),2),"")</f>
        <v>88</v>
      </c>
      <c r="AM70" s="37">
        <f t="shared" si="9"/>
        <v>39.62</v>
      </c>
      <c r="AN70" s="37">
        <f t="shared" si="10"/>
        <v>18.92</v>
      </c>
      <c r="AO70" s="37">
        <f t="shared" si="11"/>
        <v>16.83</v>
      </c>
      <c r="AP70" s="37">
        <f t="shared" si="12"/>
        <v>80</v>
      </c>
      <c r="AQ70" s="38">
        <f t="shared" si="13"/>
        <v>1</v>
      </c>
      <c r="AR70" s="37">
        <f t="shared" si="14"/>
        <v>38.90314</v>
      </c>
      <c r="AS70" s="37">
        <f t="shared" si="15"/>
        <v>38.9</v>
      </c>
      <c r="AT70" s="40">
        <f>IF(OR(G70&lt;&gt;"入池",NOT(ISNUMBER(AS70))),"",COUNTIFS($G$17:$G$99,"入池",$AS$17:$AS$99,"&gt;"&amp;AS70)+COUNTIFS($G$17:$G$99,"入池",$AS$17:$AS$99,AS70,$AQ$17:$AQ$99,"&gt;"&amp;AQ70)+COUNTIFS($G$17:G70,"入池",$AS$17:AS70,AS70,$AQ$17:AQ70,AQ70))</f>
        <v>72</v>
      </c>
      <c r="AU70" s="46" t="str">
        <f>IF(NOT(ISNUMBER(I70)),"管理人规模；","")&amp;IF(NOT(ISNUMBER(K70)),"产品规模标识；","")&amp;IF(NOT(ISNUMBER(M70)),"近一年收益；","")&amp;IF(NOT(ISNUMBER(T70)),"近一年胜率；","")&amp;IF(NOT(ISNUMBER(N70)),"近三年收益；","")&amp;IF(NOT(ISNUMBER(U70)),"近三年胜率；","")&amp;IF(NOT(ISNUMBER(AA70)),"近三年回撤；","")&amp;IF(NOT(ISNUMBER(AD70)),"近一年卡玛；","")&amp;IF(ISNUMBER(F70),IF(AND(F70&lt;'Sheet1-指标体系'!$J$16,NOT(ISNUMBER(O70))),"成立以来年化；",""),"成立日期；")&amp;IF(ISNUMBER(V70),IF(OR(V70&lt;0,V70&gt;1),"胜率窗口口径不一致；",""),"")&amp;IF(ISNUMBER(P70),IF(NOT(ISNUMBER(AE70)),"DD_long不可识别；",""),"")</f>
        <v/>
      </c>
      <c r="AV70" s="37">
        <f>IF(ABS(SUM(CA70:CK70)-'Sheet1-指标体系'!$J$25)&lt;0.0000000001,SUM(BP70:BZ70),"")</f>
        <v>38.90314</v>
      </c>
      <c r="AW70" s="36" t="str">
        <f>IF(G70&lt;&gt;"入池",G70,IF(AQ70=0,"无有效评分数据",IF(ROUND(AQ70,10)=ROUND('Sheet1-指标体系'!$J$25,10),"完整赋分","暂定分／数据不完整")))</f>
        <v>完整赋分</v>
      </c>
      <c r="AX70" s="22" t="str">
        <f>IF('Sheet4-原始数据'!C55="","",'Sheet4-原始数据'!C55)</f>
        <v>期权策略</v>
      </c>
      <c r="AY70" s="22" t="str">
        <f>IF('Sheet4-原始数据'!D55="","",'Sheet4-原始数据'!D55)</f>
        <v>场内期权</v>
      </c>
      <c r="AZ70" s="22" t="str">
        <f>IF('Sheet5-查询核对'!S55="","",'Sheet5-查询核对'!S55)</f>
        <v>期权策略</v>
      </c>
      <c r="BA70" s="25">
        <f>IF('Sheet5-查询核对'!A55="","",'Sheet5-查询核对'!A55)</f>
        <v>55</v>
      </c>
      <c r="BB70" s="22" t="str">
        <f>IF('Sheet5-查询核对'!F55="","",'Sheet5-查询核对'!F55)</f>
        <v>备案号匹配</v>
      </c>
      <c r="BC70" s="24" t="str">
        <f>IF('Sheet5-查询核对'!I55="","",'Sheet5-查询核对'!I55)</f>
        <v>https://mp.fof99.com/fund/view/6522b5ad5dcbdcbd</v>
      </c>
      <c r="BD70" s="23">
        <f>IF('Sheet5-查询核对'!H55="","",'Sheet5-查询核对'!H55)</f>
        <v>46269</v>
      </c>
      <c r="BE70" s="24" t="str">
        <f>IF('Sheet5-查询核对'!L55="","",'Sheet5-查询核对'!L55)</f>
        <v>https://gs.amac.org.cn/amac-infodisc/res/pof/manager/101000036458.html</v>
      </c>
      <c r="BF70" s="23">
        <f>IF('Sheet5-查询核对'!M55="","",'Sheet5-查询核对'!M55)</f>
        <v>46276</v>
      </c>
      <c r="BG70" s="24" t="str">
        <f>IF('Sheet5-查询核对'!O55="","",'Sheet5-查询核对'!O55)</f>
        <v>https://gs.amac.org.cn/amac-infodisc/res/pof/fund/2212281000105421.html</v>
      </c>
      <c r="BH70" s="23">
        <f>IF('Sheet5-查询核对'!P55="","",'Sheet5-查询核对'!P55)</f>
        <v>46276</v>
      </c>
      <c r="BI70" s="22" t="str">
        <f>IF('Sheet5-查询核对'!D55="","",'Sheet5-查询核对'!D55)</f>
        <v>SXZ850</v>
      </c>
      <c r="BJ70">
        <f>IF(ISNUMBER(AT70),AT70,COUNT($AT$17:$AT$99)+ROWS($AT$17:AT70)-COUNT($AT$17:AT70))</f>
        <v>72</v>
      </c>
      <c r="BK70" s="2">
        <f t="shared" si="16"/>
        <v>1</v>
      </c>
      <c r="BL70" s="2">
        <f t="shared" si="17"/>
        <v>1</v>
      </c>
      <c r="BM70" s="2">
        <f t="shared" si="18"/>
        <v>1</v>
      </c>
      <c r="BN70" s="2">
        <f t="shared" si="19"/>
        <v>1</v>
      </c>
      <c r="BO70" s="2">
        <f t="shared" si="20"/>
        <v>1</v>
      </c>
      <c r="BP70" s="48">
        <f>IF(G70="入池",IF(ISNUMBER(I70),I70*('Sheet1-指标体系'!$G$4),0),0)</f>
        <v>4.2</v>
      </c>
      <c r="BQ70" s="48">
        <f>IF(G70="入池",IF(ISNUMBER(K70),K70*('Sheet1-指标体系'!$G$5),0),0)</f>
        <v>4.5</v>
      </c>
      <c r="BR70" s="48">
        <f>IF(G70="入池",IF(ISNUMBER(L70),L70*('Sheet1-指标体系'!$G$6),0),0)</f>
        <v>4.5</v>
      </c>
      <c r="BS70" s="48">
        <f>IF(G70="入池",IF(ISNUMBER(Q70),Q70*('Sheet1-指标体系'!$G$7*'Sheet1-指标体系'!$J$8),0),0)</f>
        <v>0.93324</v>
      </c>
      <c r="BT70" s="48">
        <f>IF(G70="入池",IF(ISNUMBER(R70),R70*('Sheet1-指标体系'!$G$7*'Sheet1-指标体系'!$J$9),0),0)</f>
        <v>2.12128</v>
      </c>
      <c r="BU70" s="48">
        <f>IF(G70="入池",IF(ISNUMBER(W70),W70*('Sheet1-指标体系'!$G$8*'Sheet1-指标体系'!$J$8),0),0)</f>
        <v>2.76912</v>
      </c>
      <c r="BV70" s="48">
        <f>IF(G70="入池",IF(ISNUMBER(X70),X70*('Sheet1-指标体系'!$G$8*'Sheet1-指标体系'!$J$9),0),0)</f>
        <v>2.0999</v>
      </c>
      <c r="BW70" s="48">
        <f>IF(G70="入池",IF(ISNUMBER(AC70),AC70*('Sheet1-指标体系'!$G$9),0),0)</f>
        <v>4.73</v>
      </c>
      <c r="BX70" s="48">
        <f>IF(G70="入池",IF(ISNUMBER(AG70),AG70*('Sheet1-指标体系'!$G$10*'Sheet1-指标体系'!$J$8),0),0)</f>
        <v>3.5496</v>
      </c>
      <c r="BY70" s="48">
        <f>IF(G70="入池",IF(ISNUMBER(AH70),AH70*('Sheet1-指标体系'!$G$10*'Sheet1-指标体系'!$J$9),0),0)</f>
        <v>1.5</v>
      </c>
      <c r="BZ70" s="48">
        <f>IF(G70="入池",IF(ISNUMBER(AK70),AK70*('Sheet1-指标体系'!$G$11),0),0)</f>
        <v>8</v>
      </c>
      <c r="CA70" s="49">
        <f>IF(G70="入池",IF(ISNUMBER(I70),'Sheet1-指标体系'!$G$4,0),0)</f>
        <v>0.06</v>
      </c>
      <c r="CB70" s="49">
        <f>IF(G70="入池",IF(ISNUMBER(K70),'Sheet1-指标体系'!$G$5,0),0)</f>
        <v>0.045</v>
      </c>
      <c r="CC70" s="49">
        <f>IF(G70="入池",IF(ISNUMBER(L70),'Sheet1-指标体系'!$G$6,0),0)</f>
        <v>0.045</v>
      </c>
      <c r="CD70" s="49">
        <f>IF(G70="入池",IF(ISNUMBER(Q70),'Sheet1-指标体系'!$G$7*'Sheet1-指标体系'!$J$8,0),0)</f>
        <v>0.084</v>
      </c>
      <c r="CE70" s="49">
        <f>IF(G70="入池",IF(ISNUMBER(R70),'Sheet1-指标体系'!$G$7*'Sheet1-指标体系'!$J$9,0),0)</f>
        <v>0.056</v>
      </c>
      <c r="CF70" s="49">
        <f>IF(G70="入池",IF(ISNUMBER(W70),'Sheet1-指标体系'!$G$8*'Sheet1-指标体系'!$J$8,0),0)</f>
        <v>0.036</v>
      </c>
      <c r="CG70" s="49">
        <f>IF(G70="入池",IF(ISNUMBER(X70),'Sheet1-指标体系'!$G$8*'Sheet1-指标体系'!$J$9,0),0)</f>
        <v>0.024</v>
      </c>
      <c r="CH70" s="49">
        <f>IF(G70="入池",IF(ISNUMBER(AC70),'Sheet1-指标体系'!$G$9,0),0)</f>
        <v>0.25</v>
      </c>
      <c r="CI70" s="49">
        <f>IF(G70="入池",IF(ISNUMBER(AG70),'Sheet1-指标体系'!$G$10*'Sheet1-指标体系'!$J$8,0),0)</f>
        <v>0.18</v>
      </c>
      <c r="CJ70" s="49">
        <f>IF(G70="入池",IF(ISNUMBER(AH70),'Sheet1-指标体系'!$G$10*'Sheet1-指标体系'!$J$9,0),0)</f>
        <v>0.12</v>
      </c>
      <c r="CK70" s="49">
        <f>IF(G70="入池",IF(ISNUMBER(AK70),'Sheet1-指标体系'!$G$11,0),0)</f>
        <v>0.1</v>
      </c>
    </row>
    <row r="71" ht="44" customHeight="1" spans="1:89">
      <c r="A71" s="40">
        <f>'Sheet5-查询核对'!A56-1</f>
        <v>55</v>
      </c>
      <c r="B71" s="24" t="str">
        <f>IF('Sheet4-原始数据'!A56="",'Sheet5-查询核对'!B56,'Sheet4-原始数据'!A56)</f>
        <v>深度梦扬量化1号</v>
      </c>
      <c r="C71" s="22" t="str">
        <f>IF('Sheet4-原始数据'!B56="","",'Sheet4-原始数据'!B56)</f>
        <v>SZM348</v>
      </c>
      <c r="D71" s="22" t="str">
        <f>IF('Sheet4-原始数据'!E56="","",'Sheet4-原始数据'!E56)</f>
        <v>杭州深度资管</v>
      </c>
      <c r="E71" s="23">
        <f>IF('Sheet4-原始数据'!F56="","",'Sheet4-原始数据'!F56)</f>
        <v>44985</v>
      </c>
      <c r="F71" s="37">
        <f>IF(ISNUMBER(E71),ROUND(('Sheet1-指标体系'!$J$12-E71)/'Sheet1-指标体系'!$J$14,4),"")</f>
        <v>3.5318</v>
      </c>
      <c r="G71" s="36" t="str">
        <f>IF(C71="","未匹配",IF(NOT(ISNUMBER(F71)),"缺成立日期",IF(F71&lt;'Sheet1-指标体系'!$J$15,"不入池","入池")))</f>
        <v>入池</v>
      </c>
      <c r="H71" s="22" t="str">
        <f>IF('Sheet5-查询核对'!K56="","",'Sheet5-查询核对'!K56)</f>
        <v>10-20亿元</v>
      </c>
      <c r="I71" s="37">
        <f>IF(H71="","",IF(COUNTIF('Sheet1-指标体系'!$P$4:$P$10,H71)=0,"",INDEX('Sheet1-指标体系'!$Q$4:$Q$10,MATCH(H71,'Sheet1-指标体系'!$P$4:$P$10,0))))</f>
        <v>80</v>
      </c>
      <c r="J71" s="44" t="str">
        <f>IF(NOT(ISNUMBER('Sheet5-查询核对'!N56)),"",IF('Sheet5-查询核对'!N56=1,"低于"&amp;'Sheet1-指标体系'!$J$4&amp;"万元",IF('Sheet5-查询核对'!N56=0,"无低于"&amp;'Sheet1-指标体系'!$J$4&amp;"万元标识","")))</f>
        <v>无低于1000万元标识</v>
      </c>
      <c r="K71" s="37">
        <f>IF(NOT(ISNUMBER('Sheet5-查询核对'!N56)),"",IF('Sheet5-查询核对'!N56=1,'Sheet1-指标体系'!$J$21,IF('Sheet5-查询核对'!N56=0,'Sheet1-指标体系'!$J$18,"")))</f>
        <v>100</v>
      </c>
      <c r="L71" s="37">
        <f>IF(NOT(ISNUMBER(F71)),"",IF(F71&lt;'Sheet1-指标体系'!$J$15,"",IF(F71&lt;'Sheet1-指标体系'!$J$16,'Sheet1-指标体系'!$J$17,'Sheet1-指标体系'!$J$18)))</f>
        <v>100</v>
      </c>
      <c r="M71" s="26">
        <f>IF(ISNUMBER('Sheet4-原始数据'!G56),'Sheet4-原始数据'!G56,"")</f>
        <v>0.0924</v>
      </c>
      <c r="N71" s="26">
        <f>IF(ISNUMBER('Sheet4-原始数据'!H56),'Sheet4-原始数据'!H56,"")</f>
        <v>0.0619</v>
      </c>
      <c r="O71" s="26">
        <f>IF(ISNUMBER('Sheet5-查询核对'!Q56),'Sheet5-查询核对'!Q56,"")</f>
        <v>0.0544</v>
      </c>
      <c r="P71" s="45">
        <f>IF(G71&lt;&gt;"入池","",IF(F71&gt;='Sheet1-指标体系'!$J$16,IF(AND(ISNUMBER(M71),ISNUMBER(N71)),IF(AND(1+M71&gt;0,1+N71&gt;=0),((1+N71)^'Sheet1-指标体系'!$J$16/(1+M71))^(1/('Sheet1-指标体系'!$J$16-1))-1,""),""),IF(AND(ISNUMBER(M71),ISNUMBER(O71)),IF(AND(F71&gt;1,1+M71&gt;0,1+O71&gt;=0),((1+O71)^F71/(1+M71))^(1/(F71-1))-1,""),"")))</f>
        <v>0.0469708387803836</v>
      </c>
      <c r="Q71" s="37">
        <f t="shared" si="0"/>
        <v>55.56</v>
      </c>
      <c r="R71" s="37">
        <f t="shared" si="1"/>
        <v>13.64</v>
      </c>
      <c r="S71" s="37">
        <f>IF(ISNUMBER(Q71),IF(ISNUMBER(R71),ROUND(Q71*'Sheet1-指标体系'!$J$8+R71*'Sheet1-指标体系'!$J$9,2),Q71),"")</f>
        <v>38.79</v>
      </c>
      <c r="T71" s="26">
        <f>IF(ISNUMBER('Sheet4-原始数据'!J56),'Sheet4-原始数据'!J56,"")</f>
        <v>0.6923</v>
      </c>
      <c r="U71" s="26">
        <f>IF(ISNUMBER('Sheet4-原始数据'!I56),'Sheet4-原始数据'!I56,"")</f>
        <v>0.7568</v>
      </c>
      <c r="V71" s="45">
        <f>IF(AND(ISNUMBER(T71),ISNUMBER(U71)),(U71*'Sheet1-指标体系'!$J$6-T71*'Sheet1-指标体系'!$J$5)/'Sheet1-指标体系'!$J$7,"")</f>
        <v>0.7917375</v>
      </c>
      <c r="W71" s="37">
        <f t="shared" si="2"/>
        <v>69.23</v>
      </c>
      <c r="X71" s="37">
        <f>IF(G71&lt;&gt;"入池","",IF(ISNUMBER(V71),IF(AND(V71&gt;=0,V71&lt;=1),V71*'Sheet1-指标体系'!$J$18,IF(MAX(0,(F71-'Sheet1-指标体系'!$J$15)*'Sheet1-指标体系'!$J$20)&lt;'Sheet1-指标体系'!$J$19,'Sheet1-指标体系'!$J$18,"")),IF(MAX(0,(F71-'Sheet1-指标体系'!$J$15)*'Sheet1-指标体系'!$J$20)&lt;'Sheet1-指标体系'!$J$19,'Sheet1-指标体系'!$J$18,"")))</f>
        <v>79.17375</v>
      </c>
      <c r="Y71" s="37">
        <f>IF(ISNUMBER(W71),IF(ISNUMBER(X71),ROUND(W71*'Sheet1-指标体系'!$J$8+X71*'Sheet1-指标体系'!$J$9,2),W71),"")</f>
        <v>73.21</v>
      </c>
      <c r="Z71" s="45">
        <f t="shared" si="3"/>
        <v>0.0365202956404885</v>
      </c>
      <c r="AA71" s="26">
        <f>IF(ISNUMBER('Sheet4-原始数据'!K56),'Sheet4-原始数据'!K56,"")</f>
        <v>0.0365</v>
      </c>
      <c r="AB71" s="45">
        <f t="shared" si="4"/>
        <v>0.0365202956404885</v>
      </c>
      <c r="AC71" s="37">
        <f t="shared" si="5"/>
        <v>32.43</v>
      </c>
      <c r="AD71" s="30">
        <f>IF(ISNUMBER('Sheet4-原始数据'!M56),'Sheet4-原始数据'!M56,"")</f>
        <v>2.5301</v>
      </c>
      <c r="AE71" s="45" t="str">
        <f>IF(AND(ISNUMBER(P71),ISNUMBER(AA71),ISNUMBER(Z71)),IF(AA71&gt;Z71+'Sheet1-指标体系'!$J$11,AA71,""),"")</f>
        <v/>
      </c>
      <c r="AF71" s="37" t="str">
        <f t="shared" si="6"/>
        <v/>
      </c>
      <c r="AG71" s="37">
        <f t="shared" si="7"/>
        <v>22.54</v>
      </c>
      <c r="AH71" s="37" t="str">
        <f t="shared" si="8"/>
        <v/>
      </c>
      <c r="AI71" s="37">
        <f>IF(ISNUMBER(AG71),IF(ISNUMBER(AH71),ROUND(AG71*'Sheet1-指标体系'!$J$8+AH71*'Sheet1-指标体系'!$J$9,2),AG71),"")</f>
        <v>22.54</v>
      </c>
      <c r="AJ71" s="45">
        <f>IF(NOT(ISNUMBER(F71)),"",IF(F71&gt;='Sheet1-指标体系'!$J$16,IF(ISNUMBER(N71),N71,""),IF(ISNUMBER(O71),O71,"")))</f>
        <v>0.0619</v>
      </c>
      <c r="AK71" s="37">
        <f>IF(AND(G71="入池",ISNUMBER(M71),ISNUMBER(AJ71)),IF(M71&gt;=AJ71,'Sheet1-指标体系'!$J$18,IF(AJ71-M71&lt;'Sheet1-指标体系'!$J$10,'Sheet1-指标体系'!$J$22,'Sheet1-指标体系'!$J$23)),"")</f>
        <v>100</v>
      </c>
      <c r="AL71" s="37">
        <f>IF((IF(ISNUMBER(I71),'Sheet1-指标体系'!$G$4,0)+IF(ISNUMBER(K71),'Sheet1-指标体系'!$G$5,0)+IF(ISNUMBER(L71),'Sheet1-指标体系'!$G$6,0))&gt;0,ROUND((IF(ISNUMBER(I71),I71*'Sheet1-指标体系'!$G$4,0)+IF(ISNUMBER(K71),K71*'Sheet1-指标体系'!$G$5,0)+IF(ISNUMBER(L71),L71*'Sheet1-指标体系'!$G$6,0))/(IF(ISNUMBER(I71),'Sheet1-指标体系'!$G$4,0)+IF(ISNUMBER(K71),'Sheet1-指标体系'!$G$5,0)+IF(ISNUMBER(L71),'Sheet1-指标体系'!$G$6,0)),2),"")</f>
        <v>92</v>
      </c>
      <c r="AM71" s="37">
        <f t="shared" si="9"/>
        <v>49.12</v>
      </c>
      <c r="AN71" s="37">
        <f t="shared" si="10"/>
        <v>32.43</v>
      </c>
      <c r="AO71" s="37">
        <f t="shared" si="11"/>
        <v>22.54</v>
      </c>
      <c r="AP71" s="37">
        <f t="shared" si="12"/>
        <v>100</v>
      </c>
      <c r="AQ71" s="38">
        <f t="shared" si="13"/>
        <v>0.88</v>
      </c>
      <c r="AR71" s="37">
        <f t="shared" si="14"/>
        <v>45.78803</v>
      </c>
      <c r="AS71" s="37">
        <f t="shared" si="15"/>
        <v>52.03</v>
      </c>
      <c r="AT71" s="40">
        <f>IF(OR(G71&lt;&gt;"入池",NOT(ISNUMBER(AS71))),"",COUNTIFS($G$17:$G$99,"入池",$AS$17:$AS$99,"&gt;"&amp;AS71)+COUNTIFS($G$17:$G$99,"入池",$AS$17:$AS$99,AS71,$AQ$17:$AQ$99,"&gt;"&amp;AQ71)+COUNTIFS($G$17:G71,"入池",$AS$17:AS71,AS71,$AQ$17:AQ71,AQ71))</f>
        <v>55</v>
      </c>
      <c r="AU71" s="46" t="str">
        <f>IF(NOT(ISNUMBER(I71)),"管理人规模；","")&amp;IF(NOT(ISNUMBER(K71)),"产品规模标识；","")&amp;IF(NOT(ISNUMBER(M71)),"近一年收益；","")&amp;IF(NOT(ISNUMBER(T71)),"近一年胜率；","")&amp;IF(NOT(ISNUMBER(N71)),"近三年收益；","")&amp;IF(NOT(ISNUMBER(U71)),"近三年胜率；","")&amp;IF(NOT(ISNUMBER(AA71)),"近三年回撤；","")&amp;IF(NOT(ISNUMBER(AD71)),"近一年卡玛；","")&amp;IF(ISNUMBER(F71),IF(AND(F71&lt;'Sheet1-指标体系'!$J$16,NOT(ISNUMBER(O71))),"成立以来年化；",""),"成立日期；")&amp;IF(ISNUMBER(V71),IF(OR(V71&lt;0,V71&gt;1),"胜率窗口口径不一致；",""),"")&amp;IF(ISNUMBER(P71),IF(NOT(ISNUMBER(AE71)),"DD_long不可识别；",""),"")</f>
        <v>DD_long不可识别；</v>
      </c>
      <c r="AV71" s="37" t="str">
        <f>IF(ABS(SUM(CA71:CK71)-'Sheet1-指标体系'!$J$25)&lt;0.0000000001,SUM(BP71:BZ71),"")</f>
        <v/>
      </c>
      <c r="AW71" s="36" t="str">
        <f>IF(G71&lt;&gt;"入池",G71,IF(AQ71=0,"无有效评分数据",IF(ROUND(AQ71,10)=ROUND('Sheet1-指标体系'!$J$25,10),"完整赋分","暂定分／数据不完整")))</f>
        <v>暂定分／数据不完整</v>
      </c>
      <c r="AX71" s="22" t="str">
        <f>IF('Sheet4-原始数据'!C56="","",'Sheet4-原始数据'!C56)</f>
        <v>期权策略</v>
      </c>
      <c r="AY71" s="22" t="str">
        <f>IF('Sheet4-原始数据'!D56="","",'Sheet4-原始数据'!D56)</f>
        <v>场内期权</v>
      </c>
      <c r="AZ71" s="22" t="str">
        <f>IF('Sheet5-查询核对'!S56="","",'Sheet5-查询核对'!S56)</f>
        <v>期权策略</v>
      </c>
      <c r="BA71" s="25">
        <f>IF('Sheet5-查询核对'!A56="","",'Sheet5-查询核对'!A56)</f>
        <v>56</v>
      </c>
      <c r="BB71" s="22" t="str">
        <f>IF('Sheet5-查询核对'!F56="","",'Sheet5-查询核对'!F56)</f>
        <v>备案号匹配</v>
      </c>
      <c r="BC71" s="24" t="str">
        <f>IF('Sheet5-查询核对'!I56="","",'Sheet5-查询核对'!I56)</f>
        <v>https://mp.fof99.com/fund/view/d84950ffb7571587</v>
      </c>
      <c r="BD71" s="23">
        <f>IF('Sheet5-查询核对'!H56="","",'Sheet5-查询核对'!H56)</f>
        <v>46269</v>
      </c>
      <c r="BE71" s="24" t="str">
        <f>IF('Sheet5-查询核对'!L56="","",'Sheet5-查询核对'!L56)</f>
        <v>https://gs.amac.org.cn/amac-infodisc/res/pof/manager/1703210938100205.html</v>
      </c>
      <c r="BF71" s="23">
        <f>IF('Sheet5-查询核对'!M56="","",'Sheet5-查询核对'!M56)</f>
        <v>46276</v>
      </c>
      <c r="BG71" s="24" t="str">
        <f>IF('Sheet5-查询核对'!O56="","",'Sheet5-查询核对'!O56)</f>
        <v>https://gs.amac.org.cn/amac-infodisc/res/pof/fund/2303031716101421.html</v>
      </c>
      <c r="BH71" s="23">
        <f>IF('Sheet5-查询核对'!P56="","",'Sheet5-查询核对'!P56)</f>
        <v>46276</v>
      </c>
      <c r="BI71" s="22" t="str">
        <f>IF('Sheet5-查询核对'!D56="","",'Sheet5-查询核对'!D56)</f>
        <v>SZM348</v>
      </c>
      <c r="BJ71">
        <f>IF(ISNUMBER(AT71),AT71,COUNT($AT$17:$AT$99)+ROWS($AT$17:AT71)-COUNT($AT$17:AT71))</f>
        <v>55</v>
      </c>
      <c r="BK71" s="2">
        <f t="shared" si="16"/>
        <v>1</v>
      </c>
      <c r="BL71" s="2">
        <f t="shared" si="17"/>
        <v>1</v>
      </c>
      <c r="BM71" s="2">
        <f t="shared" si="18"/>
        <v>1</v>
      </c>
      <c r="BN71" s="2">
        <f t="shared" si="19"/>
        <v>1</v>
      </c>
      <c r="BO71" s="2">
        <f t="shared" si="20"/>
        <v>0</v>
      </c>
      <c r="BP71" s="48">
        <f>IF(G71="入池",IF(ISNUMBER(I71),I71*('Sheet1-指标体系'!$G$4),0),0)</f>
        <v>4.8</v>
      </c>
      <c r="BQ71" s="48">
        <f>IF(G71="入池",IF(ISNUMBER(K71),K71*('Sheet1-指标体系'!$G$5),0),0)</f>
        <v>4.5</v>
      </c>
      <c r="BR71" s="48">
        <f>IF(G71="入池",IF(ISNUMBER(L71),L71*('Sheet1-指标体系'!$G$6),0),0)</f>
        <v>4.5</v>
      </c>
      <c r="BS71" s="48">
        <f>IF(G71="入池",IF(ISNUMBER(Q71),Q71*('Sheet1-指标体系'!$G$7*'Sheet1-指标体系'!$J$8),0),0)</f>
        <v>4.66704</v>
      </c>
      <c r="BT71" s="48">
        <f>IF(G71="入池",IF(ISNUMBER(R71),R71*('Sheet1-指标体系'!$G$7*'Sheet1-指标体系'!$J$9),0),0)</f>
        <v>0.76384</v>
      </c>
      <c r="BU71" s="48">
        <f>IF(G71="入池",IF(ISNUMBER(W71),W71*('Sheet1-指标体系'!$G$8*'Sheet1-指标体系'!$J$8),0),0)</f>
        <v>2.49228</v>
      </c>
      <c r="BV71" s="48">
        <f>IF(G71="入池",IF(ISNUMBER(X71),X71*('Sheet1-指标体系'!$G$8*'Sheet1-指标体系'!$J$9),0),0)</f>
        <v>1.90017</v>
      </c>
      <c r="BW71" s="48">
        <f>IF(G71="入池",IF(ISNUMBER(AC71),AC71*('Sheet1-指标体系'!$G$9),0),0)</f>
        <v>8.1075</v>
      </c>
      <c r="BX71" s="48">
        <f>IF(G71="入池",IF(ISNUMBER(AG71),AG71*('Sheet1-指标体系'!$G$10*'Sheet1-指标体系'!$J$8),0),0)</f>
        <v>4.0572</v>
      </c>
      <c r="BY71" s="48">
        <f>IF(G71="入池",IF(ISNUMBER(AH71),AH71*('Sheet1-指标体系'!$G$10*'Sheet1-指标体系'!$J$9),0),0)</f>
        <v>0</v>
      </c>
      <c r="BZ71" s="48">
        <f>IF(G71="入池",IF(ISNUMBER(AK71),AK71*('Sheet1-指标体系'!$G$11),0),0)</f>
        <v>10</v>
      </c>
      <c r="CA71" s="49">
        <f>IF(G71="入池",IF(ISNUMBER(I71),'Sheet1-指标体系'!$G$4,0),0)</f>
        <v>0.06</v>
      </c>
      <c r="CB71" s="49">
        <f>IF(G71="入池",IF(ISNUMBER(K71),'Sheet1-指标体系'!$G$5,0),0)</f>
        <v>0.045</v>
      </c>
      <c r="CC71" s="49">
        <f>IF(G71="入池",IF(ISNUMBER(L71),'Sheet1-指标体系'!$G$6,0),0)</f>
        <v>0.045</v>
      </c>
      <c r="CD71" s="49">
        <f>IF(G71="入池",IF(ISNUMBER(Q71),'Sheet1-指标体系'!$G$7*'Sheet1-指标体系'!$J$8,0),0)</f>
        <v>0.084</v>
      </c>
      <c r="CE71" s="49">
        <f>IF(G71="入池",IF(ISNUMBER(R71),'Sheet1-指标体系'!$G$7*'Sheet1-指标体系'!$J$9,0),0)</f>
        <v>0.056</v>
      </c>
      <c r="CF71" s="49">
        <f>IF(G71="入池",IF(ISNUMBER(W71),'Sheet1-指标体系'!$G$8*'Sheet1-指标体系'!$J$8,0),0)</f>
        <v>0.036</v>
      </c>
      <c r="CG71" s="49">
        <f>IF(G71="入池",IF(ISNUMBER(X71),'Sheet1-指标体系'!$G$8*'Sheet1-指标体系'!$J$9,0),0)</f>
        <v>0.024</v>
      </c>
      <c r="CH71" s="49">
        <f>IF(G71="入池",IF(ISNUMBER(AC71),'Sheet1-指标体系'!$G$9,0),0)</f>
        <v>0.25</v>
      </c>
      <c r="CI71" s="49">
        <f>IF(G71="入池",IF(ISNUMBER(AG71),'Sheet1-指标体系'!$G$10*'Sheet1-指标体系'!$J$8,0),0)</f>
        <v>0.18</v>
      </c>
      <c r="CJ71" s="49">
        <f>IF(G71="入池",IF(ISNUMBER(AH71),'Sheet1-指标体系'!$G$10*'Sheet1-指标体系'!$J$9,0),0)</f>
        <v>0</v>
      </c>
      <c r="CK71" s="49">
        <f>IF(G71="入池",IF(ISNUMBER(AK71),'Sheet1-指标体系'!$G$11,0),0)</f>
        <v>0.1</v>
      </c>
    </row>
    <row r="72" ht="44" customHeight="1" spans="1:89">
      <c r="A72" s="40">
        <f>'Sheet5-查询核对'!A57-1</f>
        <v>56</v>
      </c>
      <c r="B72" s="24" t="str">
        <f>IF('Sheet4-原始数据'!A57="",'Sheet5-查询核对'!B57,'Sheet4-原始数据'!A57)</f>
        <v>深度梦扬量化套利0号</v>
      </c>
      <c r="C72" s="22" t="str">
        <f>IF('Sheet4-原始数据'!B57="","",'Sheet4-原始数据'!B57)</f>
        <v>SQD620</v>
      </c>
      <c r="D72" s="22" t="str">
        <f>IF('Sheet4-原始数据'!E57="","",'Sheet4-原始数据'!E57)</f>
        <v>杭州深度资管</v>
      </c>
      <c r="E72" s="23">
        <f>IF('Sheet4-原始数据'!F57="","",'Sheet4-原始数据'!F57)</f>
        <v>44305</v>
      </c>
      <c r="F72" s="37">
        <f>IF(ISNUMBER(E72),ROUND(('Sheet1-指标体系'!$J$12-E72)/'Sheet1-指标体系'!$J$14,4),"")</f>
        <v>5.3936</v>
      </c>
      <c r="G72" s="36" t="str">
        <f>IF(C72="","未匹配",IF(NOT(ISNUMBER(F72)),"缺成立日期",IF(F72&lt;'Sheet1-指标体系'!$J$15,"不入池","入池")))</f>
        <v>入池</v>
      </c>
      <c r="H72" s="22" t="str">
        <f>IF('Sheet5-查询核对'!K57="","",'Sheet5-查询核对'!K57)</f>
        <v>10-20亿元</v>
      </c>
      <c r="I72" s="37">
        <f>IF(H72="","",IF(COUNTIF('Sheet1-指标体系'!$P$4:$P$10,H72)=0,"",INDEX('Sheet1-指标体系'!$Q$4:$Q$10,MATCH(H72,'Sheet1-指标体系'!$P$4:$P$10,0))))</f>
        <v>80</v>
      </c>
      <c r="J72" s="44" t="str">
        <f>IF(NOT(ISNUMBER('Sheet5-查询核对'!N57)),"",IF('Sheet5-查询核对'!N57=1,"低于"&amp;'Sheet1-指标体系'!$J$4&amp;"万元",IF('Sheet5-查询核对'!N57=0,"无低于"&amp;'Sheet1-指标体系'!$J$4&amp;"万元标识","")))</f>
        <v>无低于1000万元标识</v>
      </c>
      <c r="K72" s="37">
        <f>IF(NOT(ISNUMBER('Sheet5-查询核对'!N57)),"",IF('Sheet5-查询核对'!N57=1,'Sheet1-指标体系'!$J$21,IF('Sheet5-查询核对'!N57=0,'Sheet1-指标体系'!$J$18,"")))</f>
        <v>100</v>
      </c>
      <c r="L72" s="37">
        <f>IF(NOT(ISNUMBER(F72)),"",IF(F72&lt;'Sheet1-指标体系'!$J$15,"",IF(F72&lt;'Sheet1-指标体系'!$J$16,'Sheet1-指标体系'!$J$17,'Sheet1-指标体系'!$J$18)))</f>
        <v>100</v>
      </c>
      <c r="M72" s="26">
        <f>IF(ISNUMBER('Sheet4-原始数据'!G57),'Sheet4-原始数据'!G57,"")</f>
        <v>0.0996137314702967</v>
      </c>
      <c r="N72" s="26">
        <f>IF(ISNUMBER('Sheet4-原始数据'!H57),'Sheet4-原始数据'!H57,"")</f>
        <v>0.0845476235035083</v>
      </c>
      <c r="O72" s="26">
        <f>IF(ISNUMBER('Sheet5-查询核对'!Q57),'Sheet5-查询核对'!Q57,"")</f>
        <v>0.0776116770429107</v>
      </c>
      <c r="P72" s="45">
        <f>IF(G72&lt;&gt;"入池","",IF(F72&gt;='Sheet1-指标体系'!$J$16,IF(AND(ISNUMBER(M72),ISNUMBER(N72)),IF(AND(1+M72&gt;0,1+N72&gt;=0),((1+N72)^'Sheet1-指标体系'!$J$16/(1+M72))^(1/('Sheet1-指标体系'!$J$16-1))-1,""),""),IF(AND(ISNUMBER(M72),ISNUMBER(O72)),IF(AND(F72&gt;1,1+M72&gt;0,1+O72&gt;=0),((1+O72)^F72/(1+M72))^(1/(F72-1))-1,""),"")))</f>
        <v>0.0770921565243787</v>
      </c>
      <c r="Q72" s="37">
        <f t="shared" si="0"/>
        <v>61.11</v>
      </c>
      <c r="R72" s="37">
        <f t="shared" si="1"/>
        <v>48.48</v>
      </c>
      <c r="S72" s="37">
        <f>IF(ISNUMBER(Q72),IF(ISNUMBER(R72),ROUND(Q72*'Sheet1-指标体系'!$J$8+R72*'Sheet1-指标体系'!$J$9,2),Q72),"")</f>
        <v>56.06</v>
      </c>
      <c r="T72" s="26">
        <f>IF(ISNUMBER('Sheet4-原始数据'!J57),'Sheet4-原始数据'!J57,"")</f>
        <v>0.692307692307692</v>
      </c>
      <c r="U72" s="26">
        <f>IF(ISNUMBER('Sheet4-原始数据'!I57),'Sheet4-原始数据'!I57,"")</f>
        <v>0.756756756756757</v>
      </c>
      <c r="V72" s="45">
        <f>IF(AND(ISNUMBER(T72),ISNUMBER(U72)),(U72*'Sheet1-指标体系'!$J$6-T72*'Sheet1-指标体系'!$J$5)/'Sheet1-指标体系'!$J$7,"")</f>
        <v>0.791666666666667</v>
      </c>
      <c r="W72" s="37">
        <f t="shared" si="2"/>
        <v>69.2307692307692</v>
      </c>
      <c r="X72" s="37">
        <f>IF(G72&lt;&gt;"入池","",IF(ISNUMBER(V72),IF(AND(V72&gt;=0,V72&lt;=1),V72*'Sheet1-指标体系'!$J$18,IF(MAX(0,(F72-'Sheet1-指标体系'!$J$15)*'Sheet1-指标体系'!$J$20)&lt;'Sheet1-指标体系'!$J$19,'Sheet1-指标体系'!$J$18,"")),IF(MAX(0,(F72-'Sheet1-指标体系'!$J$15)*'Sheet1-指标体系'!$J$20)&lt;'Sheet1-指标体系'!$J$19,'Sheet1-指标体系'!$J$18,"")))</f>
        <v>79.1666666666667</v>
      </c>
      <c r="Y72" s="37">
        <f>IF(ISNUMBER(W72),IF(ISNUMBER(X72),ROUND(W72*'Sheet1-指标体系'!$J$8+X72*'Sheet1-指标体系'!$J$9,2),W72),"")</f>
        <v>73.21</v>
      </c>
      <c r="Z72" s="45">
        <f t="shared" si="3"/>
        <v>0.0402287251934073</v>
      </c>
      <c r="AA72" s="26">
        <f>IF(ISNUMBER('Sheet4-原始数据'!K57),'Sheet4-原始数据'!K57,"")</f>
        <v>0.0402287251934073</v>
      </c>
      <c r="AB72" s="45">
        <f t="shared" si="4"/>
        <v>0.0402287251934073</v>
      </c>
      <c r="AC72" s="37">
        <f t="shared" si="5"/>
        <v>25.68</v>
      </c>
      <c r="AD72" s="30">
        <f>IF(ISNUMBER('Sheet4-原始数据'!M57),'Sheet4-原始数据'!M57,"")</f>
        <v>2.47618414432435</v>
      </c>
      <c r="AE72" s="45" t="str">
        <f>IF(AND(ISNUMBER(P72),ISNUMBER(AA72),ISNUMBER(Z72)),IF(AA72&gt;Z72+'Sheet1-指标体系'!$J$11,AA72,""),"")</f>
        <v/>
      </c>
      <c r="AF72" s="37" t="str">
        <f t="shared" si="6"/>
        <v/>
      </c>
      <c r="AG72" s="37">
        <f t="shared" si="7"/>
        <v>21.13</v>
      </c>
      <c r="AH72" s="37" t="str">
        <f t="shared" si="8"/>
        <v/>
      </c>
      <c r="AI72" s="37">
        <f>IF(ISNUMBER(AG72),IF(ISNUMBER(AH72),ROUND(AG72*'Sheet1-指标体系'!$J$8+AH72*'Sheet1-指标体系'!$J$9,2),AG72),"")</f>
        <v>21.13</v>
      </c>
      <c r="AJ72" s="45">
        <f>IF(NOT(ISNUMBER(F72)),"",IF(F72&gt;='Sheet1-指标体系'!$J$16,IF(ISNUMBER(N72),N72,""),IF(ISNUMBER(O72),O72,"")))</f>
        <v>0.0845476235035083</v>
      </c>
      <c r="AK72" s="37">
        <f>IF(AND(G72="入池",ISNUMBER(M72),ISNUMBER(AJ72)),IF(M72&gt;=AJ72,'Sheet1-指标体系'!$J$18,IF(AJ72-M72&lt;'Sheet1-指标体系'!$J$10,'Sheet1-指标体系'!$J$22,'Sheet1-指标体系'!$J$23)),"")</f>
        <v>100</v>
      </c>
      <c r="AL72" s="37">
        <f>IF((IF(ISNUMBER(I72),'Sheet1-指标体系'!$G$4,0)+IF(ISNUMBER(K72),'Sheet1-指标体系'!$G$5,0)+IF(ISNUMBER(L72),'Sheet1-指标体系'!$G$6,0))&gt;0,ROUND((IF(ISNUMBER(I72),I72*'Sheet1-指标体系'!$G$4,0)+IF(ISNUMBER(K72),K72*'Sheet1-指标体系'!$G$5,0)+IF(ISNUMBER(L72),L72*'Sheet1-指标体系'!$G$6,0))/(IF(ISNUMBER(I72),'Sheet1-指标体系'!$G$4,0)+IF(ISNUMBER(K72),'Sheet1-指标体系'!$G$5,0)+IF(ISNUMBER(L72),'Sheet1-指标体系'!$G$6,0)),2),"")</f>
        <v>92</v>
      </c>
      <c r="AM72" s="37">
        <f t="shared" si="9"/>
        <v>61.2</v>
      </c>
      <c r="AN72" s="37">
        <f t="shared" si="10"/>
        <v>25.68</v>
      </c>
      <c r="AO72" s="37">
        <f t="shared" si="11"/>
        <v>21.13</v>
      </c>
      <c r="AP72" s="37">
        <f t="shared" si="12"/>
        <v>100</v>
      </c>
      <c r="AQ72" s="38">
        <f t="shared" si="13"/>
        <v>0.88</v>
      </c>
      <c r="AR72" s="37">
        <f t="shared" si="14"/>
        <v>46.2638276923077</v>
      </c>
      <c r="AS72" s="37">
        <f t="shared" si="15"/>
        <v>52.57</v>
      </c>
      <c r="AT72" s="40">
        <f>IF(OR(G72&lt;&gt;"入池",NOT(ISNUMBER(AS72))),"",COUNTIFS($G$17:$G$99,"入池",$AS$17:$AS$99,"&gt;"&amp;AS72)+COUNTIFS($G$17:$G$99,"入池",$AS$17:$AS$99,AS72,$AQ$17:$AQ$99,"&gt;"&amp;AQ72)+COUNTIFS($G$17:G72,"入池",$AS$17:AS72,AS72,$AQ$17:AQ72,AQ72))</f>
        <v>54</v>
      </c>
      <c r="AU72" s="46" t="str">
        <f>IF(NOT(ISNUMBER(I72)),"管理人规模；","")&amp;IF(NOT(ISNUMBER(K72)),"产品规模标识；","")&amp;IF(NOT(ISNUMBER(M72)),"近一年收益；","")&amp;IF(NOT(ISNUMBER(T72)),"近一年胜率；","")&amp;IF(NOT(ISNUMBER(N72)),"近三年收益；","")&amp;IF(NOT(ISNUMBER(U72)),"近三年胜率；","")&amp;IF(NOT(ISNUMBER(AA72)),"近三年回撤；","")&amp;IF(NOT(ISNUMBER(AD72)),"近一年卡玛；","")&amp;IF(ISNUMBER(F72),IF(AND(F72&lt;'Sheet1-指标体系'!$J$16,NOT(ISNUMBER(O72))),"成立以来年化；",""),"成立日期；")&amp;IF(ISNUMBER(V72),IF(OR(V72&lt;0,V72&gt;1),"胜率窗口口径不一致；",""),"")&amp;IF(ISNUMBER(P72),IF(NOT(ISNUMBER(AE72)),"DD_long不可识别；",""),"")</f>
        <v>DD_long不可识别；</v>
      </c>
      <c r="AV72" s="37" t="str">
        <f>IF(ABS(SUM(CA72:CK72)-'Sheet1-指标体系'!$J$25)&lt;0.0000000001,SUM(BP72:BZ72),"")</f>
        <v/>
      </c>
      <c r="AW72" s="36" t="str">
        <f>IF(G72&lt;&gt;"入池",G72,IF(AQ72=0,"无有效评分数据",IF(ROUND(AQ72,10)=ROUND('Sheet1-指标体系'!$J$25,10),"完整赋分","暂定分／数据不完整")))</f>
        <v>暂定分／数据不完整</v>
      </c>
      <c r="AX72" s="22" t="str">
        <f>IF('Sheet4-原始数据'!C57="","",'Sheet4-原始数据'!C57)</f>
        <v>期权策略</v>
      </c>
      <c r="AY72" s="22" t="str">
        <f>IF('Sheet4-原始数据'!D57="","",'Sheet4-原始数据'!D57)</f>
        <v>场内期权</v>
      </c>
      <c r="AZ72" s="22" t="str">
        <f>IF('Sheet5-查询核对'!S57="","",'Sheet5-查询核对'!S57)</f>
        <v>期权策略</v>
      </c>
      <c r="BA72" s="25">
        <f>IF('Sheet5-查询核对'!A57="","",'Sheet5-查询核对'!A57)</f>
        <v>57</v>
      </c>
      <c r="BB72" s="22" t="str">
        <f>IF('Sheet5-查询核对'!F57="","",'Sheet5-查询核对'!F57)</f>
        <v>备案号匹配</v>
      </c>
      <c r="BC72" s="24" t="str">
        <f>IF('Sheet5-查询核对'!I57="","",'Sheet5-查询核对'!I57)</f>
        <v>https://mp.fof99.com/fund/view/56199c339d1a20c7</v>
      </c>
      <c r="BD72" s="23">
        <f>IF('Sheet5-查询核对'!H57="","",'Sheet5-查询核对'!H57)</f>
        <v>46269</v>
      </c>
      <c r="BE72" s="24" t="str">
        <f>IF('Sheet5-查询核对'!L57="","",'Sheet5-查询核对'!L57)</f>
        <v>https://gs.amac.org.cn/amac-infodisc/res/pof/manager/1703210938100205.html</v>
      </c>
      <c r="BF72" s="23">
        <f>IF('Sheet5-查询核对'!M57="","",'Sheet5-查询核对'!M57)</f>
        <v>46276</v>
      </c>
      <c r="BG72" s="24" t="str">
        <f>IF('Sheet5-查询核对'!O57="","",'Sheet5-查询核对'!O57)</f>
        <v>https://gs.amac.org.cn/amac-infodisc/res/pof/fund/2104230845102170.html</v>
      </c>
      <c r="BH72" s="23">
        <f>IF('Sheet5-查询核对'!P57="","",'Sheet5-查询核对'!P57)</f>
        <v>46276</v>
      </c>
      <c r="BI72" s="22" t="str">
        <f>IF('Sheet5-查询核对'!D57="","",'Sheet5-查询核对'!D57)</f>
        <v>SQD620</v>
      </c>
      <c r="BJ72">
        <f>IF(ISNUMBER(AT72),AT72,COUNT($AT$17:$AT$99)+ROWS($AT$17:AT72)-COUNT($AT$17:AT72))</f>
        <v>54</v>
      </c>
      <c r="BK72" s="2">
        <f t="shared" si="16"/>
        <v>1</v>
      </c>
      <c r="BL72" s="2">
        <f t="shared" si="17"/>
        <v>1</v>
      </c>
      <c r="BM72" s="2">
        <f t="shared" si="18"/>
        <v>1</v>
      </c>
      <c r="BN72" s="2">
        <f t="shared" si="19"/>
        <v>1</v>
      </c>
      <c r="BO72" s="2">
        <f t="shared" si="20"/>
        <v>0</v>
      </c>
      <c r="BP72" s="48">
        <f>IF(G72="入池",IF(ISNUMBER(I72),I72*('Sheet1-指标体系'!$G$4),0),0)</f>
        <v>4.8</v>
      </c>
      <c r="BQ72" s="48">
        <f>IF(G72="入池",IF(ISNUMBER(K72),K72*('Sheet1-指标体系'!$G$5),0),0)</f>
        <v>4.5</v>
      </c>
      <c r="BR72" s="48">
        <f>IF(G72="入池",IF(ISNUMBER(L72),L72*('Sheet1-指标体系'!$G$6),0),0)</f>
        <v>4.5</v>
      </c>
      <c r="BS72" s="48">
        <f>IF(G72="入池",IF(ISNUMBER(Q72),Q72*('Sheet1-指标体系'!$G$7*'Sheet1-指标体系'!$J$8),0),0)</f>
        <v>5.13324</v>
      </c>
      <c r="BT72" s="48">
        <f>IF(G72="入池",IF(ISNUMBER(R72),R72*('Sheet1-指标体系'!$G$7*'Sheet1-指标体系'!$J$9),0),0)</f>
        <v>2.71488</v>
      </c>
      <c r="BU72" s="48">
        <f>IF(G72="入池",IF(ISNUMBER(W72),W72*('Sheet1-指标体系'!$G$8*'Sheet1-指标体系'!$J$8),0),0)</f>
        <v>2.49230769230769</v>
      </c>
      <c r="BV72" s="48">
        <f>IF(G72="入池",IF(ISNUMBER(X72),X72*('Sheet1-指标体系'!$G$8*'Sheet1-指标体系'!$J$9),0),0)</f>
        <v>1.9</v>
      </c>
      <c r="BW72" s="48">
        <f>IF(G72="入池",IF(ISNUMBER(AC72),AC72*('Sheet1-指标体系'!$G$9),0),0)</f>
        <v>6.42</v>
      </c>
      <c r="BX72" s="48">
        <f>IF(G72="入池",IF(ISNUMBER(AG72),AG72*('Sheet1-指标体系'!$G$10*'Sheet1-指标体系'!$J$8),0),0)</f>
        <v>3.8034</v>
      </c>
      <c r="BY72" s="48">
        <f>IF(G72="入池",IF(ISNUMBER(AH72),AH72*('Sheet1-指标体系'!$G$10*'Sheet1-指标体系'!$J$9),0),0)</f>
        <v>0</v>
      </c>
      <c r="BZ72" s="48">
        <f>IF(G72="入池",IF(ISNUMBER(AK72),AK72*('Sheet1-指标体系'!$G$11),0),0)</f>
        <v>10</v>
      </c>
      <c r="CA72" s="49">
        <f>IF(G72="入池",IF(ISNUMBER(I72),'Sheet1-指标体系'!$G$4,0),0)</f>
        <v>0.06</v>
      </c>
      <c r="CB72" s="49">
        <f>IF(G72="入池",IF(ISNUMBER(K72),'Sheet1-指标体系'!$G$5,0),0)</f>
        <v>0.045</v>
      </c>
      <c r="CC72" s="49">
        <f>IF(G72="入池",IF(ISNUMBER(L72),'Sheet1-指标体系'!$G$6,0),0)</f>
        <v>0.045</v>
      </c>
      <c r="CD72" s="49">
        <f>IF(G72="入池",IF(ISNUMBER(Q72),'Sheet1-指标体系'!$G$7*'Sheet1-指标体系'!$J$8,0),0)</f>
        <v>0.084</v>
      </c>
      <c r="CE72" s="49">
        <f>IF(G72="入池",IF(ISNUMBER(R72),'Sheet1-指标体系'!$G$7*'Sheet1-指标体系'!$J$9,0),0)</f>
        <v>0.056</v>
      </c>
      <c r="CF72" s="49">
        <f>IF(G72="入池",IF(ISNUMBER(W72),'Sheet1-指标体系'!$G$8*'Sheet1-指标体系'!$J$8,0),0)</f>
        <v>0.036</v>
      </c>
      <c r="CG72" s="49">
        <f>IF(G72="入池",IF(ISNUMBER(X72),'Sheet1-指标体系'!$G$8*'Sheet1-指标体系'!$J$9,0),0)</f>
        <v>0.024</v>
      </c>
      <c r="CH72" s="49">
        <f>IF(G72="入池",IF(ISNUMBER(AC72),'Sheet1-指标体系'!$G$9,0),0)</f>
        <v>0.25</v>
      </c>
      <c r="CI72" s="49">
        <f>IF(G72="入池",IF(ISNUMBER(AG72),'Sheet1-指标体系'!$G$10*'Sheet1-指标体系'!$J$8,0),0)</f>
        <v>0.18</v>
      </c>
      <c r="CJ72" s="49">
        <f>IF(G72="入池",IF(ISNUMBER(AH72),'Sheet1-指标体系'!$G$10*'Sheet1-指标体系'!$J$9,0),0)</f>
        <v>0</v>
      </c>
      <c r="CK72" s="49">
        <f>IF(G72="入池",IF(ISNUMBER(AK72),'Sheet1-指标体系'!$G$11,0),0)</f>
        <v>0.1</v>
      </c>
    </row>
    <row r="73" ht="44" customHeight="1" spans="1:89">
      <c r="A73" s="40">
        <f>'Sheet5-查询核对'!A58-1</f>
        <v>57</v>
      </c>
      <c r="B73" s="24" t="str">
        <f>IF('Sheet4-原始数据'!A58="",'Sheet5-查询核对'!B58,'Sheet4-原始数据'!A58)</f>
        <v>盛冠达试金石3号</v>
      </c>
      <c r="C73" s="22" t="str">
        <f>IF('Sheet4-原始数据'!B58="","",'Sheet4-原始数据'!B58)</f>
        <v>SW1709</v>
      </c>
      <c r="D73" s="22" t="str">
        <f>IF('Sheet4-原始数据'!E58="","",'Sheet4-原始数据'!E58)</f>
        <v>海南盛冠达</v>
      </c>
      <c r="E73" s="23">
        <f>IF('Sheet4-原始数据'!F58="","",'Sheet4-原始数据'!F58)</f>
        <v>43041</v>
      </c>
      <c r="F73" s="37">
        <f>IF(ISNUMBER(E73),ROUND(('Sheet1-指标体系'!$J$12-E73)/'Sheet1-指标体系'!$J$14,4),"")</f>
        <v>8.8542</v>
      </c>
      <c r="G73" s="36" t="str">
        <f>IF(C73="","未匹配",IF(NOT(ISNUMBER(F73)),"缺成立日期",IF(F73&lt;'Sheet1-指标体系'!$J$15,"不入池","入池")))</f>
        <v>入池</v>
      </c>
      <c r="H73" s="22" t="str">
        <f>IF('Sheet5-查询核对'!K58="","",'Sheet5-查询核对'!K58)</f>
        <v>20-50亿元</v>
      </c>
      <c r="I73" s="37">
        <f>IF(H73="","",IF(COUNTIF('Sheet1-指标体系'!$P$4:$P$10,H73)=0,"",INDEX('Sheet1-指标体系'!$Q$4:$Q$10,MATCH(H73,'Sheet1-指标体系'!$P$4:$P$10,0))))</f>
        <v>90</v>
      </c>
      <c r="J73" s="44" t="str">
        <f>IF(NOT(ISNUMBER('Sheet5-查询核对'!N58)),"",IF('Sheet5-查询核对'!N58=1,"低于"&amp;'Sheet1-指标体系'!$J$4&amp;"万元",IF('Sheet5-查询核对'!N58=0,"无低于"&amp;'Sheet1-指标体系'!$J$4&amp;"万元标识","")))</f>
        <v>无低于1000万元标识</v>
      </c>
      <c r="K73" s="37">
        <f>IF(NOT(ISNUMBER('Sheet5-查询核对'!N58)),"",IF('Sheet5-查询核对'!N58=1,'Sheet1-指标体系'!$J$21,IF('Sheet5-查询核对'!N58=0,'Sheet1-指标体系'!$J$18,"")))</f>
        <v>100</v>
      </c>
      <c r="L73" s="37">
        <f>IF(NOT(ISNUMBER(F73)),"",IF(F73&lt;'Sheet1-指标体系'!$J$15,"",IF(F73&lt;'Sheet1-指标体系'!$J$16,'Sheet1-指标体系'!$J$17,'Sheet1-指标体系'!$J$18)))</f>
        <v>100</v>
      </c>
      <c r="M73" s="26">
        <f>IF(ISNUMBER('Sheet4-原始数据'!G58),'Sheet4-原始数据'!G58,"")</f>
        <v>0.0255</v>
      </c>
      <c r="N73" s="26">
        <f>IF(ISNUMBER('Sheet4-原始数据'!H58),'Sheet4-原始数据'!H58,"")</f>
        <v>0.0484</v>
      </c>
      <c r="O73" s="26">
        <f>IF(ISNUMBER('Sheet5-查询核对'!Q58),'Sheet5-查询核对'!Q58,"")</f>
        <v>0.0753</v>
      </c>
      <c r="P73" s="45">
        <f>IF(G73&lt;&gt;"入池","",IF(F73&gt;='Sheet1-指标体系'!$J$16,IF(AND(ISNUMBER(M73),ISNUMBER(N73)),IF(AND(1+M73&gt;0,1+N73&gt;=0),((1+N73)^'Sheet1-指标体系'!$J$16/(1+M73))^(1/('Sheet1-指标体系'!$J$16-1))-1,""),""),IF(AND(ISNUMBER(M73),ISNUMBER(O73)),IF(AND(F73&gt;1,1+M73&gt;0,1+O73&gt;=0),((1+O73)^F73/(1+M73))^(1/(F73-1))-1,""),"")))</f>
        <v>0.0600410559853102</v>
      </c>
      <c r="Q73" s="37">
        <f t="shared" si="0"/>
        <v>9.72</v>
      </c>
      <c r="R73" s="37">
        <f t="shared" si="1"/>
        <v>34.85</v>
      </c>
      <c r="S73" s="37">
        <f>IF(ISNUMBER(Q73),IF(ISNUMBER(R73),ROUND(Q73*'Sheet1-指标体系'!$J$8+R73*'Sheet1-指标体系'!$J$9,2),Q73),"")</f>
        <v>19.77</v>
      </c>
      <c r="T73" s="26">
        <f>IF(ISNUMBER('Sheet4-原始数据'!J58),'Sheet4-原始数据'!J58,"")</f>
        <v>0.6923</v>
      </c>
      <c r="U73" s="26">
        <f>IF(ISNUMBER('Sheet4-原始数据'!I58),'Sheet4-原始数据'!I58,"")</f>
        <v>0.6757</v>
      </c>
      <c r="V73" s="45">
        <f>IF(AND(ISNUMBER(T73),ISNUMBER(U73)),(U73*'Sheet1-指标体系'!$J$6-T73*'Sheet1-指标体系'!$J$5)/'Sheet1-指标体系'!$J$7,"")</f>
        <v>0.666708333333333</v>
      </c>
      <c r="W73" s="37">
        <f t="shared" si="2"/>
        <v>69.23</v>
      </c>
      <c r="X73" s="37">
        <f>IF(G73&lt;&gt;"入池","",IF(ISNUMBER(V73),IF(AND(V73&gt;=0,V73&lt;=1),V73*'Sheet1-指标体系'!$J$18,IF(MAX(0,(F73-'Sheet1-指标体系'!$J$15)*'Sheet1-指标体系'!$J$20)&lt;'Sheet1-指标体系'!$J$19,'Sheet1-指标体系'!$J$18,"")),IF(MAX(0,(F73-'Sheet1-指标体系'!$J$15)*'Sheet1-指标体系'!$J$20)&lt;'Sheet1-指标体系'!$J$19,'Sheet1-指标体系'!$J$18,"")))</f>
        <v>66.6708333333333</v>
      </c>
      <c r="Y73" s="37">
        <f>IF(ISNUMBER(W73),IF(ISNUMBER(X73),ROUND(W73*'Sheet1-指标体系'!$J$8+X73*'Sheet1-指标体系'!$J$9,2),W73),"")</f>
        <v>68.21</v>
      </c>
      <c r="Z73" s="45">
        <f t="shared" si="3"/>
        <v>0.0207857841538963</v>
      </c>
      <c r="AA73" s="26">
        <f>IF(ISNUMBER('Sheet4-原始数据'!K58),'Sheet4-原始数据'!K58,"")</f>
        <v>0.0393</v>
      </c>
      <c r="AB73" s="45">
        <f t="shared" si="4"/>
        <v>0.0393</v>
      </c>
      <c r="AC73" s="37">
        <f t="shared" si="5"/>
        <v>28.38</v>
      </c>
      <c r="AD73" s="30">
        <f>IF(ISNUMBER('Sheet4-原始数据'!M58),'Sheet4-原始数据'!M58,"")</f>
        <v>1.2268</v>
      </c>
      <c r="AE73" s="45">
        <f>IF(AND(ISNUMBER(P73),ISNUMBER(AA73),ISNUMBER(Z73)),IF(AA73&gt;Z73+'Sheet1-指标体系'!$J$11,AA73,""),"")</f>
        <v>0.0393</v>
      </c>
      <c r="AF73" s="37">
        <f t="shared" si="6"/>
        <v>1.52776223881196</v>
      </c>
      <c r="AG73" s="37">
        <f t="shared" si="7"/>
        <v>9.86</v>
      </c>
      <c r="AH73" s="37">
        <f t="shared" si="8"/>
        <v>21.88</v>
      </c>
      <c r="AI73" s="37">
        <f>IF(ISNUMBER(AG73),IF(ISNUMBER(AH73),ROUND(AG73*'Sheet1-指标体系'!$J$8+AH73*'Sheet1-指标体系'!$J$9,2),AG73),"")</f>
        <v>14.67</v>
      </c>
      <c r="AJ73" s="45">
        <f>IF(NOT(ISNUMBER(F73)),"",IF(F73&gt;='Sheet1-指标体系'!$J$16,IF(ISNUMBER(N73),N73,""),IF(ISNUMBER(O73),O73,"")))</f>
        <v>0.0484</v>
      </c>
      <c r="AK73" s="37">
        <f>IF(AND(G73="入池",ISNUMBER(M73),ISNUMBER(AJ73)),IF(M73&gt;=AJ73,'Sheet1-指标体系'!$J$18,IF(AJ73-M73&lt;'Sheet1-指标体系'!$J$10,'Sheet1-指标体系'!$J$22,'Sheet1-指标体系'!$J$23)),"")</f>
        <v>80</v>
      </c>
      <c r="AL73" s="37">
        <f>IF((IF(ISNUMBER(I73),'Sheet1-指标体系'!$G$4,0)+IF(ISNUMBER(K73),'Sheet1-指标体系'!$G$5,0)+IF(ISNUMBER(L73),'Sheet1-指标体系'!$G$6,0))&gt;0,ROUND((IF(ISNUMBER(I73),I73*'Sheet1-指标体系'!$G$4,0)+IF(ISNUMBER(K73),K73*'Sheet1-指标体系'!$G$5,0)+IF(ISNUMBER(L73),L73*'Sheet1-指标体系'!$G$6,0))/(IF(ISNUMBER(I73),'Sheet1-指标体系'!$G$4,0)+IF(ISNUMBER(K73),'Sheet1-指标体系'!$G$5,0)+IF(ISNUMBER(L73),'Sheet1-指标体系'!$G$6,0)),2),"")</f>
        <v>96</v>
      </c>
      <c r="AM73" s="37">
        <f t="shared" si="9"/>
        <v>34.3</v>
      </c>
      <c r="AN73" s="37">
        <f t="shared" si="10"/>
        <v>28.38</v>
      </c>
      <c r="AO73" s="37">
        <f t="shared" si="11"/>
        <v>14.67</v>
      </c>
      <c r="AP73" s="37">
        <f t="shared" si="12"/>
        <v>80</v>
      </c>
      <c r="AQ73" s="38">
        <f t="shared" si="13"/>
        <v>1</v>
      </c>
      <c r="AR73" s="37">
        <f t="shared" si="14"/>
        <v>40.75586</v>
      </c>
      <c r="AS73" s="37">
        <f t="shared" si="15"/>
        <v>40.76</v>
      </c>
      <c r="AT73" s="40">
        <f>IF(OR(G73&lt;&gt;"入池",NOT(ISNUMBER(AS73))),"",COUNTIFS($G$17:$G$99,"入池",$AS$17:$AS$99,"&gt;"&amp;AS73)+COUNTIFS($G$17:$G$99,"入池",$AS$17:$AS$99,AS73,$AQ$17:$AQ$99,"&gt;"&amp;AQ73)+COUNTIFS($G$17:G73,"入池",$AS$17:AS73,AS73,$AQ$17:AQ73,AQ73))</f>
        <v>69</v>
      </c>
      <c r="AU73" s="46" t="str">
        <f>IF(NOT(ISNUMBER(I73)),"管理人规模；","")&amp;IF(NOT(ISNUMBER(K73)),"产品规模标识；","")&amp;IF(NOT(ISNUMBER(M73)),"近一年收益；","")&amp;IF(NOT(ISNUMBER(T73)),"近一年胜率；","")&amp;IF(NOT(ISNUMBER(N73)),"近三年收益；","")&amp;IF(NOT(ISNUMBER(U73)),"近三年胜率；","")&amp;IF(NOT(ISNUMBER(AA73)),"近三年回撤；","")&amp;IF(NOT(ISNUMBER(AD73)),"近一年卡玛；","")&amp;IF(ISNUMBER(F73),IF(AND(F73&lt;'Sheet1-指标体系'!$J$16,NOT(ISNUMBER(O73))),"成立以来年化；",""),"成立日期；")&amp;IF(ISNUMBER(V73),IF(OR(V73&lt;0,V73&gt;1),"胜率窗口口径不一致；",""),"")&amp;IF(ISNUMBER(P73),IF(NOT(ISNUMBER(AE73)),"DD_long不可识别；",""),"")</f>
        <v/>
      </c>
      <c r="AV73" s="37">
        <f>IF(ABS(SUM(CA73:CK73)-'Sheet1-指标体系'!$J$25)&lt;0.0000000001,SUM(BP73:BZ73),"")</f>
        <v>40.75586</v>
      </c>
      <c r="AW73" s="36" t="str">
        <f>IF(G73&lt;&gt;"入池",G73,IF(AQ73=0,"无有效评分数据",IF(ROUND(AQ73,10)=ROUND('Sheet1-指标体系'!$J$25,10),"完整赋分","暂定分／数据不完整")))</f>
        <v>完整赋分</v>
      </c>
      <c r="AX73" s="22" t="str">
        <f>IF('Sheet4-原始数据'!C58="","",'Sheet4-原始数据'!C58)</f>
        <v>套利策略</v>
      </c>
      <c r="AY73" s="22" t="str">
        <f>IF('Sheet4-原始数据'!D58="","",'Sheet4-原始数据'!D58)</f>
        <v>期货套利</v>
      </c>
      <c r="AZ73" s="22" t="str">
        <f>IF('Sheet5-查询核对'!S58="","",'Sheet5-查询核对'!S58)</f>
        <v>套利策略—期货套利</v>
      </c>
      <c r="BA73" s="25">
        <f>IF('Sheet5-查询核对'!A58="","",'Sheet5-查询核对'!A58)</f>
        <v>58</v>
      </c>
      <c r="BB73" s="22" t="str">
        <f>IF('Sheet5-查询核对'!F58="","",'Sheet5-查询核对'!F58)</f>
        <v>备案号匹配</v>
      </c>
      <c r="BC73" s="24" t="str">
        <f>IF('Sheet5-查询核对'!I58="","",'Sheet5-查询核对'!I58)</f>
        <v>https://mp.fof99.com/fund/view/592f730fcd5623e4</v>
      </c>
      <c r="BD73" s="23">
        <f>IF('Sheet5-查询核对'!H58="","",'Sheet5-查询核对'!H58)</f>
        <v>46269</v>
      </c>
      <c r="BE73" s="24" t="str">
        <f>IF('Sheet5-查询核对'!L58="","",'Sheet5-查询核对'!L58)</f>
        <v>https://gs.amac.org.cn/amac-infodisc/res/pof/manager/101000001663.html</v>
      </c>
      <c r="BF73" s="23">
        <f>IF('Sheet5-查询核对'!M58="","",'Sheet5-查询核对'!M58)</f>
        <v>46276</v>
      </c>
      <c r="BG73" s="24" t="str">
        <f>IF('Sheet5-查询核对'!O58="","",'Sheet5-查询核对'!O58)</f>
        <v>https://gs.amac.org.cn/amac-infodisc/res/pof/fund/1711131228105655.html</v>
      </c>
      <c r="BH73" s="23">
        <f>IF('Sheet5-查询核对'!P58="","",'Sheet5-查询核对'!P58)</f>
        <v>46276</v>
      </c>
      <c r="BI73" s="22" t="str">
        <f>IF('Sheet5-查询核对'!D58="","",'Sheet5-查询核对'!D58)</f>
        <v>SW1709</v>
      </c>
      <c r="BJ73">
        <f>IF(ISNUMBER(AT73),AT73,COUNT($AT$17:$AT$99)+ROWS($AT$17:AT73)-COUNT($AT$17:AT73))</f>
        <v>69</v>
      </c>
      <c r="BK73" s="2">
        <f t="shared" si="16"/>
        <v>1</v>
      </c>
      <c r="BL73" s="2">
        <f t="shared" si="17"/>
        <v>1</v>
      </c>
      <c r="BM73" s="2">
        <f t="shared" si="18"/>
        <v>1</v>
      </c>
      <c r="BN73" s="2">
        <f t="shared" si="19"/>
        <v>1</v>
      </c>
      <c r="BO73" s="2">
        <f t="shared" si="20"/>
        <v>1</v>
      </c>
      <c r="BP73" s="48">
        <f>IF(G73="入池",IF(ISNUMBER(I73),I73*('Sheet1-指标体系'!$G$4),0),0)</f>
        <v>5.4</v>
      </c>
      <c r="BQ73" s="48">
        <f>IF(G73="入池",IF(ISNUMBER(K73),K73*('Sheet1-指标体系'!$G$5),0),0)</f>
        <v>4.5</v>
      </c>
      <c r="BR73" s="48">
        <f>IF(G73="入池",IF(ISNUMBER(L73),L73*('Sheet1-指标体系'!$G$6),0),0)</f>
        <v>4.5</v>
      </c>
      <c r="BS73" s="48">
        <f>IF(G73="入池",IF(ISNUMBER(Q73),Q73*('Sheet1-指标体系'!$G$7*'Sheet1-指标体系'!$J$8),0),0)</f>
        <v>0.81648</v>
      </c>
      <c r="BT73" s="48">
        <f>IF(G73="入池",IF(ISNUMBER(R73),R73*('Sheet1-指标体系'!$G$7*'Sheet1-指标体系'!$J$9),0),0)</f>
        <v>1.9516</v>
      </c>
      <c r="BU73" s="48">
        <f>IF(G73="入池",IF(ISNUMBER(W73),W73*('Sheet1-指标体系'!$G$8*'Sheet1-指标体系'!$J$8),0),0)</f>
        <v>2.49228</v>
      </c>
      <c r="BV73" s="48">
        <f>IF(G73="入池",IF(ISNUMBER(X73),X73*('Sheet1-指标体系'!$G$8*'Sheet1-指标体系'!$J$9),0),0)</f>
        <v>1.6001</v>
      </c>
      <c r="BW73" s="48">
        <f>IF(G73="入池",IF(ISNUMBER(AC73),AC73*('Sheet1-指标体系'!$G$9),0),0)</f>
        <v>7.095</v>
      </c>
      <c r="BX73" s="48">
        <f>IF(G73="入池",IF(ISNUMBER(AG73),AG73*('Sheet1-指标体系'!$G$10*'Sheet1-指标体系'!$J$8),0),0)</f>
        <v>1.7748</v>
      </c>
      <c r="BY73" s="48">
        <f>IF(G73="入池",IF(ISNUMBER(AH73),AH73*('Sheet1-指标体系'!$G$10*'Sheet1-指标体系'!$J$9),0),0)</f>
        <v>2.6256</v>
      </c>
      <c r="BZ73" s="48">
        <f>IF(G73="入池",IF(ISNUMBER(AK73),AK73*('Sheet1-指标体系'!$G$11),0),0)</f>
        <v>8</v>
      </c>
      <c r="CA73" s="49">
        <f>IF(G73="入池",IF(ISNUMBER(I73),'Sheet1-指标体系'!$G$4,0),0)</f>
        <v>0.06</v>
      </c>
      <c r="CB73" s="49">
        <f>IF(G73="入池",IF(ISNUMBER(K73),'Sheet1-指标体系'!$G$5,0),0)</f>
        <v>0.045</v>
      </c>
      <c r="CC73" s="49">
        <f>IF(G73="入池",IF(ISNUMBER(L73),'Sheet1-指标体系'!$G$6,0),0)</f>
        <v>0.045</v>
      </c>
      <c r="CD73" s="49">
        <f>IF(G73="入池",IF(ISNUMBER(Q73),'Sheet1-指标体系'!$G$7*'Sheet1-指标体系'!$J$8,0),0)</f>
        <v>0.084</v>
      </c>
      <c r="CE73" s="49">
        <f>IF(G73="入池",IF(ISNUMBER(R73),'Sheet1-指标体系'!$G$7*'Sheet1-指标体系'!$J$9,0),0)</f>
        <v>0.056</v>
      </c>
      <c r="CF73" s="49">
        <f>IF(G73="入池",IF(ISNUMBER(W73),'Sheet1-指标体系'!$G$8*'Sheet1-指标体系'!$J$8,0),0)</f>
        <v>0.036</v>
      </c>
      <c r="CG73" s="49">
        <f>IF(G73="入池",IF(ISNUMBER(X73),'Sheet1-指标体系'!$G$8*'Sheet1-指标体系'!$J$9,0),0)</f>
        <v>0.024</v>
      </c>
      <c r="CH73" s="49">
        <f>IF(G73="入池",IF(ISNUMBER(AC73),'Sheet1-指标体系'!$G$9,0),0)</f>
        <v>0.25</v>
      </c>
      <c r="CI73" s="49">
        <f>IF(G73="入池",IF(ISNUMBER(AG73),'Sheet1-指标体系'!$G$10*'Sheet1-指标体系'!$J$8,0),0)</f>
        <v>0.18</v>
      </c>
      <c r="CJ73" s="49">
        <f>IF(G73="入池",IF(ISNUMBER(AH73),'Sheet1-指标体系'!$G$10*'Sheet1-指标体系'!$J$9,0),0)</f>
        <v>0.12</v>
      </c>
      <c r="CK73" s="49">
        <f>IF(G73="入池",IF(ISNUMBER(AK73),'Sheet1-指标体系'!$G$11,0),0)</f>
        <v>0.1</v>
      </c>
    </row>
    <row r="74" ht="44" customHeight="1" spans="1:89">
      <c r="A74" s="40">
        <f>'Sheet5-查询核对'!A59-1</f>
        <v>58</v>
      </c>
      <c r="B74" s="24" t="str">
        <f>IF('Sheet4-原始数据'!A59="",'Sheet5-查询核对'!B59,'Sheet4-原始数据'!A59)</f>
        <v>世宽若水尘心2号B类</v>
      </c>
      <c r="C74" s="22" t="str">
        <f>IF('Sheet4-原始数据'!B59="","",'Sheet4-原始数据'!B59)</f>
        <v>XX769B</v>
      </c>
      <c r="D74" s="22" t="str">
        <f>IF('Sheet4-原始数据'!E59="","",'Sheet4-原始数据'!E59)</f>
        <v>厦门世宽</v>
      </c>
      <c r="E74" s="23">
        <f>IF('Sheet4-原始数据'!F59="","",'Sheet4-原始数据'!F59)</f>
        <v>44904</v>
      </c>
      <c r="F74" s="37">
        <f>IF(ISNUMBER(E74),ROUND(('Sheet1-指标体系'!$J$12-E74)/'Sheet1-指标体系'!$J$14,4),"")</f>
        <v>3.7536</v>
      </c>
      <c r="G74" s="36" t="str">
        <f>IF(C74="","未匹配",IF(NOT(ISNUMBER(F74)),"缺成立日期",IF(F74&lt;'Sheet1-指标体系'!$J$15,"不入池","入池")))</f>
        <v>入池</v>
      </c>
      <c r="H74" s="22" t="str">
        <f>IF('Sheet5-查询核对'!K59="","",'Sheet5-查询核对'!K59)</f>
        <v>0-5亿元</v>
      </c>
      <c r="I74" s="37">
        <f>IF(H74="","",IF(COUNTIF('Sheet1-指标体系'!$P$4:$P$10,H74)=0,"",INDEX('Sheet1-指标体系'!$Q$4:$Q$10,MATCH(H74,'Sheet1-指标体系'!$P$4:$P$10,0))))</f>
        <v>60</v>
      </c>
      <c r="J74" s="44" t="str">
        <f>IF(NOT(ISNUMBER('Sheet5-查询核对'!N59)),"",IF('Sheet5-查询核对'!N59=1,"低于"&amp;'Sheet1-指标体系'!$J$4&amp;"万元",IF('Sheet5-查询核对'!N59=0,"无低于"&amp;'Sheet1-指标体系'!$J$4&amp;"万元标识","")))</f>
        <v/>
      </c>
      <c r="K74" s="37" t="str">
        <f>IF(NOT(ISNUMBER('Sheet5-查询核对'!N59)),"",IF('Sheet5-查询核对'!N59=1,'Sheet1-指标体系'!$J$21,IF('Sheet5-查询核对'!N59=0,'Sheet1-指标体系'!$J$18,"")))</f>
        <v/>
      </c>
      <c r="L74" s="37">
        <f>IF(NOT(ISNUMBER(F74)),"",IF(F74&lt;'Sheet1-指标体系'!$J$15,"",IF(F74&lt;'Sheet1-指标体系'!$J$16,'Sheet1-指标体系'!$J$17,'Sheet1-指标体系'!$J$18)))</f>
        <v>100</v>
      </c>
      <c r="M74" s="26">
        <f>IF(ISNUMBER('Sheet4-原始数据'!G59),'Sheet4-原始数据'!G59,"")</f>
        <v>0.1582</v>
      </c>
      <c r="N74" s="26" t="str">
        <f>IF(ISNUMBER('Sheet4-原始数据'!H59),'Sheet4-原始数据'!H59,"")</f>
        <v/>
      </c>
      <c r="O74" s="26">
        <f>IF(ISNUMBER('Sheet5-查询核对'!Q59),'Sheet5-查询核对'!Q59,"")</f>
        <v>0.1782</v>
      </c>
      <c r="P74" s="45" t="str">
        <f>IF(G74&lt;&gt;"入池","",IF(F74&gt;='Sheet1-指标体系'!$J$16,IF(AND(ISNUMBER(M74),ISNUMBER(N74)),IF(AND(1+M74&gt;0,1+N74&gt;=0),((1+N74)^'Sheet1-指标体系'!$J$16/(1+M74))^(1/('Sheet1-指标体系'!$J$16-1))-1,""),""),IF(AND(ISNUMBER(M74),ISNUMBER(O74)),IF(AND(F74&gt;1,1+M74&gt;0,1+O74&gt;=0),((1+O74)^F74/(1+M74))^(1/(F74-1))-1,""),"")))</f>
        <v/>
      </c>
      <c r="Q74" s="37">
        <f t="shared" si="0"/>
        <v>81.94</v>
      </c>
      <c r="R74" s="37" t="str">
        <f t="shared" si="1"/>
        <v/>
      </c>
      <c r="S74" s="37">
        <f>IF(ISNUMBER(Q74),IF(ISNUMBER(R74),ROUND(Q74*'Sheet1-指标体系'!$J$8+R74*'Sheet1-指标体系'!$J$9,2),Q74),"")</f>
        <v>81.94</v>
      </c>
      <c r="T74" s="26">
        <f>IF(ISNUMBER('Sheet4-原始数据'!J59),'Sheet4-原始数据'!J59,"")</f>
        <v>0.6923</v>
      </c>
      <c r="U74" s="26" t="str">
        <f>IF(ISNUMBER('Sheet4-原始数据'!I59),'Sheet4-原始数据'!I59,"")</f>
        <v/>
      </c>
      <c r="V74" s="45" t="str">
        <f>IF(AND(ISNUMBER(T74),ISNUMBER(U74)),(U74*'Sheet1-指标体系'!$J$6-T74*'Sheet1-指标体系'!$J$5)/'Sheet1-指标体系'!$J$7,"")</f>
        <v/>
      </c>
      <c r="W74" s="37">
        <f t="shared" si="2"/>
        <v>69.23</v>
      </c>
      <c r="X74" s="37" t="str">
        <f>IF(G74&lt;&gt;"入池","",IF(ISNUMBER(V74),IF(AND(V74&gt;=0,V74&lt;=1),V74*'Sheet1-指标体系'!$J$18,IF(MAX(0,(F74-'Sheet1-指标体系'!$J$15)*'Sheet1-指标体系'!$J$20)&lt;'Sheet1-指标体系'!$J$19,'Sheet1-指标体系'!$J$18,"")),IF(MAX(0,(F74-'Sheet1-指标体系'!$J$15)*'Sheet1-指标体系'!$J$20)&lt;'Sheet1-指标体系'!$J$19,'Sheet1-指标体系'!$J$18,"")))</f>
        <v/>
      </c>
      <c r="Y74" s="37">
        <f>IF(ISNUMBER(W74),IF(ISNUMBER(X74),ROUND(W74*'Sheet1-指标体系'!$J$8+X74*'Sheet1-指标体系'!$J$9,2),W74),"")</f>
        <v>69.23</v>
      </c>
      <c r="Z74" s="45">
        <f t="shared" si="3"/>
        <v>0.0145304247990815</v>
      </c>
      <c r="AA74" s="26" t="str">
        <f>IF(ISNUMBER('Sheet4-原始数据'!K59),'Sheet4-原始数据'!K59,"")</f>
        <v/>
      </c>
      <c r="AB74" s="45">
        <f t="shared" si="4"/>
        <v>0.0145304247990815</v>
      </c>
      <c r="AC74" s="37">
        <f t="shared" si="5"/>
        <v>56.76</v>
      </c>
      <c r="AD74" s="30">
        <f>IF(ISNUMBER('Sheet4-原始数据'!M59),'Sheet4-原始数据'!M59,"")</f>
        <v>10.8875</v>
      </c>
      <c r="AE74" s="45" t="str">
        <f>IF(AND(ISNUMBER(P74),ISNUMBER(AA74),ISNUMBER(Z74)),IF(AA74&gt;Z74+'Sheet1-指标体系'!$J$11,AA74,""),"")</f>
        <v/>
      </c>
      <c r="AF74" s="37" t="str">
        <f t="shared" si="6"/>
        <v/>
      </c>
      <c r="AG74" s="37">
        <f t="shared" si="7"/>
        <v>59.15</v>
      </c>
      <c r="AH74" s="37" t="str">
        <f t="shared" si="8"/>
        <v/>
      </c>
      <c r="AI74" s="37">
        <f>IF(ISNUMBER(AG74),IF(ISNUMBER(AH74),ROUND(AG74*'Sheet1-指标体系'!$J$8+AH74*'Sheet1-指标体系'!$J$9,2),AG74),"")</f>
        <v>59.15</v>
      </c>
      <c r="AJ74" s="45" t="str">
        <f>IF(NOT(ISNUMBER(F74)),"",IF(F74&gt;='Sheet1-指标体系'!$J$16,IF(ISNUMBER(N74),N74,""),IF(ISNUMBER(O74),O74,"")))</f>
        <v/>
      </c>
      <c r="AK74" s="37" t="str">
        <f>IF(AND(G74="入池",ISNUMBER(M74),ISNUMBER(AJ74)),IF(M74&gt;=AJ74,'Sheet1-指标体系'!$J$18,IF(AJ74-M74&lt;'Sheet1-指标体系'!$J$10,'Sheet1-指标体系'!$J$22,'Sheet1-指标体系'!$J$23)),"")</f>
        <v/>
      </c>
      <c r="AL74" s="37">
        <f>IF((IF(ISNUMBER(I74),'Sheet1-指标体系'!$G$4,0)+IF(ISNUMBER(K74),'Sheet1-指标体系'!$G$5,0)+IF(ISNUMBER(L74),'Sheet1-指标体系'!$G$6,0))&gt;0,ROUND((IF(ISNUMBER(I74),I74*'Sheet1-指标体系'!$G$4,0)+IF(ISNUMBER(K74),K74*'Sheet1-指标体系'!$G$5,0)+IF(ISNUMBER(L74),L74*'Sheet1-指标体系'!$G$6,0))/(IF(ISNUMBER(I74),'Sheet1-指标体系'!$G$4,0)+IF(ISNUMBER(K74),'Sheet1-指标体系'!$G$5,0)+IF(ISNUMBER(L74),'Sheet1-指标体系'!$G$6,0)),2),"")</f>
        <v>77.14</v>
      </c>
      <c r="AM74" s="37">
        <f t="shared" si="9"/>
        <v>78.13</v>
      </c>
      <c r="AN74" s="37">
        <f t="shared" si="10"/>
        <v>56.76</v>
      </c>
      <c r="AO74" s="37">
        <f t="shared" si="11"/>
        <v>59.15</v>
      </c>
      <c r="AP74" s="37" t="str">
        <f t="shared" si="12"/>
        <v/>
      </c>
      <c r="AQ74" s="38">
        <f t="shared" si="13"/>
        <v>0.655</v>
      </c>
      <c r="AR74" s="37">
        <f t="shared" si="14"/>
        <v>42.31224</v>
      </c>
      <c r="AS74" s="37">
        <f t="shared" si="15"/>
        <v>64.6</v>
      </c>
      <c r="AT74" s="40">
        <f>IF(OR(G74&lt;&gt;"入池",NOT(ISNUMBER(AS74))),"",COUNTIFS($G$17:$G$99,"入池",$AS$17:$AS$99,"&gt;"&amp;AS74)+COUNTIFS($G$17:$G$99,"入池",$AS$17:$AS$99,AS74,$AQ$17:$AQ$99,"&gt;"&amp;AQ74)+COUNTIFS($G$17:G74,"入池",$AS$17:AS74,AS74,$AQ$17:AQ74,AQ74))</f>
        <v>39</v>
      </c>
      <c r="AU74" s="46" t="str">
        <f>IF(NOT(ISNUMBER(I74)),"管理人规模；","")&amp;IF(NOT(ISNUMBER(K74)),"产品规模标识；","")&amp;IF(NOT(ISNUMBER(M74)),"近一年收益；","")&amp;IF(NOT(ISNUMBER(T74)),"近一年胜率；","")&amp;IF(NOT(ISNUMBER(N74)),"近三年收益；","")&amp;IF(NOT(ISNUMBER(U74)),"近三年胜率；","")&amp;IF(NOT(ISNUMBER(AA74)),"近三年回撤；","")&amp;IF(NOT(ISNUMBER(AD74)),"近一年卡玛；","")&amp;IF(ISNUMBER(F74),IF(AND(F74&lt;'Sheet1-指标体系'!$J$16,NOT(ISNUMBER(O74))),"成立以来年化；",""),"成立日期；")&amp;IF(ISNUMBER(V74),IF(OR(V74&lt;0,V74&gt;1),"胜率窗口口径不一致；",""),"")&amp;IF(ISNUMBER(P74),IF(NOT(ISNUMBER(AE74)),"DD_long不可识别；",""),"")</f>
        <v>产品规模标识；近三年收益；近三年胜率；近三年回撤；</v>
      </c>
      <c r="AV74" s="37" t="str">
        <f>IF(ABS(SUM(CA74:CK74)-'Sheet1-指标体系'!$J$25)&lt;0.0000000001,SUM(BP74:BZ74),"")</f>
        <v/>
      </c>
      <c r="AW74" s="36" t="str">
        <f>IF(G74&lt;&gt;"入池",G74,IF(AQ74=0,"无有效评分数据",IF(ROUND(AQ74,10)=ROUND('Sheet1-指标体系'!$J$25,10),"完整赋分","暂定分／数据不完整")))</f>
        <v>暂定分／数据不完整</v>
      </c>
      <c r="AX74" s="22" t="str">
        <f>IF('Sheet4-原始数据'!C59="","",'Sheet4-原始数据'!C59)</f>
        <v>套利策略</v>
      </c>
      <c r="AY74" s="22" t="str">
        <f>IF('Sheet4-原始数据'!D59="","",'Sheet4-原始数据'!D59)</f>
        <v>期货套利</v>
      </c>
      <c r="AZ74" s="22" t="str">
        <f>IF('Sheet5-查询核对'!S59="","",'Sheet5-查询核对'!S59)</f>
        <v>套利策略—期货套利</v>
      </c>
      <c r="BA74" s="25">
        <f>IF('Sheet5-查询核对'!A59="","",'Sheet5-查询核对'!A59)</f>
        <v>59</v>
      </c>
      <c r="BB74" s="22" t="str">
        <f>IF('Sheet5-查询核对'!F59="","",'Sheet5-查询核对'!F59)</f>
        <v>备案号匹配</v>
      </c>
      <c r="BC74" s="24" t="str">
        <f>IF('Sheet5-查询核对'!I59="","",'Sheet5-查询核对'!I59)</f>
        <v>https://mp.fof99.com/fund/view/317110f339421a93</v>
      </c>
      <c r="BD74" s="23">
        <f>IF('Sheet5-查询核对'!H59="","",'Sheet5-查询核对'!H59)</f>
        <v>46269</v>
      </c>
      <c r="BE74" s="24" t="str">
        <f>IF('Sheet5-查询核对'!L59="","",'Sheet5-查询核对'!L59)</f>
        <v>https://gs.amac.org.cn/amac-infodisc/res/pof/manager/101000026000.html</v>
      </c>
      <c r="BF74" s="23">
        <f>IF('Sheet5-查询核对'!M59="","",'Sheet5-查询核对'!M59)</f>
        <v>46276</v>
      </c>
      <c r="BG74" s="24" t="str">
        <f>IF('Sheet5-查询核对'!O59="","",'Sheet5-查询核对'!O59)</f>
        <v>743</v>
      </c>
      <c r="BH74" s="23" t="str">
        <f>IF('Sheet5-查询核对'!P59="","",'Sheet5-查询核对'!P59)</f>
        <v/>
      </c>
      <c r="BI74" s="22" t="str">
        <f>IF('Sheet5-查询核对'!D59="","",'Sheet5-查询核对'!D59)</f>
        <v>XX769B</v>
      </c>
      <c r="BJ74">
        <f>IF(ISNUMBER(AT74),AT74,COUNT($AT$17:$AT$99)+ROWS($AT$17:AT74)-COUNT($AT$17:AT74))</f>
        <v>39</v>
      </c>
      <c r="BK74" s="2">
        <f t="shared" si="16"/>
        <v>1</v>
      </c>
      <c r="BL74" s="2">
        <f t="shared" si="17"/>
        <v>0</v>
      </c>
      <c r="BM74" s="2">
        <f t="shared" si="18"/>
        <v>1</v>
      </c>
      <c r="BN74" s="2">
        <f t="shared" si="19"/>
        <v>1</v>
      </c>
      <c r="BO74" s="2">
        <f t="shared" si="20"/>
        <v>0</v>
      </c>
      <c r="BP74" s="48">
        <f>IF(G74="入池",IF(ISNUMBER(I74),I74*('Sheet1-指标体系'!$G$4),0),0)</f>
        <v>3.6</v>
      </c>
      <c r="BQ74" s="48">
        <f>IF(G74="入池",IF(ISNUMBER(K74),K74*('Sheet1-指标体系'!$G$5),0),0)</f>
        <v>0</v>
      </c>
      <c r="BR74" s="48">
        <f>IF(G74="入池",IF(ISNUMBER(L74),L74*('Sheet1-指标体系'!$G$6),0),0)</f>
        <v>4.5</v>
      </c>
      <c r="BS74" s="48">
        <f>IF(G74="入池",IF(ISNUMBER(Q74),Q74*('Sheet1-指标体系'!$G$7*'Sheet1-指标体系'!$J$8),0),0)</f>
        <v>6.88296</v>
      </c>
      <c r="BT74" s="48">
        <f>IF(G74="入池",IF(ISNUMBER(R74),R74*('Sheet1-指标体系'!$G$7*'Sheet1-指标体系'!$J$9),0),0)</f>
        <v>0</v>
      </c>
      <c r="BU74" s="48">
        <f>IF(G74="入池",IF(ISNUMBER(W74),W74*('Sheet1-指标体系'!$G$8*'Sheet1-指标体系'!$J$8),0),0)</f>
        <v>2.49228</v>
      </c>
      <c r="BV74" s="48">
        <f>IF(G74="入池",IF(ISNUMBER(X74),X74*('Sheet1-指标体系'!$G$8*'Sheet1-指标体系'!$J$9),0),0)</f>
        <v>0</v>
      </c>
      <c r="BW74" s="48">
        <f>IF(G74="入池",IF(ISNUMBER(AC74),AC74*('Sheet1-指标体系'!$G$9),0),0)</f>
        <v>14.19</v>
      </c>
      <c r="BX74" s="48">
        <f>IF(G74="入池",IF(ISNUMBER(AG74),AG74*('Sheet1-指标体系'!$G$10*'Sheet1-指标体系'!$J$8),0),0)</f>
        <v>10.647</v>
      </c>
      <c r="BY74" s="48">
        <f>IF(G74="入池",IF(ISNUMBER(AH74),AH74*('Sheet1-指标体系'!$G$10*'Sheet1-指标体系'!$J$9),0),0)</f>
        <v>0</v>
      </c>
      <c r="BZ74" s="48">
        <f>IF(G74="入池",IF(ISNUMBER(AK74),AK74*('Sheet1-指标体系'!$G$11),0),0)</f>
        <v>0</v>
      </c>
      <c r="CA74" s="49">
        <f>IF(G74="入池",IF(ISNUMBER(I74),'Sheet1-指标体系'!$G$4,0),0)</f>
        <v>0.06</v>
      </c>
      <c r="CB74" s="49">
        <f>IF(G74="入池",IF(ISNUMBER(K74),'Sheet1-指标体系'!$G$5,0),0)</f>
        <v>0</v>
      </c>
      <c r="CC74" s="49">
        <f>IF(G74="入池",IF(ISNUMBER(L74),'Sheet1-指标体系'!$G$6,0),0)</f>
        <v>0.045</v>
      </c>
      <c r="CD74" s="49">
        <f>IF(G74="入池",IF(ISNUMBER(Q74),'Sheet1-指标体系'!$G$7*'Sheet1-指标体系'!$J$8,0),0)</f>
        <v>0.084</v>
      </c>
      <c r="CE74" s="49">
        <f>IF(G74="入池",IF(ISNUMBER(R74),'Sheet1-指标体系'!$G$7*'Sheet1-指标体系'!$J$9,0),0)</f>
        <v>0</v>
      </c>
      <c r="CF74" s="49">
        <f>IF(G74="入池",IF(ISNUMBER(W74),'Sheet1-指标体系'!$G$8*'Sheet1-指标体系'!$J$8,0),0)</f>
        <v>0.036</v>
      </c>
      <c r="CG74" s="49">
        <f>IF(G74="入池",IF(ISNUMBER(X74),'Sheet1-指标体系'!$G$8*'Sheet1-指标体系'!$J$9,0),0)</f>
        <v>0</v>
      </c>
      <c r="CH74" s="49">
        <f>IF(G74="入池",IF(ISNUMBER(AC74),'Sheet1-指标体系'!$G$9,0),0)</f>
        <v>0.25</v>
      </c>
      <c r="CI74" s="49">
        <f>IF(G74="入池",IF(ISNUMBER(AG74),'Sheet1-指标体系'!$G$10*'Sheet1-指标体系'!$J$8,0),0)</f>
        <v>0.18</v>
      </c>
      <c r="CJ74" s="49">
        <f>IF(G74="入池",IF(ISNUMBER(AH74),'Sheet1-指标体系'!$G$10*'Sheet1-指标体系'!$J$9,0),0)</f>
        <v>0</v>
      </c>
      <c r="CK74" s="49">
        <f>IF(G74="入池",IF(ISNUMBER(AK74),'Sheet1-指标体系'!$G$11,0),0)</f>
        <v>0</v>
      </c>
    </row>
    <row r="75" ht="44" customHeight="1" spans="1:89">
      <c r="A75" s="40">
        <f>'Sheet5-查询核对'!A60-1</f>
        <v>59</v>
      </c>
      <c r="B75" s="24" t="str">
        <f>IF('Sheet4-原始数据'!A60="",'Sheet5-查询核对'!B60,'Sheet4-原始数据'!A60)</f>
        <v>世宽若水尘心3号</v>
      </c>
      <c r="C75" s="22" t="str">
        <f>IF('Sheet4-原始数据'!B60="","",'Sheet4-原始数据'!B60)</f>
        <v>SXT730</v>
      </c>
      <c r="D75" s="22" t="str">
        <f>IF('Sheet4-原始数据'!E60="","",'Sheet4-原始数据'!E60)</f>
        <v>厦门世宽</v>
      </c>
      <c r="E75" s="23">
        <f>IF('Sheet4-原始数据'!F60="","",'Sheet4-原始数据'!F60)</f>
        <v>44883</v>
      </c>
      <c r="F75" s="37">
        <f>IF(ISNUMBER(E75),ROUND(('Sheet1-指标体系'!$J$12-E75)/'Sheet1-指标体系'!$J$14,4),"")</f>
        <v>3.8111</v>
      </c>
      <c r="G75" s="36" t="str">
        <f>IF(C75="","未匹配",IF(NOT(ISNUMBER(F75)),"缺成立日期",IF(F75&lt;'Sheet1-指标体系'!$J$15,"不入池","入池")))</f>
        <v>入池</v>
      </c>
      <c r="H75" s="22" t="str">
        <f>IF('Sheet5-查询核对'!K60="","",'Sheet5-查询核对'!K60)</f>
        <v>0-5亿元</v>
      </c>
      <c r="I75" s="37">
        <f>IF(H75="","",IF(COUNTIF('Sheet1-指标体系'!$P$4:$P$10,H75)=0,"",INDEX('Sheet1-指标体系'!$Q$4:$Q$10,MATCH(H75,'Sheet1-指标体系'!$P$4:$P$10,0))))</f>
        <v>60</v>
      </c>
      <c r="J75" s="44" t="str">
        <f>IF(NOT(ISNUMBER('Sheet5-查询核对'!N60)),"",IF('Sheet5-查询核对'!N60=1,"低于"&amp;'Sheet1-指标体系'!$J$4&amp;"万元",IF('Sheet5-查询核对'!N60=0,"无低于"&amp;'Sheet1-指标体系'!$J$4&amp;"万元标识","")))</f>
        <v>无低于1000万元标识</v>
      </c>
      <c r="K75" s="37">
        <f>IF(NOT(ISNUMBER('Sheet5-查询核对'!N60)),"",IF('Sheet5-查询核对'!N60=1,'Sheet1-指标体系'!$J$21,IF('Sheet5-查询核对'!N60=0,'Sheet1-指标体系'!$J$18,"")))</f>
        <v>100</v>
      </c>
      <c r="L75" s="37">
        <f>IF(NOT(ISNUMBER(F75)),"",IF(F75&lt;'Sheet1-指标体系'!$J$15,"",IF(F75&lt;'Sheet1-指标体系'!$J$16,'Sheet1-指标体系'!$J$17,'Sheet1-指标体系'!$J$18)))</f>
        <v>100</v>
      </c>
      <c r="M75" s="26">
        <f>IF(ISNUMBER('Sheet4-原始数据'!G60),'Sheet4-原始数据'!G60,"")</f>
        <v>0.204884716237227</v>
      </c>
      <c r="N75" s="26">
        <f>IF(ISNUMBER('Sheet4-原始数据'!H60),'Sheet4-原始数据'!H60,"")</f>
        <v>0.153258520854718</v>
      </c>
      <c r="O75" s="26">
        <f>IF(ISNUMBER('Sheet5-查询核对'!Q60),'Sheet5-查询核对'!Q60,"")</f>
        <v>0.119697639612653</v>
      </c>
      <c r="P75" s="45">
        <f>IF(G75&lt;&gt;"入池","",IF(F75&gt;='Sheet1-指标体系'!$J$16,IF(AND(ISNUMBER(M75),ISNUMBER(N75)),IF(AND(1+M75&gt;0,1+N75&gt;=0),((1+N75)^'Sheet1-指标体系'!$J$16/(1+M75))^(1/('Sheet1-指标体系'!$J$16-1))-1,""),""),IF(AND(ISNUMBER(M75),ISNUMBER(O75)),IF(AND(F75&gt;1,1+M75&gt;0,1+O75&gt;=0),((1+O75)^F75/(1+M75))^(1/(F75-1))-1,""),"")))</f>
        <v>0.128280962604109</v>
      </c>
      <c r="Q75" s="37">
        <f t="shared" si="0"/>
        <v>86.11</v>
      </c>
      <c r="R75" s="37">
        <f t="shared" si="1"/>
        <v>80.3</v>
      </c>
      <c r="S75" s="37">
        <f>IF(ISNUMBER(Q75),IF(ISNUMBER(R75),ROUND(Q75*'Sheet1-指标体系'!$J$8+R75*'Sheet1-指标体系'!$J$9,2),Q75),"")</f>
        <v>83.79</v>
      </c>
      <c r="T75" s="26" t="str">
        <f>IF(ISNUMBER('Sheet4-原始数据'!J60),'Sheet4-原始数据'!J60,"")</f>
        <v/>
      </c>
      <c r="U75" s="26" t="str">
        <f>IF(ISNUMBER('Sheet4-原始数据'!I60),'Sheet4-原始数据'!I60,"")</f>
        <v/>
      </c>
      <c r="V75" s="45" t="str">
        <f>IF(AND(ISNUMBER(T75),ISNUMBER(U75)),(U75*'Sheet1-指标体系'!$J$6-T75*'Sheet1-指标体系'!$J$5)/'Sheet1-指标体系'!$J$7,"")</f>
        <v/>
      </c>
      <c r="W75" s="37" t="str">
        <f t="shared" si="2"/>
        <v/>
      </c>
      <c r="X75" s="37" t="str">
        <f>IF(G75&lt;&gt;"入池","",IF(ISNUMBER(V75),IF(AND(V75&gt;=0,V75&lt;=1),V75*'Sheet1-指标体系'!$J$18,IF(MAX(0,(F75-'Sheet1-指标体系'!$J$15)*'Sheet1-指标体系'!$J$20)&lt;'Sheet1-指标体系'!$J$19,'Sheet1-指标体系'!$J$18,"")),IF(MAX(0,(F75-'Sheet1-指标体系'!$J$15)*'Sheet1-指标体系'!$J$20)&lt;'Sheet1-指标体系'!$J$19,'Sheet1-指标体系'!$J$18,"")))</f>
        <v/>
      </c>
      <c r="Y75" s="37" t="str">
        <f>IF(ISNUMBER(W75),IF(ISNUMBER(X75),ROUND(W75*'Sheet1-指标体系'!$J$8+X75*'Sheet1-指标体系'!$J$9,2),W75),"")</f>
        <v/>
      </c>
      <c r="Z75" s="45">
        <f t="shared" si="3"/>
        <v>0.00926635546575638</v>
      </c>
      <c r="AA75" s="26">
        <f>IF(ISNUMBER('Sheet4-原始数据'!K60),'Sheet4-原始数据'!K60,"")</f>
        <v>0.0108076242876795</v>
      </c>
      <c r="AB75" s="45">
        <f t="shared" si="4"/>
        <v>0.0108076242876795</v>
      </c>
      <c r="AC75" s="37">
        <f t="shared" si="5"/>
        <v>67.57</v>
      </c>
      <c r="AD75" s="30">
        <f>IF(ISNUMBER('Sheet4-原始数据'!M60),'Sheet4-原始数据'!M60,"")</f>
        <v>22.1106040011496</v>
      </c>
      <c r="AE75" s="45">
        <f>IF(AND(ISNUMBER(P75),ISNUMBER(AA75),ISNUMBER(Z75)),IF(AA75&gt;Z75+'Sheet1-指标体系'!$J$11,AA75,""),"")</f>
        <v>0.0108076242876795</v>
      </c>
      <c r="AF75" s="37">
        <f t="shared" si="6"/>
        <v>11.8694876125873</v>
      </c>
      <c r="AG75" s="37">
        <f t="shared" si="7"/>
        <v>77.46</v>
      </c>
      <c r="AH75" s="37">
        <f t="shared" si="8"/>
        <v>81.25</v>
      </c>
      <c r="AI75" s="37">
        <f>IF(ISNUMBER(AG75),IF(ISNUMBER(AH75),ROUND(AG75*'Sheet1-指标体系'!$J$8+AH75*'Sheet1-指标体系'!$J$9,2),AG75),"")</f>
        <v>78.98</v>
      </c>
      <c r="AJ75" s="45">
        <f>IF(NOT(ISNUMBER(F75)),"",IF(F75&gt;='Sheet1-指标体系'!$J$16,IF(ISNUMBER(N75),N75,""),IF(ISNUMBER(O75),O75,"")))</f>
        <v>0.153258520854718</v>
      </c>
      <c r="AK75" s="37">
        <f>IF(AND(G75="入池",ISNUMBER(M75),ISNUMBER(AJ75)),IF(M75&gt;=AJ75,'Sheet1-指标体系'!$J$18,IF(AJ75-M75&lt;'Sheet1-指标体系'!$J$10,'Sheet1-指标体系'!$J$22,'Sheet1-指标体系'!$J$23)),"")</f>
        <v>100</v>
      </c>
      <c r="AL75" s="37">
        <f>IF((IF(ISNUMBER(I75),'Sheet1-指标体系'!$G$4,0)+IF(ISNUMBER(K75),'Sheet1-指标体系'!$G$5,0)+IF(ISNUMBER(L75),'Sheet1-指标体系'!$G$6,0))&gt;0,ROUND((IF(ISNUMBER(I75),I75*'Sheet1-指标体系'!$G$4,0)+IF(ISNUMBER(K75),K75*'Sheet1-指标体系'!$G$5,0)+IF(ISNUMBER(L75),L75*'Sheet1-指标体系'!$G$6,0))/(IF(ISNUMBER(I75),'Sheet1-指标体系'!$G$4,0)+IF(ISNUMBER(K75),'Sheet1-指标体系'!$G$5,0)+IF(ISNUMBER(L75),'Sheet1-指标体系'!$G$6,0)),2),"")</f>
        <v>84</v>
      </c>
      <c r="AM75" s="37">
        <f t="shared" si="9"/>
        <v>83.79</v>
      </c>
      <c r="AN75" s="37">
        <f t="shared" si="10"/>
        <v>67.57</v>
      </c>
      <c r="AO75" s="37">
        <f t="shared" si="11"/>
        <v>78.98</v>
      </c>
      <c r="AP75" s="37">
        <f t="shared" si="12"/>
        <v>100</v>
      </c>
      <c r="AQ75" s="38">
        <f t="shared" si="13"/>
        <v>0.94</v>
      </c>
      <c r="AR75" s="37">
        <f t="shared" si="14"/>
        <v>74.91534</v>
      </c>
      <c r="AS75" s="37">
        <f t="shared" si="15"/>
        <v>79.7</v>
      </c>
      <c r="AT75" s="40">
        <f>IF(OR(G75&lt;&gt;"入池",NOT(ISNUMBER(AS75))),"",COUNTIFS($G$17:$G$99,"入池",$AS$17:$AS$99,"&gt;"&amp;AS75)+COUNTIFS($G$17:$G$99,"入池",$AS$17:$AS$99,AS75,$AQ$17:$AQ$99,"&gt;"&amp;AQ75)+COUNTIFS($G$17:G75,"入池",$AS$17:AS75,AS75,$AQ$17:AQ75,AQ75))</f>
        <v>17</v>
      </c>
      <c r="AU75" s="46" t="str">
        <f>IF(NOT(ISNUMBER(I75)),"管理人规模；","")&amp;IF(NOT(ISNUMBER(K75)),"产品规模标识；","")&amp;IF(NOT(ISNUMBER(M75)),"近一年收益；","")&amp;IF(NOT(ISNUMBER(T75)),"近一年胜率；","")&amp;IF(NOT(ISNUMBER(N75)),"近三年收益；","")&amp;IF(NOT(ISNUMBER(U75)),"近三年胜率；","")&amp;IF(NOT(ISNUMBER(AA75)),"近三年回撤；","")&amp;IF(NOT(ISNUMBER(AD75)),"近一年卡玛；","")&amp;IF(ISNUMBER(F75),IF(AND(F75&lt;'Sheet1-指标体系'!$J$16,NOT(ISNUMBER(O75))),"成立以来年化；",""),"成立日期；")&amp;IF(ISNUMBER(V75),IF(OR(V75&lt;0,V75&gt;1),"胜率窗口口径不一致；",""),"")&amp;IF(ISNUMBER(P75),IF(NOT(ISNUMBER(AE75)),"DD_long不可识别；",""),"")</f>
        <v>近一年胜率；近三年胜率；</v>
      </c>
      <c r="AV75" s="37" t="str">
        <f>IF(ABS(SUM(CA75:CK75)-'Sheet1-指标体系'!$J$25)&lt;0.0000000001,SUM(BP75:BZ75),"")</f>
        <v/>
      </c>
      <c r="AW75" s="36" t="str">
        <f>IF(G75&lt;&gt;"入池",G75,IF(AQ75=0,"无有效评分数据",IF(ROUND(AQ75,10)=ROUND('Sheet1-指标体系'!$J$25,10),"完整赋分","暂定分／数据不完整")))</f>
        <v>暂定分／数据不完整</v>
      </c>
      <c r="AX75" s="22" t="str">
        <f>IF('Sheet4-原始数据'!C60="","",'Sheet4-原始数据'!C60)</f>
        <v>套利策略</v>
      </c>
      <c r="AY75" s="22" t="str">
        <f>IF('Sheet4-原始数据'!D60="","",'Sheet4-原始数据'!D60)</f>
        <v>期货套利</v>
      </c>
      <c r="AZ75" s="22" t="str">
        <f>IF('Sheet5-查询核对'!S60="","",'Sheet5-查询核对'!S60)</f>
        <v>套利策略—期货套利</v>
      </c>
      <c r="BA75" s="25">
        <f>IF('Sheet5-查询核对'!A60="","",'Sheet5-查询核对'!A60)</f>
        <v>60</v>
      </c>
      <c r="BB75" s="22" t="str">
        <f>IF('Sheet5-查询核对'!F60="","",'Sheet5-查询核对'!F60)</f>
        <v>备案号匹配</v>
      </c>
      <c r="BC75" s="24" t="str">
        <f>IF('Sheet5-查询核对'!I60="","",'Sheet5-查询核对'!I60)</f>
        <v>https://mp.fof99.com/fund/view/de992f1098047fe1</v>
      </c>
      <c r="BD75" s="23">
        <f>IF('Sheet5-查询核对'!H60="","",'Sheet5-查询核对'!H60)</f>
        <v>46269</v>
      </c>
      <c r="BE75" s="24" t="str">
        <f>IF('Sheet5-查询核对'!L60="","",'Sheet5-查询核对'!L60)</f>
        <v>https://gs.amac.org.cn/amac-infodisc/res/pof/manager/101000026000.html</v>
      </c>
      <c r="BF75" s="23">
        <f>IF('Sheet5-查询核对'!M60="","",'Sheet5-查询核对'!M60)</f>
        <v>46276</v>
      </c>
      <c r="BG75" s="24" t="str">
        <f>IF('Sheet5-查询核对'!O60="","",'Sheet5-查询核对'!O60)</f>
        <v>https://gs.amac.org.cn/amac-infodisc/res/pof/fund/2211252020100971.html</v>
      </c>
      <c r="BH75" s="23">
        <f>IF('Sheet5-查询核对'!P60="","",'Sheet5-查询核对'!P60)</f>
        <v>46276</v>
      </c>
      <c r="BI75" s="22" t="str">
        <f>IF('Sheet5-查询核对'!D60="","",'Sheet5-查询核对'!D60)</f>
        <v>SXT730</v>
      </c>
      <c r="BJ75">
        <f>IF(ISNUMBER(AT75),AT75,COUNT($AT$17:$AT$99)+ROWS($AT$17:AT75)-COUNT($AT$17:AT75))</f>
        <v>17</v>
      </c>
      <c r="BK75" s="2">
        <f t="shared" si="16"/>
        <v>1</v>
      </c>
      <c r="BL75" s="2">
        <f t="shared" si="17"/>
        <v>1</v>
      </c>
      <c r="BM75" s="2">
        <f t="shared" si="18"/>
        <v>1</v>
      </c>
      <c r="BN75" s="2">
        <f t="shared" si="19"/>
        <v>1</v>
      </c>
      <c r="BO75" s="2">
        <f t="shared" si="20"/>
        <v>1</v>
      </c>
      <c r="BP75" s="48">
        <f>IF(G75="入池",IF(ISNUMBER(I75),I75*('Sheet1-指标体系'!$G$4),0),0)</f>
        <v>3.6</v>
      </c>
      <c r="BQ75" s="48">
        <f>IF(G75="入池",IF(ISNUMBER(K75),K75*('Sheet1-指标体系'!$G$5),0),0)</f>
        <v>4.5</v>
      </c>
      <c r="BR75" s="48">
        <f>IF(G75="入池",IF(ISNUMBER(L75),L75*('Sheet1-指标体系'!$G$6),0),0)</f>
        <v>4.5</v>
      </c>
      <c r="BS75" s="48">
        <f>IF(G75="入池",IF(ISNUMBER(Q75),Q75*('Sheet1-指标体系'!$G$7*'Sheet1-指标体系'!$J$8),0),0)</f>
        <v>7.23324</v>
      </c>
      <c r="BT75" s="48">
        <f>IF(G75="入池",IF(ISNUMBER(R75),R75*('Sheet1-指标体系'!$G$7*'Sheet1-指标体系'!$J$9),0),0)</f>
        <v>4.4968</v>
      </c>
      <c r="BU75" s="48">
        <f>IF(G75="入池",IF(ISNUMBER(W75),W75*('Sheet1-指标体系'!$G$8*'Sheet1-指标体系'!$J$8),0),0)</f>
        <v>0</v>
      </c>
      <c r="BV75" s="48">
        <f>IF(G75="入池",IF(ISNUMBER(X75),X75*('Sheet1-指标体系'!$G$8*'Sheet1-指标体系'!$J$9),0),0)</f>
        <v>0</v>
      </c>
      <c r="BW75" s="48">
        <f>IF(G75="入池",IF(ISNUMBER(AC75),AC75*('Sheet1-指标体系'!$G$9),0),0)</f>
        <v>16.8925</v>
      </c>
      <c r="BX75" s="48">
        <f>IF(G75="入池",IF(ISNUMBER(AG75),AG75*('Sheet1-指标体系'!$G$10*'Sheet1-指标体系'!$J$8),0),0)</f>
        <v>13.9428</v>
      </c>
      <c r="BY75" s="48">
        <f>IF(G75="入池",IF(ISNUMBER(AH75),AH75*('Sheet1-指标体系'!$G$10*'Sheet1-指标体系'!$J$9),0),0)</f>
        <v>9.75</v>
      </c>
      <c r="BZ75" s="48">
        <f>IF(G75="入池",IF(ISNUMBER(AK75),AK75*('Sheet1-指标体系'!$G$11),0),0)</f>
        <v>10</v>
      </c>
      <c r="CA75" s="49">
        <f>IF(G75="入池",IF(ISNUMBER(I75),'Sheet1-指标体系'!$G$4,0),0)</f>
        <v>0.06</v>
      </c>
      <c r="CB75" s="49">
        <f>IF(G75="入池",IF(ISNUMBER(K75),'Sheet1-指标体系'!$G$5,0),0)</f>
        <v>0.045</v>
      </c>
      <c r="CC75" s="49">
        <f>IF(G75="入池",IF(ISNUMBER(L75),'Sheet1-指标体系'!$G$6,0),0)</f>
        <v>0.045</v>
      </c>
      <c r="CD75" s="49">
        <f>IF(G75="入池",IF(ISNUMBER(Q75),'Sheet1-指标体系'!$G$7*'Sheet1-指标体系'!$J$8,0),0)</f>
        <v>0.084</v>
      </c>
      <c r="CE75" s="49">
        <f>IF(G75="入池",IF(ISNUMBER(R75),'Sheet1-指标体系'!$G$7*'Sheet1-指标体系'!$J$9,0),0)</f>
        <v>0.056</v>
      </c>
      <c r="CF75" s="49">
        <f>IF(G75="入池",IF(ISNUMBER(W75),'Sheet1-指标体系'!$G$8*'Sheet1-指标体系'!$J$8,0),0)</f>
        <v>0</v>
      </c>
      <c r="CG75" s="49">
        <f>IF(G75="入池",IF(ISNUMBER(X75),'Sheet1-指标体系'!$G$8*'Sheet1-指标体系'!$J$9,0),0)</f>
        <v>0</v>
      </c>
      <c r="CH75" s="49">
        <f>IF(G75="入池",IF(ISNUMBER(AC75),'Sheet1-指标体系'!$G$9,0),0)</f>
        <v>0.25</v>
      </c>
      <c r="CI75" s="49">
        <f>IF(G75="入池",IF(ISNUMBER(AG75),'Sheet1-指标体系'!$G$10*'Sheet1-指标体系'!$J$8,0),0)</f>
        <v>0.18</v>
      </c>
      <c r="CJ75" s="49">
        <f>IF(G75="入池",IF(ISNUMBER(AH75),'Sheet1-指标体系'!$G$10*'Sheet1-指标体系'!$J$9,0),0)</f>
        <v>0.12</v>
      </c>
      <c r="CK75" s="49">
        <f>IF(G75="入池",IF(ISNUMBER(AK75),'Sheet1-指标体系'!$G$11,0),0)</f>
        <v>0.1</v>
      </c>
    </row>
    <row r="76" ht="44" customHeight="1" spans="1:89">
      <c r="A76" s="40">
        <f>'Sheet5-查询核对'!A61-1</f>
        <v>60</v>
      </c>
      <c r="B76" s="24" t="str">
        <f>IF('Sheet4-原始数据'!A61="",'Sheet5-查询核对'!B61,'Sheet4-原始数据'!A61)</f>
        <v>殊馥馥源套利1号</v>
      </c>
      <c r="C76" s="22" t="str">
        <f>IF('Sheet4-原始数据'!B61="","",'Sheet4-原始数据'!B61)</f>
        <v>SGM512</v>
      </c>
      <c r="D76" s="22" t="str">
        <f>IF('Sheet4-原始数据'!E61="","",'Sheet4-原始数据'!E61)</f>
        <v>上海殊馥投资</v>
      </c>
      <c r="E76" s="23">
        <f>IF('Sheet4-原始数据'!F61="","",'Sheet4-原始数据'!F61)</f>
        <v>43585</v>
      </c>
      <c r="F76" s="37">
        <f>IF(ISNUMBER(E76),ROUND(('Sheet1-指标体系'!$J$12-E76)/'Sheet1-指标体系'!$J$14,4),"")</f>
        <v>7.3648</v>
      </c>
      <c r="G76" s="36" t="str">
        <f>IF(C76="","未匹配",IF(NOT(ISNUMBER(F76)),"缺成立日期",IF(F76&lt;'Sheet1-指标体系'!$J$15,"不入池","入池")))</f>
        <v>入池</v>
      </c>
      <c r="H76" s="22" t="str">
        <f>IF('Sheet5-查询核对'!K61="","",'Sheet5-查询核对'!K61)</f>
        <v>10-20亿元</v>
      </c>
      <c r="I76" s="37">
        <f>IF(H76="","",IF(COUNTIF('Sheet1-指标体系'!$P$4:$P$10,H76)=0,"",INDEX('Sheet1-指标体系'!$Q$4:$Q$10,MATCH(H76,'Sheet1-指标体系'!$P$4:$P$10,0))))</f>
        <v>80</v>
      </c>
      <c r="J76" s="44" t="str">
        <f>IF(NOT(ISNUMBER('Sheet5-查询核对'!N61)),"",IF('Sheet5-查询核对'!N61=1,"低于"&amp;'Sheet1-指标体系'!$J$4&amp;"万元",IF('Sheet5-查询核对'!N61=0,"无低于"&amp;'Sheet1-指标体系'!$J$4&amp;"万元标识","")))</f>
        <v>无低于1000万元标识</v>
      </c>
      <c r="K76" s="37">
        <f>IF(NOT(ISNUMBER('Sheet5-查询核对'!N61)),"",IF('Sheet5-查询核对'!N61=1,'Sheet1-指标体系'!$J$21,IF('Sheet5-查询核对'!N61=0,'Sheet1-指标体系'!$J$18,"")))</f>
        <v>100</v>
      </c>
      <c r="L76" s="37">
        <f>IF(NOT(ISNUMBER(F76)),"",IF(F76&lt;'Sheet1-指标体系'!$J$15,"",IF(F76&lt;'Sheet1-指标体系'!$J$16,'Sheet1-指标体系'!$J$17,'Sheet1-指标体系'!$J$18)))</f>
        <v>100</v>
      </c>
      <c r="M76" s="26">
        <f>IF(ISNUMBER('Sheet4-原始数据'!G61),'Sheet4-原始数据'!G61,"")</f>
        <v>0.0944</v>
      </c>
      <c r="N76" s="26">
        <f>IF(ISNUMBER('Sheet4-原始数据'!H61),'Sheet4-原始数据'!H61,"")</f>
        <v>0.0669</v>
      </c>
      <c r="O76" s="26">
        <f>IF(ISNUMBER('Sheet5-查询核对'!Q61),'Sheet5-查询核对'!Q61,"")</f>
        <v>0.0751</v>
      </c>
      <c r="P76" s="45">
        <f>IF(G76&lt;&gt;"入池","",IF(F76&gt;='Sheet1-指标体系'!$J$16,IF(AND(ISNUMBER(M76),ISNUMBER(N76)),IF(AND(1+M76&gt;0,1+N76&gt;=0),((1+N76)^'Sheet1-指标体系'!$J$16/(1+M76))^(1/('Sheet1-指标体系'!$J$16-1))-1,""),""),IF(AND(ISNUMBER(M76),ISNUMBER(O76)),IF(AND(F76&gt;1,1+M76&gt;0,1+O76&gt;=0),((1+O76)^F76/(1+M76))^(1/(F76-1))-1,""),"")))</f>
        <v>0.0534102273129364</v>
      </c>
      <c r="Q76" s="37">
        <f t="shared" si="0"/>
        <v>57.64</v>
      </c>
      <c r="R76" s="37">
        <f t="shared" si="1"/>
        <v>22.73</v>
      </c>
      <c r="S76" s="37">
        <f>IF(ISNUMBER(Q76),IF(ISNUMBER(R76),ROUND(Q76*'Sheet1-指标体系'!$J$8+R76*'Sheet1-指标体系'!$J$9,2),Q76),"")</f>
        <v>43.68</v>
      </c>
      <c r="T76" s="26">
        <f>IF(ISNUMBER('Sheet4-原始数据'!J61),'Sheet4-原始数据'!J61,"")</f>
        <v>1</v>
      </c>
      <c r="U76" s="26">
        <f>IF(ISNUMBER('Sheet4-原始数据'!I61),'Sheet4-原始数据'!I61,"")</f>
        <v>0.8108</v>
      </c>
      <c r="V76" s="45">
        <f>IF(AND(ISNUMBER(T76),ISNUMBER(U76)),(U76*'Sheet1-指标体系'!$J$6-T76*'Sheet1-指标体系'!$J$5)/'Sheet1-指标体系'!$J$7,"")</f>
        <v>0.708316666666667</v>
      </c>
      <c r="W76" s="37">
        <f t="shared" si="2"/>
        <v>100</v>
      </c>
      <c r="X76" s="37">
        <f>IF(G76&lt;&gt;"入池","",IF(ISNUMBER(V76),IF(AND(V76&gt;=0,V76&lt;=1),V76*'Sheet1-指标体系'!$J$18,IF(MAX(0,(F76-'Sheet1-指标体系'!$J$15)*'Sheet1-指标体系'!$J$20)&lt;'Sheet1-指标体系'!$J$19,'Sheet1-指标体系'!$J$18,"")),IF(MAX(0,(F76-'Sheet1-指标体系'!$J$15)*'Sheet1-指标体系'!$J$20)&lt;'Sheet1-指标体系'!$J$19,'Sheet1-指标体系'!$J$18,"")))</f>
        <v>70.8316666666667</v>
      </c>
      <c r="Y76" s="37">
        <f>IF(ISNUMBER(W76),IF(ISNUMBER(X76),ROUND(W76*'Sheet1-指标体系'!$J$8+X76*'Sheet1-指标体系'!$J$9,2),W76),"")</f>
        <v>88.33</v>
      </c>
      <c r="Z76" s="45">
        <f t="shared" si="3"/>
        <v>0.00873160489487851</v>
      </c>
      <c r="AA76" s="26">
        <f>IF(ISNUMBER('Sheet4-原始数据'!K61),'Sheet4-原始数据'!K61,"")</f>
        <v>0.0502</v>
      </c>
      <c r="AB76" s="45">
        <f t="shared" si="4"/>
        <v>0.0502</v>
      </c>
      <c r="AC76" s="37">
        <f t="shared" si="5"/>
        <v>17.57</v>
      </c>
      <c r="AD76" s="30">
        <f>IF(ISNUMBER('Sheet4-原始数据'!M61),'Sheet4-原始数据'!M61,"")</f>
        <v>10.8113</v>
      </c>
      <c r="AE76" s="45">
        <f>IF(AND(ISNUMBER(P76),ISNUMBER(AA76),ISNUMBER(Z76)),IF(AA76&gt;Z76+'Sheet1-指标体系'!$J$11,AA76,""),"")</f>
        <v>0.0502</v>
      </c>
      <c r="AF76" s="37">
        <f t="shared" si="6"/>
        <v>1.06394875125371</v>
      </c>
      <c r="AG76" s="37">
        <f t="shared" si="7"/>
        <v>56.34</v>
      </c>
      <c r="AH76" s="37">
        <f t="shared" si="8"/>
        <v>9.38</v>
      </c>
      <c r="AI76" s="37">
        <f>IF(ISNUMBER(AG76),IF(ISNUMBER(AH76),ROUND(AG76*'Sheet1-指标体系'!$J$8+AH76*'Sheet1-指标体系'!$J$9,2),AG76),"")</f>
        <v>37.56</v>
      </c>
      <c r="AJ76" s="45">
        <f>IF(NOT(ISNUMBER(F76)),"",IF(F76&gt;='Sheet1-指标体系'!$J$16,IF(ISNUMBER(N76),N76,""),IF(ISNUMBER(O76),O76,"")))</f>
        <v>0.0669</v>
      </c>
      <c r="AK76" s="37">
        <f>IF(AND(G76="入池",ISNUMBER(M76),ISNUMBER(AJ76)),IF(M76&gt;=AJ76,'Sheet1-指标体系'!$J$18,IF(AJ76-M76&lt;'Sheet1-指标体系'!$J$10,'Sheet1-指标体系'!$J$22,'Sheet1-指标体系'!$J$23)),"")</f>
        <v>100</v>
      </c>
      <c r="AL76" s="37">
        <f>IF((IF(ISNUMBER(I76),'Sheet1-指标体系'!$G$4,0)+IF(ISNUMBER(K76),'Sheet1-指标体系'!$G$5,0)+IF(ISNUMBER(L76),'Sheet1-指标体系'!$G$6,0))&gt;0,ROUND((IF(ISNUMBER(I76),I76*'Sheet1-指标体系'!$G$4,0)+IF(ISNUMBER(K76),K76*'Sheet1-指标体系'!$G$5,0)+IF(ISNUMBER(L76),L76*'Sheet1-指标体系'!$G$6,0))/(IF(ISNUMBER(I76),'Sheet1-指标体系'!$G$4,0)+IF(ISNUMBER(K76),'Sheet1-指标体系'!$G$5,0)+IF(ISNUMBER(L76),'Sheet1-指标体系'!$G$6,0)),2),"")</f>
        <v>92</v>
      </c>
      <c r="AM76" s="37">
        <f t="shared" si="9"/>
        <v>57.07</v>
      </c>
      <c r="AN76" s="37">
        <f t="shared" si="10"/>
        <v>17.57</v>
      </c>
      <c r="AO76" s="37">
        <f t="shared" si="11"/>
        <v>37.56</v>
      </c>
      <c r="AP76" s="37">
        <f t="shared" si="12"/>
        <v>100</v>
      </c>
      <c r="AQ76" s="38">
        <f t="shared" si="13"/>
        <v>1</v>
      </c>
      <c r="AR76" s="37">
        <f t="shared" si="14"/>
        <v>50.8739</v>
      </c>
      <c r="AS76" s="37">
        <f t="shared" si="15"/>
        <v>50.87</v>
      </c>
      <c r="AT76" s="40">
        <f>IF(OR(G76&lt;&gt;"入池",NOT(ISNUMBER(AS76))),"",COUNTIFS($G$17:$G$99,"入池",$AS$17:$AS$99,"&gt;"&amp;AS76)+COUNTIFS($G$17:$G$99,"入池",$AS$17:$AS$99,AS76,$AQ$17:$AQ$99,"&gt;"&amp;AQ76)+COUNTIFS($G$17:G76,"入池",$AS$17:AS76,AS76,$AQ$17:AQ76,AQ76))</f>
        <v>56</v>
      </c>
      <c r="AU76" s="46" t="str">
        <f>IF(NOT(ISNUMBER(I76)),"管理人规模；","")&amp;IF(NOT(ISNUMBER(K76)),"产品规模标识；","")&amp;IF(NOT(ISNUMBER(M76)),"近一年收益；","")&amp;IF(NOT(ISNUMBER(T76)),"近一年胜率；","")&amp;IF(NOT(ISNUMBER(N76)),"近三年收益；","")&amp;IF(NOT(ISNUMBER(U76)),"近三年胜率；","")&amp;IF(NOT(ISNUMBER(AA76)),"近三年回撤；","")&amp;IF(NOT(ISNUMBER(AD76)),"近一年卡玛；","")&amp;IF(ISNUMBER(F76),IF(AND(F76&lt;'Sheet1-指标体系'!$J$16,NOT(ISNUMBER(O76))),"成立以来年化；",""),"成立日期；")&amp;IF(ISNUMBER(V76),IF(OR(V76&lt;0,V76&gt;1),"胜率窗口口径不一致；",""),"")&amp;IF(ISNUMBER(P76),IF(NOT(ISNUMBER(AE76)),"DD_long不可识别；",""),"")</f>
        <v/>
      </c>
      <c r="AV76" s="37">
        <f>IF(ABS(SUM(CA76:CK76)-'Sheet1-指标体系'!$J$25)&lt;0.0000000001,SUM(BP76:BZ76),"")</f>
        <v>50.8739</v>
      </c>
      <c r="AW76" s="36" t="str">
        <f>IF(G76&lt;&gt;"入池",G76,IF(AQ76=0,"无有效评分数据",IF(ROUND(AQ76,10)=ROUND('Sheet1-指标体系'!$J$25,10),"完整赋分","暂定分／数据不完整")))</f>
        <v>完整赋分</v>
      </c>
      <c r="AX76" s="22" t="str">
        <f>IF('Sheet4-原始数据'!C61="","",'Sheet4-原始数据'!C61)</f>
        <v>套利策略</v>
      </c>
      <c r="AY76" s="22" t="str">
        <f>IF('Sheet4-原始数据'!D61="","",'Sheet4-原始数据'!D61)</f>
        <v>基金套利</v>
      </c>
      <c r="AZ76" s="22" t="str">
        <f>IF('Sheet5-查询核对'!S61="","",'Sheet5-查询核对'!S61)</f>
        <v>套利策略—基金套利</v>
      </c>
      <c r="BA76" s="25">
        <f>IF('Sheet5-查询核对'!A61="","",'Sheet5-查询核对'!A61)</f>
        <v>61</v>
      </c>
      <c r="BB76" s="22" t="str">
        <f>IF('Sheet5-查询核对'!F61="","",'Sheet5-查询核对'!F61)</f>
        <v>备案号匹配</v>
      </c>
      <c r="BC76" s="24" t="str">
        <f>IF('Sheet5-查询核对'!I61="","",'Sheet5-查询核对'!I61)</f>
        <v>https://mp.fof99.com/fund/view/7d1044d0dd00c1bd</v>
      </c>
      <c r="BD76" s="23">
        <f>IF('Sheet5-查询核对'!H61="","",'Sheet5-查询核对'!H61)</f>
        <v>46269</v>
      </c>
      <c r="BE76" s="24" t="str">
        <f>IF('Sheet5-查询核对'!L61="","",'Sheet5-查询核对'!L61)</f>
        <v>https://gs.amac.org.cn/amac-infodisc/res/pof/manager/101000042776.html</v>
      </c>
      <c r="BF76" s="23">
        <f>IF('Sheet5-查询核对'!M61="","",'Sheet5-查询核对'!M61)</f>
        <v>46276</v>
      </c>
      <c r="BG76" s="24" t="str">
        <f>IF('Sheet5-查询核对'!O61="","",'Sheet5-查询核对'!O61)</f>
        <v>https://gs.amac.org.cn/amac-infodisc/res/pof/fund/1905151920101338.html</v>
      </c>
      <c r="BH76" s="23">
        <f>IF('Sheet5-查询核对'!P61="","",'Sheet5-查询核对'!P61)</f>
        <v>46276</v>
      </c>
      <c r="BI76" s="22" t="str">
        <f>IF('Sheet5-查询核对'!D61="","",'Sheet5-查询核对'!D61)</f>
        <v>SGM512</v>
      </c>
      <c r="BJ76">
        <f>IF(ISNUMBER(AT76),AT76,COUNT($AT$17:$AT$99)+ROWS($AT$17:AT76)-COUNT($AT$17:AT76))</f>
        <v>56</v>
      </c>
      <c r="BK76" s="2">
        <f t="shared" si="16"/>
        <v>1</v>
      </c>
      <c r="BL76" s="2">
        <f t="shared" si="17"/>
        <v>1</v>
      </c>
      <c r="BM76" s="2">
        <f t="shared" si="18"/>
        <v>1</v>
      </c>
      <c r="BN76" s="2">
        <f t="shared" si="19"/>
        <v>1</v>
      </c>
      <c r="BO76" s="2">
        <f t="shared" si="20"/>
        <v>1</v>
      </c>
      <c r="BP76" s="48">
        <f>IF(G76="入池",IF(ISNUMBER(I76),I76*('Sheet1-指标体系'!$G$4),0),0)</f>
        <v>4.8</v>
      </c>
      <c r="BQ76" s="48">
        <f>IF(G76="入池",IF(ISNUMBER(K76),K76*('Sheet1-指标体系'!$G$5),0),0)</f>
        <v>4.5</v>
      </c>
      <c r="BR76" s="48">
        <f>IF(G76="入池",IF(ISNUMBER(L76),L76*('Sheet1-指标体系'!$G$6),0),0)</f>
        <v>4.5</v>
      </c>
      <c r="BS76" s="48">
        <f>IF(G76="入池",IF(ISNUMBER(Q76),Q76*('Sheet1-指标体系'!$G$7*'Sheet1-指标体系'!$J$8),0),0)</f>
        <v>4.84176</v>
      </c>
      <c r="BT76" s="48">
        <f>IF(G76="入池",IF(ISNUMBER(R76),R76*('Sheet1-指标体系'!$G$7*'Sheet1-指标体系'!$J$9),0),0)</f>
        <v>1.27288</v>
      </c>
      <c r="BU76" s="48">
        <f>IF(G76="入池",IF(ISNUMBER(W76),W76*('Sheet1-指标体系'!$G$8*'Sheet1-指标体系'!$J$8),0),0)</f>
        <v>3.6</v>
      </c>
      <c r="BV76" s="48">
        <f>IF(G76="入池",IF(ISNUMBER(X76),X76*('Sheet1-指标体系'!$G$8*'Sheet1-指标体系'!$J$9),0),0)</f>
        <v>1.69996</v>
      </c>
      <c r="BW76" s="48">
        <f>IF(G76="入池",IF(ISNUMBER(AC76),AC76*('Sheet1-指标体系'!$G$9),0),0)</f>
        <v>4.3925</v>
      </c>
      <c r="BX76" s="48">
        <f>IF(G76="入池",IF(ISNUMBER(AG76),AG76*('Sheet1-指标体系'!$G$10*'Sheet1-指标体系'!$J$8),0),0)</f>
        <v>10.1412</v>
      </c>
      <c r="BY76" s="48">
        <f>IF(G76="入池",IF(ISNUMBER(AH76),AH76*('Sheet1-指标体系'!$G$10*'Sheet1-指标体系'!$J$9),0),0)</f>
        <v>1.1256</v>
      </c>
      <c r="BZ76" s="48">
        <f>IF(G76="入池",IF(ISNUMBER(AK76),AK76*('Sheet1-指标体系'!$G$11),0),0)</f>
        <v>10</v>
      </c>
      <c r="CA76" s="49">
        <f>IF(G76="入池",IF(ISNUMBER(I76),'Sheet1-指标体系'!$G$4,0),0)</f>
        <v>0.06</v>
      </c>
      <c r="CB76" s="49">
        <f>IF(G76="入池",IF(ISNUMBER(K76),'Sheet1-指标体系'!$G$5,0),0)</f>
        <v>0.045</v>
      </c>
      <c r="CC76" s="49">
        <f>IF(G76="入池",IF(ISNUMBER(L76),'Sheet1-指标体系'!$G$6,0),0)</f>
        <v>0.045</v>
      </c>
      <c r="CD76" s="49">
        <f>IF(G76="入池",IF(ISNUMBER(Q76),'Sheet1-指标体系'!$G$7*'Sheet1-指标体系'!$J$8,0),0)</f>
        <v>0.084</v>
      </c>
      <c r="CE76" s="49">
        <f>IF(G76="入池",IF(ISNUMBER(R76),'Sheet1-指标体系'!$G$7*'Sheet1-指标体系'!$J$9,0),0)</f>
        <v>0.056</v>
      </c>
      <c r="CF76" s="49">
        <f>IF(G76="入池",IF(ISNUMBER(W76),'Sheet1-指标体系'!$G$8*'Sheet1-指标体系'!$J$8,0),0)</f>
        <v>0.036</v>
      </c>
      <c r="CG76" s="49">
        <f>IF(G76="入池",IF(ISNUMBER(X76),'Sheet1-指标体系'!$G$8*'Sheet1-指标体系'!$J$9,0),0)</f>
        <v>0.024</v>
      </c>
      <c r="CH76" s="49">
        <f>IF(G76="入池",IF(ISNUMBER(AC76),'Sheet1-指标体系'!$G$9,0),0)</f>
        <v>0.25</v>
      </c>
      <c r="CI76" s="49">
        <f>IF(G76="入池",IF(ISNUMBER(AG76),'Sheet1-指标体系'!$G$10*'Sheet1-指标体系'!$J$8,0),0)</f>
        <v>0.18</v>
      </c>
      <c r="CJ76" s="49">
        <f>IF(G76="入池",IF(ISNUMBER(AH76),'Sheet1-指标体系'!$G$10*'Sheet1-指标体系'!$J$9,0),0)</f>
        <v>0.12</v>
      </c>
      <c r="CK76" s="49">
        <f>IF(G76="入池",IF(ISNUMBER(AK76),'Sheet1-指标体系'!$G$11,0),0)</f>
        <v>0.1</v>
      </c>
    </row>
    <row r="77" ht="44" customHeight="1" spans="1:89">
      <c r="A77" s="40">
        <f>'Sheet5-查询核对'!A62-1</f>
        <v>61</v>
      </c>
      <c r="B77" s="24" t="str">
        <f>IF('Sheet4-原始数据'!A62="",'Sheet5-查询核对'!B62,'Sheet4-原始数据'!A62)</f>
        <v>殊馥兴义6号</v>
      </c>
      <c r="C77" s="22" t="str">
        <f>IF('Sheet4-原始数据'!B62="","",'Sheet4-原始数据'!B62)</f>
        <v>SXQ267</v>
      </c>
      <c r="D77" s="22" t="str">
        <f>IF('Sheet4-原始数据'!E62="","",'Sheet4-原始数据'!E62)</f>
        <v>上海殊馥投资</v>
      </c>
      <c r="E77" s="23">
        <f>IF('Sheet4-原始数据'!F62="","",'Sheet4-原始数据'!F62)</f>
        <v>44867</v>
      </c>
      <c r="F77" s="37">
        <f>IF(ISNUMBER(E77),ROUND(('Sheet1-指标体系'!$J$12-E77)/'Sheet1-指标体系'!$J$14,4),"")</f>
        <v>3.8549</v>
      </c>
      <c r="G77" s="36" t="str">
        <f>IF(C77="","未匹配",IF(NOT(ISNUMBER(F77)),"缺成立日期",IF(F77&lt;'Sheet1-指标体系'!$J$15,"不入池","入池")))</f>
        <v>入池</v>
      </c>
      <c r="H77" s="22" t="str">
        <f>IF('Sheet5-查询核对'!K62="","",'Sheet5-查询核对'!K62)</f>
        <v>10-20亿元</v>
      </c>
      <c r="I77" s="37">
        <f>IF(H77="","",IF(COUNTIF('Sheet1-指标体系'!$P$4:$P$10,H77)=0,"",INDEX('Sheet1-指标体系'!$Q$4:$Q$10,MATCH(H77,'Sheet1-指标体系'!$P$4:$P$10,0))))</f>
        <v>80</v>
      </c>
      <c r="J77" s="44" t="str">
        <f>IF(NOT(ISNUMBER('Sheet5-查询核对'!N62)),"",IF('Sheet5-查询核对'!N62=1,"低于"&amp;'Sheet1-指标体系'!$J$4&amp;"万元",IF('Sheet5-查询核对'!N62=0,"无低于"&amp;'Sheet1-指标体系'!$J$4&amp;"万元标识","")))</f>
        <v>无低于1000万元标识</v>
      </c>
      <c r="K77" s="37">
        <f>IF(NOT(ISNUMBER('Sheet5-查询核对'!N62)),"",IF('Sheet5-查询核对'!N62=1,'Sheet1-指标体系'!$J$21,IF('Sheet5-查询核对'!N62=0,'Sheet1-指标体系'!$J$18,"")))</f>
        <v>100</v>
      </c>
      <c r="L77" s="37">
        <f>IF(NOT(ISNUMBER(F77)),"",IF(F77&lt;'Sheet1-指标体系'!$J$15,"",IF(F77&lt;'Sheet1-指标体系'!$J$16,'Sheet1-指标体系'!$J$17,'Sheet1-指标体系'!$J$18)))</f>
        <v>100</v>
      </c>
      <c r="M77" s="26">
        <f>IF(ISNUMBER('Sheet4-原始数据'!G62),'Sheet4-原始数据'!G62,"")</f>
        <v>0.0779</v>
      </c>
      <c r="N77" s="26">
        <f>IF(ISNUMBER('Sheet4-原始数据'!H62),'Sheet4-原始数据'!H62,"")</f>
        <v>0.0651</v>
      </c>
      <c r="O77" s="26">
        <f>IF(ISNUMBER('Sheet5-查询核对'!Q62),'Sheet5-查询核对'!Q62,"")</f>
        <v>0.1025</v>
      </c>
      <c r="P77" s="45">
        <f>IF(G77&lt;&gt;"入池","",IF(F77&gt;='Sheet1-指标体系'!$J$16,IF(AND(ISNUMBER(M77),ISNUMBER(N77)),IF(AND(1+M77&gt;0,1+N77&gt;=0),((1+N77)^'Sheet1-指标体系'!$J$16/(1+M77))^(1/('Sheet1-指标体系'!$J$16-1))-1,""),""),IF(AND(ISNUMBER(M77),ISNUMBER(O77)),IF(AND(F77&gt;1,1+M77&gt;0,1+O77&gt;=0),((1+O77)^F77/(1+M77))^(1/(F77-1))-1,""),"")))</f>
        <v>0.0587571130384437</v>
      </c>
      <c r="Q77" s="37">
        <f t="shared" si="0"/>
        <v>38.89</v>
      </c>
      <c r="R77" s="37">
        <f t="shared" si="1"/>
        <v>28.79</v>
      </c>
      <c r="S77" s="37">
        <f>IF(ISNUMBER(Q77),IF(ISNUMBER(R77),ROUND(Q77*'Sheet1-指标体系'!$J$8+R77*'Sheet1-指标体系'!$J$9,2),Q77),"")</f>
        <v>34.85</v>
      </c>
      <c r="T77" s="26">
        <f>IF(ISNUMBER('Sheet4-原始数据'!J62),'Sheet4-原始数据'!J62,"")</f>
        <v>0.7692</v>
      </c>
      <c r="U77" s="26">
        <f>IF(ISNUMBER('Sheet4-原始数据'!I62),'Sheet4-原始数据'!I62,"")</f>
        <v>0.8108</v>
      </c>
      <c r="V77" s="45">
        <f>IF(AND(ISNUMBER(T77),ISNUMBER(U77)),(U77*'Sheet1-指标体系'!$J$6-T77*'Sheet1-指标体系'!$J$5)/'Sheet1-指标体系'!$J$7,"")</f>
        <v>0.833333333333333</v>
      </c>
      <c r="W77" s="37">
        <f t="shared" si="2"/>
        <v>76.92</v>
      </c>
      <c r="X77" s="37">
        <f>IF(G77&lt;&gt;"入池","",IF(ISNUMBER(V77),IF(AND(V77&gt;=0,V77&lt;=1),V77*'Sheet1-指标体系'!$J$18,IF(MAX(0,(F77-'Sheet1-指标体系'!$J$15)*'Sheet1-指标体系'!$J$20)&lt;'Sheet1-指标体系'!$J$19,'Sheet1-指标体系'!$J$18,"")),IF(MAX(0,(F77-'Sheet1-指标体系'!$J$15)*'Sheet1-指标体系'!$J$20)&lt;'Sheet1-指标体系'!$J$19,'Sheet1-指标体系'!$J$18,"")))</f>
        <v>83.3333333333333</v>
      </c>
      <c r="Y77" s="37">
        <f>IF(ISNUMBER(W77),IF(ISNUMBER(X77),ROUND(W77*'Sheet1-指标体系'!$J$8+X77*'Sheet1-指标体系'!$J$9,2),W77),"")</f>
        <v>79.49</v>
      </c>
      <c r="Z77" s="45">
        <f t="shared" si="3"/>
        <v>0.0169384648836704</v>
      </c>
      <c r="AA77" s="26">
        <f>IF(ISNUMBER('Sheet4-原始数据'!K62),'Sheet4-原始数据'!K62,"")</f>
        <v>0.0169</v>
      </c>
      <c r="AB77" s="45">
        <f t="shared" si="4"/>
        <v>0.0169384648836704</v>
      </c>
      <c r="AC77" s="37">
        <f t="shared" si="5"/>
        <v>55.41</v>
      </c>
      <c r="AD77" s="30">
        <f>IF(ISNUMBER('Sheet4-原始数据'!M62),'Sheet4-原始数据'!M62,"")</f>
        <v>4.599</v>
      </c>
      <c r="AE77" s="45" t="str">
        <f>IF(AND(ISNUMBER(P77),ISNUMBER(AA77),ISNUMBER(Z77)),IF(AA77&gt;Z77+'Sheet1-指标体系'!$J$11,AA77,""),"")</f>
        <v/>
      </c>
      <c r="AF77" s="37" t="str">
        <f t="shared" si="6"/>
        <v/>
      </c>
      <c r="AG77" s="37">
        <f t="shared" si="7"/>
        <v>30.99</v>
      </c>
      <c r="AH77" s="37" t="str">
        <f t="shared" si="8"/>
        <v/>
      </c>
      <c r="AI77" s="37">
        <f>IF(ISNUMBER(AG77),IF(ISNUMBER(AH77),ROUND(AG77*'Sheet1-指标体系'!$J$8+AH77*'Sheet1-指标体系'!$J$9,2),AG77),"")</f>
        <v>30.99</v>
      </c>
      <c r="AJ77" s="45">
        <f>IF(NOT(ISNUMBER(F77)),"",IF(F77&gt;='Sheet1-指标体系'!$J$16,IF(ISNUMBER(N77),N77,""),IF(ISNUMBER(O77),O77,"")))</f>
        <v>0.0651</v>
      </c>
      <c r="AK77" s="37">
        <f>IF(AND(G77="入池",ISNUMBER(M77),ISNUMBER(AJ77)),IF(M77&gt;=AJ77,'Sheet1-指标体系'!$J$18,IF(AJ77-M77&lt;'Sheet1-指标体系'!$J$10,'Sheet1-指标体系'!$J$22,'Sheet1-指标体系'!$J$23)),"")</f>
        <v>100</v>
      </c>
      <c r="AL77" s="37">
        <f>IF((IF(ISNUMBER(I77),'Sheet1-指标体系'!$G$4,0)+IF(ISNUMBER(K77),'Sheet1-指标体系'!$G$5,0)+IF(ISNUMBER(L77),'Sheet1-指标体系'!$G$6,0))&gt;0,ROUND((IF(ISNUMBER(I77),I77*'Sheet1-指标体系'!$G$4,0)+IF(ISNUMBER(K77),K77*'Sheet1-指标体系'!$G$5,0)+IF(ISNUMBER(L77),L77*'Sheet1-指标体系'!$G$6,0))/(IF(ISNUMBER(I77),'Sheet1-指标体系'!$G$4,0)+IF(ISNUMBER(K77),'Sheet1-指标体系'!$G$5,0)+IF(ISNUMBER(L77),'Sheet1-指标体系'!$G$6,0)),2),"")</f>
        <v>92</v>
      </c>
      <c r="AM77" s="37">
        <f t="shared" si="9"/>
        <v>48.24</v>
      </c>
      <c r="AN77" s="37">
        <f t="shared" si="10"/>
        <v>55.41</v>
      </c>
      <c r="AO77" s="37">
        <f t="shared" si="11"/>
        <v>30.99</v>
      </c>
      <c r="AP77" s="37">
        <f t="shared" si="12"/>
        <v>100</v>
      </c>
      <c r="AQ77" s="38">
        <f t="shared" si="13"/>
        <v>0.88</v>
      </c>
      <c r="AR77" s="37">
        <f t="shared" si="14"/>
        <v>52.87882</v>
      </c>
      <c r="AS77" s="37">
        <f t="shared" si="15"/>
        <v>60.09</v>
      </c>
      <c r="AT77" s="40">
        <f>IF(OR(G77&lt;&gt;"入池",NOT(ISNUMBER(AS77))),"",COUNTIFS($G$17:$G$99,"入池",$AS$17:$AS$99,"&gt;"&amp;AS77)+COUNTIFS($G$17:$G$99,"入池",$AS$17:$AS$99,AS77,$AQ$17:$AQ$99,"&gt;"&amp;AQ77)+COUNTIFS($G$17:G77,"入池",$AS$17:AS77,AS77,$AQ$17:AQ77,AQ77))</f>
        <v>43</v>
      </c>
      <c r="AU77" s="46" t="str">
        <f>IF(NOT(ISNUMBER(I77)),"管理人规模；","")&amp;IF(NOT(ISNUMBER(K77)),"产品规模标识；","")&amp;IF(NOT(ISNUMBER(M77)),"近一年收益；","")&amp;IF(NOT(ISNUMBER(T77)),"近一年胜率；","")&amp;IF(NOT(ISNUMBER(N77)),"近三年收益；","")&amp;IF(NOT(ISNUMBER(U77)),"近三年胜率；","")&amp;IF(NOT(ISNUMBER(AA77)),"近三年回撤；","")&amp;IF(NOT(ISNUMBER(AD77)),"近一年卡玛；","")&amp;IF(ISNUMBER(F77),IF(AND(F77&lt;'Sheet1-指标体系'!$J$16,NOT(ISNUMBER(O77))),"成立以来年化；",""),"成立日期；")&amp;IF(ISNUMBER(V77),IF(OR(V77&lt;0,V77&gt;1),"胜率窗口口径不一致；",""),"")&amp;IF(ISNUMBER(P77),IF(NOT(ISNUMBER(AE77)),"DD_long不可识别；",""),"")</f>
        <v>DD_long不可识别；</v>
      </c>
      <c r="AV77" s="37" t="str">
        <f>IF(ABS(SUM(CA77:CK77)-'Sheet1-指标体系'!$J$25)&lt;0.0000000001,SUM(BP77:BZ77),"")</f>
        <v/>
      </c>
      <c r="AW77" s="36" t="str">
        <f>IF(G77&lt;&gt;"入池",G77,IF(AQ77=0,"无有效评分数据",IF(ROUND(AQ77,10)=ROUND('Sheet1-指标体系'!$J$25,10),"完整赋分","暂定分／数据不完整")))</f>
        <v>暂定分／数据不完整</v>
      </c>
      <c r="AX77" s="22" t="str">
        <f>IF('Sheet4-原始数据'!C62="","",'Sheet4-原始数据'!C62)</f>
        <v>套利策略</v>
      </c>
      <c r="AY77" s="22" t="str">
        <f>IF('Sheet4-原始数据'!D62="","",'Sheet4-原始数据'!D62)</f>
        <v>期货套利</v>
      </c>
      <c r="AZ77" s="22" t="str">
        <f>IF('Sheet5-查询核对'!S62="","",'Sheet5-查询核对'!S62)</f>
        <v>套利策略—期货套利</v>
      </c>
      <c r="BA77" s="25">
        <f>IF('Sheet5-查询核对'!A62="","",'Sheet5-查询核对'!A62)</f>
        <v>62</v>
      </c>
      <c r="BB77" s="22" t="str">
        <f>IF('Sheet5-查询核对'!F62="","",'Sheet5-查询核对'!F62)</f>
        <v>备案号匹配</v>
      </c>
      <c r="BC77" s="24" t="str">
        <f>IF('Sheet5-查询核对'!I62="","",'Sheet5-查询核对'!I62)</f>
        <v>https://mp.fof99.com/fund/view/7c4ebba3db529d5e</v>
      </c>
      <c r="BD77" s="23">
        <f>IF('Sheet5-查询核对'!H62="","",'Sheet5-查询核对'!H62)</f>
        <v>46269</v>
      </c>
      <c r="BE77" s="24" t="str">
        <f>IF('Sheet5-查询核对'!L62="","",'Sheet5-查询核对'!L62)</f>
        <v>https://gs.amac.org.cn/amac-infodisc/res/pof/manager/101000042776.html</v>
      </c>
      <c r="BF77" s="23">
        <f>IF('Sheet5-查询核对'!M62="","",'Sheet5-查询核对'!M62)</f>
        <v>46276</v>
      </c>
      <c r="BG77" s="24" t="str">
        <f>IF('Sheet5-查询核对'!O62="","",'Sheet5-查询核对'!O62)</f>
        <v>https://gs.amac.org.cn/amac-infodisc/res/pof/fund/2211021355100496.html</v>
      </c>
      <c r="BH77" s="23">
        <f>IF('Sheet5-查询核对'!P62="","",'Sheet5-查询核对'!P62)</f>
        <v>46276</v>
      </c>
      <c r="BI77" s="22" t="str">
        <f>IF('Sheet5-查询核对'!D62="","",'Sheet5-查询核对'!D62)</f>
        <v>SXQ267</v>
      </c>
      <c r="BJ77">
        <f>IF(ISNUMBER(AT77),AT77,COUNT($AT$17:$AT$99)+ROWS($AT$17:AT77)-COUNT($AT$17:AT77))</f>
        <v>43</v>
      </c>
      <c r="BK77" s="2">
        <f t="shared" si="16"/>
        <v>1</v>
      </c>
      <c r="BL77" s="2">
        <f t="shared" si="17"/>
        <v>1</v>
      </c>
      <c r="BM77" s="2">
        <f t="shared" si="18"/>
        <v>1</v>
      </c>
      <c r="BN77" s="2">
        <f t="shared" si="19"/>
        <v>1</v>
      </c>
      <c r="BO77" s="2">
        <f t="shared" si="20"/>
        <v>0</v>
      </c>
      <c r="BP77" s="48">
        <f>IF(G77="入池",IF(ISNUMBER(I77),I77*('Sheet1-指标体系'!$G$4),0),0)</f>
        <v>4.8</v>
      </c>
      <c r="BQ77" s="48">
        <f>IF(G77="入池",IF(ISNUMBER(K77),K77*('Sheet1-指标体系'!$G$5),0),0)</f>
        <v>4.5</v>
      </c>
      <c r="BR77" s="48">
        <f>IF(G77="入池",IF(ISNUMBER(L77),L77*('Sheet1-指标体系'!$G$6),0),0)</f>
        <v>4.5</v>
      </c>
      <c r="BS77" s="48">
        <f>IF(G77="入池",IF(ISNUMBER(Q77),Q77*('Sheet1-指标体系'!$G$7*'Sheet1-指标体系'!$J$8),0),0)</f>
        <v>3.26676</v>
      </c>
      <c r="BT77" s="48">
        <f>IF(G77="入池",IF(ISNUMBER(R77),R77*('Sheet1-指标体系'!$G$7*'Sheet1-指标体系'!$J$9),0),0)</f>
        <v>1.61224</v>
      </c>
      <c r="BU77" s="48">
        <f>IF(G77="入池",IF(ISNUMBER(W77),W77*('Sheet1-指标体系'!$G$8*'Sheet1-指标体系'!$J$8),0),0)</f>
        <v>2.76912</v>
      </c>
      <c r="BV77" s="48">
        <f>IF(G77="入池",IF(ISNUMBER(X77),X77*('Sheet1-指标体系'!$G$8*'Sheet1-指标体系'!$J$9),0),0)</f>
        <v>2</v>
      </c>
      <c r="BW77" s="48">
        <f>IF(G77="入池",IF(ISNUMBER(AC77),AC77*('Sheet1-指标体系'!$G$9),0),0)</f>
        <v>13.8525</v>
      </c>
      <c r="BX77" s="48">
        <f>IF(G77="入池",IF(ISNUMBER(AG77),AG77*('Sheet1-指标体系'!$G$10*'Sheet1-指标体系'!$J$8),0),0)</f>
        <v>5.5782</v>
      </c>
      <c r="BY77" s="48">
        <f>IF(G77="入池",IF(ISNUMBER(AH77),AH77*('Sheet1-指标体系'!$G$10*'Sheet1-指标体系'!$J$9),0),0)</f>
        <v>0</v>
      </c>
      <c r="BZ77" s="48">
        <f>IF(G77="入池",IF(ISNUMBER(AK77),AK77*('Sheet1-指标体系'!$G$11),0),0)</f>
        <v>10</v>
      </c>
      <c r="CA77" s="49">
        <f>IF(G77="入池",IF(ISNUMBER(I77),'Sheet1-指标体系'!$G$4,0),0)</f>
        <v>0.06</v>
      </c>
      <c r="CB77" s="49">
        <f>IF(G77="入池",IF(ISNUMBER(K77),'Sheet1-指标体系'!$G$5,0),0)</f>
        <v>0.045</v>
      </c>
      <c r="CC77" s="49">
        <f>IF(G77="入池",IF(ISNUMBER(L77),'Sheet1-指标体系'!$G$6,0),0)</f>
        <v>0.045</v>
      </c>
      <c r="CD77" s="49">
        <f>IF(G77="入池",IF(ISNUMBER(Q77),'Sheet1-指标体系'!$G$7*'Sheet1-指标体系'!$J$8,0),0)</f>
        <v>0.084</v>
      </c>
      <c r="CE77" s="49">
        <f>IF(G77="入池",IF(ISNUMBER(R77),'Sheet1-指标体系'!$G$7*'Sheet1-指标体系'!$J$9,0),0)</f>
        <v>0.056</v>
      </c>
      <c r="CF77" s="49">
        <f>IF(G77="入池",IF(ISNUMBER(W77),'Sheet1-指标体系'!$G$8*'Sheet1-指标体系'!$J$8,0),0)</f>
        <v>0.036</v>
      </c>
      <c r="CG77" s="49">
        <f>IF(G77="入池",IF(ISNUMBER(X77),'Sheet1-指标体系'!$G$8*'Sheet1-指标体系'!$J$9,0),0)</f>
        <v>0.024</v>
      </c>
      <c r="CH77" s="49">
        <f>IF(G77="入池",IF(ISNUMBER(AC77),'Sheet1-指标体系'!$G$9,0),0)</f>
        <v>0.25</v>
      </c>
      <c r="CI77" s="49">
        <f>IF(G77="入池",IF(ISNUMBER(AG77),'Sheet1-指标体系'!$G$10*'Sheet1-指标体系'!$J$8,0),0)</f>
        <v>0.18</v>
      </c>
      <c r="CJ77" s="49">
        <f>IF(G77="入池",IF(ISNUMBER(AH77),'Sheet1-指标体系'!$G$10*'Sheet1-指标体系'!$J$9,0),0)</f>
        <v>0</v>
      </c>
      <c r="CK77" s="49">
        <f>IF(G77="入池",IF(ISNUMBER(AK77),'Sheet1-指标体系'!$G$11,0),0)</f>
        <v>0.1</v>
      </c>
    </row>
    <row r="78" ht="44" customHeight="1" spans="1:89">
      <c r="A78" s="40">
        <f>'Sheet5-查询核对'!A63-1</f>
        <v>62</v>
      </c>
      <c r="B78" s="24" t="str">
        <f>IF('Sheet4-原始数据'!A63="",'Sheet5-查询核对'!B63,'Sheet4-原始数据'!A63)</f>
        <v>殊馥兴义7号</v>
      </c>
      <c r="C78" s="22" t="str">
        <f>IF('Sheet4-原始数据'!B63="","",'Sheet4-原始数据'!B63)</f>
        <v>SXT610</v>
      </c>
      <c r="D78" s="22" t="str">
        <f>IF('Sheet4-原始数据'!E63="","",'Sheet4-原始数据'!E63)</f>
        <v>上海殊馥投资</v>
      </c>
      <c r="E78" s="23">
        <f>IF('Sheet4-原始数据'!F63="","",'Sheet4-原始数据'!F63)</f>
        <v>44894</v>
      </c>
      <c r="F78" s="37">
        <f>IF(ISNUMBER(E78),ROUND(('Sheet1-指标体系'!$J$12-E78)/'Sheet1-指标体系'!$J$14,4),"")</f>
        <v>3.781</v>
      </c>
      <c r="G78" s="36" t="str">
        <f>IF(C78="","未匹配",IF(NOT(ISNUMBER(F78)),"缺成立日期",IF(F78&lt;'Sheet1-指标体系'!$J$15,"不入池","入池")))</f>
        <v>入池</v>
      </c>
      <c r="H78" s="22" t="str">
        <f>IF('Sheet5-查询核对'!K63="","",'Sheet5-查询核对'!K63)</f>
        <v>10-20亿元</v>
      </c>
      <c r="I78" s="37">
        <f>IF(H78="","",IF(COUNTIF('Sheet1-指标体系'!$P$4:$P$10,H78)=0,"",INDEX('Sheet1-指标体系'!$Q$4:$Q$10,MATCH(H78,'Sheet1-指标体系'!$P$4:$P$10,0))))</f>
        <v>80</v>
      </c>
      <c r="J78" s="44" t="str">
        <f>IF(NOT(ISNUMBER('Sheet5-查询核对'!N63)),"",IF('Sheet5-查询核对'!N63=1,"低于"&amp;'Sheet1-指标体系'!$J$4&amp;"万元",IF('Sheet5-查询核对'!N63=0,"无低于"&amp;'Sheet1-指标体系'!$J$4&amp;"万元标识","")))</f>
        <v>无低于1000万元标识</v>
      </c>
      <c r="K78" s="37">
        <f>IF(NOT(ISNUMBER('Sheet5-查询核对'!N63)),"",IF('Sheet5-查询核对'!N63=1,'Sheet1-指标体系'!$J$21,IF('Sheet5-查询核对'!N63=0,'Sheet1-指标体系'!$J$18,"")))</f>
        <v>100</v>
      </c>
      <c r="L78" s="37">
        <f>IF(NOT(ISNUMBER(F78)),"",IF(F78&lt;'Sheet1-指标体系'!$J$15,"",IF(F78&lt;'Sheet1-指标体系'!$J$16,'Sheet1-指标体系'!$J$17,'Sheet1-指标体系'!$J$18)))</f>
        <v>100</v>
      </c>
      <c r="M78" s="26">
        <f>IF(ISNUMBER('Sheet4-原始数据'!G63),'Sheet4-原始数据'!G63,"")</f>
        <v>0.0715</v>
      </c>
      <c r="N78" s="26">
        <f>IF(ISNUMBER('Sheet4-原始数据'!H63),'Sheet4-原始数据'!H63,"")</f>
        <v>0.0784</v>
      </c>
      <c r="O78" s="26">
        <f>IF(ISNUMBER('Sheet5-查询核对'!Q63),'Sheet5-查询核对'!Q63,"")</f>
        <v>0.0884</v>
      </c>
      <c r="P78" s="45">
        <f>IF(G78&lt;&gt;"入池","",IF(F78&gt;='Sheet1-指标体系'!$J$16,IF(AND(ISNUMBER(M78),ISNUMBER(N78)),IF(AND(1+M78&gt;0,1+N78&gt;=0),((1+N78)^'Sheet1-指标体系'!$J$16/(1+M78))^(1/('Sheet1-指标体系'!$J$16-1))-1,""),""),IF(AND(ISNUMBER(M78),ISNUMBER(O78)),IF(AND(F78&gt;1,1+M78&gt;0,1+O78&gt;=0),((1+O78)^F78/(1+M78))^(1/(F78-1))-1,""),"")))</f>
        <v>0.081866644549115</v>
      </c>
      <c r="Q78" s="37">
        <f t="shared" si="0"/>
        <v>31.94</v>
      </c>
      <c r="R78" s="37">
        <f t="shared" si="1"/>
        <v>56.06</v>
      </c>
      <c r="S78" s="37">
        <f>IF(ISNUMBER(Q78),IF(ISNUMBER(R78),ROUND(Q78*'Sheet1-指标体系'!$J$8+R78*'Sheet1-指标体系'!$J$9,2),Q78),"")</f>
        <v>41.59</v>
      </c>
      <c r="T78" s="26">
        <f>IF(ISNUMBER('Sheet4-原始数据'!J63),'Sheet4-原始数据'!J63,"")</f>
        <v>0.8462</v>
      </c>
      <c r="U78" s="26">
        <f>IF(ISNUMBER('Sheet4-原始数据'!I63),'Sheet4-原始数据'!I63,"")</f>
        <v>0.8378</v>
      </c>
      <c r="V78" s="45">
        <f>IF(AND(ISNUMBER(T78),ISNUMBER(U78)),(U78*'Sheet1-指标体系'!$J$6-T78*'Sheet1-指标体系'!$J$5)/'Sheet1-指标体系'!$J$7,"")</f>
        <v>0.83325</v>
      </c>
      <c r="W78" s="37">
        <f t="shared" si="2"/>
        <v>84.62</v>
      </c>
      <c r="X78" s="37">
        <f>IF(G78&lt;&gt;"入池","",IF(ISNUMBER(V78),IF(AND(V78&gt;=0,V78&lt;=1),V78*'Sheet1-指标体系'!$J$18,IF(MAX(0,(F78-'Sheet1-指标体系'!$J$15)*'Sheet1-指标体系'!$J$20)&lt;'Sheet1-指标体系'!$J$19,'Sheet1-指标体系'!$J$18,"")),IF(MAX(0,(F78-'Sheet1-指标体系'!$J$15)*'Sheet1-指标体系'!$J$20)&lt;'Sheet1-指标体系'!$J$19,'Sheet1-指标体系'!$J$18,"")))</f>
        <v>83.325</v>
      </c>
      <c r="Y78" s="37">
        <f>IF(ISNUMBER(W78),IF(ISNUMBER(X78),ROUND(W78*'Sheet1-指标体系'!$J$8+X78*'Sheet1-指标体系'!$J$9,2),W78),"")</f>
        <v>84.1</v>
      </c>
      <c r="Z78" s="45">
        <f t="shared" si="3"/>
        <v>0.00787072201490483</v>
      </c>
      <c r="AA78" s="26">
        <f>IF(ISNUMBER('Sheet4-原始数据'!K63),'Sheet4-原始数据'!K63,"")</f>
        <v>0.0079</v>
      </c>
      <c r="AB78" s="45">
        <f t="shared" si="4"/>
        <v>0.0079</v>
      </c>
      <c r="AC78" s="37">
        <f t="shared" si="5"/>
        <v>78.38</v>
      </c>
      <c r="AD78" s="30">
        <f>IF(ISNUMBER('Sheet4-原始数据'!M63),'Sheet4-原始数据'!M63,"")</f>
        <v>9.0843</v>
      </c>
      <c r="AE78" s="45" t="str">
        <f>IF(AND(ISNUMBER(P78),ISNUMBER(AA78),ISNUMBER(Z78)),IF(AA78&gt;Z78+'Sheet1-指标体系'!$J$11,AA78,""),"")</f>
        <v/>
      </c>
      <c r="AF78" s="37" t="str">
        <f t="shared" si="6"/>
        <v/>
      </c>
      <c r="AG78" s="37">
        <f t="shared" si="7"/>
        <v>52.11</v>
      </c>
      <c r="AH78" s="37" t="str">
        <f t="shared" si="8"/>
        <v/>
      </c>
      <c r="AI78" s="37">
        <f>IF(ISNUMBER(AG78),IF(ISNUMBER(AH78),ROUND(AG78*'Sheet1-指标体系'!$J$8+AH78*'Sheet1-指标体系'!$J$9,2),AG78),"")</f>
        <v>52.11</v>
      </c>
      <c r="AJ78" s="45">
        <f>IF(NOT(ISNUMBER(F78)),"",IF(F78&gt;='Sheet1-指标体系'!$J$16,IF(ISNUMBER(N78),N78,""),IF(ISNUMBER(O78),O78,"")))</f>
        <v>0.0784</v>
      </c>
      <c r="AK78" s="37">
        <f>IF(AND(G78="入池",ISNUMBER(M78),ISNUMBER(AJ78)),IF(M78&gt;=AJ78,'Sheet1-指标体系'!$J$18,IF(AJ78-M78&lt;'Sheet1-指标体系'!$J$10,'Sheet1-指标体系'!$J$22,'Sheet1-指标体系'!$J$23)),"")</f>
        <v>80</v>
      </c>
      <c r="AL78" s="37">
        <f>IF((IF(ISNUMBER(I78),'Sheet1-指标体系'!$G$4,0)+IF(ISNUMBER(K78),'Sheet1-指标体系'!$G$5,0)+IF(ISNUMBER(L78),'Sheet1-指标体系'!$G$6,0))&gt;0,ROUND((IF(ISNUMBER(I78),I78*'Sheet1-指标体系'!$G$4,0)+IF(ISNUMBER(K78),K78*'Sheet1-指标体系'!$G$5,0)+IF(ISNUMBER(L78),L78*'Sheet1-指标体系'!$G$6,0))/(IF(ISNUMBER(I78),'Sheet1-指标体系'!$G$4,0)+IF(ISNUMBER(K78),'Sheet1-指标体系'!$G$5,0)+IF(ISNUMBER(L78),'Sheet1-指标体系'!$G$6,0)),2),"")</f>
        <v>92</v>
      </c>
      <c r="AM78" s="37">
        <f t="shared" si="9"/>
        <v>54.34</v>
      </c>
      <c r="AN78" s="37">
        <f t="shared" si="10"/>
        <v>78.38</v>
      </c>
      <c r="AO78" s="37">
        <f t="shared" si="11"/>
        <v>52.11</v>
      </c>
      <c r="AP78" s="37">
        <f t="shared" si="12"/>
        <v>80</v>
      </c>
      <c r="AQ78" s="38">
        <f t="shared" si="13"/>
        <v>0.88</v>
      </c>
      <c r="AR78" s="37">
        <f t="shared" si="14"/>
        <v>61.64324</v>
      </c>
      <c r="AS78" s="37">
        <f t="shared" si="15"/>
        <v>70.05</v>
      </c>
      <c r="AT78" s="40">
        <f>IF(OR(G78&lt;&gt;"入池",NOT(ISNUMBER(AS78))),"",COUNTIFS($G$17:$G$99,"入池",$AS$17:$AS$99,"&gt;"&amp;AS78)+COUNTIFS($G$17:$G$99,"入池",$AS$17:$AS$99,AS78,$AQ$17:$AQ$99,"&gt;"&amp;AQ78)+COUNTIFS($G$17:G78,"入池",$AS$17:AS78,AS78,$AQ$17:AQ78,AQ78))</f>
        <v>31</v>
      </c>
      <c r="AU78" s="46" t="str">
        <f>IF(NOT(ISNUMBER(I78)),"管理人规模；","")&amp;IF(NOT(ISNUMBER(K78)),"产品规模标识；","")&amp;IF(NOT(ISNUMBER(M78)),"近一年收益；","")&amp;IF(NOT(ISNUMBER(T78)),"近一年胜率；","")&amp;IF(NOT(ISNUMBER(N78)),"近三年收益；","")&amp;IF(NOT(ISNUMBER(U78)),"近三年胜率；","")&amp;IF(NOT(ISNUMBER(AA78)),"近三年回撤；","")&amp;IF(NOT(ISNUMBER(AD78)),"近一年卡玛；","")&amp;IF(ISNUMBER(F78),IF(AND(F78&lt;'Sheet1-指标体系'!$J$16,NOT(ISNUMBER(O78))),"成立以来年化；",""),"成立日期；")&amp;IF(ISNUMBER(V78),IF(OR(V78&lt;0,V78&gt;1),"胜率窗口口径不一致；",""),"")&amp;IF(ISNUMBER(P78),IF(NOT(ISNUMBER(AE78)),"DD_long不可识别；",""),"")</f>
        <v>DD_long不可识别；</v>
      </c>
      <c r="AV78" s="37" t="str">
        <f>IF(ABS(SUM(CA78:CK78)-'Sheet1-指标体系'!$J$25)&lt;0.0000000001,SUM(BP78:BZ78),"")</f>
        <v/>
      </c>
      <c r="AW78" s="36" t="str">
        <f>IF(G78&lt;&gt;"入池",G78,IF(AQ78=0,"无有效评分数据",IF(ROUND(AQ78,10)=ROUND('Sheet1-指标体系'!$J$25,10),"完整赋分","暂定分／数据不完整")))</f>
        <v>暂定分／数据不完整</v>
      </c>
      <c r="AX78" s="22" t="str">
        <f>IF('Sheet4-原始数据'!C63="","",'Sheet4-原始数据'!C63)</f>
        <v>套利策略</v>
      </c>
      <c r="AY78" s="22" t="str">
        <f>IF('Sheet4-原始数据'!D63="","",'Sheet4-原始数据'!D63)</f>
        <v>期货套利</v>
      </c>
      <c r="AZ78" s="22" t="str">
        <f>IF('Sheet5-查询核对'!S63="","",'Sheet5-查询核对'!S63)</f>
        <v>套利策略—期货套利</v>
      </c>
      <c r="BA78" s="25">
        <f>IF('Sheet5-查询核对'!A63="","",'Sheet5-查询核对'!A63)</f>
        <v>63</v>
      </c>
      <c r="BB78" s="22" t="str">
        <f>IF('Sheet5-查询核对'!F63="","",'Sheet5-查询核对'!F63)</f>
        <v>备案号匹配</v>
      </c>
      <c r="BC78" s="24" t="str">
        <f>IF('Sheet5-查询核对'!I63="","",'Sheet5-查询核对'!I63)</f>
        <v>https://mp.fof99.com/fund/view/f26adec295039db6</v>
      </c>
      <c r="BD78" s="23">
        <f>IF('Sheet5-查询核对'!H63="","",'Sheet5-查询核对'!H63)</f>
        <v>46269</v>
      </c>
      <c r="BE78" s="24" t="str">
        <f>IF('Sheet5-查询核对'!L63="","",'Sheet5-查询核对'!L63)</f>
        <v>https://gs.amac.org.cn/amac-infodisc/res/pof/manager/101000042776.html</v>
      </c>
      <c r="BF78" s="23">
        <f>IF('Sheet5-查询核对'!M63="","",'Sheet5-查询核对'!M63)</f>
        <v>46276</v>
      </c>
      <c r="BG78" s="24" t="str">
        <f>IF('Sheet5-查询核对'!O63="","",'Sheet5-查询核对'!O63)</f>
        <v>https://gs.amac.org.cn/amac-infodisc/res/pof/fund/2211291421100191.html</v>
      </c>
      <c r="BH78" s="23">
        <f>IF('Sheet5-查询核对'!P63="","",'Sheet5-查询核对'!P63)</f>
        <v>46276</v>
      </c>
      <c r="BI78" s="22" t="str">
        <f>IF('Sheet5-查询核对'!D63="","",'Sheet5-查询核对'!D63)</f>
        <v>SXT610</v>
      </c>
      <c r="BJ78">
        <f>IF(ISNUMBER(AT78),AT78,COUNT($AT$17:$AT$99)+ROWS($AT$17:AT78)-COUNT($AT$17:AT78))</f>
        <v>31</v>
      </c>
      <c r="BK78" s="2">
        <f t="shared" si="16"/>
        <v>1</v>
      </c>
      <c r="BL78" s="2">
        <f t="shared" si="17"/>
        <v>1</v>
      </c>
      <c r="BM78" s="2">
        <f t="shared" si="18"/>
        <v>1</v>
      </c>
      <c r="BN78" s="2">
        <f t="shared" si="19"/>
        <v>1</v>
      </c>
      <c r="BO78" s="2">
        <f t="shared" si="20"/>
        <v>0</v>
      </c>
      <c r="BP78" s="48">
        <f>IF(G78="入池",IF(ISNUMBER(I78),I78*('Sheet1-指标体系'!$G$4),0),0)</f>
        <v>4.8</v>
      </c>
      <c r="BQ78" s="48">
        <f>IF(G78="入池",IF(ISNUMBER(K78),K78*('Sheet1-指标体系'!$G$5),0),0)</f>
        <v>4.5</v>
      </c>
      <c r="BR78" s="48">
        <f>IF(G78="入池",IF(ISNUMBER(L78),L78*('Sheet1-指标体系'!$G$6),0),0)</f>
        <v>4.5</v>
      </c>
      <c r="BS78" s="48">
        <f>IF(G78="入池",IF(ISNUMBER(Q78),Q78*('Sheet1-指标体系'!$G$7*'Sheet1-指标体系'!$J$8),0),0)</f>
        <v>2.68296</v>
      </c>
      <c r="BT78" s="48">
        <f>IF(G78="入池",IF(ISNUMBER(R78),R78*('Sheet1-指标体系'!$G$7*'Sheet1-指标体系'!$J$9),0),0)</f>
        <v>3.13936</v>
      </c>
      <c r="BU78" s="48">
        <f>IF(G78="入池",IF(ISNUMBER(W78),W78*('Sheet1-指标体系'!$G$8*'Sheet1-指标体系'!$J$8),0),0)</f>
        <v>3.04632</v>
      </c>
      <c r="BV78" s="48">
        <f>IF(G78="入池",IF(ISNUMBER(X78),X78*('Sheet1-指标体系'!$G$8*'Sheet1-指标体系'!$J$9),0),0)</f>
        <v>1.9998</v>
      </c>
      <c r="BW78" s="48">
        <f>IF(G78="入池",IF(ISNUMBER(AC78),AC78*('Sheet1-指标体系'!$G$9),0),0)</f>
        <v>19.595</v>
      </c>
      <c r="BX78" s="48">
        <f>IF(G78="入池",IF(ISNUMBER(AG78),AG78*('Sheet1-指标体系'!$G$10*'Sheet1-指标体系'!$J$8),0),0)</f>
        <v>9.3798</v>
      </c>
      <c r="BY78" s="48">
        <f>IF(G78="入池",IF(ISNUMBER(AH78),AH78*('Sheet1-指标体系'!$G$10*'Sheet1-指标体系'!$J$9),0),0)</f>
        <v>0</v>
      </c>
      <c r="BZ78" s="48">
        <f>IF(G78="入池",IF(ISNUMBER(AK78),AK78*('Sheet1-指标体系'!$G$11),0),0)</f>
        <v>8</v>
      </c>
      <c r="CA78" s="49">
        <f>IF(G78="入池",IF(ISNUMBER(I78),'Sheet1-指标体系'!$G$4,0),0)</f>
        <v>0.06</v>
      </c>
      <c r="CB78" s="49">
        <f>IF(G78="入池",IF(ISNUMBER(K78),'Sheet1-指标体系'!$G$5,0),0)</f>
        <v>0.045</v>
      </c>
      <c r="CC78" s="49">
        <f>IF(G78="入池",IF(ISNUMBER(L78),'Sheet1-指标体系'!$G$6,0),0)</f>
        <v>0.045</v>
      </c>
      <c r="CD78" s="49">
        <f>IF(G78="入池",IF(ISNUMBER(Q78),'Sheet1-指标体系'!$G$7*'Sheet1-指标体系'!$J$8,0),0)</f>
        <v>0.084</v>
      </c>
      <c r="CE78" s="49">
        <f>IF(G78="入池",IF(ISNUMBER(R78),'Sheet1-指标体系'!$G$7*'Sheet1-指标体系'!$J$9,0),0)</f>
        <v>0.056</v>
      </c>
      <c r="CF78" s="49">
        <f>IF(G78="入池",IF(ISNUMBER(W78),'Sheet1-指标体系'!$G$8*'Sheet1-指标体系'!$J$8,0),0)</f>
        <v>0.036</v>
      </c>
      <c r="CG78" s="49">
        <f>IF(G78="入池",IF(ISNUMBER(X78),'Sheet1-指标体系'!$G$8*'Sheet1-指标体系'!$J$9,0),0)</f>
        <v>0.024</v>
      </c>
      <c r="CH78" s="49">
        <f>IF(G78="入池",IF(ISNUMBER(AC78),'Sheet1-指标体系'!$G$9,0),0)</f>
        <v>0.25</v>
      </c>
      <c r="CI78" s="49">
        <f>IF(G78="入池",IF(ISNUMBER(AG78),'Sheet1-指标体系'!$G$10*'Sheet1-指标体系'!$J$8,0),0)</f>
        <v>0.18</v>
      </c>
      <c r="CJ78" s="49">
        <f>IF(G78="入池",IF(ISNUMBER(AH78),'Sheet1-指标体系'!$G$10*'Sheet1-指标体系'!$J$9,0),0)</f>
        <v>0</v>
      </c>
      <c r="CK78" s="49">
        <f>IF(G78="入池",IF(ISNUMBER(AK78),'Sheet1-指标体系'!$G$11,0),0)</f>
        <v>0.1</v>
      </c>
    </row>
    <row r="79" ht="44" customHeight="1" spans="1:89">
      <c r="A79" s="40">
        <f>'Sheet5-查询核对'!A64-1</f>
        <v>63</v>
      </c>
      <c r="B79" s="24" t="str">
        <f>IF('Sheet4-原始数据'!A64="",'Sheet5-查询核对'!B64,'Sheet4-原始数据'!A64)</f>
        <v>数为道策套利一号</v>
      </c>
      <c r="C79" s="22" t="str">
        <f>IF('Sheet4-原始数据'!B64="","",'Sheet4-原始数据'!B64)</f>
        <v>SNA956</v>
      </c>
      <c r="D79" s="22" t="str">
        <f>IF('Sheet4-原始数据'!E64="","",'Sheet4-原始数据'!E64)</f>
        <v>福州数为</v>
      </c>
      <c r="E79" s="23">
        <f>IF('Sheet4-原始数据'!F64="","",'Sheet4-原始数据'!F64)</f>
        <v>44123</v>
      </c>
      <c r="F79" s="37">
        <f>IF(ISNUMBER(E79),ROUND(('Sheet1-指标体系'!$J$12-E79)/'Sheet1-指标体系'!$J$14,4),"")</f>
        <v>5.8919</v>
      </c>
      <c r="G79" s="36" t="str">
        <f>IF(C79="","未匹配",IF(NOT(ISNUMBER(F79)),"缺成立日期",IF(F79&lt;'Sheet1-指标体系'!$J$15,"不入池","入池")))</f>
        <v>入池</v>
      </c>
      <c r="H79" s="22" t="str">
        <f>IF('Sheet5-查询核对'!K64="","",'Sheet5-查询核对'!K64)</f>
        <v>0-5亿元</v>
      </c>
      <c r="I79" s="37">
        <f>IF(H79="","",IF(COUNTIF('Sheet1-指标体系'!$P$4:$P$10,H79)=0,"",INDEX('Sheet1-指标体系'!$Q$4:$Q$10,MATCH(H79,'Sheet1-指标体系'!$P$4:$P$10,0))))</f>
        <v>60</v>
      </c>
      <c r="J79" s="44" t="str">
        <f>IF(NOT(ISNUMBER('Sheet5-查询核对'!N64)),"",IF('Sheet5-查询核对'!N64=1,"低于"&amp;'Sheet1-指标体系'!$J$4&amp;"万元",IF('Sheet5-查询核对'!N64=0,"无低于"&amp;'Sheet1-指标体系'!$J$4&amp;"万元标识","")))</f>
        <v>低于1000万元</v>
      </c>
      <c r="K79" s="37">
        <f>IF(NOT(ISNUMBER('Sheet5-查询核对'!N64)),"",IF('Sheet5-查询核对'!N64=1,'Sheet1-指标体系'!$J$21,IF('Sheet5-查询核对'!N64=0,'Sheet1-指标体系'!$J$18,"")))</f>
        <v>0</v>
      </c>
      <c r="L79" s="37">
        <f>IF(NOT(ISNUMBER(F79)),"",IF(F79&lt;'Sheet1-指标体系'!$J$15,"",IF(F79&lt;'Sheet1-指标体系'!$J$16,'Sheet1-指标体系'!$J$17,'Sheet1-指标体系'!$J$18)))</f>
        <v>100</v>
      </c>
      <c r="M79" s="26" t="str">
        <f>IF(ISNUMBER('Sheet4-原始数据'!G64),'Sheet4-原始数据'!G64,"")</f>
        <v/>
      </c>
      <c r="N79" s="26">
        <f>IF(ISNUMBER('Sheet4-原始数据'!H64),'Sheet4-原始数据'!H64,"")</f>
        <v>-0.1145</v>
      </c>
      <c r="O79" s="26">
        <f>IF(ISNUMBER('Sheet5-查询核对'!Q64),'Sheet5-查询核对'!Q64,"")</f>
        <v>-0.0366</v>
      </c>
      <c r="P79" s="45" t="str">
        <f>IF(G79&lt;&gt;"入池","",IF(F79&gt;='Sheet1-指标体系'!$J$16,IF(AND(ISNUMBER(M79),ISNUMBER(N79)),IF(AND(1+M79&gt;0,1+N79&gt;=0),((1+N79)^'Sheet1-指标体系'!$J$16/(1+M79))^(1/('Sheet1-指标体系'!$J$16-1))-1,""),""),IF(AND(ISNUMBER(M79),ISNUMBER(O79)),IF(AND(F79&gt;1,1+M79&gt;0,1+O79&gt;=0),((1+O79)^F79/(1+M79))^(1/(F79-1))-1,""),"")))</f>
        <v/>
      </c>
      <c r="Q79" s="37" t="str">
        <f t="shared" si="0"/>
        <v/>
      </c>
      <c r="R79" s="37" t="str">
        <f t="shared" si="1"/>
        <v/>
      </c>
      <c r="S79" s="37" t="str">
        <f>IF(ISNUMBER(Q79),IF(ISNUMBER(R79),ROUND(Q79*'Sheet1-指标体系'!$J$8+R79*'Sheet1-指标体系'!$J$9,2),Q79),"")</f>
        <v/>
      </c>
      <c r="T79" s="26" t="str">
        <f>IF(ISNUMBER('Sheet4-原始数据'!J64),'Sheet4-原始数据'!J64,"")</f>
        <v/>
      </c>
      <c r="U79" s="26">
        <f>IF(ISNUMBER('Sheet4-原始数据'!I64),'Sheet4-原始数据'!I64,"")</f>
        <v>0.3784</v>
      </c>
      <c r="V79" s="45" t="str">
        <f>IF(AND(ISNUMBER(T79),ISNUMBER(U79)),(U79*'Sheet1-指标体系'!$J$6-T79*'Sheet1-指标体系'!$J$5)/'Sheet1-指标体系'!$J$7,"")</f>
        <v/>
      </c>
      <c r="W79" s="37" t="str">
        <f t="shared" si="2"/>
        <v/>
      </c>
      <c r="X79" s="37" t="str">
        <f>IF(G79&lt;&gt;"入池","",IF(ISNUMBER(V79),IF(AND(V79&gt;=0,V79&lt;=1),V79*'Sheet1-指标体系'!$J$18,IF(MAX(0,(F79-'Sheet1-指标体系'!$J$15)*'Sheet1-指标体系'!$J$20)&lt;'Sheet1-指标体系'!$J$19,'Sheet1-指标体系'!$J$18,"")),IF(MAX(0,(F79-'Sheet1-指标体系'!$J$15)*'Sheet1-指标体系'!$J$20)&lt;'Sheet1-指标体系'!$J$19,'Sheet1-指标体系'!$J$18,"")))</f>
        <v/>
      </c>
      <c r="Y79" s="37" t="str">
        <f>IF(ISNUMBER(W79),IF(ISNUMBER(X79),ROUND(W79*'Sheet1-指标体系'!$J$8+X79*'Sheet1-指标体系'!$J$9,2),W79),"")</f>
        <v/>
      </c>
      <c r="Z79" s="45" t="str">
        <f t="shared" si="3"/>
        <v/>
      </c>
      <c r="AA79" s="26">
        <f>IF(ISNUMBER('Sheet4-原始数据'!K64),'Sheet4-原始数据'!K64,"")</f>
        <v>0.3667</v>
      </c>
      <c r="AB79" s="45">
        <f t="shared" si="4"/>
        <v>0.3667</v>
      </c>
      <c r="AC79" s="37">
        <f t="shared" si="5"/>
        <v>0</v>
      </c>
      <c r="AD79" s="30" t="str">
        <f>IF(ISNUMBER('Sheet4-原始数据'!M64),'Sheet4-原始数据'!M64,"")</f>
        <v/>
      </c>
      <c r="AE79" s="45" t="str">
        <f>IF(AND(ISNUMBER(P79),ISNUMBER(AA79),ISNUMBER(Z79)),IF(AA79&gt;Z79+'Sheet1-指标体系'!$J$11,AA79,""),"")</f>
        <v/>
      </c>
      <c r="AF79" s="37" t="str">
        <f t="shared" si="6"/>
        <v/>
      </c>
      <c r="AG79" s="37" t="str">
        <f t="shared" si="7"/>
        <v/>
      </c>
      <c r="AH79" s="37" t="str">
        <f t="shared" si="8"/>
        <v/>
      </c>
      <c r="AI79" s="37" t="str">
        <f>IF(ISNUMBER(AG79),IF(ISNUMBER(AH79),ROUND(AG79*'Sheet1-指标体系'!$J$8+AH79*'Sheet1-指标体系'!$J$9,2),AG79),"")</f>
        <v/>
      </c>
      <c r="AJ79" s="45">
        <f>IF(NOT(ISNUMBER(F79)),"",IF(F79&gt;='Sheet1-指标体系'!$J$16,IF(ISNUMBER(N79),N79,""),IF(ISNUMBER(O79),O79,"")))</f>
        <v>-0.1145</v>
      </c>
      <c r="AK79" s="37" t="str">
        <f>IF(AND(G79="入池",ISNUMBER(M79),ISNUMBER(AJ79)),IF(M79&gt;=AJ79,'Sheet1-指标体系'!$J$18,IF(AJ79-M79&lt;'Sheet1-指标体系'!$J$10,'Sheet1-指标体系'!$J$22,'Sheet1-指标体系'!$J$23)),"")</f>
        <v/>
      </c>
      <c r="AL79" s="37">
        <f>IF((IF(ISNUMBER(I79),'Sheet1-指标体系'!$G$4,0)+IF(ISNUMBER(K79),'Sheet1-指标体系'!$G$5,0)+IF(ISNUMBER(L79),'Sheet1-指标体系'!$G$6,0))&gt;0,ROUND((IF(ISNUMBER(I79),I79*'Sheet1-指标体系'!$G$4,0)+IF(ISNUMBER(K79),K79*'Sheet1-指标体系'!$G$5,0)+IF(ISNUMBER(L79),L79*'Sheet1-指标体系'!$G$6,0))/(IF(ISNUMBER(I79),'Sheet1-指标体系'!$G$4,0)+IF(ISNUMBER(K79),'Sheet1-指标体系'!$G$5,0)+IF(ISNUMBER(L79),'Sheet1-指标体系'!$G$6,0)),2),"")</f>
        <v>54</v>
      </c>
      <c r="AM79" s="37" t="str">
        <f t="shared" si="9"/>
        <v/>
      </c>
      <c r="AN79" s="37">
        <f t="shared" si="10"/>
        <v>0</v>
      </c>
      <c r="AO79" s="37" t="str">
        <f t="shared" si="11"/>
        <v/>
      </c>
      <c r="AP79" s="37" t="str">
        <f t="shared" si="12"/>
        <v/>
      </c>
      <c r="AQ79" s="38">
        <f t="shared" si="13"/>
        <v>0.4</v>
      </c>
      <c r="AR79" s="37">
        <f t="shared" si="14"/>
        <v>8.1</v>
      </c>
      <c r="AS79" s="37">
        <f t="shared" si="15"/>
        <v>20.25</v>
      </c>
      <c r="AT79" s="40">
        <f>IF(OR(G79&lt;&gt;"入池",NOT(ISNUMBER(AS79))),"",COUNTIFS($G$17:$G$99,"入池",$AS$17:$AS$99,"&gt;"&amp;AS79)+COUNTIFS($G$17:$G$99,"入池",$AS$17:$AS$99,AS79,$AQ$17:$AQ$99,"&gt;"&amp;AQ79)+COUNTIFS($G$17:G79,"入池",$AS$17:AS79,AS79,$AQ$17:AQ79,AQ79))</f>
        <v>78</v>
      </c>
      <c r="AU79" s="46" t="str">
        <f>IF(NOT(ISNUMBER(I79)),"管理人规模；","")&amp;IF(NOT(ISNUMBER(K79)),"产品规模标识；","")&amp;IF(NOT(ISNUMBER(M79)),"近一年收益；","")&amp;IF(NOT(ISNUMBER(T79)),"近一年胜率；","")&amp;IF(NOT(ISNUMBER(N79)),"近三年收益；","")&amp;IF(NOT(ISNUMBER(U79)),"近三年胜率；","")&amp;IF(NOT(ISNUMBER(AA79)),"近三年回撤；","")&amp;IF(NOT(ISNUMBER(AD79)),"近一年卡玛；","")&amp;IF(ISNUMBER(F79),IF(AND(F79&lt;'Sheet1-指标体系'!$J$16,NOT(ISNUMBER(O79))),"成立以来年化；",""),"成立日期；")&amp;IF(ISNUMBER(V79),IF(OR(V79&lt;0,V79&gt;1),"胜率窗口口径不一致；",""),"")&amp;IF(ISNUMBER(P79),IF(NOT(ISNUMBER(AE79)),"DD_long不可识别；",""),"")</f>
        <v>近一年收益；近一年胜率；近一年卡玛；</v>
      </c>
      <c r="AV79" s="37" t="str">
        <f>IF(ABS(SUM(CA79:CK79)-'Sheet1-指标体系'!$J$25)&lt;0.0000000001,SUM(BP79:BZ79),"")</f>
        <v/>
      </c>
      <c r="AW79" s="36" t="str">
        <f>IF(G79&lt;&gt;"入池",G79,IF(AQ79=0,"无有效评分数据",IF(ROUND(AQ79,10)=ROUND('Sheet1-指标体系'!$J$25,10),"完整赋分","暂定分／数据不完整")))</f>
        <v>暂定分／数据不完整</v>
      </c>
      <c r="AX79" s="22" t="str">
        <f>IF('Sheet4-原始数据'!C64="","",'Sheet4-原始数据'!C64)</f>
        <v>套利策略</v>
      </c>
      <c r="AY79" s="22" t="str">
        <f>IF('Sheet4-原始数据'!D64="","",'Sheet4-原始数据'!D64)</f>
        <v>基金套利</v>
      </c>
      <c r="AZ79" s="22" t="str">
        <f>IF('Sheet5-查询核对'!S64="","",'Sheet5-查询核对'!S64)</f>
        <v>套利策略—基金套利</v>
      </c>
      <c r="BA79" s="25">
        <f>IF('Sheet5-查询核对'!A64="","",'Sheet5-查询核对'!A64)</f>
        <v>64</v>
      </c>
      <c r="BB79" s="22" t="str">
        <f>IF('Sheet5-查询核对'!F64="","",'Sheet5-查询核对'!F64)</f>
        <v>备案号匹配</v>
      </c>
      <c r="BC79" s="24" t="str">
        <f>IF('Sheet5-查询核对'!I64="","",'Sheet5-查询核对'!I64)</f>
        <v>https://mp.fof99.com/fund/view/2a7eea7355174458</v>
      </c>
      <c r="BD79" s="23">
        <f>IF('Sheet5-查询核对'!H64="","",'Sheet5-查询核对'!H64)</f>
        <v>46269</v>
      </c>
      <c r="BE79" s="24" t="str">
        <f>IF('Sheet5-查询核对'!L64="","",'Sheet5-查询核对'!L64)</f>
        <v>https://gs.amac.org.cn/amac-infodisc/res/pof/manager/1705081548107725.html</v>
      </c>
      <c r="BF79" s="23">
        <f>IF('Sheet5-查询核对'!M64="","",'Sheet5-查询核对'!M64)</f>
        <v>46276</v>
      </c>
      <c r="BG79" s="24" t="str">
        <f>IF('Sheet5-查询核对'!O64="","",'Sheet5-查询核对'!O64)</f>
        <v>https://gs.amac.org.cn/amac-infodisc/res/pof/fund/2010271707103406.html</v>
      </c>
      <c r="BH79" s="23">
        <f>IF('Sheet5-查询核对'!P64="","",'Sheet5-查询核对'!P64)</f>
        <v>46276</v>
      </c>
      <c r="BI79" s="22" t="str">
        <f>IF('Sheet5-查询核对'!D64="","",'Sheet5-查询核对'!D64)</f>
        <v>SNA956</v>
      </c>
      <c r="BJ79">
        <f>IF(ISNUMBER(AT79),AT79,COUNT($AT$17:$AT$99)+ROWS($AT$17:AT79)-COUNT($AT$17:AT79))</f>
        <v>78</v>
      </c>
      <c r="BK79" s="2">
        <f t="shared" si="16"/>
        <v>0</v>
      </c>
      <c r="BL79" s="2">
        <f t="shared" si="17"/>
        <v>0</v>
      </c>
      <c r="BM79" s="2">
        <f t="shared" si="18"/>
        <v>1</v>
      </c>
      <c r="BN79" s="2">
        <f t="shared" si="19"/>
        <v>0</v>
      </c>
      <c r="BO79" s="2">
        <f t="shared" si="20"/>
        <v>0</v>
      </c>
      <c r="BP79" s="48">
        <f>IF(G79="入池",IF(ISNUMBER(I79),I79*('Sheet1-指标体系'!$G$4),0),0)</f>
        <v>3.6</v>
      </c>
      <c r="BQ79" s="48">
        <f>IF(G79="入池",IF(ISNUMBER(K79),K79*('Sheet1-指标体系'!$G$5),0),0)</f>
        <v>0</v>
      </c>
      <c r="BR79" s="48">
        <f>IF(G79="入池",IF(ISNUMBER(L79),L79*('Sheet1-指标体系'!$G$6),0),0)</f>
        <v>4.5</v>
      </c>
      <c r="BS79" s="48">
        <f>IF(G79="入池",IF(ISNUMBER(Q79),Q79*('Sheet1-指标体系'!$G$7*'Sheet1-指标体系'!$J$8),0),0)</f>
        <v>0</v>
      </c>
      <c r="BT79" s="48">
        <f>IF(G79="入池",IF(ISNUMBER(R79),R79*('Sheet1-指标体系'!$G$7*'Sheet1-指标体系'!$J$9),0),0)</f>
        <v>0</v>
      </c>
      <c r="BU79" s="48">
        <f>IF(G79="入池",IF(ISNUMBER(W79),W79*('Sheet1-指标体系'!$G$8*'Sheet1-指标体系'!$J$8),0),0)</f>
        <v>0</v>
      </c>
      <c r="BV79" s="48">
        <f>IF(G79="入池",IF(ISNUMBER(X79),X79*('Sheet1-指标体系'!$G$8*'Sheet1-指标体系'!$J$9),0),0)</f>
        <v>0</v>
      </c>
      <c r="BW79" s="48">
        <f>IF(G79="入池",IF(ISNUMBER(AC79),AC79*('Sheet1-指标体系'!$G$9),0),0)</f>
        <v>0</v>
      </c>
      <c r="BX79" s="48">
        <f>IF(G79="入池",IF(ISNUMBER(AG79),AG79*('Sheet1-指标体系'!$G$10*'Sheet1-指标体系'!$J$8),0),0)</f>
        <v>0</v>
      </c>
      <c r="BY79" s="48">
        <f>IF(G79="入池",IF(ISNUMBER(AH79),AH79*('Sheet1-指标体系'!$G$10*'Sheet1-指标体系'!$J$9),0),0)</f>
        <v>0</v>
      </c>
      <c r="BZ79" s="48">
        <f>IF(G79="入池",IF(ISNUMBER(AK79),AK79*('Sheet1-指标体系'!$G$11),0),0)</f>
        <v>0</v>
      </c>
      <c r="CA79" s="49">
        <f>IF(G79="入池",IF(ISNUMBER(I79),'Sheet1-指标体系'!$G$4,0),0)</f>
        <v>0.06</v>
      </c>
      <c r="CB79" s="49">
        <f>IF(G79="入池",IF(ISNUMBER(K79),'Sheet1-指标体系'!$G$5,0),0)</f>
        <v>0.045</v>
      </c>
      <c r="CC79" s="49">
        <f>IF(G79="入池",IF(ISNUMBER(L79),'Sheet1-指标体系'!$G$6,0),0)</f>
        <v>0.045</v>
      </c>
      <c r="CD79" s="49">
        <f>IF(G79="入池",IF(ISNUMBER(Q79),'Sheet1-指标体系'!$G$7*'Sheet1-指标体系'!$J$8,0),0)</f>
        <v>0</v>
      </c>
      <c r="CE79" s="49">
        <f>IF(G79="入池",IF(ISNUMBER(R79),'Sheet1-指标体系'!$G$7*'Sheet1-指标体系'!$J$9,0),0)</f>
        <v>0</v>
      </c>
      <c r="CF79" s="49">
        <f>IF(G79="入池",IF(ISNUMBER(W79),'Sheet1-指标体系'!$G$8*'Sheet1-指标体系'!$J$8,0),0)</f>
        <v>0</v>
      </c>
      <c r="CG79" s="49">
        <f>IF(G79="入池",IF(ISNUMBER(X79),'Sheet1-指标体系'!$G$8*'Sheet1-指标体系'!$J$9,0),0)</f>
        <v>0</v>
      </c>
      <c r="CH79" s="49">
        <f>IF(G79="入池",IF(ISNUMBER(AC79),'Sheet1-指标体系'!$G$9,0),0)</f>
        <v>0.25</v>
      </c>
      <c r="CI79" s="49">
        <f>IF(G79="入池",IF(ISNUMBER(AG79),'Sheet1-指标体系'!$G$10*'Sheet1-指标体系'!$J$8,0),0)</f>
        <v>0</v>
      </c>
      <c r="CJ79" s="49">
        <f>IF(G79="入池",IF(ISNUMBER(AH79),'Sheet1-指标体系'!$G$10*'Sheet1-指标体系'!$J$9,0),0)</f>
        <v>0</v>
      </c>
      <c r="CK79" s="49">
        <f>IF(G79="入池",IF(ISNUMBER(AK79),'Sheet1-指标体系'!$G$11,0),0)</f>
        <v>0</v>
      </c>
    </row>
    <row r="80" ht="44" customHeight="1" spans="1:89">
      <c r="A80" s="40">
        <f>'Sheet5-查询核对'!A65-1</f>
        <v>64</v>
      </c>
      <c r="B80" s="24" t="str">
        <f>IF('Sheet4-原始数据'!A65="",'Sheet5-查询核对'!B65,'Sheet4-原始数据'!A65)</f>
        <v>唐德幽兰量化套利一号</v>
      </c>
      <c r="C80" s="22" t="str">
        <f>IF('Sheet4-原始数据'!B65="","",'Sheet4-原始数据'!B65)</f>
        <v>SAHM04</v>
      </c>
      <c r="D80" s="22" t="str">
        <f>IF('Sheet4-原始数据'!E65="","",'Sheet4-原始数据'!E65)</f>
        <v>深圳唐德</v>
      </c>
      <c r="E80" s="23">
        <f>IF('Sheet4-原始数据'!F65="","",'Sheet4-原始数据'!F65)</f>
        <v>45408</v>
      </c>
      <c r="F80" s="37">
        <f>IF(ISNUMBER(E80),ROUND(('Sheet1-指标体系'!$J$12-E80)/'Sheet1-指标体系'!$J$14,4),"")</f>
        <v>2.3737</v>
      </c>
      <c r="G80" s="36" t="str">
        <f>IF(C80="","未匹配",IF(NOT(ISNUMBER(F80)),"缺成立日期",IF(F80&lt;'Sheet1-指标体系'!$J$15,"不入池","入池")))</f>
        <v>入池</v>
      </c>
      <c r="H80" s="22" t="str">
        <f>IF('Sheet5-查询核对'!K65="","",'Sheet5-查询核对'!K65)</f>
        <v>0-5亿元</v>
      </c>
      <c r="I80" s="37">
        <f>IF(H80="","",IF(COUNTIF('Sheet1-指标体系'!$P$4:$P$10,H80)=0,"",INDEX('Sheet1-指标体系'!$Q$4:$Q$10,MATCH(H80,'Sheet1-指标体系'!$P$4:$P$10,0))))</f>
        <v>60</v>
      </c>
      <c r="J80" s="44" t="str">
        <f>IF(NOT(ISNUMBER('Sheet5-查询核对'!N65)),"",IF('Sheet5-查询核对'!N65=1,"低于"&amp;'Sheet1-指标体系'!$J$4&amp;"万元",IF('Sheet5-查询核对'!N65=0,"无低于"&amp;'Sheet1-指标体系'!$J$4&amp;"万元标识","")))</f>
        <v>低于1000万元</v>
      </c>
      <c r="K80" s="37">
        <f>IF(NOT(ISNUMBER('Sheet5-查询核对'!N65)),"",IF('Sheet5-查询核对'!N65=1,'Sheet1-指标体系'!$J$21,IF('Sheet5-查询核对'!N65=0,'Sheet1-指标体系'!$J$18,"")))</f>
        <v>0</v>
      </c>
      <c r="L80" s="37">
        <f>IF(NOT(ISNUMBER(F80)),"",IF(F80&lt;'Sheet1-指标体系'!$J$15,"",IF(F80&lt;'Sheet1-指标体系'!$J$16,'Sheet1-指标体系'!$J$17,'Sheet1-指标体系'!$J$18)))</f>
        <v>70</v>
      </c>
      <c r="M80" s="26">
        <f>IF(ISNUMBER('Sheet4-原始数据'!G65),'Sheet4-原始数据'!G65,"")</f>
        <v>0.0858</v>
      </c>
      <c r="N80" s="26" t="str">
        <f>IF(ISNUMBER('Sheet4-原始数据'!H65),'Sheet4-原始数据'!H65,"")</f>
        <v/>
      </c>
      <c r="O80" s="26">
        <f>IF(ISNUMBER('Sheet5-查询核对'!Q65),'Sheet5-查询核对'!Q65,"")</f>
        <v>0.079</v>
      </c>
      <c r="P80" s="45">
        <f>IF(G80&lt;&gt;"入池","",IF(F80&gt;='Sheet1-指标体系'!$J$16,IF(AND(ISNUMBER(M80),ISNUMBER(N80)),IF(AND(1+M80&gt;0,1+N80&gt;=0),((1+N80)^'Sheet1-指标体系'!$J$16/(1+M80))^(1/('Sheet1-指标体系'!$J$16-1))-1,""),""),IF(AND(ISNUMBER(M80),ISNUMBER(O80)),IF(AND(F80&gt;1,1+M80&gt;0,1+O80&gt;=0),((1+O80)^F80/(1+M80))^(1/(F80-1))-1,""),"")))</f>
        <v>0.0740766648513345</v>
      </c>
      <c r="Q80" s="37">
        <f t="shared" si="0"/>
        <v>45.83</v>
      </c>
      <c r="R80" s="37">
        <f t="shared" si="1"/>
        <v>45.45</v>
      </c>
      <c r="S80" s="37">
        <f>IF(ISNUMBER(Q80),IF(ISNUMBER(R80),ROUND(Q80*'Sheet1-指标体系'!$J$8+R80*'Sheet1-指标体系'!$J$9,2),Q80),"")</f>
        <v>45.68</v>
      </c>
      <c r="T80" s="26">
        <f>IF(ISNUMBER('Sheet4-原始数据'!J65),'Sheet4-原始数据'!J65,"")</f>
        <v>0.8462</v>
      </c>
      <c r="U80" s="26" t="str">
        <f>IF(ISNUMBER('Sheet4-原始数据'!I65),'Sheet4-原始数据'!I65,"")</f>
        <v/>
      </c>
      <c r="V80" s="45" t="str">
        <f>IF(AND(ISNUMBER(T80),ISNUMBER(U80)),(U80*'Sheet1-指标体系'!$J$6-T80*'Sheet1-指标体系'!$J$5)/'Sheet1-指标体系'!$J$7,"")</f>
        <v/>
      </c>
      <c r="W80" s="37">
        <f t="shared" si="2"/>
        <v>84.62</v>
      </c>
      <c r="X80" s="37" t="str">
        <f>IF(G80&lt;&gt;"入池","",IF(ISNUMBER(V80),IF(AND(V80&gt;=0,V80&lt;=1),V80*'Sheet1-指标体系'!$J$18,IF(MAX(0,(F80-'Sheet1-指标体系'!$J$15)*'Sheet1-指标体系'!$J$20)&lt;'Sheet1-指标体系'!$J$19,'Sheet1-指标体系'!$J$18,"")),IF(MAX(0,(F80-'Sheet1-指标体系'!$J$15)*'Sheet1-指标体系'!$J$20)&lt;'Sheet1-指标体系'!$J$19,'Sheet1-指标体系'!$J$18,"")))</f>
        <v/>
      </c>
      <c r="Y80" s="37">
        <f>IF(ISNUMBER(W80),IF(ISNUMBER(X80),ROUND(W80*'Sheet1-指标体系'!$J$8+X80*'Sheet1-指标体系'!$J$9,2),W80),"")</f>
        <v>84.62</v>
      </c>
      <c r="Z80" s="45">
        <f t="shared" si="3"/>
        <v>0.0253037631237466</v>
      </c>
      <c r="AA80" s="26" t="str">
        <f>IF(ISNUMBER('Sheet4-原始数据'!K65),'Sheet4-原始数据'!K65,"")</f>
        <v/>
      </c>
      <c r="AB80" s="45">
        <f t="shared" si="4"/>
        <v>0.0253037631237466</v>
      </c>
      <c r="AC80" s="37">
        <f t="shared" si="5"/>
        <v>41.89</v>
      </c>
      <c r="AD80" s="30">
        <f>IF(ISNUMBER('Sheet4-原始数据'!M65),'Sheet4-原始数据'!M65,"")</f>
        <v>3.3908</v>
      </c>
      <c r="AE80" s="45" t="str">
        <f>IF(AND(ISNUMBER(P80),ISNUMBER(AA80),ISNUMBER(Z80)),IF(AA80&gt;Z80+'Sheet1-指标体系'!$J$11,AA80,""),"")</f>
        <v/>
      </c>
      <c r="AF80" s="37" t="str">
        <f t="shared" si="6"/>
        <v/>
      </c>
      <c r="AG80" s="37">
        <f t="shared" si="7"/>
        <v>28.17</v>
      </c>
      <c r="AH80" s="37" t="str">
        <f t="shared" si="8"/>
        <v/>
      </c>
      <c r="AI80" s="37">
        <f>IF(ISNUMBER(AG80),IF(ISNUMBER(AH80),ROUND(AG80*'Sheet1-指标体系'!$J$8+AH80*'Sheet1-指标体系'!$J$9,2),AG80),"")</f>
        <v>28.17</v>
      </c>
      <c r="AJ80" s="45">
        <f>IF(NOT(ISNUMBER(F80)),"",IF(F80&gt;='Sheet1-指标体系'!$J$16,IF(ISNUMBER(N80),N80,""),IF(ISNUMBER(O80),O80,"")))</f>
        <v>0.079</v>
      </c>
      <c r="AK80" s="37">
        <f>IF(AND(G80="入池",ISNUMBER(M80),ISNUMBER(AJ80)),IF(M80&gt;=AJ80,'Sheet1-指标体系'!$J$18,IF(AJ80-M80&lt;'Sheet1-指标体系'!$J$10,'Sheet1-指标体系'!$J$22,'Sheet1-指标体系'!$J$23)),"")</f>
        <v>100</v>
      </c>
      <c r="AL80" s="37">
        <f>IF((IF(ISNUMBER(I80),'Sheet1-指标体系'!$G$4,0)+IF(ISNUMBER(K80),'Sheet1-指标体系'!$G$5,0)+IF(ISNUMBER(L80),'Sheet1-指标体系'!$G$6,0))&gt;0,ROUND((IF(ISNUMBER(I80),I80*'Sheet1-指标体系'!$G$4,0)+IF(ISNUMBER(K80),K80*'Sheet1-指标体系'!$G$5,0)+IF(ISNUMBER(L80),L80*'Sheet1-指标体系'!$G$6,0))/(IF(ISNUMBER(I80),'Sheet1-指标体系'!$G$4,0)+IF(ISNUMBER(K80),'Sheet1-指标体系'!$G$5,0)+IF(ISNUMBER(L80),'Sheet1-指标体系'!$G$6,0)),2),"")</f>
        <v>45</v>
      </c>
      <c r="AM80" s="37">
        <f t="shared" si="9"/>
        <v>53.64</v>
      </c>
      <c r="AN80" s="37">
        <f t="shared" si="10"/>
        <v>41.89</v>
      </c>
      <c r="AO80" s="37">
        <f t="shared" si="11"/>
        <v>28.17</v>
      </c>
      <c r="AP80" s="37">
        <f t="shared" si="12"/>
        <v>100</v>
      </c>
      <c r="AQ80" s="38">
        <f t="shared" si="13"/>
        <v>0.856</v>
      </c>
      <c r="AR80" s="37">
        <f t="shared" si="14"/>
        <v>41.73434</v>
      </c>
      <c r="AS80" s="37">
        <f t="shared" si="15"/>
        <v>48.76</v>
      </c>
      <c r="AT80" s="40">
        <f>IF(OR(G80&lt;&gt;"入池",NOT(ISNUMBER(AS80))),"",COUNTIFS($G$17:$G$99,"入池",$AS$17:$AS$99,"&gt;"&amp;AS80)+COUNTIFS($G$17:$G$99,"入池",$AS$17:$AS$99,AS80,$AQ$17:$AQ$99,"&gt;"&amp;AQ80)+COUNTIFS($G$17:G80,"入池",$AS$17:AS80,AS80,$AQ$17:AQ80,AQ80))</f>
        <v>59</v>
      </c>
      <c r="AU80" s="46" t="str">
        <f>IF(NOT(ISNUMBER(I80)),"管理人规模；","")&amp;IF(NOT(ISNUMBER(K80)),"产品规模标识；","")&amp;IF(NOT(ISNUMBER(M80)),"近一年收益；","")&amp;IF(NOT(ISNUMBER(T80)),"近一年胜率；","")&amp;IF(NOT(ISNUMBER(N80)),"近三年收益；","")&amp;IF(NOT(ISNUMBER(U80)),"近三年胜率；","")&amp;IF(NOT(ISNUMBER(AA80)),"近三年回撤；","")&amp;IF(NOT(ISNUMBER(AD80)),"近一年卡玛；","")&amp;IF(ISNUMBER(F80),IF(AND(F80&lt;'Sheet1-指标体系'!$J$16,NOT(ISNUMBER(O80))),"成立以来年化；",""),"成立日期；")&amp;IF(ISNUMBER(V80),IF(OR(V80&lt;0,V80&gt;1),"胜率窗口口径不一致；",""),"")&amp;IF(ISNUMBER(P80),IF(NOT(ISNUMBER(AE80)),"DD_long不可识别；",""),"")</f>
        <v>近三年收益；近三年胜率；近三年回撤；DD_long不可识别；</v>
      </c>
      <c r="AV80" s="37" t="str">
        <f>IF(ABS(SUM(CA80:CK80)-'Sheet1-指标体系'!$J$25)&lt;0.0000000001,SUM(BP80:BZ80),"")</f>
        <v/>
      </c>
      <c r="AW80" s="36" t="str">
        <f>IF(G80&lt;&gt;"入池",G80,IF(AQ80=0,"无有效评分数据",IF(ROUND(AQ80,10)=ROUND('Sheet1-指标体系'!$J$25,10),"完整赋分","暂定分／数据不完整")))</f>
        <v>暂定分／数据不完整</v>
      </c>
      <c r="AX80" s="22" t="str">
        <f>IF('Sheet4-原始数据'!C65="","",'Sheet4-原始数据'!C65)</f>
        <v>套利策略</v>
      </c>
      <c r="AY80" s="22" t="str">
        <f>IF('Sheet4-原始数据'!D65="","",'Sheet4-原始数据'!D65)</f>
        <v>期货套利</v>
      </c>
      <c r="AZ80" s="22" t="str">
        <f>IF('Sheet5-查询核对'!S65="","",'Sheet5-查询核对'!S65)</f>
        <v>套利策略—期货套利</v>
      </c>
      <c r="BA80" s="25">
        <f>IF('Sheet5-查询核对'!A65="","",'Sheet5-查询核对'!A65)</f>
        <v>65</v>
      </c>
      <c r="BB80" s="22" t="str">
        <f>IF('Sheet5-查询核对'!F65="","",'Sheet5-查询核对'!F65)</f>
        <v>备案号匹配</v>
      </c>
      <c r="BC80" s="24" t="str">
        <f>IF('Sheet5-查询核对'!I65="","",'Sheet5-查询核对'!I65)</f>
        <v>https://mp.fof99.com/fund/view/440208e7421f6896</v>
      </c>
      <c r="BD80" s="23">
        <f>IF('Sheet5-查询核对'!H65="","",'Sheet5-查询核对'!H65)</f>
        <v>46269</v>
      </c>
      <c r="BE80" s="24" t="str">
        <f>IF('Sheet5-查询核对'!L65="","",'Sheet5-查询核对'!L65)</f>
        <v>https://gs.amac.org.cn/amac-infodisc/res/pof/manager/101000038100.html</v>
      </c>
      <c r="BF80" s="23">
        <f>IF('Sheet5-查询核对'!M65="","",'Sheet5-查询核对'!M65)</f>
        <v>46276</v>
      </c>
      <c r="BG80" s="24" t="str">
        <f>IF('Sheet5-查询核对'!O65="","",'Sheet5-查询核对'!O65)</f>
        <v>https://gs.amac.org.cn/amac-infodisc/res/pof/fund/2404301325106956.html</v>
      </c>
      <c r="BH80" s="23">
        <f>IF('Sheet5-查询核对'!P65="","",'Sheet5-查询核对'!P65)</f>
        <v>46276</v>
      </c>
      <c r="BI80" s="22" t="str">
        <f>IF('Sheet5-查询核对'!D65="","",'Sheet5-查询核对'!D65)</f>
        <v>SAHM04</v>
      </c>
      <c r="BJ80">
        <f>IF(ISNUMBER(AT80),AT80,COUNT($AT$17:$AT$99)+ROWS($AT$17:AT80)-COUNT($AT$17:AT80))</f>
        <v>59</v>
      </c>
      <c r="BK80" s="2">
        <f t="shared" si="16"/>
        <v>1</v>
      </c>
      <c r="BL80" s="2">
        <f t="shared" si="17"/>
        <v>1</v>
      </c>
      <c r="BM80" s="2">
        <f t="shared" si="18"/>
        <v>1</v>
      </c>
      <c r="BN80" s="2">
        <f t="shared" si="19"/>
        <v>1</v>
      </c>
      <c r="BO80" s="2">
        <f t="shared" si="20"/>
        <v>0</v>
      </c>
      <c r="BP80" s="48">
        <f>IF(G80="入池",IF(ISNUMBER(I80),I80*('Sheet1-指标体系'!$G$4),0),0)</f>
        <v>3.6</v>
      </c>
      <c r="BQ80" s="48">
        <f>IF(G80="入池",IF(ISNUMBER(K80),K80*('Sheet1-指标体系'!$G$5),0),0)</f>
        <v>0</v>
      </c>
      <c r="BR80" s="48">
        <f>IF(G80="入池",IF(ISNUMBER(L80),L80*('Sheet1-指标体系'!$G$6),0),0)</f>
        <v>3.15</v>
      </c>
      <c r="BS80" s="48">
        <f>IF(G80="入池",IF(ISNUMBER(Q80),Q80*('Sheet1-指标体系'!$G$7*'Sheet1-指标体系'!$J$8),0),0)</f>
        <v>3.84972</v>
      </c>
      <c r="BT80" s="48">
        <f>IF(G80="入池",IF(ISNUMBER(R80),R80*('Sheet1-指标体系'!$G$7*'Sheet1-指标体系'!$J$9),0),0)</f>
        <v>2.5452</v>
      </c>
      <c r="BU80" s="48">
        <f>IF(G80="入池",IF(ISNUMBER(W80),W80*('Sheet1-指标体系'!$G$8*'Sheet1-指标体系'!$J$8),0),0)</f>
        <v>3.04632</v>
      </c>
      <c r="BV80" s="48">
        <f>IF(G80="入池",IF(ISNUMBER(X80),X80*('Sheet1-指标体系'!$G$8*'Sheet1-指标体系'!$J$9),0),0)</f>
        <v>0</v>
      </c>
      <c r="BW80" s="48">
        <f>IF(G80="入池",IF(ISNUMBER(AC80),AC80*('Sheet1-指标体系'!$G$9),0),0)</f>
        <v>10.4725</v>
      </c>
      <c r="BX80" s="48">
        <f>IF(G80="入池",IF(ISNUMBER(AG80),AG80*('Sheet1-指标体系'!$G$10*'Sheet1-指标体系'!$J$8),0),0)</f>
        <v>5.0706</v>
      </c>
      <c r="BY80" s="48">
        <f>IF(G80="入池",IF(ISNUMBER(AH80),AH80*('Sheet1-指标体系'!$G$10*'Sheet1-指标体系'!$J$9),0),0)</f>
        <v>0</v>
      </c>
      <c r="BZ80" s="48">
        <f>IF(G80="入池",IF(ISNUMBER(AK80),AK80*('Sheet1-指标体系'!$G$11),0),0)</f>
        <v>10</v>
      </c>
      <c r="CA80" s="49">
        <f>IF(G80="入池",IF(ISNUMBER(I80),'Sheet1-指标体系'!$G$4,0),0)</f>
        <v>0.06</v>
      </c>
      <c r="CB80" s="49">
        <f>IF(G80="入池",IF(ISNUMBER(K80),'Sheet1-指标体系'!$G$5,0),0)</f>
        <v>0.045</v>
      </c>
      <c r="CC80" s="49">
        <f>IF(G80="入池",IF(ISNUMBER(L80),'Sheet1-指标体系'!$G$6,0),0)</f>
        <v>0.045</v>
      </c>
      <c r="CD80" s="49">
        <f>IF(G80="入池",IF(ISNUMBER(Q80),'Sheet1-指标体系'!$G$7*'Sheet1-指标体系'!$J$8,0),0)</f>
        <v>0.084</v>
      </c>
      <c r="CE80" s="49">
        <f>IF(G80="入池",IF(ISNUMBER(R80),'Sheet1-指标体系'!$G$7*'Sheet1-指标体系'!$J$9,0),0)</f>
        <v>0.056</v>
      </c>
      <c r="CF80" s="49">
        <f>IF(G80="入池",IF(ISNUMBER(W80),'Sheet1-指标体系'!$G$8*'Sheet1-指标体系'!$J$8,0),0)</f>
        <v>0.036</v>
      </c>
      <c r="CG80" s="49">
        <f>IF(G80="入池",IF(ISNUMBER(X80),'Sheet1-指标体系'!$G$8*'Sheet1-指标体系'!$J$9,0),0)</f>
        <v>0</v>
      </c>
      <c r="CH80" s="49">
        <f>IF(G80="入池",IF(ISNUMBER(AC80),'Sheet1-指标体系'!$G$9,0),0)</f>
        <v>0.25</v>
      </c>
      <c r="CI80" s="49">
        <f>IF(G80="入池",IF(ISNUMBER(AG80),'Sheet1-指标体系'!$G$10*'Sheet1-指标体系'!$J$8,0),0)</f>
        <v>0.18</v>
      </c>
      <c r="CJ80" s="49">
        <f>IF(G80="入池",IF(ISNUMBER(AH80),'Sheet1-指标体系'!$G$10*'Sheet1-指标体系'!$J$9,0),0)</f>
        <v>0</v>
      </c>
      <c r="CK80" s="49">
        <f>IF(G80="入池",IF(ISNUMBER(AK80),'Sheet1-指标体系'!$G$11,0),0)</f>
        <v>0.1</v>
      </c>
    </row>
    <row r="81" ht="44" customHeight="1" spans="1:89">
      <c r="A81" s="40">
        <f>'Sheet5-查询核对'!A66-1</f>
        <v>65</v>
      </c>
      <c r="B81" s="24" t="str">
        <f>IF('Sheet4-原始数据'!A66="",'Sheet5-查询核对'!B66,'Sheet4-原始数据'!A66)</f>
        <v>唐龙量化对冲99号</v>
      </c>
      <c r="C81" s="22" t="str">
        <f>IF('Sheet4-原始数据'!B66="","",'Sheet4-原始数据'!B66)</f>
        <v>SJQ683</v>
      </c>
      <c r="D81" s="22" t="str">
        <f>IF('Sheet4-原始数据'!E66="","",'Sheet4-原始数据'!E66)</f>
        <v>福建平潭唐龙资管</v>
      </c>
      <c r="E81" s="23">
        <f>IF('Sheet4-原始数据'!F66="","",'Sheet4-原始数据'!F66)</f>
        <v>43885</v>
      </c>
      <c r="F81" s="37">
        <f>IF(ISNUMBER(E81),ROUND(('Sheet1-指标体系'!$J$12-E81)/'Sheet1-指标体系'!$J$14,4),"")</f>
        <v>6.5435</v>
      </c>
      <c r="G81" s="36" t="str">
        <f>IF(C81="","未匹配",IF(NOT(ISNUMBER(F81)),"缺成立日期",IF(F81&lt;'Sheet1-指标体系'!$J$15,"不入池","入池")))</f>
        <v>入池</v>
      </c>
      <c r="H81" s="22" t="str">
        <f>IF('Sheet5-查询核对'!K66="","",'Sheet5-查询核对'!K66)</f>
        <v>5-10亿元</v>
      </c>
      <c r="I81" s="37">
        <f>IF(H81="","",IF(COUNTIF('Sheet1-指标体系'!$P$4:$P$10,H81)=0,"",INDEX('Sheet1-指标体系'!$Q$4:$Q$10,MATCH(H81,'Sheet1-指标体系'!$P$4:$P$10,0))))</f>
        <v>70</v>
      </c>
      <c r="J81" s="44" t="str">
        <f>IF(NOT(ISNUMBER('Sheet5-查询核对'!N66)),"",IF('Sheet5-查询核对'!N66=1,"低于"&amp;'Sheet1-指标体系'!$J$4&amp;"万元",IF('Sheet5-查询核对'!N66=0,"无低于"&amp;'Sheet1-指标体系'!$J$4&amp;"万元标识","")))</f>
        <v>无低于1000万元标识</v>
      </c>
      <c r="K81" s="37">
        <f>IF(NOT(ISNUMBER('Sheet5-查询核对'!N66)),"",IF('Sheet5-查询核对'!N66=1,'Sheet1-指标体系'!$J$21,IF('Sheet5-查询核对'!N66=0,'Sheet1-指标体系'!$J$18,"")))</f>
        <v>100</v>
      </c>
      <c r="L81" s="37">
        <f>IF(NOT(ISNUMBER(F81)),"",IF(F81&lt;'Sheet1-指标体系'!$J$15,"",IF(F81&lt;'Sheet1-指标体系'!$J$16,'Sheet1-指标体系'!$J$17,'Sheet1-指标体系'!$J$18)))</f>
        <v>100</v>
      </c>
      <c r="M81" s="26">
        <f>IF(ISNUMBER('Sheet4-原始数据'!G66),'Sheet4-原始数据'!G66,"")</f>
        <v>0.0195</v>
      </c>
      <c r="N81" s="26">
        <f>IF(ISNUMBER('Sheet4-原始数据'!H66),'Sheet4-原始数据'!H66,"")</f>
        <v>0.0404</v>
      </c>
      <c r="O81" s="26">
        <f>IF(ISNUMBER('Sheet5-查询核对'!Q66),'Sheet5-查询核对'!Q66,"")</f>
        <v>0.1824</v>
      </c>
      <c r="P81" s="45">
        <f>IF(G81&lt;&gt;"入池","",IF(F81&gt;='Sheet1-指标体系'!$J$16,IF(AND(ISNUMBER(M81),ISNUMBER(N81)),IF(AND(1+M81&gt;0,1+N81&gt;=0),((1+N81)^'Sheet1-指标体系'!$J$16/(1+M81))^(1/('Sheet1-指标体系'!$J$16-1))-1,""),""),IF(AND(ISNUMBER(M81),ISNUMBER(O81)),IF(AND(F81&gt;1,1+M81&gt;0,1+O81&gt;=0),((1+O81)^F81/(1+M81))^(1/(F81-1))-1,""),"")))</f>
        <v>0.0510101258846718</v>
      </c>
      <c r="Q81" s="37">
        <f t="shared" ref="Q81:Q99" si="21">IF(BK81=1,IF(SUM($BK$17:$BK$99)&lt;=1,100,ROUND(100*(COUNTIFS($BK$17:$BK$99,1,$M$17:$M$99,"&lt;"&amp;M81)+(COUNTIFS($BK$17:$BK$99,1,$M$17:$M$99,M81)-1)/2)/(SUM($BK$17:$BK$99)-1),2)),"")</f>
        <v>6.94</v>
      </c>
      <c r="R81" s="37">
        <f t="shared" ref="R81:R99" si="22">IF(BL81=1,IF(SUM($BL$17:$BL$99)&lt;=1,100,ROUND(100*(COUNTIFS($BL$17:$BL$99,1,$P$17:$P$99,"&lt;"&amp;P81)+(COUNTIFS($BL$17:$BL$99,1,$P$17:$P$99,P81)-1)/2)/(SUM($BL$17:$BL$99)-1),2)),"")</f>
        <v>19.7</v>
      </c>
      <c r="S81" s="37">
        <f>IF(ISNUMBER(Q81),IF(ISNUMBER(R81),ROUND(Q81*'Sheet1-指标体系'!$J$8+R81*'Sheet1-指标体系'!$J$9,2),Q81),"")</f>
        <v>12.04</v>
      </c>
      <c r="T81" s="26">
        <f>IF(ISNUMBER('Sheet4-原始数据'!J66),'Sheet4-原始数据'!J66,"")</f>
        <v>0.6154</v>
      </c>
      <c r="U81" s="26">
        <f>IF(ISNUMBER('Sheet4-原始数据'!I66),'Sheet4-原始数据'!I66,"")</f>
        <v>0.6486</v>
      </c>
      <c r="V81" s="45">
        <f>IF(AND(ISNUMBER(T81),ISNUMBER(U81)),(U81*'Sheet1-指标体系'!$J$6-T81*'Sheet1-指标体系'!$J$5)/'Sheet1-指标体系'!$J$7,"")</f>
        <v>0.666583333333333</v>
      </c>
      <c r="W81" s="37">
        <f t="shared" ref="W81:W99" si="23">IF(ISNUMBER(T81),100*T81,"")</f>
        <v>61.54</v>
      </c>
      <c r="X81" s="37">
        <f>IF(G81&lt;&gt;"入池","",IF(ISNUMBER(V81),IF(AND(V81&gt;=0,V81&lt;=1),V81*'Sheet1-指标体系'!$J$18,IF(MAX(0,(F81-'Sheet1-指标体系'!$J$15)*'Sheet1-指标体系'!$J$20)&lt;'Sheet1-指标体系'!$J$19,'Sheet1-指标体系'!$J$18,"")),IF(MAX(0,(F81-'Sheet1-指标体系'!$J$15)*'Sheet1-指标体系'!$J$20)&lt;'Sheet1-指标体系'!$J$19,'Sheet1-指标体系'!$J$18,"")))</f>
        <v>66.6583333333333</v>
      </c>
      <c r="Y81" s="37">
        <f>IF(ISNUMBER(W81),IF(ISNUMBER(X81),ROUND(W81*'Sheet1-指标体系'!$J$8+X81*'Sheet1-指标体系'!$J$9,2),W81),"")</f>
        <v>63.59</v>
      </c>
      <c r="Z81" s="45">
        <f t="shared" ref="Z81:Z99" si="24">IF(AND(ISNUMBER(M81),ISNUMBER(AD81)),IF(AD81&lt;&gt;0,ABS(M81/AD81),""),"")</f>
        <v>0.00330620549338759</v>
      </c>
      <c r="AA81" s="26">
        <f>IF(ISNUMBER('Sheet4-原始数据'!K66),'Sheet4-原始数据'!K66,"")</f>
        <v>0.1458</v>
      </c>
      <c r="AB81" s="45">
        <f t="shared" ref="AB81:AB99" si="25">IF(AND(ISNUMBER(Z81),ISNUMBER(AA81)),MAX(Z81,AA81),IF(ISNUMBER(Z81),Z81,IF(ISNUMBER(AA81),AA81,"")))</f>
        <v>0.1458</v>
      </c>
      <c r="AC81" s="37">
        <f t="shared" ref="AC81:AC99" si="26">IF(BM81=1,IF(SUM($BM$17:$BM$99)&lt;=1,100,ROUND(100*(COUNTIFS($BM$17:$BM$99,1,$AB$17:$AB$99,"&gt;"&amp;AB81)+(COUNTIFS($BM$17:$BM$99,1,$AB$17:$AB$99,AB81)-1)/2)/(SUM($BM$17:$BM$99)-1),2)),"")</f>
        <v>2.7</v>
      </c>
      <c r="AD81" s="30">
        <f>IF(ISNUMBER('Sheet4-原始数据'!M66),'Sheet4-原始数据'!M66,"")</f>
        <v>5.898</v>
      </c>
      <c r="AE81" s="45">
        <f>IF(AND(ISNUMBER(P81),ISNUMBER(AA81),ISNUMBER(Z81)),IF(AA81&gt;Z81+'Sheet1-指标体系'!$J$11,AA81,""),"")</f>
        <v>0.1458</v>
      </c>
      <c r="AF81" s="37">
        <f t="shared" ref="AF81:AF99" si="27">IF(AND(ISNUMBER(P81),ISNUMBER(AE81)),IF(AE81&lt;&gt;0,P81/AE81,""),"")</f>
        <v>0.34986368919528</v>
      </c>
      <c r="AG81" s="37">
        <f t="shared" ref="AG81:AG99" si="28">IF(BN81=1,IF(SUM($BN$17:$BN$99)&lt;=1,100,ROUND(100*(COUNTIFS($BN$17:$BN$99,1,$AD$17:$AD$99,"&lt;"&amp;AD81)+(COUNTIFS($BN$17:$BN$99,1,$AD$17:$AD$99,AD81)-1)/2)/(SUM($BN$17:$BN$99)-1),2)),"")</f>
        <v>38.03</v>
      </c>
      <c r="AH81" s="37">
        <f t="shared" ref="AH81:AH99" si="29">IF(BO81=1,IF(SUM($BO$17:$BO$99)&lt;=1,100,ROUND(100*(COUNTIFS($BO$17:$BO$99,1,$AF$17:$AF$99,"&lt;"&amp;AF81)+(COUNTIFS($BO$17:$BO$99,1,$AF$17:$AF$99,AF81)-1)/2)/(SUM($BO$17:$BO$99)-1),2)),"")</f>
        <v>0</v>
      </c>
      <c r="AI81" s="37">
        <f>IF(ISNUMBER(AG81),IF(ISNUMBER(AH81),ROUND(AG81*'Sheet1-指标体系'!$J$8+AH81*'Sheet1-指标体系'!$J$9,2),AG81),"")</f>
        <v>22.82</v>
      </c>
      <c r="AJ81" s="45">
        <f>IF(NOT(ISNUMBER(F81)),"",IF(F81&gt;='Sheet1-指标体系'!$J$16,IF(ISNUMBER(N81),N81,""),IF(ISNUMBER(O81),O81,"")))</f>
        <v>0.0404</v>
      </c>
      <c r="AK81" s="37">
        <f>IF(AND(G81="入池",ISNUMBER(M81),ISNUMBER(AJ81)),IF(M81&gt;=AJ81,'Sheet1-指标体系'!$J$18,IF(AJ81-M81&lt;'Sheet1-指标体系'!$J$10,'Sheet1-指标体系'!$J$22,'Sheet1-指标体系'!$J$23)),"")</f>
        <v>80</v>
      </c>
      <c r="AL81" s="37">
        <f>IF((IF(ISNUMBER(I81),'Sheet1-指标体系'!$G$4,0)+IF(ISNUMBER(K81),'Sheet1-指标体系'!$G$5,0)+IF(ISNUMBER(L81),'Sheet1-指标体系'!$G$6,0))&gt;0,ROUND((IF(ISNUMBER(I81),I81*'Sheet1-指标体系'!$G$4,0)+IF(ISNUMBER(K81),K81*'Sheet1-指标体系'!$G$5,0)+IF(ISNUMBER(L81),L81*'Sheet1-指标体系'!$G$6,0))/(IF(ISNUMBER(I81),'Sheet1-指标体系'!$G$4,0)+IF(ISNUMBER(K81),'Sheet1-指标体系'!$G$5,0)+IF(ISNUMBER(L81),'Sheet1-指标体系'!$G$6,0)),2),"")</f>
        <v>88</v>
      </c>
      <c r="AM81" s="37">
        <f t="shared" ref="AM81:AM99" si="30">IF(SUM(CD81:CG81)&gt;0,ROUND(SUM(BS81:BV81)/SUM(CD81:CG81),2),"")</f>
        <v>27.51</v>
      </c>
      <c r="AN81" s="37">
        <f t="shared" ref="AN81:AN99" si="31">IF(SUM(CH81:CH81)&gt;0,ROUND(SUM(BW81:BW81)/SUM(CH81:CH81),2),"")</f>
        <v>2.7</v>
      </c>
      <c r="AO81" s="37">
        <f t="shared" ref="AO81:AO99" si="32">IF(SUM(CI81:CJ81)&gt;0,ROUND(SUM(BX81:BY81)/SUM(CI81:CJ81),2),"")</f>
        <v>22.82</v>
      </c>
      <c r="AP81" s="37">
        <f t="shared" ref="AP81:AP99" si="33">IF(SUM(CK81:CK81)&gt;0,ROUND(SUM(BZ81:BZ81)/SUM(CK81:CK81),2),"")</f>
        <v>80</v>
      </c>
      <c r="AQ81" s="38">
        <f t="shared" ref="AQ81:AQ99" si="34">SUM(CA81:CK81)</f>
        <v>1</v>
      </c>
      <c r="AR81" s="37">
        <f t="shared" ref="AR81:AR99" si="35">IF(SUM(CA81:CK81)&gt;0,SUM(BP81:BZ81),"")</f>
        <v>34.2218</v>
      </c>
      <c r="AS81" s="37">
        <f t="shared" ref="AS81:AS99" si="36">IF(SUM(CA81:CK81)&gt;0,ROUND(SUM(BP81:BZ81)/SUM(CA81:CK81),2),"")</f>
        <v>34.22</v>
      </c>
      <c r="AT81" s="40">
        <f>IF(OR(G81&lt;&gt;"入池",NOT(ISNUMBER(AS81))),"",COUNTIFS($G$17:$G$99,"入池",$AS$17:$AS$99,"&gt;"&amp;AS81)+COUNTIFS($G$17:$G$99,"入池",$AS$17:$AS$99,AS81,$AQ$17:$AQ$99,"&gt;"&amp;AQ81)+COUNTIFS($G$17:G81,"入池",$AS$17:AS81,AS81,$AQ$17:AQ81,AQ81))</f>
        <v>75</v>
      </c>
      <c r="AU81" s="46" t="str">
        <f>IF(NOT(ISNUMBER(I81)),"管理人规模；","")&amp;IF(NOT(ISNUMBER(K81)),"产品规模标识；","")&amp;IF(NOT(ISNUMBER(M81)),"近一年收益；","")&amp;IF(NOT(ISNUMBER(T81)),"近一年胜率；","")&amp;IF(NOT(ISNUMBER(N81)),"近三年收益；","")&amp;IF(NOT(ISNUMBER(U81)),"近三年胜率；","")&amp;IF(NOT(ISNUMBER(AA81)),"近三年回撤；","")&amp;IF(NOT(ISNUMBER(AD81)),"近一年卡玛；","")&amp;IF(ISNUMBER(F81),IF(AND(F81&lt;'Sheet1-指标体系'!$J$16,NOT(ISNUMBER(O81))),"成立以来年化；",""),"成立日期；")&amp;IF(ISNUMBER(V81),IF(OR(V81&lt;0,V81&gt;1),"胜率窗口口径不一致；",""),"")&amp;IF(ISNUMBER(P81),IF(NOT(ISNUMBER(AE81)),"DD_long不可识别；",""),"")</f>
        <v/>
      </c>
      <c r="AV81" s="37">
        <f>IF(ABS(SUM(CA81:CK81)-'Sheet1-指标体系'!$J$25)&lt;0.0000000001,SUM(BP81:BZ81),"")</f>
        <v>34.2218</v>
      </c>
      <c r="AW81" s="36" t="str">
        <f>IF(G81&lt;&gt;"入池",G81,IF(AQ81=0,"无有效评分数据",IF(ROUND(AQ81,10)=ROUND('Sheet1-指标体系'!$J$25,10),"完整赋分","暂定分／数据不完整")))</f>
        <v>完整赋分</v>
      </c>
      <c r="AX81" s="22" t="str">
        <f>IF('Sheet4-原始数据'!C66="","",'Sheet4-原始数据'!C66)</f>
        <v>套利策略</v>
      </c>
      <c r="AY81" s="22" t="str">
        <f>IF('Sheet4-原始数据'!D66="","",'Sheet4-原始数据'!D66)</f>
        <v>可转债套利</v>
      </c>
      <c r="AZ81" s="22" t="str">
        <f>IF('Sheet5-查询核对'!S66="","",'Sheet5-查询核对'!S66)</f>
        <v>套利策略—可转债套利</v>
      </c>
      <c r="BA81" s="25">
        <f>IF('Sheet5-查询核对'!A66="","",'Sheet5-查询核对'!A66)</f>
        <v>66</v>
      </c>
      <c r="BB81" s="22" t="str">
        <f>IF('Sheet5-查询核对'!F66="","",'Sheet5-查询核对'!F66)</f>
        <v>备案号匹配</v>
      </c>
      <c r="BC81" s="24" t="str">
        <f>IF('Sheet5-查询核对'!I66="","",'Sheet5-查询核对'!I66)</f>
        <v>https://mp.fof99.com/fund/view/55e83c08d572e2a7</v>
      </c>
      <c r="BD81" s="23">
        <f>IF('Sheet5-查询核对'!H66="","",'Sheet5-查询核对'!H66)</f>
        <v>46269</v>
      </c>
      <c r="BE81" s="24" t="str">
        <f>IF('Sheet5-查询核对'!L66="","",'Sheet5-查询核对'!L66)</f>
        <v>https://gs.amac.org.cn/amac-infodisc/res/pof/manager/1708091719102142.html</v>
      </c>
      <c r="BF81" s="23">
        <f>IF('Sheet5-查询核对'!M66="","",'Sheet5-查询核对'!M66)</f>
        <v>46276</v>
      </c>
      <c r="BG81" s="24" t="str">
        <f>IF('Sheet5-查询核对'!O66="","",'Sheet5-查询核对'!O66)</f>
        <v>https://gs.amac.org.cn/amac-infodisc/res/pof/fund/2002251051107073.html</v>
      </c>
      <c r="BH81" s="23">
        <f>IF('Sheet5-查询核对'!P66="","",'Sheet5-查询核对'!P66)</f>
        <v>46276</v>
      </c>
      <c r="BI81" s="22" t="str">
        <f>IF('Sheet5-查询核对'!D66="","",'Sheet5-查询核对'!D66)</f>
        <v>SJQ683</v>
      </c>
      <c r="BJ81">
        <f>IF(ISNUMBER(AT81),AT81,COUNT($AT$17:$AT$99)+ROWS($AT$17:AT81)-COUNT($AT$17:AT81))</f>
        <v>75</v>
      </c>
      <c r="BK81" s="2">
        <f t="shared" ref="BK81:BK99" si="37">IF(G81="入池",IF(ISNUMBER(M81),1,0),0)</f>
        <v>1</v>
      </c>
      <c r="BL81" s="2">
        <f t="shared" ref="BL81:BL99" si="38">IF(G81="入池",IF(ISNUMBER(P81),1,0),0)</f>
        <v>1</v>
      </c>
      <c r="BM81" s="2">
        <f t="shared" ref="BM81:BM99" si="39">IF(G81="入池",IF(ISNUMBER(AB81),1,0),0)</f>
        <v>1</v>
      </c>
      <c r="BN81" s="2">
        <f t="shared" ref="BN81:BN99" si="40">IF(G81="入池",IF(ISNUMBER(AD81),1,0),0)</f>
        <v>1</v>
      </c>
      <c r="BO81" s="2">
        <f t="shared" ref="BO81:BO99" si="41">IF(G81="入池",IF(ISNUMBER(AF81),1,0),0)</f>
        <v>1</v>
      </c>
      <c r="BP81" s="48">
        <f>IF(G81="入池",IF(ISNUMBER(I81),I81*('Sheet1-指标体系'!$G$4),0),0)</f>
        <v>4.2</v>
      </c>
      <c r="BQ81" s="48">
        <f>IF(G81="入池",IF(ISNUMBER(K81),K81*('Sheet1-指标体系'!$G$5),0),0)</f>
        <v>4.5</v>
      </c>
      <c r="BR81" s="48">
        <f>IF(G81="入池",IF(ISNUMBER(L81),L81*('Sheet1-指标体系'!$G$6),0),0)</f>
        <v>4.5</v>
      </c>
      <c r="BS81" s="48">
        <f>IF(G81="入池",IF(ISNUMBER(Q81),Q81*('Sheet1-指标体系'!$G$7*'Sheet1-指标体系'!$J$8),0),0)</f>
        <v>0.58296</v>
      </c>
      <c r="BT81" s="48">
        <f>IF(G81="入池",IF(ISNUMBER(R81),R81*('Sheet1-指标体系'!$G$7*'Sheet1-指标体系'!$J$9),0),0)</f>
        <v>1.1032</v>
      </c>
      <c r="BU81" s="48">
        <f>IF(G81="入池",IF(ISNUMBER(W81),W81*('Sheet1-指标体系'!$G$8*'Sheet1-指标体系'!$J$8),0),0)</f>
        <v>2.21544</v>
      </c>
      <c r="BV81" s="48">
        <f>IF(G81="入池",IF(ISNUMBER(X81),X81*('Sheet1-指标体系'!$G$8*'Sheet1-指标体系'!$J$9),0),0)</f>
        <v>1.5998</v>
      </c>
      <c r="BW81" s="48">
        <f>IF(G81="入池",IF(ISNUMBER(AC81),AC81*('Sheet1-指标体系'!$G$9),0),0)</f>
        <v>0.675</v>
      </c>
      <c r="BX81" s="48">
        <f>IF(G81="入池",IF(ISNUMBER(AG81),AG81*('Sheet1-指标体系'!$G$10*'Sheet1-指标体系'!$J$8),0),0)</f>
        <v>6.8454</v>
      </c>
      <c r="BY81" s="48">
        <f>IF(G81="入池",IF(ISNUMBER(AH81),AH81*('Sheet1-指标体系'!$G$10*'Sheet1-指标体系'!$J$9),0),0)</f>
        <v>0</v>
      </c>
      <c r="BZ81" s="48">
        <f>IF(G81="入池",IF(ISNUMBER(AK81),AK81*('Sheet1-指标体系'!$G$11),0),0)</f>
        <v>8</v>
      </c>
      <c r="CA81" s="49">
        <f>IF(G81="入池",IF(ISNUMBER(I81),'Sheet1-指标体系'!$G$4,0),0)</f>
        <v>0.06</v>
      </c>
      <c r="CB81" s="49">
        <f>IF(G81="入池",IF(ISNUMBER(K81),'Sheet1-指标体系'!$G$5,0),0)</f>
        <v>0.045</v>
      </c>
      <c r="CC81" s="49">
        <f>IF(G81="入池",IF(ISNUMBER(L81),'Sheet1-指标体系'!$G$6,0),0)</f>
        <v>0.045</v>
      </c>
      <c r="CD81" s="49">
        <f>IF(G81="入池",IF(ISNUMBER(Q81),'Sheet1-指标体系'!$G$7*'Sheet1-指标体系'!$J$8,0),0)</f>
        <v>0.084</v>
      </c>
      <c r="CE81" s="49">
        <f>IF(G81="入池",IF(ISNUMBER(R81),'Sheet1-指标体系'!$G$7*'Sheet1-指标体系'!$J$9,0),0)</f>
        <v>0.056</v>
      </c>
      <c r="CF81" s="49">
        <f>IF(G81="入池",IF(ISNUMBER(W81),'Sheet1-指标体系'!$G$8*'Sheet1-指标体系'!$J$8,0),0)</f>
        <v>0.036</v>
      </c>
      <c r="CG81" s="49">
        <f>IF(G81="入池",IF(ISNUMBER(X81),'Sheet1-指标体系'!$G$8*'Sheet1-指标体系'!$J$9,0),0)</f>
        <v>0.024</v>
      </c>
      <c r="CH81" s="49">
        <f>IF(G81="入池",IF(ISNUMBER(AC81),'Sheet1-指标体系'!$G$9,0),0)</f>
        <v>0.25</v>
      </c>
      <c r="CI81" s="49">
        <f>IF(G81="入池",IF(ISNUMBER(AG81),'Sheet1-指标体系'!$G$10*'Sheet1-指标体系'!$J$8,0),0)</f>
        <v>0.18</v>
      </c>
      <c r="CJ81" s="49">
        <f>IF(G81="入池",IF(ISNUMBER(AH81),'Sheet1-指标体系'!$G$10*'Sheet1-指标体系'!$J$9,0),0)</f>
        <v>0.12</v>
      </c>
      <c r="CK81" s="49">
        <f>IF(G81="入池",IF(ISNUMBER(AK81),'Sheet1-指标体系'!$G$11,0),0)</f>
        <v>0.1</v>
      </c>
    </row>
    <row r="82" ht="44" customHeight="1" spans="1:89">
      <c r="A82" s="40">
        <f>'Sheet5-查询核对'!A67-1</f>
        <v>66</v>
      </c>
      <c r="B82" s="24" t="str">
        <f>IF('Sheet4-原始数据'!A67="",'Sheet5-查询核对'!B67,'Sheet4-原始数据'!A67)</f>
        <v>系数CTA套利五号</v>
      </c>
      <c r="C82" s="22" t="str">
        <f>IF('Sheet4-原始数据'!B67="","",'Sheet4-原始数据'!B67)</f>
        <v>SXT086</v>
      </c>
      <c r="D82" s="22" t="str">
        <f>IF('Sheet4-原始数据'!E67="","",'Sheet4-原始数据'!E67)</f>
        <v>上海系数投资</v>
      </c>
      <c r="E82" s="23">
        <f>IF('Sheet4-原始数据'!F67="","",'Sheet4-原始数据'!F67)</f>
        <v>44881</v>
      </c>
      <c r="F82" s="37">
        <f>IF(ISNUMBER(E82),ROUND(('Sheet1-指标体系'!$J$12-E82)/'Sheet1-指标体系'!$J$14,4),"")</f>
        <v>3.8166</v>
      </c>
      <c r="G82" s="36" t="str">
        <f>IF(C82="","未匹配",IF(NOT(ISNUMBER(F82)),"缺成立日期",IF(F82&lt;'Sheet1-指标体系'!$J$15,"不入池","入池")))</f>
        <v>入池</v>
      </c>
      <c r="H82" s="22" t="str">
        <f>IF('Sheet5-查询核对'!K67="","",'Sheet5-查询核对'!K67)</f>
        <v>0-5亿元</v>
      </c>
      <c r="I82" s="37">
        <f>IF(H82="","",IF(COUNTIF('Sheet1-指标体系'!$P$4:$P$10,H82)=0,"",INDEX('Sheet1-指标体系'!$Q$4:$Q$10,MATCH(H82,'Sheet1-指标体系'!$P$4:$P$10,0))))</f>
        <v>60</v>
      </c>
      <c r="J82" s="44" t="str">
        <f>IF(NOT(ISNUMBER('Sheet5-查询核对'!N67)),"",IF('Sheet5-查询核对'!N67=1,"低于"&amp;'Sheet1-指标体系'!$J$4&amp;"万元",IF('Sheet5-查询核对'!N67=0,"无低于"&amp;'Sheet1-指标体系'!$J$4&amp;"万元标识","")))</f>
        <v>无低于1000万元标识</v>
      </c>
      <c r="K82" s="37">
        <f>IF(NOT(ISNUMBER('Sheet5-查询核对'!N67)),"",IF('Sheet5-查询核对'!N67=1,'Sheet1-指标体系'!$J$21,IF('Sheet5-查询核对'!N67=0,'Sheet1-指标体系'!$J$18,"")))</f>
        <v>100</v>
      </c>
      <c r="L82" s="37">
        <f>IF(NOT(ISNUMBER(F82)),"",IF(F82&lt;'Sheet1-指标体系'!$J$15,"",IF(F82&lt;'Sheet1-指标体系'!$J$16,'Sheet1-指标体系'!$J$17,'Sheet1-指标体系'!$J$18)))</f>
        <v>100</v>
      </c>
      <c r="M82" s="26">
        <f>IF(ISNUMBER('Sheet4-原始数据'!G67),'Sheet4-原始数据'!G67,"")</f>
        <v>0.00652201582515199</v>
      </c>
      <c r="N82" s="26">
        <f>IF(ISNUMBER('Sheet4-原始数据'!H67),'Sheet4-原始数据'!H67,"")</f>
        <v>0.0926384246815495</v>
      </c>
      <c r="O82" s="26" t="str">
        <f>IF(ISNUMBER('Sheet5-查询核对'!Q67),'Sheet5-查询核对'!Q67,"")</f>
        <v/>
      </c>
      <c r="P82" s="45">
        <f>IF(G82&lt;&gt;"入池","",IF(F82&gt;='Sheet1-指标体系'!$J$16,IF(AND(ISNUMBER(M82),ISNUMBER(N82)),IF(AND(1+M82&gt;0,1+N82&gt;=0),((1+N82)^'Sheet1-指标体系'!$J$16/(1+M82))^(1/('Sheet1-指标体系'!$J$16-1))-1,""),""),IF(AND(ISNUMBER(M82),ISNUMBER(O82)),IF(AND(F82&gt;1,1+M82&gt;0,1+O82&gt;=0),((1+O82)^F82/(1+M82))^(1/(F82-1))-1,""),"")))</f>
        <v>0.138421435325445</v>
      </c>
      <c r="Q82" s="37">
        <f t="shared" si="21"/>
        <v>4.17</v>
      </c>
      <c r="R82" s="37">
        <f t="shared" si="22"/>
        <v>84.85</v>
      </c>
      <c r="S82" s="37">
        <f>IF(ISNUMBER(Q82),IF(ISNUMBER(R82),ROUND(Q82*'Sheet1-指标体系'!$J$8+R82*'Sheet1-指标体系'!$J$9,2),Q82),"")</f>
        <v>36.44</v>
      </c>
      <c r="T82" s="26">
        <f>IF(ISNUMBER('Sheet4-原始数据'!J67),'Sheet4-原始数据'!J67,"")</f>
        <v>0.461538461538462</v>
      </c>
      <c r="U82" s="26">
        <f>IF(ISNUMBER('Sheet4-原始数据'!I67),'Sheet4-原始数据'!I67,"")</f>
        <v>0.648648648648649</v>
      </c>
      <c r="V82" s="45">
        <f>IF(AND(ISNUMBER(T82),ISNUMBER(U82)),(U82*'Sheet1-指标体系'!$J$6-T82*'Sheet1-指标体系'!$J$5)/'Sheet1-指标体系'!$J$7,"")</f>
        <v>0.75</v>
      </c>
      <c r="W82" s="37">
        <f t="shared" si="23"/>
        <v>46.1538461538462</v>
      </c>
      <c r="X82" s="37">
        <f>IF(G82&lt;&gt;"入池","",IF(ISNUMBER(V82),IF(AND(V82&gt;=0,V82&lt;=1),V82*'Sheet1-指标体系'!$J$18,IF(MAX(0,(F82-'Sheet1-指标体系'!$J$15)*'Sheet1-指标体系'!$J$20)&lt;'Sheet1-指标体系'!$J$19,'Sheet1-指标体系'!$J$18,"")),IF(MAX(0,(F82-'Sheet1-指标体系'!$J$15)*'Sheet1-指标体系'!$J$20)&lt;'Sheet1-指标体系'!$J$19,'Sheet1-指标体系'!$J$18,"")))</f>
        <v>75</v>
      </c>
      <c r="Y82" s="37">
        <f>IF(ISNUMBER(W82),IF(ISNUMBER(X82),ROUND(W82*'Sheet1-指标体系'!$J$8+X82*'Sheet1-指标体系'!$J$9,2),W82),"")</f>
        <v>57.69</v>
      </c>
      <c r="Z82" s="45">
        <f t="shared" si="24"/>
        <v>0.0431149238278361</v>
      </c>
      <c r="AA82" s="26">
        <f>IF(ISNUMBER('Sheet4-原始数据'!K67),'Sheet4-原始数据'!K67,"")</f>
        <v>0.0431149238278361</v>
      </c>
      <c r="AB82" s="45">
        <f t="shared" si="25"/>
        <v>0.0431149238278361</v>
      </c>
      <c r="AC82" s="37">
        <f t="shared" si="26"/>
        <v>21.62</v>
      </c>
      <c r="AD82" s="30">
        <f>IF(ISNUMBER('Sheet4-原始数据'!M67),'Sheet4-原始数据'!M67,"")</f>
        <v>0.151270493975481</v>
      </c>
      <c r="AE82" s="45" t="str">
        <f>IF(AND(ISNUMBER(P82),ISNUMBER(AA82),ISNUMBER(Z82)),IF(AA82&gt;Z82+'Sheet1-指标体系'!$J$11,AA82,""),"")</f>
        <v/>
      </c>
      <c r="AF82" s="37" t="str">
        <f t="shared" si="27"/>
        <v/>
      </c>
      <c r="AG82" s="37">
        <f t="shared" si="28"/>
        <v>2.82</v>
      </c>
      <c r="AH82" s="37" t="str">
        <f t="shared" si="29"/>
        <v/>
      </c>
      <c r="AI82" s="37">
        <f>IF(ISNUMBER(AG82),IF(ISNUMBER(AH82),ROUND(AG82*'Sheet1-指标体系'!$J$8+AH82*'Sheet1-指标体系'!$J$9,2),AG82),"")</f>
        <v>2.82</v>
      </c>
      <c r="AJ82" s="45">
        <f>IF(NOT(ISNUMBER(F82)),"",IF(F82&gt;='Sheet1-指标体系'!$J$16,IF(ISNUMBER(N82),N82,""),IF(ISNUMBER(O82),O82,"")))</f>
        <v>0.0926384246815495</v>
      </c>
      <c r="AK82" s="37">
        <f>IF(AND(G82="入池",ISNUMBER(M82),ISNUMBER(AJ82)),IF(M82&gt;=AJ82,'Sheet1-指标体系'!$J$18,IF(AJ82-M82&lt;'Sheet1-指标体系'!$J$10,'Sheet1-指标体系'!$J$22,'Sheet1-指标体系'!$J$23)),"")</f>
        <v>80</v>
      </c>
      <c r="AL82" s="37">
        <f>IF((IF(ISNUMBER(I82),'Sheet1-指标体系'!$G$4,0)+IF(ISNUMBER(K82),'Sheet1-指标体系'!$G$5,0)+IF(ISNUMBER(L82),'Sheet1-指标体系'!$G$6,0))&gt;0,ROUND((IF(ISNUMBER(I82),I82*'Sheet1-指标体系'!$G$4,0)+IF(ISNUMBER(K82),K82*'Sheet1-指标体系'!$G$5,0)+IF(ISNUMBER(L82),L82*'Sheet1-指标体系'!$G$6,0))/(IF(ISNUMBER(I82),'Sheet1-指标体系'!$G$4,0)+IF(ISNUMBER(K82),'Sheet1-指标体系'!$G$5,0)+IF(ISNUMBER(L82),'Sheet1-指标体系'!$G$6,0)),2),"")</f>
        <v>84</v>
      </c>
      <c r="AM82" s="37">
        <f t="shared" si="30"/>
        <v>42.82</v>
      </c>
      <c r="AN82" s="37">
        <f t="shared" si="31"/>
        <v>21.62</v>
      </c>
      <c r="AO82" s="37">
        <f t="shared" si="32"/>
        <v>2.82</v>
      </c>
      <c r="AP82" s="37">
        <f t="shared" si="33"/>
        <v>80</v>
      </c>
      <c r="AQ82" s="38">
        <f t="shared" si="34"/>
        <v>0.88</v>
      </c>
      <c r="AR82" s="37">
        <f t="shared" si="35"/>
        <v>35.0760184615385</v>
      </c>
      <c r="AS82" s="37">
        <f t="shared" si="36"/>
        <v>39.86</v>
      </c>
      <c r="AT82" s="40">
        <f>IF(OR(G82&lt;&gt;"入池",NOT(ISNUMBER(AS82))),"",COUNTIFS($G$17:$G$99,"入池",$AS$17:$AS$99,"&gt;"&amp;AS82)+COUNTIFS($G$17:$G$99,"入池",$AS$17:$AS$99,AS82,$AQ$17:$AQ$99,"&gt;"&amp;AQ82)+COUNTIFS($G$17:G82,"入池",$AS$17:AS82,AS82,$AQ$17:AQ82,AQ82))</f>
        <v>70</v>
      </c>
      <c r="AU82" s="46" t="str">
        <f>IF(NOT(ISNUMBER(I82)),"管理人规模；","")&amp;IF(NOT(ISNUMBER(K82)),"产品规模标识；","")&amp;IF(NOT(ISNUMBER(M82)),"近一年收益；","")&amp;IF(NOT(ISNUMBER(T82)),"近一年胜率；","")&amp;IF(NOT(ISNUMBER(N82)),"近三年收益；","")&amp;IF(NOT(ISNUMBER(U82)),"近三年胜率；","")&amp;IF(NOT(ISNUMBER(AA82)),"近三年回撤；","")&amp;IF(NOT(ISNUMBER(AD82)),"近一年卡玛；","")&amp;IF(ISNUMBER(F82),IF(AND(F82&lt;'Sheet1-指标体系'!$J$16,NOT(ISNUMBER(O82))),"成立以来年化；",""),"成立日期；")&amp;IF(ISNUMBER(V82),IF(OR(V82&lt;0,V82&gt;1),"胜率窗口口径不一致；",""),"")&amp;IF(ISNUMBER(P82),IF(NOT(ISNUMBER(AE82)),"DD_long不可识别；",""),"")</f>
        <v>DD_long不可识别；</v>
      </c>
      <c r="AV82" s="37" t="str">
        <f>IF(ABS(SUM(CA82:CK82)-'Sheet1-指标体系'!$J$25)&lt;0.0000000001,SUM(BP82:BZ82),"")</f>
        <v/>
      </c>
      <c r="AW82" s="36" t="str">
        <f>IF(G82&lt;&gt;"入池",G82,IF(AQ82=0,"无有效评分数据",IF(ROUND(AQ82,10)=ROUND('Sheet1-指标体系'!$J$25,10),"完整赋分","暂定分／数据不完整")))</f>
        <v>暂定分／数据不完整</v>
      </c>
      <c r="AX82" s="22" t="str">
        <f>IF('Sheet4-原始数据'!C67="","",'Sheet4-原始数据'!C67)</f>
        <v>套利策略</v>
      </c>
      <c r="AY82" s="22" t="str">
        <f>IF('Sheet4-原始数据'!D67="","",'Sheet4-原始数据'!D67)</f>
        <v>期货套利</v>
      </c>
      <c r="AZ82" s="22" t="str">
        <f>IF('Sheet5-查询核对'!S67="","",'Sheet5-查询核对'!S67)</f>
        <v>套利策略—期货套利</v>
      </c>
      <c r="BA82" s="25">
        <f>IF('Sheet5-查询核对'!A67="","",'Sheet5-查询核对'!A67)</f>
        <v>67</v>
      </c>
      <c r="BB82" s="22" t="str">
        <f>IF('Sheet5-查询核对'!F67="","",'Sheet5-查询核对'!F67)</f>
        <v>备案号匹配</v>
      </c>
      <c r="BC82" s="24" t="str">
        <f>IF('Sheet5-查询核对'!I67="","",'Sheet5-查询核对'!I67)</f>
        <v>https://mp.fof99.com/fund/view/6c49b0993fc714bc</v>
      </c>
      <c r="BD82" s="23">
        <f>IF('Sheet5-查询核对'!H67="","",'Sheet5-查询核对'!H67)</f>
        <v>46269</v>
      </c>
      <c r="BE82" s="24" t="str">
        <f>IF('Sheet5-查询核对'!L67="","",'Sheet5-查询核对'!L67)</f>
        <v>https://gs.amac.org.cn/amac-infodisc/res/pof/manager/101000000497.html</v>
      </c>
      <c r="BF82" s="23">
        <f>IF('Sheet5-查询核对'!M67="","",'Sheet5-查询核对'!M67)</f>
        <v>46276</v>
      </c>
      <c r="BG82" s="24" t="str">
        <f>IF('Sheet5-查询核对'!O67="","",'Sheet5-查询核对'!O67)</f>
        <v>https://gs.amac.org.cn/amac-infodisc/res/pof/fund/2211221840100768.html</v>
      </c>
      <c r="BH82" s="23">
        <f>IF('Sheet5-查询核对'!P67="","",'Sheet5-查询核对'!P67)</f>
        <v>46276</v>
      </c>
      <c r="BI82" s="22" t="str">
        <f>IF('Sheet5-查询核对'!D67="","",'Sheet5-查询核对'!D67)</f>
        <v>SXT086</v>
      </c>
      <c r="BJ82">
        <f>IF(ISNUMBER(AT82),AT82,COUNT($AT$17:$AT$99)+ROWS($AT$17:AT82)-COUNT($AT$17:AT82))</f>
        <v>70</v>
      </c>
      <c r="BK82" s="2">
        <f t="shared" si="37"/>
        <v>1</v>
      </c>
      <c r="BL82" s="2">
        <f t="shared" si="38"/>
        <v>1</v>
      </c>
      <c r="BM82" s="2">
        <f t="shared" si="39"/>
        <v>1</v>
      </c>
      <c r="BN82" s="2">
        <f t="shared" si="40"/>
        <v>1</v>
      </c>
      <c r="BO82" s="2">
        <f t="shared" si="41"/>
        <v>0</v>
      </c>
      <c r="BP82" s="48">
        <f>IF(G82="入池",IF(ISNUMBER(I82),I82*('Sheet1-指标体系'!$G$4),0),0)</f>
        <v>3.6</v>
      </c>
      <c r="BQ82" s="48">
        <f>IF(G82="入池",IF(ISNUMBER(K82),K82*('Sheet1-指标体系'!$G$5),0),0)</f>
        <v>4.5</v>
      </c>
      <c r="BR82" s="48">
        <f>IF(G82="入池",IF(ISNUMBER(L82),L82*('Sheet1-指标体系'!$G$6),0),0)</f>
        <v>4.5</v>
      </c>
      <c r="BS82" s="48">
        <f>IF(G82="入池",IF(ISNUMBER(Q82),Q82*('Sheet1-指标体系'!$G$7*'Sheet1-指标体系'!$J$8),0),0)</f>
        <v>0.35028</v>
      </c>
      <c r="BT82" s="48">
        <f>IF(G82="入池",IF(ISNUMBER(R82),R82*('Sheet1-指标体系'!$G$7*'Sheet1-指标体系'!$J$9),0),0)</f>
        <v>4.7516</v>
      </c>
      <c r="BU82" s="48">
        <f>IF(G82="入池",IF(ISNUMBER(W82),W82*('Sheet1-指标体系'!$G$8*'Sheet1-指标体系'!$J$8),0),0)</f>
        <v>1.66153846153846</v>
      </c>
      <c r="BV82" s="48">
        <f>IF(G82="入池",IF(ISNUMBER(X82),X82*('Sheet1-指标体系'!$G$8*'Sheet1-指标体系'!$J$9),0),0)</f>
        <v>1.8</v>
      </c>
      <c r="BW82" s="48">
        <f>IF(G82="入池",IF(ISNUMBER(AC82),AC82*('Sheet1-指标体系'!$G$9),0),0)</f>
        <v>5.405</v>
      </c>
      <c r="BX82" s="48">
        <f>IF(G82="入池",IF(ISNUMBER(AG82),AG82*('Sheet1-指标体系'!$G$10*'Sheet1-指标体系'!$J$8),0),0)</f>
        <v>0.5076</v>
      </c>
      <c r="BY82" s="48">
        <f>IF(G82="入池",IF(ISNUMBER(AH82),AH82*('Sheet1-指标体系'!$G$10*'Sheet1-指标体系'!$J$9),0),0)</f>
        <v>0</v>
      </c>
      <c r="BZ82" s="48">
        <f>IF(G82="入池",IF(ISNUMBER(AK82),AK82*('Sheet1-指标体系'!$G$11),0),0)</f>
        <v>8</v>
      </c>
      <c r="CA82" s="49">
        <f>IF(G82="入池",IF(ISNUMBER(I82),'Sheet1-指标体系'!$G$4,0),0)</f>
        <v>0.06</v>
      </c>
      <c r="CB82" s="49">
        <f>IF(G82="入池",IF(ISNUMBER(K82),'Sheet1-指标体系'!$G$5,0),0)</f>
        <v>0.045</v>
      </c>
      <c r="CC82" s="49">
        <f>IF(G82="入池",IF(ISNUMBER(L82),'Sheet1-指标体系'!$G$6,0),0)</f>
        <v>0.045</v>
      </c>
      <c r="CD82" s="49">
        <f>IF(G82="入池",IF(ISNUMBER(Q82),'Sheet1-指标体系'!$G$7*'Sheet1-指标体系'!$J$8,0),0)</f>
        <v>0.084</v>
      </c>
      <c r="CE82" s="49">
        <f>IF(G82="入池",IF(ISNUMBER(R82),'Sheet1-指标体系'!$G$7*'Sheet1-指标体系'!$J$9,0),0)</f>
        <v>0.056</v>
      </c>
      <c r="CF82" s="49">
        <f>IF(G82="入池",IF(ISNUMBER(W82),'Sheet1-指标体系'!$G$8*'Sheet1-指标体系'!$J$8,0),0)</f>
        <v>0.036</v>
      </c>
      <c r="CG82" s="49">
        <f>IF(G82="入池",IF(ISNUMBER(X82),'Sheet1-指标体系'!$G$8*'Sheet1-指标体系'!$J$9,0),0)</f>
        <v>0.024</v>
      </c>
      <c r="CH82" s="49">
        <f>IF(G82="入池",IF(ISNUMBER(AC82),'Sheet1-指标体系'!$G$9,0),0)</f>
        <v>0.25</v>
      </c>
      <c r="CI82" s="49">
        <f>IF(G82="入池",IF(ISNUMBER(AG82),'Sheet1-指标体系'!$G$10*'Sheet1-指标体系'!$J$8,0),0)</f>
        <v>0.18</v>
      </c>
      <c r="CJ82" s="49">
        <f>IF(G82="入池",IF(ISNUMBER(AH82),'Sheet1-指标体系'!$G$10*'Sheet1-指标体系'!$J$9,0),0)</f>
        <v>0</v>
      </c>
      <c r="CK82" s="49">
        <f>IF(G82="入池",IF(ISNUMBER(AK82),'Sheet1-指标体系'!$G$11,0),0)</f>
        <v>0.1</v>
      </c>
    </row>
    <row r="83" ht="44" customHeight="1" spans="1:89">
      <c r="A83" s="40">
        <f>'Sheet5-查询核对'!A68-1</f>
        <v>67</v>
      </c>
      <c r="B83" s="24" t="str">
        <f>IF('Sheet4-原始数据'!A68="",'Sheet5-查询核对'!B68,'Sheet4-原始数据'!A68)</f>
        <v>悬铃C号</v>
      </c>
      <c r="C83" s="22" t="str">
        <f>IF('Sheet4-原始数据'!B68="","",'Sheet4-原始数据'!B68)</f>
        <v>SEK201</v>
      </c>
      <c r="D83" s="22" t="str">
        <f>IF('Sheet4-原始数据'!E68="","",'Sheet4-原始数据'!E68)</f>
        <v>上海悬铃</v>
      </c>
      <c r="E83" s="23">
        <f>IF('Sheet4-原始数据'!F68="","",'Sheet4-原始数据'!F68)</f>
        <v>43423</v>
      </c>
      <c r="F83" s="37">
        <f>IF(ISNUMBER(E83),ROUND(('Sheet1-指标体系'!$J$12-E83)/'Sheet1-指标体系'!$J$14,4),"")</f>
        <v>7.8084</v>
      </c>
      <c r="G83" s="36" t="str">
        <f>IF(C83="","未匹配",IF(NOT(ISNUMBER(F83)),"缺成立日期",IF(F83&lt;'Sheet1-指标体系'!$J$15,"不入池","入池")))</f>
        <v>入池</v>
      </c>
      <c r="H83" s="22" t="str">
        <f>IF('Sheet5-查询核对'!K68="","",'Sheet5-查询核对'!K68)</f>
        <v>20-50亿元</v>
      </c>
      <c r="I83" s="37">
        <f>IF(H83="","",IF(COUNTIF('Sheet1-指标体系'!$P$4:$P$10,H83)=0,"",INDEX('Sheet1-指标体系'!$Q$4:$Q$10,MATCH(H83,'Sheet1-指标体系'!$P$4:$P$10,0))))</f>
        <v>90</v>
      </c>
      <c r="J83" s="44" t="str">
        <f>IF(NOT(ISNUMBER('Sheet5-查询核对'!N68)),"",IF('Sheet5-查询核对'!N68=1,"低于"&amp;'Sheet1-指标体系'!$J$4&amp;"万元",IF('Sheet5-查询核对'!N68=0,"无低于"&amp;'Sheet1-指标体系'!$J$4&amp;"万元标识","")))</f>
        <v>无低于1000万元标识</v>
      </c>
      <c r="K83" s="37">
        <f>IF(NOT(ISNUMBER('Sheet5-查询核对'!N68)),"",IF('Sheet5-查询核对'!N68=1,'Sheet1-指标体系'!$J$21,IF('Sheet5-查询核对'!N68=0,'Sheet1-指标体系'!$J$18,"")))</f>
        <v>100</v>
      </c>
      <c r="L83" s="37">
        <f>IF(NOT(ISNUMBER(F83)),"",IF(F83&lt;'Sheet1-指标体系'!$J$15,"",IF(F83&lt;'Sheet1-指标体系'!$J$16,'Sheet1-指标体系'!$J$17,'Sheet1-指标体系'!$J$18)))</f>
        <v>100</v>
      </c>
      <c r="M83" s="26" t="str">
        <f>IF(ISNUMBER('Sheet4-原始数据'!G68),'Sheet4-原始数据'!G68,"")</f>
        <v/>
      </c>
      <c r="N83" s="26">
        <f>IF(ISNUMBER('Sheet4-原始数据'!H68),'Sheet4-原始数据'!H68,"")</f>
        <v>0.0638</v>
      </c>
      <c r="O83" s="26">
        <f>IF(ISNUMBER('Sheet5-查询核对'!Q68),'Sheet5-查询核对'!Q68,"")</f>
        <v>0.126</v>
      </c>
      <c r="P83" s="45" t="str">
        <f>IF(G83&lt;&gt;"入池","",IF(F83&gt;='Sheet1-指标体系'!$J$16,IF(AND(ISNUMBER(M83),ISNUMBER(N83)),IF(AND(1+M83&gt;0,1+N83&gt;=0),((1+N83)^'Sheet1-指标体系'!$J$16/(1+M83))^(1/('Sheet1-指标体系'!$J$16-1))-1,""),""),IF(AND(ISNUMBER(M83),ISNUMBER(O83)),IF(AND(F83&gt;1,1+M83&gt;0,1+O83&gt;=0),((1+O83)^F83/(1+M83))^(1/(F83-1))-1,""),"")))</f>
        <v/>
      </c>
      <c r="Q83" s="37" t="str">
        <f t="shared" si="21"/>
        <v/>
      </c>
      <c r="R83" s="37" t="str">
        <f t="shared" si="22"/>
        <v/>
      </c>
      <c r="S83" s="37" t="str">
        <f>IF(ISNUMBER(Q83),IF(ISNUMBER(R83),ROUND(Q83*'Sheet1-指标体系'!$J$8+R83*'Sheet1-指标体系'!$J$9,2),Q83),"")</f>
        <v/>
      </c>
      <c r="T83" s="26" t="str">
        <f>IF(ISNUMBER('Sheet4-原始数据'!J68),'Sheet4-原始数据'!J68,"")</f>
        <v/>
      </c>
      <c r="U83" s="26">
        <f>IF(ISNUMBER('Sheet4-原始数据'!I68),'Sheet4-原始数据'!I68,"")</f>
        <v>0.5</v>
      </c>
      <c r="V83" s="45" t="str">
        <f>IF(AND(ISNUMBER(T83),ISNUMBER(U83)),(U83*'Sheet1-指标体系'!$J$6-T83*'Sheet1-指标体系'!$J$5)/'Sheet1-指标体系'!$J$7,"")</f>
        <v/>
      </c>
      <c r="W83" s="37" t="str">
        <f t="shared" si="23"/>
        <v/>
      </c>
      <c r="X83" s="37" t="str">
        <f>IF(G83&lt;&gt;"入池","",IF(ISNUMBER(V83),IF(AND(V83&gt;=0,V83&lt;=1),V83*'Sheet1-指标体系'!$J$18,IF(MAX(0,(F83-'Sheet1-指标体系'!$J$15)*'Sheet1-指标体系'!$J$20)&lt;'Sheet1-指标体系'!$J$19,'Sheet1-指标体系'!$J$18,"")),IF(MAX(0,(F83-'Sheet1-指标体系'!$J$15)*'Sheet1-指标体系'!$J$20)&lt;'Sheet1-指标体系'!$J$19,'Sheet1-指标体系'!$J$18,"")))</f>
        <v/>
      </c>
      <c r="Y83" s="37" t="str">
        <f>IF(ISNUMBER(W83),IF(ISNUMBER(X83),ROUND(W83*'Sheet1-指标体系'!$J$8+X83*'Sheet1-指标体系'!$J$9,2),W83),"")</f>
        <v/>
      </c>
      <c r="Z83" s="45" t="str">
        <f t="shared" si="24"/>
        <v/>
      </c>
      <c r="AA83" s="26">
        <f>IF(ISNUMBER('Sheet4-原始数据'!K68),'Sheet4-原始数据'!K68,"")</f>
        <v>0.0561</v>
      </c>
      <c r="AB83" s="45">
        <f t="shared" si="25"/>
        <v>0.0561</v>
      </c>
      <c r="AC83" s="37">
        <f t="shared" si="26"/>
        <v>13.51</v>
      </c>
      <c r="AD83" s="30" t="str">
        <f>IF(ISNUMBER('Sheet4-原始数据'!M68),'Sheet4-原始数据'!M68,"")</f>
        <v/>
      </c>
      <c r="AE83" s="45" t="str">
        <f>IF(AND(ISNUMBER(P83),ISNUMBER(AA83),ISNUMBER(Z83)),IF(AA83&gt;Z83+'Sheet1-指标体系'!$J$11,AA83,""),"")</f>
        <v/>
      </c>
      <c r="AF83" s="37" t="str">
        <f t="shared" si="27"/>
        <v/>
      </c>
      <c r="AG83" s="37" t="str">
        <f t="shared" si="28"/>
        <v/>
      </c>
      <c r="AH83" s="37" t="str">
        <f t="shared" si="29"/>
        <v/>
      </c>
      <c r="AI83" s="37" t="str">
        <f>IF(ISNUMBER(AG83),IF(ISNUMBER(AH83),ROUND(AG83*'Sheet1-指标体系'!$J$8+AH83*'Sheet1-指标体系'!$J$9,2),AG83),"")</f>
        <v/>
      </c>
      <c r="AJ83" s="45">
        <f>IF(NOT(ISNUMBER(F83)),"",IF(F83&gt;='Sheet1-指标体系'!$J$16,IF(ISNUMBER(N83),N83,""),IF(ISNUMBER(O83),O83,"")))</f>
        <v>0.0638</v>
      </c>
      <c r="AK83" s="37" t="str">
        <f>IF(AND(G83="入池",ISNUMBER(M83),ISNUMBER(AJ83)),IF(M83&gt;=AJ83,'Sheet1-指标体系'!$J$18,IF(AJ83-M83&lt;'Sheet1-指标体系'!$J$10,'Sheet1-指标体系'!$J$22,'Sheet1-指标体系'!$J$23)),"")</f>
        <v/>
      </c>
      <c r="AL83" s="37">
        <f>IF((IF(ISNUMBER(I83),'Sheet1-指标体系'!$G$4,0)+IF(ISNUMBER(K83),'Sheet1-指标体系'!$G$5,0)+IF(ISNUMBER(L83),'Sheet1-指标体系'!$G$6,0))&gt;0,ROUND((IF(ISNUMBER(I83),I83*'Sheet1-指标体系'!$G$4,0)+IF(ISNUMBER(K83),K83*'Sheet1-指标体系'!$G$5,0)+IF(ISNUMBER(L83),L83*'Sheet1-指标体系'!$G$6,0))/(IF(ISNUMBER(I83),'Sheet1-指标体系'!$G$4,0)+IF(ISNUMBER(K83),'Sheet1-指标体系'!$G$5,0)+IF(ISNUMBER(L83),'Sheet1-指标体系'!$G$6,0)),2),"")</f>
        <v>96</v>
      </c>
      <c r="AM83" s="37" t="str">
        <f t="shared" si="30"/>
        <v/>
      </c>
      <c r="AN83" s="37">
        <f t="shared" si="31"/>
        <v>13.51</v>
      </c>
      <c r="AO83" s="37" t="str">
        <f t="shared" si="32"/>
        <v/>
      </c>
      <c r="AP83" s="37" t="str">
        <f t="shared" si="33"/>
        <v/>
      </c>
      <c r="AQ83" s="38">
        <f t="shared" si="34"/>
        <v>0.4</v>
      </c>
      <c r="AR83" s="37">
        <f t="shared" si="35"/>
        <v>17.7775</v>
      </c>
      <c r="AS83" s="37">
        <f t="shared" si="36"/>
        <v>44.44</v>
      </c>
      <c r="AT83" s="40">
        <f>IF(OR(G83&lt;&gt;"入池",NOT(ISNUMBER(AS83))),"",COUNTIFS($G$17:$G$99,"入池",$AS$17:$AS$99,"&gt;"&amp;AS83)+COUNTIFS($G$17:$G$99,"入池",$AS$17:$AS$99,AS83,$AQ$17:$AQ$99,"&gt;"&amp;AQ83)+COUNTIFS($G$17:G83,"入池",$AS$17:AS83,AS83,$AQ$17:AQ83,AQ83))</f>
        <v>64</v>
      </c>
      <c r="AU83" s="46" t="str">
        <f>IF(NOT(ISNUMBER(I83)),"管理人规模；","")&amp;IF(NOT(ISNUMBER(K83)),"产品规模标识；","")&amp;IF(NOT(ISNUMBER(M83)),"近一年收益；","")&amp;IF(NOT(ISNUMBER(T83)),"近一年胜率；","")&amp;IF(NOT(ISNUMBER(N83)),"近三年收益；","")&amp;IF(NOT(ISNUMBER(U83)),"近三年胜率；","")&amp;IF(NOT(ISNUMBER(AA83)),"近三年回撤；","")&amp;IF(NOT(ISNUMBER(AD83)),"近一年卡玛；","")&amp;IF(ISNUMBER(F83),IF(AND(F83&lt;'Sheet1-指标体系'!$J$16,NOT(ISNUMBER(O83))),"成立以来年化；",""),"成立日期；")&amp;IF(ISNUMBER(V83),IF(OR(V83&lt;0,V83&gt;1),"胜率窗口口径不一致；",""),"")&amp;IF(ISNUMBER(P83),IF(NOT(ISNUMBER(AE83)),"DD_long不可识别；",""),"")</f>
        <v>近一年收益；近一年胜率；近一年卡玛；</v>
      </c>
      <c r="AV83" s="37" t="str">
        <f>IF(ABS(SUM(CA83:CK83)-'Sheet1-指标体系'!$J$25)&lt;0.0000000001,SUM(BP83:BZ83),"")</f>
        <v/>
      </c>
      <c r="AW83" s="36" t="str">
        <f>IF(G83&lt;&gt;"入池",G83,IF(AQ83=0,"无有效评分数据",IF(ROUND(AQ83,10)=ROUND('Sheet1-指标体系'!$J$25,10),"完整赋分","暂定分／数据不完整")))</f>
        <v>暂定分／数据不完整</v>
      </c>
      <c r="AX83" s="22" t="str">
        <f>IF('Sheet4-原始数据'!C68="","",'Sheet4-原始数据'!C68)</f>
        <v>套利策略</v>
      </c>
      <c r="AY83" s="22" t="str">
        <f>IF('Sheet4-原始数据'!D68="","",'Sheet4-原始数据'!D68)</f>
        <v>可转债套利</v>
      </c>
      <c r="AZ83" s="22" t="str">
        <f>IF('Sheet5-查询核对'!S68="","",'Sheet5-查询核对'!S68)</f>
        <v>套利策略—可转债套利</v>
      </c>
      <c r="BA83" s="25">
        <f>IF('Sheet5-查询核对'!A68="","",'Sheet5-查询核对'!A68)</f>
        <v>68</v>
      </c>
      <c r="BB83" s="22" t="str">
        <f>IF('Sheet5-查询核对'!F68="","",'Sheet5-查询核对'!F68)</f>
        <v>备案号匹配</v>
      </c>
      <c r="BC83" s="24" t="str">
        <f>IF('Sheet5-查询核对'!I68="","",'Sheet5-查询核对'!I68)</f>
        <v>https://mp.fof99.com/fund/view/858f6f879edbd061</v>
      </c>
      <c r="BD83" s="23">
        <f>IF('Sheet5-查询核对'!H68="","",'Sheet5-查询核对'!H68)</f>
        <v>46269</v>
      </c>
      <c r="BE83" s="24" t="str">
        <f>IF('Sheet5-查询核对'!L68="","",'Sheet5-查询核对'!L68)</f>
        <v>https://gs.amac.org.cn/amac-infodisc/res/pof/manager/1701161209103763.html</v>
      </c>
      <c r="BF83" s="23">
        <f>IF('Sheet5-查询核对'!M68="","",'Sheet5-查询核对'!M68)</f>
        <v>46276</v>
      </c>
      <c r="BG83" s="24" t="str">
        <f>IF('Sheet5-查询核对'!O68="","",'Sheet5-查询核对'!O68)</f>
        <v>https://gs.amac.org.cn/amac-infodisc/res/pof/fund/1811231733101523.html</v>
      </c>
      <c r="BH83" s="23">
        <f>IF('Sheet5-查询核对'!P68="","",'Sheet5-查询核对'!P68)</f>
        <v>46276</v>
      </c>
      <c r="BI83" s="22" t="str">
        <f>IF('Sheet5-查询核对'!D68="","",'Sheet5-查询核对'!D68)</f>
        <v>SEK201</v>
      </c>
      <c r="BJ83">
        <f>IF(ISNUMBER(AT83),AT83,COUNT($AT$17:$AT$99)+ROWS($AT$17:AT83)-COUNT($AT$17:AT83))</f>
        <v>64</v>
      </c>
      <c r="BK83" s="2">
        <f t="shared" si="37"/>
        <v>0</v>
      </c>
      <c r="BL83" s="2">
        <f t="shared" si="38"/>
        <v>0</v>
      </c>
      <c r="BM83" s="2">
        <f t="shared" si="39"/>
        <v>1</v>
      </c>
      <c r="BN83" s="2">
        <f t="shared" si="40"/>
        <v>0</v>
      </c>
      <c r="BO83" s="2">
        <f t="shared" si="41"/>
        <v>0</v>
      </c>
      <c r="BP83" s="48">
        <f>IF(G83="入池",IF(ISNUMBER(I83),I83*('Sheet1-指标体系'!$G$4),0),0)</f>
        <v>5.4</v>
      </c>
      <c r="BQ83" s="48">
        <f>IF(G83="入池",IF(ISNUMBER(K83),K83*('Sheet1-指标体系'!$G$5),0),0)</f>
        <v>4.5</v>
      </c>
      <c r="BR83" s="48">
        <f>IF(G83="入池",IF(ISNUMBER(L83),L83*('Sheet1-指标体系'!$G$6),0),0)</f>
        <v>4.5</v>
      </c>
      <c r="BS83" s="48">
        <f>IF(G83="入池",IF(ISNUMBER(Q83),Q83*('Sheet1-指标体系'!$G$7*'Sheet1-指标体系'!$J$8),0),0)</f>
        <v>0</v>
      </c>
      <c r="BT83" s="48">
        <f>IF(G83="入池",IF(ISNUMBER(R83),R83*('Sheet1-指标体系'!$G$7*'Sheet1-指标体系'!$J$9),0),0)</f>
        <v>0</v>
      </c>
      <c r="BU83" s="48">
        <f>IF(G83="入池",IF(ISNUMBER(W83),W83*('Sheet1-指标体系'!$G$8*'Sheet1-指标体系'!$J$8),0),0)</f>
        <v>0</v>
      </c>
      <c r="BV83" s="48">
        <f>IF(G83="入池",IF(ISNUMBER(X83),X83*('Sheet1-指标体系'!$G$8*'Sheet1-指标体系'!$J$9),0),0)</f>
        <v>0</v>
      </c>
      <c r="BW83" s="48">
        <f>IF(G83="入池",IF(ISNUMBER(AC83),AC83*('Sheet1-指标体系'!$G$9),0),0)</f>
        <v>3.3775</v>
      </c>
      <c r="BX83" s="48">
        <f>IF(G83="入池",IF(ISNUMBER(AG83),AG83*('Sheet1-指标体系'!$G$10*'Sheet1-指标体系'!$J$8),0),0)</f>
        <v>0</v>
      </c>
      <c r="BY83" s="48">
        <f>IF(G83="入池",IF(ISNUMBER(AH83),AH83*('Sheet1-指标体系'!$G$10*'Sheet1-指标体系'!$J$9),0),0)</f>
        <v>0</v>
      </c>
      <c r="BZ83" s="48">
        <f>IF(G83="入池",IF(ISNUMBER(AK83),AK83*('Sheet1-指标体系'!$G$11),0),0)</f>
        <v>0</v>
      </c>
      <c r="CA83" s="49">
        <f>IF(G83="入池",IF(ISNUMBER(I83),'Sheet1-指标体系'!$G$4,0),0)</f>
        <v>0.06</v>
      </c>
      <c r="CB83" s="49">
        <f>IF(G83="入池",IF(ISNUMBER(K83),'Sheet1-指标体系'!$G$5,0),0)</f>
        <v>0.045</v>
      </c>
      <c r="CC83" s="49">
        <f>IF(G83="入池",IF(ISNUMBER(L83),'Sheet1-指标体系'!$G$6,0),0)</f>
        <v>0.045</v>
      </c>
      <c r="CD83" s="49">
        <f>IF(G83="入池",IF(ISNUMBER(Q83),'Sheet1-指标体系'!$G$7*'Sheet1-指标体系'!$J$8,0),0)</f>
        <v>0</v>
      </c>
      <c r="CE83" s="49">
        <f>IF(G83="入池",IF(ISNUMBER(R83),'Sheet1-指标体系'!$G$7*'Sheet1-指标体系'!$J$9,0),0)</f>
        <v>0</v>
      </c>
      <c r="CF83" s="49">
        <f>IF(G83="入池",IF(ISNUMBER(W83),'Sheet1-指标体系'!$G$8*'Sheet1-指标体系'!$J$8,0),0)</f>
        <v>0</v>
      </c>
      <c r="CG83" s="49">
        <f>IF(G83="入池",IF(ISNUMBER(X83),'Sheet1-指标体系'!$G$8*'Sheet1-指标体系'!$J$9,0),0)</f>
        <v>0</v>
      </c>
      <c r="CH83" s="49">
        <f>IF(G83="入池",IF(ISNUMBER(AC83),'Sheet1-指标体系'!$G$9,0),0)</f>
        <v>0.25</v>
      </c>
      <c r="CI83" s="49">
        <f>IF(G83="入池",IF(ISNUMBER(AG83),'Sheet1-指标体系'!$G$10*'Sheet1-指标体系'!$J$8,0),0)</f>
        <v>0</v>
      </c>
      <c r="CJ83" s="49">
        <f>IF(G83="入池",IF(ISNUMBER(AH83),'Sheet1-指标体系'!$G$10*'Sheet1-指标体系'!$J$9,0),0)</f>
        <v>0</v>
      </c>
      <c r="CK83" s="49">
        <f>IF(G83="入池",IF(ISNUMBER(AK83),'Sheet1-指标体系'!$G$11,0),0)</f>
        <v>0</v>
      </c>
    </row>
    <row r="84" ht="44" customHeight="1" spans="1:89">
      <c r="A84" s="40">
        <f>'Sheet5-查询核对'!A69-1</f>
        <v>68</v>
      </c>
      <c r="B84" s="24" t="str">
        <f>IF('Sheet4-原始数据'!A69="",'Sheet5-查询核对'!B69,'Sheet4-原始数据'!A69)</f>
        <v>英旷专享2号A类</v>
      </c>
      <c r="C84" s="22" t="str">
        <f>IF('Sheet4-原始数据'!B69="","",'Sheet4-原始数据'!B69)</f>
        <v>AKV28A</v>
      </c>
      <c r="D84" s="22" t="str">
        <f>IF('Sheet4-原始数据'!E69="","",'Sheet4-原始数据'!E69)</f>
        <v>上海英旷资管</v>
      </c>
      <c r="E84" s="23">
        <f>IF('Sheet4-原始数据'!F69="","",'Sheet4-原始数据'!F69)</f>
        <v>45441</v>
      </c>
      <c r="F84" s="37">
        <f>IF(ISNUMBER(E84),ROUND(('Sheet1-指标体系'!$J$12-E84)/'Sheet1-指标体系'!$J$14,4),"")</f>
        <v>2.2834</v>
      </c>
      <c r="G84" s="36" t="str">
        <f>IF(C84="","未匹配",IF(NOT(ISNUMBER(F84)),"缺成立日期",IF(F84&lt;'Sheet1-指标体系'!$J$15,"不入池","入池")))</f>
        <v>入池</v>
      </c>
      <c r="H84" s="22" t="str">
        <f>IF('Sheet5-查询核对'!K69="","",'Sheet5-查询核对'!K69)</f>
        <v>10-20亿元</v>
      </c>
      <c r="I84" s="37">
        <f>IF(H84="","",IF(COUNTIF('Sheet1-指标体系'!$P$4:$P$10,H84)=0,"",INDEX('Sheet1-指标体系'!$Q$4:$Q$10,MATCH(H84,'Sheet1-指标体系'!$P$4:$P$10,0))))</f>
        <v>80</v>
      </c>
      <c r="J84" s="44" t="str">
        <f>IF(NOT(ISNUMBER('Sheet5-查询核对'!N69)),"",IF('Sheet5-查询核对'!N69=1,"低于"&amp;'Sheet1-指标体系'!$J$4&amp;"万元",IF('Sheet5-查询核对'!N69=0,"无低于"&amp;'Sheet1-指标体系'!$J$4&amp;"万元标识","")))</f>
        <v/>
      </c>
      <c r="K84" s="37" t="str">
        <f>IF(NOT(ISNUMBER('Sheet5-查询核对'!N69)),"",IF('Sheet5-查询核对'!N69=1,'Sheet1-指标体系'!$J$21,IF('Sheet5-查询核对'!N69=0,'Sheet1-指标体系'!$J$18,"")))</f>
        <v/>
      </c>
      <c r="L84" s="37">
        <f>IF(NOT(ISNUMBER(F84)),"",IF(F84&lt;'Sheet1-指标体系'!$J$15,"",IF(F84&lt;'Sheet1-指标体系'!$J$16,'Sheet1-指标体系'!$J$17,'Sheet1-指标体系'!$J$18)))</f>
        <v>70</v>
      </c>
      <c r="M84" s="26">
        <f>IF(ISNUMBER('Sheet4-原始数据'!G69),'Sheet4-原始数据'!G69,"")</f>
        <v>0.087</v>
      </c>
      <c r="N84" s="26" t="str">
        <f>IF(ISNUMBER('Sheet4-原始数据'!H69),'Sheet4-原始数据'!H69,"")</f>
        <v/>
      </c>
      <c r="O84" s="26">
        <f>IF(ISNUMBER('Sheet5-查询核对'!Q69),'Sheet5-查询核对'!Q69,"")</f>
        <v>0.0733</v>
      </c>
      <c r="P84" s="45">
        <f>IF(G84&lt;&gt;"入池","",IF(F84&gt;='Sheet1-指标体系'!$J$16,IF(AND(ISNUMBER(M84),ISNUMBER(N84)),IF(AND(1+M84&gt;0,1+N84&gt;=0),((1+N84)^'Sheet1-指标体系'!$J$16/(1+M84))^(1/('Sheet1-指标体系'!$J$16-1))-1,""),""),IF(AND(ISNUMBER(M84),ISNUMBER(O84)),IF(AND(F84&gt;1,1+M84&gt;0,1+O84&gt;=0),((1+O84)^F84/(1+M84))^(1/(F84-1))-1,""),"")))</f>
        <v>0.0627450262635478</v>
      </c>
      <c r="Q84" s="37">
        <f t="shared" si="21"/>
        <v>50</v>
      </c>
      <c r="R84" s="37">
        <f t="shared" si="22"/>
        <v>39.39</v>
      </c>
      <c r="S84" s="37">
        <f>IF(ISNUMBER(Q84),IF(ISNUMBER(R84),ROUND(Q84*'Sheet1-指标体系'!$J$8+R84*'Sheet1-指标体系'!$J$9,2),Q84),"")</f>
        <v>45.76</v>
      </c>
      <c r="T84" s="26">
        <f>IF(ISNUMBER('Sheet4-原始数据'!J69),'Sheet4-原始数据'!J69,"")</f>
        <v>0.7692</v>
      </c>
      <c r="U84" s="26" t="str">
        <f>IF(ISNUMBER('Sheet4-原始数据'!I69),'Sheet4-原始数据'!I69,"")</f>
        <v/>
      </c>
      <c r="V84" s="45" t="str">
        <f>IF(AND(ISNUMBER(T84),ISNUMBER(U84)),(U84*'Sheet1-指标体系'!$J$6-T84*'Sheet1-指标体系'!$J$5)/'Sheet1-指标体系'!$J$7,"")</f>
        <v/>
      </c>
      <c r="W84" s="37">
        <f t="shared" si="23"/>
        <v>76.92</v>
      </c>
      <c r="X84" s="37" t="str">
        <f>IF(G84&lt;&gt;"入池","",IF(ISNUMBER(V84),IF(AND(V84&gt;=0,V84&lt;=1),V84*'Sheet1-指标体系'!$J$18,IF(MAX(0,(F84-'Sheet1-指标体系'!$J$15)*'Sheet1-指标体系'!$J$20)&lt;'Sheet1-指标体系'!$J$19,'Sheet1-指标体系'!$J$18,"")),IF(MAX(0,(F84-'Sheet1-指标体系'!$J$15)*'Sheet1-指标体系'!$J$20)&lt;'Sheet1-指标体系'!$J$19,'Sheet1-指标体系'!$J$18,"")))</f>
        <v/>
      </c>
      <c r="Y84" s="37">
        <f>IF(ISNUMBER(W84),IF(ISNUMBER(X84),ROUND(W84*'Sheet1-指标体系'!$J$8+X84*'Sheet1-指标体系'!$J$9,2),W84),"")</f>
        <v>76.92</v>
      </c>
      <c r="Z84" s="45">
        <f t="shared" si="24"/>
        <v>0.00475425423784386</v>
      </c>
      <c r="AA84" s="26" t="str">
        <f>IF(ISNUMBER('Sheet4-原始数据'!K69),'Sheet4-原始数据'!K69,"")</f>
        <v/>
      </c>
      <c r="AB84" s="45">
        <f t="shared" si="25"/>
        <v>0.00475425423784386</v>
      </c>
      <c r="AC84" s="37">
        <f t="shared" si="26"/>
        <v>87.84</v>
      </c>
      <c r="AD84" s="30">
        <f>IF(ISNUMBER('Sheet4-原始数据'!M69),'Sheet4-原始数据'!M69,"")</f>
        <v>18.2994</v>
      </c>
      <c r="AE84" s="45" t="str">
        <f>IF(AND(ISNUMBER(P84),ISNUMBER(AA84),ISNUMBER(Z84)),IF(AA84&gt;Z84+'Sheet1-指标体系'!$J$11,AA84,""),"")</f>
        <v/>
      </c>
      <c r="AF84" s="37" t="str">
        <f t="shared" si="27"/>
        <v/>
      </c>
      <c r="AG84" s="37">
        <f t="shared" si="28"/>
        <v>70.42</v>
      </c>
      <c r="AH84" s="37" t="str">
        <f t="shared" si="29"/>
        <v/>
      </c>
      <c r="AI84" s="37">
        <f>IF(ISNUMBER(AG84),IF(ISNUMBER(AH84),ROUND(AG84*'Sheet1-指标体系'!$J$8+AH84*'Sheet1-指标体系'!$J$9,2),AG84),"")</f>
        <v>70.42</v>
      </c>
      <c r="AJ84" s="45">
        <f>IF(NOT(ISNUMBER(F84)),"",IF(F84&gt;='Sheet1-指标体系'!$J$16,IF(ISNUMBER(N84),N84,""),IF(ISNUMBER(O84),O84,"")))</f>
        <v>0.0733</v>
      </c>
      <c r="AK84" s="37">
        <f>IF(AND(G84="入池",ISNUMBER(M84),ISNUMBER(AJ84)),IF(M84&gt;=AJ84,'Sheet1-指标体系'!$J$18,IF(AJ84-M84&lt;'Sheet1-指标体系'!$J$10,'Sheet1-指标体系'!$J$22,'Sheet1-指标体系'!$J$23)),"")</f>
        <v>100</v>
      </c>
      <c r="AL84" s="37">
        <f>IF((IF(ISNUMBER(I84),'Sheet1-指标体系'!$G$4,0)+IF(ISNUMBER(K84),'Sheet1-指标体系'!$G$5,0)+IF(ISNUMBER(L84),'Sheet1-指标体系'!$G$6,0))&gt;0,ROUND((IF(ISNUMBER(I84),I84*'Sheet1-指标体系'!$G$4,0)+IF(ISNUMBER(K84),K84*'Sheet1-指标体系'!$G$5,0)+IF(ISNUMBER(L84),L84*'Sheet1-指标体系'!$G$6,0))/(IF(ISNUMBER(I84),'Sheet1-指标体系'!$G$4,0)+IF(ISNUMBER(K84),'Sheet1-指标体系'!$G$5,0)+IF(ISNUMBER(L84),'Sheet1-指标体系'!$G$6,0)),2),"")</f>
        <v>75.71</v>
      </c>
      <c r="AM84" s="37">
        <f t="shared" si="30"/>
        <v>52.13</v>
      </c>
      <c r="AN84" s="37">
        <f t="shared" si="31"/>
        <v>87.84</v>
      </c>
      <c r="AO84" s="37">
        <f t="shared" si="32"/>
        <v>70.42</v>
      </c>
      <c r="AP84" s="37">
        <f t="shared" si="33"/>
        <v>100</v>
      </c>
      <c r="AQ84" s="38">
        <f t="shared" si="34"/>
        <v>0.811</v>
      </c>
      <c r="AR84" s="37">
        <f t="shared" si="35"/>
        <v>61.76056</v>
      </c>
      <c r="AS84" s="37">
        <f t="shared" si="36"/>
        <v>76.15</v>
      </c>
      <c r="AT84" s="40">
        <f>IF(OR(G84&lt;&gt;"入池",NOT(ISNUMBER(AS84))),"",COUNTIFS($G$17:$G$99,"入池",$AS$17:$AS$99,"&gt;"&amp;AS84)+COUNTIFS($G$17:$G$99,"入池",$AS$17:$AS$99,AS84,$AQ$17:$AQ$99,"&gt;"&amp;AQ84)+COUNTIFS($G$17:G84,"入池",$AS$17:AS84,AS84,$AQ$17:AQ84,AQ84))</f>
        <v>21</v>
      </c>
      <c r="AU84" s="46" t="str">
        <f>IF(NOT(ISNUMBER(I84)),"管理人规模；","")&amp;IF(NOT(ISNUMBER(K84)),"产品规模标识；","")&amp;IF(NOT(ISNUMBER(M84)),"近一年收益；","")&amp;IF(NOT(ISNUMBER(T84)),"近一年胜率；","")&amp;IF(NOT(ISNUMBER(N84)),"近三年收益；","")&amp;IF(NOT(ISNUMBER(U84)),"近三年胜率；","")&amp;IF(NOT(ISNUMBER(AA84)),"近三年回撤；","")&amp;IF(NOT(ISNUMBER(AD84)),"近一年卡玛；","")&amp;IF(ISNUMBER(F84),IF(AND(F84&lt;'Sheet1-指标体系'!$J$16,NOT(ISNUMBER(O84))),"成立以来年化；",""),"成立日期；")&amp;IF(ISNUMBER(V84),IF(OR(V84&lt;0,V84&gt;1),"胜率窗口口径不一致；",""),"")&amp;IF(ISNUMBER(P84),IF(NOT(ISNUMBER(AE84)),"DD_long不可识别；",""),"")</f>
        <v>产品规模标识；近三年收益；近三年胜率；近三年回撤；DD_long不可识别；</v>
      </c>
      <c r="AV84" s="37" t="str">
        <f>IF(ABS(SUM(CA84:CK84)-'Sheet1-指标体系'!$J$25)&lt;0.0000000001,SUM(BP84:BZ84),"")</f>
        <v/>
      </c>
      <c r="AW84" s="36" t="str">
        <f>IF(G84&lt;&gt;"入池",G84,IF(AQ84=0,"无有效评分数据",IF(ROUND(AQ84,10)=ROUND('Sheet1-指标体系'!$J$25,10),"完整赋分","暂定分／数据不完整")))</f>
        <v>暂定分／数据不完整</v>
      </c>
      <c r="AX84" s="22" t="str">
        <f>IF('Sheet4-原始数据'!C69="","",'Sheet4-原始数据'!C69)</f>
        <v>套利策略</v>
      </c>
      <c r="AY84" s="22" t="str">
        <f>IF('Sheet4-原始数据'!D69="","",'Sheet4-原始数据'!D69)</f>
        <v>可转债套利</v>
      </c>
      <c r="AZ84" s="22" t="str">
        <f>IF('Sheet5-查询核对'!S69="","",'Sheet5-查询核对'!S69)</f>
        <v>套利策略—可转债套利</v>
      </c>
      <c r="BA84" s="25">
        <f>IF('Sheet5-查询核对'!A69="","",'Sheet5-查询核对'!A69)</f>
        <v>69</v>
      </c>
      <c r="BB84" s="22" t="str">
        <f>IF('Sheet5-查询核对'!F69="","",'Sheet5-查询核对'!F69)</f>
        <v>备案号匹配</v>
      </c>
      <c r="BC84" s="24" t="str">
        <f>IF('Sheet5-查询核对'!I69="","",'Sheet5-查询核对'!I69)</f>
        <v>https://mp.fof99.com/fund/view/8177b794c749fb2a</v>
      </c>
      <c r="BD84" s="23">
        <f>IF('Sheet5-查询核对'!H69="","",'Sheet5-查询核对'!H69)</f>
        <v>46269</v>
      </c>
      <c r="BE84" s="24" t="str">
        <f>IF('Sheet5-查询核对'!L69="","",'Sheet5-查询核对'!L69)</f>
        <v>https://gs.amac.org.cn/amac-infodisc/res/pof/manager/2009261701109105.html</v>
      </c>
      <c r="BF84" s="23">
        <f>IF('Sheet5-查询核对'!M69="","",'Sheet5-查询核对'!M69)</f>
        <v>46276</v>
      </c>
      <c r="BG84" s="24" t="str">
        <f>IF('Sheet5-查询核对'!O69="","",'Sheet5-查询核对'!O69)</f>
        <v>743</v>
      </c>
      <c r="BH84" s="23" t="str">
        <f>IF('Sheet5-查询核对'!P69="","",'Sheet5-查询核对'!P69)</f>
        <v/>
      </c>
      <c r="BI84" s="22" t="str">
        <f>IF('Sheet5-查询核对'!D69="","",'Sheet5-查询核对'!D69)</f>
        <v>AKV28A</v>
      </c>
      <c r="BJ84">
        <f>IF(ISNUMBER(AT84),AT84,COUNT($AT$17:$AT$99)+ROWS($AT$17:AT84)-COUNT($AT$17:AT84))</f>
        <v>21</v>
      </c>
      <c r="BK84" s="2">
        <f t="shared" si="37"/>
        <v>1</v>
      </c>
      <c r="BL84" s="2">
        <f t="shared" si="38"/>
        <v>1</v>
      </c>
      <c r="BM84" s="2">
        <f t="shared" si="39"/>
        <v>1</v>
      </c>
      <c r="BN84" s="2">
        <f t="shared" si="40"/>
        <v>1</v>
      </c>
      <c r="BO84" s="2">
        <f t="shared" si="41"/>
        <v>0</v>
      </c>
      <c r="BP84" s="48">
        <f>IF(G84="入池",IF(ISNUMBER(I84),I84*('Sheet1-指标体系'!$G$4),0),0)</f>
        <v>4.8</v>
      </c>
      <c r="BQ84" s="48">
        <f>IF(G84="入池",IF(ISNUMBER(K84),K84*('Sheet1-指标体系'!$G$5),0),0)</f>
        <v>0</v>
      </c>
      <c r="BR84" s="48">
        <f>IF(G84="入池",IF(ISNUMBER(L84),L84*('Sheet1-指标体系'!$G$6),0),0)</f>
        <v>3.15</v>
      </c>
      <c r="BS84" s="48">
        <f>IF(G84="入池",IF(ISNUMBER(Q84),Q84*('Sheet1-指标体系'!$G$7*'Sheet1-指标体系'!$J$8),0),0)</f>
        <v>4.2</v>
      </c>
      <c r="BT84" s="48">
        <f>IF(G84="入池",IF(ISNUMBER(R84),R84*('Sheet1-指标体系'!$G$7*'Sheet1-指标体系'!$J$9),0),0)</f>
        <v>2.20584</v>
      </c>
      <c r="BU84" s="48">
        <f>IF(G84="入池",IF(ISNUMBER(W84),W84*('Sheet1-指标体系'!$G$8*'Sheet1-指标体系'!$J$8),0),0)</f>
        <v>2.76912</v>
      </c>
      <c r="BV84" s="48">
        <f>IF(G84="入池",IF(ISNUMBER(X84),X84*('Sheet1-指标体系'!$G$8*'Sheet1-指标体系'!$J$9),0),0)</f>
        <v>0</v>
      </c>
      <c r="BW84" s="48">
        <f>IF(G84="入池",IF(ISNUMBER(AC84),AC84*('Sheet1-指标体系'!$G$9),0),0)</f>
        <v>21.96</v>
      </c>
      <c r="BX84" s="48">
        <f>IF(G84="入池",IF(ISNUMBER(AG84),AG84*('Sheet1-指标体系'!$G$10*'Sheet1-指标体系'!$J$8),0),0)</f>
        <v>12.6756</v>
      </c>
      <c r="BY84" s="48">
        <f>IF(G84="入池",IF(ISNUMBER(AH84),AH84*('Sheet1-指标体系'!$G$10*'Sheet1-指标体系'!$J$9),0),0)</f>
        <v>0</v>
      </c>
      <c r="BZ84" s="48">
        <f>IF(G84="入池",IF(ISNUMBER(AK84),AK84*('Sheet1-指标体系'!$G$11),0),0)</f>
        <v>10</v>
      </c>
      <c r="CA84" s="49">
        <f>IF(G84="入池",IF(ISNUMBER(I84),'Sheet1-指标体系'!$G$4,0),0)</f>
        <v>0.06</v>
      </c>
      <c r="CB84" s="49">
        <f>IF(G84="入池",IF(ISNUMBER(K84),'Sheet1-指标体系'!$G$5,0),0)</f>
        <v>0</v>
      </c>
      <c r="CC84" s="49">
        <f>IF(G84="入池",IF(ISNUMBER(L84),'Sheet1-指标体系'!$G$6,0),0)</f>
        <v>0.045</v>
      </c>
      <c r="CD84" s="49">
        <f>IF(G84="入池",IF(ISNUMBER(Q84),'Sheet1-指标体系'!$G$7*'Sheet1-指标体系'!$J$8,0),0)</f>
        <v>0.084</v>
      </c>
      <c r="CE84" s="49">
        <f>IF(G84="入池",IF(ISNUMBER(R84),'Sheet1-指标体系'!$G$7*'Sheet1-指标体系'!$J$9,0),0)</f>
        <v>0.056</v>
      </c>
      <c r="CF84" s="49">
        <f>IF(G84="入池",IF(ISNUMBER(W84),'Sheet1-指标体系'!$G$8*'Sheet1-指标体系'!$J$8,0),0)</f>
        <v>0.036</v>
      </c>
      <c r="CG84" s="49">
        <f>IF(G84="入池",IF(ISNUMBER(X84),'Sheet1-指标体系'!$G$8*'Sheet1-指标体系'!$J$9,0),0)</f>
        <v>0</v>
      </c>
      <c r="CH84" s="49">
        <f>IF(G84="入池",IF(ISNUMBER(AC84),'Sheet1-指标体系'!$G$9,0),0)</f>
        <v>0.25</v>
      </c>
      <c r="CI84" s="49">
        <f>IF(G84="入池",IF(ISNUMBER(AG84),'Sheet1-指标体系'!$G$10*'Sheet1-指标体系'!$J$8,0),0)</f>
        <v>0.18</v>
      </c>
      <c r="CJ84" s="49">
        <f>IF(G84="入池",IF(ISNUMBER(AH84),'Sheet1-指标体系'!$G$10*'Sheet1-指标体系'!$J$9,0),0)</f>
        <v>0</v>
      </c>
      <c r="CK84" s="49">
        <f>IF(G84="入池",IF(ISNUMBER(AK84),'Sheet1-指标体系'!$G$11,0),0)</f>
        <v>0.1</v>
      </c>
    </row>
    <row r="85" ht="44" customHeight="1" spans="1:89">
      <c r="A85" s="40">
        <f>'Sheet5-查询核对'!A70-1</f>
        <v>69</v>
      </c>
      <c r="B85" s="24" t="str">
        <f>IF('Sheet4-原始数据'!A70="",'Sheet5-查询核对'!B70,'Sheet4-原始数据'!A70)</f>
        <v>永泉奇点17号混合投资</v>
      </c>
      <c r="C85" s="22" t="str">
        <f>IF('Sheet4-原始数据'!B70="","",'Sheet4-原始数据'!B70)</f>
        <v>SNG016</v>
      </c>
      <c r="D85" s="22" t="str">
        <f>IF('Sheet4-原始数据'!E70="","",'Sheet4-原始数据'!E70)</f>
        <v>宁波永泉</v>
      </c>
      <c r="E85" s="23">
        <f>IF('Sheet4-原始数据'!F70="","",'Sheet4-原始数据'!F70)</f>
        <v>44155</v>
      </c>
      <c r="F85" s="37">
        <f>IF(ISNUMBER(E85),ROUND(('Sheet1-指标体系'!$J$12-E85)/'Sheet1-指标体系'!$J$14,4),"")</f>
        <v>5.8042</v>
      </c>
      <c r="G85" s="36" t="str">
        <f>IF(C85="","未匹配",IF(NOT(ISNUMBER(F85)),"缺成立日期",IF(F85&lt;'Sheet1-指标体系'!$J$15,"不入池","入池")))</f>
        <v>入池</v>
      </c>
      <c r="H85" s="22" t="str">
        <f>IF('Sheet5-查询核对'!K70="","",'Sheet5-查询核对'!K70)</f>
        <v>0-5亿元</v>
      </c>
      <c r="I85" s="37">
        <f>IF(H85="","",IF(COUNTIF('Sheet1-指标体系'!$P$4:$P$10,H85)=0,"",INDEX('Sheet1-指标体系'!$Q$4:$Q$10,MATCH(H85,'Sheet1-指标体系'!$P$4:$P$10,0))))</f>
        <v>60</v>
      </c>
      <c r="J85" s="44" t="str">
        <f>IF(NOT(ISNUMBER('Sheet5-查询核对'!N70)),"",IF('Sheet5-查询核对'!N70=1,"低于"&amp;'Sheet1-指标体系'!$J$4&amp;"万元",IF('Sheet5-查询核对'!N70=0,"无低于"&amp;'Sheet1-指标体系'!$J$4&amp;"万元标识","")))</f>
        <v>无低于1000万元标识</v>
      </c>
      <c r="K85" s="37">
        <f>IF(NOT(ISNUMBER('Sheet5-查询核对'!N70)),"",IF('Sheet5-查询核对'!N70=1,'Sheet1-指标体系'!$J$21,IF('Sheet5-查询核对'!N70=0,'Sheet1-指标体系'!$J$18,"")))</f>
        <v>100</v>
      </c>
      <c r="L85" s="37">
        <f>IF(NOT(ISNUMBER(F85)),"",IF(F85&lt;'Sheet1-指标体系'!$J$15,"",IF(F85&lt;'Sheet1-指标体系'!$J$16,'Sheet1-指标体系'!$J$17,'Sheet1-指标体系'!$J$18)))</f>
        <v>100</v>
      </c>
      <c r="M85" s="26">
        <f>IF(ISNUMBER('Sheet4-原始数据'!G70),'Sheet4-原始数据'!G70,"")</f>
        <v>0.0553</v>
      </c>
      <c r="N85" s="26">
        <f>IF(ISNUMBER('Sheet4-原始数据'!H70),'Sheet4-原始数据'!H70,"")</f>
        <v>0.1192</v>
      </c>
      <c r="O85" s="26">
        <f>IF(ISNUMBER('Sheet5-查询核对'!Q70),'Sheet5-查询核对'!Q70,"")</f>
        <v>0.0948</v>
      </c>
      <c r="P85" s="45">
        <f>IF(G85&lt;&gt;"入池","",IF(F85&gt;='Sheet1-指标体系'!$J$16,IF(AND(ISNUMBER(M85),ISNUMBER(N85)),IF(AND(1+M85&gt;0,1+N85&gt;=0),((1+N85)^'Sheet1-指标体系'!$J$16/(1+M85))^(1/('Sheet1-指标体系'!$J$16-1))-1,""),""),IF(AND(ISNUMBER(M85),ISNUMBER(O85)),IF(AND(F85&gt;1,1+M85&gt;0,1+O85&gt;=0),((1+O85)^F85/(1+M85))^(1/(F85-1))-1,""),"")))</f>
        <v>0.152586645115345</v>
      </c>
      <c r="Q85" s="37">
        <f t="shared" si="21"/>
        <v>22.22</v>
      </c>
      <c r="R85" s="37">
        <f t="shared" si="22"/>
        <v>89.39</v>
      </c>
      <c r="S85" s="37">
        <f>IF(ISNUMBER(Q85),IF(ISNUMBER(R85),ROUND(Q85*'Sheet1-指标体系'!$J$8+R85*'Sheet1-指标体系'!$J$9,2),Q85),"")</f>
        <v>49.09</v>
      </c>
      <c r="T85" s="26">
        <f>IF(ISNUMBER('Sheet4-原始数据'!J70),'Sheet4-原始数据'!J70,"")</f>
        <v>0.8462</v>
      </c>
      <c r="U85" s="26">
        <f>IF(ISNUMBER('Sheet4-原始数据'!I70),'Sheet4-原始数据'!I70,"")</f>
        <v>0.8108</v>
      </c>
      <c r="V85" s="45">
        <f>IF(AND(ISNUMBER(T85),ISNUMBER(U85)),(U85*'Sheet1-指标体系'!$J$6-T85*'Sheet1-指标体系'!$J$5)/'Sheet1-指标体系'!$J$7,"")</f>
        <v>0.791625</v>
      </c>
      <c r="W85" s="37">
        <f t="shared" si="23"/>
        <v>84.62</v>
      </c>
      <c r="X85" s="37">
        <f>IF(G85&lt;&gt;"入池","",IF(ISNUMBER(V85),IF(AND(V85&gt;=0,V85&lt;=1),V85*'Sheet1-指标体系'!$J$18,IF(MAX(0,(F85-'Sheet1-指标体系'!$J$15)*'Sheet1-指标体系'!$J$20)&lt;'Sheet1-指标体系'!$J$19,'Sheet1-指标体系'!$J$18,"")),IF(MAX(0,(F85-'Sheet1-指标体系'!$J$15)*'Sheet1-指标体系'!$J$20)&lt;'Sheet1-指标体系'!$J$19,'Sheet1-指标体系'!$J$18,"")))</f>
        <v>79.1625</v>
      </c>
      <c r="Y85" s="37">
        <f>IF(ISNUMBER(W85),IF(ISNUMBER(X85),ROUND(W85*'Sheet1-指标体系'!$J$8+X85*'Sheet1-指标体系'!$J$9,2),W85),"")</f>
        <v>82.44</v>
      </c>
      <c r="Z85" s="45">
        <f t="shared" si="24"/>
        <v>0.00366196063888962</v>
      </c>
      <c r="AA85" s="26">
        <f>IF(ISNUMBER('Sheet4-原始数据'!K70),'Sheet4-原始数据'!K70,"")</f>
        <v>0.0108</v>
      </c>
      <c r="AB85" s="45">
        <f t="shared" si="25"/>
        <v>0.0108</v>
      </c>
      <c r="AC85" s="37">
        <f t="shared" si="26"/>
        <v>68.92</v>
      </c>
      <c r="AD85" s="30">
        <f>IF(ISNUMBER('Sheet4-原始数据'!M70),'Sheet4-原始数据'!M70,"")</f>
        <v>15.1012</v>
      </c>
      <c r="AE85" s="45">
        <f>IF(AND(ISNUMBER(P85),ISNUMBER(AA85),ISNUMBER(Z85)),IF(AA85&gt;Z85+'Sheet1-指标体系'!$J$11,AA85,""),"")</f>
        <v>0.0108</v>
      </c>
      <c r="AF85" s="37">
        <f t="shared" si="27"/>
        <v>14.1283930662357</v>
      </c>
      <c r="AG85" s="37">
        <f t="shared" si="28"/>
        <v>66.2</v>
      </c>
      <c r="AH85" s="37">
        <f t="shared" si="29"/>
        <v>87.5</v>
      </c>
      <c r="AI85" s="37">
        <f>IF(ISNUMBER(AG85),IF(ISNUMBER(AH85),ROUND(AG85*'Sheet1-指标体系'!$J$8+AH85*'Sheet1-指标体系'!$J$9,2),AG85),"")</f>
        <v>74.72</v>
      </c>
      <c r="AJ85" s="45">
        <f>IF(NOT(ISNUMBER(F85)),"",IF(F85&gt;='Sheet1-指标体系'!$J$16,IF(ISNUMBER(N85),N85,""),IF(ISNUMBER(O85),O85,"")))</f>
        <v>0.1192</v>
      </c>
      <c r="AK85" s="37">
        <f>IF(AND(G85="入池",ISNUMBER(M85),ISNUMBER(AJ85)),IF(M85&gt;=AJ85,'Sheet1-指标体系'!$J$18,IF(AJ85-M85&lt;'Sheet1-指标体系'!$J$10,'Sheet1-指标体系'!$J$22,'Sheet1-指标体系'!$J$23)),"")</f>
        <v>80</v>
      </c>
      <c r="AL85" s="37">
        <f>IF((IF(ISNUMBER(I85),'Sheet1-指标体系'!$G$4,0)+IF(ISNUMBER(K85),'Sheet1-指标体系'!$G$5,0)+IF(ISNUMBER(L85),'Sheet1-指标体系'!$G$6,0))&gt;0,ROUND((IF(ISNUMBER(I85),I85*'Sheet1-指标体系'!$G$4,0)+IF(ISNUMBER(K85),K85*'Sheet1-指标体系'!$G$5,0)+IF(ISNUMBER(L85),L85*'Sheet1-指标体系'!$G$6,0))/(IF(ISNUMBER(I85),'Sheet1-指标体系'!$G$4,0)+IF(ISNUMBER(K85),'Sheet1-指标体系'!$G$5,0)+IF(ISNUMBER(L85),'Sheet1-指标体系'!$G$6,0)),2),"")</f>
        <v>84</v>
      </c>
      <c r="AM85" s="37">
        <f t="shared" si="30"/>
        <v>59.09</v>
      </c>
      <c r="AN85" s="37">
        <f t="shared" si="31"/>
        <v>68.92</v>
      </c>
      <c r="AO85" s="37">
        <f t="shared" si="32"/>
        <v>74.72</v>
      </c>
      <c r="AP85" s="37">
        <f t="shared" si="33"/>
        <v>80</v>
      </c>
      <c r="AQ85" s="38">
        <f t="shared" si="34"/>
        <v>1</v>
      </c>
      <c r="AR85" s="37">
        <f t="shared" si="35"/>
        <v>72.06454</v>
      </c>
      <c r="AS85" s="37">
        <f t="shared" si="36"/>
        <v>72.06</v>
      </c>
      <c r="AT85" s="40">
        <f>IF(OR(G85&lt;&gt;"入池",NOT(ISNUMBER(AS85))),"",COUNTIFS($G$17:$G$99,"入池",$AS$17:$AS$99,"&gt;"&amp;AS85)+COUNTIFS($G$17:$G$99,"入池",$AS$17:$AS$99,AS85,$AQ$17:$AQ$99,"&gt;"&amp;AQ85)+COUNTIFS($G$17:G85,"入池",$AS$17:AS85,AS85,$AQ$17:AQ85,AQ85))</f>
        <v>29</v>
      </c>
      <c r="AU85" s="46" t="str">
        <f>IF(NOT(ISNUMBER(I85)),"管理人规模；","")&amp;IF(NOT(ISNUMBER(K85)),"产品规模标识；","")&amp;IF(NOT(ISNUMBER(M85)),"近一年收益；","")&amp;IF(NOT(ISNUMBER(T85)),"近一年胜率；","")&amp;IF(NOT(ISNUMBER(N85)),"近三年收益；","")&amp;IF(NOT(ISNUMBER(U85)),"近三年胜率；","")&amp;IF(NOT(ISNUMBER(AA85)),"近三年回撤；","")&amp;IF(NOT(ISNUMBER(AD85)),"近一年卡玛；","")&amp;IF(ISNUMBER(F85),IF(AND(F85&lt;'Sheet1-指标体系'!$J$16,NOT(ISNUMBER(O85))),"成立以来年化；",""),"成立日期；")&amp;IF(ISNUMBER(V85),IF(OR(V85&lt;0,V85&gt;1),"胜率窗口口径不一致；",""),"")&amp;IF(ISNUMBER(P85),IF(NOT(ISNUMBER(AE85)),"DD_long不可识别；",""),"")</f>
        <v/>
      </c>
      <c r="AV85" s="37">
        <f>IF(ABS(SUM(CA85:CK85)-'Sheet1-指标体系'!$J$25)&lt;0.0000000001,SUM(BP85:BZ85),"")</f>
        <v>72.06454</v>
      </c>
      <c r="AW85" s="36" t="str">
        <f>IF(G85&lt;&gt;"入池",G85,IF(AQ85=0,"无有效评分数据",IF(ROUND(AQ85,10)=ROUND('Sheet1-指标体系'!$J$25,10),"完整赋分","暂定分／数据不完整")))</f>
        <v>完整赋分</v>
      </c>
      <c r="AX85" s="22" t="str">
        <f>IF('Sheet4-原始数据'!C70="","",'Sheet4-原始数据'!C70)</f>
        <v>套利策略</v>
      </c>
      <c r="AY85" s="22" t="str">
        <f>IF('Sheet4-原始数据'!D70="","",'Sheet4-原始数据'!D70)</f>
        <v>期货套利</v>
      </c>
      <c r="AZ85" s="22" t="str">
        <f>IF('Sheet5-查询核对'!S70="","",'Sheet5-查询核对'!S70)</f>
        <v>套利策略—期货套利</v>
      </c>
      <c r="BA85" s="25">
        <f>IF('Sheet5-查询核对'!A70="","",'Sheet5-查询核对'!A70)</f>
        <v>70</v>
      </c>
      <c r="BB85" s="22" t="str">
        <f>IF('Sheet5-查询核对'!F70="","",'Sheet5-查询核对'!F70)</f>
        <v>备案号匹配</v>
      </c>
      <c r="BC85" s="24" t="str">
        <f>IF('Sheet5-查询核对'!I70="","",'Sheet5-查询核对'!I70)</f>
        <v>https://mp.fof99.com/fund/view/12b6e6dc40e0626c</v>
      </c>
      <c r="BD85" s="23">
        <f>IF('Sheet5-查询核对'!H70="","",'Sheet5-查询核对'!H70)</f>
        <v>46269</v>
      </c>
      <c r="BE85" s="24" t="str">
        <f>IF('Sheet5-查询核对'!L70="","",'Sheet5-查询核对'!L70)</f>
        <v>https://gs.amac.org.cn/amac-infodisc/res/pof/manager/101000016974.html</v>
      </c>
      <c r="BF85" s="23">
        <f>IF('Sheet5-查询核对'!M70="","",'Sheet5-查询核对'!M70)</f>
        <v>46276</v>
      </c>
      <c r="BG85" s="24" t="str">
        <f>IF('Sheet5-查询核对'!O70="","",'Sheet5-查询核对'!O70)</f>
        <v>https://gs.amac.org.cn/amac-infodisc/res/pof/fund/2011301715100423.html</v>
      </c>
      <c r="BH85" s="23">
        <f>IF('Sheet5-查询核对'!P70="","",'Sheet5-查询核对'!P70)</f>
        <v>46276</v>
      </c>
      <c r="BI85" s="22" t="str">
        <f>IF('Sheet5-查询核对'!D70="","",'Sheet5-查询核对'!D70)</f>
        <v>SNG016</v>
      </c>
      <c r="BJ85">
        <f>IF(ISNUMBER(AT85),AT85,COUNT($AT$17:$AT$99)+ROWS($AT$17:AT85)-COUNT($AT$17:AT85))</f>
        <v>29</v>
      </c>
      <c r="BK85" s="2">
        <f t="shared" si="37"/>
        <v>1</v>
      </c>
      <c r="BL85" s="2">
        <f t="shared" si="38"/>
        <v>1</v>
      </c>
      <c r="BM85" s="2">
        <f t="shared" si="39"/>
        <v>1</v>
      </c>
      <c r="BN85" s="2">
        <f t="shared" si="40"/>
        <v>1</v>
      </c>
      <c r="BO85" s="2">
        <f t="shared" si="41"/>
        <v>1</v>
      </c>
      <c r="BP85" s="48">
        <f>IF(G85="入池",IF(ISNUMBER(I85),I85*('Sheet1-指标体系'!$G$4),0),0)</f>
        <v>3.6</v>
      </c>
      <c r="BQ85" s="48">
        <f>IF(G85="入池",IF(ISNUMBER(K85),K85*('Sheet1-指标体系'!$G$5),0),0)</f>
        <v>4.5</v>
      </c>
      <c r="BR85" s="48">
        <f>IF(G85="入池",IF(ISNUMBER(L85),L85*('Sheet1-指标体系'!$G$6),0),0)</f>
        <v>4.5</v>
      </c>
      <c r="BS85" s="48">
        <f>IF(G85="入池",IF(ISNUMBER(Q85),Q85*('Sheet1-指标体系'!$G$7*'Sheet1-指标体系'!$J$8),0),0)</f>
        <v>1.86648</v>
      </c>
      <c r="BT85" s="48">
        <f>IF(G85="入池",IF(ISNUMBER(R85),R85*('Sheet1-指标体系'!$G$7*'Sheet1-指标体系'!$J$9),0),0)</f>
        <v>5.00584</v>
      </c>
      <c r="BU85" s="48">
        <f>IF(G85="入池",IF(ISNUMBER(W85),W85*('Sheet1-指标体系'!$G$8*'Sheet1-指标体系'!$J$8),0),0)</f>
        <v>3.04632</v>
      </c>
      <c r="BV85" s="48">
        <f>IF(G85="入池",IF(ISNUMBER(X85),X85*('Sheet1-指标体系'!$G$8*'Sheet1-指标体系'!$J$9),0),0)</f>
        <v>1.8999</v>
      </c>
      <c r="BW85" s="48">
        <f>IF(G85="入池",IF(ISNUMBER(AC85),AC85*('Sheet1-指标体系'!$G$9),0),0)</f>
        <v>17.23</v>
      </c>
      <c r="BX85" s="48">
        <f>IF(G85="入池",IF(ISNUMBER(AG85),AG85*('Sheet1-指标体系'!$G$10*'Sheet1-指标体系'!$J$8),0),0)</f>
        <v>11.916</v>
      </c>
      <c r="BY85" s="48">
        <f>IF(G85="入池",IF(ISNUMBER(AH85),AH85*('Sheet1-指标体系'!$G$10*'Sheet1-指标体系'!$J$9),0),0)</f>
        <v>10.5</v>
      </c>
      <c r="BZ85" s="48">
        <f>IF(G85="入池",IF(ISNUMBER(AK85),AK85*('Sheet1-指标体系'!$G$11),0),0)</f>
        <v>8</v>
      </c>
      <c r="CA85" s="49">
        <f>IF(G85="入池",IF(ISNUMBER(I85),'Sheet1-指标体系'!$G$4,0),0)</f>
        <v>0.06</v>
      </c>
      <c r="CB85" s="49">
        <f>IF(G85="入池",IF(ISNUMBER(K85),'Sheet1-指标体系'!$G$5,0),0)</f>
        <v>0.045</v>
      </c>
      <c r="CC85" s="49">
        <f>IF(G85="入池",IF(ISNUMBER(L85),'Sheet1-指标体系'!$G$6,0),0)</f>
        <v>0.045</v>
      </c>
      <c r="CD85" s="49">
        <f>IF(G85="入池",IF(ISNUMBER(Q85),'Sheet1-指标体系'!$G$7*'Sheet1-指标体系'!$J$8,0),0)</f>
        <v>0.084</v>
      </c>
      <c r="CE85" s="49">
        <f>IF(G85="入池",IF(ISNUMBER(R85),'Sheet1-指标体系'!$G$7*'Sheet1-指标体系'!$J$9,0),0)</f>
        <v>0.056</v>
      </c>
      <c r="CF85" s="49">
        <f>IF(G85="入池",IF(ISNUMBER(W85),'Sheet1-指标体系'!$G$8*'Sheet1-指标体系'!$J$8,0),0)</f>
        <v>0.036</v>
      </c>
      <c r="CG85" s="49">
        <f>IF(G85="入池",IF(ISNUMBER(X85),'Sheet1-指标体系'!$G$8*'Sheet1-指标体系'!$J$9,0),0)</f>
        <v>0.024</v>
      </c>
      <c r="CH85" s="49">
        <f>IF(G85="入池",IF(ISNUMBER(AC85),'Sheet1-指标体系'!$G$9,0),0)</f>
        <v>0.25</v>
      </c>
      <c r="CI85" s="49">
        <f>IF(G85="入池",IF(ISNUMBER(AG85),'Sheet1-指标体系'!$G$10*'Sheet1-指标体系'!$J$8,0),0)</f>
        <v>0.18</v>
      </c>
      <c r="CJ85" s="49">
        <f>IF(G85="入池",IF(ISNUMBER(AH85),'Sheet1-指标体系'!$G$10*'Sheet1-指标体系'!$J$9,0),0)</f>
        <v>0.12</v>
      </c>
      <c r="CK85" s="49">
        <f>IF(G85="入池",IF(ISNUMBER(AK85),'Sheet1-指标体系'!$G$11,0),0)</f>
        <v>0.1</v>
      </c>
    </row>
    <row r="86" ht="44" customHeight="1" spans="1:89">
      <c r="A86" s="40">
        <f>'Sheet5-查询核对'!A71-1</f>
        <v>70</v>
      </c>
      <c r="B86" s="24" t="str">
        <f>IF('Sheet4-原始数据'!A71="",'Sheet5-查询核对'!B71,'Sheet4-原始数据'!A71)</f>
        <v>永泉奇点1号混合投资</v>
      </c>
      <c r="C86" s="22" t="str">
        <f>IF('Sheet4-原始数据'!B71="","",'Sheet4-原始数据'!B71)</f>
        <v>SGM299</v>
      </c>
      <c r="D86" s="22" t="str">
        <f>IF('Sheet4-原始数据'!E71="","",'Sheet4-原始数据'!E71)</f>
        <v>宁波永泉</v>
      </c>
      <c r="E86" s="23">
        <f>IF('Sheet4-原始数据'!F71="","",'Sheet4-原始数据'!F71)</f>
        <v>43585</v>
      </c>
      <c r="F86" s="37">
        <f>IF(ISNUMBER(E86),ROUND(('Sheet1-指标体系'!$J$12-E86)/'Sheet1-指标体系'!$J$14,4),"")</f>
        <v>7.3648</v>
      </c>
      <c r="G86" s="36" t="str">
        <f>IF(C86="","未匹配",IF(NOT(ISNUMBER(F86)),"缺成立日期",IF(F86&lt;'Sheet1-指标体系'!$J$15,"不入池","入池")))</f>
        <v>入池</v>
      </c>
      <c r="H86" s="22" t="str">
        <f>IF('Sheet5-查询核对'!K71="","",'Sheet5-查询核对'!K71)</f>
        <v>0-5亿元</v>
      </c>
      <c r="I86" s="37">
        <f>IF(H86="","",IF(COUNTIF('Sheet1-指标体系'!$P$4:$P$10,H86)=0,"",INDEX('Sheet1-指标体系'!$Q$4:$Q$10,MATCH(H86,'Sheet1-指标体系'!$P$4:$P$10,0))))</f>
        <v>60</v>
      </c>
      <c r="J86" s="44" t="str">
        <f>IF(NOT(ISNUMBER('Sheet5-查询核对'!N71)),"",IF('Sheet5-查询核对'!N71=1,"低于"&amp;'Sheet1-指标体系'!$J$4&amp;"万元",IF('Sheet5-查询核对'!N71=0,"无低于"&amp;'Sheet1-指标体系'!$J$4&amp;"万元标识","")))</f>
        <v>无低于1000万元标识</v>
      </c>
      <c r="K86" s="37">
        <f>IF(NOT(ISNUMBER('Sheet5-查询核对'!N71)),"",IF('Sheet5-查询核对'!N71=1,'Sheet1-指标体系'!$J$21,IF('Sheet5-查询核对'!N71=0,'Sheet1-指标体系'!$J$18,"")))</f>
        <v>100</v>
      </c>
      <c r="L86" s="37">
        <f>IF(NOT(ISNUMBER(F86)),"",IF(F86&lt;'Sheet1-指标体系'!$J$15,"",IF(F86&lt;'Sheet1-指标体系'!$J$16,'Sheet1-指标体系'!$J$17,'Sheet1-指标体系'!$J$18)))</f>
        <v>100</v>
      </c>
      <c r="M86" s="26">
        <f>IF(ISNUMBER('Sheet4-原始数据'!G71),'Sheet4-原始数据'!G71,"")</f>
        <v>0.0609</v>
      </c>
      <c r="N86" s="26">
        <f>IF(ISNUMBER('Sheet4-原始数据'!H71),'Sheet4-原始数据'!H71,"")</f>
        <v>0.093</v>
      </c>
      <c r="O86" s="26">
        <f>IF(ISNUMBER('Sheet5-查询核对'!Q71),'Sheet5-查询核对'!Q71,"")</f>
        <v>0.1328</v>
      </c>
      <c r="P86" s="45">
        <f>IF(G86&lt;&gt;"入池","",IF(F86&gt;='Sheet1-指标体系'!$J$16,IF(AND(ISNUMBER(M86),ISNUMBER(N86)),IF(AND(1+M86&gt;0,1+N86&gt;=0),((1+N86)^'Sheet1-指标体系'!$J$16/(1+M86))^(1/('Sheet1-指标体系'!$J$16-1))-1,""),""),IF(AND(ISNUMBER(M86),ISNUMBER(O86)),IF(AND(F86&gt;1,1+M86&gt;0,1+O86&gt;=0),((1+O86)^F86/(1+M86))^(1/(F86-1))-1,""),"")))</f>
        <v>0.1094124063909</v>
      </c>
      <c r="Q86" s="37">
        <f t="shared" si="21"/>
        <v>26.39</v>
      </c>
      <c r="R86" s="37">
        <f t="shared" si="22"/>
        <v>74.24</v>
      </c>
      <c r="S86" s="37">
        <f>IF(ISNUMBER(Q86),IF(ISNUMBER(R86),ROUND(Q86*'Sheet1-指标体系'!$J$8+R86*'Sheet1-指标体系'!$J$9,2),Q86),"")</f>
        <v>45.53</v>
      </c>
      <c r="T86" s="26">
        <f>IF(ISNUMBER('Sheet4-原始数据'!J71),'Sheet4-原始数据'!J71,"")</f>
        <v>0.9231</v>
      </c>
      <c r="U86" s="26">
        <f>IF(ISNUMBER('Sheet4-原始数据'!I71),'Sheet4-原始数据'!I71,"")</f>
        <v>0.8649</v>
      </c>
      <c r="V86" s="45">
        <f>IF(AND(ISNUMBER(T86),ISNUMBER(U86)),(U86*'Sheet1-指标体系'!$J$6-T86*'Sheet1-指标体系'!$J$5)/'Sheet1-指标体系'!$J$7,"")</f>
        <v>0.833375</v>
      </c>
      <c r="W86" s="37">
        <f t="shared" si="23"/>
        <v>92.31</v>
      </c>
      <c r="X86" s="37">
        <f>IF(G86&lt;&gt;"入池","",IF(ISNUMBER(V86),IF(AND(V86&gt;=0,V86&lt;=1),V86*'Sheet1-指标体系'!$J$18,IF(MAX(0,(F86-'Sheet1-指标体系'!$J$15)*'Sheet1-指标体系'!$J$20)&lt;'Sheet1-指标体系'!$J$19,'Sheet1-指标体系'!$J$18,"")),IF(MAX(0,(F86-'Sheet1-指标体系'!$J$15)*'Sheet1-指标体系'!$J$20)&lt;'Sheet1-指标体系'!$J$19,'Sheet1-指标体系'!$J$18,"")))</f>
        <v>83.3375</v>
      </c>
      <c r="Y86" s="37">
        <f>IF(ISNUMBER(W86),IF(ISNUMBER(X86),ROUND(W86*'Sheet1-指标体系'!$J$8+X86*'Sheet1-指标体系'!$J$9,2),W86),"")</f>
        <v>88.72</v>
      </c>
      <c r="Z86" s="45">
        <f t="shared" si="24"/>
        <v>0.00235553492689719</v>
      </c>
      <c r="AA86" s="26">
        <f>IF(ISNUMBER('Sheet4-原始数据'!K71),'Sheet4-原始数据'!K71,"")</f>
        <v>0.0144</v>
      </c>
      <c r="AB86" s="45">
        <f t="shared" si="25"/>
        <v>0.0144</v>
      </c>
      <c r="AC86" s="37">
        <f t="shared" si="26"/>
        <v>58.11</v>
      </c>
      <c r="AD86" s="30">
        <f>IF(ISNUMBER('Sheet4-原始数据'!M71),'Sheet4-原始数据'!M71,"")</f>
        <v>25.854</v>
      </c>
      <c r="AE86" s="45">
        <f>IF(AND(ISNUMBER(P86),ISNUMBER(AA86),ISNUMBER(Z86)),IF(AA86&gt;Z86+'Sheet1-指标体系'!$J$11,AA86,""),"")</f>
        <v>0.0144</v>
      </c>
      <c r="AF86" s="37">
        <f t="shared" si="27"/>
        <v>7.59808377714586</v>
      </c>
      <c r="AG86" s="37">
        <f t="shared" si="28"/>
        <v>81.69</v>
      </c>
      <c r="AH86" s="37">
        <f t="shared" si="29"/>
        <v>68.75</v>
      </c>
      <c r="AI86" s="37">
        <f>IF(ISNUMBER(AG86),IF(ISNUMBER(AH86),ROUND(AG86*'Sheet1-指标体系'!$J$8+AH86*'Sheet1-指标体系'!$J$9,2),AG86),"")</f>
        <v>76.51</v>
      </c>
      <c r="AJ86" s="45">
        <f>IF(NOT(ISNUMBER(F86)),"",IF(F86&gt;='Sheet1-指标体系'!$J$16,IF(ISNUMBER(N86),N86,""),IF(ISNUMBER(O86),O86,"")))</f>
        <v>0.093</v>
      </c>
      <c r="AK86" s="37">
        <f>IF(AND(G86="入池",ISNUMBER(M86),ISNUMBER(AJ86)),IF(M86&gt;=AJ86,'Sheet1-指标体系'!$J$18,IF(AJ86-M86&lt;'Sheet1-指标体系'!$J$10,'Sheet1-指标体系'!$J$22,'Sheet1-指标体系'!$J$23)),"")</f>
        <v>80</v>
      </c>
      <c r="AL86" s="37">
        <f>IF((IF(ISNUMBER(I86),'Sheet1-指标体系'!$G$4,0)+IF(ISNUMBER(K86),'Sheet1-指标体系'!$G$5,0)+IF(ISNUMBER(L86),'Sheet1-指标体系'!$G$6,0))&gt;0,ROUND((IF(ISNUMBER(I86),I86*'Sheet1-指标体系'!$G$4,0)+IF(ISNUMBER(K86),K86*'Sheet1-指标体系'!$G$5,0)+IF(ISNUMBER(L86),L86*'Sheet1-指标体系'!$G$6,0))/(IF(ISNUMBER(I86),'Sheet1-指标体系'!$G$4,0)+IF(ISNUMBER(K86),'Sheet1-指标体系'!$G$5,0)+IF(ISNUMBER(L86),'Sheet1-指标体系'!$G$6,0)),2),"")</f>
        <v>84</v>
      </c>
      <c r="AM86" s="37">
        <f t="shared" si="30"/>
        <v>58.49</v>
      </c>
      <c r="AN86" s="37">
        <f t="shared" si="31"/>
        <v>58.11</v>
      </c>
      <c r="AO86" s="37">
        <f t="shared" si="32"/>
        <v>76.51</v>
      </c>
      <c r="AP86" s="37">
        <f t="shared" si="33"/>
        <v>80</v>
      </c>
      <c r="AQ86" s="38">
        <f t="shared" si="34"/>
        <v>1</v>
      </c>
      <c r="AR86" s="37">
        <f t="shared" si="35"/>
        <v>69.77916</v>
      </c>
      <c r="AS86" s="37">
        <f t="shared" si="36"/>
        <v>69.78</v>
      </c>
      <c r="AT86" s="40">
        <f>IF(OR(G86&lt;&gt;"入池",NOT(ISNUMBER(AS86))),"",COUNTIFS($G$17:$G$99,"入池",$AS$17:$AS$99,"&gt;"&amp;AS86)+COUNTIFS($G$17:$G$99,"入池",$AS$17:$AS$99,AS86,$AQ$17:$AQ$99,"&gt;"&amp;AQ86)+COUNTIFS($G$17:G86,"入池",$AS$17:AS86,AS86,$AQ$17:AQ86,AQ86))</f>
        <v>32</v>
      </c>
      <c r="AU86" s="46" t="str">
        <f>IF(NOT(ISNUMBER(I86)),"管理人规模；","")&amp;IF(NOT(ISNUMBER(K86)),"产品规模标识；","")&amp;IF(NOT(ISNUMBER(M86)),"近一年收益；","")&amp;IF(NOT(ISNUMBER(T86)),"近一年胜率；","")&amp;IF(NOT(ISNUMBER(N86)),"近三年收益；","")&amp;IF(NOT(ISNUMBER(U86)),"近三年胜率；","")&amp;IF(NOT(ISNUMBER(AA86)),"近三年回撤；","")&amp;IF(NOT(ISNUMBER(AD86)),"近一年卡玛；","")&amp;IF(ISNUMBER(F86),IF(AND(F86&lt;'Sheet1-指标体系'!$J$16,NOT(ISNUMBER(O86))),"成立以来年化；",""),"成立日期；")&amp;IF(ISNUMBER(V86),IF(OR(V86&lt;0,V86&gt;1),"胜率窗口口径不一致；",""),"")&amp;IF(ISNUMBER(P86),IF(NOT(ISNUMBER(AE86)),"DD_long不可识别；",""),"")</f>
        <v/>
      </c>
      <c r="AV86" s="37">
        <f>IF(ABS(SUM(CA86:CK86)-'Sheet1-指标体系'!$J$25)&lt;0.0000000001,SUM(BP86:BZ86),"")</f>
        <v>69.77916</v>
      </c>
      <c r="AW86" s="36" t="str">
        <f>IF(G86&lt;&gt;"入池",G86,IF(AQ86=0,"无有效评分数据",IF(ROUND(AQ86,10)=ROUND('Sheet1-指标体系'!$J$25,10),"完整赋分","暂定分／数据不完整")))</f>
        <v>完整赋分</v>
      </c>
      <c r="AX86" s="22" t="str">
        <f>IF('Sheet4-原始数据'!C71="","",'Sheet4-原始数据'!C71)</f>
        <v>套利策略</v>
      </c>
      <c r="AY86" s="22" t="str">
        <f>IF('Sheet4-原始数据'!D71="","",'Sheet4-原始数据'!D71)</f>
        <v>期货套利</v>
      </c>
      <c r="AZ86" s="22" t="str">
        <f>IF('Sheet5-查询核对'!S71="","",'Sheet5-查询核对'!S71)</f>
        <v>套利策略—期货套利</v>
      </c>
      <c r="BA86" s="25">
        <f>IF('Sheet5-查询核对'!A71="","",'Sheet5-查询核对'!A71)</f>
        <v>71</v>
      </c>
      <c r="BB86" s="22" t="str">
        <f>IF('Sheet5-查询核对'!F71="","",'Sheet5-查询核对'!F71)</f>
        <v>备案号匹配</v>
      </c>
      <c r="BC86" s="24" t="str">
        <f>IF('Sheet5-查询核对'!I71="","",'Sheet5-查询核对'!I71)</f>
        <v>https://mp.fof99.com/fund/view/c8b8443b50a70919</v>
      </c>
      <c r="BD86" s="23">
        <f>IF('Sheet5-查询核对'!H71="","",'Sheet5-查询核对'!H71)</f>
        <v>46269</v>
      </c>
      <c r="BE86" s="24" t="str">
        <f>IF('Sheet5-查询核对'!L71="","",'Sheet5-查询核对'!L71)</f>
        <v>https://gs.amac.org.cn/amac-infodisc/res/pof/manager/101000016974.html</v>
      </c>
      <c r="BF86" s="23">
        <f>IF('Sheet5-查询核对'!M71="","",'Sheet5-查询核对'!M71)</f>
        <v>46276</v>
      </c>
      <c r="BG86" s="24" t="str">
        <f>IF('Sheet5-查询核对'!O71="","",'Sheet5-查询核对'!O71)</f>
        <v>https://gs.amac.org.cn/amac-infodisc/res/pof/fund/1905101802102119.html</v>
      </c>
      <c r="BH86" s="23">
        <f>IF('Sheet5-查询核对'!P71="","",'Sheet5-查询核对'!P71)</f>
        <v>46276</v>
      </c>
      <c r="BI86" s="22" t="str">
        <f>IF('Sheet5-查询核对'!D71="","",'Sheet5-查询核对'!D71)</f>
        <v>SGM299</v>
      </c>
      <c r="BJ86">
        <f>IF(ISNUMBER(AT86),AT86,COUNT($AT$17:$AT$99)+ROWS($AT$17:AT86)-COUNT($AT$17:AT86))</f>
        <v>32</v>
      </c>
      <c r="BK86" s="2">
        <f t="shared" si="37"/>
        <v>1</v>
      </c>
      <c r="BL86" s="2">
        <f t="shared" si="38"/>
        <v>1</v>
      </c>
      <c r="BM86" s="2">
        <f t="shared" si="39"/>
        <v>1</v>
      </c>
      <c r="BN86" s="2">
        <f t="shared" si="40"/>
        <v>1</v>
      </c>
      <c r="BO86" s="2">
        <f t="shared" si="41"/>
        <v>1</v>
      </c>
      <c r="BP86" s="48">
        <f>IF(G86="入池",IF(ISNUMBER(I86),I86*('Sheet1-指标体系'!$G$4),0),0)</f>
        <v>3.6</v>
      </c>
      <c r="BQ86" s="48">
        <f>IF(G86="入池",IF(ISNUMBER(K86),K86*('Sheet1-指标体系'!$G$5),0),0)</f>
        <v>4.5</v>
      </c>
      <c r="BR86" s="48">
        <f>IF(G86="入池",IF(ISNUMBER(L86),L86*('Sheet1-指标体系'!$G$6),0),0)</f>
        <v>4.5</v>
      </c>
      <c r="BS86" s="48">
        <f>IF(G86="入池",IF(ISNUMBER(Q86),Q86*('Sheet1-指标体系'!$G$7*'Sheet1-指标体系'!$J$8),0),0)</f>
        <v>2.21676</v>
      </c>
      <c r="BT86" s="48">
        <f>IF(G86="入池",IF(ISNUMBER(R86),R86*('Sheet1-指标体系'!$G$7*'Sheet1-指标体系'!$J$9),0),0)</f>
        <v>4.15744</v>
      </c>
      <c r="BU86" s="48">
        <f>IF(G86="入池",IF(ISNUMBER(W86),W86*('Sheet1-指标体系'!$G$8*'Sheet1-指标体系'!$J$8),0),0)</f>
        <v>3.32316</v>
      </c>
      <c r="BV86" s="48">
        <f>IF(G86="入池",IF(ISNUMBER(X86),X86*('Sheet1-指标体系'!$G$8*'Sheet1-指标体系'!$J$9),0),0)</f>
        <v>2.0001</v>
      </c>
      <c r="BW86" s="48">
        <f>IF(G86="入池",IF(ISNUMBER(AC86),AC86*('Sheet1-指标体系'!$G$9),0),0)</f>
        <v>14.5275</v>
      </c>
      <c r="BX86" s="48">
        <f>IF(G86="入池",IF(ISNUMBER(AG86),AG86*('Sheet1-指标体系'!$G$10*'Sheet1-指标体系'!$J$8),0),0)</f>
        <v>14.7042</v>
      </c>
      <c r="BY86" s="48">
        <f>IF(G86="入池",IF(ISNUMBER(AH86),AH86*('Sheet1-指标体系'!$G$10*'Sheet1-指标体系'!$J$9),0),0)</f>
        <v>8.25</v>
      </c>
      <c r="BZ86" s="48">
        <f>IF(G86="入池",IF(ISNUMBER(AK86),AK86*('Sheet1-指标体系'!$G$11),0),0)</f>
        <v>8</v>
      </c>
      <c r="CA86" s="49">
        <f>IF(G86="入池",IF(ISNUMBER(I86),'Sheet1-指标体系'!$G$4,0),0)</f>
        <v>0.06</v>
      </c>
      <c r="CB86" s="49">
        <f>IF(G86="入池",IF(ISNUMBER(K86),'Sheet1-指标体系'!$G$5,0),0)</f>
        <v>0.045</v>
      </c>
      <c r="CC86" s="49">
        <f>IF(G86="入池",IF(ISNUMBER(L86),'Sheet1-指标体系'!$G$6,0),0)</f>
        <v>0.045</v>
      </c>
      <c r="CD86" s="49">
        <f>IF(G86="入池",IF(ISNUMBER(Q86),'Sheet1-指标体系'!$G$7*'Sheet1-指标体系'!$J$8,0),0)</f>
        <v>0.084</v>
      </c>
      <c r="CE86" s="49">
        <f>IF(G86="入池",IF(ISNUMBER(R86),'Sheet1-指标体系'!$G$7*'Sheet1-指标体系'!$J$9,0),0)</f>
        <v>0.056</v>
      </c>
      <c r="CF86" s="49">
        <f>IF(G86="入池",IF(ISNUMBER(W86),'Sheet1-指标体系'!$G$8*'Sheet1-指标体系'!$J$8,0),0)</f>
        <v>0.036</v>
      </c>
      <c r="CG86" s="49">
        <f>IF(G86="入池",IF(ISNUMBER(X86),'Sheet1-指标体系'!$G$8*'Sheet1-指标体系'!$J$9,0),0)</f>
        <v>0.024</v>
      </c>
      <c r="CH86" s="49">
        <f>IF(G86="入池",IF(ISNUMBER(AC86),'Sheet1-指标体系'!$G$9,0),0)</f>
        <v>0.25</v>
      </c>
      <c r="CI86" s="49">
        <f>IF(G86="入池",IF(ISNUMBER(AG86),'Sheet1-指标体系'!$G$10*'Sheet1-指标体系'!$J$8,0),0)</f>
        <v>0.18</v>
      </c>
      <c r="CJ86" s="49">
        <f>IF(G86="入池",IF(ISNUMBER(AH86),'Sheet1-指标体系'!$G$10*'Sheet1-指标体系'!$J$9,0),0)</f>
        <v>0.12</v>
      </c>
      <c r="CK86" s="49">
        <f>IF(G86="入池",IF(ISNUMBER(AK86),'Sheet1-指标体系'!$G$11,0),0)</f>
        <v>0.1</v>
      </c>
    </row>
    <row r="87" ht="44" customHeight="1" spans="1:89">
      <c r="A87" s="40">
        <f>'Sheet5-查询核对'!A72-1</f>
        <v>71</v>
      </c>
      <c r="B87" s="24" t="str">
        <f>IF('Sheet4-原始数据'!A72="",'Sheet5-查询核对'!B72,'Sheet4-原始数据'!A72)</f>
        <v>永泉奇点2号混合投资</v>
      </c>
      <c r="C87" s="22" t="str">
        <f>IF('Sheet4-原始数据'!B72="","",'Sheet4-原始数据'!B72)</f>
        <v>SJB356</v>
      </c>
      <c r="D87" s="22" t="str">
        <f>IF('Sheet4-原始数据'!E72="","",'Sheet4-原始数据'!E72)</f>
        <v>宁波永泉</v>
      </c>
      <c r="E87" s="23">
        <f>IF('Sheet4-原始数据'!F72="","",'Sheet4-原始数据'!F72)</f>
        <v>43728</v>
      </c>
      <c r="F87" s="37">
        <f>IF(ISNUMBER(E87),ROUND(('Sheet1-指标体系'!$J$12-E87)/'Sheet1-指标体系'!$J$14,4),"")</f>
        <v>6.9733</v>
      </c>
      <c r="G87" s="36" t="str">
        <f>IF(C87="","未匹配",IF(NOT(ISNUMBER(F87)),"缺成立日期",IF(F87&lt;'Sheet1-指标体系'!$J$15,"不入池","入池")))</f>
        <v>入池</v>
      </c>
      <c r="H87" s="22" t="str">
        <f>IF('Sheet5-查询核对'!K72="","",'Sheet5-查询核对'!K72)</f>
        <v>0-5亿元</v>
      </c>
      <c r="I87" s="37">
        <f>IF(H87="","",IF(COUNTIF('Sheet1-指标体系'!$P$4:$P$10,H87)=0,"",INDEX('Sheet1-指标体系'!$Q$4:$Q$10,MATCH(H87,'Sheet1-指标体系'!$P$4:$P$10,0))))</f>
        <v>60</v>
      </c>
      <c r="J87" s="44" t="str">
        <f>IF(NOT(ISNUMBER('Sheet5-查询核对'!N72)),"",IF('Sheet5-查询核对'!N72=1,"低于"&amp;'Sheet1-指标体系'!$J$4&amp;"万元",IF('Sheet5-查询核对'!N72=0,"无低于"&amp;'Sheet1-指标体系'!$J$4&amp;"万元标识","")))</f>
        <v>无低于1000万元标识</v>
      </c>
      <c r="K87" s="37">
        <f>IF(NOT(ISNUMBER('Sheet5-查询核对'!N72)),"",IF('Sheet5-查询核对'!N72=1,'Sheet1-指标体系'!$J$21,IF('Sheet5-查询核对'!N72=0,'Sheet1-指标体系'!$J$18,"")))</f>
        <v>100</v>
      </c>
      <c r="L87" s="37">
        <f>IF(NOT(ISNUMBER(F87)),"",IF(F87&lt;'Sheet1-指标体系'!$J$15,"",IF(F87&lt;'Sheet1-指标体系'!$J$16,'Sheet1-指标体系'!$J$17,'Sheet1-指标体系'!$J$18)))</f>
        <v>100</v>
      </c>
      <c r="M87" s="26">
        <f>IF(ISNUMBER('Sheet4-原始数据'!G72),'Sheet4-原始数据'!G72,"")</f>
        <v>0.0583</v>
      </c>
      <c r="N87" s="26">
        <f>IF(ISNUMBER('Sheet4-原始数据'!H72),'Sheet4-原始数据'!H72,"")</f>
        <v>0.1242</v>
      </c>
      <c r="O87" s="26">
        <f>IF(ISNUMBER('Sheet5-查询核对'!Q72),'Sheet5-查询核对'!Q72,"")</f>
        <v>0.152</v>
      </c>
      <c r="P87" s="45">
        <f>IF(G87&lt;&gt;"入池","",IF(F87&gt;='Sheet1-指标体系'!$J$16,IF(AND(ISNUMBER(M87),ISNUMBER(N87)),IF(AND(1+M87&gt;0,1+N87&gt;=0),((1+N87)^'Sheet1-指标体系'!$J$16/(1+M87))^(1/('Sheet1-指标体系'!$J$16-1))-1,""),""),IF(AND(ISNUMBER(M87),ISNUMBER(O87)),IF(AND(F87&gt;1,1+M87&gt;0,1+O87&gt;=0),((1+O87)^F87/(1+M87))^(1/(F87-1))-1,""),"")))</f>
        <v>0.158673230630354</v>
      </c>
      <c r="Q87" s="37">
        <f t="shared" si="21"/>
        <v>23.61</v>
      </c>
      <c r="R87" s="37">
        <f t="shared" si="22"/>
        <v>92.42</v>
      </c>
      <c r="S87" s="37">
        <f>IF(ISNUMBER(Q87),IF(ISNUMBER(R87),ROUND(Q87*'Sheet1-指标体系'!$J$8+R87*'Sheet1-指标体系'!$J$9,2),Q87),"")</f>
        <v>51.13</v>
      </c>
      <c r="T87" s="26">
        <f>IF(ISNUMBER('Sheet4-原始数据'!J72),'Sheet4-原始数据'!J72,"")</f>
        <v>1</v>
      </c>
      <c r="U87" s="26">
        <f>IF(ISNUMBER('Sheet4-原始数据'!I72),'Sheet4-原始数据'!I72,"")</f>
        <v>0.8649</v>
      </c>
      <c r="V87" s="45">
        <f>IF(AND(ISNUMBER(T87),ISNUMBER(U87)),(U87*'Sheet1-指标体系'!$J$6-T87*'Sheet1-指标体系'!$J$5)/'Sheet1-指标体系'!$J$7,"")</f>
        <v>0.791720833333333</v>
      </c>
      <c r="W87" s="37">
        <f t="shared" si="23"/>
        <v>100</v>
      </c>
      <c r="X87" s="37">
        <f>IF(G87&lt;&gt;"入池","",IF(ISNUMBER(V87),IF(AND(V87&gt;=0,V87&lt;=1),V87*'Sheet1-指标体系'!$J$18,IF(MAX(0,(F87-'Sheet1-指标体系'!$J$15)*'Sheet1-指标体系'!$J$20)&lt;'Sheet1-指标体系'!$J$19,'Sheet1-指标体系'!$J$18,"")),IF(MAX(0,(F87-'Sheet1-指标体系'!$J$15)*'Sheet1-指标体系'!$J$20)&lt;'Sheet1-指标体系'!$J$19,'Sheet1-指标体系'!$J$18,"")))</f>
        <v>79.1720833333333</v>
      </c>
      <c r="Y87" s="37">
        <f>IF(ISNUMBER(W87),IF(ISNUMBER(X87),ROUND(W87*'Sheet1-指标体系'!$J$8+X87*'Sheet1-指标体系'!$J$9,2),W87),"")</f>
        <v>91.67</v>
      </c>
      <c r="Z87" s="45">
        <f t="shared" si="24"/>
        <v>0.00318675011615513</v>
      </c>
      <c r="AA87" s="26">
        <f>IF(ISNUMBER('Sheet4-原始数据'!K72),'Sheet4-原始数据'!K72,"")</f>
        <v>0.0227</v>
      </c>
      <c r="AB87" s="45">
        <f t="shared" si="25"/>
        <v>0.0227</v>
      </c>
      <c r="AC87" s="37">
        <f t="shared" si="26"/>
        <v>48.65</v>
      </c>
      <c r="AD87" s="30">
        <f>IF(ISNUMBER('Sheet4-原始数据'!M72),'Sheet4-原始数据'!M72,"")</f>
        <v>18.2945</v>
      </c>
      <c r="AE87" s="45">
        <f>IF(AND(ISNUMBER(P87),ISNUMBER(AA87),ISNUMBER(Z87)),IF(AA87&gt;Z87+'Sheet1-指标体系'!$J$11,AA87,""),"")</f>
        <v>0.0227</v>
      </c>
      <c r="AF87" s="37">
        <f t="shared" si="27"/>
        <v>6.99001015992751</v>
      </c>
      <c r="AG87" s="37">
        <f t="shared" si="28"/>
        <v>69.01</v>
      </c>
      <c r="AH87" s="37">
        <f t="shared" si="29"/>
        <v>65.63</v>
      </c>
      <c r="AI87" s="37">
        <f>IF(ISNUMBER(AG87),IF(ISNUMBER(AH87),ROUND(AG87*'Sheet1-指标体系'!$J$8+AH87*'Sheet1-指标体系'!$J$9,2),AG87),"")</f>
        <v>67.66</v>
      </c>
      <c r="AJ87" s="45">
        <f>IF(NOT(ISNUMBER(F87)),"",IF(F87&gt;='Sheet1-指标体系'!$J$16,IF(ISNUMBER(N87),N87,""),IF(ISNUMBER(O87),O87,"")))</f>
        <v>0.1242</v>
      </c>
      <c r="AK87" s="37">
        <f>IF(AND(G87="入池",ISNUMBER(M87),ISNUMBER(AJ87)),IF(M87&gt;=AJ87,'Sheet1-指标体系'!$J$18,IF(AJ87-M87&lt;'Sheet1-指标体系'!$J$10,'Sheet1-指标体系'!$J$22,'Sheet1-指标体系'!$J$23)),"")</f>
        <v>80</v>
      </c>
      <c r="AL87" s="37">
        <f>IF((IF(ISNUMBER(I87),'Sheet1-指标体系'!$G$4,0)+IF(ISNUMBER(K87),'Sheet1-指标体系'!$G$5,0)+IF(ISNUMBER(L87),'Sheet1-指标体系'!$G$6,0))&gt;0,ROUND((IF(ISNUMBER(I87),I87*'Sheet1-指标体系'!$G$4,0)+IF(ISNUMBER(K87),K87*'Sheet1-指标体系'!$G$5,0)+IF(ISNUMBER(L87),L87*'Sheet1-指标体系'!$G$6,0))/(IF(ISNUMBER(I87),'Sheet1-指标体系'!$G$4,0)+IF(ISNUMBER(K87),'Sheet1-指标体系'!$G$5,0)+IF(ISNUMBER(L87),'Sheet1-指标体系'!$G$6,0)),2),"")</f>
        <v>84</v>
      </c>
      <c r="AM87" s="37">
        <f t="shared" si="30"/>
        <v>63.29</v>
      </c>
      <c r="AN87" s="37">
        <f t="shared" si="31"/>
        <v>48.65</v>
      </c>
      <c r="AO87" s="37">
        <f t="shared" si="32"/>
        <v>67.66</v>
      </c>
      <c r="AP87" s="37">
        <f t="shared" si="33"/>
        <v>80</v>
      </c>
      <c r="AQ87" s="38">
        <f t="shared" si="34"/>
        <v>1</v>
      </c>
      <c r="AR87" s="37">
        <f t="shared" si="35"/>
        <v>65.71879</v>
      </c>
      <c r="AS87" s="37">
        <f t="shared" si="36"/>
        <v>65.72</v>
      </c>
      <c r="AT87" s="40">
        <f>IF(OR(G87&lt;&gt;"入池",NOT(ISNUMBER(AS87))),"",COUNTIFS($G$17:$G$99,"入池",$AS$17:$AS$99,"&gt;"&amp;AS87)+COUNTIFS($G$17:$G$99,"入池",$AS$17:$AS$99,AS87,$AQ$17:$AQ$99,"&gt;"&amp;AQ87)+COUNTIFS($G$17:G87,"入池",$AS$17:AS87,AS87,$AQ$17:AQ87,AQ87))</f>
        <v>37</v>
      </c>
      <c r="AU87" s="46" t="str">
        <f>IF(NOT(ISNUMBER(I87)),"管理人规模；","")&amp;IF(NOT(ISNUMBER(K87)),"产品规模标识；","")&amp;IF(NOT(ISNUMBER(M87)),"近一年收益；","")&amp;IF(NOT(ISNUMBER(T87)),"近一年胜率；","")&amp;IF(NOT(ISNUMBER(N87)),"近三年收益；","")&amp;IF(NOT(ISNUMBER(U87)),"近三年胜率；","")&amp;IF(NOT(ISNUMBER(AA87)),"近三年回撤；","")&amp;IF(NOT(ISNUMBER(AD87)),"近一年卡玛；","")&amp;IF(ISNUMBER(F87),IF(AND(F87&lt;'Sheet1-指标体系'!$J$16,NOT(ISNUMBER(O87))),"成立以来年化；",""),"成立日期；")&amp;IF(ISNUMBER(V87),IF(OR(V87&lt;0,V87&gt;1),"胜率窗口口径不一致；",""),"")&amp;IF(ISNUMBER(P87),IF(NOT(ISNUMBER(AE87)),"DD_long不可识别；",""),"")</f>
        <v/>
      </c>
      <c r="AV87" s="37">
        <f>IF(ABS(SUM(CA87:CK87)-'Sheet1-指标体系'!$J$25)&lt;0.0000000001,SUM(BP87:BZ87),"")</f>
        <v>65.71879</v>
      </c>
      <c r="AW87" s="36" t="str">
        <f>IF(G87&lt;&gt;"入池",G87,IF(AQ87=0,"无有效评分数据",IF(ROUND(AQ87,10)=ROUND('Sheet1-指标体系'!$J$25,10),"完整赋分","暂定分／数据不完整")))</f>
        <v>完整赋分</v>
      </c>
      <c r="AX87" s="22" t="str">
        <f>IF('Sheet4-原始数据'!C72="","",'Sheet4-原始数据'!C72)</f>
        <v>套利策略</v>
      </c>
      <c r="AY87" s="22" t="str">
        <f>IF('Sheet4-原始数据'!D72="","",'Sheet4-原始数据'!D72)</f>
        <v>期货套利</v>
      </c>
      <c r="AZ87" s="22" t="str">
        <f>IF('Sheet5-查询核对'!S72="","",'Sheet5-查询核对'!S72)</f>
        <v>套利策略—期货套利</v>
      </c>
      <c r="BA87" s="25">
        <f>IF('Sheet5-查询核对'!A72="","",'Sheet5-查询核对'!A72)</f>
        <v>72</v>
      </c>
      <c r="BB87" s="22" t="str">
        <f>IF('Sheet5-查询核对'!F72="","",'Sheet5-查询核对'!F72)</f>
        <v>备案号匹配</v>
      </c>
      <c r="BC87" s="24" t="str">
        <f>IF('Sheet5-查询核对'!I72="","",'Sheet5-查询核对'!I72)</f>
        <v>https://mp.fof99.com/fund/view/82e5c285d80c294f</v>
      </c>
      <c r="BD87" s="23">
        <f>IF('Sheet5-查询核对'!H72="","",'Sheet5-查询核对'!H72)</f>
        <v>46269</v>
      </c>
      <c r="BE87" s="24" t="str">
        <f>IF('Sheet5-查询核对'!L72="","",'Sheet5-查询核对'!L72)</f>
        <v>https://gs.amac.org.cn/amac-infodisc/res/pof/manager/101000016974.html</v>
      </c>
      <c r="BF87" s="23">
        <f>IF('Sheet5-查询核对'!M72="","",'Sheet5-查询核对'!M72)</f>
        <v>46276</v>
      </c>
      <c r="BG87" s="24" t="str">
        <f>IF('Sheet5-查询核对'!O72="","",'Sheet5-查询核对'!O72)</f>
        <v>https://gs.amac.org.cn/amac-infodisc/res/pof/fund/1909261835100611.html</v>
      </c>
      <c r="BH87" s="23">
        <f>IF('Sheet5-查询核对'!P72="","",'Sheet5-查询核对'!P72)</f>
        <v>46276</v>
      </c>
      <c r="BI87" s="22" t="str">
        <f>IF('Sheet5-查询核对'!D72="","",'Sheet5-查询核对'!D72)</f>
        <v>SJB356</v>
      </c>
      <c r="BJ87">
        <f>IF(ISNUMBER(AT87),AT87,COUNT($AT$17:$AT$99)+ROWS($AT$17:AT87)-COUNT($AT$17:AT87))</f>
        <v>37</v>
      </c>
      <c r="BK87" s="2">
        <f t="shared" si="37"/>
        <v>1</v>
      </c>
      <c r="BL87" s="2">
        <f t="shared" si="38"/>
        <v>1</v>
      </c>
      <c r="BM87" s="2">
        <f t="shared" si="39"/>
        <v>1</v>
      </c>
      <c r="BN87" s="2">
        <f t="shared" si="40"/>
        <v>1</v>
      </c>
      <c r="BO87" s="2">
        <f t="shared" si="41"/>
        <v>1</v>
      </c>
      <c r="BP87" s="48">
        <f>IF(G87="入池",IF(ISNUMBER(I87),I87*('Sheet1-指标体系'!$G$4),0),0)</f>
        <v>3.6</v>
      </c>
      <c r="BQ87" s="48">
        <f>IF(G87="入池",IF(ISNUMBER(K87),K87*('Sheet1-指标体系'!$G$5),0),0)</f>
        <v>4.5</v>
      </c>
      <c r="BR87" s="48">
        <f>IF(G87="入池",IF(ISNUMBER(L87),L87*('Sheet1-指标体系'!$G$6),0),0)</f>
        <v>4.5</v>
      </c>
      <c r="BS87" s="48">
        <f>IF(G87="入池",IF(ISNUMBER(Q87),Q87*('Sheet1-指标体系'!$G$7*'Sheet1-指标体系'!$J$8),0),0)</f>
        <v>1.98324</v>
      </c>
      <c r="BT87" s="48">
        <f>IF(G87="入池",IF(ISNUMBER(R87),R87*('Sheet1-指标体系'!$G$7*'Sheet1-指标体系'!$J$9),0),0)</f>
        <v>5.17552</v>
      </c>
      <c r="BU87" s="48">
        <f>IF(G87="入池",IF(ISNUMBER(W87),W87*('Sheet1-指标体系'!$G$8*'Sheet1-指标体系'!$J$8),0),0)</f>
        <v>3.6</v>
      </c>
      <c r="BV87" s="48">
        <f>IF(G87="入池",IF(ISNUMBER(X87),X87*('Sheet1-指标体系'!$G$8*'Sheet1-指标体系'!$J$9),0),0)</f>
        <v>1.90013</v>
      </c>
      <c r="BW87" s="48">
        <f>IF(G87="入池",IF(ISNUMBER(AC87),AC87*('Sheet1-指标体系'!$G$9),0),0)</f>
        <v>12.1625</v>
      </c>
      <c r="BX87" s="48">
        <f>IF(G87="入池",IF(ISNUMBER(AG87),AG87*('Sheet1-指标体系'!$G$10*'Sheet1-指标体系'!$J$8),0),0)</f>
        <v>12.4218</v>
      </c>
      <c r="BY87" s="48">
        <f>IF(G87="入池",IF(ISNUMBER(AH87),AH87*('Sheet1-指标体系'!$G$10*'Sheet1-指标体系'!$J$9),0),0)</f>
        <v>7.8756</v>
      </c>
      <c r="BZ87" s="48">
        <f>IF(G87="入池",IF(ISNUMBER(AK87),AK87*('Sheet1-指标体系'!$G$11),0),0)</f>
        <v>8</v>
      </c>
      <c r="CA87" s="49">
        <f>IF(G87="入池",IF(ISNUMBER(I87),'Sheet1-指标体系'!$G$4,0),0)</f>
        <v>0.06</v>
      </c>
      <c r="CB87" s="49">
        <f>IF(G87="入池",IF(ISNUMBER(K87),'Sheet1-指标体系'!$G$5,0),0)</f>
        <v>0.045</v>
      </c>
      <c r="CC87" s="49">
        <f>IF(G87="入池",IF(ISNUMBER(L87),'Sheet1-指标体系'!$G$6,0),0)</f>
        <v>0.045</v>
      </c>
      <c r="CD87" s="49">
        <f>IF(G87="入池",IF(ISNUMBER(Q87),'Sheet1-指标体系'!$G$7*'Sheet1-指标体系'!$J$8,0),0)</f>
        <v>0.084</v>
      </c>
      <c r="CE87" s="49">
        <f>IF(G87="入池",IF(ISNUMBER(R87),'Sheet1-指标体系'!$G$7*'Sheet1-指标体系'!$J$9,0),0)</f>
        <v>0.056</v>
      </c>
      <c r="CF87" s="49">
        <f>IF(G87="入池",IF(ISNUMBER(W87),'Sheet1-指标体系'!$G$8*'Sheet1-指标体系'!$J$8,0),0)</f>
        <v>0.036</v>
      </c>
      <c r="CG87" s="49">
        <f>IF(G87="入池",IF(ISNUMBER(X87),'Sheet1-指标体系'!$G$8*'Sheet1-指标体系'!$J$9,0),0)</f>
        <v>0.024</v>
      </c>
      <c r="CH87" s="49">
        <f>IF(G87="入池",IF(ISNUMBER(AC87),'Sheet1-指标体系'!$G$9,0),0)</f>
        <v>0.25</v>
      </c>
      <c r="CI87" s="49">
        <f>IF(G87="入池",IF(ISNUMBER(AG87),'Sheet1-指标体系'!$G$10*'Sheet1-指标体系'!$J$8,0),0)</f>
        <v>0.18</v>
      </c>
      <c r="CJ87" s="49">
        <f>IF(G87="入池",IF(ISNUMBER(AH87),'Sheet1-指标体系'!$G$10*'Sheet1-指标体系'!$J$9,0),0)</f>
        <v>0.12</v>
      </c>
      <c r="CK87" s="49">
        <f>IF(G87="入池",IF(ISNUMBER(AK87),'Sheet1-指标体系'!$G$11,0),0)</f>
        <v>0.1</v>
      </c>
    </row>
    <row r="88" ht="44" customHeight="1" spans="1:89">
      <c r="A88" s="40">
        <f>'Sheet5-查询核对'!A73-1</f>
        <v>72</v>
      </c>
      <c r="B88" s="24" t="str">
        <f>IF('Sheet4-原始数据'!A73="",'Sheet5-查询核对'!B73,'Sheet4-原始数据'!A73)</f>
        <v>涌涵农本一号</v>
      </c>
      <c r="C88" s="22" t="str">
        <f>IF('Sheet4-原始数据'!B73="","",'Sheet4-原始数据'!B73)</f>
        <v>SAWA30</v>
      </c>
      <c r="D88" s="22" t="str">
        <f>IF('Sheet4-原始数据'!E73="","",'Sheet4-原始数据'!E73)</f>
        <v>上海涌涵</v>
      </c>
      <c r="E88" s="23">
        <f>IF('Sheet4-原始数据'!F73="","",'Sheet4-原始数据'!F73)</f>
        <v>45803</v>
      </c>
      <c r="F88" s="37">
        <f>IF(ISNUMBER(E88),ROUND(('Sheet1-指标体系'!$J$12-E88)/'Sheet1-指标体系'!$J$14,4),"")</f>
        <v>1.2923</v>
      </c>
      <c r="G88" s="36" t="str">
        <f>IF(C88="","未匹配",IF(NOT(ISNUMBER(F88)),"缺成立日期",IF(F88&lt;'Sheet1-指标体系'!$J$15,"不入池","入池")))</f>
        <v>入池</v>
      </c>
      <c r="H88" s="22" t="str">
        <f>IF('Sheet5-查询核对'!K73="","",'Sheet5-查询核对'!K73)</f>
        <v>10-20亿元</v>
      </c>
      <c r="I88" s="37">
        <f>IF(H88="","",IF(COUNTIF('Sheet1-指标体系'!$P$4:$P$10,H88)=0,"",INDEX('Sheet1-指标体系'!$Q$4:$Q$10,MATCH(H88,'Sheet1-指标体系'!$P$4:$P$10,0))))</f>
        <v>80</v>
      </c>
      <c r="J88" s="44" t="str">
        <f>IF(NOT(ISNUMBER('Sheet5-查询核对'!N73)),"",IF('Sheet5-查询核对'!N73=1,"低于"&amp;'Sheet1-指标体系'!$J$4&amp;"万元",IF('Sheet5-查询核对'!N73=0,"无低于"&amp;'Sheet1-指标体系'!$J$4&amp;"万元标识","")))</f>
        <v>无低于1000万元标识</v>
      </c>
      <c r="K88" s="37">
        <f>IF(NOT(ISNUMBER('Sheet5-查询核对'!N73)),"",IF('Sheet5-查询核对'!N73=1,'Sheet1-指标体系'!$J$21,IF('Sheet5-查询核对'!N73=0,'Sheet1-指标体系'!$J$18,"")))</f>
        <v>100</v>
      </c>
      <c r="L88" s="37">
        <f>IF(NOT(ISNUMBER(F88)),"",IF(F88&lt;'Sheet1-指标体系'!$J$15,"",IF(F88&lt;'Sheet1-指标体系'!$J$16,'Sheet1-指标体系'!$J$17,'Sheet1-指标体系'!$J$18)))</f>
        <v>70</v>
      </c>
      <c r="M88" s="26">
        <f>IF(ISNUMBER('Sheet4-原始数据'!G73),'Sheet4-原始数据'!G73,"")</f>
        <v>0.2405</v>
      </c>
      <c r="N88" s="26" t="str">
        <f>IF(ISNUMBER('Sheet4-原始数据'!H73),'Sheet4-原始数据'!H73,"")</f>
        <v/>
      </c>
      <c r="O88" s="26">
        <f>IF(ISNUMBER('Sheet5-查询核对'!Q73),'Sheet5-查询核对'!Q73,"")</f>
        <v>0.1639</v>
      </c>
      <c r="P88" s="45">
        <f>IF(G88&lt;&gt;"入池","",IF(F88&gt;='Sheet1-指标体系'!$J$16,IF(AND(ISNUMBER(M88),ISNUMBER(N88)),IF(AND(1+M88&gt;0,1+N88&gt;=0),((1+N88)^'Sheet1-指标体系'!$J$16/(1+M88))^(1/('Sheet1-指标体系'!$J$16-1))-1,""),""),IF(AND(ISNUMBER(M88),ISNUMBER(O88)),IF(AND(F88&gt;1,1+M88&gt;0,1+O88&gt;=0),((1+O88)^F88/(1+M88))^(1/(F88-1))-1,""),"")))</f>
        <v>-0.0641318343725928</v>
      </c>
      <c r="Q88" s="37">
        <f t="shared" si="21"/>
        <v>90.28</v>
      </c>
      <c r="R88" s="37">
        <f t="shared" si="22"/>
        <v>0</v>
      </c>
      <c r="S88" s="37">
        <f>IF(ISNUMBER(Q88),IF(ISNUMBER(R88),ROUND(Q88*'Sheet1-指标体系'!$J$8+R88*'Sheet1-指标体系'!$J$9,2),Q88),"")</f>
        <v>54.17</v>
      </c>
      <c r="T88" s="26">
        <f>IF(ISNUMBER('Sheet4-原始数据'!J73),'Sheet4-原始数据'!J73,"")</f>
        <v>0.4615</v>
      </c>
      <c r="U88" s="26" t="str">
        <f>IF(ISNUMBER('Sheet4-原始数据'!I73),'Sheet4-原始数据'!I73,"")</f>
        <v/>
      </c>
      <c r="V88" s="45" t="str">
        <f>IF(AND(ISNUMBER(T88),ISNUMBER(U88)),(U88*'Sheet1-指标体系'!$J$6-T88*'Sheet1-指标体系'!$J$5)/'Sheet1-指标体系'!$J$7,"")</f>
        <v/>
      </c>
      <c r="W88" s="37">
        <f t="shared" si="23"/>
        <v>46.15</v>
      </c>
      <c r="X88" s="37">
        <f>IF(G88&lt;&gt;"入池","",IF(ISNUMBER(V88),IF(AND(V88&gt;=0,V88&lt;=1),V88*'Sheet1-指标体系'!$J$18,IF(MAX(0,(F88-'Sheet1-指标体系'!$J$15)*'Sheet1-指标体系'!$J$20)&lt;'Sheet1-指标体系'!$J$19,'Sheet1-指标体系'!$J$18,"")),IF(MAX(0,(F88-'Sheet1-指标体系'!$J$15)*'Sheet1-指标体系'!$J$20)&lt;'Sheet1-指标体系'!$J$19,'Sheet1-指标体系'!$J$18,"")))</f>
        <v>100</v>
      </c>
      <c r="Y88" s="37">
        <f>IF(ISNUMBER(W88),IF(ISNUMBER(X88),ROUND(W88*'Sheet1-指标体系'!$J$8+X88*'Sheet1-指标体系'!$J$9,2),W88),"")</f>
        <v>67.69</v>
      </c>
      <c r="Z88" s="45">
        <f t="shared" si="24"/>
        <v>0.196454827642542</v>
      </c>
      <c r="AA88" s="26" t="str">
        <f>IF(ISNUMBER('Sheet4-原始数据'!K73),'Sheet4-原始数据'!K73,"")</f>
        <v/>
      </c>
      <c r="AB88" s="45">
        <f t="shared" si="25"/>
        <v>0.196454827642542</v>
      </c>
      <c r="AC88" s="37">
        <f t="shared" si="26"/>
        <v>1.35</v>
      </c>
      <c r="AD88" s="30">
        <f>IF(ISNUMBER('Sheet4-原始数据'!M73),'Sheet4-原始数据'!M73,"")</f>
        <v>1.2242</v>
      </c>
      <c r="AE88" s="45" t="str">
        <f>IF(AND(ISNUMBER(P88),ISNUMBER(AA88),ISNUMBER(Z88)),IF(AA88&gt;Z88+'Sheet1-指标体系'!$J$11,AA88,""),"")</f>
        <v/>
      </c>
      <c r="AF88" s="37" t="str">
        <f t="shared" si="27"/>
        <v/>
      </c>
      <c r="AG88" s="37">
        <f t="shared" si="28"/>
        <v>8.45</v>
      </c>
      <c r="AH88" s="37" t="str">
        <f t="shared" si="29"/>
        <v/>
      </c>
      <c r="AI88" s="37">
        <f>IF(ISNUMBER(AG88),IF(ISNUMBER(AH88),ROUND(AG88*'Sheet1-指标体系'!$J$8+AH88*'Sheet1-指标体系'!$J$9,2),AG88),"")</f>
        <v>8.45</v>
      </c>
      <c r="AJ88" s="45">
        <f>IF(NOT(ISNUMBER(F88)),"",IF(F88&gt;='Sheet1-指标体系'!$J$16,IF(ISNUMBER(N88),N88,""),IF(ISNUMBER(O88),O88,"")))</f>
        <v>0.1639</v>
      </c>
      <c r="AK88" s="37">
        <f>IF(AND(G88="入池",ISNUMBER(M88),ISNUMBER(AJ88)),IF(M88&gt;=AJ88,'Sheet1-指标体系'!$J$18,IF(AJ88-M88&lt;'Sheet1-指标体系'!$J$10,'Sheet1-指标体系'!$J$22,'Sheet1-指标体系'!$J$23)),"")</f>
        <v>100</v>
      </c>
      <c r="AL88" s="37">
        <f>IF((IF(ISNUMBER(I88),'Sheet1-指标体系'!$G$4,0)+IF(ISNUMBER(K88),'Sheet1-指标体系'!$G$5,0)+IF(ISNUMBER(L88),'Sheet1-指标体系'!$G$6,0))&gt;0,ROUND((IF(ISNUMBER(I88),I88*'Sheet1-指标体系'!$G$4,0)+IF(ISNUMBER(K88),K88*'Sheet1-指标体系'!$G$5,0)+IF(ISNUMBER(L88),L88*'Sheet1-指标体系'!$G$6,0))/(IF(ISNUMBER(I88),'Sheet1-指标体系'!$G$4,0)+IF(ISNUMBER(K88),'Sheet1-指标体系'!$G$5,0)+IF(ISNUMBER(L88),'Sheet1-指标体系'!$G$6,0)),2),"")</f>
        <v>83</v>
      </c>
      <c r="AM88" s="37">
        <f t="shared" si="30"/>
        <v>58.22</v>
      </c>
      <c r="AN88" s="37">
        <f t="shared" si="31"/>
        <v>1.35</v>
      </c>
      <c r="AO88" s="37">
        <f t="shared" si="32"/>
        <v>8.45</v>
      </c>
      <c r="AP88" s="37">
        <f t="shared" si="33"/>
        <v>100</v>
      </c>
      <c r="AQ88" s="38">
        <f t="shared" si="34"/>
        <v>0.88</v>
      </c>
      <c r="AR88" s="37">
        <f t="shared" si="35"/>
        <v>35.95342</v>
      </c>
      <c r="AS88" s="37">
        <f t="shared" si="36"/>
        <v>40.86</v>
      </c>
      <c r="AT88" s="40">
        <f>IF(OR(G88&lt;&gt;"入池",NOT(ISNUMBER(AS88))),"",COUNTIFS($G$17:$G$99,"入池",$AS$17:$AS$99,"&gt;"&amp;AS88)+COUNTIFS($G$17:$G$99,"入池",$AS$17:$AS$99,AS88,$AQ$17:$AQ$99,"&gt;"&amp;AQ88)+COUNTIFS($G$17:G88,"入池",$AS$17:AS88,AS88,$AQ$17:AQ88,AQ88))</f>
        <v>68</v>
      </c>
      <c r="AU88" s="46" t="str">
        <f>IF(NOT(ISNUMBER(I88)),"管理人规模；","")&amp;IF(NOT(ISNUMBER(K88)),"产品规模标识；","")&amp;IF(NOT(ISNUMBER(M88)),"近一年收益；","")&amp;IF(NOT(ISNUMBER(T88)),"近一年胜率；","")&amp;IF(NOT(ISNUMBER(N88)),"近三年收益；","")&amp;IF(NOT(ISNUMBER(U88)),"近三年胜率；","")&amp;IF(NOT(ISNUMBER(AA88)),"近三年回撤；","")&amp;IF(NOT(ISNUMBER(AD88)),"近一年卡玛；","")&amp;IF(ISNUMBER(F88),IF(AND(F88&lt;'Sheet1-指标体系'!$J$16,NOT(ISNUMBER(O88))),"成立以来年化；",""),"成立日期；")&amp;IF(ISNUMBER(V88),IF(OR(V88&lt;0,V88&gt;1),"胜率窗口口径不一致；",""),"")&amp;IF(ISNUMBER(P88),IF(NOT(ISNUMBER(AE88)),"DD_long不可识别；",""),"")</f>
        <v>近三年收益；近三年胜率；近三年回撤；DD_long不可识别；</v>
      </c>
      <c r="AV88" s="37" t="str">
        <f>IF(ABS(SUM(CA88:CK88)-'Sheet1-指标体系'!$J$25)&lt;0.0000000001,SUM(BP88:BZ88),"")</f>
        <v/>
      </c>
      <c r="AW88" s="36" t="str">
        <f>IF(G88&lt;&gt;"入池",G88,IF(AQ88=0,"无有效评分数据",IF(ROUND(AQ88,10)=ROUND('Sheet1-指标体系'!$J$25,10),"完整赋分","暂定分／数据不完整")))</f>
        <v>暂定分／数据不完整</v>
      </c>
      <c r="AX88" s="22" t="str">
        <f>IF('Sheet4-原始数据'!C73="","",'Sheet4-原始数据'!C73)</f>
        <v>套利策略</v>
      </c>
      <c r="AY88" s="22" t="str">
        <f>IF('Sheet4-原始数据'!D73="","",'Sheet4-原始数据'!D73)</f>
        <v/>
      </c>
      <c r="AZ88" s="22" t="str">
        <f>IF('Sheet5-查询核对'!S73="","",'Sheet5-查询核对'!S73)</f>
        <v>套利策略—其他</v>
      </c>
      <c r="BA88" s="25">
        <f>IF('Sheet5-查询核对'!A73="","",'Sheet5-查询核对'!A73)</f>
        <v>73</v>
      </c>
      <c r="BB88" s="22" t="str">
        <f>IF('Sheet5-查询核对'!F73="","",'Sheet5-查询核对'!F73)</f>
        <v>备案号匹配</v>
      </c>
      <c r="BC88" s="24" t="str">
        <f>IF('Sheet5-查询核对'!I73="","",'Sheet5-查询核对'!I73)</f>
        <v>https://mp.fof99.com/fund/view/fbdc1fb41bf9e1b4</v>
      </c>
      <c r="BD88" s="23">
        <f>IF('Sheet5-查询核对'!H73="","",'Sheet5-查询核对'!H73)</f>
        <v>46269</v>
      </c>
      <c r="BE88" s="24" t="str">
        <f>IF('Sheet5-查询核对'!L73="","",'Sheet5-查询核对'!L73)</f>
        <v>https://gs.amac.org.cn/amac-infodisc/res/pof/manager/2108301436104889.html</v>
      </c>
      <c r="BF88" s="23">
        <f>IF('Sheet5-查询核对'!M73="","",'Sheet5-查询核对'!M73)</f>
        <v>46276</v>
      </c>
      <c r="BG88" s="24" t="str">
        <f>IF('Sheet5-查询核对'!O73="","",'Sheet5-查询核对'!O73)</f>
        <v>https://gs.amac.org.cn/amac-infodisc/res/pof/fund/2506041444103887.html</v>
      </c>
      <c r="BH88" s="23">
        <f>IF('Sheet5-查询核对'!P73="","",'Sheet5-查询核对'!P73)</f>
        <v>46276</v>
      </c>
      <c r="BI88" s="22" t="str">
        <f>IF('Sheet5-查询核对'!D73="","",'Sheet5-查询核对'!D73)</f>
        <v>SAWA30</v>
      </c>
      <c r="BJ88">
        <f>IF(ISNUMBER(AT88),AT88,COUNT($AT$17:$AT$99)+ROWS($AT$17:AT88)-COUNT($AT$17:AT88))</f>
        <v>68</v>
      </c>
      <c r="BK88" s="2">
        <f t="shared" si="37"/>
        <v>1</v>
      </c>
      <c r="BL88" s="2">
        <f t="shared" si="38"/>
        <v>1</v>
      </c>
      <c r="BM88" s="2">
        <f t="shared" si="39"/>
        <v>1</v>
      </c>
      <c r="BN88" s="2">
        <f t="shared" si="40"/>
        <v>1</v>
      </c>
      <c r="BO88" s="2">
        <f t="shared" si="41"/>
        <v>0</v>
      </c>
      <c r="BP88" s="48">
        <f>IF(G88="入池",IF(ISNUMBER(I88),I88*('Sheet1-指标体系'!$G$4),0),0)</f>
        <v>4.8</v>
      </c>
      <c r="BQ88" s="48">
        <f>IF(G88="入池",IF(ISNUMBER(K88),K88*('Sheet1-指标体系'!$G$5),0),0)</f>
        <v>4.5</v>
      </c>
      <c r="BR88" s="48">
        <f>IF(G88="入池",IF(ISNUMBER(L88),L88*('Sheet1-指标体系'!$G$6),0),0)</f>
        <v>3.15</v>
      </c>
      <c r="BS88" s="48">
        <f>IF(G88="入池",IF(ISNUMBER(Q88),Q88*('Sheet1-指标体系'!$G$7*'Sheet1-指标体系'!$J$8),0),0)</f>
        <v>7.58352</v>
      </c>
      <c r="BT88" s="48">
        <f>IF(G88="入池",IF(ISNUMBER(R88),R88*('Sheet1-指标体系'!$G$7*'Sheet1-指标体系'!$J$9),0),0)</f>
        <v>0</v>
      </c>
      <c r="BU88" s="48">
        <f>IF(G88="入池",IF(ISNUMBER(W88),W88*('Sheet1-指标体系'!$G$8*'Sheet1-指标体系'!$J$8),0),0)</f>
        <v>1.6614</v>
      </c>
      <c r="BV88" s="48">
        <f>IF(G88="入池",IF(ISNUMBER(X88),X88*('Sheet1-指标体系'!$G$8*'Sheet1-指标体系'!$J$9),0),0)</f>
        <v>2.4</v>
      </c>
      <c r="BW88" s="48">
        <f>IF(G88="入池",IF(ISNUMBER(AC88),AC88*('Sheet1-指标体系'!$G$9),0),0)</f>
        <v>0.3375</v>
      </c>
      <c r="BX88" s="48">
        <f>IF(G88="入池",IF(ISNUMBER(AG88),AG88*('Sheet1-指标体系'!$G$10*'Sheet1-指标体系'!$J$8),0),0)</f>
        <v>1.521</v>
      </c>
      <c r="BY88" s="48">
        <f>IF(G88="入池",IF(ISNUMBER(AH88),AH88*('Sheet1-指标体系'!$G$10*'Sheet1-指标体系'!$J$9),0),0)</f>
        <v>0</v>
      </c>
      <c r="BZ88" s="48">
        <f>IF(G88="入池",IF(ISNUMBER(AK88),AK88*('Sheet1-指标体系'!$G$11),0),0)</f>
        <v>10</v>
      </c>
      <c r="CA88" s="49">
        <f>IF(G88="入池",IF(ISNUMBER(I88),'Sheet1-指标体系'!$G$4,0),0)</f>
        <v>0.06</v>
      </c>
      <c r="CB88" s="49">
        <f>IF(G88="入池",IF(ISNUMBER(K88),'Sheet1-指标体系'!$G$5,0),0)</f>
        <v>0.045</v>
      </c>
      <c r="CC88" s="49">
        <f>IF(G88="入池",IF(ISNUMBER(L88),'Sheet1-指标体系'!$G$6,0),0)</f>
        <v>0.045</v>
      </c>
      <c r="CD88" s="49">
        <f>IF(G88="入池",IF(ISNUMBER(Q88),'Sheet1-指标体系'!$G$7*'Sheet1-指标体系'!$J$8,0),0)</f>
        <v>0.084</v>
      </c>
      <c r="CE88" s="49">
        <f>IF(G88="入池",IF(ISNUMBER(R88),'Sheet1-指标体系'!$G$7*'Sheet1-指标体系'!$J$9,0),0)</f>
        <v>0.056</v>
      </c>
      <c r="CF88" s="49">
        <f>IF(G88="入池",IF(ISNUMBER(W88),'Sheet1-指标体系'!$G$8*'Sheet1-指标体系'!$J$8,0),0)</f>
        <v>0.036</v>
      </c>
      <c r="CG88" s="49">
        <f>IF(G88="入池",IF(ISNUMBER(X88),'Sheet1-指标体系'!$G$8*'Sheet1-指标体系'!$J$9,0),0)</f>
        <v>0.024</v>
      </c>
      <c r="CH88" s="49">
        <f>IF(G88="入池",IF(ISNUMBER(AC88),'Sheet1-指标体系'!$G$9,0),0)</f>
        <v>0.25</v>
      </c>
      <c r="CI88" s="49">
        <f>IF(G88="入池",IF(ISNUMBER(AG88),'Sheet1-指标体系'!$G$10*'Sheet1-指标体系'!$J$8,0),0)</f>
        <v>0.18</v>
      </c>
      <c r="CJ88" s="49">
        <f>IF(G88="入池",IF(ISNUMBER(AH88),'Sheet1-指标体系'!$G$10*'Sheet1-指标体系'!$J$9,0),0)</f>
        <v>0</v>
      </c>
      <c r="CK88" s="49">
        <f>IF(G88="入池",IF(ISNUMBER(AK88),'Sheet1-指标体系'!$G$11,0),0)</f>
        <v>0.1</v>
      </c>
    </row>
    <row r="89" ht="44" customHeight="1" spans="1:89">
      <c r="A89" s="40">
        <f>'Sheet5-查询核对'!A74-1</f>
        <v>73</v>
      </c>
      <c r="B89" s="24" t="str">
        <f>IF('Sheet4-原始数据'!A74="",'Sheet5-查询核对'!B74,'Sheet4-原始数据'!A74)</f>
        <v>裕锦量化专享1号</v>
      </c>
      <c r="C89" s="22" t="str">
        <f>IF('Sheet4-原始数据'!B74="","",'Sheet4-原始数据'!B74)</f>
        <v>SNE165</v>
      </c>
      <c r="D89" s="22" t="str">
        <f>IF('Sheet4-原始数据'!E74="","",'Sheet4-原始数据'!E74)</f>
        <v>深圳裕锦</v>
      </c>
      <c r="E89" s="23">
        <f>IF('Sheet4-原始数据'!F74="","",'Sheet4-原始数据'!F74)</f>
        <v>44166</v>
      </c>
      <c r="F89" s="37">
        <f>IF(ISNUMBER(E89),ROUND(('Sheet1-指标体系'!$J$12-E89)/'Sheet1-指标体系'!$J$14,4),"")</f>
        <v>5.7741</v>
      </c>
      <c r="G89" s="36" t="str">
        <f>IF(C89="","未匹配",IF(NOT(ISNUMBER(F89)),"缺成立日期",IF(F89&lt;'Sheet1-指标体系'!$J$15,"不入池","入池")))</f>
        <v>入池</v>
      </c>
      <c r="H89" s="22" t="str">
        <f>IF('Sheet5-查询核对'!K74="","",'Sheet5-查询核对'!K74)</f>
        <v>10-20亿元</v>
      </c>
      <c r="I89" s="37">
        <f>IF(H89="","",IF(COUNTIF('Sheet1-指标体系'!$P$4:$P$10,H89)=0,"",INDEX('Sheet1-指标体系'!$Q$4:$Q$10,MATCH(H89,'Sheet1-指标体系'!$P$4:$P$10,0))))</f>
        <v>80</v>
      </c>
      <c r="J89" s="44" t="str">
        <f>IF(NOT(ISNUMBER('Sheet5-查询核对'!N74)),"",IF('Sheet5-查询核对'!N74=1,"低于"&amp;'Sheet1-指标体系'!$J$4&amp;"万元",IF('Sheet5-查询核对'!N74=0,"无低于"&amp;'Sheet1-指标体系'!$J$4&amp;"万元标识","")))</f>
        <v>无低于1000万元标识</v>
      </c>
      <c r="K89" s="37">
        <f>IF(NOT(ISNUMBER('Sheet5-查询核对'!N74)),"",IF('Sheet5-查询核对'!N74=1,'Sheet1-指标体系'!$J$21,IF('Sheet5-查询核对'!N74=0,'Sheet1-指标体系'!$J$18,"")))</f>
        <v>100</v>
      </c>
      <c r="L89" s="37">
        <f>IF(NOT(ISNUMBER(F89)),"",IF(F89&lt;'Sheet1-指标体系'!$J$15,"",IF(F89&lt;'Sheet1-指标体系'!$J$16,'Sheet1-指标体系'!$J$17,'Sheet1-指标体系'!$J$18)))</f>
        <v>100</v>
      </c>
      <c r="M89" s="26">
        <f>IF(ISNUMBER('Sheet4-原始数据'!G74),'Sheet4-原始数据'!G74,"")</f>
        <v>0.1855</v>
      </c>
      <c r="N89" s="26">
        <f>IF(ISNUMBER('Sheet4-原始数据'!H74),'Sheet4-原始数据'!H74,"")</f>
        <v>0.172</v>
      </c>
      <c r="O89" s="26">
        <f>IF(ISNUMBER('Sheet5-查询核对'!Q74),'Sheet5-查询核对'!Q74,"")</f>
        <v>0.1926</v>
      </c>
      <c r="P89" s="45">
        <f>IF(G89&lt;&gt;"入池","",IF(F89&gt;='Sheet1-指标体系'!$J$16,IF(AND(ISNUMBER(M89),ISNUMBER(N89)),IF(AND(1+M89&gt;0,1+N89&gt;=0),((1+N89)^'Sheet1-指标体系'!$J$16/(1+M89))^(1/('Sheet1-指标体系'!$J$16-1))-1,""),""),IF(AND(ISNUMBER(M89),ISNUMBER(O89)),IF(AND(F89&gt;1,1+M89&gt;0,1+O89&gt;=0),((1+O89)^F89/(1+M89))^(1/(F89-1))-1,""),"")))</f>
        <v>0.165307759611112</v>
      </c>
      <c r="Q89" s="37">
        <f t="shared" si="21"/>
        <v>84.72</v>
      </c>
      <c r="R89" s="37">
        <f t="shared" si="22"/>
        <v>95.45</v>
      </c>
      <c r="S89" s="37">
        <f>IF(ISNUMBER(Q89),IF(ISNUMBER(R89),ROUND(Q89*'Sheet1-指标体系'!$J$8+R89*'Sheet1-指标体系'!$J$9,2),Q89),"")</f>
        <v>89.01</v>
      </c>
      <c r="T89" s="26">
        <f>IF(ISNUMBER('Sheet4-原始数据'!J74),'Sheet4-原始数据'!J74,"")</f>
        <v>0.7692</v>
      </c>
      <c r="U89" s="26">
        <f>IF(ISNUMBER('Sheet4-原始数据'!I74),'Sheet4-原始数据'!I74,"")</f>
        <v>0.8378</v>
      </c>
      <c r="V89" s="45">
        <f>IF(AND(ISNUMBER(T89),ISNUMBER(U89)),(U89*'Sheet1-指标体系'!$J$6-T89*'Sheet1-指标体系'!$J$5)/'Sheet1-指标体系'!$J$7,"")</f>
        <v>0.874958333333333</v>
      </c>
      <c r="W89" s="37">
        <f t="shared" si="23"/>
        <v>76.92</v>
      </c>
      <c r="X89" s="37">
        <f>IF(G89&lt;&gt;"入池","",IF(ISNUMBER(V89),IF(AND(V89&gt;=0,V89&lt;=1),V89*'Sheet1-指标体系'!$J$18,IF(MAX(0,(F89-'Sheet1-指标体系'!$J$15)*'Sheet1-指标体系'!$J$20)&lt;'Sheet1-指标体系'!$J$19,'Sheet1-指标体系'!$J$18,"")),IF(MAX(0,(F89-'Sheet1-指标体系'!$J$15)*'Sheet1-指标体系'!$J$20)&lt;'Sheet1-指标体系'!$J$19,'Sheet1-指标体系'!$J$18,"")))</f>
        <v>87.4958333333333</v>
      </c>
      <c r="Y89" s="37">
        <f>IF(ISNUMBER(W89),IF(ISNUMBER(X89),ROUND(W89*'Sheet1-指标体系'!$J$8+X89*'Sheet1-指标体系'!$J$9,2),W89),"")</f>
        <v>81.15</v>
      </c>
      <c r="Z89" s="45">
        <f t="shared" si="24"/>
        <v>0.00464774828496836</v>
      </c>
      <c r="AA89" s="26">
        <f>IF(ISNUMBER('Sheet4-原始数据'!K74),'Sheet4-原始数据'!K74,"")</f>
        <v>0.0105</v>
      </c>
      <c r="AB89" s="45">
        <f t="shared" si="25"/>
        <v>0.0105</v>
      </c>
      <c r="AC89" s="37">
        <f t="shared" si="26"/>
        <v>71.62</v>
      </c>
      <c r="AD89" s="30">
        <f>IF(ISNUMBER('Sheet4-原始数据'!M74),'Sheet4-原始数据'!M74,"")</f>
        <v>39.9118</v>
      </c>
      <c r="AE89" s="45">
        <f>IF(AND(ISNUMBER(P89),ISNUMBER(AA89),ISNUMBER(Z89)),IF(AA89&gt;Z89+'Sheet1-指标体系'!$J$11,AA89,""),"")</f>
        <v>0.0105</v>
      </c>
      <c r="AF89" s="37">
        <f t="shared" si="27"/>
        <v>15.7435961534392</v>
      </c>
      <c r="AG89" s="37">
        <f t="shared" si="28"/>
        <v>90.14</v>
      </c>
      <c r="AH89" s="37">
        <f t="shared" si="29"/>
        <v>90.63</v>
      </c>
      <c r="AI89" s="37">
        <f>IF(ISNUMBER(AG89),IF(ISNUMBER(AH89),ROUND(AG89*'Sheet1-指标体系'!$J$8+AH89*'Sheet1-指标体系'!$J$9,2),AG89),"")</f>
        <v>90.34</v>
      </c>
      <c r="AJ89" s="45">
        <f>IF(NOT(ISNUMBER(F89)),"",IF(F89&gt;='Sheet1-指标体系'!$J$16,IF(ISNUMBER(N89),N89,""),IF(ISNUMBER(O89),O89,"")))</f>
        <v>0.172</v>
      </c>
      <c r="AK89" s="37">
        <f>IF(AND(G89="入池",ISNUMBER(M89),ISNUMBER(AJ89)),IF(M89&gt;=AJ89,'Sheet1-指标体系'!$J$18,IF(AJ89-M89&lt;'Sheet1-指标体系'!$J$10,'Sheet1-指标体系'!$J$22,'Sheet1-指标体系'!$J$23)),"")</f>
        <v>100</v>
      </c>
      <c r="AL89" s="37">
        <f>IF((IF(ISNUMBER(I89),'Sheet1-指标体系'!$G$4,0)+IF(ISNUMBER(K89),'Sheet1-指标体系'!$G$5,0)+IF(ISNUMBER(L89),'Sheet1-指标体系'!$G$6,0))&gt;0,ROUND((IF(ISNUMBER(I89),I89*'Sheet1-指标体系'!$G$4,0)+IF(ISNUMBER(K89),K89*'Sheet1-指标体系'!$G$5,0)+IF(ISNUMBER(L89),L89*'Sheet1-指标体系'!$G$6,0))/(IF(ISNUMBER(I89),'Sheet1-指标体系'!$G$4,0)+IF(ISNUMBER(K89),'Sheet1-指标体系'!$G$5,0)+IF(ISNUMBER(L89),'Sheet1-指标体系'!$G$6,0)),2),"")</f>
        <v>92</v>
      </c>
      <c r="AM89" s="37">
        <f t="shared" si="30"/>
        <v>86.65</v>
      </c>
      <c r="AN89" s="37">
        <f t="shared" si="31"/>
        <v>71.62</v>
      </c>
      <c r="AO89" s="37">
        <f t="shared" si="32"/>
        <v>90.34</v>
      </c>
      <c r="AP89" s="37">
        <f t="shared" si="33"/>
        <v>100</v>
      </c>
      <c r="AQ89" s="38">
        <f t="shared" si="34"/>
        <v>1</v>
      </c>
      <c r="AR89" s="37">
        <f t="shared" si="35"/>
        <v>86.1365</v>
      </c>
      <c r="AS89" s="37">
        <f t="shared" si="36"/>
        <v>86.14</v>
      </c>
      <c r="AT89" s="40">
        <f>IF(OR(G89&lt;&gt;"入池",NOT(ISNUMBER(AS89))),"",COUNTIFS($G$17:$G$99,"入池",$AS$17:$AS$99,"&gt;"&amp;AS89)+COUNTIFS($G$17:$G$99,"入池",$AS$17:$AS$99,AS89,$AQ$17:$AQ$99,"&gt;"&amp;AQ89)+COUNTIFS($G$17:G89,"入池",$AS$17:AS89,AS89,$AQ$17:AQ89,AQ89))</f>
        <v>8</v>
      </c>
      <c r="AU89" s="46" t="str">
        <f>IF(NOT(ISNUMBER(I89)),"管理人规模；","")&amp;IF(NOT(ISNUMBER(K89)),"产品规模标识；","")&amp;IF(NOT(ISNUMBER(M89)),"近一年收益；","")&amp;IF(NOT(ISNUMBER(T89)),"近一年胜率；","")&amp;IF(NOT(ISNUMBER(N89)),"近三年收益；","")&amp;IF(NOT(ISNUMBER(U89)),"近三年胜率；","")&amp;IF(NOT(ISNUMBER(AA89)),"近三年回撤；","")&amp;IF(NOT(ISNUMBER(AD89)),"近一年卡玛；","")&amp;IF(ISNUMBER(F89),IF(AND(F89&lt;'Sheet1-指标体系'!$J$16,NOT(ISNUMBER(O89))),"成立以来年化；",""),"成立日期；")&amp;IF(ISNUMBER(V89),IF(OR(V89&lt;0,V89&gt;1),"胜率窗口口径不一致；",""),"")&amp;IF(ISNUMBER(P89),IF(NOT(ISNUMBER(AE89)),"DD_long不可识别；",""),"")</f>
        <v/>
      </c>
      <c r="AV89" s="37">
        <f>IF(ABS(SUM(CA89:CK89)-'Sheet1-指标体系'!$J$25)&lt;0.0000000001,SUM(BP89:BZ89),"")</f>
        <v>86.1365</v>
      </c>
      <c r="AW89" s="36" t="str">
        <f>IF(G89&lt;&gt;"入池",G89,IF(AQ89=0,"无有效评分数据",IF(ROUND(AQ89,10)=ROUND('Sheet1-指标体系'!$J$25,10),"完整赋分","暂定分／数据不完整")))</f>
        <v>完整赋分</v>
      </c>
      <c r="AX89" s="22" t="str">
        <f>IF('Sheet4-原始数据'!C74="","",'Sheet4-原始数据'!C74)</f>
        <v>套利策略</v>
      </c>
      <c r="AY89" s="22" t="str">
        <f>IF('Sheet4-原始数据'!D74="","",'Sheet4-原始数据'!D74)</f>
        <v>期货套利</v>
      </c>
      <c r="AZ89" s="22" t="str">
        <f>IF('Sheet5-查询核对'!S74="","",'Sheet5-查询核对'!S74)</f>
        <v>套利策略—期货套利</v>
      </c>
      <c r="BA89" s="25">
        <f>IF('Sheet5-查询核对'!A74="","",'Sheet5-查询核对'!A74)</f>
        <v>74</v>
      </c>
      <c r="BB89" s="22" t="str">
        <f>IF('Sheet5-查询核对'!F74="","",'Sheet5-查询核对'!F74)</f>
        <v>备案号匹配</v>
      </c>
      <c r="BC89" s="24" t="str">
        <f>IF('Sheet5-查询核对'!I74="","",'Sheet5-查询核对'!I74)</f>
        <v>https://mp.fof99.com/fund/view/5fbd2c74a9d29c0f</v>
      </c>
      <c r="BD89" s="23">
        <f>IF('Sheet5-查询核对'!H74="","",'Sheet5-查询核对'!H74)</f>
        <v>46269</v>
      </c>
      <c r="BE89" s="24" t="str">
        <f>IF('Sheet5-查询核对'!L74="","",'Sheet5-查询核对'!L74)</f>
        <v>https://gs.amac.org.cn/amac-infodisc/res/pof/manager/2003241828108999.html</v>
      </c>
      <c r="BF89" s="23">
        <f>IF('Sheet5-查询核对'!M74="","",'Sheet5-查询核对'!M74)</f>
        <v>46276</v>
      </c>
      <c r="BG89" s="24" t="str">
        <f>IF('Sheet5-查询核对'!O74="","",'Sheet5-查询核对'!O74)</f>
        <v>https://gs.amac.org.cn/amac-infodisc/res/pof/fund/2012041657102605.html</v>
      </c>
      <c r="BH89" s="23">
        <f>IF('Sheet5-查询核对'!P74="","",'Sheet5-查询核对'!P74)</f>
        <v>46276</v>
      </c>
      <c r="BI89" s="22" t="str">
        <f>IF('Sheet5-查询核对'!D74="","",'Sheet5-查询核对'!D74)</f>
        <v>SNE165</v>
      </c>
      <c r="BJ89">
        <f>IF(ISNUMBER(AT89),AT89,COUNT($AT$17:$AT$99)+ROWS($AT$17:AT89)-COUNT($AT$17:AT89))</f>
        <v>8</v>
      </c>
      <c r="BK89" s="2">
        <f t="shared" si="37"/>
        <v>1</v>
      </c>
      <c r="BL89" s="2">
        <f t="shared" si="38"/>
        <v>1</v>
      </c>
      <c r="BM89" s="2">
        <f t="shared" si="39"/>
        <v>1</v>
      </c>
      <c r="BN89" s="2">
        <f t="shared" si="40"/>
        <v>1</v>
      </c>
      <c r="BO89" s="2">
        <f t="shared" si="41"/>
        <v>1</v>
      </c>
      <c r="BP89" s="48">
        <f>IF(G89="入池",IF(ISNUMBER(I89),I89*('Sheet1-指标体系'!$G$4),0),0)</f>
        <v>4.8</v>
      </c>
      <c r="BQ89" s="48">
        <f>IF(G89="入池",IF(ISNUMBER(K89),K89*('Sheet1-指标体系'!$G$5),0),0)</f>
        <v>4.5</v>
      </c>
      <c r="BR89" s="48">
        <f>IF(G89="入池",IF(ISNUMBER(L89),L89*('Sheet1-指标体系'!$G$6),0),0)</f>
        <v>4.5</v>
      </c>
      <c r="BS89" s="48">
        <f>IF(G89="入池",IF(ISNUMBER(Q89),Q89*('Sheet1-指标体系'!$G$7*'Sheet1-指标体系'!$J$8),0),0)</f>
        <v>7.11648</v>
      </c>
      <c r="BT89" s="48">
        <f>IF(G89="入池",IF(ISNUMBER(R89),R89*('Sheet1-指标体系'!$G$7*'Sheet1-指标体系'!$J$9),0),0)</f>
        <v>5.3452</v>
      </c>
      <c r="BU89" s="48">
        <f>IF(G89="入池",IF(ISNUMBER(W89),W89*('Sheet1-指标体系'!$G$8*'Sheet1-指标体系'!$J$8),0),0)</f>
        <v>2.76912</v>
      </c>
      <c r="BV89" s="48">
        <f>IF(G89="入池",IF(ISNUMBER(X89),X89*('Sheet1-指标体系'!$G$8*'Sheet1-指标体系'!$J$9),0),0)</f>
        <v>2.0999</v>
      </c>
      <c r="BW89" s="48">
        <f>IF(G89="入池",IF(ISNUMBER(AC89),AC89*('Sheet1-指标体系'!$G$9),0),0)</f>
        <v>17.905</v>
      </c>
      <c r="BX89" s="48">
        <f>IF(G89="入池",IF(ISNUMBER(AG89),AG89*('Sheet1-指标体系'!$G$10*'Sheet1-指标体系'!$J$8),0),0)</f>
        <v>16.2252</v>
      </c>
      <c r="BY89" s="48">
        <f>IF(G89="入池",IF(ISNUMBER(AH89),AH89*('Sheet1-指标体系'!$G$10*'Sheet1-指标体系'!$J$9),0),0)</f>
        <v>10.8756</v>
      </c>
      <c r="BZ89" s="48">
        <f>IF(G89="入池",IF(ISNUMBER(AK89),AK89*('Sheet1-指标体系'!$G$11),0),0)</f>
        <v>10</v>
      </c>
      <c r="CA89" s="49">
        <f>IF(G89="入池",IF(ISNUMBER(I89),'Sheet1-指标体系'!$G$4,0),0)</f>
        <v>0.06</v>
      </c>
      <c r="CB89" s="49">
        <f>IF(G89="入池",IF(ISNUMBER(K89),'Sheet1-指标体系'!$G$5,0),0)</f>
        <v>0.045</v>
      </c>
      <c r="CC89" s="49">
        <f>IF(G89="入池",IF(ISNUMBER(L89),'Sheet1-指标体系'!$G$6,0),0)</f>
        <v>0.045</v>
      </c>
      <c r="CD89" s="49">
        <f>IF(G89="入池",IF(ISNUMBER(Q89),'Sheet1-指标体系'!$G$7*'Sheet1-指标体系'!$J$8,0),0)</f>
        <v>0.084</v>
      </c>
      <c r="CE89" s="49">
        <f>IF(G89="入池",IF(ISNUMBER(R89),'Sheet1-指标体系'!$G$7*'Sheet1-指标体系'!$J$9,0),0)</f>
        <v>0.056</v>
      </c>
      <c r="CF89" s="49">
        <f>IF(G89="入池",IF(ISNUMBER(W89),'Sheet1-指标体系'!$G$8*'Sheet1-指标体系'!$J$8,0),0)</f>
        <v>0.036</v>
      </c>
      <c r="CG89" s="49">
        <f>IF(G89="入池",IF(ISNUMBER(X89),'Sheet1-指标体系'!$G$8*'Sheet1-指标体系'!$J$9,0),0)</f>
        <v>0.024</v>
      </c>
      <c r="CH89" s="49">
        <f>IF(G89="入池",IF(ISNUMBER(AC89),'Sheet1-指标体系'!$G$9,0),0)</f>
        <v>0.25</v>
      </c>
      <c r="CI89" s="49">
        <f>IF(G89="入池",IF(ISNUMBER(AG89),'Sheet1-指标体系'!$G$10*'Sheet1-指标体系'!$J$8,0),0)</f>
        <v>0.18</v>
      </c>
      <c r="CJ89" s="49">
        <f>IF(G89="入池",IF(ISNUMBER(AH89),'Sheet1-指标体系'!$G$10*'Sheet1-指标体系'!$J$9,0),0)</f>
        <v>0.12</v>
      </c>
      <c r="CK89" s="49">
        <f>IF(G89="入池",IF(ISNUMBER(AK89),'Sheet1-指标体系'!$G$11,0),0)</f>
        <v>0.1</v>
      </c>
    </row>
    <row r="90" ht="44" customHeight="1" spans="1:89">
      <c r="A90" s="40">
        <f>'Sheet5-查询核对'!A75-1</f>
        <v>74</v>
      </c>
      <c r="B90" s="24" t="str">
        <f>IF('Sheet4-原始数据'!A75="",'Sheet5-查询核对'!B75,'Sheet4-原始数据'!A75)</f>
        <v>在赢套利一号</v>
      </c>
      <c r="C90" s="22" t="str">
        <f>IF('Sheet4-原始数据'!B75="","",'Sheet4-原始数据'!B75)</f>
        <v>SGW281</v>
      </c>
      <c r="D90" s="22" t="str">
        <f>IF('Sheet4-原始数据'!E75="","",'Sheet4-原始数据'!E75)</f>
        <v>浙江在赢</v>
      </c>
      <c r="E90" s="23">
        <f>IF('Sheet4-原始数据'!F75="","",'Sheet4-原始数据'!F75)</f>
        <v>43710</v>
      </c>
      <c r="F90" s="37">
        <f>IF(ISNUMBER(E90),ROUND(('Sheet1-指标体系'!$J$12-E90)/'Sheet1-指标体系'!$J$14,4),"")</f>
        <v>7.0226</v>
      </c>
      <c r="G90" s="36" t="str">
        <f>IF(C90="","未匹配",IF(NOT(ISNUMBER(F90)),"缺成立日期",IF(F90&lt;'Sheet1-指标体系'!$J$15,"不入池","入池")))</f>
        <v>入池</v>
      </c>
      <c r="H90" s="22" t="str">
        <f>IF('Sheet5-查询核对'!K75="","",'Sheet5-查询核对'!K75)</f>
        <v>5-10亿元</v>
      </c>
      <c r="I90" s="37">
        <f>IF(H90="","",IF(COUNTIF('Sheet1-指标体系'!$P$4:$P$10,H90)=0,"",INDEX('Sheet1-指标体系'!$Q$4:$Q$10,MATCH(H90,'Sheet1-指标体系'!$P$4:$P$10,0))))</f>
        <v>70</v>
      </c>
      <c r="J90" s="44" t="str">
        <f>IF(NOT(ISNUMBER('Sheet5-查询核对'!N75)),"",IF('Sheet5-查询核对'!N75=1,"低于"&amp;'Sheet1-指标体系'!$J$4&amp;"万元",IF('Sheet5-查询核对'!N75=0,"无低于"&amp;'Sheet1-指标体系'!$J$4&amp;"万元标识","")))</f>
        <v>无低于1000万元标识</v>
      </c>
      <c r="K90" s="37">
        <f>IF(NOT(ISNUMBER('Sheet5-查询核对'!N75)),"",IF('Sheet5-查询核对'!N75=1,'Sheet1-指标体系'!$J$21,IF('Sheet5-查询核对'!N75=0,'Sheet1-指标体系'!$J$18,"")))</f>
        <v>100</v>
      </c>
      <c r="L90" s="37">
        <f>IF(NOT(ISNUMBER(F90)),"",IF(F90&lt;'Sheet1-指标体系'!$J$15,"",IF(F90&lt;'Sheet1-指标体系'!$J$16,'Sheet1-指标体系'!$J$17,'Sheet1-指标体系'!$J$18)))</f>
        <v>100</v>
      </c>
      <c r="M90" s="26">
        <f>IF(ISNUMBER('Sheet4-原始数据'!G75),'Sheet4-原始数据'!G75,"")</f>
        <v>0.1844</v>
      </c>
      <c r="N90" s="26">
        <f>IF(ISNUMBER('Sheet4-原始数据'!H75),'Sheet4-原始数据'!H75,"")</f>
        <v>0.1427</v>
      </c>
      <c r="O90" s="26">
        <f>IF(ISNUMBER('Sheet5-查询核对'!Q75),'Sheet5-查询核对'!Q75,"")</f>
        <v>0.1685</v>
      </c>
      <c r="P90" s="45">
        <f>IF(G90&lt;&gt;"入池","",IF(F90&gt;='Sheet1-指标体系'!$J$16,IF(AND(ISNUMBER(M90),ISNUMBER(N90)),IF(AND(1+M90&gt;0,1+N90&gt;=0),((1+N90)^'Sheet1-指标体系'!$J$16/(1+M90))^(1/('Sheet1-指标体系'!$J$16-1))-1,""),""),IF(AND(ISNUMBER(M90),ISNUMBER(O90)),IF(AND(F90&gt;1,1+M90&gt;0,1+O90&gt;=0),((1+O90)^F90/(1+M90))^(1/(F90-1))-1,""),"")))</f>
        <v>0.122403834492012</v>
      </c>
      <c r="Q90" s="37">
        <f t="shared" si="21"/>
        <v>83.33</v>
      </c>
      <c r="R90" s="37">
        <f t="shared" si="22"/>
        <v>78.79</v>
      </c>
      <c r="S90" s="37">
        <f>IF(ISNUMBER(Q90),IF(ISNUMBER(R90),ROUND(Q90*'Sheet1-指标体系'!$J$8+R90*'Sheet1-指标体系'!$J$9,2),Q90),"")</f>
        <v>81.51</v>
      </c>
      <c r="T90" s="26">
        <f>IF(ISNUMBER('Sheet4-原始数据'!J75),'Sheet4-原始数据'!J75,"")</f>
        <v>0.8462</v>
      </c>
      <c r="U90" s="26">
        <f>IF(ISNUMBER('Sheet4-原始数据'!I75),'Sheet4-原始数据'!I75,"")</f>
        <v>0.7297</v>
      </c>
      <c r="V90" s="45">
        <f>IF(AND(ISNUMBER(T90),ISNUMBER(U90)),(U90*'Sheet1-指标体系'!$J$6-T90*'Sheet1-指标体系'!$J$5)/'Sheet1-指标体系'!$J$7,"")</f>
        <v>0.666595833333333</v>
      </c>
      <c r="W90" s="37">
        <f t="shared" si="23"/>
        <v>84.62</v>
      </c>
      <c r="X90" s="37">
        <f>IF(G90&lt;&gt;"入池","",IF(ISNUMBER(V90),IF(AND(V90&gt;=0,V90&lt;=1),V90*'Sheet1-指标体系'!$J$18,IF(MAX(0,(F90-'Sheet1-指标体系'!$J$15)*'Sheet1-指标体系'!$J$20)&lt;'Sheet1-指标体系'!$J$19,'Sheet1-指标体系'!$J$18,"")),IF(MAX(0,(F90-'Sheet1-指标体系'!$J$15)*'Sheet1-指标体系'!$J$20)&lt;'Sheet1-指标体系'!$J$19,'Sheet1-指标体系'!$J$18,"")))</f>
        <v>66.6595833333333</v>
      </c>
      <c r="Y90" s="37">
        <f>IF(ISNUMBER(W90),IF(ISNUMBER(X90),ROUND(W90*'Sheet1-指标体系'!$J$8+X90*'Sheet1-指标体系'!$J$9,2),W90),"")</f>
        <v>77.44</v>
      </c>
      <c r="Z90" s="45">
        <f t="shared" si="24"/>
        <v>0.0222048287073274</v>
      </c>
      <c r="AA90" s="26">
        <f>IF(ISNUMBER('Sheet4-原始数据'!K75),'Sheet4-原始数据'!K75,"")</f>
        <v>0.0584</v>
      </c>
      <c r="AB90" s="45">
        <f t="shared" si="25"/>
        <v>0.0584</v>
      </c>
      <c r="AC90" s="37">
        <f t="shared" si="26"/>
        <v>12.16</v>
      </c>
      <c r="AD90" s="30">
        <f>IF(ISNUMBER('Sheet4-原始数据'!M75),'Sheet4-原始数据'!M75,"")</f>
        <v>8.3045</v>
      </c>
      <c r="AE90" s="45">
        <f>IF(AND(ISNUMBER(P90),ISNUMBER(AA90),ISNUMBER(Z90)),IF(AA90&gt;Z90+'Sheet1-指标体系'!$J$11,AA90,""),"")</f>
        <v>0.0584</v>
      </c>
      <c r="AF90" s="37">
        <f t="shared" si="27"/>
        <v>2.09595607006869</v>
      </c>
      <c r="AG90" s="37">
        <f t="shared" si="28"/>
        <v>47.89</v>
      </c>
      <c r="AH90" s="37">
        <f t="shared" si="29"/>
        <v>34.38</v>
      </c>
      <c r="AI90" s="37">
        <f>IF(ISNUMBER(AG90),IF(ISNUMBER(AH90),ROUND(AG90*'Sheet1-指标体系'!$J$8+AH90*'Sheet1-指标体系'!$J$9,2),AG90),"")</f>
        <v>42.49</v>
      </c>
      <c r="AJ90" s="45">
        <f>IF(NOT(ISNUMBER(F90)),"",IF(F90&gt;='Sheet1-指标体系'!$J$16,IF(ISNUMBER(N90),N90,""),IF(ISNUMBER(O90),O90,"")))</f>
        <v>0.1427</v>
      </c>
      <c r="AK90" s="37">
        <f>IF(AND(G90="入池",ISNUMBER(M90),ISNUMBER(AJ90)),IF(M90&gt;=AJ90,'Sheet1-指标体系'!$J$18,IF(AJ90-M90&lt;'Sheet1-指标体系'!$J$10,'Sheet1-指标体系'!$J$22,'Sheet1-指标体系'!$J$23)),"")</f>
        <v>100</v>
      </c>
      <c r="AL90" s="37">
        <f>IF((IF(ISNUMBER(I90),'Sheet1-指标体系'!$G$4,0)+IF(ISNUMBER(K90),'Sheet1-指标体系'!$G$5,0)+IF(ISNUMBER(L90),'Sheet1-指标体系'!$G$6,0))&gt;0,ROUND((IF(ISNUMBER(I90),I90*'Sheet1-指标体系'!$G$4,0)+IF(ISNUMBER(K90),K90*'Sheet1-指标体系'!$G$5,0)+IF(ISNUMBER(L90),L90*'Sheet1-指标体系'!$G$6,0))/(IF(ISNUMBER(I90),'Sheet1-指标体系'!$G$4,0)+IF(ISNUMBER(K90),'Sheet1-指标体系'!$G$5,0)+IF(ISNUMBER(L90),'Sheet1-指标体系'!$G$6,0)),2),"")</f>
        <v>88</v>
      </c>
      <c r="AM90" s="37">
        <f t="shared" si="30"/>
        <v>80.29</v>
      </c>
      <c r="AN90" s="37">
        <f t="shared" si="31"/>
        <v>12.16</v>
      </c>
      <c r="AO90" s="37">
        <f t="shared" si="32"/>
        <v>42.49</v>
      </c>
      <c r="AP90" s="37">
        <f t="shared" si="33"/>
        <v>100</v>
      </c>
      <c r="AQ90" s="38">
        <f t="shared" si="34"/>
        <v>1</v>
      </c>
      <c r="AR90" s="37">
        <f t="shared" si="35"/>
        <v>55.04391</v>
      </c>
      <c r="AS90" s="37">
        <f t="shared" si="36"/>
        <v>55.04</v>
      </c>
      <c r="AT90" s="40">
        <f>IF(OR(G90&lt;&gt;"入池",NOT(ISNUMBER(AS90))),"",COUNTIFS($G$17:$G$99,"入池",$AS$17:$AS$99,"&gt;"&amp;AS90)+COUNTIFS($G$17:$G$99,"入池",$AS$17:$AS$99,AS90,$AQ$17:$AQ$99,"&gt;"&amp;AQ90)+COUNTIFS($G$17:G90,"入池",$AS$17:AS90,AS90,$AQ$17:AQ90,AQ90))</f>
        <v>50</v>
      </c>
      <c r="AU90" s="46" t="str">
        <f>IF(NOT(ISNUMBER(I90)),"管理人规模；","")&amp;IF(NOT(ISNUMBER(K90)),"产品规模标识；","")&amp;IF(NOT(ISNUMBER(M90)),"近一年收益；","")&amp;IF(NOT(ISNUMBER(T90)),"近一年胜率；","")&amp;IF(NOT(ISNUMBER(N90)),"近三年收益；","")&amp;IF(NOT(ISNUMBER(U90)),"近三年胜率；","")&amp;IF(NOT(ISNUMBER(AA90)),"近三年回撤；","")&amp;IF(NOT(ISNUMBER(AD90)),"近一年卡玛；","")&amp;IF(ISNUMBER(F90),IF(AND(F90&lt;'Sheet1-指标体系'!$J$16,NOT(ISNUMBER(O90))),"成立以来年化；",""),"成立日期；")&amp;IF(ISNUMBER(V90),IF(OR(V90&lt;0,V90&gt;1),"胜率窗口口径不一致；",""),"")&amp;IF(ISNUMBER(P90),IF(NOT(ISNUMBER(AE90)),"DD_long不可识别；",""),"")</f>
        <v/>
      </c>
      <c r="AV90" s="37">
        <f>IF(ABS(SUM(CA90:CK90)-'Sheet1-指标体系'!$J$25)&lt;0.0000000001,SUM(BP90:BZ90),"")</f>
        <v>55.04391</v>
      </c>
      <c r="AW90" s="36" t="str">
        <f>IF(G90&lt;&gt;"入池",G90,IF(AQ90=0,"无有效评分数据",IF(ROUND(AQ90,10)=ROUND('Sheet1-指标体系'!$J$25,10),"完整赋分","暂定分／数据不完整")))</f>
        <v>完整赋分</v>
      </c>
      <c r="AX90" s="22" t="str">
        <f>IF('Sheet4-原始数据'!C75="","",'Sheet4-原始数据'!C75)</f>
        <v>期货策略</v>
      </c>
      <c r="AY90" s="22" t="str">
        <f>IF('Sheet4-原始数据'!D75="","",'Sheet4-原始数据'!D75)</f>
        <v>主观期货</v>
      </c>
      <c r="AZ90" s="22" t="str">
        <f>IF('Sheet5-查询核对'!S75="","",'Sheet5-查询核对'!S75)</f>
        <v>管理期货—主观CTA</v>
      </c>
      <c r="BA90" s="25">
        <f>IF('Sheet5-查询核对'!A75="","",'Sheet5-查询核对'!A75)</f>
        <v>75</v>
      </c>
      <c r="BB90" s="22" t="str">
        <f>IF('Sheet5-查询核对'!F75="","",'Sheet5-查询核对'!F75)</f>
        <v>备案号匹配</v>
      </c>
      <c r="BC90" s="24" t="str">
        <f>IF('Sheet5-查询核对'!I75="","",'Sheet5-查询核对'!I75)</f>
        <v>https://mp.fof99.com/fund/view/2f189375b75b47fd</v>
      </c>
      <c r="BD90" s="23">
        <f>IF('Sheet5-查询核对'!H75="","",'Sheet5-查询核对'!H75)</f>
        <v>46269</v>
      </c>
      <c r="BE90" s="24" t="str">
        <f>IF('Sheet5-查询核对'!L75="","",'Sheet5-查询核对'!L75)</f>
        <v>https://gs.amac.org.cn/amac-infodisc/res/pof/manager/101000009803.html</v>
      </c>
      <c r="BF90" s="23">
        <f>IF('Sheet5-查询核对'!M75="","",'Sheet5-查询核对'!M75)</f>
        <v>46276</v>
      </c>
      <c r="BG90" s="24" t="str">
        <f>IF('Sheet5-查询核对'!O75="","",'Sheet5-查询核对'!O75)</f>
        <v>https://gs.amac.org.cn/amac-infodisc/res/pof/fund/1909111555102167.html</v>
      </c>
      <c r="BH90" s="23">
        <f>IF('Sheet5-查询核对'!P75="","",'Sheet5-查询核对'!P75)</f>
        <v>46276</v>
      </c>
      <c r="BI90" s="22" t="str">
        <f>IF('Sheet5-查询核对'!D75="","",'Sheet5-查询核对'!D75)</f>
        <v>SGW281</v>
      </c>
      <c r="BJ90">
        <f>IF(ISNUMBER(AT90),AT90,COUNT($AT$17:$AT$99)+ROWS($AT$17:AT90)-COUNT($AT$17:AT90))</f>
        <v>50</v>
      </c>
      <c r="BK90" s="2">
        <f t="shared" si="37"/>
        <v>1</v>
      </c>
      <c r="BL90" s="2">
        <f t="shared" si="38"/>
        <v>1</v>
      </c>
      <c r="BM90" s="2">
        <f t="shared" si="39"/>
        <v>1</v>
      </c>
      <c r="BN90" s="2">
        <f t="shared" si="40"/>
        <v>1</v>
      </c>
      <c r="BO90" s="2">
        <f t="shared" si="41"/>
        <v>1</v>
      </c>
      <c r="BP90" s="48">
        <f>IF(G90="入池",IF(ISNUMBER(I90),I90*('Sheet1-指标体系'!$G$4),0),0)</f>
        <v>4.2</v>
      </c>
      <c r="BQ90" s="48">
        <f>IF(G90="入池",IF(ISNUMBER(K90),K90*('Sheet1-指标体系'!$G$5),0),0)</f>
        <v>4.5</v>
      </c>
      <c r="BR90" s="48">
        <f>IF(G90="入池",IF(ISNUMBER(L90),L90*('Sheet1-指标体系'!$G$6),0),0)</f>
        <v>4.5</v>
      </c>
      <c r="BS90" s="48">
        <f>IF(G90="入池",IF(ISNUMBER(Q90),Q90*('Sheet1-指标体系'!$G$7*'Sheet1-指标体系'!$J$8),0),0)</f>
        <v>6.99972</v>
      </c>
      <c r="BT90" s="48">
        <f>IF(G90="入池",IF(ISNUMBER(R90),R90*('Sheet1-指标体系'!$G$7*'Sheet1-指标体系'!$J$9),0),0)</f>
        <v>4.41224</v>
      </c>
      <c r="BU90" s="48">
        <f>IF(G90="入池",IF(ISNUMBER(W90),W90*('Sheet1-指标体系'!$G$8*'Sheet1-指标体系'!$J$8),0),0)</f>
        <v>3.04632</v>
      </c>
      <c r="BV90" s="48">
        <f>IF(G90="入池",IF(ISNUMBER(X90),X90*('Sheet1-指标体系'!$G$8*'Sheet1-指标体系'!$J$9),0),0)</f>
        <v>1.59983</v>
      </c>
      <c r="BW90" s="48">
        <f>IF(G90="入池",IF(ISNUMBER(AC90),AC90*('Sheet1-指标体系'!$G$9),0),0)</f>
        <v>3.04</v>
      </c>
      <c r="BX90" s="48">
        <f>IF(G90="入池",IF(ISNUMBER(AG90),AG90*('Sheet1-指标体系'!$G$10*'Sheet1-指标体系'!$J$8),0),0)</f>
        <v>8.6202</v>
      </c>
      <c r="BY90" s="48">
        <f>IF(G90="入池",IF(ISNUMBER(AH90),AH90*('Sheet1-指标体系'!$G$10*'Sheet1-指标体系'!$J$9),0),0)</f>
        <v>4.1256</v>
      </c>
      <c r="BZ90" s="48">
        <f>IF(G90="入池",IF(ISNUMBER(AK90),AK90*('Sheet1-指标体系'!$G$11),0),0)</f>
        <v>10</v>
      </c>
      <c r="CA90" s="49">
        <f>IF(G90="入池",IF(ISNUMBER(I90),'Sheet1-指标体系'!$G$4,0),0)</f>
        <v>0.06</v>
      </c>
      <c r="CB90" s="49">
        <f>IF(G90="入池",IF(ISNUMBER(K90),'Sheet1-指标体系'!$G$5,0),0)</f>
        <v>0.045</v>
      </c>
      <c r="CC90" s="49">
        <f>IF(G90="入池",IF(ISNUMBER(L90),'Sheet1-指标体系'!$G$6,0),0)</f>
        <v>0.045</v>
      </c>
      <c r="CD90" s="49">
        <f>IF(G90="入池",IF(ISNUMBER(Q90),'Sheet1-指标体系'!$G$7*'Sheet1-指标体系'!$J$8,0),0)</f>
        <v>0.084</v>
      </c>
      <c r="CE90" s="49">
        <f>IF(G90="入池",IF(ISNUMBER(R90),'Sheet1-指标体系'!$G$7*'Sheet1-指标体系'!$J$9,0),0)</f>
        <v>0.056</v>
      </c>
      <c r="CF90" s="49">
        <f>IF(G90="入池",IF(ISNUMBER(W90),'Sheet1-指标体系'!$G$8*'Sheet1-指标体系'!$J$8,0),0)</f>
        <v>0.036</v>
      </c>
      <c r="CG90" s="49">
        <f>IF(G90="入池",IF(ISNUMBER(X90),'Sheet1-指标体系'!$G$8*'Sheet1-指标体系'!$J$9,0),0)</f>
        <v>0.024</v>
      </c>
      <c r="CH90" s="49">
        <f>IF(G90="入池",IF(ISNUMBER(AC90),'Sheet1-指标体系'!$G$9,0),0)</f>
        <v>0.25</v>
      </c>
      <c r="CI90" s="49">
        <f>IF(G90="入池",IF(ISNUMBER(AG90),'Sheet1-指标体系'!$G$10*'Sheet1-指标体系'!$J$8,0),0)</f>
        <v>0.18</v>
      </c>
      <c r="CJ90" s="49">
        <f>IF(G90="入池",IF(ISNUMBER(AH90),'Sheet1-指标体系'!$G$10*'Sheet1-指标体系'!$J$9,0),0)</f>
        <v>0.12</v>
      </c>
      <c r="CK90" s="49">
        <f>IF(G90="入池",IF(ISNUMBER(AK90),'Sheet1-指标体系'!$G$11,0),0)</f>
        <v>0.1</v>
      </c>
    </row>
    <row r="91" ht="44" customHeight="1" spans="1:89">
      <c r="A91" s="40">
        <f>'Sheet5-查询核对'!A76-1</f>
        <v>75</v>
      </c>
      <c r="B91" s="24" t="str">
        <f>IF('Sheet4-原始数据'!A76="",'Sheet5-查询核对'!B76,'Sheet4-原始数据'!A76)</f>
        <v>哲石君顺易安贰号</v>
      </c>
      <c r="C91" s="22" t="str">
        <f>IF('Sheet4-原始数据'!B76="","",'Sheet4-原始数据'!B76)</f>
        <v>SBBC37</v>
      </c>
      <c r="D91" s="22" t="str">
        <f>IF('Sheet4-原始数据'!E76="","",'Sheet4-原始数据'!E76)</f>
        <v>杭州哲石</v>
      </c>
      <c r="E91" s="23">
        <f>IF('Sheet4-原始数据'!F76="","",'Sheet4-原始数据'!F76)</f>
        <v>45848</v>
      </c>
      <c r="F91" s="37">
        <f>IF(ISNUMBER(E91),ROUND(('Sheet1-指标体系'!$J$12-E91)/'Sheet1-指标体系'!$J$14,4),"")</f>
        <v>1.1691</v>
      </c>
      <c r="G91" s="36" t="str">
        <f>IF(C91="","未匹配",IF(NOT(ISNUMBER(F91)),"缺成立日期",IF(F91&lt;'Sheet1-指标体系'!$J$15,"不入池","入池")))</f>
        <v>入池</v>
      </c>
      <c r="H91" s="22" t="str">
        <f>IF('Sheet5-查询核对'!K76="","",'Sheet5-查询核对'!K76)</f>
        <v>10-20亿元</v>
      </c>
      <c r="I91" s="37">
        <f>IF(H91="","",IF(COUNTIF('Sheet1-指标体系'!$P$4:$P$10,H91)=0,"",INDEX('Sheet1-指标体系'!$Q$4:$Q$10,MATCH(H91,'Sheet1-指标体系'!$P$4:$P$10,0))))</f>
        <v>80</v>
      </c>
      <c r="J91" s="44" t="str">
        <f>IF(NOT(ISNUMBER('Sheet5-查询核对'!N76)),"",IF('Sheet5-查询核对'!N76=1,"低于"&amp;'Sheet1-指标体系'!$J$4&amp;"万元",IF('Sheet5-查询核对'!N76=0,"无低于"&amp;'Sheet1-指标体系'!$J$4&amp;"万元标识","")))</f>
        <v>无低于1000万元标识</v>
      </c>
      <c r="K91" s="37">
        <f>IF(NOT(ISNUMBER('Sheet5-查询核对'!N76)),"",IF('Sheet5-查询核对'!N76=1,'Sheet1-指标体系'!$J$21,IF('Sheet5-查询核对'!N76=0,'Sheet1-指标体系'!$J$18,"")))</f>
        <v>100</v>
      </c>
      <c r="L91" s="37">
        <f>IF(NOT(ISNUMBER(F91)),"",IF(F91&lt;'Sheet1-指标体系'!$J$15,"",IF(F91&lt;'Sheet1-指标体系'!$J$16,'Sheet1-指标体系'!$J$17,'Sheet1-指标体系'!$J$18)))</f>
        <v>70</v>
      </c>
      <c r="M91" s="26">
        <f>IF(ISNUMBER('Sheet4-原始数据'!G76),'Sheet4-原始数据'!G76,"")</f>
        <v>0.0885473475458602</v>
      </c>
      <c r="N91" s="26" t="str">
        <f>IF(ISNUMBER('Sheet4-原始数据'!H76),'Sheet4-原始数据'!H76,"")</f>
        <v/>
      </c>
      <c r="O91" s="26">
        <f>IF(ISNUMBER('Sheet5-查询核对'!Q76),'Sheet5-查询核对'!Q76,"")</f>
        <v>0.0842588197581635</v>
      </c>
      <c r="P91" s="45">
        <f>IF(G91&lt;&gt;"入池","",IF(F91&gt;='Sheet1-指标体系'!$J$16,IF(AND(ISNUMBER(M91),ISNUMBER(N91)),IF(AND(1+M91&gt;0,1+N91&gt;=0),((1+N91)^'Sheet1-指标体系'!$J$16/(1+M91))^(1/('Sheet1-指标体系'!$J$16-1))-1,""),""),IF(AND(ISNUMBER(M91),ISNUMBER(O91)),IF(AND(F91&gt;1,1+M91&gt;0,1+O91&gt;=0),((1+O91)^F91/(1+M91))^(1/(F91-1))-1,""),"")))</f>
        <v>0.0592410871126514</v>
      </c>
      <c r="Q91" s="37">
        <f t="shared" si="21"/>
        <v>52.78</v>
      </c>
      <c r="R91" s="37">
        <f t="shared" si="22"/>
        <v>30.3</v>
      </c>
      <c r="S91" s="37">
        <f>IF(ISNUMBER(Q91),IF(ISNUMBER(R91),ROUND(Q91*'Sheet1-指标体系'!$J$8+R91*'Sheet1-指标体系'!$J$9,2),Q91),"")</f>
        <v>43.79</v>
      </c>
      <c r="T91" s="26">
        <f>IF(ISNUMBER('Sheet4-原始数据'!J76),'Sheet4-原始数据'!J76,"")</f>
        <v>1</v>
      </c>
      <c r="U91" s="26" t="str">
        <f>IF(ISNUMBER('Sheet4-原始数据'!I76),'Sheet4-原始数据'!I76,"")</f>
        <v/>
      </c>
      <c r="V91" s="45" t="str">
        <f>IF(AND(ISNUMBER(T91),ISNUMBER(U91)),(U91*'Sheet1-指标体系'!$J$6-T91*'Sheet1-指标体系'!$J$5)/'Sheet1-指标体系'!$J$7,"")</f>
        <v/>
      </c>
      <c r="W91" s="37">
        <f t="shared" si="23"/>
        <v>100</v>
      </c>
      <c r="X91" s="37">
        <f>IF(G91&lt;&gt;"入池","",IF(ISNUMBER(V91),IF(AND(V91&gt;=0,V91&lt;=1),V91*'Sheet1-指标体系'!$J$18,IF(MAX(0,(F91-'Sheet1-指标体系'!$J$15)*'Sheet1-指标体系'!$J$20)&lt;'Sheet1-指标体系'!$J$19,'Sheet1-指标体系'!$J$18,"")),IF(MAX(0,(F91-'Sheet1-指标体系'!$J$15)*'Sheet1-指标体系'!$J$20)&lt;'Sheet1-指标体系'!$J$19,'Sheet1-指标体系'!$J$18,"")))</f>
        <v>100</v>
      </c>
      <c r="Y91" s="37">
        <f>IF(ISNUMBER(W91),IF(ISNUMBER(X91),ROUND(W91*'Sheet1-指标体系'!$J$8+X91*'Sheet1-指标体系'!$J$9,2),W91),"")</f>
        <v>100</v>
      </c>
      <c r="Z91" s="45">
        <f t="shared" si="24"/>
        <v>0.00338823529411769</v>
      </c>
      <c r="AA91" s="26" t="str">
        <f>IF(ISNUMBER('Sheet4-原始数据'!K76),'Sheet4-原始数据'!K76,"")</f>
        <v/>
      </c>
      <c r="AB91" s="45">
        <f t="shared" si="25"/>
        <v>0.00338823529411769</v>
      </c>
      <c r="AC91" s="37">
        <f t="shared" si="26"/>
        <v>94.59</v>
      </c>
      <c r="AD91" s="30">
        <f>IF(ISNUMBER('Sheet4-原始数据'!M76),'Sheet4-原始数据'!M76,"")</f>
        <v>26.1337657687431</v>
      </c>
      <c r="AE91" s="45" t="str">
        <f>IF(AND(ISNUMBER(P91),ISNUMBER(AA91),ISNUMBER(Z91)),IF(AA91&gt;Z91+'Sheet1-指标体系'!$J$11,AA91,""),"")</f>
        <v/>
      </c>
      <c r="AF91" s="37" t="str">
        <f t="shared" si="27"/>
        <v/>
      </c>
      <c r="AG91" s="37">
        <f t="shared" si="28"/>
        <v>83.1</v>
      </c>
      <c r="AH91" s="37" t="str">
        <f t="shared" si="29"/>
        <v/>
      </c>
      <c r="AI91" s="37">
        <f>IF(ISNUMBER(AG91),IF(ISNUMBER(AH91),ROUND(AG91*'Sheet1-指标体系'!$J$8+AH91*'Sheet1-指标体系'!$J$9,2),AG91),"")</f>
        <v>83.1</v>
      </c>
      <c r="AJ91" s="45">
        <f>IF(NOT(ISNUMBER(F91)),"",IF(F91&gt;='Sheet1-指标体系'!$J$16,IF(ISNUMBER(N91),N91,""),IF(ISNUMBER(O91),O91,"")))</f>
        <v>0.0842588197581635</v>
      </c>
      <c r="AK91" s="37">
        <f>IF(AND(G91="入池",ISNUMBER(M91),ISNUMBER(AJ91)),IF(M91&gt;=AJ91,'Sheet1-指标体系'!$J$18,IF(AJ91-M91&lt;'Sheet1-指标体系'!$J$10,'Sheet1-指标体系'!$J$22,'Sheet1-指标体系'!$J$23)),"")</f>
        <v>100</v>
      </c>
      <c r="AL91" s="37">
        <f>IF((IF(ISNUMBER(I91),'Sheet1-指标体系'!$G$4,0)+IF(ISNUMBER(K91),'Sheet1-指标体系'!$G$5,0)+IF(ISNUMBER(L91),'Sheet1-指标体系'!$G$6,0))&gt;0,ROUND((IF(ISNUMBER(I91),I91*'Sheet1-指标体系'!$G$4,0)+IF(ISNUMBER(K91),K91*'Sheet1-指标体系'!$G$5,0)+IF(ISNUMBER(L91),L91*'Sheet1-指标体系'!$G$6,0))/(IF(ISNUMBER(I91),'Sheet1-指标体系'!$G$4,0)+IF(ISNUMBER(K91),'Sheet1-指标体系'!$G$5,0)+IF(ISNUMBER(L91),'Sheet1-指标体系'!$G$6,0)),2),"")</f>
        <v>83</v>
      </c>
      <c r="AM91" s="37">
        <f t="shared" si="30"/>
        <v>60.65</v>
      </c>
      <c r="AN91" s="37">
        <f t="shared" si="31"/>
        <v>94.59</v>
      </c>
      <c r="AO91" s="37">
        <f t="shared" si="32"/>
        <v>83.1</v>
      </c>
      <c r="AP91" s="37">
        <f t="shared" si="33"/>
        <v>100</v>
      </c>
      <c r="AQ91" s="38">
        <f t="shared" si="34"/>
        <v>0.88</v>
      </c>
      <c r="AR91" s="37">
        <f t="shared" si="35"/>
        <v>73.18582</v>
      </c>
      <c r="AS91" s="37">
        <f t="shared" si="36"/>
        <v>83.17</v>
      </c>
      <c r="AT91" s="40">
        <f>IF(OR(G91&lt;&gt;"入池",NOT(ISNUMBER(AS91))),"",COUNTIFS($G$17:$G$99,"入池",$AS$17:$AS$99,"&gt;"&amp;AS91)+COUNTIFS($G$17:$G$99,"入池",$AS$17:$AS$99,AS91,$AQ$17:$AQ$99,"&gt;"&amp;AQ91)+COUNTIFS($G$17:G91,"入池",$AS$17:AS91,AS91,$AQ$17:AQ91,AQ91))</f>
        <v>11</v>
      </c>
      <c r="AU91" s="46" t="str">
        <f>IF(NOT(ISNUMBER(I91)),"管理人规模；","")&amp;IF(NOT(ISNUMBER(K91)),"产品规模标识；","")&amp;IF(NOT(ISNUMBER(M91)),"近一年收益；","")&amp;IF(NOT(ISNUMBER(T91)),"近一年胜率；","")&amp;IF(NOT(ISNUMBER(N91)),"近三年收益；","")&amp;IF(NOT(ISNUMBER(U91)),"近三年胜率；","")&amp;IF(NOT(ISNUMBER(AA91)),"近三年回撤；","")&amp;IF(NOT(ISNUMBER(AD91)),"近一年卡玛；","")&amp;IF(ISNUMBER(F91),IF(AND(F91&lt;'Sheet1-指标体系'!$J$16,NOT(ISNUMBER(O91))),"成立以来年化；",""),"成立日期；")&amp;IF(ISNUMBER(V91),IF(OR(V91&lt;0,V91&gt;1),"胜率窗口口径不一致；",""),"")&amp;IF(ISNUMBER(P91),IF(NOT(ISNUMBER(AE91)),"DD_long不可识别；",""),"")</f>
        <v>近三年收益；近三年胜率；近三年回撤；DD_long不可识别；</v>
      </c>
      <c r="AV91" s="37" t="str">
        <f>IF(ABS(SUM(CA91:CK91)-'Sheet1-指标体系'!$J$25)&lt;0.0000000001,SUM(BP91:BZ91),"")</f>
        <v/>
      </c>
      <c r="AW91" s="36" t="str">
        <f>IF(G91&lt;&gt;"入池",G91,IF(AQ91=0,"无有效评分数据",IF(ROUND(AQ91,10)=ROUND('Sheet1-指标体系'!$J$25,10),"完整赋分","暂定分／数据不完整")))</f>
        <v>暂定分／数据不完整</v>
      </c>
      <c r="AX91" s="22" t="str">
        <f>IF('Sheet4-原始数据'!C76="","",'Sheet4-原始数据'!C76)</f>
        <v>套利策略</v>
      </c>
      <c r="AY91" s="22" t="str">
        <f>IF('Sheet4-原始数据'!D76="","",'Sheet4-原始数据'!D76)</f>
        <v>期货套利</v>
      </c>
      <c r="AZ91" s="22" t="str">
        <f>IF('Sheet5-查询核对'!S76="","",'Sheet5-查询核对'!S76)</f>
        <v>套利策略—期货套利</v>
      </c>
      <c r="BA91" s="25">
        <f>IF('Sheet5-查询核对'!A76="","",'Sheet5-查询核对'!A76)</f>
        <v>76</v>
      </c>
      <c r="BB91" s="22" t="str">
        <f>IF('Sheet5-查询核对'!F76="","",'Sheet5-查询核对'!F76)</f>
        <v>备案号匹配</v>
      </c>
      <c r="BC91" s="24" t="str">
        <f>IF('Sheet5-查询核对'!I76="","",'Sheet5-查询核对'!I76)</f>
        <v>https://mp.fof99.com/fund/view/3c9e7c114b369c69</v>
      </c>
      <c r="BD91" s="23">
        <f>IF('Sheet5-查询核对'!H76="","",'Sheet5-查询核对'!H76)</f>
        <v>46269</v>
      </c>
      <c r="BE91" s="24" t="str">
        <f>IF('Sheet5-查询核对'!L76="","",'Sheet5-查询核对'!L76)</f>
        <v>https://gs.amac.org.cn/amac-infodisc/res/pof/manager/101000047057.html</v>
      </c>
      <c r="BF91" s="23">
        <f>IF('Sheet5-查询核对'!M76="","",'Sheet5-查询核对'!M76)</f>
        <v>46276</v>
      </c>
      <c r="BG91" s="24" t="str">
        <f>IF('Sheet5-查询核对'!O76="","",'Sheet5-查询核对'!O76)</f>
        <v>https://gs.amac.org.cn/amac-infodisc/res/pof/fund/2507151025108525.html</v>
      </c>
      <c r="BH91" s="23">
        <f>IF('Sheet5-查询核对'!P76="","",'Sheet5-查询核对'!P76)</f>
        <v>46276</v>
      </c>
      <c r="BI91" s="22" t="str">
        <f>IF('Sheet5-查询核对'!D76="","",'Sheet5-查询核对'!D76)</f>
        <v>SBBC37</v>
      </c>
      <c r="BJ91">
        <f>IF(ISNUMBER(AT91),AT91,COUNT($AT$17:$AT$99)+ROWS($AT$17:AT91)-COUNT($AT$17:AT91))</f>
        <v>11</v>
      </c>
      <c r="BK91" s="2">
        <f t="shared" si="37"/>
        <v>1</v>
      </c>
      <c r="BL91" s="2">
        <f t="shared" si="38"/>
        <v>1</v>
      </c>
      <c r="BM91" s="2">
        <f t="shared" si="39"/>
        <v>1</v>
      </c>
      <c r="BN91" s="2">
        <f t="shared" si="40"/>
        <v>1</v>
      </c>
      <c r="BO91" s="2">
        <f t="shared" si="41"/>
        <v>0</v>
      </c>
      <c r="BP91" s="48">
        <f>IF(G91="入池",IF(ISNUMBER(I91),I91*('Sheet1-指标体系'!$G$4),0),0)</f>
        <v>4.8</v>
      </c>
      <c r="BQ91" s="48">
        <f>IF(G91="入池",IF(ISNUMBER(K91),K91*('Sheet1-指标体系'!$G$5),0),0)</f>
        <v>4.5</v>
      </c>
      <c r="BR91" s="48">
        <f>IF(G91="入池",IF(ISNUMBER(L91),L91*('Sheet1-指标体系'!$G$6),0),0)</f>
        <v>3.15</v>
      </c>
      <c r="BS91" s="48">
        <f>IF(G91="入池",IF(ISNUMBER(Q91),Q91*('Sheet1-指标体系'!$G$7*'Sheet1-指标体系'!$J$8),0),0)</f>
        <v>4.43352</v>
      </c>
      <c r="BT91" s="48">
        <f>IF(G91="入池",IF(ISNUMBER(R91),R91*('Sheet1-指标体系'!$G$7*'Sheet1-指标体系'!$J$9),0),0)</f>
        <v>1.6968</v>
      </c>
      <c r="BU91" s="48">
        <f>IF(G91="入池",IF(ISNUMBER(W91),W91*('Sheet1-指标体系'!$G$8*'Sheet1-指标体系'!$J$8),0),0)</f>
        <v>3.6</v>
      </c>
      <c r="BV91" s="48">
        <f>IF(G91="入池",IF(ISNUMBER(X91),X91*('Sheet1-指标体系'!$G$8*'Sheet1-指标体系'!$J$9),0),0)</f>
        <v>2.4</v>
      </c>
      <c r="BW91" s="48">
        <f>IF(G91="入池",IF(ISNUMBER(AC91),AC91*('Sheet1-指标体系'!$G$9),0),0)</f>
        <v>23.6475</v>
      </c>
      <c r="BX91" s="48">
        <f>IF(G91="入池",IF(ISNUMBER(AG91),AG91*('Sheet1-指标体系'!$G$10*'Sheet1-指标体系'!$J$8),0),0)</f>
        <v>14.958</v>
      </c>
      <c r="BY91" s="48">
        <f>IF(G91="入池",IF(ISNUMBER(AH91),AH91*('Sheet1-指标体系'!$G$10*'Sheet1-指标体系'!$J$9),0),0)</f>
        <v>0</v>
      </c>
      <c r="BZ91" s="48">
        <f>IF(G91="入池",IF(ISNUMBER(AK91),AK91*('Sheet1-指标体系'!$G$11),0),0)</f>
        <v>10</v>
      </c>
      <c r="CA91" s="49">
        <f>IF(G91="入池",IF(ISNUMBER(I91),'Sheet1-指标体系'!$G$4,0),0)</f>
        <v>0.06</v>
      </c>
      <c r="CB91" s="49">
        <f>IF(G91="入池",IF(ISNUMBER(K91),'Sheet1-指标体系'!$G$5,0),0)</f>
        <v>0.045</v>
      </c>
      <c r="CC91" s="49">
        <f>IF(G91="入池",IF(ISNUMBER(L91),'Sheet1-指标体系'!$G$6,0),0)</f>
        <v>0.045</v>
      </c>
      <c r="CD91" s="49">
        <f>IF(G91="入池",IF(ISNUMBER(Q91),'Sheet1-指标体系'!$G$7*'Sheet1-指标体系'!$J$8,0),0)</f>
        <v>0.084</v>
      </c>
      <c r="CE91" s="49">
        <f>IF(G91="入池",IF(ISNUMBER(R91),'Sheet1-指标体系'!$G$7*'Sheet1-指标体系'!$J$9,0),0)</f>
        <v>0.056</v>
      </c>
      <c r="CF91" s="49">
        <f>IF(G91="入池",IF(ISNUMBER(W91),'Sheet1-指标体系'!$G$8*'Sheet1-指标体系'!$J$8,0),0)</f>
        <v>0.036</v>
      </c>
      <c r="CG91" s="49">
        <f>IF(G91="入池",IF(ISNUMBER(X91),'Sheet1-指标体系'!$G$8*'Sheet1-指标体系'!$J$9,0),0)</f>
        <v>0.024</v>
      </c>
      <c r="CH91" s="49">
        <f>IF(G91="入池",IF(ISNUMBER(AC91),'Sheet1-指标体系'!$G$9,0),0)</f>
        <v>0.25</v>
      </c>
      <c r="CI91" s="49">
        <f>IF(G91="入池",IF(ISNUMBER(AG91),'Sheet1-指标体系'!$G$10*'Sheet1-指标体系'!$J$8,0),0)</f>
        <v>0.18</v>
      </c>
      <c r="CJ91" s="49">
        <f>IF(G91="入池",IF(ISNUMBER(AH91),'Sheet1-指标体系'!$G$10*'Sheet1-指标体系'!$J$9,0),0)</f>
        <v>0</v>
      </c>
      <c r="CK91" s="49">
        <f>IF(G91="入池",IF(ISNUMBER(AK91),'Sheet1-指标体系'!$G$11,0),0)</f>
        <v>0.1</v>
      </c>
    </row>
    <row r="92" ht="44" customHeight="1" spans="1:89">
      <c r="A92" s="40">
        <f>'Sheet5-查询核对'!A77-1</f>
        <v>76</v>
      </c>
      <c r="B92" s="24" t="str">
        <f>IF('Sheet4-原始数据'!A77="",'Sheet5-查询核对'!B77,'Sheet4-原始数据'!A77)</f>
        <v>哲石君顺易安壹号</v>
      </c>
      <c r="C92" s="22" t="str">
        <f>IF('Sheet4-原始数据'!B77="","",'Sheet4-原始数据'!B77)</f>
        <v>SAVN21</v>
      </c>
      <c r="D92" s="22" t="str">
        <f>IF('Sheet4-原始数据'!E77="","",'Sheet4-原始数据'!E77)</f>
        <v>杭州哲石</v>
      </c>
      <c r="E92" s="23">
        <f>IF('Sheet4-原始数据'!F77="","",'Sheet4-原始数据'!F77)</f>
        <v>45749</v>
      </c>
      <c r="F92" s="37">
        <f>IF(ISNUMBER(E92),ROUND(('Sheet1-指标体系'!$J$12-E92)/'Sheet1-指标体系'!$J$14,4),"")</f>
        <v>1.4401</v>
      </c>
      <c r="G92" s="36" t="str">
        <f>IF(C92="","未匹配",IF(NOT(ISNUMBER(F92)),"缺成立日期",IF(F92&lt;'Sheet1-指标体系'!$J$15,"不入池","入池")))</f>
        <v>入池</v>
      </c>
      <c r="H92" s="22" t="str">
        <f>IF('Sheet5-查询核对'!K77="","",'Sheet5-查询核对'!K77)</f>
        <v>10-20亿元</v>
      </c>
      <c r="I92" s="37">
        <f>IF(H92="","",IF(COUNTIF('Sheet1-指标体系'!$P$4:$P$10,H92)=0,"",INDEX('Sheet1-指标体系'!$Q$4:$Q$10,MATCH(H92,'Sheet1-指标体系'!$P$4:$P$10,0))))</f>
        <v>80</v>
      </c>
      <c r="J92" s="44" t="str">
        <f>IF(NOT(ISNUMBER('Sheet5-查询核对'!N77)),"",IF('Sheet5-查询核对'!N77=1,"低于"&amp;'Sheet1-指标体系'!$J$4&amp;"万元",IF('Sheet5-查询核对'!N77=0,"无低于"&amp;'Sheet1-指标体系'!$J$4&amp;"万元标识","")))</f>
        <v>无低于1000万元标识</v>
      </c>
      <c r="K92" s="37">
        <f>IF(NOT(ISNUMBER('Sheet5-查询核对'!N77)),"",IF('Sheet5-查询核对'!N77=1,'Sheet1-指标体系'!$J$21,IF('Sheet5-查询核对'!N77=0,'Sheet1-指标体系'!$J$18,"")))</f>
        <v>100</v>
      </c>
      <c r="L92" s="37">
        <f>IF(NOT(ISNUMBER(F92)),"",IF(F92&lt;'Sheet1-指标体系'!$J$15,"",IF(F92&lt;'Sheet1-指标体系'!$J$16,'Sheet1-指标体系'!$J$17,'Sheet1-指标体系'!$J$18)))</f>
        <v>70</v>
      </c>
      <c r="M92" s="26" t="str">
        <f>IF(ISNUMBER('Sheet4-原始数据'!G77),'Sheet4-原始数据'!G77,"")</f>
        <v/>
      </c>
      <c r="N92" s="26" t="str">
        <f>IF(ISNUMBER('Sheet4-原始数据'!H77),'Sheet4-原始数据'!H77,"")</f>
        <v/>
      </c>
      <c r="O92" s="26" t="str">
        <f>IF(ISNUMBER('Sheet5-查询核对'!Q77),'Sheet5-查询核对'!Q77,"")</f>
        <v/>
      </c>
      <c r="P92" s="45" t="str">
        <f>IF(G92&lt;&gt;"入池","",IF(F92&gt;='Sheet1-指标体系'!$J$16,IF(AND(ISNUMBER(M92),ISNUMBER(N92)),IF(AND(1+M92&gt;0,1+N92&gt;=0),((1+N92)^'Sheet1-指标体系'!$J$16/(1+M92))^(1/('Sheet1-指标体系'!$J$16-1))-1,""),""),IF(AND(ISNUMBER(M92),ISNUMBER(O92)),IF(AND(F92&gt;1,1+M92&gt;0,1+O92&gt;=0),((1+O92)^F92/(1+M92))^(1/(F92-1))-1,""),"")))</f>
        <v/>
      </c>
      <c r="Q92" s="37" t="str">
        <f t="shared" si="21"/>
        <v/>
      </c>
      <c r="R92" s="37" t="str">
        <f t="shared" si="22"/>
        <v/>
      </c>
      <c r="S92" s="37" t="str">
        <f>IF(ISNUMBER(Q92),IF(ISNUMBER(R92),ROUND(Q92*'Sheet1-指标体系'!$J$8+R92*'Sheet1-指标体系'!$J$9,2),Q92),"")</f>
        <v/>
      </c>
      <c r="T92" s="26" t="str">
        <f>IF(ISNUMBER('Sheet4-原始数据'!J77),'Sheet4-原始数据'!J77,"")</f>
        <v/>
      </c>
      <c r="U92" s="26" t="str">
        <f>IF(ISNUMBER('Sheet4-原始数据'!I77),'Sheet4-原始数据'!I77,"")</f>
        <v/>
      </c>
      <c r="V92" s="45" t="str">
        <f>IF(AND(ISNUMBER(T92),ISNUMBER(U92)),(U92*'Sheet1-指标体系'!$J$6-T92*'Sheet1-指标体系'!$J$5)/'Sheet1-指标体系'!$J$7,"")</f>
        <v/>
      </c>
      <c r="W92" s="37" t="str">
        <f t="shared" si="23"/>
        <v/>
      </c>
      <c r="X92" s="37">
        <f>IF(G92&lt;&gt;"入池","",IF(ISNUMBER(V92),IF(AND(V92&gt;=0,V92&lt;=1),V92*'Sheet1-指标体系'!$J$18,IF(MAX(0,(F92-'Sheet1-指标体系'!$J$15)*'Sheet1-指标体系'!$J$20)&lt;'Sheet1-指标体系'!$J$19,'Sheet1-指标体系'!$J$18,"")),IF(MAX(0,(F92-'Sheet1-指标体系'!$J$15)*'Sheet1-指标体系'!$J$20)&lt;'Sheet1-指标体系'!$J$19,'Sheet1-指标体系'!$J$18,"")))</f>
        <v>100</v>
      </c>
      <c r="Y92" s="37" t="str">
        <f>IF(ISNUMBER(W92),IF(ISNUMBER(X92),ROUND(W92*'Sheet1-指标体系'!$J$8+X92*'Sheet1-指标体系'!$J$9,2),W92),"")</f>
        <v/>
      </c>
      <c r="Z92" s="45" t="str">
        <f t="shared" si="24"/>
        <v/>
      </c>
      <c r="AA92" s="26" t="str">
        <f>IF(ISNUMBER('Sheet4-原始数据'!K77),'Sheet4-原始数据'!K77,"")</f>
        <v/>
      </c>
      <c r="AB92" s="45" t="str">
        <f t="shared" si="25"/>
        <v/>
      </c>
      <c r="AC92" s="37" t="str">
        <f t="shared" si="26"/>
        <v/>
      </c>
      <c r="AD92" s="30" t="str">
        <f>IF(ISNUMBER('Sheet4-原始数据'!M77),'Sheet4-原始数据'!M77,"")</f>
        <v/>
      </c>
      <c r="AE92" s="45" t="str">
        <f>IF(AND(ISNUMBER(P92),ISNUMBER(AA92),ISNUMBER(Z92)),IF(AA92&gt;Z92+'Sheet1-指标体系'!$J$11,AA92,""),"")</f>
        <v/>
      </c>
      <c r="AF92" s="37" t="str">
        <f t="shared" si="27"/>
        <v/>
      </c>
      <c r="AG92" s="37" t="str">
        <f t="shared" si="28"/>
        <v/>
      </c>
      <c r="AH92" s="37" t="str">
        <f t="shared" si="29"/>
        <v/>
      </c>
      <c r="AI92" s="37" t="str">
        <f>IF(ISNUMBER(AG92),IF(ISNUMBER(AH92),ROUND(AG92*'Sheet1-指标体系'!$J$8+AH92*'Sheet1-指标体系'!$J$9,2),AG92),"")</f>
        <v/>
      </c>
      <c r="AJ92" s="45" t="str">
        <f>IF(NOT(ISNUMBER(F92)),"",IF(F92&gt;='Sheet1-指标体系'!$J$16,IF(ISNUMBER(N92),N92,""),IF(ISNUMBER(O92),O92,"")))</f>
        <v/>
      </c>
      <c r="AK92" s="37" t="str">
        <f>IF(AND(G92="入池",ISNUMBER(M92),ISNUMBER(AJ92)),IF(M92&gt;=AJ92,'Sheet1-指标体系'!$J$18,IF(AJ92-M92&lt;'Sheet1-指标体系'!$J$10,'Sheet1-指标体系'!$J$22,'Sheet1-指标体系'!$J$23)),"")</f>
        <v/>
      </c>
      <c r="AL92" s="37">
        <f>IF((IF(ISNUMBER(I92),'Sheet1-指标体系'!$G$4,0)+IF(ISNUMBER(K92),'Sheet1-指标体系'!$G$5,0)+IF(ISNUMBER(L92),'Sheet1-指标体系'!$G$6,0))&gt;0,ROUND((IF(ISNUMBER(I92),I92*'Sheet1-指标体系'!$G$4,0)+IF(ISNUMBER(K92),K92*'Sheet1-指标体系'!$G$5,0)+IF(ISNUMBER(L92),L92*'Sheet1-指标体系'!$G$6,0))/(IF(ISNUMBER(I92),'Sheet1-指标体系'!$G$4,0)+IF(ISNUMBER(K92),'Sheet1-指标体系'!$G$5,0)+IF(ISNUMBER(L92),'Sheet1-指标体系'!$G$6,0)),2),"")</f>
        <v>83</v>
      </c>
      <c r="AM92" s="37">
        <f t="shared" si="30"/>
        <v>100</v>
      </c>
      <c r="AN92" s="37" t="str">
        <f t="shared" si="31"/>
        <v/>
      </c>
      <c r="AO92" s="37" t="str">
        <f t="shared" si="32"/>
        <v/>
      </c>
      <c r="AP92" s="37" t="str">
        <f t="shared" si="33"/>
        <v/>
      </c>
      <c r="AQ92" s="38">
        <f t="shared" si="34"/>
        <v>0.174</v>
      </c>
      <c r="AR92" s="37">
        <f t="shared" si="35"/>
        <v>14.85</v>
      </c>
      <c r="AS92" s="37">
        <f t="shared" si="36"/>
        <v>85.34</v>
      </c>
      <c r="AT92" s="40">
        <f>IF(OR(G92&lt;&gt;"入池",NOT(ISNUMBER(AS92))),"",COUNTIFS($G$17:$G$99,"入池",$AS$17:$AS$99,"&gt;"&amp;AS92)+COUNTIFS($G$17:$G$99,"入池",$AS$17:$AS$99,AS92,$AQ$17:$AQ$99,"&gt;"&amp;AQ92)+COUNTIFS($G$17:G92,"入池",$AS$17:AS92,AS92,$AQ$17:AQ92,AQ92))</f>
        <v>9</v>
      </c>
      <c r="AU92" s="46" t="str">
        <f>IF(NOT(ISNUMBER(I92)),"管理人规模；","")&amp;IF(NOT(ISNUMBER(K92)),"产品规模标识；","")&amp;IF(NOT(ISNUMBER(M92)),"近一年收益；","")&amp;IF(NOT(ISNUMBER(T92)),"近一年胜率；","")&amp;IF(NOT(ISNUMBER(N92)),"近三年收益；","")&amp;IF(NOT(ISNUMBER(U92)),"近三年胜率；","")&amp;IF(NOT(ISNUMBER(AA92)),"近三年回撤；","")&amp;IF(NOT(ISNUMBER(AD92)),"近一年卡玛；","")&amp;IF(ISNUMBER(F92),IF(AND(F92&lt;'Sheet1-指标体系'!$J$16,NOT(ISNUMBER(O92))),"成立以来年化；",""),"成立日期；")&amp;IF(ISNUMBER(V92),IF(OR(V92&lt;0,V92&gt;1),"胜率窗口口径不一致；",""),"")&amp;IF(ISNUMBER(P92),IF(NOT(ISNUMBER(AE92)),"DD_long不可识别；",""),"")</f>
        <v>近一年收益；近一年胜率；近三年收益；近三年胜率；近三年回撤；近一年卡玛；成立以来年化；</v>
      </c>
      <c r="AV92" s="37" t="str">
        <f>IF(ABS(SUM(CA92:CK92)-'Sheet1-指标体系'!$J$25)&lt;0.0000000001,SUM(BP92:BZ92),"")</f>
        <v/>
      </c>
      <c r="AW92" s="36" t="str">
        <f>IF(G92&lt;&gt;"入池",G92,IF(AQ92=0,"无有效评分数据",IF(ROUND(AQ92,10)=ROUND('Sheet1-指标体系'!$J$25,10),"完整赋分","暂定分／数据不完整")))</f>
        <v>暂定分／数据不完整</v>
      </c>
      <c r="AX92" s="22" t="str">
        <f>IF('Sheet4-原始数据'!C77="","",'Sheet4-原始数据'!C77)</f>
        <v>套利策略</v>
      </c>
      <c r="AY92" s="22" t="str">
        <f>IF('Sheet4-原始数据'!D77="","",'Sheet4-原始数据'!D77)</f>
        <v>期货套利</v>
      </c>
      <c r="AZ92" s="22" t="str">
        <f>IF('Sheet5-查询核对'!S77="","",'Sheet5-查询核对'!S77)</f>
        <v>套利策略—期货套利</v>
      </c>
      <c r="BA92" s="25">
        <f>IF('Sheet5-查询核对'!A77="","",'Sheet5-查询核对'!A77)</f>
        <v>77</v>
      </c>
      <c r="BB92" s="22" t="str">
        <f>IF('Sheet5-查询核对'!F77="","",'Sheet5-查询核对'!F77)</f>
        <v>备案号匹配</v>
      </c>
      <c r="BC92" s="24" t="str">
        <f>IF('Sheet5-查询核对'!I77="","",'Sheet5-查询核对'!I77)</f>
        <v>https://mp.fof99.com/fund/view/e71e4de667b3a0df</v>
      </c>
      <c r="BD92" s="23">
        <f>IF('Sheet5-查询核对'!H77="","",'Sheet5-查询核对'!H77)</f>
        <v>46269</v>
      </c>
      <c r="BE92" s="24" t="str">
        <f>IF('Sheet5-查询核对'!L77="","",'Sheet5-查询核对'!L77)</f>
        <v>https://gs.amac.org.cn/amac-infodisc/res/pof/manager/101000047057.html</v>
      </c>
      <c r="BF92" s="23">
        <f>IF('Sheet5-查询核对'!M77="","",'Sheet5-查询核对'!M77)</f>
        <v>46276</v>
      </c>
      <c r="BG92" s="24" t="str">
        <f>IF('Sheet5-查询核对'!O77="","",'Sheet5-查询核对'!O77)</f>
        <v>https://gs.amac.org.cn/amac-infodisc/res/pof/fund/2504251630102057.html</v>
      </c>
      <c r="BH92" s="23">
        <f>IF('Sheet5-查询核对'!P77="","",'Sheet5-查询核对'!P77)</f>
        <v>46276</v>
      </c>
      <c r="BI92" s="22" t="str">
        <f>IF('Sheet5-查询核对'!D77="","",'Sheet5-查询核对'!D77)</f>
        <v>SAVN21</v>
      </c>
      <c r="BJ92">
        <f>IF(ISNUMBER(AT92),AT92,COUNT($AT$17:$AT$99)+ROWS($AT$17:AT92)-COUNT($AT$17:AT92))</f>
        <v>9</v>
      </c>
      <c r="BK92" s="2">
        <f t="shared" si="37"/>
        <v>0</v>
      </c>
      <c r="BL92" s="2">
        <f t="shared" si="38"/>
        <v>0</v>
      </c>
      <c r="BM92" s="2">
        <f t="shared" si="39"/>
        <v>0</v>
      </c>
      <c r="BN92" s="2">
        <f t="shared" si="40"/>
        <v>0</v>
      </c>
      <c r="BO92" s="2">
        <f t="shared" si="41"/>
        <v>0</v>
      </c>
      <c r="BP92" s="48">
        <f>IF(G92="入池",IF(ISNUMBER(I92),I92*('Sheet1-指标体系'!$G$4),0),0)</f>
        <v>4.8</v>
      </c>
      <c r="BQ92" s="48">
        <f>IF(G92="入池",IF(ISNUMBER(K92),K92*('Sheet1-指标体系'!$G$5),0),0)</f>
        <v>4.5</v>
      </c>
      <c r="BR92" s="48">
        <f>IF(G92="入池",IF(ISNUMBER(L92),L92*('Sheet1-指标体系'!$G$6),0),0)</f>
        <v>3.15</v>
      </c>
      <c r="BS92" s="48">
        <f>IF(G92="入池",IF(ISNUMBER(Q92),Q92*('Sheet1-指标体系'!$G$7*'Sheet1-指标体系'!$J$8),0),0)</f>
        <v>0</v>
      </c>
      <c r="BT92" s="48">
        <f>IF(G92="入池",IF(ISNUMBER(R92),R92*('Sheet1-指标体系'!$G$7*'Sheet1-指标体系'!$J$9),0),0)</f>
        <v>0</v>
      </c>
      <c r="BU92" s="48">
        <f>IF(G92="入池",IF(ISNUMBER(W92),W92*('Sheet1-指标体系'!$G$8*'Sheet1-指标体系'!$J$8),0),0)</f>
        <v>0</v>
      </c>
      <c r="BV92" s="48">
        <f>IF(G92="入池",IF(ISNUMBER(X92),X92*('Sheet1-指标体系'!$G$8*'Sheet1-指标体系'!$J$9),0),0)</f>
        <v>2.4</v>
      </c>
      <c r="BW92" s="48">
        <f>IF(G92="入池",IF(ISNUMBER(AC92),AC92*('Sheet1-指标体系'!$G$9),0),0)</f>
        <v>0</v>
      </c>
      <c r="BX92" s="48">
        <f>IF(G92="入池",IF(ISNUMBER(AG92),AG92*('Sheet1-指标体系'!$G$10*'Sheet1-指标体系'!$J$8),0),0)</f>
        <v>0</v>
      </c>
      <c r="BY92" s="48">
        <f>IF(G92="入池",IF(ISNUMBER(AH92),AH92*('Sheet1-指标体系'!$G$10*'Sheet1-指标体系'!$J$9),0),0)</f>
        <v>0</v>
      </c>
      <c r="BZ92" s="48">
        <f>IF(G92="入池",IF(ISNUMBER(AK92),AK92*('Sheet1-指标体系'!$G$11),0),0)</f>
        <v>0</v>
      </c>
      <c r="CA92" s="49">
        <f>IF(G92="入池",IF(ISNUMBER(I92),'Sheet1-指标体系'!$G$4,0),0)</f>
        <v>0.06</v>
      </c>
      <c r="CB92" s="49">
        <f>IF(G92="入池",IF(ISNUMBER(K92),'Sheet1-指标体系'!$G$5,0),0)</f>
        <v>0.045</v>
      </c>
      <c r="CC92" s="49">
        <f>IF(G92="入池",IF(ISNUMBER(L92),'Sheet1-指标体系'!$G$6,0),0)</f>
        <v>0.045</v>
      </c>
      <c r="CD92" s="49">
        <f>IF(G92="入池",IF(ISNUMBER(Q92),'Sheet1-指标体系'!$G$7*'Sheet1-指标体系'!$J$8,0),0)</f>
        <v>0</v>
      </c>
      <c r="CE92" s="49">
        <f>IF(G92="入池",IF(ISNUMBER(R92),'Sheet1-指标体系'!$G$7*'Sheet1-指标体系'!$J$9,0),0)</f>
        <v>0</v>
      </c>
      <c r="CF92" s="49">
        <f>IF(G92="入池",IF(ISNUMBER(W92),'Sheet1-指标体系'!$G$8*'Sheet1-指标体系'!$J$8,0),0)</f>
        <v>0</v>
      </c>
      <c r="CG92" s="49">
        <f>IF(G92="入池",IF(ISNUMBER(X92),'Sheet1-指标体系'!$G$8*'Sheet1-指标体系'!$J$9,0),0)</f>
        <v>0.024</v>
      </c>
      <c r="CH92" s="49">
        <f>IF(G92="入池",IF(ISNUMBER(AC92),'Sheet1-指标体系'!$G$9,0),0)</f>
        <v>0</v>
      </c>
      <c r="CI92" s="49">
        <f>IF(G92="入池",IF(ISNUMBER(AG92),'Sheet1-指标体系'!$G$10*'Sheet1-指标体系'!$J$8,0),0)</f>
        <v>0</v>
      </c>
      <c r="CJ92" s="49">
        <f>IF(G92="入池",IF(ISNUMBER(AH92),'Sheet1-指标体系'!$G$10*'Sheet1-指标体系'!$J$9,0),0)</f>
        <v>0</v>
      </c>
      <c r="CK92" s="49">
        <f>IF(G92="入池",IF(ISNUMBER(AK92),'Sheet1-指标体系'!$G$11,0),0)</f>
        <v>0</v>
      </c>
    </row>
    <row r="93" ht="44" customHeight="1" spans="1:89">
      <c r="A93" s="40">
        <f>'Sheet5-查询核对'!A78-1</f>
        <v>77</v>
      </c>
      <c r="B93" s="24" t="str">
        <f>IF('Sheet4-原始数据'!A78="",'Sheet5-查询核对'!B78,'Sheet4-原始数据'!A78)</f>
        <v>臻选期权套利一号</v>
      </c>
      <c r="C93" s="22" t="str">
        <f>IF('Sheet4-原始数据'!B78="","",'Sheet4-原始数据'!B78)</f>
        <v>SBEM86</v>
      </c>
      <c r="D93" s="22" t="str">
        <f>IF('Sheet4-原始数据'!E78="","",'Sheet4-原始数据'!E78)</f>
        <v>海南臻选</v>
      </c>
      <c r="E93" s="23">
        <f>IF('Sheet4-原始数据'!F78="","",'Sheet4-原始数据'!F78)</f>
        <v>45929</v>
      </c>
      <c r="F93" s="37">
        <f>IF(ISNUMBER(E93),ROUND(('Sheet1-指标体系'!$J$12-E93)/'Sheet1-指标体系'!$J$14,4),"")</f>
        <v>0.9473</v>
      </c>
      <c r="G93" s="36" t="str">
        <f>IF(C93="","未匹配",IF(NOT(ISNUMBER(F93)),"缺成立日期",IF(F93&lt;'Sheet1-指标体系'!$J$15,"不入池","入池")))</f>
        <v>不入池</v>
      </c>
      <c r="H93" s="22" t="str">
        <f>IF('Sheet5-查询核对'!K78="","",'Sheet5-查询核对'!K78)</f>
        <v>10-20亿元</v>
      </c>
      <c r="I93" s="37">
        <f>IF(H93="","",IF(COUNTIF('Sheet1-指标体系'!$P$4:$P$10,H93)=0,"",INDEX('Sheet1-指标体系'!$Q$4:$Q$10,MATCH(H93,'Sheet1-指标体系'!$P$4:$P$10,0))))</f>
        <v>80</v>
      </c>
      <c r="J93" s="44" t="str">
        <f>IF(NOT(ISNUMBER('Sheet5-查询核对'!N78)),"",IF('Sheet5-查询核对'!N78=1,"低于"&amp;'Sheet1-指标体系'!$J$4&amp;"万元",IF('Sheet5-查询核对'!N78=0,"无低于"&amp;'Sheet1-指标体系'!$J$4&amp;"万元标识","")))</f>
        <v>无低于1000万元标识</v>
      </c>
      <c r="K93" s="37">
        <f>IF(NOT(ISNUMBER('Sheet5-查询核对'!N78)),"",IF('Sheet5-查询核对'!N78=1,'Sheet1-指标体系'!$J$21,IF('Sheet5-查询核对'!N78=0,'Sheet1-指标体系'!$J$18,"")))</f>
        <v>100</v>
      </c>
      <c r="L93" s="37" t="str">
        <f>IF(NOT(ISNUMBER(F93)),"",IF(F93&lt;'Sheet1-指标体系'!$J$15,"",IF(F93&lt;'Sheet1-指标体系'!$J$16,'Sheet1-指标体系'!$J$17,'Sheet1-指标体系'!$J$18)))</f>
        <v/>
      </c>
      <c r="M93" s="26" t="str">
        <f>IF(ISNUMBER('Sheet4-原始数据'!G78),'Sheet4-原始数据'!G78,"")</f>
        <v/>
      </c>
      <c r="N93" s="26" t="str">
        <f>IF(ISNUMBER('Sheet4-原始数据'!H78),'Sheet4-原始数据'!H78,"")</f>
        <v/>
      </c>
      <c r="O93" s="26">
        <f>IF(ISNUMBER('Sheet5-查询核对'!Q78),'Sheet5-查询核对'!Q78,"")</f>
        <v>0.1333</v>
      </c>
      <c r="P93" s="45" t="str">
        <f>IF(G93&lt;&gt;"入池","",IF(F93&gt;='Sheet1-指标体系'!$J$16,IF(AND(ISNUMBER(M93),ISNUMBER(N93)),IF(AND(1+M93&gt;0,1+N93&gt;=0),((1+N93)^'Sheet1-指标体系'!$J$16/(1+M93))^(1/('Sheet1-指标体系'!$J$16-1))-1,""),""),IF(AND(ISNUMBER(M93),ISNUMBER(O93)),IF(AND(F93&gt;1,1+M93&gt;0,1+O93&gt;=0),((1+O93)^F93/(1+M93))^(1/(F93-1))-1,""),"")))</f>
        <v/>
      </c>
      <c r="Q93" s="37" t="str">
        <f t="shared" si="21"/>
        <v/>
      </c>
      <c r="R93" s="37" t="str">
        <f t="shared" si="22"/>
        <v/>
      </c>
      <c r="S93" s="37" t="str">
        <f>IF(ISNUMBER(Q93),IF(ISNUMBER(R93),ROUND(Q93*'Sheet1-指标体系'!$J$8+R93*'Sheet1-指标体系'!$J$9,2),Q93),"")</f>
        <v/>
      </c>
      <c r="T93" s="26" t="str">
        <f>IF(ISNUMBER('Sheet4-原始数据'!J78),'Sheet4-原始数据'!J78,"")</f>
        <v/>
      </c>
      <c r="U93" s="26" t="str">
        <f>IF(ISNUMBER('Sheet4-原始数据'!I78),'Sheet4-原始数据'!I78,"")</f>
        <v/>
      </c>
      <c r="V93" s="45" t="str">
        <f>IF(AND(ISNUMBER(T93),ISNUMBER(U93)),(U93*'Sheet1-指标体系'!$J$6-T93*'Sheet1-指标体系'!$J$5)/'Sheet1-指标体系'!$J$7,"")</f>
        <v/>
      </c>
      <c r="W93" s="37" t="str">
        <f t="shared" si="23"/>
        <v/>
      </c>
      <c r="X93" s="37" t="str">
        <f>IF(G93&lt;&gt;"入池","",IF(ISNUMBER(V93),IF(AND(V93&gt;=0,V93&lt;=1),V93*'Sheet1-指标体系'!$J$18,IF(MAX(0,(F93-'Sheet1-指标体系'!$J$15)*'Sheet1-指标体系'!$J$20)&lt;'Sheet1-指标体系'!$J$19,'Sheet1-指标体系'!$J$18,"")),IF(MAX(0,(F93-'Sheet1-指标体系'!$J$15)*'Sheet1-指标体系'!$J$20)&lt;'Sheet1-指标体系'!$J$19,'Sheet1-指标体系'!$J$18,"")))</f>
        <v/>
      </c>
      <c r="Y93" s="37" t="str">
        <f>IF(ISNUMBER(W93),IF(ISNUMBER(X93),ROUND(W93*'Sheet1-指标体系'!$J$8+X93*'Sheet1-指标体系'!$J$9,2),W93),"")</f>
        <v/>
      </c>
      <c r="Z93" s="45" t="str">
        <f t="shared" si="24"/>
        <v/>
      </c>
      <c r="AA93" s="26" t="str">
        <f>IF(ISNUMBER('Sheet4-原始数据'!K78),'Sheet4-原始数据'!K78,"")</f>
        <v/>
      </c>
      <c r="AB93" s="45" t="str">
        <f t="shared" si="25"/>
        <v/>
      </c>
      <c r="AC93" s="37" t="str">
        <f t="shared" si="26"/>
        <v/>
      </c>
      <c r="AD93" s="30" t="str">
        <f>IF(ISNUMBER('Sheet4-原始数据'!M78),'Sheet4-原始数据'!M78,"")</f>
        <v/>
      </c>
      <c r="AE93" s="45" t="str">
        <f>IF(AND(ISNUMBER(P93),ISNUMBER(AA93),ISNUMBER(Z93)),IF(AA93&gt;Z93+'Sheet1-指标体系'!$J$11,AA93,""),"")</f>
        <v/>
      </c>
      <c r="AF93" s="37" t="str">
        <f t="shared" si="27"/>
        <v/>
      </c>
      <c r="AG93" s="37" t="str">
        <f t="shared" si="28"/>
        <v/>
      </c>
      <c r="AH93" s="37" t="str">
        <f t="shared" si="29"/>
        <v/>
      </c>
      <c r="AI93" s="37" t="str">
        <f>IF(ISNUMBER(AG93),IF(ISNUMBER(AH93),ROUND(AG93*'Sheet1-指标体系'!$J$8+AH93*'Sheet1-指标体系'!$J$9,2),AG93),"")</f>
        <v/>
      </c>
      <c r="AJ93" s="45">
        <f>IF(NOT(ISNUMBER(F93)),"",IF(F93&gt;='Sheet1-指标体系'!$J$16,IF(ISNUMBER(N93),N93,""),IF(ISNUMBER(O93),O93,"")))</f>
        <v>0.1333</v>
      </c>
      <c r="AK93" s="37" t="str">
        <f>IF(AND(G93="入池",ISNUMBER(M93),ISNUMBER(AJ93)),IF(M93&gt;=AJ93,'Sheet1-指标体系'!$J$18,IF(AJ93-M93&lt;'Sheet1-指标体系'!$J$10,'Sheet1-指标体系'!$J$22,'Sheet1-指标体系'!$J$23)),"")</f>
        <v/>
      </c>
      <c r="AL93" s="37">
        <f>IF((IF(ISNUMBER(I93),'Sheet1-指标体系'!$G$4,0)+IF(ISNUMBER(K93),'Sheet1-指标体系'!$G$5,0)+IF(ISNUMBER(L93),'Sheet1-指标体系'!$G$6,0))&gt;0,ROUND((IF(ISNUMBER(I93),I93*'Sheet1-指标体系'!$G$4,0)+IF(ISNUMBER(K93),K93*'Sheet1-指标体系'!$G$5,0)+IF(ISNUMBER(L93),L93*'Sheet1-指标体系'!$G$6,0))/(IF(ISNUMBER(I93),'Sheet1-指标体系'!$G$4,0)+IF(ISNUMBER(K93),'Sheet1-指标体系'!$G$5,0)+IF(ISNUMBER(L93),'Sheet1-指标体系'!$G$6,0)),2),"")</f>
        <v>88.57</v>
      </c>
      <c r="AM93" s="37" t="str">
        <f t="shared" si="30"/>
        <v/>
      </c>
      <c r="AN93" s="37" t="str">
        <f t="shared" si="31"/>
        <v/>
      </c>
      <c r="AO93" s="37" t="str">
        <f t="shared" si="32"/>
        <v/>
      </c>
      <c r="AP93" s="37" t="str">
        <f t="shared" si="33"/>
        <v/>
      </c>
      <c r="AQ93" s="38">
        <f t="shared" si="34"/>
        <v>0</v>
      </c>
      <c r="AR93" s="37" t="str">
        <f t="shared" si="35"/>
        <v/>
      </c>
      <c r="AS93" s="37" t="str">
        <f t="shared" si="36"/>
        <v/>
      </c>
      <c r="AT93" s="40" t="str">
        <f>IF(OR(G93&lt;&gt;"入池",NOT(ISNUMBER(AS93))),"",COUNTIFS($G$17:$G$99,"入池",$AS$17:$AS$99,"&gt;"&amp;AS93)+COUNTIFS($G$17:$G$99,"入池",$AS$17:$AS$99,AS93,$AQ$17:$AQ$99,"&gt;"&amp;AQ93)+COUNTIFS($G$17:G93,"入池",$AS$17:AS93,AS93,$AQ$17:AQ93,AQ93))</f>
        <v/>
      </c>
      <c r="AU93" s="46" t="str">
        <f>IF(NOT(ISNUMBER(I93)),"管理人规模；","")&amp;IF(NOT(ISNUMBER(K93)),"产品规模标识；","")&amp;IF(NOT(ISNUMBER(M93)),"近一年收益；","")&amp;IF(NOT(ISNUMBER(T93)),"近一年胜率；","")&amp;IF(NOT(ISNUMBER(N93)),"近三年收益；","")&amp;IF(NOT(ISNUMBER(U93)),"近三年胜率；","")&amp;IF(NOT(ISNUMBER(AA93)),"近三年回撤；","")&amp;IF(NOT(ISNUMBER(AD93)),"近一年卡玛；","")&amp;IF(ISNUMBER(F93),IF(AND(F93&lt;'Sheet1-指标体系'!$J$16,NOT(ISNUMBER(O93))),"成立以来年化；",""),"成立日期；")&amp;IF(ISNUMBER(V93),IF(OR(V93&lt;0,V93&gt;1),"胜率窗口口径不一致；",""),"")&amp;IF(ISNUMBER(P93),IF(NOT(ISNUMBER(AE93)),"DD_long不可识别；",""),"")</f>
        <v>近一年收益；近一年胜率；近三年收益；近三年胜率；近三年回撤；近一年卡玛；</v>
      </c>
      <c r="AV93" s="37" t="str">
        <f>IF(ABS(SUM(CA93:CK93)-'Sheet1-指标体系'!$J$25)&lt;0.0000000001,SUM(BP93:BZ93),"")</f>
        <v/>
      </c>
      <c r="AW93" s="36" t="str">
        <f>IF(G93&lt;&gt;"入池",G93,IF(AQ93=0,"无有效评分数据",IF(ROUND(AQ93,10)=ROUND('Sheet1-指标体系'!$J$25,10),"完整赋分","暂定分／数据不完整")))</f>
        <v>不入池</v>
      </c>
      <c r="AX93" s="22" t="str">
        <f>IF('Sheet4-原始数据'!C78="","",'Sheet4-原始数据'!C78)</f>
        <v>期权策略</v>
      </c>
      <c r="AY93" s="22" t="str">
        <f>IF('Sheet4-原始数据'!D78="","",'Sheet4-原始数据'!D78)</f>
        <v/>
      </c>
      <c r="AZ93" s="22" t="str">
        <f>IF('Sheet5-查询核对'!S78="","",'Sheet5-查询核对'!S78)</f>
        <v>期权策略</v>
      </c>
      <c r="BA93" s="25">
        <f>IF('Sheet5-查询核对'!A78="","",'Sheet5-查询核对'!A78)</f>
        <v>78</v>
      </c>
      <c r="BB93" s="22" t="str">
        <f>IF('Sheet5-查询核对'!F78="","",'Sheet5-查询核对'!F78)</f>
        <v>备案号匹配</v>
      </c>
      <c r="BC93" s="24" t="str">
        <f>IF('Sheet5-查询核对'!I78="","",'Sheet5-查询核对'!I78)</f>
        <v>https://mp.fof99.com/fund/view/6a8da1db45b76b2f</v>
      </c>
      <c r="BD93" s="23">
        <f>IF('Sheet5-查询核对'!H78="","",'Sheet5-查询核对'!H78)</f>
        <v>46269</v>
      </c>
      <c r="BE93" s="24" t="str">
        <f>IF('Sheet5-查询核对'!L78="","",'Sheet5-查询核对'!L78)</f>
        <v>https://gs.amac.org.cn/amac-infodisc/res/pof/manager/2108111018103387.html</v>
      </c>
      <c r="BF93" s="23">
        <f>IF('Sheet5-查询核对'!M78="","",'Sheet5-查询核对'!M78)</f>
        <v>46276</v>
      </c>
      <c r="BG93" s="24" t="str">
        <f>IF('Sheet5-查询核对'!O78="","",'Sheet5-查询核对'!O78)</f>
        <v>https://gs.amac.org.cn/amac-infodisc/res/pof/fund/2510291417105955.html</v>
      </c>
      <c r="BH93" s="23">
        <f>IF('Sheet5-查询核对'!P78="","",'Sheet5-查询核对'!P78)</f>
        <v>46276</v>
      </c>
      <c r="BI93" s="22" t="str">
        <f>IF('Sheet5-查询核对'!D78="","",'Sheet5-查询核对'!D78)</f>
        <v>SBEM86</v>
      </c>
      <c r="BJ93">
        <f>IF(ISNUMBER(AT93),AT93,COUNT($AT$17:$AT$99)+ROWS($AT$17:AT93)-COUNT($AT$17:AT93))</f>
        <v>83</v>
      </c>
      <c r="BK93" s="2">
        <f t="shared" si="37"/>
        <v>0</v>
      </c>
      <c r="BL93" s="2">
        <f t="shared" si="38"/>
        <v>0</v>
      </c>
      <c r="BM93" s="2">
        <f t="shared" si="39"/>
        <v>0</v>
      </c>
      <c r="BN93" s="2">
        <f t="shared" si="40"/>
        <v>0</v>
      </c>
      <c r="BO93" s="2">
        <f t="shared" si="41"/>
        <v>0</v>
      </c>
      <c r="BP93" s="48">
        <f>IF(G93="入池",IF(ISNUMBER(I93),I93*('Sheet1-指标体系'!$G$4),0),0)</f>
        <v>0</v>
      </c>
      <c r="BQ93" s="48">
        <f>IF(G93="入池",IF(ISNUMBER(K93),K93*('Sheet1-指标体系'!$G$5),0),0)</f>
        <v>0</v>
      </c>
      <c r="BR93" s="48">
        <f>IF(G93="入池",IF(ISNUMBER(L93),L93*('Sheet1-指标体系'!$G$6),0),0)</f>
        <v>0</v>
      </c>
      <c r="BS93" s="48">
        <f>IF(G93="入池",IF(ISNUMBER(Q93),Q93*('Sheet1-指标体系'!$G$7*'Sheet1-指标体系'!$J$8),0),0)</f>
        <v>0</v>
      </c>
      <c r="BT93" s="48">
        <f>IF(G93="入池",IF(ISNUMBER(R93),R93*('Sheet1-指标体系'!$G$7*'Sheet1-指标体系'!$J$9),0),0)</f>
        <v>0</v>
      </c>
      <c r="BU93" s="48">
        <f>IF(G93="入池",IF(ISNUMBER(W93),W93*('Sheet1-指标体系'!$G$8*'Sheet1-指标体系'!$J$8),0),0)</f>
        <v>0</v>
      </c>
      <c r="BV93" s="48">
        <f>IF(G93="入池",IF(ISNUMBER(X93),X93*('Sheet1-指标体系'!$G$8*'Sheet1-指标体系'!$J$9),0),0)</f>
        <v>0</v>
      </c>
      <c r="BW93" s="48">
        <f>IF(G93="入池",IF(ISNUMBER(AC93),AC93*('Sheet1-指标体系'!$G$9),0),0)</f>
        <v>0</v>
      </c>
      <c r="BX93" s="48">
        <f>IF(G93="入池",IF(ISNUMBER(AG93),AG93*('Sheet1-指标体系'!$G$10*'Sheet1-指标体系'!$J$8),0),0)</f>
        <v>0</v>
      </c>
      <c r="BY93" s="48">
        <f>IF(G93="入池",IF(ISNUMBER(AH93),AH93*('Sheet1-指标体系'!$G$10*'Sheet1-指标体系'!$J$9),0),0)</f>
        <v>0</v>
      </c>
      <c r="BZ93" s="48">
        <f>IF(G93="入池",IF(ISNUMBER(AK93),AK93*('Sheet1-指标体系'!$G$11),0),0)</f>
        <v>0</v>
      </c>
      <c r="CA93" s="49">
        <f>IF(G93="入池",IF(ISNUMBER(I93),'Sheet1-指标体系'!$G$4,0),0)</f>
        <v>0</v>
      </c>
      <c r="CB93" s="49">
        <f>IF(G93="入池",IF(ISNUMBER(K93),'Sheet1-指标体系'!$G$5,0),0)</f>
        <v>0</v>
      </c>
      <c r="CC93" s="49">
        <f>IF(G93="入池",IF(ISNUMBER(L93),'Sheet1-指标体系'!$G$6,0),0)</f>
        <v>0</v>
      </c>
      <c r="CD93" s="49">
        <f>IF(G93="入池",IF(ISNUMBER(Q93),'Sheet1-指标体系'!$G$7*'Sheet1-指标体系'!$J$8,0),0)</f>
        <v>0</v>
      </c>
      <c r="CE93" s="49">
        <f>IF(G93="入池",IF(ISNUMBER(R93),'Sheet1-指标体系'!$G$7*'Sheet1-指标体系'!$J$9,0),0)</f>
        <v>0</v>
      </c>
      <c r="CF93" s="49">
        <f>IF(G93="入池",IF(ISNUMBER(W93),'Sheet1-指标体系'!$G$8*'Sheet1-指标体系'!$J$8,0),0)</f>
        <v>0</v>
      </c>
      <c r="CG93" s="49">
        <f>IF(G93="入池",IF(ISNUMBER(X93),'Sheet1-指标体系'!$G$8*'Sheet1-指标体系'!$J$9,0),0)</f>
        <v>0</v>
      </c>
      <c r="CH93" s="49">
        <f>IF(G93="入池",IF(ISNUMBER(AC93),'Sheet1-指标体系'!$G$9,0),0)</f>
        <v>0</v>
      </c>
      <c r="CI93" s="49">
        <f>IF(G93="入池",IF(ISNUMBER(AG93),'Sheet1-指标体系'!$G$10*'Sheet1-指标体系'!$J$8,0),0)</f>
        <v>0</v>
      </c>
      <c r="CJ93" s="49">
        <f>IF(G93="入池",IF(ISNUMBER(AH93),'Sheet1-指标体系'!$G$10*'Sheet1-指标体系'!$J$9,0),0)</f>
        <v>0</v>
      </c>
      <c r="CK93" s="49">
        <f>IF(G93="入池",IF(ISNUMBER(AK93),'Sheet1-指标体系'!$G$11,0),0)</f>
        <v>0</v>
      </c>
    </row>
    <row r="94" ht="44" customHeight="1" spans="1:89">
      <c r="A94" s="40">
        <f>'Sheet5-查询核对'!A79-1</f>
        <v>78</v>
      </c>
      <c r="B94" s="24" t="str">
        <f>IF('Sheet4-原始数据'!A79="",'Sheet5-查询核对'!B79,'Sheet4-原始数据'!A79)</f>
        <v>致同稳盈对冲</v>
      </c>
      <c r="C94" s="22" t="str">
        <f>IF('Sheet4-原始数据'!B79="","",'Sheet4-原始数据'!B79)</f>
        <v>SS8645</v>
      </c>
      <c r="D94" s="22" t="str">
        <f>IF('Sheet4-原始数据'!E79="","",'Sheet4-原始数据'!E79)</f>
        <v>上海致同投资</v>
      </c>
      <c r="E94" s="23">
        <f>IF('Sheet4-原始数据'!F79="","",'Sheet4-原始数据'!F79)</f>
        <v>42857</v>
      </c>
      <c r="F94" s="37">
        <f>IF(ISNUMBER(E94),ROUND(('Sheet1-指标体系'!$J$12-E94)/'Sheet1-指标体系'!$J$14,4),"")</f>
        <v>9.358</v>
      </c>
      <c r="G94" s="36" t="str">
        <f>IF(C94="","未匹配",IF(NOT(ISNUMBER(F94)),"缺成立日期",IF(F94&lt;'Sheet1-指标体系'!$J$15,"不入池","入池")))</f>
        <v>入池</v>
      </c>
      <c r="H94" s="22" t="str">
        <f>IF('Sheet5-查询核对'!K79="","",'Sheet5-查询核对'!K79)</f>
        <v>20-50亿元</v>
      </c>
      <c r="I94" s="37">
        <f>IF(H94="","",IF(COUNTIF('Sheet1-指标体系'!$P$4:$P$10,H94)=0,"",INDEX('Sheet1-指标体系'!$Q$4:$Q$10,MATCH(H94,'Sheet1-指标体系'!$P$4:$P$10,0))))</f>
        <v>90</v>
      </c>
      <c r="J94" s="44" t="str">
        <f>IF(NOT(ISNUMBER('Sheet5-查询核对'!N79)),"",IF('Sheet5-查询核对'!N79=1,"低于"&amp;'Sheet1-指标体系'!$J$4&amp;"万元",IF('Sheet5-查询核对'!N79=0,"无低于"&amp;'Sheet1-指标体系'!$J$4&amp;"万元标识","")))</f>
        <v>无低于1000万元标识</v>
      </c>
      <c r="K94" s="37">
        <f>IF(NOT(ISNUMBER('Sheet5-查询核对'!N79)),"",IF('Sheet5-查询核对'!N79=1,'Sheet1-指标体系'!$J$21,IF('Sheet5-查询核对'!N79=0,'Sheet1-指标体系'!$J$18,"")))</f>
        <v>100</v>
      </c>
      <c r="L94" s="37">
        <f>IF(NOT(ISNUMBER(F94)),"",IF(F94&lt;'Sheet1-指标体系'!$J$15,"",IF(F94&lt;'Sheet1-指标体系'!$J$16,'Sheet1-指标体系'!$J$17,'Sheet1-指标体系'!$J$18)))</f>
        <v>100</v>
      </c>
      <c r="M94" s="26">
        <f>IF(ISNUMBER('Sheet4-原始数据'!G79),'Sheet4-原始数据'!G79,"")</f>
        <v>0.0381</v>
      </c>
      <c r="N94" s="26">
        <f>IF(ISNUMBER('Sheet4-原始数据'!H79),'Sheet4-原始数据'!H79,"")</f>
        <v>0.048</v>
      </c>
      <c r="O94" s="26">
        <f>IF(ISNUMBER('Sheet5-查询核对'!Q79),'Sheet5-查询核对'!Q79,"")</f>
        <v>0.0885</v>
      </c>
      <c r="P94" s="45">
        <f>IF(G94&lt;&gt;"入池","",IF(F94&gt;='Sheet1-指标体系'!$J$16,IF(AND(ISNUMBER(M94),ISNUMBER(N94)),IF(AND(1+M94&gt;0,1+N94&gt;=0),((1+N94)^'Sheet1-指标体系'!$J$16/(1+M94))^(1/('Sheet1-指标体系'!$J$16-1))-1,""),""),IF(AND(ISNUMBER(M94),ISNUMBER(O94)),IF(AND(F94&gt;1,1+M94&gt;0,1+O94&gt;=0),((1+O94)^F94/(1+M94))^(1/(F94-1))-1,""),"")))</f>
        <v>0.0529853487524932</v>
      </c>
      <c r="Q94" s="37">
        <f t="shared" si="21"/>
        <v>16.67</v>
      </c>
      <c r="R94" s="37">
        <f t="shared" si="22"/>
        <v>21.21</v>
      </c>
      <c r="S94" s="37">
        <f>IF(ISNUMBER(Q94),IF(ISNUMBER(R94),ROUND(Q94*'Sheet1-指标体系'!$J$8+R94*'Sheet1-指标体系'!$J$9,2),Q94),"")</f>
        <v>18.49</v>
      </c>
      <c r="T94" s="26">
        <f>IF(ISNUMBER('Sheet4-原始数据'!J79),'Sheet4-原始数据'!J79,"")</f>
        <v>0.6923</v>
      </c>
      <c r="U94" s="26">
        <f>IF(ISNUMBER('Sheet4-原始数据'!I79),'Sheet4-原始数据'!I79,"")</f>
        <v>0.7838</v>
      </c>
      <c r="V94" s="45">
        <f>IF(AND(ISNUMBER(T94),ISNUMBER(U94)),(U94*'Sheet1-指标体系'!$J$6-T94*'Sheet1-指标体系'!$J$5)/'Sheet1-指标体系'!$J$7,"")</f>
        <v>0.8333625</v>
      </c>
      <c r="W94" s="37">
        <f t="shared" si="23"/>
        <v>69.23</v>
      </c>
      <c r="X94" s="37">
        <f>IF(G94&lt;&gt;"入池","",IF(ISNUMBER(V94),IF(AND(V94&gt;=0,V94&lt;=1),V94*'Sheet1-指标体系'!$J$18,IF(MAX(0,(F94-'Sheet1-指标体系'!$J$15)*'Sheet1-指标体系'!$J$20)&lt;'Sheet1-指标体系'!$J$19,'Sheet1-指标体系'!$J$18,"")),IF(MAX(0,(F94-'Sheet1-指标体系'!$J$15)*'Sheet1-指标体系'!$J$20)&lt;'Sheet1-指标体系'!$J$19,'Sheet1-指标体系'!$J$18,"")))</f>
        <v>83.33625</v>
      </c>
      <c r="Y94" s="37">
        <f>IF(ISNUMBER(W94),IF(ISNUMBER(X94),ROUND(W94*'Sheet1-指标体系'!$J$8+X94*'Sheet1-指标体系'!$J$9,2),W94),"")</f>
        <v>74.87</v>
      </c>
      <c r="Z94" s="45">
        <f t="shared" si="24"/>
        <v>0.0133627946127946</v>
      </c>
      <c r="AA94" s="26">
        <f>IF(ISNUMBER('Sheet4-原始数据'!K79),'Sheet4-原始数据'!K79,"")</f>
        <v>0.0134</v>
      </c>
      <c r="AB94" s="45">
        <f t="shared" si="25"/>
        <v>0.0134</v>
      </c>
      <c r="AC94" s="37">
        <f t="shared" si="26"/>
        <v>59.46</v>
      </c>
      <c r="AD94" s="30">
        <f>IF(ISNUMBER('Sheet4-原始数据'!M79),'Sheet4-原始数据'!M79,"")</f>
        <v>2.8512</v>
      </c>
      <c r="AE94" s="45" t="str">
        <f>IF(AND(ISNUMBER(P94),ISNUMBER(AA94),ISNUMBER(Z94)),IF(AA94&gt;Z94+'Sheet1-指标体系'!$J$11,AA94,""),"")</f>
        <v/>
      </c>
      <c r="AF94" s="37" t="str">
        <f t="shared" si="27"/>
        <v/>
      </c>
      <c r="AG94" s="37">
        <f t="shared" si="28"/>
        <v>25.35</v>
      </c>
      <c r="AH94" s="37" t="str">
        <f t="shared" si="29"/>
        <v/>
      </c>
      <c r="AI94" s="37">
        <f>IF(ISNUMBER(AG94),IF(ISNUMBER(AH94),ROUND(AG94*'Sheet1-指标体系'!$J$8+AH94*'Sheet1-指标体系'!$J$9,2),AG94),"")</f>
        <v>25.35</v>
      </c>
      <c r="AJ94" s="45">
        <f>IF(NOT(ISNUMBER(F94)),"",IF(F94&gt;='Sheet1-指标体系'!$J$16,IF(ISNUMBER(N94),N94,""),IF(ISNUMBER(O94),O94,"")))</f>
        <v>0.048</v>
      </c>
      <c r="AK94" s="37">
        <f>IF(AND(G94="入池",ISNUMBER(M94),ISNUMBER(AJ94)),IF(M94&gt;=AJ94,'Sheet1-指标体系'!$J$18,IF(AJ94-M94&lt;'Sheet1-指标体系'!$J$10,'Sheet1-指标体系'!$J$22,'Sheet1-指标体系'!$J$23)),"")</f>
        <v>80</v>
      </c>
      <c r="AL94" s="37">
        <f>IF((IF(ISNUMBER(I94),'Sheet1-指标体系'!$G$4,0)+IF(ISNUMBER(K94),'Sheet1-指标体系'!$G$5,0)+IF(ISNUMBER(L94),'Sheet1-指标体系'!$G$6,0))&gt;0,ROUND((IF(ISNUMBER(I94),I94*'Sheet1-指标体系'!$G$4,0)+IF(ISNUMBER(K94),K94*'Sheet1-指标体系'!$G$5,0)+IF(ISNUMBER(L94),L94*'Sheet1-指标体系'!$G$6,0))/(IF(ISNUMBER(I94),'Sheet1-指标体系'!$G$4,0)+IF(ISNUMBER(K94),'Sheet1-指标体系'!$G$5,0)+IF(ISNUMBER(L94),'Sheet1-指标体系'!$G$6,0)),2),"")</f>
        <v>96</v>
      </c>
      <c r="AM94" s="37">
        <f t="shared" si="30"/>
        <v>35.4</v>
      </c>
      <c r="AN94" s="37">
        <f t="shared" si="31"/>
        <v>59.46</v>
      </c>
      <c r="AO94" s="37">
        <f t="shared" si="32"/>
        <v>25.35</v>
      </c>
      <c r="AP94" s="37">
        <f t="shared" si="33"/>
        <v>80</v>
      </c>
      <c r="AQ94" s="38">
        <f t="shared" si="34"/>
        <v>0.88</v>
      </c>
      <c r="AR94" s="37">
        <f t="shared" si="35"/>
        <v>48.90839</v>
      </c>
      <c r="AS94" s="37">
        <f t="shared" si="36"/>
        <v>55.58</v>
      </c>
      <c r="AT94" s="40">
        <f>IF(OR(G94&lt;&gt;"入池",NOT(ISNUMBER(AS94))),"",COUNTIFS($G$17:$G$99,"入池",$AS$17:$AS$99,"&gt;"&amp;AS94)+COUNTIFS($G$17:$G$99,"入池",$AS$17:$AS$99,AS94,$AQ$17:$AQ$99,"&gt;"&amp;AQ94)+COUNTIFS($G$17:G94,"入池",$AS$17:AS94,AS94,$AQ$17:AQ94,AQ94))</f>
        <v>49</v>
      </c>
      <c r="AU94" s="46" t="str">
        <f>IF(NOT(ISNUMBER(I94)),"管理人规模；","")&amp;IF(NOT(ISNUMBER(K94)),"产品规模标识；","")&amp;IF(NOT(ISNUMBER(M94)),"近一年收益；","")&amp;IF(NOT(ISNUMBER(T94)),"近一年胜率；","")&amp;IF(NOT(ISNUMBER(N94)),"近三年收益；","")&amp;IF(NOT(ISNUMBER(U94)),"近三年胜率；","")&amp;IF(NOT(ISNUMBER(AA94)),"近三年回撤；","")&amp;IF(NOT(ISNUMBER(AD94)),"近一年卡玛；","")&amp;IF(ISNUMBER(F94),IF(AND(F94&lt;'Sheet1-指标体系'!$J$16,NOT(ISNUMBER(O94))),"成立以来年化；",""),"成立日期；")&amp;IF(ISNUMBER(V94),IF(OR(V94&lt;0,V94&gt;1),"胜率窗口口径不一致；",""),"")&amp;IF(ISNUMBER(P94),IF(NOT(ISNUMBER(AE94)),"DD_long不可识别；",""),"")</f>
        <v>DD_long不可识别；</v>
      </c>
      <c r="AV94" s="37" t="str">
        <f>IF(ABS(SUM(CA94:CK94)-'Sheet1-指标体系'!$J$25)&lt;0.0000000001,SUM(BP94:BZ94),"")</f>
        <v/>
      </c>
      <c r="AW94" s="36" t="str">
        <f>IF(G94&lt;&gt;"入池",G94,IF(AQ94=0,"无有效评分数据",IF(ROUND(AQ94,10)=ROUND('Sheet1-指标体系'!$J$25,10),"完整赋分","暂定分／数据不完整")))</f>
        <v>暂定分／数据不完整</v>
      </c>
      <c r="AX94" s="22" t="str">
        <f>IF('Sheet4-原始数据'!C79="","",'Sheet4-原始数据'!C79)</f>
        <v>套利策略</v>
      </c>
      <c r="AY94" s="22" t="str">
        <f>IF('Sheet4-原始数据'!D79="","",'Sheet4-原始数据'!D79)</f>
        <v>期货套利</v>
      </c>
      <c r="AZ94" s="22" t="str">
        <f>IF('Sheet5-查询核对'!S79="","",'Sheet5-查询核对'!S79)</f>
        <v>套利策略—期货套利</v>
      </c>
      <c r="BA94" s="25">
        <f>IF('Sheet5-查询核对'!A79="","",'Sheet5-查询核对'!A79)</f>
        <v>79</v>
      </c>
      <c r="BB94" s="22" t="str">
        <f>IF('Sheet5-查询核对'!F79="","",'Sheet5-查询核对'!F79)</f>
        <v>备案号匹配</v>
      </c>
      <c r="BC94" s="24" t="str">
        <f>IF('Sheet5-查询核对'!I79="","",'Sheet5-查询核对'!I79)</f>
        <v>https://mp.fof99.com/fund/view/691a98bba5e4cde6</v>
      </c>
      <c r="BD94" s="23">
        <f>IF('Sheet5-查询核对'!H79="","",'Sheet5-查询核对'!H79)</f>
        <v>46269</v>
      </c>
      <c r="BE94" s="24" t="str">
        <f>IF('Sheet5-查询核对'!L79="","",'Sheet5-查询核对'!L79)</f>
        <v>https://gs.amac.org.cn/amac-infodisc/res/pof/manager/101000004339.html</v>
      </c>
      <c r="BF94" s="23">
        <f>IF('Sheet5-查询核对'!M79="","",'Sheet5-查询核对'!M79)</f>
        <v>46276</v>
      </c>
      <c r="BG94" s="24" t="str">
        <f>IF('Sheet5-查询核对'!O79="","",'Sheet5-查询核对'!O79)</f>
        <v>https://gs.amac.org.cn/amac-infodisc/res/pof/fund/1705051025108658.html</v>
      </c>
      <c r="BH94" s="23">
        <f>IF('Sheet5-查询核对'!P79="","",'Sheet5-查询核对'!P79)</f>
        <v>46276</v>
      </c>
      <c r="BI94" s="22" t="str">
        <f>IF('Sheet5-查询核对'!D79="","",'Sheet5-查询核对'!D79)</f>
        <v>SS8645</v>
      </c>
      <c r="BJ94">
        <f>IF(ISNUMBER(AT94),AT94,COUNT($AT$17:$AT$99)+ROWS($AT$17:AT94)-COUNT($AT$17:AT94))</f>
        <v>49</v>
      </c>
      <c r="BK94" s="2">
        <f t="shared" si="37"/>
        <v>1</v>
      </c>
      <c r="BL94" s="2">
        <f t="shared" si="38"/>
        <v>1</v>
      </c>
      <c r="BM94" s="2">
        <f t="shared" si="39"/>
        <v>1</v>
      </c>
      <c r="BN94" s="2">
        <f t="shared" si="40"/>
        <v>1</v>
      </c>
      <c r="BO94" s="2">
        <f t="shared" si="41"/>
        <v>0</v>
      </c>
      <c r="BP94" s="48">
        <f>IF(G94="入池",IF(ISNUMBER(I94),I94*('Sheet1-指标体系'!$G$4),0),0)</f>
        <v>5.4</v>
      </c>
      <c r="BQ94" s="48">
        <f>IF(G94="入池",IF(ISNUMBER(K94),K94*('Sheet1-指标体系'!$G$5),0),0)</f>
        <v>4.5</v>
      </c>
      <c r="BR94" s="48">
        <f>IF(G94="入池",IF(ISNUMBER(L94),L94*('Sheet1-指标体系'!$G$6),0),0)</f>
        <v>4.5</v>
      </c>
      <c r="BS94" s="48">
        <f>IF(G94="入池",IF(ISNUMBER(Q94),Q94*('Sheet1-指标体系'!$G$7*'Sheet1-指标体系'!$J$8),0),0)</f>
        <v>1.40028</v>
      </c>
      <c r="BT94" s="48">
        <f>IF(G94="入池",IF(ISNUMBER(R94),R94*('Sheet1-指标体系'!$G$7*'Sheet1-指标体系'!$J$9),0),0)</f>
        <v>1.18776</v>
      </c>
      <c r="BU94" s="48">
        <f>IF(G94="入池",IF(ISNUMBER(W94),W94*('Sheet1-指标体系'!$G$8*'Sheet1-指标体系'!$J$8),0),0)</f>
        <v>2.49228</v>
      </c>
      <c r="BV94" s="48">
        <f>IF(G94="入池",IF(ISNUMBER(X94),X94*('Sheet1-指标体系'!$G$8*'Sheet1-指标体系'!$J$9),0),0)</f>
        <v>2.00007</v>
      </c>
      <c r="BW94" s="48">
        <f>IF(G94="入池",IF(ISNUMBER(AC94),AC94*('Sheet1-指标体系'!$G$9),0),0)</f>
        <v>14.865</v>
      </c>
      <c r="BX94" s="48">
        <f>IF(G94="入池",IF(ISNUMBER(AG94),AG94*('Sheet1-指标体系'!$G$10*'Sheet1-指标体系'!$J$8),0),0)</f>
        <v>4.563</v>
      </c>
      <c r="BY94" s="48">
        <f>IF(G94="入池",IF(ISNUMBER(AH94),AH94*('Sheet1-指标体系'!$G$10*'Sheet1-指标体系'!$J$9),0),0)</f>
        <v>0</v>
      </c>
      <c r="BZ94" s="48">
        <f>IF(G94="入池",IF(ISNUMBER(AK94),AK94*('Sheet1-指标体系'!$G$11),0),0)</f>
        <v>8</v>
      </c>
      <c r="CA94" s="49">
        <f>IF(G94="入池",IF(ISNUMBER(I94),'Sheet1-指标体系'!$G$4,0),0)</f>
        <v>0.06</v>
      </c>
      <c r="CB94" s="49">
        <f>IF(G94="入池",IF(ISNUMBER(K94),'Sheet1-指标体系'!$G$5,0),0)</f>
        <v>0.045</v>
      </c>
      <c r="CC94" s="49">
        <f>IF(G94="入池",IF(ISNUMBER(L94),'Sheet1-指标体系'!$G$6,0),0)</f>
        <v>0.045</v>
      </c>
      <c r="CD94" s="49">
        <f>IF(G94="入池",IF(ISNUMBER(Q94),'Sheet1-指标体系'!$G$7*'Sheet1-指标体系'!$J$8,0),0)</f>
        <v>0.084</v>
      </c>
      <c r="CE94" s="49">
        <f>IF(G94="入池",IF(ISNUMBER(R94),'Sheet1-指标体系'!$G$7*'Sheet1-指标体系'!$J$9,0),0)</f>
        <v>0.056</v>
      </c>
      <c r="CF94" s="49">
        <f>IF(G94="入池",IF(ISNUMBER(W94),'Sheet1-指标体系'!$G$8*'Sheet1-指标体系'!$J$8,0),0)</f>
        <v>0.036</v>
      </c>
      <c r="CG94" s="49">
        <f>IF(G94="入池",IF(ISNUMBER(X94),'Sheet1-指标体系'!$G$8*'Sheet1-指标体系'!$J$9,0),0)</f>
        <v>0.024</v>
      </c>
      <c r="CH94" s="49">
        <f>IF(G94="入池",IF(ISNUMBER(AC94),'Sheet1-指标体系'!$G$9,0),0)</f>
        <v>0.25</v>
      </c>
      <c r="CI94" s="49">
        <f>IF(G94="入池",IF(ISNUMBER(AG94),'Sheet1-指标体系'!$G$10*'Sheet1-指标体系'!$J$8,0),0)</f>
        <v>0.18</v>
      </c>
      <c r="CJ94" s="49">
        <f>IF(G94="入池",IF(ISNUMBER(AH94),'Sheet1-指标体系'!$G$10*'Sheet1-指标体系'!$J$9,0),0)</f>
        <v>0</v>
      </c>
      <c r="CK94" s="49">
        <f>IF(G94="入池",IF(ISNUMBER(AK94),'Sheet1-指标体系'!$G$11,0),0)</f>
        <v>0.1</v>
      </c>
    </row>
    <row r="95" ht="44" customHeight="1" spans="1:89">
      <c r="A95" s="40">
        <f>'Sheet5-查询核对'!A80-1</f>
        <v>79</v>
      </c>
      <c r="B95" s="24" t="str">
        <f>IF('Sheet4-原始数据'!A80="",'Sheet5-查询核对'!B80,'Sheet4-原始数据'!A80)</f>
        <v>致远投资昆仑1号</v>
      </c>
      <c r="C95" s="22" t="str">
        <f>IF('Sheet4-原始数据'!B80="","",'Sheet4-原始数据'!B80)</f>
        <v>SSD863</v>
      </c>
      <c r="D95" s="22" t="str">
        <f>IF('Sheet4-原始数据'!E80="","",'Sheet4-原始数据'!E80)</f>
        <v>广州致远</v>
      </c>
      <c r="E95" s="23">
        <f>IF('Sheet4-原始数据'!F80="","",'Sheet4-原始数据'!F80)</f>
        <v>44550</v>
      </c>
      <c r="F95" s="37">
        <f>IF(ISNUMBER(E95),ROUND(('Sheet1-指标体系'!$J$12-E95)/'Sheet1-指标体系'!$J$14,4),"")</f>
        <v>4.7228</v>
      </c>
      <c r="G95" s="36" t="str">
        <f>IF(C95="","未匹配",IF(NOT(ISNUMBER(F95)),"缺成立日期",IF(F95&lt;'Sheet1-指标体系'!$J$15,"不入池","入池")))</f>
        <v>入池</v>
      </c>
      <c r="H95" s="22" t="str">
        <f>IF('Sheet5-查询核对'!K80="","",'Sheet5-查询核对'!K80)</f>
        <v>20-50亿元</v>
      </c>
      <c r="I95" s="37">
        <f>IF(H95="","",IF(COUNTIF('Sheet1-指标体系'!$P$4:$P$10,H95)=0,"",INDEX('Sheet1-指标体系'!$Q$4:$Q$10,MATCH(H95,'Sheet1-指标体系'!$P$4:$P$10,0))))</f>
        <v>90</v>
      </c>
      <c r="J95" s="44" t="str">
        <f>IF(NOT(ISNUMBER('Sheet5-查询核对'!N80)),"",IF('Sheet5-查询核对'!N80=1,"低于"&amp;'Sheet1-指标体系'!$J$4&amp;"万元",IF('Sheet5-查询核对'!N80=0,"无低于"&amp;'Sheet1-指标体系'!$J$4&amp;"万元标识","")))</f>
        <v>无低于1000万元标识</v>
      </c>
      <c r="K95" s="37">
        <f>IF(NOT(ISNUMBER('Sheet5-查询核对'!N80)),"",IF('Sheet5-查询核对'!N80=1,'Sheet1-指标体系'!$J$21,IF('Sheet5-查询核对'!N80=0,'Sheet1-指标体系'!$J$18,"")))</f>
        <v>100</v>
      </c>
      <c r="L95" s="37">
        <f>IF(NOT(ISNUMBER(F95)),"",IF(F95&lt;'Sheet1-指标体系'!$J$15,"",IF(F95&lt;'Sheet1-指标体系'!$J$16,'Sheet1-指标体系'!$J$17,'Sheet1-指标体系'!$J$18)))</f>
        <v>100</v>
      </c>
      <c r="M95" s="26">
        <f>IF(ISNUMBER('Sheet4-原始数据'!G80),'Sheet4-原始数据'!G80,"")</f>
        <v>0.0309</v>
      </c>
      <c r="N95" s="26">
        <f>IF(ISNUMBER('Sheet4-原始数据'!H80),'Sheet4-原始数据'!H80,"")</f>
        <v>0.0486</v>
      </c>
      <c r="O95" s="26">
        <f>IF(ISNUMBER('Sheet5-查询核对'!Q80),'Sheet5-查询核对'!Q80,"")</f>
        <v>0.0551</v>
      </c>
      <c r="P95" s="45">
        <f>IF(G95&lt;&gt;"入池","",IF(F95&gt;='Sheet1-指标体系'!$J$16,IF(AND(ISNUMBER(M95),ISNUMBER(N95)),IF(AND(1+M95&gt;0,1+N95&gt;=0),((1+N95)^'Sheet1-指标体系'!$J$16/(1+M95))^(1/('Sheet1-指标体系'!$J$16-1))-1,""),""),IF(AND(ISNUMBER(M95),ISNUMBER(O95)),IF(AND(F95&gt;1,1+M95&gt;0,1+O95&gt;=0),((1+O95)^F95/(1+M95))^(1/(F95-1))-1,""),"")))</f>
        <v>0.0575636382843558</v>
      </c>
      <c r="Q95" s="37">
        <f t="shared" si="21"/>
        <v>13.89</v>
      </c>
      <c r="R95" s="37">
        <f t="shared" si="22"/>
        <v>27.27</v>
      </c>
      <c r="S95" s="37">
        <f>IF(ISNUMBER(Q95),IF(ISNUMBER(R95),ROUND(Q95*'Sheet1-指标体系'!$J$8+R95*'Sheet1-指标体系'!$J$9,2),Q95),"")</f>
        <v>19.24</v>
      </c>
      <c r="T95" s="26">
        <f>IF(ISNUMBER('Sheet4-原始数据'!J80),'Sheet4-原始数据'!J80,"")</f>
        <v>0.4615</v>
      </c>
      <c r="U95" s="26">
        <f>IF(ISNUMBER('Sheet4-原始数据'!I80),'Sheet4-原始数据'!I80,"")</f>
        <v>0.6216</v>
      </c>
      <c r="V95" s="45">
        <f>IF(AND(ISNUMBER(T95),ISNUMBER(U95)),(U95*'Sheet1-指标体系'!$J$6-T95*'Sheet1-指标体系'!$J$5)/'Sheet1-指标体系'!$J$7,"")</f>
        <v>0.708320833333333</v>
      </c>
      <c r="W95" s="37">
        <f t="shared" si="23"/>
        <v>46.15</v>
      </c>
      <c r="X95" s="37">
        <f>IF(G95&lt;&gt;"入池","",IF(ISNUMBER(V95),IF(AND(V95&gt;=0,V95&lt;=1),V95*'Sheet1-指标体系'!$J$18,IF(MAX(0,(F95-'Sheet1-指标体系'!$J$15)*'Sheet1-指标体系'!$J$20)&lt;'Sheet1-指标体系'!$J$19,'Sheet1-指标体系'!$J$18,"")),IF(MAX(0,(F95-'Sheet1-指标体系'!$J$15)*'Sheet1-指标体系'!$J$20)&lt;'Sheet1-指标体系'!$J$19,'Sheet1-指标体系'!$J$18,"")))</f>
        <v>70.8320833333333</v>
      </c>
      <c r="Y95" s="37">
        <f>IF(ISNUMBER(W95),IF(ISNUMBER(X95),ROUND(W95*'Sheet1-指标体系'!$J$8+X95*'Sheet1-指标体系'!$J$9,2),W95),"")</f>
        <v>56.02</v>
      </c>
      <c r="Z95" s="45">
        <f t="shared" si="24"/>
        <v>0.0222142343637671</v>
      </c>
      <c r="AA95" s="26">
        <f>IF(ISNUMBER('Sheet4-原始数据'!K80),'Sheet4-原始数据'!K80,"")</f>
        <v>0.041</v>
      </c>
      <c r="AB95" s="45">
        <f t="shared" si="25"/>
        <v>0.041</v>
      </c>
      <c r="AC95" s="37">
        <f t="shared" si="26"/>
        <v>24.32</v>
      </c>
      <c r="AD95" s="30">
        <f>IF(ISNUMBER('Sheet4-原始数据'!M80),'Sheet4-原始数据'!M80,"")</f>
        <v>1.391</v>
      </c>
      <c r="AE95" s="45">
        <f>IF(AND(ISNUMBER(P95),ISNUMBER(AA95),ISNUMBER(Z95)),IF(AA95&gt;Z95+'Sheet1-指标体系'!$J$11,AA95,""),"")</f>
        <v>0.041</v>
      </c>
      <c r="AF95" s="37">
        <f t="shared" si="27"/>
        <v>1.40399117766722</v>
      </c>
      <c r="AG95" s="37">
        <f t="shared" si="28"/>
        <v>11.27</v>
      </c>
      <c r="AH95" s="37">
        <f t="shared" si="29"/>
        <v>18.75</v>
      </c>
      <c r="AI95" s="37">
        <f>IF(ISNUMBER(AG95),IF(ISNUMBER(AH95),ROUND(AG95*'Sheet1-指标体系'!$J$8+AH95*'Sheet1-指标体系'!$J$9,2),AG95),"")</f>
        <v>14.26</v>
      </c>
      <c r="AJ95" s="45">
        <f>IF(NOT(ISNUMBER(F95)),"",IF(F95&gt;='Sheet1-指标体系'!$J$16,IF(ISNUMBER(N95),N95,""),IF(ISNUMBER(O95),O95,"")))</f>
        <v>0.0486</v>
      </c>
      <c r="AK95" s="37">
        <f>IF(AND(G95="入池",ISNUMBER(M95),ISNUMBER(AJ95)),IF(M95&gt;=AJ95,'Sheet1-指标体系'!$J$18,IF(AJ95-M95&lt;'Sheet1-指标体系'!$J$10,'Sheet1-指标体系'!$J$22,'Sheet1-指标体系'!$J$23)),"")</f>
        <v>80</v>
      </c>
      <c r="AL95" s="37">
        <f>IF((IF(ISNUMBER(I95),'Sheet1-指标体系'!$G$4,0)+IF(ISNUMBER(K95),'Sheet1-指标体系'!$G$5,0)+IF(ISNUMBER(L95),'Sheet1-指标体系'!$G$6,0))&gt;0,ROUND((IF(ISNUMBER(I95),I95*'Sheet1-指标体系'!$G$4,0)+IF(ISNUMBER(K95),K95*'Sheet1-指标体系'!$G$5,0)+IF(ISNUMBER(L95),L95*'Sheet1-指标体系'!$G$6,0))/(IF(ISNUMBER(I95),'Sheet1-指标体系'!$G$4,0)+IF(ISNUMBER(K95),'Sheet1-指标体系'!$G$5,0)+IF(ISNUMBER(L95),'Sheet1-指标体系'!$G$6,0)),2),"")</f>
        <v>96</v>
      </c>
      <c r="AM95" s="37">
        <f t="shared" si="30"/>
        <v>30.28</v>
      </c>
      <c r="AN95" s="37">
        <f t="shared" si="31"/>
        <v>24.32</v>
      </c>
      <c r="AO95" s="37">
        <f t="shared" si="32"/>
        <v>14.26</v>
      </c>
      <c r="AP95" s="37">
        <f t="shared" si="33"/>
        <v>80</v>
      </c>
      <c r="AQ95" s="38">
        <f t="shared" si="34"/>
        <v>1</v>
      </c>
      <c r="AR95" s="37">
        <f t="shared" si="35"/>
        <v>38.81385</v>
      </c>
      <c r="AS95" s="37">
        <f t="shared" si="36"/>
        <v>38.81</v>
      </c>
      <c r="AT95" s="40">
        <f>IF(OR(G95&lt;&gt;"入池",NOT(ISNUMBER(AS95))),"",COUNTIFS($G$17:$G$99,"入池",$AS$17:$AS$99,"&gt;"&amp;AS95)+COUNTIFS($G$17:$G$99,"入池",$AS$17:$AS$99,AS95,$AQ$17:$AQ$99,"&gt;"&amp;AQ95)+COUNTIFS($G$17:G95,"入池",$AS$17:AS95,AS95,$AQ$17:AQ95,AQ95))</f>
        <v>73</v>
      </c>
      <c r="AU95" s="46" t="str">
        <f>IF(NOT(ISNUMBER(I95)),"管理人规模；","")&amp;IF(NOT(ISNUMBER(K95)),"产品规模标识；","")&amp;IF(NOT(ISNUMBER(M95)),"近一年收益；","")&amp;IF(NOT(ISNUMBER(T95)),"近一年胜率；","")&amp;IF(NOT(ISNUMBER(N95)),"近三年收益；","")&amp;IF(NOT(ISNUMBER(U95)),"近三年胜率；","")&amp;IF(NOT(ISNUMBER(AA95)),"近三年回撤；","")&amp;IF(NOT(ISNUMBER(AD95)),"近一年卡玛；","")&amp;IF(ISNUMBER(F95),IF(AND(F95&lt;'Sheet1-指标体系'!$J$16,NOT(ISNUMBER(O95))),"成立以来年化；",""),"成立日期；")&amp;IF(ISNUMBER(V95),IF(OR(V95&lt;0,V95&gt;1),"胜率窗口口径不一致；",""),"")&amp;IF(ISNUMBER(P95),IF(NOT(ISNUMBER(AE95)),"DD_long不可识别；",""),"")</f>
        <v/>
      </c>
      <c r="AV95" s="37">
        <f>IF(ABS(SUM(CA95:CK95)-'Sheet1-指标体系'!$J$25)&lt;0.0000000001,SUM(BP95:BZ95),"")</f>
        <v>38.81385</v>
      </c>
      <c r="AW95" s="36" t="str">
        <f>IF(G95&lt;&gt;"入池",G95,IF(AQ95=0,"无有效评分数据",IF(ROUND(AQ95,10)=ROUND('Sheet1-指标体系'!$J$25,10),"完整赋分","暂定分／数据不完整")))</f>
        <v>完整赋分</v>
      </c>
      <c r="AX95" s="22" t="str">
        <f>IF('Sheet4-原始数据'!C80="","",'Sheet4-原始数据'!C80)</f>
        <v>期权策略</v>
      </c>
      <c r="AY95" s="22" t="str">
        <f>IF('Sheet4-原始数据'!D80="","",'Sheet4-原始数据'!D80)</f>
        <v>场内期权</v>
      </c>
      <c r="AZ95" s="22" t="str">
        <f>IF('Sheet5-查询核对'!S80="","",'Sheet5-查询核对'!S80)</f>
        <v>期权策略</v>
      </c>
      <c r="BA95" s="25">
        <f>IF('Sheet5-查询核对'!A80="","",'Sheet5-查询核对'!A80)</f>
        <v>80</v>
      </c>
      <c r="BB95" s="22" t="str">
        <f>IF('Sheet5-查询核对'!F80="","",'Sheet5-查询核对'!F80)</f>
        <v>备案号匹配</v>
      </c>
      <c r="BC95" s="24" t="str">
        <f>IF('Sheet5-查询核对'!I80="","",'Sheet5-查询核对'!I80)</f>
        <v>https://mp.fof99.com/fund/view/134f91eefa4596c1</v>
      </c>
      <c r="BD95" s="23">
        <f>IF('Sheet5-查询核对'!H80="","",'Sheet5-查询核对'!H80)</f>
        <v>46269</v>
      </c>
      <c r="BE95" s="24" t="str">
        <f>IF('Sheet5-查询核对'!L80="","",'Sheet5-查询核对'!L80)</f>
        <v>https://gs.amac.org.cn/amac-infodisc/res/pof/manager/2011301812106408.html</v>
      </c>
      <c r="BF95" s="23">
        <f>IF('Sheet5-查询核对'!M80="","",'Sheet5-查询核对'!M80)</f>
        <v>46276</v>
      </c>
      <c r="BG95" s="24" t="str">
        <f>IF('Sheet5-查询核对'!O80="","",'Sheet5-查询核对'!O80)</f>
        <v>https://gs.amac.org.cn/amac-infodisc/res/pof/fund/2112231704112625.html</v>
      </c>
      <c r="BH95" s="23">
        <f>IF('Sheet5-查询核对'!P80="","",'Sheet5-查询核对'!P80)</f>
        <v>46276</v>
      </c>
      <c r="BI95" s="22" t="str">
        <f>IF('Sheet5-查询核对'!D80="","",'Sheet5-查询核对'!D80)</f>
        <v>SSD863</v>
      </c>
      <c r="BJ95">
        <f>IF(ISNUMBER(AT95),AT95,COUNT($AT$17:$AT$99)+ROWS($AT$17:AT95)-COUNT($AT$17:AT95))</f>
        <v>73</v>
      </c>
      <c r="BK95" s="2">
        <f t="shared" si="37"/>
        <v>1</v>
      </c>
      <c r="BL95" s="2">
        <f t="shared" si="38"/>
        <v>1</v>
      </c>
      <c r="BM95" s="2">
        <f t="shared" si="39"/>
        <v>1</v>
      </c>
      <c r="BN95" s="2">
        <f t="shared" si="40"/>
        <v>1</v>
      </c>
      <c r="BO95" s="2">
        <f t="shared" si="41"/>
        <v>1</v>
      </c>
      <c r="BP95" s="48">
        <f>IF(G95="入池",IF(ISNUMBER(I95),I95*('Sheet1-指标体系'!$G$4),0),0)</f>
        <v>5.4</v>
      </c>
      <c r="BQ95" s="48">
        <f>IF(G95="入池",IF(ISNUMBER(K95),K95*('Sheet1-指标体系'!$G$5),0),0)</f>
        <v>4.5</v>
      </c>
      <c r="BR95" s="48">
        <f>IF(G95="入池",IF(ISNUMBER(L95),L95*('Sheet1-指标体系'!$G$6),0),0)</f>
        <v>4.5</v>
      </c>
      <c r="BS95" s="48">
        <f>IF(G95="入池",IF(ISNUMBER(Q95),Q95*('Sheet1-指标体系'!$G$7*'Sheet1-指标体系'!$J$8),0),0)</f>
        <v>1.16676</v>
      </c>
      <c r="BT95" s="48">
        <f>IF(G95="入池",IF(ISNUMBER(R95),R95*('Sheet1-指标体系'!$G$7*'Sheet1-指标体系'!$J$9),0),0)</f>
        <v>1.52712</v>
      </c>
      <c r="BU95" s="48">
        <f>IF(G95="入池",IF(ISNUMBER(W95),W95*('Sheet1-指标体系'!$G$8*'Sheet1-指标体系'!$J$8),0),0)</f>
        <v>1.6614</v>
      </c>
      <c r="BV95" s="48">
        <f>IF(G95="入池",IF(ISNUMBER(X95),X95*('Sheet1-指标体系'!$G$8*'Sheet1-指标体系'!$J$9),0),0)</f>
        <v>1.69997</v>
      </c>
      <c r="BW95" s="48">
        <f>IF(G95="入池",IF(ISNUMBER(AC95),AC95*('Sheet1-指标体系'!$G$9),0),0)</f>
        <v>6.08</v>
      </c>
      <c r="BX95" s="48">
        <f>IF(G95="入池",IF(ISNUMBER(AG95),AG95*('Sheet1-指标体系'!$G$10*'Sheet1-指标体系'!$J$8),0),0)</f>
        <v>2.0286</v>
      </c>
      <c r="BY95" s="48">
        <f>IF(G95="入池",IF(ISNUMBER(AH95),AH95*('Sheet1-指标体系'!$G$10*'Sheet1-指标体系'!$J$9),0),0)</f>
        <v>2.25</v>
      </c>
      <c r="BZ95" s="48">
        <f>IF(G95="入池",IF(ISNUMBER(AK95),AK95*('Sheet1-指标体系'!$G$11),0),0)</f>
        <v>8</v>
      </c>
      <c r="CA95" s="49">
        <f>IF(G95="入池",IF(ISNUMBER(I95),'Sheet1-指标体系'!$G$4,0),0)</f>
        <v>0.06</v>
      </c>
      <c r="CB95" s="49">
        <f>IF(G95="入池",IF(ISNUMBER(K95),'Sheet1-指标体系'!$G$5,0),0)</f>
        <v>0.045</v>
      </c>
      <c r="CC95" s="49">
        <f>IF(G95="入池",IF(ISNUMBER(L95),'Sheet1-指标体系'!$G$6,0),0)</f>
        <v>0.045</v>
      </c>
      <c r="CD95" s="49">
        <f>IF(G95="入池",IF(ISNUMBER(Q95),'Sheet1-指标体系'!$G$7*'Sheet1-指标体系'!$J$8,0),0)</f>
        <v>0.084</v>
      </c>
      <c r="CE95" s="49">
        <f>IF(G95="入池",IF(ISNUMBER(R95),'Sheet1-指标体系'!$G$7*'Sheet1-指标体系'!$J$9,0),0)</f>
        <v>0.056</v>
      </c>
      <c r="CF95" s="49">
        <f>IF(G95="入池",IF(ISNUMBER(W95),'Sheet1-指标体系'!$G$8*'Sheet1-指标体系'!$J$8,0),0)</f>
        <v>0.036</v>
      </c>
      <c r="CG95" s="49">
        <f>IF(G95="入池",IF(ISNUMBER(X95),'Sheet1-指标体系'!$G$8*'Sheet1-指标体系'!$J$9,0),0)</f>
        <v>0.024</v>
      </c>
      <c r="CH95" s="49">
        <f>IF(G95="入池",IF(ISNUMBER(AC95),'Sheet1-指标体系'!$G$9,0),0)</f>
        <v>0.25</v>
      </c>
      <c r="CI95" s="49">
        <f>IF(G95="入池",IF(ISNUMBER(AG95),'Sheet1-指标体系'!$G$10*'Sheet1-指标体系'!$J$8,0),0)</f>
        <v>0.18</v>
      </c>
      <c r="CJ95" s="49">
        <f>IF(G95="入池",IF(ISNUMBER(AH95),'Sheet1-指标体系'!$G$10*'Sheet1-指标体系'!$J$9,0),0)</f>
        <v>0.12</v>
      </c>
      <c r="CK95" s="49">
        <f>IF(G95="入池",IF(ISNUMBER(AK95),'Sheet1-指标体系'!$G$11,0),0)</f>
        <v>0.1</v>
      </c>
    </row>
    <row r="96" ht="44" customHeight="1" spans="1:89">
      <c r="A96" s="40">
        <f>'Sheet5-查询核对'!A81-1</f>
        <v>80</v>
      </c>
      <c r="B96" s="24" t="str">
        <f>IF('Sheet4-原始数据'!A81="",'Sheet5-查询核对'!B81,'Sheet4-原始数据'!A81)</f>
        <v>智领泽临套利六号</v>
      </c>
      <c r="C96" s="22" t="str">
        <f>IF('Sheet4-原始数据'!B81="","",'Sheet4-原始数据'!B81)</f>
        <v>SAYU23</v>
      </c>
      <c r="D96" s="22" t="str">
        <f>IF('Sheet4-原始数据'!E81="","",'Sheet4-原始数据'!E81)</f>
        <v>福州智领三联</v>
      </c>
      <c r="E96" s="23">
        <f>IF('Sheet4-原始数据'!F81="","",'Sheet4-原始数据'!F81)</f>
        <v>45800</v>
      </c>
      <c r="F96" s="37">
        <f>IF(ISNUMBER(E96),ROUND(('Sheet1-指标体系'!$J$12-E96)/'Sheet1-指标体系'!$J$14,4),"")</f>
        <v>1.3005</v>
      </c>
      <c r="G96" s="36" t="str">
        <f>IF(C96="","未匹配",IF(NOT(ISNUMBER(F96)),"缺成立日期",IF(F96&lt;'Sheet1-指标体系'!$J$15,"不入池","入池")))</f>
        <v>入池</v>
      </c>
      <c r="H96" s="22" t="str">
        <f>IF('Sheet5-查询核对'!K81="","",'Sheet5-查询核对'!K81)</f>
        <v>20-50亿元</v>
      </c>
      <c r="I96" s="37">
        <f>IF(H96="","",IF(COUNTIF('Sheet1-指标体系'!$P$4:$P$10,H96)=0,"",INDEX('Sheet1-指标体系'!$Q$4:$Q$10,MATCH(H96,'Sheet1-指标体系'!$P$4:$P$10,0))))</f>
        <v>90</v>
      </c>
      <c r="J96" s="44" t="str">
        <f>IF(NOT(ISNUMBER('Sheet5-查询核对'!N81)),"",IF('Sheet5-查询核对'!N81=1,"低于"&amp;'Sheet1-指标体系'!$J$4&amp;"万元",IF('Sheet5-查询核对'!N81=0,"无低于"&amp;'Sheet1-指标体系'!$J$4&amp;"万元标识","")))</f>
        <v>无低于1000万元标识</v>
      </c>
      <c r="K96" s="37">
        <f>IF(NOT(ISNUMBER('Sheet5-查询核对'!N81)),"",IF('Sheet5-查询核对'!N81=1,'Sheet1-指标体系'!$J$21,IF('Sheet5-查询核对'!N81=0,'Sheet1-指标体系'!$J$18,"")))</f>
        <v>100</v>
      </c>
      <c r="L96" s="37">
        <f>IF(NOT(ISNUMBER(F96)),"",IF(F96&lt;'Sheet1-指标体系'!$J$15,"",IF(F96&lt;'Sheet1-指标体系'!$J$16,'Sheet1-指标体系'!$J$17,'Sheet1-指标体系'!$J$18)))</f>
        <v>70</v>
      </c>
      <c r="M96" s="26">
        <f>IF(ISNUMBER('Sheet4-原始数据'!G81),'Sheet4-原始数据'!G81,"")</f>
        <v>0.1172</v>
      </c>
      <c r="N96" s="26" t="str">
        <f>IF(ISNUMBER('Sheet4-原始数据'!H81),'Sheet4-原始数据'!H81,"")</f>
        <v/>
      </c>
      <c r="O96" s="26">
        <f>IF(ISNUMBER('Sheet5-查询核对'!Q81),'Sheet5-查询核对'!Q81,"")</f>
        <v>0.1223</v>
      </c>
      <c r="P96" s="45">
        <f>IF(G96&lt;&gt;"入池","",IF(F96&gt;='Sheet1-指标体系'!$J$16,IF(AND(ISNUMBER(M96),ISNUMBER(N96)),IF(AND(1+M96&gt;0,1+N96&gt;=0),((1+N96)^'Sheet1-指标体系'!$J$16/(1+M96))^(1/('Sheet1-指标体系'!$J$16-1))-1,""),""),IF(AND(ISNUMBER(M96),ISNUMBER(O96)),IF(AND(F96&gt;1,1+M96&gt;0,1+O96&gt;=0),((1+O96)^F96/(1+M96))^(1/(F96-1))-1,""),"")))</f>
        <v>0.139439957488652</v>
      </c>
      <c r="Q96" s="37">
        <f t="shared" si="21"/>
        <v>70.83</v>
      </c>
      <c r="R96" s="37">
        <f t="shared" si="22"/>
        <v>86.36</v>
      </c>
      <c r="S96" s="37">
        <f>IF(ISNUMBER(Q96),IF(ISNUMBER(R96),ROUND(Q96*'Sheet1-指标体系'!$J$8+R96*'Sheet1-指标体系'!$J$9,2),Q96),"")</f>
        <v>77.04</v>
      </c>
      <c r="T96" s="26">
        <f>IF(ISNUMBER('Sheet4-原始数据'!J81),'Sheet4-原始数据'!J81,"")</f>
        <v>0.9231</v>
      </c>
      <c r="U96" s="26" t="str">
        <f>IF(ISNUMBER('Sheet4-原始数据'!I81),'Sheet4-原始数据'!I81,"")</f>
        <v/>
      </c>
      <c r="V96" s="45" t="str">
        <f>IF(AND(ISNUMBER(T96),ISNUMBER(U96)),(U96*'Sheet1-指标体系'!$J$6-T96*'Sheet1-指标体系'!$J$5)/'Sheet1-指标体系'!$J$7,"")</f>
        <v/>
      </c>
      <c r="W96" s="37">
        <f t="shared" si="23"/>
        <v>92.31</v>
      </c>
      <c r="X96" s="37">
        <f>IF(G96&lt;&gt;"入池","",IF(ISNUMBER(V96),IF(AND(V96&gt;=0,V96&lt;=1),V96*'Sheet1-指标体系'!$J$18,IF(MAX(0,(F96-'Sheet1-指标体系'!$J$15)*'Sheet1-指标体系'!$J$20)&lt;'Sheet1-指标体系'!$J$19,'Sheet1-指标体系'!$J$18,"")),IF(MAX(0,(F96-'Sheet1-指标体系'!$J$15)*'Sheet1-指标体系'!$J$20)&lt;'Sheet1-指标体系'!$J$19,'Sheet1-指标体系'!$J$18,"")))</f>
        <v>100</v>
      </c>
      <c r="Y96" s="37">
        <f>IF(ISNUMBER(W96),IF(ISNUMBER(X96),ROUND(W96*'Sheet1-指标体系'!$J$8+X96*'Sheet1-指标体系'!$J$9,2),W96),"")</f>
        <v>95.39</v>
      </c>
      <c r="Z96" s="45">
        <f t="shared" si="24"/>
        <v>0.00556433885494262</v>
      </c>
      <c r="AA96" s="26" t="str">
        <f>IF(ISNUMBER('Sheet4-原始数据'!K81),'Sheet4-原始数据'!K81,"")</f>
        <v/>
      </c>
      <c r="AB96" s="45">
        <f t="shared" si="25"/>
        <v>0.00556433885494262</v>
      </c>
      <c r="AC96" s="37">
        <f t="shared" si="26"/>
        <v>85.14</v>
      </c>
      <c r="AD96" s="30">
        <f>IF(ISNUMBER('Sheet4-原始数据'!M81),'Sheet4-原始数据'!M81,"")</f>
        <v>21.0627</v>
      </c>
      <c r="AE96" s="45" t="str">
        <f>IF(AND(ISNUMBER(P96),ISNUMBER(AA96),ISNUMBER(Z96)),IF(AA96&gt;Z96+'Sheet1-指标体系'!$J$11,AA96,""),"")</f>
        <v/>
      </c>
      <c r="AF96" s="37" t="str">
        <f t="shared" si="27"/>
        <v/>
      </c>
      <c r="AG96" s="37">
        <f t="shared" si="28"/>
        <v>76.06</v>
      </c>
      <c r="AH96" s="37" t="str">
        <f t="shared" si="29"/>
        <v/>
      </c>
      <c r="AI96" s="37">
        <f>IF(ISNUMBER(AG96),IF(ISNUMBER(AH96),ROUND(AG96*'Sheet1-指标体系'!$J$8+AH96*'Sheet1-指标体系'!$J$9,2),AG96),"")</f>
        <v>76.06</v>
      </c>
      <c r="AJ96" s="45">
        <f>IF(NOT(ISNUMBER(F96)),"",IF(F96&gt;='Sheet1-指标体系'!$J$16,IF(ISNUMBER(N96),N96,""),IF(ISNUMBER(O96),O96,"")))</f>
        <v>0.1223</v>
      </c>
      <c r="AK96" s="37">
        <f>IF(AND(G96="入池",ISNUMBER(M96),ISNUMBER(AJ96)),IF(M96&gt;=AJ96,'Sheet1-指标体系'!$J$18,IF(AJ96-M96&lt;'Sheet1-指标体系'!$J$10,'Sheet1-指标体系'!$J$22,'Sheet1-指标体系'!$J$23)),"")</f>
        <v>80</v>
      </c>
      <c r="AL96" s="37">
        <f>IF((IF(ISNUMBER(I96),'Sheet1-指标体系'!$G$4,0)+IF(ISNUMBER(K96),'Sheet1-指标体系'!$G$5,0)+IF(ISNUMBER(L96),'Sheet1-指标体系'!$G$6,0))&gt;0,ROUND((IF(ISNUMBER(I96),I96*'Sheet1-指标体系'!$G$4,0)+IF(ISNUMBER(K96),K96*'Sheet1-指标体系'!$G$5,0)+IF(ISNUMBER(L96),L96*'Sheet1-指标体系'!$G$6,0))/(IF(ISNUMBER(I96),'Sheet1-指标体系'!$G$4,0)+IF(ISNUMBER(K96),'Sheet1-指标体系'!$G$5,0)+IF(ISNUMBER(L96),'Sheet1-指标体系'!$G$6,0)),2),"")</f>
        <v>87</v>
      </c>
      <c r="AM96" s="37">
        <f t="shared" si="30"/>
        <v>82.55</v>
      </c>
      <c r="AN96" s="37">
        <f t="shared" si="31"/>
        <v>85.14</v>
      </c>
      <c r="AO96" s="37">
        <f t="shared" si="32"/>
        <v>76.06</v>
      </c>
      <c r="AP96" s="37">
        <f t="shared" si="33"/>
        <v>80</v>
      </c>
      <c r="AQ96" s="38">
        <f t="shared" si="34"/>
        <v>0.88</v>
      </c>
      <c r="AR96" s="37">
        <f t="shared" si="35"/>
        <v>72.53484</v>
      </c>
      <c r="AS96" s="37">
        <f t="shared" si="36"/>
        <v>82.43</v>
      </c>
      <c r="AT96" s="40">
        <f>IF(OR(G96&lt;&gt;"入池",NOT(ISNUMBER(AS96))),"",COUNTIFS($G$17:$G$99,"入池",$AS$17:$AS$99,"&gt;"&amp;AS96)+COUNTIFS($G$17:$G$99,"入池",$AS$17:$AS$99,AS96,$AQ$17:$AQ$99,"&gt;"&amp;AQ96)+COUNTIFS($G$17:G96,"入池",$AS$17:AS96,AS96,$AQ$17:AQ96,AQ96))</f>
        <v>13</v>
      </c>
      <c r="AU96" s="46" t="str">
        <f>IF(NOT(ISNUMBER(I96)),"管理人规模；","")&amp;IF(NOT(ISNUMBER(K96)),"产品规模标识；","")&amp;IF(NOT(ISNUMBER(M96)),"近一年收益；","")&amp;IF(NOT(ISNUMBER(T96)),"近一年胜率；","")&amp;IF(NOT(ISNUMBER(N96)),"近三年收益；","")&amp;IF(NOT(ISNUMBER(U96)),"近三年胜率；","")&amp;IF(NOT(ISNUMBER(AA96)),"近三年回撤；","")&amp;IF(NOT(ISNUMBER(AD96)),"近一年卡玛；","")&amp;IF(ISNUMBER(F96),IF(AND(F96&lt;'Sheet1-指标体系'!$J$16,NOT(ISNUMBER(O96))),"成立以来年化；",""),"成立日期；")&amp;IF(ISNUMBER(V96),IF(OR(V96&lt;0,V96&gt;1),"胜率窗口口径不一致；",""),"")&amp;IF(ISNUMBER(P96),IF(NOT(ISNUMBER(AE96)),"DD_long不可识别；",""),"")</f>
        <v>近三年收益；近三年胜率；近三年回撤；DD_long不可识别；</v>
      </c>
      <c r="AV96" s="37" t="str">
        <f>IF(ABS(SUM(CA96:CK96)-'Sheet1-指标体系'!$J$25)&lt;0.0000000001,SUM(BP96:BZ96),"")</f>
        <v/>
      </c>
      <c r="AW96" s="36" t="str">
        <f>IF(G96&lt;&gt;"入池",G96,IF(AQ96=0,"无有效评分数据",IF(ROUND(AQ96,10)=ROUND('Sheet1-指标体系'!$J$25,10),"完整赋分","暂定分／数据不完整")))</f>
        <v>暂定分／数据不完整</v>
      </c>
      <c r="AX96" s="22" t="str">
        <f>IF('Sheet4-原始数据'!C81="","",'Sheet4-原始数据'!C81)</f>
        <v>套利策略</v>
      </c>
      <c r="AY96" s="22" t="str">
        <f>IF('Sheet4-原始数据'!D81="","",'Sheet4-原始数据'!D81)</f>
        <v/>
      </c>
      <c r="AZ96" s="22" t="str">
        <f>IF('Sheet5-查询核对'!S81="","",'Sheet5-查询核对'!S81)</f>
        <v>套利策略—未细分</v>
      </c>
      <c r="BA96" s="25">
        <f>IF('Sheet5-查询核对'!A81="","",'Sheet5-查询核对'!A81)</f>
        <v>81</v>
      </c>
      <c r="BB96" s="22" t="str">
        <f>IF('Sheet5-查询核对'!F81="","",'Sheet5-查询核对'!F81)</f>
        <v>备案号匹配</v>
      </c>
      <c r="BC96" s="24" t="str">
        <f>IF('Sheet5-查询核对'!I81="","",'Sheet5-查询核对'!I81)</f>
        <v>https://mp.fof99.com/fund/view/e4ab70da8204cae4</v>
      </c>
      <c r="BD96" s="23">
        <f>IF('Sheet5-查询核对'!H81="","",'Sheet5-查询核对'!H81)</f>
        <v>46269</v>
      </c>
      <c r="BE96" s="24" t="str">
        <f>IF('Sheet5-查询核对'!L81="","",'Sheet5-查询核对'!L81)</f>
        <v>https://gs.amac.org.cn/amac-infodisc/res/pof/manager/101000074295.html</v>
      </c>
      <c r="BF96" s="23">
        <f>IF('Sheet5-查询核对'!M81="","",'Sheet5-查询核对'!M81)</f>
        <v>46276</v>
      </c>
      <c r="BG96" s="24" t="str">
        <f>IF('Sheet5-查询核对'!O81="","",'Sheet5-查询核对'!O81)</f>
        <v>https://gs.amac.org.cn/amac-infodisc/res/pof/fund/2505301433104256.html</v>
      </c>
      <c r="BH96" s="23">
        <f>IF('Sheet5-查询核对'!P81="","",'Sheet5-查询核对'!P81)</f>
        <v>46276</v>
      </c>
      <c r="BI96" s="22" t="str">
        <f>IF('Sheet5-查询核对'!D81="","",'Sheet5-查询核对'!D81)</f>
        <v>SAYU23</v>
      </c>
      <c r="BJ96">
        <f>IF(ISNUMBER(AT96),AT96,COUNT($AT$17:$AT$99)+ROWS($AT$17:AT96)-COUNT($AT$17:AT96))</f>
        <v>13</v>
      </c>
      <c r="BK96" s="2">
        <f t="shared" si="37"/>
        <v>1</v>
      </c>
      <c r="BL96" s="2">
        <f t="shared" si="38"/>
        <v>1</v>
      </c>
      <c r="BM96" s="2">
        <f t="shared" si="39"/>
        <v>1</v>
      </c>
      <c r="BN96" s="2">
        <f t="shared" si="40"/>
        <v>1</v>
      </c>
      <c r="BO96" s="2">
        <f t="shared" si="41"/>
        <v>0</v>
      </c>
      <c r="BP96" s="48">
        <f>IF(G96="入池",IF(ISNUMBER(I96),I96*('Sheet1-指标体系'!$G$4),0),0)</f>
        <v>5.4</v>
      </c>
      <c r="BQ96" s="48">
        <f>IF(G96="入池",IF(ISNUMBER(K96),K96*('Sheet1-指标体系'!$G$5),0),0)</f>
        <v>4.5</v>
      </c>
      <c r="BR96" s="48">
        <f>IF(G96="入池",IF(ISNUMBER(L96),L96*('Sheet1-指标体系'!$G$6),0),0)</f>
        <v>3.15</v>
      </c>
      <c r="BS96" s="48">
        <f>IF(G96="入池",IF(ISNUMBER(Q96),Q96*('Sheet1-指标体系'!$G$7*'Sheet1-指标体系'!$J$8),0),0)</f>
        <v>5.94972</v>
      </c>
      <c r="BT96" s="48">
        <f>IF(G96="入池",IF(ISNUMBER(R96),R96*('Sheet1-指标体系'!$G$7*'Sheet1-指标体系'!$J$9),0),0)</f>
        <v>4.83616</v>
      </c>
      <c r="BU96" s="48">
        <f>IF(G96="入池",IF(ISNUMBER(W96),W96*('Sheet1-指标体系'!$G$8*'Sheet1-指标体系'!$J$8),0),0)</f>
        <v>3.32316</v>
      </c>
      <c r="BV96" s="48">
        <f>IF(G96="入池",IF(ISNUMBER(X96),X96*('Sheet1-指标体系'!$G$8*'Sheet1-指标体系'!$J$9),0),0)</f>
        <v>2.4</v>
      </c>
      <c r="BW96" s="48">
        <f>IF(G96="入池",IF(ISNUMBER(AC96),AC96*('Sheet1-指标体系'!$G$9),0),0)</f>
        <v>21.285</v>
      </c>
      <c r="BX96" s="48">
        <f>IF(G96="入池",IF(ISNUMBER(AG96),AG96*('Sheet1-指标体系'!$G$10*'Sheet1-指标体系'!$J$8),0),0)</f>
        <v>13.6908</v>
      </c>
      <c r="BY96" s="48">
        <f>IF(G96="入池",IF(ISNUMBER(AH96),AH96*('Sheet1-指标体系'!$G$10*'Sheet1-指标体系'!$J$9),0),0)</f>
        <v>0</v>
      </c>
      <c r="BZ96" s="48">
        <f>IF(G96="入池",IF(ISNUMBER(AK96),AK96*('Sheet1-指标体系'!$G$11),0),0)</f>
        <v>8</v>
      </c>
      <c r="CA96" s="49">
        <f>IF(G96="入池",IF(ISNUMBER(I96),'Sheet1-指标体系'!$G$4,0),0)</f>
        <v>0.06</v>
      </c>
      <c r="CB96" s="49">
        <f>IF(G96="入池",IF(ISNUMBER(K96),'Sheet1-指标体系'!$G$5,0),0)</f>
        <v>0.045</v>
      </c>
      <c r="CC96" s="49">
        <f>IF(G96="入池",IF(ISNUMBER(L96),'Sheet1-指标体系'!$G$6,0),0)</f>
        <v>0.045</v>
      </c>
      <c r="CD96" s="49">
        <f>IF(G96="入池",IF(ISNUMBER(Q96),'Sheet1-指标体系'!$G$7*'Sheet1-指标体系'!$J$8,0),0)</f>
        <v>0.084</v>
      </c>
      <c r="CE96" s="49">
        <f>IF(G96="入池",IF(ISNUMBER(R96),'Sheet1-指标体系'!$G$7*'Sheet1-指标体系'!$J$9,0),0)</f>
        <v>0.056</v>
      </c>
      <c r="CF96" s="49">
        <f>IF(G96="入池",IF(ISNUMBER(W96),'Sheet1-指标体系'!$G$8*'Sheet1-指标体系'!$J$8,0),0)</f>
        <v>0.036</v>
      </c>
      <c r="CG96" s="49">
        <f>IF(G96="入池",IF(ISNUMBER(X96),'Sheet1-指标体系'!$G$8*'Sheet1-指标体系'!$J$9,0),0)</f>
        <v>0.024</v>
      </c>
      <c r="CH96" s="49">
        <f>IF(G96="入池",IF(ISNUMBER(AC96),'Sheet1-指标体系'!$G$9,0),0)</f>
        <v>0.25</v>
      </c>
      <c r="CI96" s="49">
        <f>IF(G96="入池",IF(ISNUMBER(AG96),'Sheet1-指标体系'!$G$10*'Sheet1-指标体系'!$J$8,0),0)</f>
        <v>0.18</v>
      </c>
      <c r="CJ96" s="49">
        <f>IF(G96="入池",IF(ISNUMBER(AH96),'Sheet1-指标体系'!$G$10*'Sheet1-指标体系'!$J$9,0),0)</f>
        <v>0</v>
      </c>
      <c r="CK96" s="49">
        <f>IF(G96="入池",IF(ISNUMBER(AK96),'Sheet1-指标体系'!$G$11,0),0)</f>
        <v>0.1</v>
      </c>
    </row>
    <row r="97" ht="44" customHeight="1" spans="1:89">
      <c r="A97" s="40">
        <f>'Sheet5-查询核对'!A82-1</f>
        <v>81</v>
      </c>
      <c r="B97" s="24" t="str">
        <f>IF('Sheet4-原始数据'!A82="",'Sheet5-查询核对'!B82,'Sheet4-原始数据'!A82)</f>
        <v>中益仁梅香千寒</v>
      </c>
      <c r="C97" s="22" t="str">
        <f>IF('Sheet4-原始数据'!B82="","",'Sheet4-原始数据'!B82)</f>
        <v>SBAF26</v>
      </c>
      <c r="D97" s="22" t="str">
        <f>IF('Sheet4-原始数据'!E82="","",'Sheet4-原始数据'!E82)</f>
        <v>日照中益仁</v>
      </c>
      <c r="E97" s="23">
        <f>IF('Sheet4-原始数据'!F82="","",'Sheet4-原始数据'!F82)</f>
        <v>45826</v>
      </c>
      <c r="F97" s="37">
        <f>IF(ISNUMBER(E97),ROUND(('Sheet1-指标体系'!$J$12-E97)/'Sheet1-指标体系'!$J$14,4),"")</f>
        <v>1.2293</v>
      </c>
      <c r="G97" s="36" t="str">
        <f>IF(C97="","未匹配",IF(NOT(ISNUMBER(F97)),"缺成立日期",IF(F97&lt;'Sheet1-指标体系'!$J$15,"不入池","入池")))</f>
        <v>入池</v>
      </c>
      <c r="H97" s="22" t="str">
        <f>IF('Sheet5-查询核对'!K82="","",'Sheet5-查询核对'!K82)</f>
        <v>10-20亿元</v>
      </c>
      <c r="I97" s="37">
        <f>IF(H97="","",IF(COUNTIF('Sheet1-指标体系'!$P$4:$P$10,H97)=0,"",INDEX('Sheet1-指标体系'!$Q$4:$Q$10,MATCH(H97,'Sheet1-指标体系'!$P$4:$P$10,0))))</f>
        <v>80</v>
      </c>
      <c r="J97" s="44" t="str">
        <f>IF(NOT(ISNUMBER('Sheet5-查询核对'!N82)),"",IF('Sheet5-查询核对'!N82=1,"低于"&amp;'Sheet1-指标体系'!$J$4&amp;"万元",IF('Sheet5-查询核对'!N82=0,"无低于"&amp;'Sheet1-指标体系'!$J$4&amp;"万元标识","")))</f>
        <v>低于1000万元</v>
      </c>
      <c r="K97" s="37">
        <f>IF(NOT(ISNUMBER('Sheet5-查询核对'!N82)),"",IF('Sheet5-查询核对'!N82=1,'Sheet1-指标体系'!$J$21,IF('Sheet5-查询核对'!N82=0,'Sheet1-指标体系'!$J$18,"")))</f>
        <v>0</v>
      </c>
      <c r="L97" s="37">
        <f>IF(NOT(ISNUMBER(F97)),"",IF(F97&lt;'Sheet1-指标体系'!$J$15,"",IF(F97&lt;'Sheet1-指标体系'!$J$16,'Sheet1-指标体系'!$J$17,'Sheet1-指标体系'!$J$18)))</f>
        <v>70</v>
      </c>
      <c r="M97" s="26">
        <f>IF(ISNUMBER('Sheet4-原始数据'!G82),'Sheet4-原始数据'!G82,"")</f>
        <v>0.3154</v>
      </c>
      <c r="N97" s="26" t="str">
        <f>IF(ISNUMBER('Sheet4-原始数据'!H82),'Sheet4-原始数据'!H82,"")</f>
        <v/>
      </c>
      <c r="O97" s="26">
        <f>IF(ISNUMBER('Sheet5-查询核对'!Q82),'Sheet5-查询核对'!Q82,"")</f>
        <v>0.2683</v>
      </c>
      <c r="P97" s="45">
        <f>IF(G97&lt;&gt;"入池","",IF(F97&gt;='Sheet1-指标体系'!$J$16,IF(AND(ISNUMBER(M97),ISNUMBER(N97)),IF(AND(1+M97&gt;0,1+N97&gt;=0),((1+N97)^'Sheet1-指标体系'!$J$16/(1+M97))^(1/('Sheet1-指标体系'!$J$16-1))-1,""),""),IF(AND(ISNUMBER(M97),ISNUMBER(O97)),IF(AND(F97&gt;1,1+M97&gt;0,1+O97&gt;=0),((1+O97)^F97/(1+M97))^(1/(F97-1))-1,""),"")))</f>
        <v>0.0818331979554598</v>
      </c>
      <c r="Q97" s="37">
        <f t="shared" si="21"/>
        <v>94.44</v>
      </c>
      <c r="R97" s="37">
        <f t="shared" si="22"/>
        <v>54.55</v>
      </c>
      <c r="S97" s="37">
        <f>IF(ISNUMBER(Q97),IF(ISNUMBER(R97),ROUND(Q97*'Sheet1-指标体系'!$J$8+R97*'Sheet1-指标体系'!$J$9,2),Q97),"")</f>
        <v>78.48</v>
      </c>
      <c r="T97" s="26">
        <f>IF(ISNUMBER('Sheet4-原始数据'!J82),'Sheet4-原始数据'!J82,"")</f>
        <v>0.8462</v>
      </c>
      <c r="U97" s="26" t="str">
        <f>IF(ISNUMBER('Sheet4-原始数据'!I82),'Sheet4-原始数据'!I82,"")</f>
        <v/>
      </c>
      <c r="V97" s="45" t="str">
        <f>IF(AND(ISNUMBER(T97),ISNUMBER(U97)),(U97*'Sheet1-指标体系'!$J$6-T97*'Sheet1-指标体系'!$J$5)/'Sheet1-指标体系'!$J$7,"")</f>
        <v/>
      </c>
      <c r="W97" s="37">
        <f t="shared" si="23"/>
        <v>84.62</v>
      </c>
      <c r="X97" s="37">
        <f>IF(G97&lt;&gt;"入池","",IF(ISNUMBER(V97),IF(AND(V97&gt;=0,V97&lt;=1),V97*'Sheet1-指标体系'!$J$18,IF(MAX(0,(F97-'Sheet1-指标体系'!$J$15)*'Sheet1-指标体系'!$J$20)&lt;'Sheet1-指标体系'!$J$19,'Sheet1-指标体系'!$J$18,"")),IF(MAX(0,(F97-'Sheet1-指标体系'!$J$15)*'Sheet1-指标体系'!$J$20)&lt;'Sheet1-指标体系'!$J$19,'Sheet1-指标体系'!$J$18,"")))</f>
        <v>100</v>
      </c>
      <c r="Y97" s="37">
        <f>IF(ISNUMBER(W97),IF(ISNUMBER(X97),ROUND(W97*'Sheet1-指标体系'!$J$8+X97*'Sheet1-指标体系'!$J$9,2),W97),"")</f>
        <v>90.77</v>
      </c>
      <c r="Z97" s="45">
        <f t="shared" si="24"/>
        <v>0.0668432764649783</v>
      </c>
      <c r="AA97" s="26" t="str">
        <f>IF(ISNUMBER('Sheet4-原始数据'!K82),'Sheet4-原始数据'!K82,"")</f>
        <v/>
      </c>
      <c r="AB97" s="45">
        <f t="shared" si="25"/>
        <v>0.0668432764649783</v>
      </c>
      <c r="AC97" s="37">
        <f t="shared" si="26"/>
        <v>10.81</v>
      </c>
      <c r="AD97" s="30">
        <f>IF(ISNUMBER('Sheet4-原始数据'!M82),'Sheet4-原始数据'!M82,"")</f>
        <v>4.7185</v>
      </c>
      <c r="AE97" s="45" t="str">
        <f>IF(AND(ISNUMBER(P97),ISNUMBER(AA97),ISNUMBER(Z97)),IF(AA97&gt;Z97+'Sheet1-指标体系'!$J$11,AA97,""),"")</f>
        <v/>
      </c>
      <c r="AF97" s="37" t="str">
        <f t="shared" si="27"/>
        <v/>
      </c>
      <c r="AG97" s="37">
        <f t="shared" si="28"/>
        <v>32.39</v>
      </c>
      <c r="AH97" s="37" t="str">
        <f t="shared" si="29"/>
        <v/>
      </c>
      <c r="AI97" s="37">
        <f>IF(ISNUMBER(AG97),IF(ISNUMBER(AH97),ROUND(AG97*'Sheet1-指标体系'!$J$8+AH97*'Sheet1-指标体系'!$J$9,2),AG97),"")</f>
        <v>32.39</v>
      </c>
      <c r="AJ97" s="45">
        <f>IF(NOT(ISNUMBER(F97)),"",IF(F97&gt;='Sheet1-指标体系'!$J$16,IF(ISNUMBER(N97),N97,""),IF(ISNUMBER(O97),O97,"")))</f>
        <v>0.2683</v>
      </c>
      <c r="AK97" s="37">
        <f>IF(AND(G97="入池",ISNUMBER(M97),ISNUMBER(AJ97)),IF(M97&gt;=AJ97,'Sheet1-指标体系'!$J$18,IF(AJ97-M97&lt;'Sheet1-指标体系'!$J$10,'Sheet1-指标体系'!$J$22,'Sheet1-指标体系'!$J$23)),"")</f>
        <v>100</v>
      </c>
      <c r="AL97" s="37">
        <f>IF((IF(ISNUMBER(I97),'Sheet1-指标体系'!$G$4,0)+IF(ISNUMBER(K97),'Sheet1-指标体系'!$G$5,0)+IF(ISNUMBER(L97),'Sheet1-指标体系'!$G$6,0))&gt;0,ROUND((IF(ISNUMBER(I97),I97*'Sheet1-指标体系'!$G$4,0)+IF(ISNUMBER(K97),K97*'Sheet1-指标体系'!$G$5,0)+IF(ISNUMBER(L97),L97*'Sheet1-指标体系'!$G$6,0))/(IF(ISNUMBER(I97),'Sheet1-指标体系'!$G$4,0)+IF(ISNUMBER(K97),'Sheet1-指标体系'!$G$5,0)+IF(ISNUMBER(L97),'Sheet1-指标体系'!$G$6,0)),2),"")</f>
        <v>53</v>
      </c>
      <c r="AM97" s="37">
        <f t="shared" si="30"/>
        <v>82.17</v>
      </c>
      <c r="AN97" s="37">
        <f t="shared" si="31"/>
        <v>10.81</v>
      </c>
      <c r="AO97" s="37">
        <f t="shared" si="32"/>
        <v>32.39</v>
      </c>
      <c r="AP97" s="37">
        <f t="shared" si="33"/>
        <v>100</v>
      </c>
      <c r="AQ97" s="38">
        <f t="shared" si="34"/>
        <v>0.88</v>
      </c>
      <c r="AR97" s="37">
        <f t="shared" si="35"/>
        <v>42.91678</v>
      </c>
      <c r="AS97" s="37">
        <f t="shared" si="36"/>
        <v>48.77</v>
      </c>
      <c r="AT97" s="40">
        <f>IF(OR(G97&lt;&gt;"入池",NOT(ISNUMBER(AS97))),"",COUNTIFS($G$17:$G$99,"入池",$AS$17:$AS$99,"&gt;"&amp;AS97)+COUNTIFS($G$17:$G$99,"入池",$AS$17:$AS$99,AS97,$AQ$17:$AQ$99,"&gt;"&amp;AQ97)+COUNTIFS($G$17:G97,"入池",$AS$17:AS97,AS97,$AQ$17:AQ97,AQ97))</f>
        <v>58</v>
      </c>
      <c r="AU97" s="46" t="str">
        <f>IF(NOT(ISNUMBER(I97)),"管理人规模；","")&amp;IF(NOT(ISNUMBER(K97)),"产品规模标识；","")&amp;IF(NOT(ISNUMBER(M97)),"近一年收益；","")&amp;IF(NOT(ISNUMBER(T97)),"近一年胜率；","")&amp;IF(NOT(ISNUMBER(N97)),"近三年收益；","")&amp;IF(NOT(ISNUMBER(U97)),"近三年胜率；","")&amp;IF(NOT(ISNUMBER(AA97)),"近三年回撤；","")&amp;IF(NOT(ISNUMBER(AD97)),"近一年卡玛；","")&amp;IF(ISNUMBER(F97),IF(AND(F97&lt;'Sheet1-指标体系'!$J$16,NOT(ISNUMBER(O97))),"成立以来年化；",""),"成立日期；")&amp;IF(ISNUMBER(V97),IF(OR(V97&lt;0,V97&gt;1),"胜率窗口口径不一致；",""),"")&amp;IF(ISNUMBER(P97),IF(NOT(ISNUMBER(AE97)),"DD_long不可识别；",""),"")</f>
        <v>近三年收益；近三年胜率；近三年回撤；DD_long不可识别；</v>
      </c>
      <c r="AV97" s="37" t="str">
        <f>IF(ABS(SUM(CA97:CK97)-'Sheet1-指标体系'!$J$25)&lt;0.0000000001,SUM(BP97:BZ97),"")</f>
        <v/>
      </c>
      <c r="AW97" s="36" t="str">
        <f>IF(G97&lt;&gt;"入池",G97,IF(AQ97=0,"无有效评分数据",IF(ROUND(AQ97,10)=ROUND('Sheet1-指标体系'!$J$25,10),"完整赋分","暂定分／数据不完整")))</f>
        <v>暂定分／数据不完整</v>
      </c>
      <c r="AX97" s="22" t="str">
        <f>IF('Sheet4-原始数据'!C82="","",'Sheet4-原始数据'!C82)</f>
        <v>套利策略</v>
      </c>
      <c r="AY97" s="22" t="str">
        <f>IF('Sheet4-原始数据'!D82="","",'Sheet4-原始数据'!D82)</f>
        <v>期货套利</v>
      </c>
      <c r="AZ97" s="22" t="str">
        <f>IF('Sheet5-查询核对'!S82="","",'Sheet5-查询核对'!S82)</f>
        <v>套利策略—期货套利</v>
      </c>
      <c r="BA97" s="25">
        <f>IF('Sheet5-查询核对'!A82="","",'Sheet5-查询核对'!A82)</f>
        <v>82</v>
      </c>
      <c r="BB97" s="22" t="str">
        <f>IF('Sheet5-查询核对'!F82="","",'Sheet5-查询核对'!F82)</f>
        <v>备案号匹配</v>
      </c>
      <c r="BC97" s="24" t="str">
        <f>IF('Sheet5-查询核对'!I82="","",'Sheet5-查询核对'!I82)</f>
        <v>https://mp.fof99.com/fund/view/bd503e768e8f0dca</v>
      </c>
      <c r="BD97" s="23">
        <f>IF('Sheet5-查询核对'!H82="","",'Sheet5-查询核对'!H82)</f>
        <v>46269</v>
      </c>
      <c r="BE97" s="24" t="str">
        <f>IF('Sheet5-查询核对'!L82="","",'Sheet5-查询核对'!L82)</f>
        <v>https://gs.amac.org.cn/amac-infodisc/res/pof/manager/1708291806108811.html</v>
      </c>
      <c r="BF97" s="23">
        <f>IF('Sheet5-查询核对'!M82="","",'Sheet5-查询核对'!M82)</f>
        <v>46276</v>
      </c>
      <c r="BG97" s="24" t="str">
        <f>IF('Sheet5-查询核对'!O82="","",'Sheet5-查询核对'!O82)</f>
        <v>https://gs.amac.org.cn/amac-infodisc/res/pof/fund/2506231616104006.html</v>
      </c>
      <c r="BH97" s="23">
        <f>IF('Sheet5-查询核对'!P82="","",'Sheet5-查询核对'!P82)</f>
        <v>46276</v>
      </c>
      <c r="BI97" s="22" t="str">
        <f>IF('Sheet5-查询核对'!D82="","",'Sheet5-查询核对'!D82)</f>
        <v>SBAF26</v>
      </c>
      <c r="BJ97">
        <f>IF(ISNUMBER(AT97),AT97,COUNT($AT$17:$AT$99)+ROWS($AT$17:AT97)-COUNT($AT$17:AT97))</f>
        <v>58</v>
      </c>
      <c r="BK97" s="2">
        <f t="shared" si="37"/>
        <v>1</v>
      </c>
      <c r="BL97" s="2">
        <f t="shared" si="38"/>
        <v>1</v>
      </c>
      <c r="BM97" s="2">
        <f t="shared" si="39"/>
        <v>1</v>
      </c>
      <c r="BN97" s="2">
        <f t="shared" si="40"/>
        <v>1</v>
      </c>
      <c r="BO97" s="2">
        <f t="shared" si="41"/>
        <v>0</v>
      </c>
      <c r="BP97" s="48">
        <f>IF(G97="入池",IF(ISNUMBER(I97),I97*('Sheet1-指标体系'!$G$4),0),0)</f>
        <v>4.8</v>
      </c>
      <c r="BQ97" s="48">
        <f>IF(G97="入池",IF(ISNUMBER(K97),K97*('Sheet1-指标体系'!$G$5),0),0)</f>
        <v>0</v>
      </c>
      <c r="BR97" s="48">
        <f>IF(G97="入池",IF(ISNUMBER(L97),L97*('Sheet1-指标体系'!$G$6),0),0)</f>
        <v>3.15</v>
      </c>
      <c r="BS97" s="48">
        <f>IF(G97="入池",IF(ISNUMBER(Q97),Q97*('Sheet1-指标体系'!$G$7*'Sheet1-指标体系'!$J$8),0),0)</f>
        <v>7.93296</v>
      </c>
      <c r="BT97" s="48">
        <f>IF(G97="入池",IF(ISNUMBER(R97),R97*('Sheet1-指标体系'!$G$7*'Sheet1-指标体系'!$J$9),0),0)</f>
        <v>3.0548</v>
      </c>
      <c r="BU97" s="48">
        <f>IF(G97="入池",IF(ISNUMBER(W97),W97*('Sheet1-指标体系'!$G$8*'Sheet1-指标体系'!$J$8),0),0)</f>
        <v>3.04632</v>
      </c>
      <c r="BV97" s="48">
        <f>IF(G97="入池",IF(ISNUMBER(X97),X97*('Sheet1-指标体系'!$G$8*'Sheet1-指标体系'!$J$9),0),0)</f>
        <v>2.4</v>
      </c>
      <c r="BW97" s="48">
        <f>IF(G97="入池",IF(ISNUMBER(AC97),AC97*('Sheet1-指标体系'!$G$9),0),0)</f>
        <v>2.7025</v>
      </c>
      <c r="BX97" s="48">
        <f>IF(G97="入池",IF(ISNUMBER(AG97),AG97*('Sheet1-指标体系'!$G$10*'Sheet1-指标体系'!$J$8),0),0)</f>
        <v>5.8302</v>
      </c>
      <c r="BY97" s="48">
        <f>IF(G97="入池",IF(ISNUMBER(AH97),AH97*('Sheet1-指标体系'!$G$10*'Sheet1-指标体系'!$J$9),0),0)</f>
        <v>0</v>
      </c>
      <c r="BZ97" s="48">
        <f>IF(G97="入池",IF(ISNUMBER(AK97),AK97*('Sheet1-指标体系'!$G$11),0),0)</f>
        <v>10</v>
      </c>
      <c r="CA97" s="49">
        <f>IF(G97="入池",IF(ISNUMBER(I97),'Sheet1-指标体系'!$G$4,0),0)</f>
        <v>0.06</v>
      </c>
      <c r="CB97" s="49">
        <f>IF(G97="入池",IF(ISNUMBER(K97),'Sheet1-指标体系'!$G$5,0),0)</f>
        <v>0.045</v>
      </c>
      <c r="CC97" s="49">
        <f>IF(G97="入池",IF(ISNUMBER(L97),'Sheet1-指标体系'!$G$6,0),0)</f>
        <v>0.045</v>
      </c>
      <c r="CD97" s="49">
        <f>IF(G97="入池",IF(ISNUMBER(Q97),'Sheet1-指标体系'!$G$7*'Sheet1-指标体系'!$J$8,0),0)</f>
        <v>0.084</v>
      </c>
      <c r="CE97" s="49">
        <f>IF(G97="入池",IF(ISNUMBER(R97),'Sheet1-指标体系'!$G$7*'Sheet1-指标体系'!$J$9,0),0)</f>
        <v>0.056</v>
      </c>
      <c r="CF97" s="49">
        <f>IF(G97="入池",IF(ISNUMBER(W97),'Sheet1-指标体系'!$G$8*'Sheet1-指标体系'!$J$8,0),0)</f>
        <v>0.036</v>
      </c>
      <c r="CG97" s="49">
        <f>IF(G97="入池",IF(ISNUMBER(X97),'Sheet1-指标体系'!$G$8*'Sheet1-指标体系'!$J$9,0),0)</f>
        <v>0.024</v>
      </c>
      <c r="CH97" s="49">
        <f>IF(G97="入池",IF(ISNUMBER(AC97),'Sheet1-指标体系'!$G$9,0),0)</f>
        <v>0.25</v>
      </c>
      <c r="CI97" s="49">
        <f>IF(G97="入池",IF(ISNUMBER(AG97),'Sheet1-指标体系'!$G$10*'Sheet1-指标体系'!$J$8,0),0)</f>
        <v>0.18</v>
      </c>
      <c r="CJ97" s="49">
        <f>IF(G97="入池",IF(ISNUMBER(AH97),'Sheet1-指标体系'!$G$10*'Sheet1-指标体系'!$J$9,0),0)</f>
        <v>0</v>
      </c>
      <c r="CK97" s="49">
        <f>IF(G97="入池",IF(ISNUMBER(AK97),'Sheet1-指标体系'!$G$11,0),0)</f>
        <v>0.1</v>
      </c>
    </row>
    <row r="98" ht="44" customHeight="1" spans="1:89">
      <c r="A98" s="40">
        <f>'Sheet5-查询核对'!A83-1</f>
        <v>82</v>
      </c>
      <c r="B98" s="24" t="str">
        <f>IF('Sheet4-原始数据'!A83="",'Sheet5-查询核对'!B83,'Sheet4-原始数据'!A83)</f>
        <v>庄贤对冲3号</v>
      </c>
      <c r="C98" s="22" t="str">
        <f>IF('Sheet4-原始数据'!B83="","",'Sheet4-原始数据'!B83)</f>
        <v>SGW091</v>
      </c>
      <c r="D98" s="22" t="str">
        <f>IF('Sheet4-原始数据'!E83="","",'Sheet4-原始数据'!E83)</f>
        <v>杭州庄贤投资</v>
      </c>
      <c r="E98" s="23">
        <f>IF('Sheet4-原始数据'!F83="","",'Sheet4-原始数据'!F83)</f>
        <v>43665</v>
      </c>
      <c r="F98" s="37">
        <f>IF(ISNUMBER(E98),ROUND(('Sheet1-指标体系'!$J$12-E98)/'Sheet1-指标体系'!$J$14,4),"")</f>
        <v>7.1458</v>
      </c>
      <c r="G98" s="36" t="str">
        <f>IF(C98="","未匹配",IF(NOT(ISNUMBER(F98)),"缺成立日期",IF(F98&lt;'Sheet1-指标体系'!$J$15,"不入池","入池")))</f>
        <v>入池</v>
      </c>
      <c r="H98" s="22" t="str">
        <f>IF('Sheet5-查询核对'!K83="","",'Sheet5-查询核对'!K83)</f>
        <v>20-50亿元</v>
      </c>
      <c r="I98" s="37">
        <f>IF(H98="","",IF(COUNTIF('Sheet1-指标体系'!$P$4:$P$10,H98)=0,"",INDEX('Sheet1-指标体系'!$Q$4:$Q$10,MATCH(H98,'Sheet1-指标体系'!$P$4:$P$10,0))))</f>
        <v>90</v>
      </c>
      <c r="J98" s="44" t="str">
        <f>IF(NOT(ISNUMBER('Sheet5-查询核对'!N83)),"",IF('Sheet5-查询核对'!N83=1,"低于"&amp;'Sheet1-指标体系'!$J$4&amp;"万元",IF('Sheet5-查询核对'!N83=0,"无低于"&amp;'Sheet1-指标体系'!$J$4&amp;"万元标识","")))</f>
        <v>无低于1000万元标识</v>
      </c>
      <c r="K98" s="37">
        <f>IF(NOT(ISNUMBER('Sheet5-查询核对'!N83)),"",IF('Sheet5-查询核对'!N83=1,'Sheet1-指标体系'!$J$21,IF('Sheet5-查询核对'!N83=0,'Sheet1-指标体系'!$J$18,"")))</f>
        <v>100</v>
      </c>
      <c r="L98" s="37">
        <f>IF(NOT(ISNUMBER(F98)),"",IF(F98&lt;'Sheet1-指标体系'!$J$15,"",IF(F98&lt;'Sheet1-指标体系'!$J$16,'Sheet1-指标体系'!$J$17,'Sheet1-指标体系'!$J$18)))</f>
        <v>100</v>
      </c>
      <c r="M98" s="26">
        <f>IF(ISNUMBER('Sheet4-原始数据'!G83),'Sheet4-原始数据'!G83,"")</f>
        <v>0.0433</v>
      </c>
      <c r="N98" s="26">
        <f>IF(ISNUMBER('Sheet4-原始数据'!H83),'Sheet4-原始数据'!H83,"")</f>
        <v>0.0463</v>
      </c>
      <c r="O98" s="26">
        <f>IF(ISNUMBER('Sheet5-查询核对'!Q83),'Sheet5-查询核对'!Q83,"")</f>
        <v>0.0572</v>
      </c>
      <c r="P98" s="45">
        <f>IF(G98&lt;&gt;"入池","",IF(F98&gt;='Sheet1-指标体系'!$J$16,IF(AND(ISNUMBER(M98),ISNUMBER(N98)),IF(AND(1+M98&gt;0,1+N98&gt;=0),((1+N98)^'Sheet1-指标体系'!$J$16/(1+M98))^(1/('Sheet1-指标体系'!$J$16-1))-1,""),""),IF(AND(ISNUMBER(M98),ISNUMBER(O98)),IF(AND(F98&gt;1,1+M98&gt;0,1+O98&gt;=0),((1+O98)^F98/(1+M98))^(1/(F98-1))-1,""),"")))</f>
        <v>0.0478032333789686</v>
      </c>
      <c r="Q98" s="37">
        <f t="shared" si="21"/>
        <v>19.44</v>
      </c>
      <c r="R98" s="37">
        <f t="shared" si="22"/>
        <v>15.15</v>
      </c>
      <c r="S98" s="37">
        <f>IF(ISNUMBER(Q98),IF(ISNUMBER(R98),ROUND(Q98*'Sheet1-指标体系'!$J$8+R98*'Sheet1-指标体系'!$J$9,2),Q98),"")</f>
        <v>17.72</v>
      </c>
      <c r="T98" s="26">
        <f>IF(ISNUMBER('Sheet4-原始数据'!J83),'Sheet4-原始数据'!J83,"")</f>
        <v>0.6923</v>
      </c>
      <c r="U98" s="26">
        <f>IF(ISNUMBER('Sheet4-原始数据'!I83),'Sheet4-原始数据'!I83,"")</f>
        <v>0.7568</v>
      </c>
      <c r="V98" s="45">
        <f>IF(AND(ISNUMBER(T98),ISNUMBER(U98)),(U98*'Sheet1-指标体系'!$J$6-T98*'Sheet1-指标体系'!$J$5)/'Sheet1-指标体系'!$J$7,"")</f>
        <v>0.7917375</v>
      </c>
      <c r="W98" s="37">
        <f t="shared" si="23"/>
        <v>69.23</v>
      </c>
      <c r="X98" s="37">
        <f>IF(G98&lt;&gt;"入池","",IF(ISNUMBER(V98),IF(AND(V98&gt;=0,V98&lt;=1),V98*'Sheet1-指标体系'!$J$18,IF(MAX(0,(F98-'Sheet1-指标体系'!$J$15)*'Sheet1-指标体系'!$J$20)&lt;'Sheet1-指标体系'!$J$19,'Sheet1-指标体系'!$J$18,"")),IF(MAX(0,(F98-'Sheet1-指标体系'!$J$15)*'Sheet1-指标体系'!$J$20)&lt;'Sheet1-指标体系'!$J$19,'Sheet1-指标体系'!$J$18,"")))</f>
        <v>79.17375</v>
      </c>
      <c r="Y98" s="37">
        <f>IF(ISNUMBER(W98),IF(ISNUMBER(X98),ROUND(W98*'Sheet1-指标体系'!$J$8+X98*'Sheet1-指标体系'!$J$9,2),W98),"")</f>
        <v>73.21</v>
      </c>
      <c r="Z98" s="45">
        <f t="shared" si="24"/>
        <v>0.0076256560177521</v>
      </c>
      <c r="AA98" s="26">
        <f>IF(ISNUMBER('Sheet4-原始数据'!K83),'Sheet4-原始数据'!K83,"")</f>
        <v>0.0268</v>
      </c>
      <c r="AB98" s="45">
        <f t="shared" si="25"/>
        <v>0.0268</v>
      </c>
      <c r="AC98" s="37">
        <f t="shared" si="26"/>
        <v>37.84</v>
      </c>
      <c r="AD98" s="30">
        <f>IF(ISNUMBER('Sheet4-原始数据'!M83),'Sheet4-原始数据'!M83,"")</f>
        <v>5.6782</v>
      </c>
      <c r="AE98" s="45">
        <f>IF(AND(ISNUMBER(P98),ISNUMBER(AA98),ISNUMBER(Z98)),IF(AA98&gt;Z98+'Sheet1-指标体系'!$J$11,AA98,""),"")</f>
        <v>0.0268</v>
      </c>
      <c r="AF98" s="37">
        <f t="shared" si="27"/>
        <v>1.78370273802122</v>
      </c>
      <c r="AG98" s="37">
        <f t="shared" si="28"/>
        <v>35.21</v>
      </c>
      <c r="AH98" s="37">
        <f t="shared" si="29"/>
        <v>28.13</v>
      </c>
      <c r="AI98" s="37">
        <f>IF(ISNUMBER(AG98),IF(ISNUMBER(AH98),ROUND(AG98*'Sheet1-指标体系'!$J$8+AH98*'Sheet1-指标体系'!$J$9,2),AG98),"")</f>
        <v>32.38</v>
      </c>
      <c r="AJ98" s="45">
        <f>IF(NOT(ISNUMBER(F98)),"",IF(F98&gt;='Sheet1-指标体系'!$J$16,IF(ISNUMBER(N98),N98,""),IF(ISNUMBER(O98),O98,"")))</f>
        <v>0.0463</v>
      </c>
      <c r="AK98" s="37">
        <f>IF(AND(G98="入池",ISNUMBER(M98),ISNUMBER(AJ98)),IF(M98&gt;=AJ98,'Sheet1-指标体系'!$J$18,IF(AJ98-M98&lt;'Sheet1-指标体系'!$J$10,'Sheet1-指标体系'!$J$22,'Sheet1-指标体系'!$J$23)),"")</f>
        <v>80</v>
      </c>
      <c r="AL98" s="37">
        <f>IF((IF(ISNUMBER(I98),'Sheet1-指标体系'!$G$4,0)+IF(ISNUMBER(K98),'Sheet1-指标体系'!$G$5,0)+IF(ISNUMBER(L98),'Sheet1-指标体系'!$G$6,0))&gt;0,ROUND((IF(ISNUMBER(I98),I98*'Sheet1-指标体系'!$G$4,0)+IF(ISNUMBER(K98),K98*'Sheet1-指标体系'!$G$5,0)+IF(ISNUMBER(L98),L98*'Sheet1-指标体系'!$G$6,0))/(IF(ISNUMBER(I98),'Sheet1-指标体系'!$G$4,0)+IF(ISNUMBER(K98),'Sheet1-指标体系'!$G$5,0)+IF(ISNUMBER(L98),'Sheet1-指标体系'!$G$6,0)),2),"")</f>
        <v>96</v>
      </c>
      <c r="AM98" s="37">
        <f t="shared" si="30"/>
        <v>34.37</v>
      </c>
      <c r="AN98" s="37">
        <f t="shared" si="31"/>
        <v>37.84</v>
      </c>
      <c r="AO98" s="37">
        <f t="shared" si="32"/>
        <v>32.38</v>
      </c>
      <c r="AP98" s="37">
        <f t="shared" si="33"/>
        <v>80</v>
      </c>
      <c r="AQ98" s="38">
        <f t="shared" si="34"/>
        <v>1</v>
      </c>
      <c r="AR98" s="37">
        <f t="shared" si="35"/>
        <v>48.44721</v>
      </c>
      <c r="AS98" s="37">
        <f t="shared" si="36"/>
        <v>48.45</v>
      </c>
      <c r="AT98" s="40">
        <f>IF(OR(G98&lt;&gt;"入池",NOT(ISNUMBER(AS98))),"",COUNTIFS($G$17:$G$99,"入池",$AS$17:$AS$99,"&gt;"&amp;AS98)+COUNTIFS($G$17:$G$99,"入池",$AS$17:$AS$99,AS98,$AQ$17:$AQ$99,"&gt;"&amp;AQ98)+COUNTIFS($G$17:G98,"入池",$AS$17:AS98,AS98,$AQ$17:AQ98,AQ98))</f>
        <v>60</v>
      </c>
      <c r="AU98" s="46" t="str">
        <f>IF(NOT(ISNUMBER(I98)),"管理人规模；","")&amp;IF(NOT(ISNUMBER(K98)),"产品规模标识；","")&amp;IF(NOT(ISNUMBER(M98)),"近一年收益；","")&amp;IF(NOT(ISNUMBER(T98)),"近一年胜率；","")&amp;IF(NOT(ISNUMBER(N98)),"近三年收益；","")&amp;IF(NOT(ISNUMBER(U98)),"近三年胜率；","")&amp;IF(NOT(ISNUMBER(AA98)),"近三年回撤；","")&amp;IF(NOT(ISNUMBER(AD98)),"近一年卡玛；","")&amp;IF(ISNUMBER(F98),IF(AND(F98&lt;'Sheet1-指标体系'!$J$16,NOT(ISNUMBER(O98))),"成立以来年化；",""),"成立日期；")&amp;IF(ISNUMBER(V98),IF(OR(V98&lt;0,V98&gt;1),"胜率窗口口径不一致；",""),"")&amp;IF(ISNUMBER(P98),IF(NOT(ISNUMBER(AE98)),"DD_long不可识别；",""),"")</f>
        <v/>
      </c>
      <c r="AV98" s="37">
        <f>IF(ABS(SUM(CA98:CK98)-'Sheet1-指标体系'!$J$25)&lt;0.0000000001,SUM(BP98:BZ98),"")</f>
        <v>48.44721</v>
      </c>
      <c r="AW98" s="36" t="str">
        <f>IF(G98&lt;&gt;"入池",G98,IF(AQ98=0,"无有效评分数据",IF(ROUND(AQ98,10)=ROUND('Sheet1-指标体系'!$J$25,10),"完整赋分","暂定分／数据不完整")))</f>
        <v>完整赋分</v>
      </c>
      <c r="AX98" s="22" t="str">
        <f>IF('Sheet4-原始数据'!C83="","",'Sheet4-原始数据'!C83)</f>
        <v>期权策略</v>
      </c>
      <c r="AY98" s="22" t="str">
        <f>IF('Sheet4-原始数据'!D83="","",'Sheet4-原始数据'!D83)</f>
        <v>场内期权</v>
      </c>
      <c r="AZ98" s="22" t="str">
        <f>IF('Sheet5-查询核对'!S83="","",'Sheet5-查询核对'!S83)</f>
        <v>期权策略</v>
      </c>
      <c r="BA98" s="25">
        <f>IF('Sheet5-查询核对'!A83="","",'Sheet5-查询核对'!A83)</f>
        <v>83</v>
      </c>
      <c r="BB98" s="22" t="str">
        <f>IF('Sheet5-查询核对'!F83="","",'Sheet5-查询核对'!F83)</f>
        <v>备案号匹配</v>
      </c>
      <c r="BC98" s="24" t="str">
        <f>IF('Sheet5-查询核对'!I83="","",'Sheet5-查询核对'!I83)</f>
        <v>https://mp.fof99.com/fund/view/a96d179026030f2d</v>
      </c>
      <c r="BD98" s="23">
        <f>IF('Sheet5-查询核对'!H83="","",'Sheet5-查询核对'!H83)</f>
        <v>46269</v>
      </c>
      <c r="BE98" s="24" t="str">
        <f>IF('Sheet5-查询核对'!L83="","",'Sheet5-查询核对'!L83)</f>
        <v>https://gs.amac.org.cn/amac-infodisc/res/pof/manager/1703280912100590.html</v>
      </c>
      <c r="BF98" s="23">
        <f>IF('Sheet5-查询核对'!M83="","",'Sheet5-查询核对'!M83)</f>
        <v>46276</v>
      </c>
      <c r="BG98" s="24" t="str">
        <f>IF('Sheet5-查询核对'!O83="","",'Sheet5-查询核对'!O83)</f>
        <v>https://gs.amac.org.cn/amac-infodisc/res/pof/fund/1907301828105618.html</v>
      </c>
      <c r="BH98" s="23">
        <f>IF('Sheet5-查询核对'!P83="","",'Sheet5-查询核对'!P83)</f>
        <v>46276</v>
      </c>
      <c r="BI98" s="22" t="str">
        <f>IF('Sheet5-查询核对'!D83="","",'Sheet5-查询核对'!D83)</f>
        <v>SGW091</v>
      </c>
      <c r="BJ98">
        <f>IF(ISNUMBER(AT98),AT98,COUNT($AT$17:$AT$99)+ROWS($AT$17:AT98)-COUNT($AT$17:AT98))</f>
        <v>60</v>
      </c>
      <c r="BK98" s="2">
        <f t="shared" si="37"/>
        <v>1</v>
      </c>
      <c r="BL98" s="2">
        <f t="shared" si="38"/>
        <v>1</v>
      </c>
      <c r="BM98" s="2">
        <f t="shared" si="39"/>
        <v>1</v>
      </c>
      <c r="BN98" s="2">
        <f t="shared" si="40"/>
        <v>1</v>
      </c>
      <c r="BO98" s="2">
        <f t="shared" si="41"/>
        <v>1</v>
      </c>
      <c r="BP98" s="48">
        <f>IF(G98="入池",IF(ISNUMBER(I98),I98*('Sheet1-指标体系'!$G$4),0),0)</f>
        <v>5.4</v>
      </c>
      <c r="BQ98" s="48">
        <f>IF(G98="入池",IF(ISNUMBER(K98),K98*('Sheet1-指标体系'!$G$5),0),0)</f>
        <v>4.5</v>
      </c>
      <c r="BR98" s="48">
        <f>IF(G98="入池",IF(ISNUMBER(L98),L98*('Sheet1-指标体系'!$G$6),0),0)</f>
        <v>4.5</v>
      </c>
      <c r="BS98" s="48">
        <f>IF(G98="入池",IF(ISNUMBER(Q98),Q98*('Sheet1-指标体系'!$G$7*'Sheet1-指标体系'!$J$8),0),0)</f>
        <v>1.63296</v>
      </c>
      <c r="BT98" s="48">
        <f>IF(G98="入池",IF(ISNUMBER(R98),R98*('Sheet1-指标体系'!$G$7*'Sheet1-指标体系'!$J$9),0),0)</f>
        <v>0.8484</v>
      </c>
      <c r="BU98" s="48">
        <f>IF(G98="入池",IF(ISNUMBER(W98),W98*('Sheet1-指标体系'!$G$8*'Sheet1-指标体系'!$J$8),0),0)</f>
        <v>2.49228</v>
      </c>
      <c r="BV98" s="48">
        <f>IF(G98="入池",IF(ISNUMBER(X98),X98*('Sheet1-指标体系'!$G$8*'Sheet1-指标体系'!$J$9),0),0)</f>
        <v>1.90017</v>
      </c>
      <c r="BW98" s="48">
        <f>IF(G98="入池",IF(ISNUMBER(AC98),AC98*('Sheet1-指标体系'!$G$9),0),0)</f>
        <v>9.46</v>
      </c>
      <c r="BX98" s="48">
        <f>IF(G98="入池",IF(ISNUMBER(AG98),AG98*('Sheet1-指标体系'!$G$10*'Sheet1-指标体系'!$J$8),0),0)</f>
        <v>6.3378</v>
      </c>
      <c r="BY98" s="48">
        <f>IF(G98="入池",IF(ISNUMBER(AH98),AH98*('Sheet1-指标体系'!$G$10*'Sheet1-指标体系'!$J$9),0),0)</f>
        <v>3.3756</v>
      </c>
      <c r="BZ98" s="48">
        <f>IF(G98="入池",IF(ISNUMBER(AK98),AK98*('Sheet1-指标体系'!$G$11),0),0)</f>
        <v>8</v>
      </c>
      <c r="CA98" s="49">
        <f>IF(G98="入池",IF(ISNUMBER(I98),'Sheet1-指标体系'!$G$4,0),0)</f>
        <v>0.06</v>
      </c>
      <c r="CB98" s="49">
        <f>IF(G98="入池",IF(ISNUMBER(K98),'Sheet1-指标体系'!$G$5,0),0)</f>
        <v>0.045</v>
      </c>
      <c r="CC98" s="49">
        <f>IF(G98="入池",IF(ISNUMBER(L98),'Sheet1-指标体系'!$G$6,0),0)</f>
        <v>0.045</v>
      </c>
      <c r="CD98" s="49">
        <f>IF(G98="入池",IF(ISNUMBER(Q98),'Sheet1-指标体系'!$G$7*'Sheet1-指标体系'!$J$8,0),0)</f>
        <v>0.084</v>
      </c>
      <c r="CE98" s="49">
        <f>IF(G98="入池",IF(ISNUMBER(R98),'Sheet1-指标体系'!$G$7*'Sheet1-指标体系'!$J$9,0),0)</f>
        <v>0.056</v>
      </c>
      <c r="CF98" s="49">
        <f>IF(G98="入池",IF(ISNUMBER(W98),'Sheet1-指标体系'!$G$8*'Sheet1-指标体系'!$J$8,0),0)</f>
        <v>0.036</v>
      </c>
      <c r="CG98" s="49">
        <f>IF(G98="入池",IF(ISNUMBER(X98),'Sheet1-指标体系'!$G$8*'Sheet1-指标体系'!$J$9,0),0)</f>
        <v>0.024</v>
      </c>
      <c r="CH98" s="49">
        <f>IF(G98="入池",IF(ISNUMBER(AC98),'Sheet1-指标体系'!$G$9,0),0)</f>
        <v>0.25</v>
      </c>
      <c r="CI98" s="49">
        <f>IF(G98="入池",IF(ISNUMBER(AG98),'Sheet1-指标体系'!$G$10*'Sheet1-指标体系'!$J$8,0),0)</f>
        <v>0.18</v>
      </c>
      <c r="CJ98" s="49">
        <f>IF(G98="入池",IF(ISNUMBER(AH98),'Sheet1-指标体系'!$G$10*'Sheet1-指标体系'!$J$9,0),0)</f>
        <v>0.12</v>
      </c>
      <c r="CK98" s="49">
        <f>IF(G98="入池",IF(ISNUMBER(AK98),'Sheet1-指标体系'!$G$11,0),0)</f>
        <v>0.1</v>
      </c>
    </row>
    <row r="99" ht="44" customHeight="1" spans="1:89">
      <c r="A99" s="40">
        <f>'Sheet5-查询核对'!A84-1</f>
        <v>83</v>
      </c>
      <c r="B99" s="24" t="str">
        <f>IF('Sheet4-原始数据'!A84="",'Sheet5-查询核对'!B84,'Sheet4-原始数据'!A84)</f>
        <v>合绎塑造者10号</v>
      </c>
      <c r="C99" s="22" t="str">
        <f>IF('Sheet4-原始数据'!B84="","",'Sheet4-原始数据'!B84)</f>
        <v>SAHP82</v>
      </c>
      <c r="D99" s="22" t="str">
        <f>IF('Sheet4-原始数据'!E84="","",'Sheet4-原始数据'!E84)</f>
        <v>上海合绎投资</v>
      </c>
      <c r="E99" s="23">
        <f>IF('Sheet4-原始数据'!F84="","",'Sheet4-原始数据'!F84)</f>
        <v>45363</v>
      </c>
      <c r="F99" s="37">
        <f>IF(ISNUMBER(E99),ROUND(('Sheet1-指标体系'!$J$12-E99)/'Sheet1-指标体系'!$J$14,4),"")</f>
        <v>2.4969</v>
      </c>
      <c r="G99" s="36" t="str">
        <f>IF(C99="","未匹配",IF(NOT(ISNUMBER(F99)),"缺成立日期",IF(F99&lt;'Sheet1-指标体系'!$J$15,"不入池","入池")))</f>
        <v>入池</v>
      </c>
      <c r="H99" s="22" t="str">
        <f>IF('Sheet5-查询核对'!K84="","",'Sheet5-查询核对'!K84)</f>
        <v>50-100亿元</v>
      </c>
      <c r="I99" s="37">
        <f>IF(H99="","",IF(COUNTIF('Sheet1-指标体系'!$P$4:$P$10,H99)=0,"",INDEX('Sheet1-指标体系'!$Q$4:$Q$10,MATCH(H99,'Sheet1-指标体系'!$P$4:$P$10,0))))</f>
        <v>90</v>
      </c>
      <c r="J99" s="44" t="str">
        <f>IF(NOT(ISNUMBER('Sheet5-查询核对'!N84)),"",IF('Sheet5-查询核对'!N84=1,"低于"&amp;'Sheet1-指标体系'!$J$4&amp;"万元",IF('Sheet5-查询核对'!N84=0,"无低于"&amp;'Sheet1-指标体系'!$J$4&amp;"万元标识","")))</f>
        <v>无低于1000万元标识</v>
      </c>
      <c r="K99" s="37">
        <f>IF(NOT(ISNUMBER('Sheet5-查询核对'!N84)),"",IF('Sheet5-查询核对'!N84=1,'Sheet1-指标体系'!$J$21,IF('Sheet5-查询核对'!N84=0,'Sheet1-指标体系'!$J$18,"")))</f>
        <v>100</v>
      </c>
      <c r="L99" s="37">
        <f>IF(NOT(ISNUMBER(F99)),"",IF(F99&lt;'Sheet1-指标体系'!$J$15,"",IF(F99&lt;'Sheet1-指标体系'!$J$16,'Sheet1-指标体系'!$J$17,'Sheet1-指标体系'!$J$18)))</f>
        <v>70</v>
      </c>
      <c r="M99" s="26">
        <f>IF(ISNUMBER('Sheet4-原始数据'!G84),'Sheet4-原始数据'!G84,"")</f>
        <v>0.254213705021174</v>
      </c>
      <c r="N99" s="26" t="str">
        <f>IF(ISNUMBER('Sheet4-原始数据'!H84),'Sheet4-原始数据'!H84,"")</f>
        <v/>
      </c>
      <c r="O99" s="26" t="str">
        <f>IF(ISNUMBER('Sheet5-查询核对'!Q84),'Sheet5-查询核对'!Q84,"")</f>
        <v/>
      </c>
      <c r="P99" s="45" t="str">
        <f>IF(G99&lt;&gt;"入池","",IF(F99&gt;='Sheet1-指标体系'!$J$16,IF(AND(ISNUMBER(M99),ISNUMBER(N99)),IF(AND(1+M99&gt;0,1+N99&gt;=0),((1+N99)^'Sheet1-指标体系'!$J$16/(1+M99))^(1/('Sheet1-指标体系'!$J$16-1))-1,""),""),IF(AND(ISNUMBER(M99),ISNUMBER(O99)),IF(AND(F99&gt;1,1+M99&gt;0,1+O99&gt;=0),((1+O99)^F99/(1+M99))^(1/(F99-1))-1,""),"")))</f>
        <v/>
      </c>
      <c r="Q99" s="37">
        <f t="shared" si="21"/>
        <v>93.06</v>
      </c>
      <c r="R99" s="37" t="str">
        <f t="shared" si="22"/>
        <v/>
      </c>
      <c r="S99" s="37">
        <f>IF(ISNUMBER(Q99),IF(ISNUMBER(R99),ROUND(Q99*'Sheet1-指标体系'!$J$8+R99*'Sheet1-指标体系'!$J$9,2),Q99),"")</f>
        <v>93.06</v>
      </c>
      <c r="T99" s="26">
        <f>IF(ISNUMBER('Sheet4-原始数据'!J84),'Sheet4-原始数据'!J84,"")</f>
        <v>1</v>
      </c>
      <c r="U99" s="26" t="str">
        <f>IF(ISNUMBER('Sheet4-原始数据'!I84),'Sheet4-原始数据'!I84,"")</f>
        <v/>
      </c>
      <c r="V99" s="45" t="str">
        <f>IF(AND(ISNUMBER(T99),ISNUMBER(U99)),(U99*'Sheet1-指标体系'!$J$6-T99*'Sheet1-指标体系'!$J$5)/'Sheet1-指标体系'!$J$7,"")</f>
        <v/>
      </c>
      <c r="W99" s="37">
        <f t="shared" si="23"/>
        <v>100</v>
      </c>
      <c r="X99" s="37" t="str">
        <f>IF(G99&lt;&gt;"入池","",IF(ISNUMBER(V99),IF(AND(V99&gt;=0,V99&lt;=1),V99*'Sheet1-指标体系'!$J$18,IF(MAX(0,(F99-'Sheet1-指标体系'!$J$15)*'Sheet1-指标体系'!$J$20)&lt;'Sheet1-指标体系'!$J$19,'Sheet1-指标体系'!$J$18,"")),IF(MAX(0,(F99-'Sheet1-指标体系'!$J$15)*'Sheet1-指标体系'!$J$20)&lt;'Sheet1-指标体系'!$J$19,'Sheet1-指标体系'!$J$18,"")))</f>
        <v/>
      </c>
      <c r="Y99" s="37">
        <f>IF(ISNUMBER(W99),IF(ISNUMBER(X99),ROUND(W99*'Sheet1-指标体系'!$J$8+X99*'Sheet1-指标体系'!$J$9,2),W99),"")</f>
        <v>100</v>
      </c>
      <c r="Z99" s="45">
        <f t="shared" si="24"/>
        <v>0.0111371982421287</v>
      </c>
      <c r="AA99" s="26" t="str">
        <f>IF(ISNUMBER('Sheet4-原始数据'!K84),'Sheet4-原始数据'!K84,"")</f>
        <v/>
      </c>
      <c r="AB99" s="45">
        <f t="shared" si="25"/>
        <v>0.0111371982421287</v>
      </c>
      <c r="AC99" s="37">
        <f t="shared" si="26"/>
        <v>66.22</v>
      </c>
      <c r="AD99" s="30">
        <f>IF(ISNUMBER('Sheet4-原始数据'!M84),'Sheet4-原始数据'!M84,"")</f>
        <v>22.825642454631</v>
      </c>
      <c r="AE99" s="45" t="str">
        <f>IF(AND(ISNUMBER(P99),ISNUMBER(AA99),ISNUMBER(Z99)),IF(AA99&gt;Z99+'Sheet1-指标体系'!$J$11,AA99,""),"")</f>
        <v/>
      </c>
      <c r="AF99" s="37" t="str">
        <f t="shared" si="27"/>
        <v/>
      </c>
      <c r="AG99" s="37">
        <f t="shared" si="28"/>
        <v>78.87</v>
      </c>
      <c r="AH99" s="37" t="str">
        <f t="shared" si="29"/>
        <v/>
      </c>
      <c r="AI99" s="37">
        <f>IF(ISNUMBER(AG99),IF(ISNUMBER(AH99),ROUND(AG99*'Sheet1-指标体系'!$J$8+AH99*'Sheet1-指标体系'!$J$9,2),AG99),"")</f>
        <v>78.87</v>
      </c>
      <c r="AJ99" s="45" t="str">
        <f>IF(NOT(ISNUMBER(F99)),"",IF(F99&gt;='Sheet1-指标体系'!$J$16,IF(ISNUMBER(N99),N99,""),IF(ISNUMBER(O99),O99,"")))</f>
        <v/>
      </c>
      <c r="AK99" s="37" t="str">
        <f>IF(AND(G99="入池",ISNUMBER(M99),ISNUMBER(AJ99)),IF(M99&gt;=AJ99,'Sheet1-指标体系'!$J$18,IF(AJ99-M99&lt;'Sheet1-指标体系'!$J$10,'Sheet1-指标体系'!$J$22,'Sheet1-指标体系'!$J$23)),"")</f>
        <v/>
      </c>
      <c r="AL99" s="37">
        <f>IF((IF(ISNUMBER(I99),'Sheet1-指标体系'!$G$4,0)+IF(ISNUMBER(K99),'Sheet1-指标体系'!$G$5,0)+IF(ISNUMBER(L99),'Sheet1-指标体系'!$G$6,0))&gt;0,ROUND((IF(ISNUMBER(I99),I99*'Sheet1-指标体系'!$G$4,0)+IF(ISNUMBER(K99),K99*'Sheet1-指标体系'!$G$5,0)+IF(ISNUMBER(L99),L99*'Sheet1-指标体系'!$G$6,0))/(IF(ISNUMBER(I99),'Sheet1-指标体系'!$G$4,0)+IF(ISNUMBER(K99),'Sheet1-指标体系'!$G$5,0)+IF(ISNUMBER(L99),'Sheet1-指标体系'!$G$6,0)),2),"")</f>
        <v>87</v>
      </c>
      <c r="AM99" s="37">
        <f t="shared" si="30"/>
        <v>95.14</v>
      </c>
      <c r="AN99" s="37">
        <f t="shared" si="31"/>
        <v>66.22</v>
      </c>
      <c r="AO99" s="37">
        <f t="shared" si="32"/>
        <v>78.87</v>
      </c>
      <c r="AP99" s="37" t="str">
        <f t="shared" si="33"/>
        <v/>
      </c>
      <c r="AQ99" s="38">
        <f t="shared" si="34"/>
        <v>0.7</v>
      </c>
      <c r="AR99" s="37">
        <f t="shared" si="35"/>
        <v>55.21864</v>
      </c>
      <c r="AS99" s="37">
        <f t="shared" si="36"/>
        <v>78.88</v>
      </c>
      <c r="AT99" s="40">
        <f>IF(OR(G99&lt;&gt;"入池",NOT(ISNUMBER(AS99))),"",COUNTIFS($G$17:$G$99,"入池",$AS$17:$AS$99,"&gt;"&amp;AS99)+COUNTIFS($G$17:$G$99,"入池",$AS$17:$AS$99,AS99,$AQ$17:$AQ$99,"&gt;"&amp;AQ99)+COUNTIFS($G$17:G99,"入池",$AS$17:AS99,AS99,$AQ$17:AQ99,AQ99))</f>
        <v>19</v>
      </c>
      <c r="AU99" s="46" t="str">
        <f>IF(NOT(ISNUMBER(I99)),"管理人规模；","")&amp;IF(NOT(ISNUMBER(K99)),"产品规模标识；","")&amp;IF(NOT(ISNUMBER(M99)),"近一年收益；","")&amp;IF(NOT(ISNUMBER(T99)),"近一年胜率；","")&amp;IF(NOT(ISNUMBER(N99)),"近三年收益；","")&amp;IF(NOT(ISNUMBER(U99)),"近三年胜率；","")&amp;IF(NOT(ISNUMBER(AA99)),"近三年回撤；","")&amp;IF(NOT(ISNUMBER(AD99)),"近一年卡玛；","")&amp;IF(ISNUMBER(F99),IF(AND(F99&lt;'Sheet1-指标体系'!$J$16,NOT(ISNUMBER(O99))),"成立以来年化；",""),"成立日期；")&amp;IF(ISNUMBER(V99),IF(OR(V99&lt;0,V99&gt;1),"胜率窗口口径不一致；",""),"")&amp;IF(ISNUMBER(P99),IF(NOT(ISNUMBER(AE99)),"DD_long不可识别；",""),"")</f>
        <v>近三年收益；近三年胜率；近三年回撤；成立以来年化；</v>
      </c>
      <c r="AV99" s="37" t="str">
        <f>IF(ABS(SUM(CA99:CK99)-'Sheet1-指标体系'!$J$25)&lt;0.0000000001,SUM(BP99:BZ99),"")</f>
        <v/>
      </c>
      <c r="AW99" s="36" t="str">
        <f>IF(G99&lt;&gt;"入池",G99,IF(AQ99=0,"无有效评分数据",IF(ROUND(AQ99,10)=ROUND('Sheet1-指标体系'!$J$25,10),"完整赋分","暂定分／数据不完整")))</f>
        <v>暂定分／数据不完整</v>
      </c>
      <c r="AX99" s="22" t="str">
        <f>IF('Sheet4-原始数据'!C84="","",'Sheet4-原始数据'!C84)</f>
        <v>期权策略</v>
      </c>
      <c r="AY99" s="22" t="str">
        <f>IF('Sheet4-原始数据'!D84="","",'Sheet4-原始数据'!D84)</f>
        <v/>
      </c>
      <c r="AZ99" s="22" t="str">
        <f>IF('Sheet5-查询核对'!S84="","",'Sheet5-查询核对'!S84)</f>
        <v>管理期货—量化期权—期权复合套利-R4</v>
      </c>
      <c r="BA99" s="25">
        <f>IF('Sheet5-查询核对'!A84="","",'Sheet5-查询核对'!A84)</f>
        <v>84</v>
      </c>
      <c r="BB99" s="22" t="str">
        <f>IF('Sheet5-查询核对'!F84="","",'Sheet5-查询核对'!F84)</f>
        <v>备案号匹配</v>
      </c>
      <c r="BC99" s="24" t="str">
        <f>IF('Sheet5-查询核对'!I84="","",'Sheet5-查询核对'!I84)</f>
        <v>https://mp.fof99.com/fund/view/acbdbde1b1c49c01</v>
      </c>
      <c r="BD99" s="23">
        <f>IF('Sheet5-查询核对'!H84="","",'Sheet5-查询核对'!H84)</f>
        <v>46269</v>
      </c>
      <c r="BE99" s="24" t="str">
        <f>IF('Sheet5-查询核对'!L84="","",'Sheet5-查询核对'!L84)</f>
        <v>https://gs.amac.org.cn/amac-infodisc/res/pof/manager/1703070917106985.html</v>
      </c>
      <c r="BF99" s="23">
        <f>IF('Sheet5-查询核对'!M84="","",'Sheet5-查询核对'!M84)</f>
        <v>46276</v>
      </c>
      <c r="BG99" s="24" t="str">
        <f>IF('Sheet5-查询核对'!O84="","",'Sheet5-查询核对'!O84)</f>
        <v>https://gs.amac.org.cn/amac-infodisc/res/pof/fund/2403251636103185.html</v>
      </c>
      <c r="BH99" s="23">
        <f>IF('Sheet5-查询核对'!P84="","",'Sheet5-查询核对'!P84)</f>
        <v>46276</v>
      </c>
      <c r="BI99" s="22" t="str">
        <f>IF('Sheet5-查询核对'!D84="","",'Sheet5-查询核对'!D84)</f>
        <v>SAHP82</v>
      </c>
      <c r="BJ99">
        <f>IF(ISNUMBER(AT99),AT99,COUNT($AT$17:$AT$99)+ROWS($AT$17:AT99)-COUNT($AT$17:AT99))</f>
        <v>19</v>
      </c>
      <c r="BK99" s="2">
        <f t="shared" si="37"/>
        <v>1</v>
      </c>
      <c r="BL99" s="2">
        <f t="shared" si="38"/>
        <v>0</v>
      </c>
      <c r="BM99" s="2">
        <f t="shared" si="39"/>
        <v>1</v>
      </c>
      <c r="BN99" s="2">
        <f t="shared" si="40"/>
        <v>1</v>
      </c>
      <c r="BO99" s="2">
        <f t="shared" si="41"/>
        <v>0</v>
      </c>
      <c r="BP99" s="48">
        <f>IF(G99="入池",IF(ISNUMBER(I99),I99*('Sheet1-指标体系'!$G$4),0),0)</f>
        <v>5.4</v>
      </c>
      <c r="BQ99" s="48">
        <f>IF(G99="入池",IF(ISNUMBER(K99),K99*('Sheet1-指标体系'!$G$5),0),0)</f>
        <v>4.5</v>
      </c>
      <c r="BR99" s="48">
        <f>IF(G99="入池",IF(ISNUMBER(L99),L99*('Sheet1-指标体系'!$G$6),0),0)</f>
        <v>3.15</v>
      </c>
      <c r="BS99" s="48">
        <f>IF(G99="入池",IF(ISNUMBER(Q99),Q99*('Sheet1-指标体系'!$G$7*'Sheet1-指标体系'!$J$8),0),0)</f>
        <v>7.81704</v>
      </c>
      <c r="BT99" s="48">
        <f>IF(G99="入池",IF(ISNUMBER(R99),R99*('Sheet1-指标体系'!$G$7*'Sheet1-指标体系'!$J$9),0),0)</f>
        <v>0</v>
      </c>
      <c r="BU99" s="48">
        <f>IF(G99="入池",IF(ISNUMBER(W99),W99*('Sheet1-指标体系'!$G$8*'Sheet1-指标体系'!$J$8),0),0)</f>
        <v>3.6</v>
      </c>
      <c r="BV99" s="48">
        <f>IF(G99="入池",IF(ISNUMBER(X99),X99*('Sheet1-指标体系'!$G$8*'Sheet1-指标体系'!$J$9),0),0)</f>
        <v>0</v>
      </c>
      <c r="BW99" s="48">
        <f>IF(G99="入池",IF(ISNUMBER(AC99),AC99*('Sheet1-指标体系'!$G$9),0),0)</f>
        <v>16.555</v>
      </c>
      <c r="BX99" s="48">
        <f>IF(G99="入池",IF(ISNUMBER(AG99),AG99*('Sheet1-指标体系'!$G$10*'Sheet1-指标体系'!$J$8),0),0)</f>
        <v>14.1966</v>
      </c>
      <c r="BY99" s="48">
        <f>IF(G99="入池",IF(ISNUMBER(AH99),AH99*('Sheet1-指标体系'!$G$10*'Sheet1-指标体系'!$J$9),0),0)</f>
        <v>0</v>
      </c>
      <c r="BZ99" s="48">
        <f>IF(G99="入池",IF(ISNUMBER(AK99),AK99*('Sheet1-指标体系'!$G$11),0),0)</f>
        <v>0</v>
      </c>
      <c r="CA99" s="49">
        <f>IF(G99="入池",IF(ISNUMBER(I99),'Sheet1-指标体系'!$G$4,0),0)</f>
        <v>0.06</v>
      </c>
      <c r="CB99" s="49">
        <f>IF(G99="入池",IF(ISNUMBER(K99),'Sheet1-指标体系'!$G$5,0),0)</f>
        <v>0.045</v>
      </c>
      <c r="CC99" s="49">
        <f>IF(G99="入池",IF(ISNUMBER(L99),'Sheet1-指标体系'!$G$6,0),0)</f>
        <v>0.045</v>
      </c>
      <c r="CD99" s="49">
        <f>IF(G99="入池",IF(ISNUMBER(Q99),'Sheet1-指标体系'!$G$7*'Sheet1-指标体系'!$J$8,0),0)</f>
        <v>0.084</v>
      </c>
      <c r="CE99" s="49">
        <f>IF(G99="入池",IF(ISNUMBER(R99),'Sheet1-指标体系'!$G$7*'Sheet1-指标体系'!$J$9,0),0)</f>
        <v>0</v>
      </c>
      <c r="CF99" s="49">
        <f>IF(G99="入池",IF(ISNUMBER(W99),'Sheet1-指标体系'!$G$8*'Sheet1-指标体系'!$J$8,0),0)</f>
        <v>0.036</v>
      </c>
      <c r="CG99" s="49">
        <f>IF(G99="入池",IF(ISNUMBER(X99),'Sheet1-指标体系'!$G$8*'Sheet1-指标体系'!$J$9,0),0)</f>
        <v>0</v>
      </c>
      <c r="CH99" s="49">
        <f>IF(G99="入池",IF(ISNUMBER(AC99),'Sheet1-指标体系'!$G$9,0),0)</f>
        <v>0.25</v>
      </c>
      <c r="CI99" s="49">
        <f>IF(G99="入池",IF(ISNUMBER(AG99),'Sheet1-指标体系'!$G$10*'Sheet1-指标体系'!$J$8,0),0)</f>
        <v>0.18</v>
      </c>
      <c r="CJ99" s="49">
        <f>IF(G99="入池",IF(ISNUMBER(AH99),'Sheet1-指标体系'!$G$10*'Sheet1-指标体系'!$J$9,0),0)</f>
        <v>0</v>
      </c>
      <c r="CK99" s="49">
        <f>IF(G99="入池",IF(ISNUMBER(AK99),'Sheet1-指标体系'!$G$11,0),0)</f>
        <v>0</v>
      </c>
    </row>
  </sheetData>
  <conditionalFormatting sqref="AW17:AW99">
    <cfRule type="containsText" dxfId="0" priority="1" operator="between" text="暂定">
      <formula>NOT(ISERROR(SEARCH("暂定",AW17)))</formula>
    </cfRule>
  </conditionalFormatting>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88"/>
  <sheetViews>
    <sheetView showGridLines="0" workbookViewId="0">
      <pane xSplit="3" ySplit="5" topLeftCell="D6" activePane="bottomRight" state="frozen"/>
      <selection/>
      <selection pane="topRight"/>
      <selection pane="bottomLeft"/>
      <selection pane="bottomRight" activeCell="M14" sqref="M14"/>
    </sheetView>
  </sheetViews>
  <sheetFormatPr defaultColWidth="9" defaultRowHeight="16.8"/>
  <cols>
    <col min="1" max="1" width="15" customWidth="1"/>
    <col min="2" max="2" width="28" customWidth="1"/>
    <col min="3" max="3" width="15" customWidth="1"/>
    <col min="4" max="4" width="28" customWidth="1"/>
    <col min="5" max="22" width="15" customWidth="1"/>
    <col min="23" max="23" width="76" customWidth="1"/>
    <col min="24" max="24" width="15" customWidth="1"/>
    <col min="25" max="27" width="28" customWidth="1"/>
    <col min="28" max="28" width="15" customWidth="1"/>
    <col min="29" max="30" width="19" customWidth="1"/>
    <col min="31" max="31" width="28" customWidth="1"/>
    <col min="32" max="32" width="50" customWidth="1"/>
  </cols>
  <sheetData>
    <row r="1" ht="24" customHeight="1" spans="1:28">
      <c r="A1" s="35" t="s">
        <v>757</v>
      </c>
      <c r="B1" s="36"/>
      <c r="C1" s="36"/>
      <c r="D1" s="36"/>
      <c r="E1" s="36"/>
      <c r="F1" s="36"/>
      <c r="G1" s="36"/>
      <c r="H1" s="36"/>
      <c r="I1" s="36"/>
      <c r="J1" s="36"/>
      <c r="K1" s="36"/>
      <c r="L1" s="36"/>
      <c r="M1" s="36"/>
      <c r="N1" s="36"/>
      <c r="O1" s="36"/>
      <c r="P1" s="36"/>
      <c r="Q1" s="36"/>
      <c r="R1" s="36"/>
      <c r="S1" s="36"/>
      <c r="T1" s="36"/>
      <c r="U1" s="36"/>
      <c r="V1" s="36"/>
      <c r="W1" s="36"/>
      <c r="X1" s="36"/>
      <c r="Y1" s="36"/>
      <c r="Z1" s="36"/>
      <c r="AA1" s="36"/>
      <c r="AB1" s="36"/>
    </row>
    <row r="2" ht="24" customHeight="1" spans="1:28">
      <c r="A2" s="36" t="s">
        <v>758</v>
      </c>
      <c r="B2" s="36"/>
      <c r="C2" s="36"/>
      <c r="D2" s="36"/>
      <c r="E2" s="36"/>
      <c r="F2" s="36"/>
      <c r="G2" s="36"/>
      <c r="H2" s="36"/>
      <c r="I2" s="36"/>
      <c r="J2" s="36"/>
      <c r="K2" s="36"/>
      <c r="L2" s="36"/>
      <c r="M2" s="36"/>
      <c r="N2" s="36"/>
      <c r="O2" s="36"/>
      <c r="P2" s="36"/>
      <c r="Q2" s="36"/>
      <c r="R2" s="36"/>
      <c r="S2" s="36"/>
      <c r="T2" s="36"/>
      <c r="U2" s="36"/>
      <c r="V2" s="36"/>
      <c r="W2" s="36"/>
      <c r="X2" s="36"/>
      <c r="Y2" s="36"/>
      <c r="Z2" s="36"/>
      <c r="AA2" s="36"/>
      <c r="AB2" s="36"/>
    </row>
    <row r="3" ht="24" customHeight="1" spans="1:28">
      <c r="A3" s="36" t="s">
        <v>759</v>
      </c>
      <c r="B3" s="36"/>
      <c r="C3" s="36"/>
      <c r="D3" s="36"/>
      <c r="E3" s="36"/>
      <c r="F3" s="36"/>
      <c r="G3" s="36"/>
      <c r="H3" s="36"/>
      <c r="I3" s="36"/>
      <c r="J3" s="36"/>
      <c r="K3" s="36"/>
      <c r="L3" s="36"/>
      <c r="M3" s="36"/>
      <c r="N3" s="36"/>
      <c r="O3" s="36"/>
      <c r="P3" s="36"/>
      <c r="Q3" s="36"/>
      <c r="R3" s="36"/>
      <c r="S3" s="36"/>
      <c r="T3" s="36"/>
      <c r="U3" s="36"/>
      <c r="V3" s="36"/>
      <c r="W3" s="36"/>
      <c r="X3" s="36"/>
      <c r="Y3" s="36"/>
      <c r="Z3" s="36"/>
      <c r="AA3" s="36"/>
      <c r="AB3" s="36"/>
    </row>
    <row r="4" ht="24" customHeight="1" spans="1:28">
      <c r="A4" s="36"/>
      <c r="B4" s="36"/>
      <c r="C4" s="36"/>
      <c r="D4" s="36"/>
      <c r="E4" s="36"/>
      <c r="F4" s="36"/>
      <c r="G4" s="36"/>
      <c r="H4" s="36"/>
      <c r="I4" s="36"/>
      <c r="J4" s="36"/>
      <c r="K4" s="36"/>
      <c r="L4" s="36"/>
      <c r="M4" s="36"/>
      <c r="N4" s="36"/>
      <c r="O4" s="36"/>
      <c r="P4" s="36"/>
      <c r="Q4" s="36"/>
      <c r="R4" s="36"/>
      <c r="S4" s="36"/>
      <c r="T4" s="36"/>
      <c r="U4" s="36"/>
      <c r="V4" s="36"/>
      <c r="W4" s="36"/>
      <c r="X4" s="36"/>
      <c r="Y4" s="36"/>
      <c r="Z4" s="36"/>
      <c r="AA4" s="36"/>
      <c r="AB4" s="36"/>
    </row>
    <row r="5" ht="44" customHeight="1" spans="1:32">
      <c r="A5" s="20" t="s">
        <v>760</v>
      </c>
      <c r="B5" s="21" t="s">
        <v>2</v>
      </c>
      <c r="C5" s="21" t="s">
        <v>673</v>
      </c>
      <c r="D5" s="21" t="s">
        <v>674</v>
      </c>
      <c r="E5" s="21" t="s">
        <v>677</v>
      </c>
      <c r="F5" s="21" t="s">
        <v>679</v>
      </c>
      <c r="G5" s="21" t="s">
        <v>681</v>
      </c>
      <c r="H5" s="21" t="s">
        <v>682</v>
      </c>
      <c r="I5" s="21" t="s">
        <v>689</v>
      </c>
      <c r="J5" s="21" t="s">
        <v>695</v>
      </c>
      <c r="K5" s="21" t="s">
        <v>699</v>
      </c>
      <c r="L5" s="21" t="s">
        <v>705</v>
      </c>
      <c r="M5" s="21" t="s">
        <v>707</v>
      </c>
      <c r="N5" s="21" t="s">
        <v>537</v>
      </c>
      <c r="O5" s="21" t="s">
        <v>552</v>
      </c>
      <c r="P5" s="21" t="s">
        <v>562</v>
      </c>
      <c r="Q5" s="21" t="s">
        <v>568</v>
      </c>
      <c r="R5" s="21" t="s">
        <v>573</v>
      </c>
      <c r="S5" s="21" t="s">
        <v>761</v>
      </c>
      <c r="T5" s="21" t="s">
        <v>714</v>
      </c>
      <c r="U5" s="21" t="s">
        <v>762</v>
      </c>
      <c r="V5" s="21" t="s">
        <v>718</v>
      </c>
      <c r="W5" s="21" t="s">
        <v>717</v>
      </c>
      <c r="X5" s="21" t="s">
        <v>763</v>
      </c>
      <c r="Y5" s="21" t="s">
        <v>720</v>
      </c>
      <c r="Z5" s="21" t="s">
        <v>721</v>
      </c>
      <c r="AA5" s="21" t="s">
        <v>719</v>
      </c>
      <c r="AB5" s="27" t="s">
        <v>764</v>
      </c>
      <c r="AC5" s="41" t="s">
        <v>765</v>
      </c>
      <c r="AD5" s="41" t="s">
        <v>645</v>
      </c>
      <c r="AE5" s="41" t="s">
        <v>766</v>
      </c>
      <c r="AF5" s="41" t="s">
        <v>767</v>
      </c>
    </row>
    <row r="6" ht="44" customHeight="1" spans="1:32">
      <c r="A6" s="36">
        <f>IF(ISNUMBER('Sheet2-计算明细'!AT67),'Sheet2-计算明细'!AT67,"")</f>
        <v>1</v>
      </c>
      <c r="B6" s="36" t="str">
        <f>IF('Sheet2-计算明细'!B67="","",'Sheet2-计算明细'!B67)</f>
        <v>锐耐复利倍增2号C类</v>
      </c>
      <c r="C6" s="36" t="str">
        <f>IF('Sheet2-计算明细'!C67="","",'Sheet2-计算明细'!C67)</f>
        <v>XV513C</v>
      </c>
      <c r="D6" s="36" t="str">
        <f>IF('Sheet2-计算明细'!D67="","",'Sheet2-计算明细'!D67)</f>
        <v>上海锐耐</v>
      </c>
      <c r="E6" s="36" t="str">
        <f>IF('Sheet2-计算明细'!G67="","",'Sheet2-计算明细'!G67)</f>
        <v>入池</v>
      </c>
      <c r="F6" s="37">
        <f>IF(ISNUMBER('Sheet2-计算明细'!I67),'Sheet2-计算明细'!I67,"")</f>
        <v>90</v>
      </c>
      <c r="G6" s="37" t="str">
        <f>IF(ISNUMBER('Sheet2-计算明细'!K67),'Sheet2-计算明细'!K67,"")</f>
        <v/>
      </c>
      <c r="H6" s="37">
        <f>IF(ISNUMBER('Sheet2-计算明细'!L67),'Sheet2-计算明细'!L67,"")</f>
        <v>100</v>
      </c>
      <c r="I6" s="37" t="str">
        <f>IF(ISNUMBER('Sheet2-计算明细'!S67),'Sheet2-计算明细'!S67,"")</f>
        <v/>
      </c>
      <c r="J6" s="37" t="str">
        <f>IF(ISNUMBER('Sheet2-计算明细'!Y67),'Sheet2-计算明细'!Y67,"")</f>
        <v/>
      </c>
      <c r="K6" s="37" t="str">
        <f>IF(ISNUMBER('Sheet2-计算明细'!AC67),'Sheet2-计算明细'!AC67,"")</f>
        <v/>
      </c>
      <c r="L6" s="37" t="str">
        <f>IF(ISNUMBER('Sheet2-计算明细'!AI67),'Sheet2-计算明细'!AI67,"")</f>
        <v/>
      </c>
      <c r="M6" s="37" t="str">
        <f>IF(ISNUMBER('Sheet2-计算明细'!AK67),'Sheet2-计算明细'!AK67,"")</f>
        <v/>
      </c>
      <c r="N6" s="37">
        <f>IF(ISNUMBER('Sheet2-计算明细'!AL67),'Sheet2-计算明细'!AL67,"")</f>
        <v>94.29</v>
      </c>
      <c r="O6" s="37" t="str">
        <f>IF(ISNUMBER('Sheet2-计算明细'!AM67),'Sheet2-计算明细'!AM67,"")</f>
        <v/>
      </c>
      <c r="P6" s="37" t="str">
        <f>IF(ISNUMBER('Sheet2-计算明细'!AN67),'Sheet2-计算明细'!AN67,"")</f>
        <v/>
      </c>
      <c r="Q6" s="37" t="str">
        <f>IF(ISNUMBER('Sheet2-计算明细'!AO67),'Sheet2-计算明细'!AO67,"")</f>
        <v/>
      </c>
      <c r="R6" s="37" t="str">
        <f>IF(ISNUMBER('Sheet2-计算明细'!AP67),'Sheet2-计算明细'!AP67,"")</f>
        <v/>
      </c>
      <c r="S6" s="38">
        <f>IF(ISNUMBER('Sheet2-计算明细'!AQ67),'Sheet2-计算明细'!AQ67,"")</f>
        <v>0.105</v>
      </c>
      <c r="T6" s="37">
        <f>IF(ISNUMBER('Sheet2-计算明细'!AR67),'Sheet2-计算明细'!AR67,"")</f>
        <v>9.9</v>
      </c>
      <c r="U6" s="37">
        <f>IF(ISNUMBER('Sheet2-计算明细'!AS67),'Sheet2-计算明细'!AS67,"")</f>
        <v>94.29</v>
      </c>
      <c r="V6" s="37" t="str">
        <f>IF(ISNUMBER('Sheet2-计算明细'!AV67),'Sheet2-计算明细'!AV67,"")</f>
        <v/>
      </c>
      <c r="W6" s="39" t="str">
        <f>IF('Sheet2-计算明细'!AU67="","",'Sheet2-计算明细'!AU67)</f>
        <v>产品规模标识；近一年收益；近一年胜率；近三年收益；近三年胜率；近三年回撤；近一年卡玛；</v>
      </c>
      <c r="X6" s="40">
        <f>51</f>
        <v>51</v>
      </c>
      <c r="Y6" s="36" t="str">
        <f>IF('Sheet2-计算明细'!AX67="","",'Sheet2-计算明细'!AX67)</f>
        <v>套利策略</v>
      </c>
      <c r="Z6" s="36" t="str">
        <f>IF('Sheet2-计算明细'!AY67="","",'Sheet2-计算明细'!AY67)</f>
        <v>期货套利</v>
      </c>
      <c r="AA6" s="36" t="str">
        <f>IF('Sheet2-计算明细'!AW67="","",'Sheet2-计算明细'!AW67)</f>
        <v>暂定分／数据不完整</v>
      </c>
      <c r="AB6" s="40">
        <f>IF(ISNUMBER('Sheet2-计算明细'!A67),'Sheet2-计算明细'!A67,"")</f>
        <v>51</v>
      </c>
      <c r="AC6" t="str">
        <f>协会公示!E52</f>
        <v>20-50亿元</v>
      </c>
      <c r="AD6" t="str">
        <f>协会公示!F52</f>
        <v>大规模</v>
      </c>
      <c r="AE6" t="str">
        <f>协会公示!G52</f>
        <v>本次公示未见相关提示</v>
      </c>
      <c r="AF6" t="str">
        <f>协会公示!R52</f>
        <v>https://gs.amac.org.cn/amac-infodisc/res/pof/manager/2011201413105709.html</v>
      </c>
    </row>
    <row r="7" ht="44" customHeight="1" spans="1:32">
      <c r="A7" s="36">
        <f>IF(ISNUMBER('Sheet2-计算明细'!AT37),'Sheet2-计算明细'!AT37,"")</f>
        <v>2</v>
      </c>
      <c r="B7" s="36" t="str">
        <f>IF('Sheet2-计算明细'!B37="","",'Sheet2-计算明细'!B37)</f>
        <v>惠隆金选套利1号</v>
      </c>
      <c r="C7" s="36" t="str">
        <f>IF('Sheet2-计算明细'!C37="","",'Sheet2-计算明细'!C37)</f>
        <v>SQG026</v>
      </c>
      <c r="D7" s="36" t="str">
        <f>IF('Sheet2-计算明细'!D37="","",'Sheet2-计算明细'!D37)</f>
        <v>北京惠隆资管</v>
      </c>
      <c r="E7" s="36" t="str">
        <f>IF('Sheet2-计算明细'!G37="","",'Sheet2-计算明细'!G37)</f>
        <v>入池</v>
      </c>
      <c r="F7" s="37">
        <f>IF(ISNUMBER('Sheet2-计算明细'!I37),'Sheet2-计算明细'!I37,"")</f>
        <v>80</v>
      </c>
      <c r="G7" s="37">
        <f>IF(ISNUMBER('Sheet2-计算明细'!K37),'Sheet2-计算明细'!K37,"")</f>
        <v>100</v>
      </c>
      <c r="H7" s="37">
        <f>IF(ISNUMBER('Sheet2-计算明细'!L37),'Sheet2-计算明细'!L37,"")</f>
        <v>100</v>
      </c>
      <c r="I7" s="37">
        <f>IF(ISNUMBER('Sheet2-计算明细'!S37),'Sheet2-计算明细'!S37,"")</f>
        <v>84.81</v>
      </c>
      <c r="J7" s="37">
        <f>IF(ISNUMBER('Sheet2-计算明细'!Y37),'Sheet2-计算明细'!Y37,"")</f>
        <v>100</v>
      </c>
      <c r="K7" s="37">
        <f>IF(ISNUMBER('Sheet2-计算明细'!AC37),'Sheet2-计算明细'!AC37,"")</f>
        <v>98.65</v>
      </c>
      <c r="L7" s="37">
        <f>IF(ISNUMBER('Sheet2-计算明细'!AI37),'Sheet2-计算明细'!AI37,"")</f>
        <v>94.37</v>
      </c>
      <c r="M7" s="37">
        <f>IF(ISNUMBER('Sheet2-计算明细'!AK37),'Sheet2-计算明细'!AK37,"")</f>
        <v>80</v>
      </c>
      <c r="N7" s="37">
        <f>IF(ISNUMBER('Sheet2-计算明细'!AL37),'Sheet2-计算明细'!AL37,"")</f>
        <v>92</v>
      </c>
      <c r="O7" s="37">
        <f>IF(ISNUMBER('Sheet2-计算明细'!AM37),'Sheet2-计算明细'!AM37,"")</f>
        <v>89.36</v>
      </c>
      <c r="P7" s="37">
        <f>IF(ISNUMBER('Sheet2-计算明细'!AN37),'Sheet2-计算明细'!AN37,"")</f>
        <v>98.65</v>
      </c>
      <c r="Q7" s="37">
        <f>IF(ISNUMBER('Sheet2-计算明细'!AO37),'Sheet2-计算明细'!AO37,"")</f>
        <v>94.37</v>
      </c>
      <c r="R7" s="37">
        <f>IF(ISNUMBER('Sheet2-计算明细'!AP37),'Sheet2-计算明细'!AP37,"")</f>
        <v>80</v>
      </c>
      <c r="S7" s="38">
        <f>IF(ISNUMBER('Sheet2-计算明细'!AQ37),'Sheet2-计算明细'!AQ37,"")</f>
        <v>0.88</v>
      </c>
      <c r="T7" s="37">
        <f>IF(ISNUMBER('Sheet2-计算明细'!AR37),'Sheet2-计算明细'!AR37,"")</f>
        <v>81.32194</v>
      </c>
      <c r="U7" s="37">
        <f>IF(ISNUMBER('Sheet2-计算明细'!AS37),'Sheet2-计算明细'!AS37,"")</f>
        <v>92.41</v>
      </c>
      <c r="V7" s="37" t="str">
        <f>IF(ISNUMBER('Sheet2-计算明细'!AV37),'Sheet2-计算明细'!AV37,"")</f>
        <v/>
      </c>
      <c r="W7" s="39" t="str">
        <f>IF('Sheet2-计算明细'!AU37="","",'Sheet2-计算明细'!AU37)</f>
        <v>DD_long不可识别；</v>
      </c>
      <c r="X7" s="40">
        <f>21</f>
        <v>21</v>
      </c>
      <c r="Y7" s="36" t="str">
        <f>IF('Sheet2-计算明细'!AX37="","",'Sheet2-计算明细'!AX37)</f>
        <v>套利策略</v>
      </c>
      <c r="Z7" s="36" t="str">
        <f>IF('Sheet2-计算明细'!AY37="","",'Sheet2-计算明细'!AY37)</f>
        <v>期货套利</v>
      </c>
      <c r="AA7" s="36" t="str">
        <f>IF('Sheet2-计算明细'!AW37="","",'Sheet2-计算明细'!AW37)</f>
        <v>暂定分／数据不完整</v>
      </c>
      <c r="AB7" s="40">
        <f>IF(ISNUMBER('Sheet2-计算明细'!A37),'Sheet2-计算明细'!A37,"")</f>
        <v>21</v>
      </c>
      <c r="AC7" t="str">
        <f>协会公示!E22</f>
        <v>10-20亿元</v>
      </c>
      <c r="AD7" t="str">
        <f>协会公示!F22</f>
        <v>大规模</v>
      </c>
      <c r="AE7" t="str">
        <f>协会公示!G22</f>
        <v>协会提示／已整改异常</v>
      </c>
      <c r="AF7" t="str">
        <f>协会公示!R22</f>
        <v>https://gs.amac.org.cn/amac-infodisc/res/pof/manager/1705031716108118.html</v>
      </c>
    </row>
    <row r="8" ht="44" customHeight="1" spans="1:32">
      <c r="A8" s="36">
        <f>IF(ISNUMBER('Sheet2-计算明细'!AT52),'Sheet2-计算明细'!AT52,"")</f>
        <v>3</v>
      </c>
      <c r="B8" s="36" t="str">
        <f>IF('Sheet2-计算明细'!B52="","",'Sheet2-计算明细'!B52)</f>
        <v>龙壹盛善时1号</v>
      </c>
      <c r="C8" s="36" t="str">
        <f>IF('Sheet2-计算明细'!C52="","",'Sheet2-计算明细'!C52)</f>
        <v>SB1261</v>
      </c>
      <c r="D8" s="36" t="str">
        <f>IF('Sheet2-计算明细'!D52="","",'Sheet2-计算明细'!D52)</f>
        <v>杭州龙壹盛</v>
      </c>
      <c r="E8" s="36" t="str">
        <f>IF('Sheet2-计算明细'!G52="","",'Sheet2-计算明细'!G52)</f>
        <v>入池</v>
      </c>
      <c r="F8" s="37">
        <f>IF(ISNUMBER('Sheet2-计算明细'!I52),'Sheet2-计算明细'!I52,"")</f>
        <v>80</v>
      </c>
      <c r="G8" s="37">
        <f>IF(ISNUMBER('Sheet2-计算明细'!K52),'Sheet2-计算明细'!K52,"")</f>
        <v>100</v>
      </c>
      <c r="H8" s="37">
        <f>IF(ISNUMBER('Sheet2-计算明细'!L52),'Sheet2-计算明细'!L52,"")</f>
        <v>100</v>
      </c>
      <c r="I8" s="37" t="str">
        <f>IF(ISNUMBER('Sheet2-计算明细'!S52),'Sheet2-计算明细'!S52,"")</f>
        <v/>
      </c>
      <c r="J8" s="37" t="str">
        <f>IF(ISNUMBER('Sheet2-计算明细'!Y52),'Sheet2-计算明细'!Y52,"")</f>
        <v/>
      </c>
      <c r="K8" s="37" t="str">
        <f>IF(ISNUMBER('Sheet2-计算明细'!AC52),'Sheet2-计算明细'!AC52,"")</f>
        <v/>
      </c>
      <c r="L8" s="37" t="str">
        <f>IF(ISNUMBER('Sheet2-计算明细'!AI52),'Sheet2-计算明细'!AI52,"")</f>
        <v/>
      </c>
      <c r="M8" s="37" t="str">
        <f>IF(ISNUMBER('Sheet2-计算明细'!AK52),'Sheet2-计算明细'!AK52,"")</f>
        <v/>
      </c>
      <c r="N8" s="37">
        <f>IF(ISNUMBER('Sheet2-计算明细'!AL52),'Sheet2-计算明细'!AL52,"")</f>
        <v>92</v>
      </c>
      <c r="O8" s="37" t="str">
        <f>IF(ISNUMBER('Sheet2-计算明细'!AM52),'Sheet2-计算明细'!AM52,"")</f>
        <v/>
      </c>
      <c r="P8" s="37" t="str">
        <f>IF(ISNUMBER('Sheet2-计算明细'!AN52),'Sheet2-计算明细'!AN52,"")</f>
        <v/>
      </c>
      <c r="Q8" s="37" t="str">
        <f>IF(ISNUMBER('Sheet2-计算明细'!AO52),'Sheet2-计算明细'!AO52,"")</f>
        <v/>
      </c>
      <c r="R8" s="37" t="str">
        <f>IF(ISNUMBER('Sheet2-计算明细'!AP52),'Sheet2-计算明细'!AP52,"")</f>
        <v/>
      </c>
      <c r="S8" s="38">
        <f>IF(ISNUMBER('Sheet2-计算明细'!AQ52),'Sheet2-计算明细'!AQ52,"")</f>
        <v>0.15</v>
      </c>
      <c r="T8" s="37">
        <f>IF(ISNUMBER('Sheet2-计算明细'!AR52),'Sheet2-计算明细'!AR52,"")</f>
        <v>13.8</v>
      </c>
      <c r="U8" s="37">
        <f>IF(ISNUMBER('Sheet2-计算明细'!AS52),'Sheet2-计算明细'!AS52,"")</f>
        <v>92</v>
      </c>
      <c r="V8" s="37" t="str">
        <f>IF(ISNUMBER('Sheet2-计算明细'!AV52),'Sheet2-计算明细'!AV52,"")</f>
        <v/>
      </c>
      <c r="W8" s="39" t="str">
        <f>IF('Sheet2-计算明细'!AU52="","",'Sheet2-计算明细'!AU52)</f>
        <v>近一年收益；近一年胜率；近三年收益；近三年胜率；近三年回撤；近一年卡玛；</v>
      </c>
      <c r="X8" s="40">
        <f>36</f>
        <v>36</v>
      </c>
      <c r="Y8" s="36" t="str">
        <f>IF('Sheet2-计算明细'!AX52="","",'Sheet2-计算明细'!AX52)</f>
        <v>套利策略</v>
      </c>
      <c r="Z8" s="36" t="str">
        <f>IF('Sheet2-计算明细'!AY52="","",'Sheet2-计算明细'!AY52)</f>
        <v>期货套利</v>
      </c>
      <c r="AA8" s="36" t="str">
        <f>IF('Sheet2-计算明细'!AW52="","",'Sheet2-计算明细'!AW52)</f>
        <v>暂定分／数据不完整</v>
      </c>
      <c r="AB8" s="40">
        <f>IF(ISNUMBER('Sheet2-计算明细'!A52),'Sheet2-计算明细'!A52,"")</f>
        <v>36</v>
      </c>
      <c r="AC8" t="str">
        <f>协会公示!E37</f>
        <v>10-20亿元</v>
      </c>
      <c r="AD8" t="str">
        <f>协会公示!F37</f>
        <v>大规模</v>
      </c>
      <c r="AE8" t="str">
        <f>协会公示!G37</f>
        <v>本次公示未见相关提示</v>
      </c>
      <c r="AF8" t="str">
        <f>协会公示!R37</f>
        <v>https://gs.amac.org.cn/amac-infodisc/res/pof/manager/2303061547109927.html</v>
      </c>
    </row>
    <row r="9" ht="44" customHeight="1" spans="1:32">
      <c r="A9" s="36">
        <f>IF(ISNUMBER('Sheet2-计算明细'!AT32),'Sheet2-计算明细'!AT32,"")</f>
        <v>4</v>
      </c>
      <c r="B9" s="36" t="str">
        <f>IF('Sheet2-计算明细'!B32="","",'Sheet2-计算明细'!B32)</f>
        <v>放牛人5号</v>
      </c>
      <c r="C9" s="36" t="str">
        <f>IF('Sheet2-计算明细'!C32="","",'Sheet2-计算明细'!C32)</f>
        <v>SVH487</v>
      </c>
      <c r="D9" s="36" t="str">
        <f>IF('Sheet2-计算明细'!D32="","",'Sheet2-计算明细'!D32)</f>
        <v>上海放牛人</v>
      </c>
      <c r="E9" s="36" t="str">
        <f>IF('Sheet2-计算明细'!G32="","",'Sheet2-计算明细'!G32)</f>
        <v>入池</v>
      </c>
      <c r="F9" s="37">
        <f>IF(ISNUMBER('Sheet2-计算明细'!I32),'Sheet2-计算明细'!I32,"")</f>
        <v>60</v>
      </c>
      <c r="G9" s="37">
        <f>IF(ISNUMBER('Sheet2-计算明细'!K32),'Sheet2-计算明细'!K32,"")</f>
        <v>100</v>
      </c>
      <c r="H9" s="37">
        <f>IF(ISNUMBER('Sheet2-计算明细'!L32),'Sheet2-计算明细'!L32,"")</f>
        <v>100</v>
      </c>
      <c r="I9" s="37">
        <f>IF(ISNUMBER('Sheet2-计算明细'!S32),'Sheet2-计算明细'!S32,"")</f>
        <v>53.37</v>
      </c>
      <c r="J9" s="37">
        <f>IF(ISNUMBER('Sheet2-计算明细'!Y32),'Sheet2-计算明细'!Y32,"")</f>
        <v>96.66</v>
      </c>
      <c r="K9" s="37">
        <f>IF(ISNUMBER('Sheet2-计算明细'!AC32),'Sheet2-计算明细'!AC32,"")</f>
        <v>97.3</v>
      </c>
      <c r="L9" s="37">
        <f>IF(ISNUMBER('Sheet2-计算明细'!AI32),'Sheet2-计算明细'!AI32,"")</f>
        <v>98.75</v>
      </c>
      <c r="M9" s="37">
        <f>IF(ISNUMBER('Sheet2-计算明细'!AK32),'Sheet2-计算明细'!AK32,"")</f>
        <v>100</v>
      </c>
      <c r="N9" s="37">
        <f>IF(ISNUMBER('Sheet2-计算明细'!AL32),'Sheet2-计算明细'!AL32,"")</f>
        <v>84</v>
      </c>
      <c r="O9" s="37">
        <f>IF(ISNUMBER('Sheet2-计算明细'!AM32),'Sheet2-计算明细'!AM32,"")</f>
        <v>66.36</v>
      </c>
      <c r="P9" s="37">
        <f>IF(ISNUMBER('Sheet2-计算明细'!AN32),'Sheet2-计算明细'!AN32,"")</f>
        <v>97.3</v>
      </c>
      <c r="Q9" s="37">
        <f>IF(ISNUMBER('Sheet2-计算明细'!AO32),'Sheet2-计算明细'!AO32,"")</f>
        <v>98.75</v>
      </c>
      <c r="R9" s="37">
        <f>IF(ISNUMBER('Sheet2-计算明细'!AP32),'Sheet2-计算明细'!AP32,"")</f>
        <v>100</v>
      </c>
      <c r="S9" s="38">
        <f>IF(ISNUMBER('Sheet2-计算明细'!AQ32),'Sheet2-计算明细'!AQ32,"")</f>
        <v>1</v>
      </c>
      <c r="T9" s="37">
        <f>IF(ISNUMBER('Sheet2-计算明细'!AR32),'Sheet2-计算明细'!AR32,"")</f>
        <v>89.82251</v>
      </c>
      <c r="U9" s="37">
        <f>IF(ISNUMBER('Sheet2-计算明细'!AS32),'Sheet2-计算明细'!AS32,"")</f>
        <v>89.82</v>
      </c>
      <c r="V9" s="37">
        <f>IF(ISNUMBER('Sheet2-计算明细'!AV32),'Sheet2-计算明细'!AV32,"")</f>
        <v>89.82251</v>
      </c>
      <c r="W9" s="39" t="str">
        <f>IF('Sheet2-计算明细'!AU32="","",'Sheet2-计算明细'!AU32)</f>
        <v/>
      </c>
      <c r="X9" s="40">
        <f>16</f>
        <v>16</v>
      </c>
      <c r="Y9" s="36" t="str">
        <f>IF('Sheet2-计算明细'!AX32="","",'Sheet2-计算明细'!AX32)</f>
        <v>套利策略</v>
      </c>
      <c r="Z9" s="36" t="str">
        <f>IF('Sheet2-计算明细'!AY32="","",'Sheet2-计算明细'!AY32)</f>
        <v>期货套利</v>
      </c>
      <c r="AA9" s="36" t="str">
        <f>IF('Sheet2-计算明细'!AW32="","",'Sheet2-计算明细'!AW32)</f>
        <v>完整赋分</v>
      </c>
      <c r="AB9" s="40">
        <f>IF(ISNUMBER('Sheet2-计算明细'!A32),'Sheet2-计算明细'!A32,"")</f>
        <v>16</v>
      </c>
      <c r="AC9" t="str">
        <f>协会公示!E17</f>
        <v>0-5亿元</v>
      </c>
      <c r="AD9" t="str">
        <f>协会公示!F17</f>
        <v>小规模</v>
      </c>
      <c r="AE9" t="str">
        <f>协会公示!G17</f>
        <v>本次公示未见相关提示</v>
      </c>
      <c r="AF9" t="str">
        <f>协会公示!R17</f>
        <v>https://gs.amac.org.cn/amac-infodisc/res/pof/manager/2104292125100136.html</v>
      </c>
    </row>
    <row r="10" ht="44" customHeight="1" spans="1:32">
      <c r="A10" s="36">
        <f>IF(ISNUMBER('Sheet2-计算明细'!AT40),'Sheet2-计算明细'!AT40,"")</f>
        <v>5</v>
      </c>
      <c r="B10" s="36" t="str">
        <f>IF('Sheet2-计算明细'!B40="","",'Sheet2-计算明细'!B40)</f>
        <v>阶石稳健1号</v>
      </c>
      <c r="C10" s="36" t="str">
        <f>IF('Sheet2-计算明细'!C40="","",'Sheet2-计算明细'!C40)</f>
        <v>SATE65</v>
      </c>
      <c r="D10" s="36" t="str">
        <f>IF('Sheet2-计算明细'!D40="","",'Sheet2-计算明细'!D40)</f>
        <v>深圳阶石</v>
      </c>
      <c r="E10" s="36" t="str">
        <f>IF('Sheet2-计算明细'!G40="","",'Sheet2-计算明细'!G40)</f>
        <v>入池</v>
      </c>
      <c r="F10" s="37">
        <f>IF(ISNUMBER('Sheet2-计算明细'!I40),'Sheet2-计算明细'!I40,"")</f>
        <v>80</v>
      </c>
      <c r="G10" s="37">
        <f>IF(ISNUMBER('Sheet2-计算明细'!K40),'Sheet2-计算明细'!K40,"")</f>
        <v>100</v>
      </c>
      <c r="H10" s="37">
        <f>IF(ISNUMBER('Sheet2-计算明细'!L40),'Sheet2-计算明细'!L40,"")</f>
        <v>70</v>
      </c>
      <c r="I10" s="37">
        <f>IF(ISNUMBER('Sheet2-计算明细'!S40),'Sheet2-计算明细'!S40,"")</f>
        <v>84.17</v>
      </c>
      <c r="J10" s="37" t="str">
        <f>IF(ISNUMBER('Sheet2-计算明细'!Y40),'Sheet2-计算明细'!Y40,"")</f>
        <v/>
      </c>
      <c r="K10" s="37">
        <f>IF(ISNUMBER('Sheet2-计算明细'!AC40),'Sheet2-计算明细'!AC40,"")</f>
        <v>82.43</v>
      </c>
      <c r="L10" s="37">
        <f>IF(ISNUMBER('Sheet2-计算明细'!AI40),'Sheet2-计算明细'!AI40,"")</f>
        <v>95.77</v>
      </c>
      <c r="M10" s="37">
        <f>IF(ISNUMBER('Sheet2-计算明细'!AK40),'Sheet2-计算明细'!AK40,"")</f>
        <v>100</v>
      </c>
      <c r="N10" s="37">
        <f>IF(ISNUMBER('Sheet2-计算明细'!AL40),'Sheet2-计算明细'!AL40,"")</f>
        <v>83</v>
      </c>
      <c r="O10" s="37">
        <f>IF(ISNUMBER('Sheet2-计算明细'!AM40),'Sheet2-计算明细'!AM40,"")</f>
        <v>84.17</v>
      </c>
      <c r="P10" s="37">
        <f>IF(ISNUMBER('Sheet2-计算明细'!AN40),'Sheet2-计算明细'!AN40,"")</f>
        <v>82.43</v>
      </c>
      <c r="Q10" s="37">
        <f>IF(ISNUMBER('Sheet2-计算明细'!AO40),'Sheet2-计算明细'!AO40,"")</f>
        <v>95.77</v>
      </c>
      <c r="R10" s="37">
        <f>IF(ISNUMBER('Sheet2-计算明细'!AP40),'Sheet2-计算明细'!AP40,"")</f>
        <v>100</v>
      </c>
      <c r="S10" s="38">
        <f>IF(ISNUMBER('Sheet2-计算明细'!AQ40),'Sheet2-计算明细'!AQ40,"")</f>
        <v>0.82</v>
      </c>
      <c r="T10" s="37">
        <f>IF(ISNUMBER('Sheet2-计算明细'!AR40),'Sheet2-计算明细'!AR40,"")</f>
        <v>72.07934</v>
      </c>
      <c r="U10" s="37">
        <f>IF(ISNUMBER('Sheet2-计算明细'!AS40),'Sheet2-计算明细'!AS40,"")</f>
        <v>87.9</v>
      </c>
      <c r="V10" s="37" t="str">
        <f>IF(ISNUMBER('Sheet2-计算明细'!AV40),'Sheet2-计算明细'!AV40,"")</f>
        <v/>
      </c>
      <c r="W10" s="39" t="str">
        <f>IF('Sheet2-计算明细'!AU40="","",'Sheet2-计算明细'!AU40)</f>
        <v>近一年胜率；近三年收益；近三年胜率；近三年回撤；DD_long不可识别；</v>
      </c>
      <c r="X10" s="40">
        <f>24</f>
        <v>24</v>
      </c>
      <c r="Y10" s="36" t="str">
        <f>IF('Sheet2-计算明细'!AX40="","",'Sheet2-计算明细'!AX40)</f>
        <v>套利策略</v>
      </c>
      <c r="Z10" s="36" t="str">
        <f>IF('Sheet2-计算明细'!AY40="","",'Sheet2-计算明细'!AY40)</f>
        <v>基金套利</v>
      </c>
      <c r="AA10" s="36" t="str">
        <f>IF('Sheet2-计算明细'!AW40="","",'Sheet2-计算明细'!AW40)</f>
        <v>暂定分／数据不完整</v>
      </c>
      <c r="AB10" s="40">
        <f>IF(ISNUMBER('Sheet2-计算明细'!A40),'Sheet2-计算明细'!A40,"")</f>
        <v>24</v>
      </c>
      <c r="AC10" t="str">
        <f>协会公示!E25</f>
        <v>10-20亿元</v>
      </c>
      <c r="AD10" t="str">
        <f>协会公示!F25</f>
        <v>大规模</v>
      </c>
      <c r="AE10" t="str">
        <f>协会公示!G25</f>
        <v>协会提示／已整改异常</v>
      </c>
      <c r="AF10" t="str">
        <f>协会公示!R25</f>
        <v>https://gs.amac.org.cn/amac-infodisc/res/pof/manager/1903261812109866.html</v>
      </c>
    </row>
    <row r="11" ht="44" customHeight="1" spans="1:32">
      <c r="A11" s="36">
        <f>IF(ISNUMBER('Sheet2-计算明细'!AT50),'Sheet2-计算明细'!AT50,"")</f>
        <v>6</v>
      </c>
      <c r="B11" s="36" t="str">
        <f>IF('Sheet2-计算明细'!B50="","",'Sheet2-计算明细'!B50)</f>
        <v>量客投资金选套利1号</v>
      </c>
      <c r="C11" s="36" t="str">
        <f>IF('Sheet2-计算明细'!C50="","",'Sheet2-计算明细'!C50)</f>
        <v>SNH457</v>
      </c>
      <c r="D11" s="36" t="str">
        <f>IF('Sheet2-计算明细'!D50="","",'Sheet2-计算明细'!D50)</f>
        <v>上海量客</v>
      </c>
      <c r="E11" s="36" t="str">
        <f>IF('Sheet2-计算明细'!G50="","",'Sheet2-计算明细'!G50)</f>
        <v>入池</v>
      </c>
      <c r="F11" s="37">
        <f>IF(ISNUMBER('Sheet2-计算明细'!I50),'Sheet2-计算明细'!I50,"")</f>
        <v>90</v>
      </c>
      <c r="G11" s="37">
        <f>IF(ISNUMBER('Sheet2-计算明细'!K50),'Sheet2-计算明细'!K50,"")</f>
        <v>100</v>
      </c>
      <c r="H11" s="37">
        <f>IF(ISNUMBER('Sheet2-计算明细'!L50),'Sheet2-计算明细'!L50,"")</f>
        <v>100</v>
      </c>
      <c r="I11" s="37">
        <f>IF(ISNUMBER('Sheet2-计算明细'!S50),'Sheet2-计算明细'!S50,"")</f>
        <v>43.94</v>
      </c>
      <c r="J11" s="37">
        <f>IF(ISNUMBER('Sheet2-计算明细'!Y50),'Sheet2-计算明细'!Y50,"")</f>
        <v>95</v>
      </c>
      <c r="K11" s="37">
        <f>IF(ISNUMBER('Sheet2-计算明细'!AC50),'Sheet2-计算明细'!AC50,"")</f>
        <v>95.95</v>
      </c>
      <c r="L11" s="37">
        <f>IF(ISNUMBER('Sheet2-计算明细'!AI50),'Sheet2-计算明细'!AI50,"")</f>
        <v>94.93</v>
      </c>
      <c r="M11" s="37">
        <f>IF(ISNUMBER('Sheet2-计算明细'!AK50),'Sheet2-计算明细'!AK50,"")</f>
        <v>80</v>
      </c>
      <c r="N11" s="37">
        <f>IF(ISNUMBER('Sheet2-计算明细'!AL50),'Sheet2-计算明细'!AL50,"")</f>
        <v>96</v>
      </c>
      <c r="O11" s="37">
        <f>IF(ISNUMBER('Sheet2-计算明细'!AM50),'Sheet2-计算明细'!AM50,"")</f>
        <v>59.26</v>
      </c>
      <c r="P11" s="37">
        <f>IF(ISNUMBER('Sheet2-计算明细'!AN50),'Sheet2-计算明细'!AN50,"")</f>
        <v>95.95</v>
      </c>
      <c r="Q11" s="37">
        <f>IF(ISNUMBER('Sheet2-计算明细'!AO50),'Sheet2-计算明细'!AO50,"")</f>
        <v>94.93</v>
      </c>
      <c r="R11" s="37">
        <f>IF(ISNUMBER('Sheet2-计算明细'!AP50),'Sheet2-计算明细'!AP50,"")</f>
        <v>80</v>
      </c>
      <c r="S11" s="38">
        <f>IF(ISNUMBER('Sheet2-计算明细'!AQ50),'Sheet2-计算明细'!AQ50,"")</f>
        <v>1</v>
      </c>
      <c r="T11" s="37">
        <f>IF(ISNUMBER('Sheet2-计算明细'!AR50),'Sheet2-计算明细'!AR50,"")</f>
        <v>86.7181</v>
      </c>
      <c r="U11" s="37">
        <f>IF(ISNUMBER('Sheet2-计算明细'!AS50),'Sheet2-计算明细'!AS50,"")</f>
        <v>86.72</v>
      </c>
      <c r="V11" s="37">
        <f>IF(ISNUMBER('Sheet2-计算明细'!AV50),'Sheet2-计算明细'!AV50,"")</f>
        <v>86.7181</v>
      </c>
      <c r="W11" s="39" t="str">
        <f>IF('Sheet2-计算明细'!AU50="","",'Sheet2-计算明细'!AU50)</f>
        <v/>
      </c>
      <c r="X11" s="40">
        <f>34</f>
        <v>34</v>
      </c>
      <c r="Y11" s="36" t="str">
        <f>IF('Sheet2-计算明细'!AX50="","",'Sheet2-计算明细'!AX50)</f>
        <v>套利策略</v>
      </c>
      <c r="Z11" s="36" t="str">
        <f>IF('Sheet2-计算明细'!AY50="","",'Sheet2-计算明细'!AY50)</f>
        <v>期权套利</v>
      </c>
      <c r="AA11" s="36" t="str">
        <f>IF('Sheet2-计算明细'!AW50="","",'Sheet2-计算明细'!AW50)</f>
        <v>完整赋分</v>
      </c>
      <c r="AB11" s="40">
        <f>IF(ISNUMBER('Sheet2-计算明细'!A50),'Sheet2-计算明细'!A50,"")</f>
        <v>34</v>
      </c>
      <c r="AC11" t="str">
        <f>协会公示!E35</f>
        <v>50-100亿元</v>
      </c>
      <c r="AD11" t="str">
        <f>协会公示!F35</f>
        <v>大规模</v>
      </c>
      <c r="AE11" t="str">
        <f>协会公示!G35</f>
        <v>本次公示未见相关提示</v>
      </c>
      <c r="AF11" t="str">
        <f>协会公示!R35</f>
        <v>https://gs.amac.org.cn/amac-infodisc/res/pof/manager/101000000790.html</v>
      </c>
    </row>
    <row r="12" ht="44" customHeight="1" spans="1:32">
      <c r="A12" s="36">
        <f>IF(ISNUMBER('Sheet2-计算明细'!AT65),'Sheet2-计算明细'!AT65,"")</f>
        <v>7</v>
      </c>
      <c r="B12" s="36" t="str">
        <f>IF('Sheet2-计算明细'!B65="","",'Sheet2-计算明细'!B65)</f>
        <v>祁腾蜂赢1号</v>
      </c>
      <c r="C12" s="36" t="str">
        <f>IF('Sheet2-计算明细'!C65="","",'Sheet2-计算明细'!C65)</f>
        <v>SEV580</v>
      </c>
      <c r="D12" s="36" t="str">
        <f>IF('Sheet2-计算明细'!D65="","",'Sheet2-计算明细'!D65)</f>
        <v>宁波祁腾投资</v>
      </c>
      <c r="E12" s="36" t="str">
        <f>IF('Sheet2-计算明细'!G65="","",'Sheet2-计算明细'!G65)</f>
        <v>入池</v>
      </c>
      <c r="F12" s="37">
        <f>IF(ISNUMBER('Sheet2-计算明细'!I65),'Sheet2-计算明细'!I65,"")</f>
        <v>60</v>
      </c>
      <c r="G12" s="37">
        <f>IF(ISNUMBER('Sheet2-计算明细'!K65),'Sheet2-计算明细'!K65,"")</f>
        <v>100</v>
      </c>
      <c r="H12" s="37">
        <f>IF(ISNUMBER('Sheet2-计算明细'!L65),'Sheet2-计算明细'!L65,"")</f>
        <v>100</v>
      </c>
      <c r="I12" s="37">
        <f>IF(ISNUMBER('Sheet2-计算明细'!S65),'Sheet2-计算明细'!S65,"")</f>
        <v>77.81</v>
      </c>
      <c r="J12" s="37">
        <f>IF(ISNUMBER('Sheet2-计算明细'!Y65),'Sheet2-计算明细'!Y65,"")</f>
        <v>77.82</v>
      </c>
      <c r="K12" s="37">
        <f>IF(ISNUMBER('Sheet2-计算明细'!AC65),'Sheet2-计算明细'!AC65,"")</f>
        <v>86.49</v>
      </c>
      <c r="L12" s="37">
        <f>IF(ISNUMBER('Sheet2-计算明细'!AI65),'Sheet2-计算明细'!AI65,"")</f>
        <v>89.05</v>
      </c>
      <c r="M12" s="37">
        <f>IF(ISNUMBER('Sheet2-计算明细'!AK65),'Sheet2-计算明细'!AK65,"")</f>
        <v>100</v>
      </c>
      <c r="N12" s="37">
        <f>IF(ISNUMBER('Sheet2-计算明细'!AL65),'Sheet2-计算明细'!AL65,"")</f>
        <v>84</v>
      </c>
      <c r="O12" s="37">
        <f>IF(ISNUMBER('Sheet2-计算明细'!AM65),'Sheet2-计算明细'!AM65,"")</f>
        <v>77.81</v>
      </c>
      <c r="P12" s="37">
        <f>IF(ISNUMBER('Sheet2-计算明细'!AN65),'Sheet2-计算明细'!AN65,"")</f>
        <v>86.49</v>
      </c>
      <c r="Q12" s="37">
        <f>IF(ISNUMBER('Sheet2-计算明细'!AO65),'Sheet2-计算明细'!AO65,"")</f>
        <v>89.05</v>
      </c>
      <c r="R12" s="37">
        <f>IF(ISNUMBER('Sheet2-计算明细'!AP65),'Sheet2-计算明细'!AP65,"")</f>
        <v>100</v>
      </c>
      <c r="S12" s="38">
        <f>IF(ISNUMBER('Sheet2-计算明细'!AQ65),'Sheet2-计算明细'!AQ65,"")</f>
        <v>1</v>
      </c>
      <c r="T12" s="37">
        <f>IF(ISNUMBER('Sheet2-计算明细'!AR65),'Sheet2-计算明细'!AR65,"")</f>
        <v>86.5001707692308</v>
      </c>
      <c r="U12" s="37">
        <f>IF(ISNUMBER('Sheet2-计算明细'!AS65),'Sheet2-计算明细'!AS65,"")</f>
        <v>86.5</v>
      </c>
      <c r="V12" s="37">
        <f>IF(ISNUMBER('Sheet2-计算明细'!AV65),'Sheet2-计算明细'!AV65,"")</f>
        <v>86.5001707692308</v>
      </c>
      <c r="W12" s="39" t="str">
        <f>IF('Sheet2-计算明细'!AU65="","",'Sheet2-计算明细'!AU65)</f>
        <v/>
      </c>
      <c r="X12" s="40">
        <f>49</f>
        <v>49</v>
      </c>
      <c r="Y12" s="36" t="str">
        <f>IF('Sheet2-计算明细'!AX65="","",'Sheet2-计算明细'!AX65)</f>
        <v>套利策略</v>
      </c>
      <c r="Z12" s="36" t="str">
        <f>IF('Sheet2-计算明细'!AY65="","",'Sheet2-计算明细'!AY65)</f>
        <v>期货套利</v>
      </c>
      <c r="AA12" s="36" t="str">
        <f>IF('Sheet2-计算明细'!AW65="","",'Sheet2-计算明细'!AW65)</f>
        <v>完整赋分</v>
      </c>
      <c r="AB12" s="40">
        <f>IF(ISNUMBER('Sheet2-计算明细'!A65),'Sheet2-计算明细'!A65,"")</f>
        <v>49</v>
      </c>
      <c r="AC12" t="str">
        <f>协会公示!E50</f>
        <v>0-5亿元</v>
      </c>
      <c r="AD12" t="str">
        <f>协会公示!F50</f>
        <v>小规模</v>
      </c>
      <c r="AE12" t="str">
        <f>协会公示!G50</f>
        <v>协会提示／已整改异常</v>
      </c>
      <c r="AF12" t="str">
        <f>协会公示!R50</f>
        <v>https://gs.amac.org.cn/amac-infodisc/res/pof/manager/1809041559102185.html</v>
      </c>
    </row>
    <row r="13" ht="44" customHeight="1" spans="1:32">
      <c r="A13" s="36">
        <f>IF(ISNUMBER('Sheet2-计算明细'!AT89),'Sheet2-计算明细'!AT89,"")</f>
        <v>8</v>
      </c>
      <c r="B13" s="36" t="str">
        <f>IF('Sheet2-计算明细'!B89="","",'Sheet2-计算明细'!B89)</f>
        <v>裕锦量化专享1号</v>
      </c>
      <c r="C13" s="36" t="str">
        <f>IF('Sheet2-计算明细'!C89="","",'Sheet2-计算明细'!C89)</f>
        <v>SNE165</v>
      </c>
      <c r="D13" s="36" t="str">
        <f>IF('Sheet2-计算明细'!D89="","",'Sheet2-计算明细'!D89)</f>
        <v>深圳裕锦</v>
      </c>
      <c r="E13" s="36" t="str">
        <f>IF('Sheet2-计算明细'!G89="","",'Sheet2-计算明细'!G89)</f>
        <v>入池</v>
      </c>
      <c r="F13" s="37">
        <f>IF(ISNUMBER('Sheet2-计算明细'!I89),'Sheet2-计算明细'!I89,"")</f>
        <v>80</v>
      </c>
      <c r="G13" s="37">
        <f>IF(ISNUMBER('Sheet2-计算明细'!K89),'Sheet2-计算明细'!K89,"")</f>
        <v>100</v>
      </c>
      <c r="H13" s="37">
        <f>IF(ISNUMBER('Sheet2-计算明细'!L89),'Sheet2-计算明细'!L89,"")</f>
        <v>100</v>
      </c>
      <c r="I13" s="37">
        <f>IF(ISNUMBER('Sheet2-计算明细'!S89),'Sheet2-计算明细'!S89,"")</f>
        <v>89.01</v>
      </c>
      <c r="J13" s="37">
        <f>IF(ISNUMBER('Sheet2-计算明细'!Y89),'Sheet2-计算明细'!Y89,"")</f>
        <v>81.15</v>
      </c>
      <c r="K13" s="37">
        <f>IF(ISNUMBER('Sheet2-计算明细'!AC89),'Sheet2-计算明细'!AC89,"")</f>
        <v>71.62</v>
      </c>
      <c r="L13" s="37">
        <f>IF(ISNUMBER('Sheet2-计算明细'!AI89),'Sheet2-计算明细'!AI89,"")</f>
        <v>90.34</v>
      </c>
      <c r="M13" s="37">
        <f>IF(ISNUMBER('Sheet2-计算明细'!AK89),'Sheet2-计算明细'!AK89,"")</f>
        <v>100</v>
      </c>
      <c r="N13" s="37">
        <f>IF(ISNUMBER('Sheet2-计算明细'!AL89),'Sheet2-计算明细'!AL89,"")</f>
        <v>92</v>
      </c>
      <c r="O13" s="37">
        <f>IF(ISNUMBER('Sheet2-计算明细'!AM89),'Sheet2-计算明细'!AM89,"")</f>
        <v>86.65</v>
      </c>
      <c r="P13" s="37">
        <f>IF(ISNUMBER('Sheet2-计算明细'!AN89),'Sheet2-计算明细'!AN89,"")</f>
        <v>71.62</v>
      </c>
      <c r="Q13" s="37">
        <f>IF(ISNUMBER('Sheet2-计算明细'!AO89),'Sheet2-计算明细'!AO89,"")</f>
        <v>90.34</v>
      </c>
      <c r="R13" s="37">
        <f>IF(ISNUMBER('Sheet2-计算明细'!AP89),'Sheet2-计算明细'!AP89,"")</f>
        <v>100</v>
      </c>
      <c r="S13" s="38">
        <f>IF(ISNUMBER('Sheet2-计算明细'!AQ89),'Sheet2-计算明细'!AQ89,"")</f>
        <v>1</v>
      </c>
      <c r="T13" s="37">
        <f>IF(ISNUMBER('Sheet2-计算明细'!AR89),'Sheet2-计算明细'!AR89,"")</f>
        <v>86.1365</v>
      </c>
      <c r="U13" s="37">
        <f>IF(ISNUMBER('Sheet2-计算明细'!AS89),'Sheet2-计算明细'!AS89,"")</f>
        <v>86.14</v>
      </c>
      <c r="V13" s="37">
        <f>IF(ISNUMBER('Sheet2-计算明细'!AV89),'Sheet2-计算明细'!AV89,"")</f>
        <v>86.1365</v>
      </c>
      <c r="W13" s="39" t="str">
        <f>IF('Sheet2-计算明细'!AU89="","",'Sheet2-计算明细'!AU89)</f>
        <v/>
      </c>
      <c r="X13" s="40">
        <f>73</f>
        <v>73</v>
      </c>
      <c r="Y13" s="36" t="str">
        <f>IF('Sheet2-计算明细'!AX89="","",'Sheet2-计算明细'!AX89)</f>
        <v>套利策略</v>
      </c>
      <c r="Z13" s="36" t="str">
        <f>IF('Sheet2-计算明细'!AY89="","",'Sheet2-计算明细'!AY89)</f>
        <v>期货套利</v>
      </c>
      <c r="AA13" s="36" t="str">
        <f>IF('Sheet2-计算明细'!AW89="","",'Sheet2-计算明细'!AW89)</f>
        <v>完整赋分</v>
      </c>
      <c r="AB13" s="40">
        <f>IF(ISNUMBER('Sheet2-计算明细'!A89),'Sheet2-计算明细'!A89,"")</f>
        <v>73</v>
      </c>
      <c r="AC13" t="str">
        <f>协会公示!E74</f>
        <v>10-20亿元</v>
      </c>
      <c r="AD13" t="str">
        <f>协会公示!F74</f>
        <v>大规模</v>
      </c>
      <c r="AE13" t="str">
        <f>协会公示!G74</f>
        <v>协会提示／已整改异常</v>
      </c>
      <c r="AF13" t="str">
        <f>协会公示!R74</f>
        <v>https://gs.amac.org.cn/amac-infodisc/res/pof/manager/2003241828108999.html</v>
      </c>
    </row>
    <row r="14" ht="44" customHeight="1" spans="1:32">
      <c r="A14" s="36">
        <f>IF(ISNUMBER('Sheet2-计算明细'!AT92),'Sheet2-计算明细'!AT92,"")</f>
        <v>9</v>
      </c>
      <c r="B14" s="36" t="str">
        <f>IF('Sheet2-计算明细'!B92="","",'Sheet2-计算明细'!B92)</f>
        <v>哲石君顺易安壹号</v>
      </c>
      <c r="C14" s="36" t="str">
        <f>IF('Sheet2-计算明细'!C92="","",'Sheet2-计算明细'!C92)</f>
        <v>SAVN21</v>
      </c>
      <c r="D14" s="36" t="str">
        <f>IF('Sheet2-计算明细'!D92="","",'Sheet2-计算明细'!D92)</f>
        <v>杭州哲石</v>
      </c>
      <c r="E14" s="36" t="str">
        <f>IF('Sheet2-计算明细'!G92="","",'Sheet2-计算明细'!G92)</f>
        <v>入池</v>
      </c>
      <c r="F14" s="37">
        <f>IF(ISNUMBER('Sheet2-计算明细'!I92),'Sheet2-计算明细'!I92,"")</f>
        <v>80</v>
      </c>
      <c r="G14" s="37">
        <f>IF(ISNUMBER('Sheet2-计算明细'!K92),'Sheet2-计算明细'!K92,"")</f>
        <v>100</v>
      </c>
      <c r="H14" s="37">
        <f>IF(ISNUMBER('Sheet2-计算明细'!L92),'Sheet2-计算明细'!L92,"")</f>
        <v>70</v>
      </c>
      <c r="I14" s="37" t="str">
        <f>IF(ISNUMBER('Sheet2-计算明细'!S92),'Sheet2-计算明细'!S92,"")</f>
        <v/>
      </c>
      <c r="J14" s="37" t="str">
        <f>IF(ISNUMBER('Sheet2-计算明细'!Y92),'Sheet2-计算明细'!Y92,"")</f>
        <v/>
      </c>
      <c r="K14" s="37" t="str">
        <f>IF(ISNUMBER('Sheet2-计算明细'!AC92),'Sheet2-计算明细'!AC92,"")</f>
        <v/>
      </c>
      <c r="L14" s="37" t="str">
        <f>IF(ISNUMBER('Sheet2-计算明细'!AI92),'Sheet2-计算明细'!AI92,"")</f>
        <v/>
      </c>
      <c r="M14" s="37" t="str">
        <f>IF(ISNUMBER('Sheet2-计算明细'!AK92),'Sheet2-计算明细'!AK92,"")</f>
        <v/>
      </c>
      <c r="N14" s="37">
        <f>IF(ISNUMBER('Sheet2-计算明细'!AL92),'Sheet2-计算明细'!AL92,"")</f>
        <v>83</v>
      </c>
      <c r="O14" s="37">
        <f>IF(ISNUMBER('Sheet2-计算明细'!AM92),'Sheet2-计算明细'!AM92,"")</f>
        <v>100</v>
      </c>
      <c r="P14" s="37" t="str">
        <f>IF(ISNUMBER('Sheet2-计算明细'!AN92),'Sheet2-计算明细'!AN92,"")</f>
        <v/>
      </c>
      <c r="Q14" s="37" t="str">
        <f>IF(ISNUMBER('Sheet2-计算明细'!AO92),'Sheet2-计算明细'!AO92,"")</f>
        <v/>
      </c>
      <c r="R14" s="37" t="str">
        <f>IF(ISNUMBER('Sheet2-计算明细'!AP92),'Sheet2-计算明细'!AP92,"")</f>
        <v/>
      </c>
      <c r="S14" s="38">
        <f>IF(ISNUMBER('Sheet2-计算明细'!AQ92),'Sheet2-计算明细'!AQ92,"")</f>
        <v>0.174</v>
      </c>
      <c r="T14" s="37">
        <f>IF(ISNUMBER('Sheet2-计算明细'!AR92),'Sheet2-计算明细'!AR92,"")</f>
        <v>14.85</v>
      </c>
      <c r="U14" s="37">
        <f>IF(ISNUMBER('Sheet2-计算明细'!AS92),'Sheet2-计算明细'!AS92,"")</f>
        <v>85.34</v>
      </c>
      <c r="V14" s="37" t="str">
        <f>IF(ISNUMBER('Sheet2-计算明细'!AV92),'Sheet2-计算明细'!AV92,"")</f>
        <v/>
      </c>
      <c r="W14" s="39" t="str">
        <f>IF('Sheet2-计算明细'!AU92="","",'Sheet2-计算明细'!AU92)</f>
        <v>近一年收益；近一年胜率；近三年收益；近三年胜率；近三年回撤；近一年卡玛；成立以来年化；</v>
      </c>
      <c r="X14" s="40">
        <f>76</f>
        <v>76</v>
      </c>
      <c r="Y14" s="36" t="str">
        <f>IF('Sheet2-计算明细'!AX92="","",'Sheet2-计算明细'!AX92)</f>
        <v>套利策略</v>
      </c>
      <c r="Z14" s="36" t="str">
        <f>IF('Sheet2-计算明细'!AY92="","",'Sheet2-计算明细'!AY92)</f>
        <v>期货套利</v>
      </c>
      <c r="AA14" s="36" t="str">
        <f>IF('Sheet2-计算明细'!AW92="","",'Sheet2-计算明细'!AW92)</f>
        <v>暂定分／数据不完整</v>
      </c>
      <c r="AB14" s="40">
        <f>IF(ISNUMBER('Sheet2-计算明细'!A92),'Sheet2-计算明细'!A92,"")</f>
        <v>76</v>
      </c>
      <c r="AC14" t="str">
        <f>协会公示!E77</f>
        <v>10-20亿元</v>
      </c>
      <c r="AD14" t="str">
        <f>协会公示!F77</f>
        <v>大规模</v>
      </c>
      <c r="AE14" t="str">
        <f>协会公示!G77</f>
        <v>本次公示未见相关提示</v>
      </c>
      <c r="AF14" t="str">
        <f>协会公示!R77</f>
        <v>https://gs.amac.org.cn/amac-infodisc/res/pof/manager/101000047057.html</v>
      </c>
    </row>
    <row r="15" ht="44" customHeight="1" spans="1:32">
      <c r="A15" s="36">
        <f>IF(ISNUMBER('Sheet2-计算明细'!AT41),'Sheet2-计算明细'!AT41,"")</f>
        <v>10</v>
      </c>
      <c r="B15" s="36" t="str">
        <f>IF('Sheet2-计算明细'!B41="","",'Sheet2-计算明细'!B41)</f>
        <v>阶石稳健7号</v>
      </c>
      <c r="C15" s="36" t="str">
        <f>IF('Sheet2-计算明细'!C41="","",'Sheet2-计算明细'!C41)</f>
        <v>SAWS84</v>
      </c>
      <c r="D15" s="36" t="str">
        <f>IF('Sheet2-计算明细'!D41="","",'Sheet2-计算明细'!D41)</f>
        <v>深圳阶石</v>
      </c>
      <c r="E15" s="36" t="str">
        <f>IF('Sheet2-计算明细'!G41="","",'Sheet2-计算明细'!G41)</f>
        <v>入池</v>
      </c>
      <c r="F15" s="37">
        <f>IF(ISNUMBER('Sheet2-计算明细'!I41),'Sheet2-计算明细'!I41,"")</f>
        <v>80</v>
      </c>
      <c r="G15" s="37">
        <f>IF(ISNUMBER('Sheet2-计算明细'!K41),'Sheet2-计算明细'!K41,"")</f>
        <v>100</v>
      </c>
      <c r="H15" s="37">
        <f>IF(ISNUMBER('Sheet2-计算明细'!L41),'Sheet2-计算明细'!L41,"")</f>
        <v>70</v>
      </c>
      <c r="I15" s="37">
        <f>IF(ISNUMBER('Sheet2-计算明细'!S41),'Sheet2-计算明细'!S41,"")</f>
        <v>68.06</v>
      </c>
      <c r="J15" s="37">
        <f>IF(ISNUMBER('Sheet2-计算明细'!Y41),'Sheet2-计算明细'!Y41,"")</f>
        <v>90.77</v>
      </c>
      <c r="K15" s="37">
        <f>IF(ISNUMBER('Sheet2-计算明细'!AC41),'Sheet2-计算明细'!AC41,"")</f>
        <v>90.54</v>
      </c>
      <c r="L15" s="37">
        <f>IF(ISNUMBER('Sheet2-计算明细'!AI41),'Sheet2-计算明细'!AI41,"")</f>
        <v>84.51</v>
      </c>
      <c r="M15" s="37" t="str">
        <f>IF(ISNUMBER('Sheet2-计算明细'!AK41),'Sheet2-计算明细'!AK41,"")</f>
        <v/>
      </c>
      <c r="N15" s="37">
        <f>IF(ISNUMBER('Sheet2-计算明细'!AL41),'Sheet2-计算明细'!AL41,"")</f>
        <v>83</v>
      </c>
      <c r="O15" s="37">
        <f>IF(ISNUMBER('Sheet2-计算明细'!AM41),'Sheet2-计算明细'!AM41,"")</f>
        <v>77.52</v>
      </c>
      <c r="P15" s="37">
        <f>IF(ISNUMBER('Sheet2-计算明细'!AN41),'Sheet2-计算明细'!AN41,"")</f>
        <v>90.54</v>
      </c>
      <c r="Q15" s="37">
        <f>IF(ISNUMBER('Sheet2-计算明细'!AO41),'Sheet2-计算明细'!AO41,"")</f>
        <v>84.51</v>
      </c>
      <c r="R15" s="37" t="str">
        <f>IF(ISNUMBER('Sheet2-计算明细'!AP41),'Sheet2-计算明细'!AP41,"")</f>
        <v/>
      </c>
      <c r="S15" s="38">
        <f>IF(ISNUMBER('Sheet2-计算明细'!AQ41),'Sheet2-计算明细'!AQ41,"")</f>
        <v>0.724</v>
      </c>
      <c r="T15" s="37">
        <f>IF(ISNUMBER('Sheet2-计算明细'!AR41),'Sheet2-计算明细'!AR41,"")</f>
        <v>61.4599938461538</v>
      </c>
      <c r="U15" s="37">
        <f>IF(ISNUMBER('Sheet2-计算明细'!AS41),'Sheet2-计算明细'!AS41,"")</f>
        <v>84.89</v>
      </c>
      <c r="V15" s="37" t="str">
        <f>IF(ISNUMBER('Sheet2-计算明细'!AV41),'Sheet2-计算明细'!AV41,"")</f>
        <v/>
      </c>
      <c r="W15" s="39" t="str">
        <f>IF('Sheet2-计算明细'!AU41="","",'Sheet2-计算明细'!AU41)</f>
        <v>近三年收益；近三年胜率；近三年回撤；成立以来年化；</v>
      </c>
      <c r="X15" s="40">
        <f>25</f>
        <v>25</v>
      </c>
      <c r="Y15" s="36" t="str">
        <f>IF('Sheet2-计算明细'!AX41="","",'Sheet2-计算明细'!AX41)</f>
        <v>套利策略</v>
      </c>
      <c r="Z15" s="36" t="str">
        <f>IF('Sheet2-计算明细'!AY41="","",'Sheet2-计算明细'!AY41)</f>
        <v>基金套利</v>
      </c>
      <c r="AA15" s="36" t="str">
        <f>IF('Sheet2-计算明细'!AW41="","",'Sheet2-计算明细'!AW41)</f>
        <v>暂定分／数据不完整</v>
      </c>
      <c r="AB15" s="40">
        <f>IF(ISNUMBER('Sheet2-计算明细'!A41),'Sheet2-计算明细'!A41,"")</f>
        <v>25</v>
      </c>
      <c r="AC15" t="str">
        <f>协会公示!E26</f>
        <v>10-20亿元</v>
      </c>
      <c r="AD15" t="str">
        <f>协会公示!F26</f>
        <v>大规模</v>
      </c>
      <c r="AE15" t="str">
        <f>协会公示!G26</f>
        <v>协会提示／已整改异常</v>
      </c>
      <c r="AF15" t="str">
        <f>协会公示!R26</f>
        <v>https://gs.amac.org.cn/amac-infodisc/res/pof/manager/1903261812109866.html</v>
      </c>
    </row>
    <row r="16" ht="44" customHeight="1" spans="1:32">
      <c r="A16" s="36">
        <f>IF(ISNUMBER('Sheet2-计算明细'!AT91),'Sheet2-计算明细'!AT91,"")</f>
        <v>11</v>
      </c>
      <c r="B16" s="36" t="str">
        <f>IF('Sheet2-计算明细'!B91="","",'Sheet2-计算明细'!B91)</f>
        <v>哲石君顺易安贰号</v>
      </c>
      <c r="C16" s="36" t="str">
        <f>IF('Sheet2-计算明细'!C91="","",'Sheet2-计算明细'!C91)</f>
        <v>SBBC37</v>
      </c>
      <c r="D16" s="36" t="str">
        <f>IF('Sheet2-计算明细'!D91="","",'Sheet2-计算明细'!D91)</f>
        <v>杭州哲石</v>
      </c>
      <c r="E16" s="36" t="str">
        <f>IF('Sheet2-计算明细'!G91="","",'Sheet2-计算明细'!G91)</f>
        <v>入池</v>
      </c>
      <c r="F16" s="37">
        <f>IF(ISNUMBER('Sheet2-计算明细'!I91),'Sheet2-计算明细'!I91,"")</f>
        <v>80</v>
      </c>
      <c r="G16" s="37">
        <f>IF(ISNUMBER('Sheet2-计算明细'!K91),'Sheet2-计算明细'!K91,"")</f>
        <v>100</v>
      </c>
      <c r="H16" s="37">
        <f>IF(ISNUMBER('Sheet2-计算明细'!L91),'Sheet2-计算明细'!L91,"")</f>
        <v>70</v>
      </c>
      <c r="I16" s="37">
        <f>IF(ISNUMBER('Sheet2-计算明细'!S91),'Sheet2-计算明细'!S91,"")</f>
        <v>43.79</v>
      </c>
      <c r="J16" s="37">
        <f>IF(ISNUMBER('Sheet2-计算明细'!Y91),'Sheet2-计算明细'!Y91,"")</f>
        <v>100</v>
      </c>
      <c r="K16" s="37">
        <f>IF(ISNUMBER('Sheet2-计算明细'!AC91),'Sheet2-计算明细'!AC91,"")</f>
        <v>94.59</v>
      </c>
      <c r="L16" s="37">
        <f>IF(ISNUMBER('Sheet2-计算明细'!AI91),'Sheet2-计算明细'!AI91,"")</f>
        <v>83.1</v>
      </c>
      <c r="M16" s="37">
        <f>IF(ISNUMBER('Sheet2-计算明细'!AK91),'Sheet2-计算明细'!AK91,"")</f>
        <v>100</v>
      </c>
      <c r="N16" s="37">
        <f>IF(ISNUMBER('Sheet2-计算明细'!AL91),'Sheet2-计算明细'!AL91,"")</f>
        <v>83</v>
      </c>
      <c r="O16" s="37">
        <f>IF(ISNUMBER('Sheet2-计算明细'!AM91),'Sheet2-计算明细'!AM91,"")</f>
        <v>60.65</v>
      </c>
      <c r="P16" s="37">
        <f>IF(ISNUMBER('Sheet2-计算明细'!AN91),'Sheet2-计算明细'!AN91,"")</f>
        <v>94.59</v>
      </c>
      <c r="Q16" s="37">
        <f>IF(ISNUMBER('Sheet2-计算明细'!AO91),'Sheet2-计算明细'!AO91,"")</f>
        <v>83.1</v>
      </c>
      <c r="R16" s="37">
        <f>IF(ISNUMBER('Sheet2-计算明细'!AP91),'Sheet2-计算明细'!AP91,"")</f>
        <v>100</v>
      </c>
      <c r="S16" s="38">
        <f>IF(ISNUMBER('Sheet2-计算明细'!AQ91),'Sheet2-计算明细'!AQ91,"")</f>
        <v>0.88</v>
      </c>
      <c r="T16" s="37">
        <f>IF(ISNUMBER('Sheet2-计算明细'!AR91),'Sheet2-计算明细'!AR91,"")</f>
        <v>73.18582</v>
      </c>
      <c r="U16" s="37">
        <f>IF(ISNUMBER('Sheet2-计算明细'!AS91),'Sheet2-计算明细'!AS91,"")</f>
        <v>83.17</v>
      </c>
      <c r="V16" s="37" t="str">
        <f>IF(ISNUMBER('Sheet2-计算明细'!AV91),'Sheet2-计算明细'!AV91,"")</f>
        <v/>
      </c>
      <c r="W16" s="39" t="str">
        <f>IF('Sheet2-计算明细'!AU91="","",'Sheet2-计算明细'!AU91)</f>
        <v>近三年收益；近三年胜率；近三年回撤；DD_long不可识别；</v>
      </c>
      <c r="X16" s="40">
        <f>75</f>
        <v>75</v>
      </c>
      <c r="Y16" s="36" t="str">
        <f>IF('Sheet2-计算明细'!AX91="","",'Sheet2-计算明细'!AX91)</f>
        <v>套利策略</v>
      </c>
      <c r="Z16" s="36" t="str">
        <f>IF('Sheet2-计算明细'!AY91="","",'Sheet2-计算明细'!AY91)</f>
        <v>期货套利</v>
      </c>
      <c r="AA16" s="36" t="str">
        <f>IF('Sheet2-计算明细'!AW91="","",'Sheet2-计算明细'!AW91)</f>
        <v>暂定分／数据不完整</v>
      </c>
      <c r="AB16" s="40">
        <f>IF(ISNUMBER('Sheet2-计算明细'!A91),'Sheet2-计算明细'!A91,"")</f>
        <v>75</v>
      </c>
      <c r="AC16" t="str">
        <f>协会公示!E76</f>
        <v>10-20亿元</v>
      </c>
      <c r="AD16" t="str">
        <f>协会公示!F76</f>
        <v>大规模</v>
      </c>
      <c r="AE16" t="str">
        <f>协会公示!G76</f>
        <v>本次公示未见相关提示</v>
      </c>
      <c r="AF16" t="str">
        <f>协会公示!R76</f>
        <v>https://gs.amac.org.cn/amac-infodisc/res/pof/manager/101000047057.html</v>
      </c>
    </row>
    <row r="17" ht="44" customHeight="1" spans="1:32">
      <c r="A17" s="36">
        <f>IF(ISNUMBER('Sheet2-计算明细'!AT61),'Sheet2-计算明细'!AT61,"")</f>
        <v>12</v>
      </c>
      <c r="B17" s="36" t="str">
        <f>IF('Sheet2-计算明细'!B61="","",'Sheet2-计算明细'!B61)</f>
        <v>奶酪鑫鑫宝二号</v>
      </c>
      <c r="C17" s="36" t="str">
        <f>IF('Sheet2-计算明细'!C61="","",'Sheet2-计算明细'!C61)</f>
        <v>SB2838</v>
      </c>
      <c r="D17" s="36" t="str">
        <f>IF('Sheet2-计算明细'!D61="","",'Sheet2-计算明细'!D61)</f>
        <v>广东奶酪</v>
      </c>
      <c r="E17" s="36" t="str">
        <f>IF('Sheet2-计算明细'!G61="","",'Sheet2-计算明细'!G61)</f>
        <v>入池</v>
      </c>
      <c r="F17" s="37">
        <f>IF(ISNUMBER('Sheet2-计算明细'!I61),'Sheet2-计算明细'!I61,"")</f>
        <v>80</v>
      </c>
      <c r="G17" s="37">
        <f>IF(ISNUMBER('Sheet2-计算明细'!K61),'Sheet2-计算明细'!K61,"")</f>
        <v>100</v>
      </c>
      <c r="H17" s="37">
        <f>IF(ISNUMBER('Sheet2-计算明细'!L61),'Sheet2-计算明细'!L61,"")</f>
        <v>100</v>
      </c>
      <c r="I17" s="37">
        <f>IF(ISNUMBER('Sheet2-计算明细'!S61),'Sheet2-计算明细'!S61,"")</f>
        <v>21.14</v>
      </c>
      <c r="J17" s="37">
        <f>IF(ISNUMBER('Sheet2-计算明细'!Y61),'Sheet2-计算明细'!Y61,"")</f>
        <v>100</v>
      </c>
      <c r="K17" s="37">
        <f>IF(ISNUMBER('Sheet2-计算明细'!AC61),'Sheet2-计算明细'!AC61,"")</f>
        <v>100</v>
      </c>
      <c r="L17" s="37" t="str">
        <f>IF(ISNUMBER('Sheet2-计算明细'!AI61),'Sheet2-计算明细'!AI61,"")</f>
        <v/>
      </c>
      <c r="M17" s="37">
        <f>IF(ISNUMBER('Sheet2-计算明细'!AK61),'Sheet2-计算明细'!AK61,"")</f>
        <v>100</v>
      </c>
      <c r="N17" s="37">
        <f>IF(ISNUMBER('Sheet2-计算明细'!AL61),'Sheet2-计算明细'!AL61,"")</f>
        <v>92</v>
      </c>
      <c r="O17" s="37">
        <f>IF(ISNUMBER('Sheet2-计算明细'!AM61),'Sheet2-计算明细'!AM61,"")</f>
        <v>44.8</v>
      </c>
      <c r="P17" s="37">
        <f>IF(ISNUMBER('Sheet2-计算明细'!AN61),'Sheet2-计算明细'!AN61,"")</f>
        <v>100</v>
      </c>
      <c r="Q17" s="37" t="str">
        <f>IF(ISNUMBER('Sheet2-计算明细'!AO61),'Sheet2-计算明细'!AO61,"")</f>
        <v/>
      </c>
      <c r="R17" s="37">
        <f>IF(ISNUMBER('Sheet2-计算明细'!AP61),'Sheet2-计算明细'!AP61,"")</f>
        <v>100</v>
      </c>
      <c r="S17" s="38">
        <f>IF(ISNUMBER('Sheet2-计算明细'!AQ61),'Sheet2-计算明细'!AQ61,"")</f>
        <v>0.7</v>
      </c>
      <c r="T17" s="37">
        <f>IF(ISNUMBER('Sheet2-计算明细'!AR61),'Sheet2-计算明细'!AR61,"")</f>
        <v>57.75932</v>
      </c>
      <c r="U17" s="37">
        <f>IF(ISNUMBER('Sheet2-计算明细'!AS61),'Sheet2-计算明细'!AS61,"")</f>
        <v>82.51</v>
      </c>
      <c r="V17" s="37" t="str">
        <f>IF(ISNUMBER('Sheet2-计算明细'!AV61),'Sheet2-计算明细'!AV61,"")</f>
        <v/>
      </c>
      <c r="W17" s="39" t="str">
        <f>IF('Sheet2-计算明细'!AU61="","",'Sheet2-计算明细'!AU61)</f>
        <v>近一年卡玛；DD_long不可识别；</v>
      </c>
      <c r="X17" s="40">
        <f>45</f>
        <v>45</v>
      </c>
      <c r="Y17" s="36" t="str">
        <f>IF('Sheet2-计算明细'!AX61="","",'Sheet2-计算明细'!AX61)</f>
        <v>套利策略</v>
      </c>
      <c r="Z17" s="36" t="str">
        <f>IF('Sheet2-计算明细'!AY61="","",'Sheet2-计算明细'!AY61)</f>
        <v>期货套利</v>
      </c>
      <c r="AA17" s="36" t="str">
        <f>IF('Sheet2-计算明细'!AW61="","",'Sheet2-计算明细'!AW61)</f>
        <v>暂定分／数据不完整</v>
      </c>
      <c r="AB17" s="40">
        <f>IF(ISNUMBER('Sheet2-计算明细'!A61),'Sheet2-计算明细'!A61,"")</f>
        <v>45</v>
      </c>
      <c r="AC17" t="str">
        <f>协会公示!E46</f>
        <v>10-20亿元</v>
      </c>
      <c r="AD17" t="str">
        <f>协会公示!F46</f>
        <v>大规模</v>
      </c>
      <c r="AE17" t="str">
        <f>协会公示!G46</f>
        <v>本次公示未见相关提示</v>
      </c>
      <c r="AF17" t="str">
        <f>协会公示!R46</f>
        <v>https://gs.amac.org.cn/amac-infodisc/res/pof/manager/101000045017.html</v>
      </c>
    </row>
    <row r="18" ht="44" customHeight="1" spans="1:32">
      <c r="A18" s="36">
        <f>IF(ISNUMBER('Sheet2-计算明细'!AT96),'Sheet2-计算明细'!AT96,"")</f>
        <v>13</v>
      </c>
      <c r="B18" s="36" t="str">
        <f>IF('Sheet2-计算明细'!B96="","",'Sheet2-计算明细'!B96)</f>
        <v>智领泽临套利六号</v>
      </c>
      <c r="C18" s="36" t="str">
        <f>IF('Sheet2-计算明细'!C96="","",'Sheet2-计算明细'!C96)</f>
        <v>SAYU23</v>
      </c>
      <c r="D18" s="36" t="str">
        <f>IF('Sheet2-计算明细'!D96="","",'Sheet2-计算明细'!D96)</f>
        <v>福州智领三联</v>
      </c>
      <c r="E18" s="36" t="str">
        <f>IF('Sheet2-计算明细'!G96="","",'Sheet2-计算明细'!G96)</f>
        <v>入池</v>
      </c>
      <c r="F18" s="37">
        <f>IF(ISNUMBER('Sheet2-计算明细'!I96),'Sheet2-计算明细'!I96,"")</f>
        <v>90</v>
      </c>
      <c r="G18" s="37">
        <f>IF(ISNUMBER('Sheet2-计算明细'!K96),'Sheet2-计算明细'!K96,"")</f>
        <v>100</v>
      </c>
      <c r="H18" s="37">
        <f>IF(ISNUMBER('Sheet2-计算明细'!L96),'Sheet2-计算明细'!L96,"")</f>
        <v>70</v>
      </c>
      <c r="I18" s="37">
        <f>IF(ISNUMBER('Sheet2-计算明细'!S96),'Sheet2-计算明细'!S96,"")</f>
        <v>77.04</v>
      </c>
      <c r="J18" s="37">
        <f>IF(ISNUMBER('Sheet2-计算明细'!Y96),'Sheet2-计算明细'!Y96,"")</f>
        <v>95.39</v>
      </c>
      <c r="K18" s="37">
        <f>IF(ISNUMBER('Sheet2-计算明细'!AC96),'Sheet2-计算明细'!AC96,"")</f>
        <v>85.14</v>
      </c>
      <c r="L18" s="37">
        <f>IF(ISNUMBER('Sheet2-计算明细'!AI96),'Sheet2-计算明细'!AI96,"")</f>
        <v>76.06</v>
      </c>
      <c r="M18" s="37">
        <f>IF(ISNUMBER('Sheet2-计算明细'!AK96),'Sheet2-计算明细'!AK96,"")</f>
        <v>80</v>
      </c>
      <c r="N18" s="37">
        <f>IF(ISNUMBER('Sheet2-计算明细'!AL96),'Sheet2-计算明细'!AL96,"")</f>
        <v>87</v>
      </c>
      <c r="O18" s="37">
        <f>IF(ISNUMBER('Sheet2-计算明细'!AM96),'Sheet2-计算明细'!AM96,"")</f>
        <v>82.55</v>
      </c>
      <c r="P18" s="37">
        <f>IF(ISNUMBER('Sheet2-计算明细'!AN96),'Sheet2-计算明细'!AN96,"")</f>
        <v>85.14</v>
      </c>
      <c r="Q18" s="37">
        <f>IF(ISNUMBER('Sheet2-计算明细'!AO96),'Sheet2-计算明细'!AO96,"")</f>
        <v>76.06</v>
      </c>
      <c r="R18" s="37">
        <f>IF(ISNUMBER('Sheet2-计算明细'!AP96),'Sheet2-计算明细'!AP96,"")</f>
        <v>80</v>
      </c>
      <c r="S18" s="38">
        <f>IF(ISNUMBER('Sheet2-计算明细'!AQ96),'Sheet2-计算明细'!AQ96,"")</f>
        <v>0.88</v>
      </c>
      <c r="T18" s="37">
        <f>IF(ISNUMBER('Sheet2-计算明细'!AR96),'Sheet2-计算明细'!AR96,"")</f>
        <v>72.53484</v>
      </c>
      <c r="U18" s="37">
        <f>IF(ISNUMBER('Sheet2-计算明细'!AS96),'Sheet2-计算明细'!AS96,"")</f>
        <v>82.43</v>
      </c>
      <c r="V18" s="37" t="str">
        <f>IF(ISNUMBER('Sheet2-计算明细'!AV96),'Sheet2-计算明细'!AV96,"")</f>
        <v/>
      </c>
      <c r="W18" s="39" t="str">
        <f>IF('Sheet2-计算明细'!AU96="","",'Sheet2-计算明细'!AU96)</f>
        <v>近三年收益；近三年胜率；近三年回撤；DD_long不可识别；</v>
      </c>
      <c r="X18" s="40">
        <f>80</f>
        <v>80</v>
      </c>
      <c r="Y18" s="36" t="str">
        <f>IF('Sheet2-计算明细'!AX96="","",'Sheet2-计算明细'!AX96)</f>
        <v>套利策略</v>
      </c>
      <c r="Z18" s="36" t="str">
        <f>IF('Sheet2-计算明细'!AY96="","",'Sheet2-计算明细'!AY96)</f>
        <v/>
      </c>
      <c r="AA18" s="36" t="str">
        <f>IF('Sheet2-计算明细'!AW96="","",'Sheet2-计算明细'!AW96)</f>
        <v>暂定分／数据不完整</v>
      </c>
      <c r="AB18" s="40">
        <f>IF(ISNUMBER('Sheet2-计算明细'!A96),'Sheet2-计算明细'!A96,"")</f>
        <v>80</v>
      </c>
      <c r="AC18" t="str">
        <f>协会公示!E81</f>
        <v>20-50亿元</v>
      </c>
      <c r="AD18" t="str">
        <f>协会公示!F81</f>
        <v>大规模</v>
      </c>
      <c r="AE18" t="str">
        <f>协会公示!G81</f>
        <v>协会提示／已整改异常</v>
      </c>
      <c r="AF18" t="str">
        <f>协会公示!R81</f>
        <v>https://gs.amac.org.cn/amac-infodisc/res/pof/manager/101000074295.html</v>
      </c>
    </row>
    <row r="19" ht="44" customHeight="1" spans="1:32">
      <c r="A19" s="36">
        <f>IF(ISNUMBER('Sheet2-计算明细'!AT55),'Sheet2-计算明细'!AT55,"")</f>
        <v>14</v>
      </c>
      <c r="B19" s="36" t="str">
        <f>IF('Sheet2-计算明细'!B55="","",'Sheet2-计算明细'!B55)</f>
        <v>摩旗ETF套利1号</v>
      </c>
      <c r="C19" s="36" t="str">
        <f>IF('Sheet2-计算明细'!C55="","",'Sheet2-计算明细'!C55)</f>
        <v>STR466</v>
      </c>
      <c r="D19" s="36" t="str">
        <f>IF('Sheet2-计算明细'!D55="","",'Sheet2-计算明细'!D55)</f>
        <v>上海摩旗投资</v>
      </c>
      <c r="E19" s="36" t="str">
        <f>IF('Sheet2-计算明细'!G55="","",'Sheet2-计算明细'!G55)</f>
        <v>入池</v>
      </c>
      <c r="F19" s="37">
        <f>IF(ISNUMBER('Sheet2-计算明细'!I55),'Sheet2-计算明细'!I55,"")</f>
        <v>80</v>
      </c>
      <c r="G19" s="37">
        <f>IF(ISNUMBER('Sheet2-计算明细'!K55),'Sheet2-计算明细'!K55,"")</f>
        <v>100</v>
      </c>
      <c r="H19" s="37">
        <f>IF(ISNUMBER('Sheet2-计算明细'!L55),'Sheet2-计算明细'!L55,"")</f>
        <v>100</v>
      </c>
      <c r="I19" s="37">
        <f>IF(ISNUMBER('Sheet2-计算明细'!S55),'Sheet2-计算明细'!S55,"")</f>
        <v>76.74</v>
      </c>
      <c r="J19" s="37">
        <f>IF(ISNUMBER('Sheet2-计算明细'!Y55),'Sheet2-计算明细'!Y55,"")</f>
        <v>93.72</v>
      </c>
      <c r="K19" s="37">
        <f>IF(ISNUMBER('Sheet2-计算明细'!AC55),'Sheet2-计算明细'!AC55,"")</f>
        <v>83.78</v>
      </c>
      <c r="L19" s="37">
        <f>IF(ISNUMBER('Sheet2-计算明细'!AI55),'Sheet2-计算明细'!AI55,"")</f>
        <v>71.83</v>
      </c>
      <c r="M19" s="37">
        <f>IF(ISNUMBER('Sheet2-计算明细'!AK55),'Sheet2-计算明细'!AK55,"")</f>
        <v>80</v>
      </c>
      <c r="N19" s="37">
        <f>IF(ISNUMBER('Sheet2-计算明细'!AL55),'Sheet2-计算明细'!AL55,"")</f>
        <v>92</v>
      </c>
      <c r="O19" s="37">
        <f>IF(ISNUMBER('Sheet2-计算明细'!AM55),'Sheet2-计算明细'!AM55,"")</f>
        <v>81.84</v>
      </c>
      <c r="P19" s="37">
        <f>IF(ISNUMBER('Sheet2-计算明细'!AN55),'Sheet2-计算明细'!AN55,"")</f>
        <v>83.78</v>
      </c>
      <c r="Q19" s="37">
        <f>IF(ISNUMBER('Sheet2-计算明细'!AO55),'Sheet2-计算明细'!AO55,"")</f>
        <v>71.83</v>
      </c>
      <c r="R19" s="37">
        <f>IF(ISNUMBER('Sheet2-计算明细'!AP55),'Sheet2-计算明细'!AP55,"")</f>
        <v>80</v>
      </c>
      <c r="S19" s="38">
        <f>IF(ISNUMBER('Sheet2-计算明细'!AQ55),'Sheet2-计算明细'!AQ55,"")</f>
        <v>0.88</v>
      </c>
      <c r="T19" s="37">
        <f>IF(ISNUMBER('Sheet2-计算明细'!AR55),'Sheet2-计算明细'!AR55,"")</f>
        <v>72.04152</v>
      </c>
      <c r="U19" s="37">
        <f>IF(ISNUMBER('Sheet2-计算明细'!AS55),'Sheet2-计算明细'!AS55,"")</f>
        <v>81.87</v>
      </c>
      <c r="V19" s="37" t="str">
        <f>IF(ISNUMBER('Sheet2-计算明细'!AV55),'Sheet2-计算明细'!AV55,"")</f>
        <v/>
      </c>
      <c r="W19" s="39" t="str">
        <f>IF('Sheet2-计算明细'!AU55="","",'Sheet2-计算明细'!AU55)</f>
        <v>DD_long不可识别；</v>
      </c>
      <c r="X19" s="40">
        <f>39</f>
        <v>39</v>
      </c>
      <c r="Y19" s="36" t="str">
        <f>IF('Sheet2-计算明细'!AX55="","",'Sheet2-计算明细'!AX55)</f>
        <v>套利策略</v>
      </c>
      <c r="Z19" s="36" t="str">
        <f>IF('Sheet2-计算明细'!AY55="","",'Sheet2-计算明细'!AY55)</f>
        <v>基金套利</v>
      </c>
      <c r="AA19" s="36" t="str">
        <f>IF('Sheet2-计算明细'!AW55="","",'Sheet2-计算明细'!AW55)</f>
        <v>暂定分／数据不完整</v>
      </c>
      <c r="AB19" s="40">
        <f>IF(ISNUMBER('Sheet2-计算明细'!A55),'Sheet2-计算明细'!A55,"")</f>
        <v>39</v>
      </c>
      <c r="AC19" t="str">
        <f>协会公示!E40</f>
        <v>10-20亿元</v>
      </c>
      <c r="AD19" t="str">
        <f>协会公示!F40</f>
        <v>大规模</v>
      </c>
      <c r="AE19" t="str">
        <f>协会公示!G40</f>
        <v>本次公示未见相关提示</v>
      </c>
      <c r="AF19" t="str">
        <f>协会公示!R40</f>
        <v>https://gs.amac.org.cn/amac-infodisc/res/pof/manager/101000000297.html</v>
      </c>
    </row>
    <row r="20" ht="44" customHeight="1" spans="1:32">
      <c r="A20" s="36">
        <f>IF(ISNUMBER('Sheet2-计算明细'!AT17),'Sheet2-计算明细'!AT17,"")</f>
        <v>15</v>
      </c>
      <c r="B20" s="36" t="str">
        <f>IF('Sheet2-计算明细'!B17="","",'Sheet2-计算明细'!B17)</f>
        <v>爱凡哲九号</v>
      </c>
      <c r="C20" s="36" t="str">
        <f>IF('Sheet2-计算明细'!C17="","",'Sheet2-计算明细'!C17)</f>
        <v>SJA112</v>
      </c>
      <c r="D20" s="36" t="str">
        <f>IF('Sheet2-计算明细'!D17="","",'Sheet2-计算明细'!D17)</f>
        <v>爱凡哲投资</v>
      </c>
      <c r="E20" s="36" t="str">
        <f>IF('Sheet2-计算明细'!G17="","",'Sheet2-计算明细'!G17)</f>
        <v>入池</v>
      </c>
      <c r="F20" s="37">
        <f>IF(ISNUMBER('Sheet2-计算明细'!I17),'Sheet2-计算明细'!I17,"")</f>
        <v>90</v>
      </c>
      <c r="G20" s="37">
        <f>IF(ISNUMBER('Sheet2-计算明细'!K17),'Sheet2-计算明细'!K17,"")</f>
        <v>100</v>
      </c>
      <c r="H20" s="37">
        <f>IF(ISNUMBER('Sheet2-计算明细'!L17),'Sheet2-计算明细'!L17,"")</f>
        <v>100</v>
      </c>
      <c r="I20" s="37">
        <f>IF(ISNUMBER('Sheet2-计算明细'!S17),'Sheet2-计算明细'!S17,"")</f>
        <v>74.24</v>
      </c>
      <c r="J20" s="37">
        <f>IF(ISNUMBER('Sheet2-计算明细'!Y17),'Sheet2-计算明细'!Y17,"")</f>
        <v>87.44</v>
      </c>
      <c r="K20" s="37">
        <f>IF(ISNUMBER('Sheet2-计算明细'!AC17),'Sheet2-计算明细'!AC17,"")</f>
        <v>62.16</v>
      </c>
      <c r="L20" s="37">
        <f>IF(ISNUMBER('Sheet2-计算明细'!AI17),'Sheet2-计算明细'!AI17,"")</f>
        <v>83.24</v>
      </c>
      <c r="M20" s="37">
        <f>IF(ISNUMBER('Sheet2-计算明细'!AK17),'Sheet2-计算明细'!AK17,"")</f>
        <v>100</v>
      </c>
      <c r="N20" s="37">
        <f>IF(ISNUMBER('Sheet2-计算明细'!AL17),'Sheet2-计算明细'!AL17,"")</f>
        <v>96</v>
      </c>
      <c r="O20" s="37">
        <f>IF(ISNUMBER('Sheet2-计算明细'!AM17),'Sheet2-计算明细'!AM17,"")</f>
        <v>78.2</v>
      </c>
      <c r="P20" s="37">
        <f>IF(ISNUMBER('Sheet2-计算明细'!AN17),'Sheet2-计算明细'!AN17,"")</f>
        <v>62.16</v>
      </c>
      <c r="Q20" s="37">
        <f>IF(ISNUMBER('Sheet2-计算明细'!AO17),'Sheet2-计算明细'!AO17,"")</f>
        <v>83.24</v>
      </c>
      <c r="R20" s="37">
        <f>IF(ISNUMBER('Sheet2-计算明细'!AP17),'Sheet2-计算明细'!AP17,"")</f>
        <v>100</v>
      </c>
      <c r="S20" s="38">
        <f>IF(ISNUMBER('Sheet2-计算明细'!AQ17),'Sheet2-计算明细'!AQ17,"")</f>
        <v>1</v>
      </c>
      <c r="T20" s="37">
        <f>IF(ISNUMBER('Sheet2-计算明细'!AR17),'Sheet2-计算明细'!AR17,"")</f>
        <v>80.55129</v>
      </c>
      <c r="U20" s="37">
        <f>IF(ISNUMBER('Sheet2-计算明细'!AS17),'Sheet2-计算明细'!AS17,"")</f>
        <v>80.55</v>
      </c>
      <c r="V20" s="37">
        <f>IF(ISNUMBER('Sheet2-计算明细'!AV17),'Sheet2-计算明细'!AV17,"")</f>
        <v>80.55129</v>
      </c>
      <c r="W20" s="39" t="str">
        <f>IF('Sheet2-计算明细'!AU17="","",'Sheet2-计算明细'!AU17)</f>
        <v/>
      </c>
      <c r="X20" s="40">
        <f>1</f>
        <v>1</v>
      </c>
      <c r="Y20" s="36" t="str">
        <f>IF('Sheet2-计算明细'!AX17="","",'Sheet2-计算明细'!AX17)</f>
        <v>套利策略</v>
      </c>
      <c r="Z20" s="36" t="str">
        <f>IF('Sheet2-计算明细'!AY17="","",'Sheet2-计算明细'!AY17)</f>
        <v>期货套利</v>
      </c>
      <c r="AA20" s="36" t="str">
        <f>IF('Sheet2-计算明细'!AW17="","",'Sheet2-计算明细'!AW17)</f>
        <v>完整赋分</v>
      </c>
      <c r="AB20" s="40">
        <f>IF(ISNUMBER('Sheet2-计算明细'!A17),'Sheet2-计算明细'!A17,"")</f>
        <v>1</v>
      </c>
      <c r="AC20" t="str">
        <f>协会公示!E2</f>
        <v>20-50亿元</v>
      </c>
      <c r="AD20" t="str">
        <f>协会公示!F2</f>
        <v>大规模</v>
      </c>
      <c r="AE20" t="str">
        <f>协会公示!G2</f>
        <v>本次公示未见相关提示</v>
      </c>
      <c r="AF20" t="str">
        <f>协会公示!R2</f>
        <v>https://gs.amac.org.cn/amac-infodisc/res/pof/manager/1709181131101311.html</v>
      </c>
    </row>
    <row r="21" ht="44" customHeight="1" spans="1:32">
      <c r="A21" s="36">
        <f>IF(ISNUMBER('Sheet2-计算明细'!AT42),'Sheet2-计算明细'!AT42,"")</f>
        <v>16</v>
      </c>
      <c r="B21" s="36" t="str">
        <f>IF('Sheet2-计算明细'!B42="","",'Sheet2-计算明细'!B42)</f>
        <v>阶石稳健9号</v>
      </c>
      <c r="C21" s="36" t="str">
        <f>IF('Sheet2-计算明细'!C42="","",'Sheet2-计算明细'!C42)</f>
        <v>SAZW60</v>
      </c>
      <c r="D21" s="36" t="str">
        <f>IF('Sheet2-计算明细'!D42="","",'Sheet2-计算明细'!D42)</f>
        <v>深圳阶石</v>
      </c>
      <c r="E21" s="36" t="str">
        <f>IF('Sheet2-计算明细'!G42="","",'Sheet2-计算明细'!G42)</f>
        <v>入池</v>
      </c>
      <c r="F21" s="37">
        <f>IF(ISNUMBER('Sheet2-计算明细'!I42),'Sheet2-计算明细'!I42,"")</f>
        <v>80</v>
      </c>
      <c r="G21" s="37">
        <f>IF(ISNUMBER('Sheet2-计算明细'!K42),'Sheet2-计算明细'!K42,"")</f>
        <v>100</v>
      </c>
      <c r="H21" s="37">
        <f>IF(ISNUMBER('Sheet2-计算明细'!L42),'Sheet2-计算明细'!L42,"")</f>
        <v>70</v>
      </c>
      <c r="I21" s="37">
        <f>IF(ISNUMBER('Sheet2-计算明细'!S42),'Sheet2-计算明细'!S42,"")</f>
        <v>43.06</v>
      </c>
      <c r="J21" s="37" t="str">
        <f>IF(ISNUMBER('Sheet2-计算明细'!Y42),'Sheet2-计算明细'!Y42,"")</f>
        <v/>
      </c>
      <c r="K21" s="37">
        <f>IF(ISNUMBER('Sheet2-计算明细'!AC42),'Sheet2-计算明细'!AC42,"")</f>
        <v>93.24</v>
      </c>
      <c r="L21" s="37">
        <f>IF(ISNUMBER('Sheet2-计算明细'!AI42),'Sheet2-计算明细'!AI42,"")</f>
        <v>73.24</v>
      </c>
      <c r="M21" s="37" t="str">
        <f>IF(ISNUMBER('Sheet2-计算明细'!AK42),'Sheet2-计算明细'!AK42,"")</f>
        <v/>
      </c>
      <c r="N21" s="37">
        <f>IF(ISNUMBER('Sheet2-计算明细'!AL42),'Sheet2-计算明细'!AL42,"")</f>
        <v>83</v>
      </c>
      <c r="O21" s="37">
        <f>IF(ISNUMBER('Sheet2-计算明细'!AM42),'Sheet2-计算明细'!AM42,"")</f>
        <v>55.71</v>
      </c>
      <c r="P21" s="37">
        <f>IF(ISNUMBER('Sheet2-计算明细'!AN42),'Sheet2-计算明细'!AN42,"")</f>
        <v>93.24</v>
      </c>
      <c r="Q21" s="37">
        <f>IF(ISNUMBER('Sheet2-计算明细'!AO42),'Sheet2-计算明细'!AO42,"")</f>
        <v>73.24</v>
      </c>
      <c r="R21" s="37" t="str">
        <f>IF(ISNUMBER('Sheet2-计算明细'!AP42),'Sheet2-计算明细'!AP42,"")</f>
        <v/>
      </c>
      <c r="S21" s="38">
        <f>IF(ISNUMBER('Sheet2-计算明细'!AQ42),'Sheet2-计算明细'!AQ42,"")</f>
        <v>0.688</v>
      </c>
      <c r="T21" s="37">
        <f>IF(ISNUMBER('Sheet2-计算明细'!AR42),'Sheet2-计算明细'!AR42,"")</f>
        <v>54.96024</v>
      </c>
      <c r="U21" s="37">
        <f>IF(ISNUMBER('Sheet2-计算明细'!AS42),'Sheet2-计算明细'!AS42,"")</f>
        <v>79.88</v>
      </c>
      <c r="V21" s="37" t="str">
        <f>IF(ISNUMBER('Sheet2-计算明细'!AV42),'Sheet2-计算明细'!AV42,"")</f>
        <v/>
      </c>
      <c r="W21" s="39" t="str">
        <f>IF('Sheet2-计算明细'!AU42="","",'Sheet2-计算明细'!AU42)</f>
        <v>近一年胜率；近三年收益；近三年胜率；近三年回撤；成立以来年化；</v>
      </c>
      <c r="X21" s="40">
        <f>26</f>
        <v>26</v>
      </c>
      <c r="Y21" s="36" t="str">
        <f>IF('Sheet2-计算明细'!AX42="","",'Sheet2-计算明细'!AX42)</f>
        <v>套利策略</v>
      </c>
      <c r="Z21" s="36" t="str">
        <f>IF('Sheet2-计算明细'!AY42="","",'Sheet2-计算明细'!AY42)</f>
        <v>基金套利</v>
      </c>
      <c r="AA21" s="36" t="str">
        <f>IF('Sheet2-计算明细'!AW42="","",'Sheet2-计算明细'!AW42)</f>
        <v>暂定分／数据不完整</v>
      </c>
      <c r="AB21" s="40">
        <f>IF(ISNUMBER('Sheet2-计算明细'!A42),'Sheet2-计算明细'!A42,"")</f>
        <v>26</v>
      </c>
      <c r="AC21" t="str">
        <f>协会公示!E27</f>
        <v>10-20亿元</v>
      </c>
      <c r="AD21" t="str">
        <f>协会公示!F27</f>
        <v>大规模</v>
      </c>
      <c r="AE21" t="str">
        <f>协会公示!G27</f>
        <v>协会提示／已整改异常</v>
      </c>
      <c r="AF21" t="str">
        <f>协会公示!R27</f>
        <v>https://gs.amac.org.cn/amac-infodisc/res/pof/manager/1903261812109866.html</v>
      </c>
    </row>
    <row r="22" ht="44" customHeight="1" spans="1:32">
      <c r="A22" s="36">
        <f>IF(ISNUMBER('Sheet2-计算明细'!AT75),'Sheet2-计算明细'!AT75,"")</f>
        <v>17</v>
      </c>
      <c r="B22" s="36" t="str">
        <f>IF('Sheet2-计算明细'!B75="","",'Sheet2-计算明细'!B75)</f>
        <v>世宽若水尘心3号</v>
      </c>
      <c r="C22" s="36" t="str">
        <f>IF('Sheet2-计算明细'!C75="","",'Sheet2-计算明细'!C75)</f>
        <v>SXT730</v>
      </c>
      <c r="D22" s="36" t="str">
        <f>IF('Sheet2-计算明细'!D75="","",'Sheet2-计算明细'!D75)</f>
        <v>厦门世宽</v>
      </c>
      <c r="E22" s="36" t="str">
        <f>IF('Sheet2-计算明细'!G75="","",'Sheet2-计算明细'!G75)</f>
        <v>入池</v>
      </c>
      <c r="F22" s="37">
        <f>IF(ISNUMBER('Sheet2-计算明细'!I75),'Sheet2-计算明细'!I75,"")</f>
        <v>60</v>
      </c>
      <c r="G22" s="37">
        <f>IF(ISNUMBER('Sheet2-计算明细'!K75),'Sheet2-计算明细'!K75,"")</f>
        <v>100</v>
      </c>
      <c r="H22" s="37">
        <f>IF(ISNUMBER('Sheet2-计算明细'!L75),'Sheet2-计算明细'!L75,"")</f>
        <v>100</v>
      </c>
      <c r="I22" s="37">
        <f>IF(ISNUMBER('Sheet2-计算明细'!S75),'Sheet2-计算明细'!S75,"")</f>
        <v>83.79</v>
      </c>
      <c r="J22" s="37" t="str">
        <f>IF(ISNUMBER('Sheet2-计算明细'!Y75),'Sheet2-计算明细'!Y75,"")</f>
        <v/>
      </c>
      <c r="K22" s="37">
        <f>IF(ISNUMBER('Sheet2-计算明细'!AC75),'Sheet2-计算明细'!AC75,"")</f>
        <v>67.57</v>
      </c>
      <c r="L22" s="37">
        <f>IF(ISNUMBER('Sheet2-计算明细'!AI75),'Sheet2-计算明细'!AI75,"")</f>
        <v>78.98</v>
      </c>
      <c r="M22" s="37">
        <f>IF(ISNUMBER('Sheet2-计算明细'!AK75),'Sheet2-计算明细'!AK75,"")</f>
        <v>100</v>
      </c>
      <c r="N22" s="37">
        <f>IF(ISNUMBER('Sheet2-计算明细'!AL75),'Sheet2-计算明细'!AL75,"")</f>
        <v>84</v>
      </c>
      <c r="O22" s="37">
        <f>IF(ISNUMBER('Sheet2-计算明细'!AM75),'Sheet2-计算明细'!AM75,"")</f>
        <v>83.79</v>
      </c>
      <c r="P22" s="37">
        <f>IF(ISNUMBER('Sheet2-计算明细'!AN75),'Sheet2-计算明细'!AN75,"")</f>
        <v>67.57</v>
      </c>
      <c r="Q22" s="37">
        <f>IF(ISNUMBER('Sheet2-计算明细'!AO75),'Sheet2-计算明细'!AO75,"")</f>
        <v>78.98</v>
      </c>
      <c r="R22" s="37">
        <f>IF(ISNUMBER('Sheet2-计算明细'!AP75),'Sheet2-计算明细'!AP75,"")</f>
        <v>100</v>
      </c>
      <c r="S22" s="38">
        <f>IF(ISNUMBER('Sheet2-计算明细'!AQ75),'Sheet2-计算明细'!AQ75,"")</f>
        <v>0.94</v>
      </c>
      <c r="T22" s="37">
        <f>IF(ISNUMBER('Sheet2-计算明细'!AR75),'Sheet2-计算明细'!AR75,"")</f>
        <v>74.91534</v>
      </c>
      <c r="U22" s="37">
        <f>IF(ISNUMBER('Sheet2-计算明细'!AS75),'Sheet2-计算明细'!AS75,"")</f>
        <v>79.7</v>
      </c>
      <c r="V22" s="37" t="str">
        <f>IF(ISNUMBER('Sheet2-计算明细'!AV75),'Sheet2-计算明细'!AV75,"")</f>
        <v/>
      </c>
      <c r="W22" s="39" t="str">
        <f>IF('Sheet2-计算明细'!AU75="","",'Sheet2-计算明细'!AU75)</f>
        <v>近一年胜率；近三年胜率；</v>
      </c>
      <c r="X22" s="40">
        <f>59</f>
        <v>59</v>
      </c>
      <c r="Y22" s="36" t="str">
        <f>IF('Sheet2-计算明细'!AX75="","",'Sheet2-计算明细'!AX75)</f>
        <v>套利策略</v>
      </c>
      <c r="Z22" s="36" t="str">
        <f>IF('Sheet2-计算明细'!AY75="","",'Sheet2-计算明细'!AY75)</f>
        <v>期货套利</v>
      </c>
      <c r="AA22" s="36" t="str">
        <f>IF('Sheet2-计算明细'!AW75="","",'Sheet2-计算明细'!AW75)</f>
        <v>暂定分／数据不完整</v>
      </c>
      <c r="AB22" s="40">
        <f>IF(ISNUMBER('Sheet2-计算明细'!A75),'Sheet2-计算明细'!A75,"")</f>
        <v>59</v>
      </c>
      <c r="AC22" t="str">
        <f>协会公示!E60</f>
        <v>0-5亿元</v>
      </c>
      <c r="AD22" t="str">
        <f>协会公示!F60</f>
        <v>小规模</v>
      </c>
      <c r="AE22" t="str">
        <f>协会公示!G60</f>
        <v>本次公示未见相关提示</v>
      </c>
      <c r="AF22" t="str">
        <f>协会公示!R60</f>
        <v>https://gs.amac.org.cn/amac-infodisc/res/pof/manager/101000026000.html</v>
      </c>
    </row>
    <row r="23" ht="44" customHeight="1" spans="1:32">
      <c r="A23" s="36">
        <f>IF(ISNUMBER('Sheet2-计算明细'!AT62),'Sheet2-计算明细'!AT62,"")</f>
        <v>18</v>
      </c>
      <c r="B23" s="36" t="str">
        <f>IF('Sheet2-计算明细'!B62="","",'Sheet2-计算明细'!B62)</f>
        <v>平凡凡响二号</v>
      </c>
      <c r="C23" s="36" t="str">
        <f>IF('Sheet2-计算明细'!C62="","",'Sheet2-计算明细'!C62)</f>
        <v>SZU727</v>
      </c>
      <c r="D23" s="36" t="str">
        <f>IF('Sheet2-计算明细'!D62="","",'Sheet2-计算明细'!D62)</f>
        <v>北京平凡</v>
      </c>
      <c r="E23" s="36" t="str">
        <f>IF('Sheet2-计算明细'!G62="","",'Sheet2-计算明细'!G62)</f>
        <v>入池</v>
      </c>
      <c r="F23" s="37">
        <f>IF(ISNUMBER('Sheet2-计算明细'!I62),'Sheet2-计算明细'!I62,"")</f>
        <v>90</v>
      </c>
      <c r="G23" s="37">
        <f>IF(ISNUMBER('Sheet2-计算明细'!K62),'Sheet2-计算明细'!K62,"")</f>
        <v>100</v>
      </c>
      <c r="H23" s="37">
        <f>IF(ISNUMBER('Sheet2-计算明细'!L62),'Sheet2-计算明细'!L62,"")</f>
        <v>100</v>
      </c>
      <c r="I23" s="37">
        <f>IF(ISNUMBER('Sheet2-计算明细'!S62),'Sheet2-计算明细'!S62,"")</f>
        <v>34.32</v>
      </c>
      <c r="J23" s="37">
        <f>IF(ISNUMBER('Sheet2-计算明细'!Y62),'Sheet2-计算明细'!Y62,"")</f>
        <v>91.67</v>
      </c>
      <c r="K23" s="37">
        <f>IF(ISNUMBER('Sheet2-计算明细'!AC62),'Sheet2-计算明细'!AC62,"")</f>
        <v>79.73</v>
      </c>
      <c r="L23" s="37">
        <f>IF(ISNUMBER('Sheet2-计算明细'!AI62),'Sheet2-计算明细'!AI62,"")</f>
        <v>81.65</v>
      </c>
      <c r="M23" s="37">
        <f>IF(ISNUMBER('Sheet2-计算明细'!AK62),'Sheet2-计算明细'!AK62,"")</f>
        <v>100</v>
      </c>
      <c r="N23" s="37">
        <f>IF(ISNUMBER('Sheet2-计算明细'!AL62),'Sheet2-计算明细'!AL62,"")</f>
        <v>96</v>
      </c>
      <c r="O23" s="37">
        <f>IF(ISNUMBER('Sheet2-计算明细'!AM62),'Sheet2-计算明细'!AM62,"")</f>
        <v>51.53</v>
      </c>
      <c r="P23" s="37">
        <f>IF(ISNUMBER('Sheet2-计算明细'!AN62),'Sheet2-计算明细'!AN62,"")</f>
        <v>79.73</v>
      </c>
      <c r="Q23" s="37">
        <f>IF(ISNUMBER('Sheet2-计算明细'!AO62),'Sheet2-计算明细'!AO62,"")</f>
        <v>81.65</v>
      </c>
      <c r="R23" s="37">
        <f>IF(ISNUMBER('Sheet2-计算明细'!AP62),'Sheet2-计算明细'!AP62,"")</f>
        <v>100</v>
      </c>
      <c r="S23" s="38">
        <f>IF(ISNUMBER('Sheet2-计算明细'!AQ62),'Sheet2-计算明细'!AQ62,"")</f>
        <v>1</v>
      </c>
      <c r="T23" s="37">
        <f>IF(ISNUMBER('Sheet2-计算明细'!AR62),'Sheet2-计算明细'!AR62,"")</f>
        <v>79.13391</v>
      </c>
      <c r="U23" s="37">
        <f>IF(ISNUMBER('Sheet2-计算明细'!AS62),'Sheet2-计算明细'!AS62,"")</f>
        <v>79.13</v>
      </c>
      <c r="V23" s="37">
        <f>IF(ISNUMBER('Sheet2-计算明细'!AV62),'Sheet2-计算明细'!AV62,"")</f>
        <v>79.13391</v>
      </c>
      <c r="W23" s="39" t="str">
        <f>IF('Sheet2-计算明细'!AU62="","",'Sheet2-计算明细'!AU62)</f>
        <v/>
      </c>
      <c r="X23" s="40">
        <f>46</f>
        <v>46</v>
      </c>
      <c r="Y23" s="36" t="str">
        <f>IF('Sheet2-计算明细'!AX62="","",'Sheet2-计算明细'!AX62)</f>
        <v>套利策略</v>
      </c>
      <c r="Z23" s="36" t="str">
        <f>IF('Sheet2-计算明细'!AY62="","",'Sheet2-计算明细'!AY62)</f>
        <v>基金套利</v>
      </c>
      <c r="AA23" s="36" t="str">
        <f>IF('Sheet2-计算明细'!AW62="","",'Sheet2-计算明细'!AW62)</f>
        <v>完整赋分</v>
      </c>
      <c r="AB23" s="40">
        <f>IF(ISNUMBER('Sheet2-计算明细'!A62),'Sheet2-计算明细'!A62,"")</f>
        <v>46</v>
      </c>
      <c r="AC23" t="str">
        <f>协会公示!E47</f>
        <v>50-100亿元</v>
      </c>
      <c r="AD23" t="str">
        <f>协会公示!F47</f>
        <v>大规模</v>
      </c>
      <c r="AE23" t="str">
        <f>协会公示!G47</f>
        <v>本次公示未见相关提示</v>
      </c>
      <c r="AF23" t="str">
        <f>协会公示!R47</f>
        <v>https://gs.amac.org.cn/amac-infodisc/res/pof/manager/101000030286.html</v>
      </c>
    </row>
    <row r="24" ht="44" customHeight="1" spans="1:32">
      <c r="A24" s="36">
        <f>IF(ISNUMBER('Sheet2-计算明细'!AT99),'Sheet2-计算明细'!AT99,"")</f>
        <v>19</v>
      </c>
      <c r="B24" s="36" t="str">
        <f>IF('Sheet2-计算明细'!B99="","",'Sheet2-计算明细'!B99)</f>
        <v>合绎塑造者10号</v>
      </c>
      <c r="C24" s="36" t="str">
        <f>IF('Sheet2-计算明细'!C99="","",'Sheet2-计算明细'!C99)</f>
        <v>SAHP82</v>
      </c>
      <c r="D24" s="36" t="str">
        <f>IF('Sheet2-计算明细'!D99="","",'Sheet2-计算明细'!D99)</f>
        <v>上海合绎投资</v>
      </c>
      <c r="E24" s="36" t="str">
        <f>IF('Sheet2-计算明细'!G99="","",'Sheet2-计算明细'!G99)</f>
        <v>入池</v>
      </c>
      <c r="F24" s="37">
        <f>IF(ISNUMBER('Sheet2-计算明细'!I99),'Sheet2-计算明细'!I99,"")</f>
        <v>90</v>
      </c>
      <c r="G24" s="37">
        <f>IF(ISNUMBER('Sheet2-计算明细'!K99),'Sheet2-计算明细'!K99,"")</f>
        <v>100</v>
      </c>
      <c r="H24" s="37">
        <f>IF(ISNUMBER('Sheet2-计算明细'!L99),'Sheet2-计算明细'!L99,"")</f>
        <v>70</v>
      </c>
      <c r="I24" s="37">
        <f>IF(ISNUMBER('Sheet2-计算明细'!S99),'Sheet2-计算明细'!S99,"")</f>
        <v>93.06</v>
      </c>
      <c r="J24" s="37">
        <f>IF(ISNUMBER('Sheet2-计算明细'!Y99),'Sheet2-计算明细'!Y99,"")</f>
        <v>100</v>
      </c>
      <c r="K24" s="37">
        <f>IF(ISNUMBER('Sheet2-计算明细'!AC99),'Sheet2-计算明细'!AC99,"")</f>
        <v>66.22</v>
      </c>
      <c r="L24" s="37">
        <f>IF(ISNUMBER('Sheet2-计算明细'!AI99),'Sheet2-计算明细'!AI99,"")</f>
        <v>78.87</v>
      </c>
      <c r="M24" s="37" t="str">
        <f>IF(ISNUMBER('Sheet2-计算明细'!AK99),'Sheet2-计算明细'!AK99,"")</f>
        <v/>
      </c>
      <c r="N24" s="37">
        <f>IF(ISNUMBER('Sheet2-计算明细'!AL99),'Sheet2-计算明细'!AL99,"")</f>
        <v>87</v>
      </c>
      <c r="O24" s="37">
        <f>IF(ISNUMBER('Sheet2-计算明细'!AM99),'Sheet2-计算明细'!AM99,"")</f>
        <v>95.14</v>
      </c>
      <c r="P24" s="37">
        <f>IF(ISNUMBER('Sheet2-计算明细'!AN99),'Sheet2-计算明细'!AN99,"")</f>
        <v>66.22</v>
      </c>
      <c r="Q24" s="37">
        <f>IF(ISNUMBER('Sheet2-计算明细'!AO99),'Sheet2-计算明细'!AO99,"")</f>
        <v>78.87</v>
      </c>
      <c r="R24" s="37" t="str">
        <f>IF(ISNUMBER('Sheet2-计算明细'!AP99),'Sheet2-计算明细'!AP99,"")</f>
        <v/>
      </c>
      <c r="S24" s="38">
        <f>IF(ISNUMBER('Sheet2-计算明细'!AQ99),'Sheet2-计算明细'!AQ99,"")</f>
        <v>0.7</v>
      </c>
      <c r="T24" s="37">
        <f>IF(ISNUMBER('Sheet2-计算明细'!AR99),'Sheet2-计算明细'!AR99,"")</f>
        <v>55.21864</v>
      </c>
      <c r="U24" s="37">
        <f>IF(ISNUMBER('Sheet2-计算明细'!AS99),'Sheet2-计算明细'!AS99,"")</f>
        <v>78.88</v>
      </c>
      <c r="V24" s="37" t="str">
        <f>IF(ISNUMBER('Sheet2-计算明细'!AV99),'Sheet2-计算明细'!AV99,"")</f>
        <v/>
      </c>
      <c r="W24" s="39" t="str">
        <f>IF('Sheet2-计算明细'!AU99="","",'Sheet2-计算明细'!AU99)</f>
        <v>近三年收益；近三年胜率；近三年回撤；成立以来年化；</v>
      </c>
      <c r="X24" s="40">
        <f>83</f>
        <v>83</v>
      </c>
      <c r="Y24" s="36" t="str">
        <f>IF('Sheet2-计算明细'!AX99="","",'Sheet2-计算明细'!AX99)</f>
        <v>期权策略</v>
      </c>
      <c r="Z24" s="36" t="str">
        <f>IF('Sheet2-计算明细'!AY99="","",'Sheet2-计算明细'!AY99)</f>
        <v/>
      </c>
      <c r="AA24" s="36" t="str">
        <f>IF('Sheet2-计算明细'!AW99="","",'Sheet2-计算明细'!AW99)</f>
        <v>暂定分／数据不完整</v>
      </c>
      <c r="AB24" s="40">
        <f>IF(ISNUMBER('Sheet2-计算明细'!A99),'Sheet2-计算明细'!A99,"")</f>
        <v>83</v>
      </c>
      <c r="AC24" t="str">
        <f>协会公示!E84</f>
        <v>50-100亿元</v>
      </c>
      <c r="AD24" t="str">
        <f>协会公示!F84</f>
        <v>大规模</v>
      </c>
      <c r="AE24" t="str">
        <f>协会公示!G84</f>
        <v>本次公示未见相关提示</v>
      </c>
      <c r="AF24" t="str">
        <f>协会公示!R84</f>
        <v>https://gs.amac.org.cn/amac-infodisc/res/pof/manager/1703070917106985.html</v>
      </c>
    </row>
    <row r="25" ht="44" customHeight="1" spans="1:32">
      <c r="A25" s="36">
        <f>IF(ISNUMBER('Sheet2-计算明细'!AT59),'Sheet2-计算明细'!AT59,"")</f>
        <v>20</v>
      </c>
      <c r="B25" s="36" t="str">
        <f>IF('Sheet2-计算明细'!B59="","",'Sheet2-计算明细'!B59)</f>
        <v>慕途稳健1号</v>
      </c>
      <c r="C25" s="36" t="str">
        <f>IF('Sheet2-计算明细'!C59="","",'Sheet2-计算明细'!C59)</f>
        <v>SVM029</v>
      </c>
      <c r="D25" s="36" t="str">
        <f>IF('Sheet2-计算明细'!D59="","",'Sheet2-计算明细'!D59)</f>
        <v>慕途基金</v>
      </c>
      <c r="E25" s="36" t="str">
        <f>IF('Sheet2-计算明细'!G59="","",'Sheet2-计算明细'!G59)</f>
        <v>入池</v>
      </c>
      <c r="F25" s="37">
        <f>IF(ISNUMBER('Sheet2-计算明细'!I59),'Sheet2-计算明细'!I59,"")</f>
        <v>80</v>
      </c>
      <c r="G25" s="37">
        <f>IF(ISNUMBER('Sheet2-计算明细'!K59),'Sheet2-计算明细'!K59,"")</f>
        <v>100</v>
      </c>
      <c r="H25" s="37">
        <f>IF(ISNUMBER('Sheet2-计算明细'!L59),'Sheet2-计算明细'!L59,"")</f>
        <v>100</v>
      </c>
      <c r="I25" s="37">
        <f>IF(ISNUMBER('Sheet2-计算明细'!S59),'Sheet2-计算明细'!S59,"")</f>
        <v>44.78</v>
      </c>
      <c r="J25" s="37">
        <f>IF(ISNUMBER('Sheet2-计算明细'!Y59),'Sheet2-计算明细'!Y59,"")</f>
        <v>100</v>
      </c>
      <c r="K25" s="37">
        <f>IF(ISNUMBER('Sheet2-计算明细'!AC59),'Sheet2-计算明细'!AC59,"")</f>
        <v>75.68</v>
      </c>
      <c r="L25" s="37">
        <f>IF(ISNUMBER('Sheet2-计算明细'!AI59),'Sheet2-计算明细'!AI59,"")</f>
        <v>79.42</v>
      </c>
      <c r="M25" s="37">
        <f>IF(ISNUMBER('Sheet2-计算明细'!AK59),'Sheet2-计算明细'!AK59,"")</f>
        <v>100</v>
      </c>
      <c r="N25" s="37">
        <f>IF(ISNUMBER('Sheet2-计算明细'!AL59),'Sheet2-计算明细'!AL59,"")</f>
        <v>92</v>
      </c>
      <c r="O25" s="37">
        <f>IF(ISNUMBER('Sheet2-计算明细'!AM59),'Sheet2-计算明细'!AM59,"")</f>
        <v>61.34</v>
      </c>
      <c r="P25" s="37">
        <f>IF(ISNUMBER('Sheet2-计算明细'!AN59),'Sheet2-计算明细'!AN59,"")</f>
        <v>75.68</v>
      </c>
      <c r="Q25" s="37">
        <f>IF(ISNUMBER('Sheet2-计算明细'!AO59),'Sheet2-计算明细'!AO59,"")</f>
        <v>79.42</v>
      </c>
      <c r="R25" s="37">
        <f>IF(ISNUMBER('Sheet2-计算明细'!AP59),'Sheet2-计算明细'!AP59,"")</f>
        <v>100</v>
      </c>
      <c r="S25" s="38">
        <f>IF(ISNUMBER('Sheet2-计算明细'!AQ59),'Sheet2-计算明细'!AQ59,"")</f>
        <v>1</v>
      </c>
      <c r="T25" s="37">
        <f>IF(ISNUMBER('Sheet2-计算明细'!AR59),'Sheet2-计算明细'!AR59,"")</f>
        <v>78.81464</v>
      </c>
      <c r="U25" s="37">
        <f>IF(ISNUMBER('Sheet2-计算明细'!AS59),'Sheet2-计算明细'!AS59,"")</f>
        <v>78.81</v>
      </c>
      <c r="V25" s="37">
        <f>IF(ISNUMBER('Sheet2-计算明细'!AV59),'Sheet2-计算明细'!AV59,"")</f>
        <v>78.81464</v>
      </c>
      <c r="W25" s="39" t="str">
        <f>IF('Sheet2-计算明细'!AU59="","",'Sheet2-计算明细'!AU59)</f>
        <v/>
      </c>
      <c r="X25" s="40">
        <f>43</f>
        <v>43</v>
      </c>
      <c r="Y25" s="36" t="str">
        <f>IF('Sheet2-计算明细'!AX59="","",'Sheet2-计算明细'!AX59)</f>
        <v>期权策略</v>
      </c>
      <c r="Z25" s="36" t="str">
        <f>IF('Sheet2-计算明细'!AY59="","",'Sheet2-计算明细'!AY59)</f>
        <v>场内期权</v>
      </c>
      <c r="AA25" s="36" t="str">
        <f>IF('Sheet2-计算明细'!AW59="","",'Sheet2-计算明细'!AW59)</f>
        <v>完整赋分</v>
      </c>
      <c r="AB25" s="40">
        <f>IF(ISNUMBER('Sheet2-计算明细'!A59),'Sheet2-计算明细'!A59,"")</f>
        <v>43</v>
      </c>
      <c r="AC25" t="str">
        <f>协会公示!E44</f>
        <v>10-20亿元</v>
      </c>
      <c r="AD25" t="str">
        <f>协会公示!F44</f>
        <v>大规模</v>
      </c>
      <c r="AE25" t="str">
        <f>协会公示!G44</f>
        <v>本次公示未见相关提示</v>
      </c>
      <c r="AF25" t="str">
        <f>协会公示!R44</f>
        <v>https://gs.amac.org.cn/amac-infodisc/res/pof/manager/2106221238106983.html</v>
      </c>
    </row>
    <row r="26" ht="44" customHeight="1" spans="1:32">
      <c r="A26" s="36">
        <f>IF(ISNUMBER('Sheet2-计算明细'!AT84),'Sheet2-计算明细'!AT84,"")</f>
        <v>21</v>
      </c>
      <c r="B26" s="36" t="str">
        <f>IF('Sheet2-计算明细'!B84="","",'Sheet2-计算明细'!B84)</f>
        <v>英旷专享2号A类</v>
      </c>
      <c r="C26" s="36" t="str">
        <f>IF('Sheet2-计算明细'!C84="","",'Sheet2-计算明细'!C84)</f>
        <v>AKV28A</v>
      </c>
      <c r="D26" s="36" t="str">
        <f>IF('Sheet2-计算明细'!D84="","",'Sheet2-计算明细'!D84)</f>
        <v>上海英旷资管</v>
      </c>
      <c r="E26" s="36" t="str">
        <f>IF('Sheet2-计算明细'!G84="","",'Sheet2-计算明细'!G84)</f>
        <v>入池</v>
      </c>
      <c r="F26" s="37">
        <f>IF(ISNUMBER('Sheet2-计算明细'!I84),'Sheet2-计算明细'!I84,"")</f>
        <v>80</v>
      </c>
      <c r="G26" s="37" t="str">
        <f>IF(ISNUMBER('Sheet2-计算明细'!K84),'Sheet2-计算明细'!K84,"")</f>
        <v/>
      </c>
      <c r="H26" s="37">
        <f>IF(ISNUMBER('Sheet2-计算明细'!L84),'Sheet2-计算明细'!L84,"")</f>
        <v>70</v>
      </c>
      <c r="I26" s="37">
        <f>IF(ISNUMBER('Sheet2-计算明细'!S84),'Sheet2-计算明细'!S84,"")</f>
        <v>45.76</v>
      </c>
      <c r="J26" s="37">
        <f>IF(ISNUMBER('Sheet2-计算明细'!Y84),'Sheet2-计算明细'!Y84,"")</f>
        <v>76.92</v>
      </c>
      <c r="K26" s="37">
        <f>IF(ISNUMBER('Sheet2-计算明细'!AC84),'Sheet2-计算明细'!AC84,"")</f>
        <v>87.84</v>
      </c>
      <c r="L26" s="37">
        <f>IF(ISNUMBER('Sheet2-计算明细'!AI84),'Sheet2-计算明细'!AI84,"")</f>
        <v>70.42</v>
      </c>
      <c r="M26" s="37">
        <f>IF(ISNUMBER('Sheet2-计算明细'!AK84),'Sheet2-计算明细'!AK84,"")</f>
        <v>100</v>
      </c>
      <c r="N26" s="37">
        <f>IF(ISNUMBER('Sheet2-计算明细'!AL84),'Sheet2-计算明细'!AL84,"")</f>
        <v>75.71</v>
      </c>
      <c r="O26" s="37">
        <f>IF(ISNUMBER('Sheet2-计算明细'!AM84),'Sheet2-计算明细'!AM84,"")</f>
        <v>52.13</v>
      </c>
      <c r="P26" s="37">
        <f>IF(ISNUMBER('Sheet2-计算明细'!AN84),'Sheet2-计算明细'!AN84,"")</f>
        <v>87.84</v>
      </c>
      <c r="Q26" s="37">
        <f>IF(ISNUMBER('Sheet2-计算明细'!AO84),'Sheet2-计算明细'!AO84,"")</f>
        <v>70.42</v>
      </c>
      <c r="R26" s="37">
        <f>IF(ISNUMBER('Sheet2-计算明细'!AP84),'Sheet2-计算明细'!AP84,"")</f>
        <v>100</v>
      </c>
      <c r="S26" s="38">
        <f>IF(ISNUMBER('Sheet2-计算明细'!AQ84),'Sheet2-计算明细'!AQ84,"")</f>
        <v>0.811</v>
      </c>
      <c r="T26" s="37">
        <f>IF(ISNUMBER('Sheet2-计算明细'!AR84),'Sheet2-计算明细'!AR84,"")</f>
        <v>61.76056</v>
      </c>
      <c r="U26" s="37">
        <f>IF(ISNUMBER('Sheet2-计算明细'!AS84),'Sheet2-计算明细'!AS84,"")</f>
        <v>76.15</v>
      </c>
      <c r="V26" s="37" t="str">
        <f>IF(ISNUMBER('Sheet2-计算明细'!AV84),'Sheet2-计算明细'!AV84,"")</f>
        <v/>
      </c>
      <c r="W26" s="39" t="str">
        <f>IF('Sheet2-计算明细'!AU84="","",'Sheet2-计算明细'!AU84)</f>
        <v>产品规模标识；近三年收益；近三年胜率；近三年回撤；DD_long不可识别；</v>
      </c>
      <c r="X26" s="40">
        <f>68</f>
        <v>68</v>
      </c>
      <c r="Y26" s="36" t="str">
        <f>IF('Sheet2-计算明细'!AX84="","",'Sheet2-计算明细'!AX84)</f>
        <v>套利策略</v>
      </c>
      <c r="Z26" s="36" t="str">
        <f>IF('Sheet2-计算明细'!AY84="","",'Sheet2-计算明细'!AY84)</f>
        <v>可转债套利</v>
      </c>
      <c r="AA26" s="36" t="str">
        <f>IF('Sheet2-计算明细'!AW84="","",'Sheet2-计算明细'!AW84)</f>
        <v>暂定分／数据不完整</v>
      </c>
      <c r="AB26" s="40">
        <f>IF(ISNUMBER('Sheet2-计算明细'!A84),'Sheet2-计算明细'!A84,"")</f>
        <v>68</v>
      </c>
      <c r="AC26" t="str">
        <f>协会公示!E69</f>
        <v>10-20亿元</v>
      </c>
      <c r="AD26" t="str">
        <f>协会公示!F69</f>
        <v>大规模</v>
      </c>
      <c r="AE26" t="str">
        <f>协会公示!G69</f>
        <v>本次公示未见相关提示</v>
      </c>
      <c r="AF26" t="str">
        <f>协会公示!R69</f>
        <v>https://gs.amac.org.cn/amac-infodisc/res/pof/manager/2009261701109105.html</v>
      </c>
    </row>
    <row r="27" ht="44" customHeight="1" spans="1:32">
      <c r="A27" s="36">
        <f>IF(ISNUMBER('Sheet2-计算明细'!AT63),'Sheet2-计算明细'!AT63,"")</f>
        <v>22</v>
      </c>
      <c r="B27" s="36" t="str">
        <f>IF('Sheet2-计算明细'!B63="","",'Sheet2-计算明细'!B63)</f>
        <v>平凡浩睿</v>
      </c>
      <c r="C27" s="36" t="str">
        <f>IF('Sheet2-计算明细'!C63="","",'Sheet2-计算明细'!C63)</f>
        <v>SJS890</v>
      </c>
      <c r="D27" s="36" t="str">
        <f>IF('Sheet2-计算明细'!D63="","",'Sheet2-计算明细'!D63)</f>
        <v>北京平凡</v>
      </c>
      <c r="E27" s="36" t="str">
        <f>IF('Sheet2-计算明细'!G63="","",'Sheet2-计算明细'!G63)</f>
        <v>入池</v>
      </c>
      <c r="F27" s="37">
        <f>IF(ISNUMBER('Sheet2-计算明细'!I63),'Sheet2-计算明细'!I63,"")</f>
        <v>90</v>
      </c>
      <c r="G27" s="37">
        <f>IF(ISNUMBER('Sheet2-计算明细'!K63),'Sheet2-计算明细'!K63,"")</f>
        <v>100</v>
      </c>
      <c r="H27" s="37">
        <f>IF(ISNUMBER('Sheet2-计算明细'!L63),'Sheet2-计算明细'!L63,"")</f>
        <v>100</v>
      </c>
      <c r="I27" s="37">
        <f>IF(ISNUMBER('Sheet2-计算明细'!S63),'Sheet2-计算明细'!S63,"")</f>
        <v>80.98</v>
      </c>
      <c r="J27" s="37">
        <f>IF(ISNUMBER('Sheet2-计算明细'!Y63),'Sheet2-计算明细'!Y63,"")</f>
        <v>88.72</v>
      </c>
      <c r="K27" s="37">
        <f>IF(ISNUMBER('Sheet2-计算明细'!AC63),'Sheet2-计算明细'!AC63,"")</f>
        <v>39.19</v>
      </c>
      <c r="L27" s="37">
        <f>IF(ISNUMBER('Sheet2-计算明细'!AI63),'Sheet2-计算明细'!AI63,"")</f>
        <v>79.56</v>
      </c>
      <c r="M27" s="37">
        <f>IF(ISNUMBER('Sheet2-计算明细'!AK63),'Sheet2-计算明细'!AK63,"")</f>
        <v>100</v>
      </c>
      <c r="N27" s="37">
        <f>IF(ISNUMBER('Sheet2-计算明细'!AL63),'Sheet2-计算明细'!AL63,"")</f>
        <v>96</v>
      </c>
      <c r="O27" s="37">
        <f>IF(ISNUMBER('Sheet2-计算明细'!AM63),'Sheet2-计算明细'!AM63,"")</f>
        <v>83.31</v>
      </c>
      <c r="P27" s="37">
        <f>IF(ISNUMBER('Sheet2-计算明细'!AN63),'Sheet2-计算明细'!AN63,"")</f>
        <v>39.19</v>
      </c>
      <c r="Q27" s="37">
        <f>IF(ISNUMBER('Sheet2-计算明细'!AO63),'Sheet2-计算明细'!AO63,"")</f>
        <v>79.56</v>
      </c>
      <c r="R27" s="37">
        <f>IF(ISNUMBER('Sheet2-计算明细'!AP63),'Sheet2-计算明细'!AP63,"")</f>
        <v>100</v>
      </c>
      <c r="S27" s="38">
        <f>IF(ISNUMBER('Sheet2-计算明细'!AQ63),'Sheet2-计算明细'!AQ63,"")</f>
        <v>1</v>
      </c>
      <c r="T27" s="37">
        <f>IF(ISNUMBER('Sheet2-计算明细'!AR63),'Sheet2-计算明细'!AR63,"")</f>
        <v>74.72652</v>
      </c>
      <c r="U27" s="37">
        <f>IF(ISNUMBER('Sheet2-计算明细'!AS63),'Sheet2-计算明细'!AS63,"")</f>
        <v>74.73</v>
      </c>
      <c r="V27" s="37">
        <f>IF(ISNUMBER('Sheet2-计算明细'!AV63),'Sheet2-计算明细'!AV63,"")</f>
        <v>74.72652</v>
      </c>
      <c r="W27" s="39" t="str">
        <f>IF('Sheet2-计算明细'!AU63="","",'Sheet2-计算明细'!AU63)</f>
        <v/>
      </c>
      <c r="X27" s="40">
        <f>47</f>
        <v>47</v>
      </c>
      <c r="Y27" s="36" t="str">
        <f>IF('Sheet2-计算明细'!AX63="","",'Sheet2-计算明细'!AX63)</f>
        <v>套利策略</v>
      </c>
      <c r="Z27" s="36" t="str">
        <f>IF('Sheet2-计算明细'!AY63="","",'Sheet2-计算明细'!AY63)</f>
        <v>基金套利</v>
      </c>
      <c r="AA27" s="36" t="str">
        <f>IF('Sheet2-计算明细'!AW63="","",'Sheet2-计算明细'!AW63)</f>
        <v>完整赋分</v>
      </c>
      <c r="AB27" s="40">
        <f>IF(ISNUMBER('Sheet2-计算明细'!A63),'Sheet2-计算明细'!A63,"")</f>
        <v>47</v>
      </c>
      <c r="AC27" t="str">
        <f>协会公示!E48</f>
        <v>50-100亿元</v>
      </c>
      <c r="AD27" t="str">
        <f>协会公示!F48</f>
        <v>大规模</v>
      </c>
      <c r="AE27" t="str">
        <f>协会公示!G48</f>
        <v>本次公示未见相关提示</v>
      </c>
      <c r="AF27" t="str">
        <f>协会公示!R48</f>
        <v>https://gs.amac.org.cn/amac-infodisc/res/pof/manager/101000030286.html</v>
      </c>
    </row>
    <row r="28" ht="44" customHeight="1" spans="1:32">
      <c r="A28" s="36">
        <f>IF(ISNUMBER('Sheet2-计算明细'!AT47),'Sheet2-计算明细'!AT47,"")</f>
        <v>23</v>
      </c>
      <c r="B28" s="36" t="str">
        <f>IF('Sheet2-计算明细'!B47="","",'Sheet2-计算明细'!B47)</f>
        <v>钧誉厚德量化对冲11号</v>
      </c>
      <c r="C28" s="36" t="str">
        <f>IF('Sheet2-计算明细'!C47="","",'Sheet2-计算明细'!C47)</f>
        <v>SQN453</v>
      </c>
      <c r="D28" s="36" t="str">
        <f>IF('Sheet2-计算明细'!D47="","",'Sheet2-计算明细'!D47)</f>
        <v>珠海钧誉资管</v>
      </c>
      <c r="E28" s="36" t="str">
        <f>IF('Sheet2-计算明细'!G47="","",'Sheet2-计算明细'!G47)</f>
        <v>入池</v>
      </c>
      <c r="F28" s="37">
        <f>IF(ISNUMBER('Sheet2-计算明细'!I47),'Sheet2-计算明细'!I47,"")</f>
        <v>60</v>
      </c>
      <c r="G28" s="37">
        <f>IF(ISNUMBER('Sheet2-计算明细'!K47),'Sheet2-计算明细'!K47,"")</f>
        <v>100</v>
      </c>
      <c r="H28" s="37">
        <f>IF(ISNUMBER('Sheet2-计算明细'!L47),'Sheet2-计算明细'!L47,"")</f>
        <v>100</v>
      </c>
      <c r="I28" s="37">
        <f>IF(ISNUMBER('Sheet2-计算明细'!S47),'Sheet2-计算明细'!S47,"")</f>
        <v>54.7</v>
      </c>
      <c r="J28" s="37" t="str">
        <f>IF(ISNUMBER('Sheet2-计算明细'!Y47),'Sheet2-计算明细'!Y47,"")</f>
        <v/>
      </c>
      <c r="K28" s="37">
        <f>IF(ISNUMBER('Sheet2-计算明细'!AC47),'Sheet2-计算明细'!AC47,"")</f>
        <v>77.03</v>
      </c>
      <c r="L28" s="37">
        <f>IF(ISNUMBER('Sheet2-计算明细'!AI47),'Sheet2-计算明细'!AI47,"")</f>
        <v>63.38</v>
      </c>
      <c r="M28" s="37">
        <f>IF(ISNUMBER('Sheet2-计算明细'!AK47),'Sheet2-计算明细'!AK47,"")</f>
        <v>100</v>
      </c>
      <c r="N28" s="37">
        <f>IF(ISNUMBER('Sheet2-计算明细'!AL47),'Sheet2-计算明细'!AL47,"")</f>
        <v>84</v>
      </c>
      <c r="O28" s="37">
        <f>IF(ISNUMBER('Sheet2-计算明细'!AM47),'Sheet2-计算明细'!AM47,"")</f>
        <v>54.7</v>
      </c>
      <c r="P28" s="37">
        <f>IF(ISNUMBER('Sheet2-计算明细'!AN47),'Sheet2-计算明细'!AN47,"")</f>
        <v>77.03</v>
      </c>
      <c r="Q28" s="37">
        <f>IF(ISNUMBER('Sheet2-计算明细'!AO47),'Sheet2-计算明细'!AO47,"")</f>
        <v>63.38</v>
      </c>
      <c r="R28" s="37">
        <f>IF(ISNUMBER('Sheet2-计算明细'!AP47),'Sheet2-计算明细'!AP47,"")</f>
        <v>100</v>
      </c>
      <c r="S28" s="38">
        <f>IF(ISNUMBER('Sheet2-计算明细'!AQ47),'Sheet2-计算明细'!AQ47,"")</f>
        <v>0.82</v>
      </c>
      <c r="T28" s="37">
        <f>IF(ISNUMBER('Sheet2-计算明细'!AR47),'Sheet2-计算明细'!AR47,"")</f>
        <v>60.92362</v>
      </c>
      <c r="U28" s="37">
        <f>IF(ISNUMBER('Sheet2-计算明细'!AS47),'Sheet2-计算明细'!AS47,"")</f>
        <v>74.3</v>
      </c>
      <c r="V28" s="37" t="str">
        <f>IF(ISNUMBER('Sheet2-计算明细'!AV47),'Sheet2-计算明细'!AV47,"")</f>
        <v/>
      </c>
      <c r="W28" s="39" t="str">
        <f>IF('Sheet2-计算明细'!AU47="","",'Sheet2-计算明细'!AU47)</f>
        <v>近一年胜率；近三年胜率；DD_long不可识别；</v>
      </c>
      <c r="X28" s="40">
        <f>31</f>
        <v>31</v>
      </c>
      <c r="Y28" s="36" t="str">
        <f>IF('Sheet2-计算明细'!AX47="","",'Sheet2-计算明细'!AX47)</f>
        <v>套利策略</v>
      </c>
      <c r="Z28" s="36" t="str">
        <f>IF('Sheet2-计算明细'!AY47="","",'Sheet2-计算明细'!AY47)</f>
        <v>期货套利</v>
      </c>
      <c r="AA28" s="36" t="str">
        <f>IF('Sheet2-计算明细'!AW47="","",'Sheet2-计算明细'!AW47)</f>
        <v>暂定分／数据不完整</v>
      </c>
      <c r="AB28" s="40">
        <f>IF(ISNUMBER('Sheet2-计算明细'!A47),'Sheet2-计算明细'!A47,"")</f>
        <v>31</v>
      </c>
      <c r="AC28" t="str">
        <f>协会公示!E32</f>
        <v>0-5亿元</v>
      </c>
      <c r="AD28" t="str">
        <f>协会公示!F32</f>
        <v>小规模</v>
      </c>
      <c r="AE28" t="str">
        <f>协会公示!G32</f>
        <v>本次公示未见相关提示</v>
      </c>
      <c r="AF28" t="str">
        <f>协会公示!R32</f>
        <v>https://gs.amac.org.cn/amac-infodisc/res/pof/manager/1801241613109731.html</v>
      </c>
    </row>
    <row r="29" ht="44" customHeight="1" spans="1:32">
      <c r="A29" s="36">
        <f>IF(ISNUMBER('Sheet2-计算明细'!AT45),'Sheet2-计算明细'!AT45,"")</f>
        <v>24</v>
      </c>
      <c r="B29" s="36" t="str">
        <f>IF('Sheet2-计算明细'!B45="","",'Sheet2-计算明细'!B45)</f>
        <v>九招真格量化套利一号</v>
      </c>
      <c r="C29" s="36" t="str">
        <f>IF('Sheet2-计算明细'!C45="","",'Sheet2-计算明细'!C45)</f>
        <v>SQD546</v>
      </c>
      <c r="D29" s="36" t="str">
        <f>IF('Sheet2-计算明细'!D45="","",'Sheet2-计算明细'!D45)</f>
        <v>武汉九招</v>
      </c>
      <c r="E29" s="36" t="str">
        <f>IF('Sheet2-计算明细'!G45="","",'Sheet2-计算明细'!G45)</f>
        <v>入池</v>
      </c>
      <c r="F29" s="37">
        <f>IF(ISNUMBER('Sheet2-计算明细'!I45),'Sheet2-计算明细'!I45,"")</f>
        <v>70</v>
      </c>
      <c r="G29" s="37">
        <f>IF(ISNUMBER('Sheet2-计算明细'!K45),'Sheet2-计算明细'!K45,"")</f>
        <v>100</v>
      </c>
      <c r="H29" s="37">
        <f>IF(ISNUMBER('Sheet2-计算明细'!L45),'Sheet2-计算明细'!L45,"")</f>
        <v>100</v>
      </c>
      <c r="I29" s="37">
        <f>IF(ISNUMBER('Sheet2-计算明细'!S45),'Sheet2-计算明细'!S45,"")</f>
        <v>79.4</v>
      </c>
      <c r="J29" s="37">
        <f>IF(ISNUMBER('Sheet2-计算明细'!Y45),'Sheet2-计算明细'!Y45,"")</f>
        <v>93.33</v>
      </c>
      <c r="K29" s="37">
        <f>IF(ISNUMBER('Sheet2-计算明细'!AC45),'Sheet2-计算明细'!AC45,"")</f>
        <v>44.59</v>
      </c>
      <c r="L29" s="37">
        <f>IF(ISNUMBER('Sheet2-计算明细'!AI45),'Sheet2-计算明细'!AI45,"")</f>
        <v>77.39</v>
      </c>
      <c r="M29" s="37">
        <f>IF(ISNUMBER('Sheet2-计算明细'!AK45),'Sheet2-计算明细'!AK45,"")</f>
        <v>100</v>
      </c>
      <c r="N29" s="37">
        <f>IF(ISNUMBER('Sheet2-计算明细'!AL45),'Sheet2-计算明细'!AL45,"")</f>
        <v>88</v>
      </c>
      <c r="O29" s="37">
        <f>IF(ISNUMBER('Sheet2-计算明细'!AM45),'Sheet2-计算明细'!AM45,"")</f>
        <v>83.58</v>
      </c>
      <c r="P29" s="37">
        <f>IF(ISNUMBER('Sheet2-计算明细'!AN45),'Sheet2-计算明细'!AN45,"")</f>
        <v>44.59</v>
      </c>
      <c r="Q29" s="37">
        <f>IF(ISNUMBER('Sheet2-计算明细'!AO45),'Sheet2-计算明细'!AO45,"")</f>
        <v>77.39</v>
      </c>
      <c r="R29" s="37">
        <f>IF(ISNUMBER('Sheet2-计算明细'!AP45),'Sheet2-计算明细'!AP45,"")</f>
        <v>100</v>
      </c>
      <c r="S29" s="38">
        <f>IF(ISNUMBER('Sheet2-计算明细'!AQ45),'Sheet2-计算明细'!AQ45,"")</f>
        <v>1</v>
      </c>
      <c r="T29" s="37">
        <f>IF(ISNUMBER('Sheet2-计算明细'!AR45),'Sheet2-计算明细'!AR45,"")</f>
        <v>74.28057</v>
      </c>
      <c r="U29" s="37">
        <f>IF(ISNUMBER('Sheet2-计算明细'!AS45),'Sheet2-计算明细'!AS45,"")</f>
        <v>74.28</v>
      </c>
      <c r="V29" s="37">
        <f>IF(ISNUMBER('Sheet2-计算明细'!AV45),'Sheet2-计算明细'!AV45,"")</f>
        <v>74.28057</v>
      </c>
      <c r="W29" s="39" t="str">
        <f>IF('Sheet2-计算明细'!AU45="","",'Sheet2-计算明细'!AU45)</f>
        <v/>
      </c>
      <c r="X29" s="40">
        <f>29</f>
        <v>29</v>
      </c>
      <c r="Y29" s="36" t="str">
        <f>IF('Sheet2-计算明细'!AX45="","",'Sheet2-计算明细'!AX45)</f>
        <v>套利策略</v>
      </c>
      <c r="Z29" s="36" t="str">
        <f>IF('Sheet2-计算明细'!AY45="","",'Sheet2-计算明细'!AY45)</f>
        <v>期货套利</v>
      </c>
      <c r="AA29" s="36" t="str">
        <f>IF('Sheet2-计算明细'!AW45="","",'Sheet2-计算明细'!AW45)</f>
        <v>完整赋分</v>
      </c>
      <c r="AB29" s="40">
        <f>IF(ISNUMBER('Sheet2-计算明细'!A45),'Sheet2-计算明细'!A45,"")</f>
        <v>29</v>
      </c>
      <c r="AC29" t="str">
        <f>协会公示!E30</f>
        <v>5-10亿元</v>
      </c>
      <c r="AD29" t="str">
        <f>协会公示!F30</f>
        <v>大规模</v>
      </c>
      <c r="AE29" t="str">
        <f>协会公示!G30</f>
        <v>监管警示函</v>
      </c>
      <c r="AF29" t="str">
        <f>协会公示!R30</f>
        <v>https://gs.amac.org.cn/amac-infodisc/res/pof/manager/2301051740101642.html</v>
      </c>
    </row>
    <row r="30" ht="44" customHeight="1" spans="1:32">
      <c r="A30" s="36">
        <f>IF(ISNUMBER('Sheet2-计算明细'!AT53),'Sheet2-计算明细'!AT53,"")</f>
        <v>25</v>
      </c>
      <c r="B30" s="36" t="str">
        <f>IF('Sheet2-计算明细'!B53="","",'Sheet2-计算明细'!B53)</f>
        <v>鸣熙资产-招享套利1号</v>
      </c>
      <c r="C30" s="36" t="str">
        <f>IF('Sheet2-计算明细'!C53="","",'Sheet2-计算明细'!C53)</f>
        <v>SJZ381</v>
      </c>
      <c r="D30" s="36" t="str">
        <f>IF('Sheet2-计算明细'!D53="","",'Sheet2-计算明细'!D53)</f>
        <v>鸣熙资本</v>
      </c>
      <c r="E30" s="36" t="str">
        <f>IF('Sheet2-计算明细'!G53="","",'Sheet2-计算明细'!G53)</f>
        <v>入池</v>
      </c>
      <c r="F30" s="37">
        <f>IF(ISNUMBER('Sheet2-计算明细'!I53),'Sheet2-计算明细'!I53,"")</f>
        <v>100</v>
      </c>
      <c r="G30" s="37">
        <f>IF(ISNUMBER('Sheet2-计算明细'!K53),'Sheet2-计算明细'!K53,"")</f>
        <v>100</v>
      </c>
      <c r="H30" s="37">
        <f>IF(ISNUMBER('Sheet2-计算明细'!L53),'Sheet2-计算明细'!L53,"")</f>
        <v>100</v>
      </c>
      <c r="I30" s="37">
        <f>IF(ISNUMBER('Sheet2-计算明细'!S53),'Sheet2-计算明细'!S53,"")</f>
        <v>36.29</v>
      </c>
      <c r="J30" s="37">
        <f>IF(ISNUMBER('Sheet2-计算明细'!Y53),'Sheet2-计算明细'!Y53,"")</f>
        <v>84.49</v>
      </c>
      <c r="K30" s="37">
        <f>IF(ISNUMBER('Sheet2-计算明细'!AC53),'Sheet2-计算明细'!AC53,"")</f>
        <v>89.19</v>
      </c>
      <c r="L30" s="37">
        <f>IF(ISNUMBER('Sheet2-计算明细'!AI53),'Sheet2-计算明细'!AI53,"")</f>
        <v>50.7</v>
      </c>
      <c r="M30" s="37">
        <f>IF(ISNUMBER('Sheet2-计算明细'!AK53),'Sheet2-计算明细'!AK53,"")</f>
        <v>80</v>
      </c>
      <c r="N30" s="37">
        <f>IF(ISNUMBER('Sheet2-计算明细'!AL53),'Sheet2-计算明细'!AL53,"")</f>
        <v>100</v>
      </c>
      <c r="O30" s="37">
        <f>IF(ISNUMBER('Sheet2-计算明细'!AM53),'Sheet2-计算明细'!AM53,"")</f>
        <v>50.75</v>
      </c>
      <c r="P30" s="37">
        <f>IF(ISNUMBER('Sheet2-计算明细'!AN53),'Sheet2-计算明细'!AN53,"")</f>
        <v>89.19</v>
      </c>
      <c r="Q30" s="37">
        <f>IF(ISNUMBER('Sheet2-计算明细'!AO53),'Sheet2-计算明细'!AO53,"")</f>
        <v>50.7</v>
      </c>
      <c r="R30" s="37">
        <f>IF(ISNUMBER('Sheet2-计算明细'!AP53),'Sheet2-计算明细'!AP53,"")</f>
        <v>80</v>
      </c>
      <c r="S30" s="38">
        <f>IF(ISNUMBER('Sheet2-计算明细'!AQ53),'Sheet2-计算明细'!AQ53,"")</f>
        <v>0.88</v>
      </c>
      <c r="T30" s="37">
        <f>IF(ISNUMBER('Sheet2-计算明细'!AR53),'Sheet2-计算明细'!AR53,"")</f>
        <v>64.57357</v>
      </c>
      <c r="U30" s="37">
        <f>IF(ISNUMBER('Sheet2-计算明细'!AS53),'Sheet2-计算明细'!AS53,"")</f>
        <v>73.38</v>
      </c>
      <c r="V30" s="37" t="str">
        <f>IF(ISNUMBER('Sheet2-计算明细'!AV53),'Sheet2-计算明细'!AV53,"")</f>
        <v/>
      </c>
      <c r="W30" s="39" t="str">
        <f>IF('Sheet2-计算明细'!AU53="","",'Sheet2-计算明细'!AU53)</f>
        <v>DD_long不可识别；</v>
      </c>
      <c r="X30" s="40">
        <f>37</f>
        <v>37</v>
      </c>
      <c r="Y30" s="36" t="str">
        <f>IF('Sheet2-计算明细'!AX53="","",'Sheet2-计算明细'!AX53)</f>
        <v>套利策略</v>
      </c>
      <c r="Z30" s="36" t="str">
        <f>IF('Sheet2-计算明细'!AY53="","",'Sheet2-计算明细'!AY53)</f>
        <v>期货套利</v>
      </c>
      <c r="AA30" s="36" t="str">
        <f>IF('Sheet2-计算明细'!AW53="","",'Sheet2-计算明细'!AW53)</f>
        <v>暂定分／数据不完整</v>
      </c>
      <c r="AB30" s="40">
        <f>IF(ISNUMBER('Sheet2-计算明细'!A53),'Sheet2-计算明细'!A53,"")</f>
        <v>37</v>
      </c>
      <c r="AC30" t="str">
        <f>协会公示!E38</f>
        <v>100亿元以上</v>
      </c>
      <c r="AD30" t="str">
        <f>协会公示!F38</f>
        <v>大规模</v>
      </c>
      <c r="AE30" t="str">
        <f>协会公示!G38</f>
        <v>本次公示未见相关提示</v>
      </c>
      <c r="AF30" t="str">
        <f>协会公示!R38</f>
        <v>https://gs.amac.org.cn/amac-infodisc/res/pof/manager/101000039347.html</v>
      </c>
    </row>
    <row r="31" ht="44" customHeight="1" spans="1:32">
      <c r="A31" s="36">
        <f>IF(ISNUMBER('Sheet2-计算明细'!AT23),'Sheet2-计算明细'!AT23,"")</f>
        <v>26</v>
      </c>
      <c r="B31" s="36" t="str">
        <f>IF('Sheet2-计算明细'!B23="","",'Sheet2-计算明细'!B23)</f>
        <v>常行7号</v>
      </c>
      <c r="C31" s="36" t="str">
        <f>IF('Sheet2-计算明细'!C23="","",'Sheet2-计算明细'!C23)</f>
        <v>SQH214</v>
      </c>
      <c r="D31" s="36" t="str">
        <f>IF('Sheet2-计算明细'!D23="","",'Sheet2-计算明细'!D23)</f>
        <v>江苏常行投资</v>
      </c>
      <c r="E31" s="36" t="str">
        <f>IF('Sheet2-计算明细'!G23="","",'Sheet2-计算明细'!G23)</f>
        <v>入池</v>
      </c>
      <c r="F31" s="37">
        <f>IF(ISNUMBER('Sheet2-计算明细'!I23),'Sheet2-计算明细'!I23,"")</f>
        <v>70</v>
      </c>
      <c r="G31" s="37">
        <f>IF(ISNUMBER('Sheet2-计算明细'!K23),'Sheet2-计算明细'!K23,"")</f>
        <v>100</v>
      </c>
      <c r="H31" s="37">
        <f>IF(ISNUMBER('Sheet2-计算明细'!L23),'Sheet2-计算明细'!L23,"")</f>
        <v>100</v>
      </c>
      <c r="I31" s="37">
        <f>IF(ISNUMBER('Sheet2-计算明细'!S23),'Sheet2-计算明细'!S23,"")</f>
        <v>31.14</v>
      </c>
      <c r="J31" s="37">
        <f>IF(ISNUMBER('Sheet2-计算明细'!Y23),'Sheet2-计算明细'!Y23,"")</f>
        <v>93.33</v>
      </c>
      <c r="K31" s="37">
        <f>IF(ISNUMBER('Sheet2-计算明细'!AC23),'Sheet2-计算明细'!AC23,"")</f>
        <v>64.86</v>
      </c>
      <c r="L31" s="37">
        <f>IF(ISNUMBER('Sheet2-计算明细'!AI23),'Sheet2-计算明细'!AI23,"")</f>
        <v>79.53</v>
      </c>
      <c r="M31" s="37">
        <f>IF(ISNUMBER('Sheet2-计算明细'!AK23),'Sheet2-计算明细'!AK23,"")</f>
        <v>100</v>
      </c>
      <c r="N31" s="37">
        <f>IF(ISNUMBER('Sheet2-计算明细'!AL23),'Sheet2-计算明细'!AL23,"")</f>
        <v>88</v>
      </c>
      <c r="O31" s="37">
        <f>IF(ISNUMBER('Sheet2-计算明细'!AM23),'Sheet2-计算明细'!AM23,"")</f>
        <v>49.8</v>
      </c>
      <c r="P31" s="37">
        <f>IF(ISNUMBER('Sheet2-计算明细'!AN23),'Sheet2-计算明细'!AN23,"")</f>
        <v>64.86</v>
      </c>
      <c r="Q31" s="37">
        <f>IF(ISNUMBER('Sheet2-计算明细'!AO23),'Sheet2-计算明细'!AO23,"")</f>
        <v>79.53</v>
      </c>
      <c r="R31" s="37">
        <f>IF(ISNUMBER('Sheet2-计算明细'!AP23),'Sheet2-计算明细'!AP23,"")</f>
        <v>100</v>
      </c>
      <c r="S31" s="38">
        <f>IF(ISNUMBER('Sheet2-计算明细'!AQ23),'Sheet2-计算明细'!AQ23,"")</f>
        <v>1</v>
      </c>
      <c r="T31" s="37">
        <f>IF(ISNUMBER('Sheet2-计算明细'!AR23),'Sheet2-计算明细'!AR23,"")</f>
        <v>73.23244</v>
      </c>
      <c r="U31" s="37">
        <f>IF(ISNUMBER('Sheet2-计算明细'!AS23),'Sheet2-计算明细'!AS23,"")</f>
        <v>73.23</v>
      </c>
      <c r="V31" s="37">
        <f>IF(ISNUMBER('Sheet2-计算明细'!AV23),'Sheet2-计算明细'!AV23,"")</f>
        <v>73.23244</v>
      </c>
      <c r="W31" s="39" t="str">
        <f>IF('Sheet2-计算明细'!AU23="","",'Sheet2-计算明细'!AU23)</f>
        <v/>
      </c>
      <c r="X31" s="40">
        <f>7</f>
        <v>7</v>
      </c>
      <c r="Y31" s="36" t="str">
        <f>IF('Sheet2-计算明细'!AX23="","",'Sheet2-计算明细'!AX23)</f>
        <v>套利策略</v>
      </c>
      <c r="Z31" s="36" t="str">
        <f>IF('Sheet2-计算明细'!AY23="","",'Sheet2-计算明细'!AY23)</f>
        <v>期货套利</v>
      </c>
      <c r="AA31" s="36" t="str">
        <f>IF('Sheet2-计算明细'!AW23="","",'Sheet2-计算明细'!AW23)</f>
        <v>完整赋分</v>
      </c>
      <c r="AB31" s="40">
        <f>IF(ISNUMBER('Sheet2-计算明细'!A23),'Sheet2-计算明细'!A23,"")</f>
        <v>7</v>
      </c>
      <c r="AC31" t="str">
        <f>协会公示!E8</f>
        <v>5-10亿元</v>
      </c>
      <c r="AD31" t="str">
        <f>协会公示!F8</f>
        <v>大规模</v>
      </c>
      <c r="AE31" t="str">
        <f>协会公示!G8</f>
        <v>本次公示未见相关提示</v>
      </c>
      <c r="AF31" t="str">
        <f>协会公示!R8</f>
        <v>https://gs.amac.org.cn/amac-infodisc/res/pof/manager/101000022360.html</v>
      </c>
    </row>
    <row r="32" ht="44" customHeight="1" spans="1:32">
      <c r="A32" s="36">
        <f>IF(ISNUMBER('Sheet2-计算明细'!AT68),'Sheet2-计算明细'!AT68,"")</f>
        <v>27</v>
      </c>
      <c r="B32" s="36" t="str">
        <f>IF('Sheet2-计算明细'!B68="","",'Sheet2-计算明细'!B68)</f>
        <v>睿启鑫享1号</v>
      </c>
      <c r="C32" s="36" t="str">
        <f>IF('Sheet2-计算明细'!C68="","",'Sheet2-计算明细'!C68)</f>
        <v>SAQD46</v>
      </c>
      <c r="D32" s="36" t="str">
        <f>IF('Sheet2-计算明细'!D68="","",'Sheet2-计算明细'!D68)</f>
        <v>无锡睿启</v>
      </c>
      <c r="E32" s="36" t="str">
        <f>IF('Sheet2-计算明细'!G68="","",'Sheet2-计算明细'!G68)</f>
        <v>入池</v>
      </c>
      <c r="F32" s="37">
        <f>IF(ISNUMBER('Sheet2-计算明细'!I68),'Sheet2-计算明细'!I68,"")</f>
        <v>70</v>
      </c>
      <c r="G32" s="37">
        <f>IF(ISNUMBER('Sheet2-计算明细'!K68),'Sheet2-计算明细'!K68,"")</f>
        <v>100</v>
      </c>
      <c r="H32" s="37">
        <f>IF(ISNUMBER('Sheet2-计算明细'!L68),'Sheet2-计算明细'!L68,"")</f>
        <v>70</v>
      </c>
      <c r="I32" s="37">
        <f>IF(ISNUMBER('Sheet2-计算明细'!S68),'Sheet2-计算明细'!S68,"")</f>
        <v>65.91</v>
      </c>
      <c r="J32" s="37">
        <f>IF(ISNUMBER('Sheet2-计算明细'!Y68),'Sheet2-计算明细'!Y68,"")</f>
        <v>61.5384615384615</v>
      </c>
      <c r="K32" s="37">
        <f>IF(ISNUMBER('Sheet2-计算明细'!AC68),'Sheet2-计算明细'!AC68,"")</f>
        <v>72.97</v>
      </c>
      <c r="L32" s="37">
        <f>IF(ISNUMBER('Sheet2-计算明细'!AI68),'Sheet2-计算明细'!AI68,"")</f>
        <v>57.75</v>
      </c>
      <c r="M32" s="37">
        <f>IF(ISNUMBER('Sheet2-计算明细'!AK68),'Sheet2-计算明细'!AK68,"")</f>
        <v>100</v>
      </c>
      <c r="N32" s="37">
        <f>IF(ISNUMBER('Sheet2-计算明细'!AL68),'Sheet2-计算明细'!AL68,"")</f>
        <v>79</v>
      </c>
      <c r="O32" s="37">
        <f>IF(ISNUMBER('Sheet2-计算明细'!AM68),'Sheet2-计算明细'!AM68,"")</f>
        <v>65.01</v>
      </c>
      <c r="P32" s="37">
        <f>IF(ISNUMBER('Sheet2-计算明细'!AN68),'Sheet2-计算明细'!AN68,"")</f>
        <v>72.97</v>
      </c>
      <c r="Q32" s="37">
        <f>IF(ISNUMBER('Sheet2-计算明细'!AO68),'Sheet2-计算明细'!AO68,"")</f>
        <v>57.75</v>
      </c>
      <c r="R32" s="37">
        <f>IF(ISNUMBER('Sheet2-计算明细'!AP68),'Sheet2-计算明细'!AP68,"")</f>
        <v>100</v>
      </c>
      <c r="S32" s="38">
        <f>IF(ISNUMBER('Sheet2-计算明细'!AQ68),'Sheet2-计算明细'!AQ68,"")</f>
        <v>0.856</v>
      </c>
      <c r="T32" s="37">
        <f>IF(ISNUMBER('Sheet2-计算明细'!AR68),'Sheet2-计算明细'!AR68,"")</f>
        <v>61.9300046153846</v>
      </c>
      <c r="U32" s="37">
        <f>IF(ISNUMBER('Sheet2-计算明细'!AS68),'Sheet2-计算明细'!AS68,"")</f>
        <v>72.35</v>
      </c>
      <c r="V32" s="37" t="str">
        <f>IF(ISNUMBER('Sheet2-计算明细'!AV68),'Sheet2-计算明细'!AV68,"")</f>
        <v/>
      </c>
      <c r="W32" s="39" t="str">
        <f>IF('Sheet2-计算明细'!AU68="","",'Sheet2-计算明细'!AU68)</f>
        <v>近三年收益；近三年胜率；近三年回撤；DD_long不可识别；</v>
      </c>
      <c r="X32" s="40">
        <f>52</f>
        <v>52</v>
      </c>
      <c r="Y32" s="36" t="str">
        <f>IF('Sheet2-计算明细'!AX68="","",'Sheet2-计算明细'!AX68)</f>
        <v>套利策略</v>
      </c>
      <c r="Z32" s="36" t="str">
        <f>IF('Sheet2-计算明细'!AY68="","",'Sheet2-计算明细'!AY68)</f>
        <v>期货套利</v>
      </c>
      <c r="AA32" s="36" t="str">
        <f>IF('Sheet2-计算明细'!AW68="","",'Sheet2-计算明细'!AW68)</f>
        <v>暂定分／数据不完整</v>
      </c>
      <c r="AB32" s="40">
        <f>IF(ISNUMBER('Sheet2-计算明细'!A68),'Sheet2-计算明细'!A68,"")</f>
        <v>52</v>
      </c>
      <c r="AC32" t="str">
        <f>协会公示!E53</f>
        <v>5-10亿元</v>
      </c>
      <c r="AD32" t="str">
        <f>协会公示!F53</f>
        <v>大规模</v>
      </c>
      <c r="AE32" t="str">
        <f>协会公示!G53</f>
        <v>协会提示／已整改异常</v>
      </c>
      <c r="AF32" t="str">
        <f>协会公示!R53</f>
        <v>https://gs.amac.org.cn/amac-infodisc/res/pof/manager/2302061359107599.html</v>
      </c>
    </row>
    <row r="33" ht="44" customHeight="1" spans="1:32">
      <c r="A33" s="36">
        <f>IF(ISNUMBER('Sheet2-计算明细'!AT34),'Sheet2-计算明细'!AT34,"")</f>
        <v>28</v>
      </c>
      <c r="B33" s="36" t="str">
        <f>IF('Sheet2-计算明细'!B34="","",'Sheet2-计算明细'!B34)</f>
        <v>广联宏稳健2号</v>
      </c>
      <c r="C33" s="36" t="str">
        <f>IF('Sheet2-计算明细'!C34="","",'Sheet2-计算明细'!C34)</f>
        <v>SATV20</v>
      </c>
      <c r="D33" s="36" t="str">
        <f>IF('Sheet2-计算明细'!D34="","",'Sheet2-计算明细'!D34)</f>
        <v>海南广联宏</v>
      </c>
      <c r="E33" s="36" t="str">
        <f>IF('Sheet2-计算明细'!G34="","",'Sheet2-计算明细'!G34)</f>
        <v>入池</v>
      </c>
      <c r="F33" s="37">
        <f>IF(ISNUMBER('Sheet2-计算明细'!I34),'Sheet2-计算明细'!I34,"")</f>
        <v>70</v>
      </c>
      <c r="G33" s="37">
        <f>IF(ISNUMBER('Sheet2-计算明细'!K34),'Sheet2-计算明细'!K34,"")</f>
        <v>100</v>
      </c>
      <c r="H33" s="37">
        <f>IF(ISNUMBER('Sheet2-计算明细'!L34),'Sheet2-计算明细'!L34,"")</f>
        <v>70</v>
      </c>
      <c r="I33" s="37">
        <f>IF(ISNUMBER('Sheet2-计算明细'!S34),'Sheet2-计算明细'!S34,"")</f>
        <v>89.7</v>
      </c>
      <c r="J33" s="37">
        <f>IF(ISNUMBER('Sheet2-计算明细'!Y34),'Sheet2-计算明细'!Y34,"")</f>
        <v>84.62</v>
      </c>
      <c r="K33" s="37">
        <f>IF(ISNUMBER('Sheet2-计算明细'!AC34),'Sheet2-计算明细'!AC34,"")</f>
        <v>54.05</v>
      </c>
      <c r="L33" s="37">
        <f>IF(ISNUMBER('Sheet2-计算明细'!AI34),'Sheet2-计算明细'!AI34,"")</f>
        <v>60.56</v>
      </c>
      <c r="M33" s="37">
        <f>IF(ISNUMBER('Sheet2-计算明细'!AK34),'Sheet2-计算明细'!AK34,"")</f>
        <v>100</v>
      </c>
      <c r="N33" s="37">
        <f>IF(ISNUMBER('Sheet2-计算明细'!AL34),'Sheet2-计算明细'!AL34,"")</f>
        <v>79</v>
      </c>
      <c r="O33" s="37">
        <f>IF(ISNUMBER('Sheet2-计算明细'!AM34),'Sheet2-计算明细'!AM34,"")</f>
        <v>88.66</v>
      </c>
      <c r="P33" s="37">
        <f>IF(ISNUMBER('Sheet2-计算明细'!AN34),'Sheet2-计算明细'!AN34,"")</f>
        <v>54.05</v>
      </c>
      <c r="Q33" s="37">
        <f>IF(ISNUMBER('Sheet2-计算明细'!AO34),'Sheet2-计算明细'!AO34,"")</f>
        <v>60.56</v>
      </c>
      <c r="R33" s="37">
        <f>IF(ISNUMBER('Sheet2-计算明细'!AP34),'Sheet2-计算明细'!AP34,"")</f>
        <v>100</v>
      </c>
      <c r="S33" s="38">
        <f>IF(ISNUMBER('Sheet2-计算明细'!AQ34),'Sheet2-计算明细'!AQ34,"")</f>
        <v>0.856</v>
      </c>
      <c r="T33" s="37">
        <f>IF(ISNUMBER('Sheet2-计算明细'!AR34),'Sheet2-计算明细'!AR34,"")</f>
        <v>61.86734</v>
      </c>
      <c r="U33" s="37">
        <f>IF(ISNUMBER('Sheet2-计算明细'!AS34),'Sheet2-计算明细'!AS34,"")</f>
        <v>72.27</v>
      </c>
      <c r="V33" s="37" t="str">
        <f>IF(ISNUMBER('Sheet2-计算明细'!AV34),'Sheet2-计算明细'!AV34,"")</f>
        <v/>
      </c>
      <c r="W33" s="39" t="str">
        <f>IF('Sheet2-计算明细'!AU34="","",'Sheet2-计算明细'!AU34)</f>
        <v>近三年收益；近三年胜率；近三年回撤；DD_long不可识别；</v>
      </c>
      <c r="X33" s="40">
        <f>18</f>
        <v>18</v>
      </c>
      <c r="Y33" s="36" t="str">
        <f>IF('Sheet2-计算明细'!AX34="","",'Sheet2-计算明细'!AX34)</f>
        <v>套利策略</v>
      </c>
      <c r="Z33" s="36" t="str">
        <f>IF('Sheet2-计算明细'!AY34="","",'Sheet2-计算明细'!AY34)</f>
        <v>期货套利</v>
      </c>
      <c r="AA33" s="36" t="str">
        <f>IF('Sheet2-计算明细'!AW34="","",'Sheet2-计算明细'!AW34)</f>
        <v>暂定分／数据不完整</v>
      </c>
      <c r="AB33" s="40">
        <f>IF(ISNUMBER('Sheet2-计算明细'!A34),'Sheet2-计算明细'!A34,"")</f>
        <v>18</v>
      </c>
      <c r="AC33" t="str">
        <f>协会公示!E19</f>
        <v>5-10亿元</v>
      </c>
      <c r="AD33" t="str">
        <f>协会公示!F19</f>
        <v>大规模</v>
      </c>
      <c r="AE33" t="str">
        <f>协会公示!G19</f>
        <v>协会提示／已整改异常</v>
      </c>
      <c r="AF33" t="str">
        <f>协会公示!R19</f>
        <v>https://gs.amac.org.cn/amac-infodisc/res/pof/manager/2109061042100364.html</v>
      </c>
    </row>
    <row r="34" ht="44" customHeight="1" spans="1:32">
      <c r="A34" s="36">
        <f>IF(ISNUMBER('Sheet2-计算明细'!AT85),'Sheet2-计算明细'!AT85,"")</f>
        <v>29</v>
      </c>
      <c r="B34" s="36" t="str">
        <f>IF('Sheet2-计算明细'!B85="","",'Sheet2-计算明细'!B85)</f>
        <v>永泉奇点17号混合投资</v>
      </c>
      <c r="C34" s="36" t="str">
        <f>IF('Sheet2-计算明细'!C85="","",'Sheet2-计算明细'!C85)</f>
        <v>SNG016</v>
      </c>
      <c r="D34" s="36" t="str">
        <f>IF('Sheet2-计算明细'!D85="","",'Sheet2-计算明细'!D85)</f>
        <v>宁波永泉</v>
      </c>
      <c r="E34" s="36" t="str">
        <f>IF('Sheet2-计算明细'!G85="","",'Sheet2-计算明细'!G85)</f>
        <v>入池</v>
      </c>
      <c r="F34" s="37">
        <f>IF(ISNUMBER('Sheet2-计算明细'!I85),'Sheet2-计算明细'!I85,"")</f>
        <v>60</v>
      </c>
      <c r="G34" s="37">
        <f>IF(ISNUMBER('Sheet2-计算明细'!K85),'Sheet2-计算明细'!K85,"")</f>
        <v>100</v>
      </c>
      <c r="H34" s="37">
        <f>IF(ISNUMBER('Sheet2-计算明细'!L85),'Sheet2-计算明细'!L85,"")</f>
        <v>100</v>
      </c>
      <c r="I34" s="37">
        <f>IF(ISNUMBER('Sheet2-计算明细'!S85),'Sheet2-计算明细'!S85,"")</f>
        <v>49.09</v>
      </c>
      <c r="J34" s="37">
        <f>IF(ISNUMBER('Sheet2-计算明细'!Y85),'Sheet2-计算明细'!Y85,"")</f>
        <v>82.44</v>
      </c>
      <c r="K34" s="37">
        <f>IF(ISNUMBER('Sheet2-计算明细'!AC85),'Sheet2-计算明细'!AC85,"")</f>
        <v>68.92</v>
      </c>
      <c r="L34" s="37">
        <f>IF(ISNUMBER('Sheet2-计算明细'!AI85),'Sheet2-计算明细'!AI85,"")</f>
        <v>74.72</v>
      </c>
      <c r="M34" s="37">
        <f>IF(ISNUMBER('Sheet2-计算明细'!AK85),'Sheet2-计算明细'!AK85,"")</f>
        <v>80</v>
      </c>
      <c r="N34" s="37">
        <f>IF(ISNUMBER('Sheet2-计算明细'!AL85),'Sheet2-计算明细'!AL85,"")</f>
        <v>84</v>
      </c>
      <c r="O34" s="37">
        <f>IF(ISNUMBER('Sheet2-计算明细'!AM85),'Sheet2-计算明细'!AM85,"")</f>
        <v>59.09</v>
      </c>
      <c r="P34" s="37">
        <f>IF(ISNUMBER('Sheet2-计算明细'!AN85),'Sheet2-计算明细'!AN85,"")</f>
        <v>68.92</v>
      </c>
      <c r="Q34" s="37">
        <f>IF(ISNUMBER('Sheet2-计算明细'!AO85),'Sheet2-计算明细'!AO85,"")</f>
        <v>74.72</v>
      </c>
      <c r="R34" s="37">
        <f>IF(ISNUMBER('Sheet2-计算明细'!AP85),'Sheet2-计算明细'!AP85,"")</f>
        <v>80</v>
      </c>
      <c r="S34" s="38">
        <f>IF(ISNUMBER('Sheet2-计算明细'!AQ85),'Sheet2-计算明细'!AQ85,"")</f>
        <v>1</v>
      </c>
      <c r="T34" s="37">
        <f>IF(ISNUMBER('Sheet2-计算明细'!AR85),'Sheet2-计算明细'!AR85,"")</f>
        <v>72.06454</v>
      </c>
      <c r="U34" s="37">
        <f>IF(ISNUMBER('Sheet2-计算明细'!AS85),'Sheet2-计算明细'!AS85,"")</f>
        <v>72.06</v>
      </c>
      <c r="V34" s="37">
        <f>IF(ISNUMBER('Sheet2-计算明细'!AV85),'Sheet2-计算明细'!AV85,"")</f>
        <v>72.06454</v>
      </c>
      <c r="W34" s="39" t="str">
        <f>IF('Sheet2-计算明细'!AU85="","",'Sheet2-计算明细'!AU85)</f>
        <v/>
      </c>
      <c r="X34" s="40">
        <f>69</f>
        <v>69</v>
      </c>
      <c r="Y34" s="36" t="str">
        <f>IF('Sheet2-计算明细'!AX85="","",'Sheet2-计算明细'!AX85)</f>
        <v>套利策略</v>
      </c>
      <c r="Z34" s="36" t="str">
        <f>IF('Sheet2-计算明细'!AY85="","",'Sheet2-计算明细'!AY85)</f>
        <v>期货套利</v>
      </c>
      <c r="AA34" s="36" t="str">
        <f>IF('Sheet2-计算明细'!AW85="","",'Sheet2-计算明细'!AW85)</f>
        <v>完整赋分</v>
      </c>
      <c r="AB34" s="40">
        <f>IF(ISNUMBER('Sheet2-计算明细'!A85),'Sheet2-计算明细'!A85,"")</f>
        <v>69</v>
      </c>
      <c r="AC34" t="str">
        <f>协会公示!E70</f>
        <v>0-5亿元</v>
      </c>
      <c r="AD34" t="str">
        <f>协会公示!F70</f>
        <v>小规模</v>
      </c>
      <c r="AE34" t="str">
        <f>协会公示!G70</f>
        <v>协会提示／已整改异常</v>
      </c>
      <c r="AF34" t="str">
        <f>协会公示!R70</f>
        <v>https://gs.amac.org.cn/amac-infodisc/res/pof/manager/101000016974.html</v>
      </c>
    </row>
    <row r="35" ht="44" customHeight="1" spans="1:32">
      <c r="A35" s="36">
        <f>IF(ISNUMBER('Sheet2-计算明细'!AT25),'Sheet2-计算明细'!AT25,"")</f>
        <v>30</v>
      </c>
      <c r="B35" s="36" t="str">
        <f>IF('Sheet2-计算明细'!B25="","",'Sheet2-计算明细'!B25)</f>
        <v>辰元优选稳健</v>
      </c>
      <c r="C35" s="36" t="str">
        <f>IF('Sheet2-计算明细'!C25="","",'Sheet2-计算明细'!C25)</f>
        <v>SZH690</v>
      </c>
      <c r="D35" s="36" t="str">
        <f>IF('Sheet2-计算明细'!D25="","",'Sheet2-计算明细'!D25)</f>
        <v>广东辰元</v>
      </c>
      <c r="E35" s="36" t="str">
        <f>IF('Sheet2-计算明细'!G25="","",'Sheet2-计算明细'!G25)</f>
        <v>入池</v>
      </c>
      <c r="F35" s="37">
        <f>IF(ISNUMBER('Sheet2-计算明细'!I25),'Sheet2-计算明细'!I25,"")</f>
        <v>90</v>
      </c>
      <c r="G35" s="37">
        <f>IF(ISNUMBER('Sheet2-计算明细'!K25),'Sheet2-计算明细'!K25,"")</f>
        <v>100</v>
      </c>
      <c r="H35" s="37">
        <f>IF(ISNUMBER('Sheet2-计算明细'!L25),'Sheet2-计算明细'!L25,"")</f>
        <v>100</v>
      </c>
      <c r="I35" s="37">
        <f>IF(ISNUMBER('Sheet2-计算明细'!S25),'Sheet2-计算明细'!S25,"")</f>
        <v>30.53</v>
      </c>
      <c r="J35" s="37">
        <f>IF(ISNUMBER('Sheet2-计算明细'!Y25),'Sheet2-计算明细'!Y25,"")</f>
        <v>75.25</v>
      </c>
      <c r="K35" s="37">
        <f>IF(ISNUMBER('Sheet2-计算明细'!AC25),'Sheet2-计算明细'!AC25,"")</f>
        <v>91.89</v>
      </c>
      <c r="L35" s="37">
        <f>IF(ISNUMBER('Sheet2-计算明细'!AI25),'Sheet2-计算明细'!AI25,"")</f>
        <v>42.25</v>
      </c>
      <c r="M35" s="37">
        <f>IF(ISNUMBER('Sheet2-计算明细'!AK25),'Sheet2-计算明细'!AK25,"")</f>
        <v>80</v>
      </c>
      <c r="N35" s="37">
        <f>IF(ISNUMBER('Sheet2-计算明细'!AL25),'Sheet2-计算明细'!AL25,"")</f>
        <v>96</v>
      </c>
      <c r="O35" s="37">
        <f>IF(ISNUMBER('Sheet2-计算明细'!AM25),'Sheet2-计算明细'!AM25,"")</f>
        <v>43.95</v>
      </c>
      <c r="P35" s="37">
        <f>IF(ISNUMBER('Sheet2-计算明细'!AN25),'Sheet2-计算明细'!AN25,"")</f>
        <v>91.89</v>
      </c>
      <c r="Q35" s="37">
        <f>IF(ISNUMBER('Sheet2-计算明细'!AO25),'Sheet2-计算明细'!AO25,"")</f>
        <v>42.25</v>
      </c>
      <c r="R35" s="37">
        <f>IF(ISNUMBER('Sheet2-计算明细'!AP25),'Sheet2-计算明细'!AP25,"")</f>
        <v>80</v>
      </c>
      <c r="S35" s="38">
        <f>IF(ISNUMBER('Sheet2-计算明细'!AQ25),'Sheet2-计算明细'!AQ25,"")</f>
        <v>0.88</v>
      </c>
      <c r="T35" s="37">
        <f>IF(ISNUMBER('Sheet2-计算明细'!AR25),'Sheet2-计算明细'!AR25,"")</f>
        <v>61.76726</v>
      </c>
      <c r="U35" s="37">
        <f>IF(ISNUMBER('Sheet2-计算明细'!AS25),'Sheet2-计算明细'!AS25,"")</f>
        <v>70.19</v>
      </c>
      <c r="V35" s="37" t="str">
        <f>IF(ISNUMBER('Sheet2-计算明细'!AV25),'Sheet2-计算明细'!AV25,"")</f>
        <v/>
      </c>
      <c r="W35" s="39" t="str">
        <f>IF('Sheet2-计算明细'!AU25="","",'Sheet2-计算明细'!AU25)</f>
        <v>DD_long不可识别；</v>
      </c>
      <c r="X35" s="40">
        <f>9</f>
        <v>9</v>
      </c>
      <c r="Y35" s="36" t="str">
        <f>IF('Sheet2-计算明细'!AX25="","",'Sheet2-计算明细'!AX25)</f>
        <v>套利策略</v>
      </c>
      <c r="Z35" s="36" t="str">
        <f>IF('Sheet2-计算明细'!AY25="","",'Sheet2-计算明细'!AY25)</f>
        <v>混合套利</v>
      </c>
      <c r="AA35" s="36" t="str">
        <f>IF('Sheet2-计算明细'!AW25="","",'Sheet2-计算明细'!AW25)</f>
        <v>暂定分／数据不完整</v>
      </c>
      <c r="AB35" s="40">
        <f>IF(ISNUMBER('Sheet2-计算明细'!A25),'Sheet2-计算明细'!A25,"")</f>
        <v>9</v>
      </c>
      <c r="AC35" t="str">
        <f>协会公示!E10</f>
        <v>20-50亿元</v>
      </c>
      <c r="AD35" t="str">
        <f>协会公示!F10</f>
        <v>大规模</v>
      </c>
      <c r="AE35" t="str">
        <f>协会公示!G10</f>
        <v>本次公示未见相关提示</v>
      </c>
      <c r="AF35" t="str">
        <f>协会公示!R10</f>
        <v>https://gs.amac.org.cn/amac-infodisc/res/pof/manager/2209261520106658.html</v>
      </c>
    </row>
    <row r="36" ht="44" customHeight="1" spans="1:32">
      <c r="A36" s="36">
        <f>IF(ISNUMBER('Sheet2-计算明细'!AT78),'Sheet2-计算明细'!AT78,"")</f>
        <v>31</v>
      </c>
      <c r="B36" s="36" t="str">
        <f>IF('Sheet2-计算明细'!B78="","",'Sheet2-计算明细'!B78)</f>
        <v>殊馥兴义7号</v>
      </c>
      <c r="C36" s="36" t="str">
        <f>IF('Sheet2-计算明细'!C78="","",'Sheet2-计算明细'!C78)</f>
        <v>SXT610</v>
      </c>
      <c r="D36" s="36" t="str">
        <f>IF('Sheet2-计算明细'!D78="","",'Sheet2-计算明细'!D78)</f>
        <v>上海殊馥投资</v>
      </c>
      <c r="E36" s="36" t="str">
        <f>IF('Sheet2-计算明细'!G78="","",'Sheet2-计算明细'!G78)</f>
        <v>入池</v>
      </c>
      <c r="F36" s="37">
        <f>IF(ISNUMBER('Sheet2-计算明细'!I78),'Sheet2-计算明细'!I78,"")</f>
        <v>80</v>
      </c>
      <c r="G36" s="37">
        <f>IF(ISNUMBER('Sheet2-计算明细'!K78),'Sheet2-计算明细'!K78,"")</f>
        <v>100</v>
      </c>
      <c r="H36" s="37">
        <f>IF(ISNUMBER('Sheet2-计算明细'!L78),'Sheet2-计算明细'!L78,"")</f>
        <v>100</v>
      </c>
      <c r="I36" s="37">
        <f>IF(ISNUMBER('Sheet2-计算明细'!S78),'Sheet2-计算明细'!S78,"")</f>
        <v>41.59</v>
      </c>
      <c r="J36" s="37">
        <f>IF(ISNUMBER('Sheet2-计算明细'!Y78),'Sheet2-计算明细'!Y78,"")</f>
        <v>84.1</v>
      </c>
      <c r="K36" s="37">
        <f>IF(ISNUMBER('Sheet2-计算明细'!AC78),'Sheet2-计算明细'!AC78,"")</f>
        <v>78.38</v>
      </c>
      <c r="L36" s="37">
        <f>IF(ISNUMBER('Sheet2-计算明细'!AI78),'Sheet2-计算明细'!AI78,"")</f>
        <v>52.11</v>
      </c>
      <c r="M36" s="37">
        <f>IF(ISNUMBER('Sheet2-计算明细'!AK78),'Sheet2-计算明细'!AK78,"")</f>
        <v>80</v>
      </c>
      <c r="N36" s="37">
        <f>IF(ISNUMBER('Sheet2-计算明细'!AL78),'Sheet2-计算明细'!AL78,"")</f>
        <v>92</v>
      </c>
      <c r="O36" s="37">
        <f>IF(ISNUMBER('Sheet2-计算明细'!AM78),'Sheet2-计算明细'!AM78,"")</f>
        <v>54.34</v>
      </c>
      <c r="P36" s="37">
        <f>IF(ISNUMBER('Sheet2-计算明细'!AN78),'Sheet2-计算明细'!AN78,"")</f>
        <v>78.38</v>
      </c>
      <c r="Q36" s="37">
        <f>IF(ISNUMBER('Sheet2-计算明细'!AO78),'Sheet2-计算明细'!AO78,"")</f>
        <v>52.11</v>
      </c>
      <c r="R36" s="37">
        <f>IF(ISNUMBER('Sheet2-计算明细'!AP78),'Sheet2-计算明细'!AP78,"")</f>
        <v>80</v>
      </c>
      <c r="S36" s="38">
        <f>IF(ISNUMBER('Sheet2-计算明细'!AQ78),'Sheet2-计算明细'!AQ78,"")</f>
        <v>0.88</v>
      </c>
      <c r="T36" s="37">
        <f>IF(ISNUMBER('Sheet2-计算明细'!AR78),'Sheet2-计算明细'!AR78,"")</f>
        <v>61.64324</v>
      </c>
      <c r="U36" s="37">
        <f>IF(ISNUMBER('Sheet2-计算明细'!AS78),'Sheet2-计算明细'!AS78,"")</f>
        <v>70.05</v>
      </c>
      <c r="V36" s="37" t="str">
        <f>IF(ISNUMBER('Sheet2-计算明细'!AV78),'Sheet2-计算明细'!AV78,"")</f>
        <v/>
      </c>
      <c r="W36" s="39" t="str">
        <f>IF('Sheet2-计算明细'!AU78="","",'Sheet2-计算明细'!AU78)</f>
        <v>DD_long不可识别；</v>
      </c>
      <c r="X36" s="40">
        <f>62</f>
        <v>62</v>
      </c>
      <c r="Y36" s="36" t="str">
        <f>IF('Sheet2-计算明细'!AX78="","",'Sheet2-计算明细'!AX78)</f>
        <v>套利策略</v>
      </c>
      <c r="Z36" s="36" t="str">
        <f>IF('Sheet2-计算明细'!AY78="","",'Sheet2-计算明细'!AY78)</f>
        <v>期货套利</v>
      </c>
      <c r="AA36" s="36" t="str">
        <f>IF('Sheet2-计算明细'!AW78="","",'Sheet2-计算明细'!AW78)</f>
        <v>暂定分／数据不完整</v>
      </c>
      <c r="AB36" s="40">
        <f>IF(ISNUMBER('Sheet2-计算明细'!A78),'Sheet2-计算明细'!A78,"")</f>
        <v>62</v>
      </c>
      <c r="AC36" t="str">
        <f>协会公示!E63</f>
        <v>10-20亿元</v>
      </c>
      <c r="AD36" t="str">
        <f>协会公示!F63</f>
        <v>大规模</v>
      </c>
      <c r="AE36" t="str">
        <f>协会公示!G63</f>
        <v>历史监管责令改正</v>
      </c>
      <c r="AF36" t="str">
        <f>协会公示!R63</f>
        <v>https://gs.amac.org.cn/amac-infodisc/res/pof/manager/101000042776.html</v>
      </c>
    </row>
    <row r="37" ht="44" customHeight="1" spans="1:32">
      <c r="A37" s="36">
        <f>IF(ISNUMBER('Sheet2-计算明细'!AT86),'Sheet2-计算明细'!AT86,"")</f>
        <v>32</v>
      </c>
      <c r="B37" s="36" t="str">
        <f>IF('Sheet2-计算明细'!B86="","",'Sheet2-计算明细'!B86)</f>
        <v>永泉奇点1号混合投资</v>
      </c>
      <c r="C37" s="36" t="str">
        <f>IF('Sheet2-计算明细'!C86="","",'Sheet2-计算明细'!C86)</f>
        <v>SGM299</v>
      </c>
      <c r="D37" s="36" t="str">
        <f>IF('Sheet2-计算明细'!D86="","",'Sheet2-计算明细'!D86)</f>
        <v>宁波永泉</v>
      </c>
      <c r="E37" s="36" t="str">
        <f>IF('Sheet2-计算明细'!G86="","",'Sheet2-计算明细'!G86)</f>
        <v>入池</v>
      </c>
      <c r="F37" s="37">
        <f>IF(ISNUMBER('Sheet2-计算明细'!I86),'Sheet2-计算明细'!I86,"")</f>
        <v>60</v>
      </c>
      <c r="G37" s="37">
        <f>IF(ISNUMBER('Sheet2-计算明细'!K86),'Sheet2-计算明细'!K86,"")</f>
        <v>100</v>
      </c>
      <c r="H37" s="37">
        <f>IF(ISNUMBER('Sheet2-计算明细'!L86),'Sheet2-计算明细'!L86,"")</f>
        <v>100</v>
      </c>
      <c r="I37" s="37">
        <f>IF(ISNUMBER('Sheet2-计算明细'!S86),'Sheet2-计算明细'!S86,"")</f>
        <v>45.53</v>
      </c>
      <c r="J37" s="37">
        <f>IF(ISNUMBER('Sheet2-计算明细'!Y86),'Sheet2-计算明细'!Y86,"")</f>
        <v>88.72</v>
      </c>
      <c r="K37" s="37">
        <f>IF(ISNUMBER('Sheet2-计算明细'!AC86),'Sheet2-计算明细'!AC86,"")</f>
        <v>58.11</v>
      </c>
      <c r="L37" s="37">
        <f>IF(ISNUMBER('Sheet2-计算明细'!AI86),'Sheet2-计算明细'!AI86,"")</f>
        <v>76.51</v>
      </c>
      <c r="M37" s="37">
        <f>IF(ISNUMBER('Sheet2-计算明细'!AK86),'Sheet2-计算明细'!AK86,"")</f>
        <v>80</v>
      </c>
      <c r="N37" s="37">
        <f>IF(ISNUMBER('Sheet2-计算明细'!AL86),'Sheet2-计算明细'!AL86,"")</f>
        <v>84</v>
      </c>
      <c r="O37" s="37">
        <f>IF(ISNUMBER('Sheet2-计算明细'!AM86),'Sheet2-计算明细'!AM86,"")</f>
        <v>58.49</v>
      </c>
      <c r="P37" s="37">
        <f>IF(ISNUMBER('Sheet2-计算明细'!AN86),'Sheet2-计算明细'!AN86,"")</f>
        <v>58.11</v>
      </c>
      <c r="Q37" s="37">
        <f>IF(ISNUMBER('Sheet2-计算明细'!AO86),'Sheet2-计算明细'!AO86,"")</f>
        <v>76.51</v>
      </c>
      <c r="R37" s="37">
        <f>IF(ISNUMBER('Sheet2-计算明细'!AP86),'Sheet2-计算明细'!AP86,"")</f>
        <v>80</v>
      </c>
      <c r="S37" s="38">
        <f>IF(ISNUMBER('Sheet2-计算明细'!AQ86),'Sheet2-计算明细'!AQ86,"")</f>
        <v>1</v>
      </c>
      <c r="T37" s="37">
        <f>IF(ISNUMBER('Sheet2-计算明细'!AR86),'Sheet2-计算明细'!AR86,"")</f>
        <v>69.77916</v>
      </c>
      <c r="U37" s="37">
        <f>IF(ISNUMBER('Sheet2-计算明细'!AS86),'Sheet2-计算明细'!AS86,"")</f>
        <v>69.78</v>
      </c>
      <c r="V37" s="37">
        <f>IF(ISNUMBER('Sheet2-计算明细'!AV86),'Sheet2-计算明细'!AV86,"")</f>
        <v>69.77916</v>
      </c>
      <c r="W37" s="39" t="str">
        <f>IF('Sheet2-计算明细'!AU86="","",'Sheet2-计算明细'!AU86)</f>
        <v/>
      </c>
      <c r="X37" s="40">
        <f>70</f>
        <v>70</v>
      </c>
      <c r="Y37" s="36" t="str">
        <f>IF('Sheet2-计算明细'!AX86="","",'Sheet2-计算明细'!AX86)</f>
        <v>套利策略</v>
      </c>
      <c r="Z37" s="36" t="str">
        <f>IF('Sheet2-计算明细'!AY86="","",'Sheet2-计算明细'!AY86)</f>
        <v>期货套利</v>
      </c>
      <c r="AA37" s="36" t="str">
        <f>IF('Sheet2-计算明细'!AW86="","",'Sheet2-计算明细'!AW86)</f>
        <v>完整赋分</v>
      </c>
      <c r="AB37" s="40">
        <f>IF(ISNUMBER('Sheet2-计算明细'!A86),'Sheet2-计算明细'!A86,"")</f>
        <v>70</v>
      </c>
      <c r="AC37" t="str">
        <f>协会公示!E71</f>
        <v>0-5亿元</v>
      </c>
      <c r="AD37" t="str">
        <f>协会公示!F71</f>
        <v>小规模</v>
      </c>
      <c r="AE37" t="str">
        <f>协会公示!G71</f>
        <v>协会提示／已整改异常</v>
      </c>
      <c r="AF37" t="str">
        <f>协会公示!R71</f>
        <v>https://gs.amac.org.cn/amac-infodisc/res/pof/manager/101000016974.html</v>
      </c>
    </row>
    <row r="38" ht="44" customHeight="1" spans="1:32">
      <c r="A38" s="36">
        <f>IF(ISNUMBER('Sheet2-计算明细'!AT64),'Sheet2-计算明细'!AT64,"")</f>
        <v>33</v>
      </c>
      <c r="B38" s="36" t="str">
        <f>IF('Sheet2-计算明细'!B64="","",'Sheet2-计算明细'!B64)</f>
        <v>平凡悟鑫</v>
      </c>
      <c r="C38" s="36" t="str">
        <f>IF('Sheet2-计算明细'!C64="","",'Sheet2-计算明细'!C64)</f>
        <v>SJ2870</v>
      </c>
      <c r="D38" s="36" t="str">
        <f>IF('Sheet2-计算明细'!D64="","",'Sheet2-计算明细'!D64)</f>
        <v>北京平凡</v>
      </c>
      <c r="E38" s="36" t="str">
        <f>IF('Sheet2-计算明细'!G64="","",'Sheet2-计算明细'!G64)</f>
        <v>入池</v>
      </c>
      <c r="F38" s="37">
        <f>IF(ISNUMBER('Sheet2-计算明细'!I64),'Sheet2-计算明细'!I64,"")</f>
        <v>90</v>
      </c>
      <c r="G38" s="37">
        <f>IF(ISNUMBER('Sheet2-计算明细'!K64),'Sheet2-计算明细'!K64,"")</f>
        <v>100</v>
      </c>
      <c r="H38" s="37">
        <f>IF(ISNUMBER('Sheet2-计算明细'!L64),'Sheet2-计算明细'!L64,"")</f>
        <v>100</v>
      </c>
      <c r="I38" s="37">
        <f>IF(ISNUMBER('Sheet2-计算明细'!S64),'Sheet2-计算明细'!S64,"")</f>
        <v>34.54</v>
      </c>
      <c r="J38" s="37">
        <f>IF(ISNUMBER('Sheet2-计算明细'!Y64),'Sheet2-计算明细'!Y64,"")</f>
        <v>90.39</v>
      </c>
      <c r="K38" s="37">
        <f>IF(ISNUMBER('Sheet2-计算明细'!AC64),'Sheet2-计算明细'!AC64,"")</f>
        <v>74.32</v>
      </c>
      <c r="L38" s="37">
        <f>IF(ISNUMBER('Sheet2-计算明细'!AI64),'Sheet2-计算明细'!AI64,"")</f>
        <v>45.07</v>
      </c>
      <c r="M38" s="37">
        <f>IF(ISNUMBER('Sheet2-计算明细'!AK64),'Sheet2-计算明细'!AK64,"")</f>
        <v>100</v>
      </c>
      <c r="N38" s="37">
        <f>IF(ISNUMBER('Sheet2-计算明细'!AL64),'Sheet2-计算明细'!AL64,"")</f>
        <v>96</v>
      </c>
      <c r="O38" s="37">
        <f>IF(ISNUMBER('Sheet2-计算明细'!AM64),'Sheet2-计算明细'!AM64,"")</f>
        <v>51.3</v>
      </c>
      <c r="P38" s="37">
        <f>IF(ISNUMBER('Sheet2-计算明细'!AN64),'Sheet2-计算明细'!AN64,"")</f>
        <v>74.32</v>
      </c>
      <c r="Q38" s="37">
        <f>IF(ISNUMBER('Sheet2-计算明细'!AO64),'Sheet2-计算明细'!AO64,"")</f>
        <v>45.07</v>
      </c>
      <c r="R38" s="37">
        <f>IF(ISNUMBER('Sheet2-计算明细'!AP64),'Sheet2-计算明细'!AP64,"")</f>
        <v>100</v>
      </c>
      <c r="S38" s="38">
        <f>IF(ISNUMBER('Sheet2-计算明细'!AQ64),'Sheet2-计算明细'!AQ64,"")</f>
        <v>0.88</v>
      </c>
      <c r="T38" s="37">
        <f>IF(ISNUMBER('Sheet2-计算明细'!AR64),'Sheet2-计算明细'!AR64,"")</f>
        <v>61.35164</v>
      </c>
      <c r="U38" s="37">
        <f>IF(ISNUMBER('Sheet2-计算明细'!AS64),'Sheet2-计算明细'!AS64,"")</f>
        <v>69.72</v>
      </c>
      <c r="V38" s="37" t="str">
        <f>IF(ISNUMBER('Sheet2-计算明细'!AV64),'Sheet2-计算明细'!AV64,"")</f>
        <v/>
      </c>
      <c r="W38" s="39" t="str">
        <f>IF('Sheet2-计算明细'!AU64="","",'Sheet2-计算明细'!AU64)</f>
        <v>DD_long不可识别；</v>
      </c>
      <c r="X38" s="40">
        <f>48</f>
        <v>48</v>
      </c>
      <c r="Y38" s="36" t="str">
        <f>IF('Sheet2-计算明细'!AX64="","",'Sheet2-计算明细'!AX64)</f>
        <v>套利策略</v>
      </c>
      <c r="Z38" s="36" t="str">
        <f>IF('Sheet2-计算明细'!AY64="","",'Sheet2-计算明细'!AY64)</f>
        <v>基金套利</v>
      </c>
      <c r="AA38" s="36" t="str">
        <f>IF('Sheet2-计算明细'!AW64="","",'Sheet2-计算明细'!AW64)</f>
        <v>暂定分／数据不完整</v>
      </c>
      <c r="AB38" s="40">
        <f>IF(ISNUMBER('Sheet2-计算明细'!A64),'Sheet2-计算明细'!A64,"")</f>
        <v>48</v>
      </c>
      <c r="AC38" t="str">
        <f>协会公示!E49</f>
        <v>50-100亿元</v>
      </c>
      <c r="AD38" t="str">
        <f>协会公示!F49</f>
        <v>大规模</v>
      </c>
      <c r="AE38" t="str">
        <f>协会公示!G49</f>
        <v>本次公示未见相关提示</v>
      </c>
      <c r="AF38" t="str">
        <f>协会公示!R49</f>
        <v>https://gs.amac.org.cn/amac-infodisc/res/pof/manager/101000030286.html</v>
      </c>
    </row>
    <row r="39" ht="44" customHeight="1" spans="1:32">
      <c r="A39" s="36">
        <f>IF(ISNUMBER('Sheet2-计算明细'!AT20),'Sheet2-计算明细'!AT20,"")</f>
        <v>34</v>
      </c>
      <c r="B39" s="36" t="str">
        <f>IF('Sheet2-计算明细'!B20="","",'Sheet2-计算明细'!B20)</f>
        <v>博润小牛3号</v>
      </c>
      <c r="C39" s="36" t="str">
        <f>IF('Sheet2-计算明细'!C20="","",'Sheet2-计算明细'!C20)</f>
        <v>STV728</v>
      </c>
      <c r="D39" s="36" t="str">
        <f>IF('Sheet2-计算明细'!D20="","",'Sheet2-计算明细'!D20)</f>
        <v>北京博润银泰投资</v>
      </c>
      <c r="E39" s="36" t="str">
        <f>IF('Sheet2-计算明细'!G20="","",'Sheet2-计算明细'!G20)</f>
        <v>入池</v>
      </c>
      <c r="F39" s="37">
        <f>IF(ISNUMBER('Sheet2-计算明细'!I20),'Sheet2-计算明细'!I20,"")</f>
        <v>100</v>
      </c>
      <c r="G39" s="37">
        <f>IF(ISNUMBER('Sheet2-计算明细'!K20),'Sheet2-计算明细'!K20,"")</f>
        <v>100</v>
      </c>
      <c r="H39" s="37">
        <f>IF(ISNUMBER('Sheet2-计算明细'!L20),'Sheet2-计算明细'!L20,"")</f>
        <v>100</v>
      </c>
      <c r="I39" s="37">
        <f>IF(ISNUMBER('Sheet2-计算明细'!S20),'Sheet2-计算明细'!S20,"")</f>
        <v>87.12</v>
      </c>
      <c r="J39" s="37">
        <f>IF(ISNUMBER('Sheet2-计算明细'!Y20),'Sheet2-计算明细'!Y20,"")</f>
        <v>84.1</v>
      </c>
      <c r="K39" s="37">
        <f>IF(ISNUMBER('Sheet2-计算明细'!AC20),'Sheet2-计算明细'!AC20,"")</f>
        <v>51.35</v>
      </c>
      <c r="L39" s="37">
        <f>IF(ISNUMBER('Sheet2-计算明细'!AI20),'Sheet2-计算明细'!AI20,"")</f>
        <v>54.95</v>
      </c>
      <c r="M39" s="37">
        <f>IF(ISNUMBER('Sheet2-计算明细'!AK20),'Sheet2-计算明细'!AK20,"")</f>
        <v>80</v>
      </c>
      <c r="N39" s="37">
        <f>IF(ISNUMBER('Sheet2-计算明细'!AL20),'Sheet2-计算明细'!AL20,"")</f>
        <v>100</v>
      </c>
      <c r="O39" s="37">
        <f>IF(ISNUMBER('Sheet2-计算明细'!AM20),'Sheet2-计算明细'!AM20,"")</f>
        <v>86.22</v>
      </c>
      <c r="P39" s="37">
        <f>IF(ISNUMBER('Sheet2-计算明细'!AN20),'Sheet2-计算明细'!AN20,"")</f>
        <v>51.35</v>
      </c>
      <c r="Q39" s="37">
        <f>IF(ISNUMBER('Sheet2-计算明细'!AO20),'Sheet2-计算明细'!AO20,"")</f>
        <v>54.95</v>
      </c>
      <c r="R39" s="37">
        <f>IF(ISNUMBER('Sheet2-计算明细'!AP20),'Sheet2-计算明细'!AP20,"")</f>
        <v>80</v>
      </c>
      <c r="S39" s="38">
        <f>IF(ISNUMBER('Sheet2-计算明细'!AQ20),'Sheet2-计算明细'!AQ20,"")</f>
        <v>1</v>
      </c>
      <c r="T39" s="37">
        <f>IF(ISNUMBER('Sheet2-计算明细'!AR20),'Sheet2-计算明细'!AR20,"")</f>
        <v>69.56538</v>
      </c>
      <c r="U39" s="37">
        <f>IF(ISNUMBER('Sheet2-计算明细'!AS20),'Sheet2-计算明细'!AS20,"")</f>
        <v>69.57</v>
      </c>
      <c r="V39" s="37">
        <f>IF(ISNUMBER('Sheet2-计算明细'!AV20),'Sheet2-计算明细'!AV20,"")</f>
        <v>69.56538</v>
      </c>
      <c r="W39" s="39" t="str">
        <f>IF('Sheet2-计算明细'!AU20="","",'Sheet2-计算明细'!AU20)</f>
        <v/>
      </c>
      <c r="X39" s="40">
        <f>4</f>
        <v>4</v>
      </c>
      <c r="Y39" s="36" t="str">
        <f>IF('Sheet2-计算明细'!AX20="","",'Sheet2-计算明细'!AX20)</f>
        <v>套利策略</v>
      </c>
      <c r="Z39" s="36" t="str">
        <f>IF('Sheet2-计算明细'!AY20="","",'Sheet2-计算明细'!AY20)</f>
        <v>基金套利</v>
      </c>
      <c r="AA39" s="36" t="str">
        <f>IF('Sheet2-计算明细'!AW20="","",'Sheet2-计算明细'!AW20)</f>
        <v>完整赋分</v>
      </c>
      <c r="AB39" s="40">
        <f>IF(ISNUMBER('Sheet2-计算明细'!A20),'Sheet2-计算明细'!A20,"")</f>
        <v>4</v>
      </c>
      <c r="AC39" t="str">
        <f>协会公示!E5</f>
        <v>100亿元以上</v>
      </c>
      <c r="AD39" t="str">
        <f>协会公示!F5</f>
        <v>大规模</v>
      </c>
      <c r="AE39" t="str">
        <f>协会公示!G5</f>
        <v>本次公示未见相关提示</v>
      </c>
      <c r="AF39" t="str">
        <f>协会公示!R5</f>
        <v>https://gs.amac.org.cn/amac-infodisc/res/pof/manager/101000005082.html</v>
      </c>
    </row>
    <row r="40" ht="44" customHeight="1" spans="1:32">
      <c r="A40" s="36">
        <f>IF(ISNUMBER('Sheet2-计算明细'!AT58),'Sheet2-计算明细'!AT58,"")</f>
        <v>35</v>
      </c>
      <c r="B40" s="36" t="str">
        <f>IF('Sheet2-计算明细'!B58="","",'Sheet2-计算明细'!B58)</f>
        <v>慕途商品套利1号</v>
      </c>
      <c r="C40" s="36" t="str">
        <f>IF('Sheet2-计算明细'!C58="","",'Sheet2-计算明细'!C58)</f>
        <v>SAHX36</v>
      </c>
      <c r="D40" s="36" t="str">
        <f>IF('Sheet2-计算明细'!D58="","",'Sheet2-计算明细'!D58)</f>
        <v>慕途基金</v>
      </c>
      <c r="E40" s="36" t="str">
        <f>IF('Sheet2-计算明细'!G58="","",'Sheet2-计算明细'!G58)</f>
        <v>入池</v>
      </c>
      <c r="F40" s="37">
        <f>IF(ISNUMBER('Sheet2-计算明细'!I58),'Sheet2-计算明细'!I58,"")</f>
        <v>80</v>
      </c>
      <c r="G40" s="37">
        <f>IF(ISNUMBER('Sheet2-计算明细'!K58),'Sheet2-计算明细'!K58,"")</f>
        <v>100</v>
      </c>
      <c r="H40" s="37">
        <f>IF(ISNUMBER('Sheet2-计算明细'!L58),'Sheet2-计算明细'!L58,"")</f>
        <v>70</v>
      </c>
      <c r="I40" s="37">
        <f>IF(ISNUMBER('Sheet2-计算明细'!S58),'Sheet2-计算明细'!S58,"")</f>
        <v>56.89</v>
      </c>
      <c r="J40" s="37">
        <f>IF(ISNUMBER('Sheet2-计算明细'!Y58),'Sheet2-计算明细'!Y58,"")</f>
        <v>84.62</v>
      </c>
      <c r="K40" s="37">
        <f>IF(ISNUMBER('Sheet2-计算明细'!AC58),'Sheet2-计算明细'!AC58,"")</f>
        <v>63.51</v>
      </c>
      <c r="L40" s="37">
        <f>IF(ISNUMBER('Sheet2-计算明细'!AI58),'Sheet2-计算明细'!AI58,"")</f>
        <v>54.93</v>
      </c>
      <c r="M40" s="37">
        <f>IF(ISNUMBER('Sheet2-计算明细'!AK58),'Sheet2-计算明细'!AK58,"")</f>
        <v>100</v>
      </c>
      <c r="N40" s="37">
        <f>IF(ISNUMBER('Sheet2-计算明细'!AL58),'Sheet2-计算明细'!AL58,"")</f>
        <v>83</v>
      </c>
      <c r="O40" s="37">
        <f>IF(ISNUMBER('Sheet2-计算明细'!AM58),'Sheet2-计算明细'!AM58,"")</f>
        <v>62.57</v>
      </c>
      <c r="P40" s="37">
        <f>IF(ISNUMBER('Sheet2-计算明细'!AN58),'Sheet2-计算明细'!AN58,"")</f>
        <v>63.51</v>
      </c>
      <c r="Q40" s="37">
        <f>IF(ISNUMBER('Sheet2-计算明细'!AO58),'Sheet2-计算明细'!AO58,"")</f>
        <v>54.93</v>
      </c>
      <c r="R40" s="37">
        <f>IF(ISNUMBER('Sheet2-计算明细'!AP58),'Sheet2-计算明细'!AP58,"")</f>
        <v>100</v>
      </c>
      <c r="S40" s="38">
        <f>IF(ISNUMBER('Sheet2-计算明细'!AQ58),'Sheet2-计算明细'!AQ58,"")</f>
        <v>0.856</v>
      </c>
      <c r="T40" s="37">
        <f>IF(ISNUMBER('Sheet2-计算明细'!AR58),'Sheet2-计算明细'!AR58,"")</f>
        <v>59.22638</v>
      </c>
      <c r="U40" s="37">
        <f>IF(ISNUMBER('Sheet2-计算明细'!AS58),'Sheet2-计算明细'!AS58,"")</f>
        <v>69.19</v>
      </c>
      <c r="V40" s="37" t="str">
        <f>IF(ISNUMBER('Sheet2-计算明细'!AV58),'Sheet2-计算明细'!AV58,"")</f>
        <v/>
      </c>
      <c r="W40" s="39" t="str">
        <f>IF('Sheet2-计算明细'!AU58="","",'Sheet2-计算明细'!AU58)</f>
        <v>近三年收益；近三年胜率；近三年回撤；DD_long不可识别；</v>
      </c>
      <c r="X40" s="40">
        <f>42</f>
        <v>42</v>
      </c>
      <c r="Y40" s="36" t="str">
        <f>IF('Sheet2-计算明细'!AX58="","",'Sheet2-计算明细'!AX58)</f>
        <v>套利策略</v>
      </c>
      <c r="Z40" s="36" t="str">
        <f>IF('Sheet2-计算明细'!AY58="","",'Sheet2-计算明细'!AY58)</f>
        <v>期货套利</v>
      </c>
      <c r="AA40" s="36" t="str">
        <f>IF('Sheet2-计算明细'!AW58="","",'Sheet2-计算明细'!AW58)</f>
        <v>暂定分／数据不完整</v>
      </c>
      <c r="AB40" s="40">
        <f>IF(ISNUMBER('Sheet2-计算明细'!A58),'Sheet2-计算明细'!A58,"")</f>
        <v>42</v>
      </c>
      <c r="AC40" t="str">
        <f>协会公示!E43</f>
        <v>10-20亿元</v>
      </c>
      <c r="AD40" t="str">
        <f>协会公示!F43</f>
        <v>大规模</v>
      </c>
      <c r="AE40" t="str">
        <f>协会公示!G43</f>
        <v>本次公示未见相关提示</v>
      </c>
      <c r="AF40" t="str">
        <f>协会公示!R43</f>
        <v>https://gs.amac.org.cn/amac-infodisc/res/pof/manager/2106221238106983.html</v>
      </c>
    </row>
    <row r="41" ht="44" customHeight="1" spans="1:32">
      <c r="A41" s="36">
        <f>IF(ISNUMBER('Sheet2-计算明细'!AT24),'Sheet2-计算明细'!AT24,"")</f>
        <v>36</v>
      </c>
      <c r="B41" s="36" t="str">
        <f>IF('Sheet2-计算明细'!B24="","",'Sheet2-计算明细'!B24)</f>
        <v>辰元稳健2号</v>
      </c>
      <c r="C41" s="36" t="str">
        <f>IF('Sheet2-计算明细'!C24="","",'Sheet2-计算明细'!C24)</f>
        <v>SZJ724</v>
      </c>
      <c r="D41" s="36" t="str">
        <f>IF('Sheet2-计算明细'!D24="","",'Sheet2-计算明细'!D24)</f>
        <v>广东辰元</v>
      </c>
      <c r="E41" s="36" t="str">
        <f>IF('Sheet2-计算明细'!G24="","",'Sheet2-计算明细'!G24)</f>
        <v>入池</v>
      </c>
      <c r="F41" s="37">
        <f>IF(ISNUMBER('Sheet2-计算明细'!I24),'Sheet2-计算明细'!I24,"")</f>
        <v>90</v>
      </c>
      <c r="G41" s="37">
        <f>IF(ISNUMBER('Sheet2-计算明细'!K24),'Sheet2-计算明细'!K24,"")</f>
        <v>100</v>
      </c>
      <c r="H41" s="37">
        <f>IF(ISNUMBER('Sheet2-计算明细'!L24),'Sheet2-计算明细'!L24,"")</f>
        <v>100</v>
      </c>
      <c r="I41" s="37">
        <f>IF(ISNUMBER('Sheet2-计算明细'!S24),'Sheet2-计算明细'!S24,"")</f>
        <v>26.21</v>
      </c>
      <c r="J41" s="37">
        <f>IF(ISNUMBER('Sheet2-计算明细'!Y24),'Sheet2-计算明细'!Y24,"")</f>
        <v>75.25</v>
      </c>
      <c r="K41" s="37">
        <f>IF(ISNUMBER('Sheet2-计算明细'!AC24),'Sheet2-计算明细'!AC24,"")</f>
        <v>81.08</v>
      </c>
      <c r="L41" s="37">
        <f>IF(ISNUMBER('Sheet2-计算明细'!AI24),'Sheet2-计算明细'!AI24,"")</f>
        <v>54.03</v>
      </c>
      <c r="M41" s="37">
        <f>IF(ISNUMBER('Sheet2-计算明细'!AK24),'Sheet2-计算明细'!AK24,"")</f>
        <v>80</v>
      </c>
      <c r="N41" s="37">
        <f>IF(ISNUMBER('Sheet2-计算明细'!AL24),'Sheet2-计算明细'!AL24,"")</f>
        <v>96</v>
      </c>
      <c r="O41" s="37">
        <f>IF(ISNUMBER('Sheet2-计算明细'!AM24),'Sheet2-计算明细'!AM24,"")</f>
        <v>40.92</v>
      </c>
      <c r="P41" s="37">
        <f>IF(ISNUMBER('Sheet2-计算明细'!AN24),'Sheet2-计算明细'!AN24,"")</f>
        <v>81.08</v>
      </c>
      <c r="Q41" s="37">
        <f>IF(ISNUMBER('Sheet2-计算明细'!AO24),'Sheet2-计算明细'!AO24,"")</f>
        <v>54.03</v>
      </c>
      <c r="R41" s="37">
        <f>IF(ISNUMBER('Sheet2-计算明细'!AP24),'Sheet2-计算明细'!AP24,"")</f>
        <v>80</v>
      </c>
      <c r="S41" s="38">
        <f>IF(ISNUMBER('Sheet2-计算明细'!AQ24),'Sheet2-计算明细'!AQ24,"")</f>
        <v>1</v>
      </c>
      <c r="T41" s="37">
        <f>IF(ISNUMBER('Sheet2-计算明细'!AR24),'Sheet2-计算明细'!AR24,"")</f>
        <v>67.06428</v>
      </c>
      <c r="U41" s="37">
        <f>IF(ISNUMBER('Sheet2-计算明细'!AS24),'Sheet2-计算明细'!AS24,"")</f>
        <v>67.06</v>
      </c>
      <c r="V41" s="37">
        <f>IF(ISNUMBER('Sheet2-计算明细'!AV24),'Sheet2-计算明细'!AV24,"")</f>
        <v>67.06428</v>
      </c>
      <c r="W41" s="39" t="str">
        <f>IF('Sheet2-计算明细'!AU24="","",'Sheet2-计算明细'!AU24)</f>
        <v/>
      </c>
      <c r="X41" s="40">
        <f>8</f>
        <v>8</v>
      </c>
      <c r="Y41" s="36" t="str">
        <f>IF('Sheet2-计算明细'!AX24="","",'Sheet2-计算明细'!AX24)</f>
        <v>套利策略</v>
      </c>
      <c r="Z41" s="36" t="str">
        <f>IF('Sheet2-计算明细'!AY24="","",'Sheet2-计算明细'!AY24)</f>
        <v>混合套利</v>
      </c>
      <c r="AA41" s="36" t="str">
        <f>IF('Sheet2-计算明细'!AW24="","",'Sheet2-计算明细'!AW24)</f>
        <v>完整赋分</v>
      </c>
      <c r="AB41" s="40">
        <f>IF(ISNUMBER('Sheet2-计算明细'!A24),'Sheet2-计算明细'!A24,"")</f>
        <v>8</v>
      </c>
      <c r="AC41" t="str">
        <f>协会公示!E9</f>
        <v>20-50亿元</v>
      </c>
      <c r="AD41" t="str">
        <f>协会公示!F9</f>
        <v>大规模</v>
      </c>
      <c r="AE41" t="str">
        <f>协会公示!G9</f>
        <v>本次公示未见相关提示</v>
      </c>
      <c r="AF41" t="str">
        <f>协会公示!R9</f>
        <v>https://gs.amac.org.cn/amac-infodisc/res/pof/manager/2209261520106658.html</v>
      </c>
    </row>
    <row r="42" ht="44" customHeight="1" spans="1:32">
      <c r="A42" s="36">
        <f>IF(ISNUMBER('Sheet2-计算明细'!AT87),'Sheet2-计算明细'!AT87,"")</f>
        <v>37</v>
      </c>
      <c r="B42" s="36" t="str">
        <f>IF('Sheet2-计算明细'!B87="","",'Sheet2-计算明细'!B87)</f>
        <v>永泉奇点2号混合投资</v>
      </c>
      <c r="C42" s="36" t="str">
        <f>IF('Sheet2-计算明细'!C87="","",'Sheet2-计算明细'!C87)</f>
        <v>SJB356</v>
      </c>
      <c r="D42" s="36" t="str">
        <f>IF('Sheet2-计算明细'!D87="","",'Sheet2-计算明细'!D87)</f>
        <v>宁波永泉</v>
      </c>
      <c r="E42" s="36" t="str">
        <f>IF('Sheet2-计算明细'!G87="","",'Sheet2-计算明细'!G87)</f>
        <v>入池</v>
      </c>
      <c r="F42" s="37">
        <f>IF(ISNUMBER('Sheet2-计算明细'!I87),'Sheet2-计算明细'!I87,"")</f>
        <v>60</v>
      </c>
      <c r="G42" s="37">
        <f>IF(ISNUMBER('Sheet2-计算明细'!K87),'Sheet2-计算明细'!K87,"")</f>
        <v>100</v>
      </c>
      <c r="H42" s="37">
        <f>IF(ISNUMBER('Sheet2-计算明细'!L87),'Sheet2-计算明细'!L87,"")</f>
        <v>100</v>
      </c>
      <c r="I42" s="37">
        <f>IF(ISNUMBER('Sheet2-计算明细'!S87),'Sheet2-计算明细'!S87,"")</f>
        <v>51.13</v>
      </c>
      <c r="J42" s="37">
        <f>IF(ISNUMBER('Sheet2-计算明细'!Y87),'Sheet2-计算明细'!Y87,"")</f>
        <v>91.67</v>
      </c>
      <c r="K42" s="37">
        <f>IF(ISNUMBER('Sheet2-计算明细'!AC87),'Sheet2-计算明细'!AC87,"")</f>
        <v>48.65</v>
      </c>
      <c r="L42" s="37">
        <f>IF(ISNUMBER('Sheet2-计算明细'!AI87),'Sheet2-计算明细'!AI87,"")</f>
        <v>67.66</v>
      </c>
      <c r="M42" s="37">
        <f>IF(ISNUMBER('Sheet2-计算明细'!AK87),'Sheet2-计算明细'!AK87,"")</f>
        <v>80</v>
      </c>
      <c r="N42" s="37">
        <f>IF(ISNUMBER('Sheet2-计算明细'!AL87),'Sheet2-计算明细'!AL87,"")</f>
        <v>84</v>
      </c>
      <c r="O42" s="37">
        <f>IF(ISNUMBER('Sheet2-计算明细'!AM87),'Sheet2-计算明细'!AM87,"")</f>
        <v>63.29</v>
      </c>
      <c r="P42" s="37">
        <f>IF(ISNUMBER('Sheet2-计算明细'!AN87),'Sheet2-计算明细'!AN87,"")</f>
        <v>48.65</v>
      </c>
      <c r="Q42" s="37">
        <f>IF(ISNUMBER('Sheet2-计算明细'!AO87),'Sheet2-计算明细'!AO87,"")</f>
        <v>67.66</v>
      </c>
      <c r="R42" s="37">
        <f>IF(ISNUMBER('Sheet2-计算明细'!AP87),'Sheet2-计算明细'!AP87,"")</f>
        <v>80</v>
      </c>
      <c r="S42" s="38">
        <f>IF(ISNUMBER('Sheet2-计算明细'!AQ87),'Sheet2-计算明细'!AQ87,"")</f>
        <v>1</v>
      </c>
      <c r="T42" s="37">
        <f>IF(ISNUMBER('Sheet2-计算明细'!AR87),'Sheet2-计算明细'!AR87,"")</f>
        <v>65.71879</v>
      </c>
      <c r="U42" s="37">
        <f>IF(ISNUMBER('Sheet2-计算明细'!AS87),'Sheet2-计算明细'!AS87,"")</f>
        <v>65.72</v>
      </c>
      <c r="V42" s="37">
        <f>IF(ISNUMBER('Sheet2-计算明细'!AV87),'Sheet2-计算明细'!AV87,"")</f>
        <v>65.71879</v>
      </c>
      <c r="W42" s="39" t="str">
        <f>IF('Sheet2-计算明细'!AU87="","",'Sheet2-计算明细'!AU87)</f>
        <v/>
      </c>
      <c r="X42" s="40">
        <f>71</f>
        <v>71</v>
      </c>
      <c r="Y42" s="36" t="str">
        <f>IF('Sheet2-计算明细'!AX87="","",'Sheet2-计算明细'!AX87)</f>
        <v>套利策略</v>
      </c>
      <c r="Z42" s="36" t="str">
        <f>IF('Sheet2-计算明细'!AY87="","",'Sheet2-计算明细'!AY87)</f>
        <v>期货套利</v>
      </c>
      <c r="AA42" s="36" t="str">
        <f>IF('Sheet2-计算明细'!AW87="","",'Sheet2-计算明细'!AW87)</f>
        <v>完整赋分</v>
      </c>
      <c r="AB42" s="40">
        <f>IF(ISNUMBER('Sheet2-计算明细'!A87),'Sheet2-计算明细'!A87,"")</f>
        <v>71</v>
      </c>
      <c r="AC42" t="str">
        <f>协会公示!E72</f>
        <v>0-5亿元</v>
      </c>
      <c r="AD42" t="str">
        <f>协会公示!F72</f>
        <v>小规模</v>
      </c>
      <c r="AE42" t="str">
        <f>协会公示!G72</f>
        <v>协会提示／已整改异常</v>
      </c>
      <c r="AF42" t="str">
        <f>协会公示!R72</f>
        <v>https://gs.amac.org.cn/amac-infodisc/res/pof/manager/101000016974.html</v>
      </c>
    </row>
    <row r="43" ht="44" customHeight="1" spans="1:32">
      <c r="A43" s="36">
        <f>IF(ISNUMBER('Sheet2-计算明细'!AT51),'Sheet2-计算明细'!AT51,"")</f>
        <v>38</v>
      </c>
      <c r="B43" s="36" t="str">
        <f>IF('Sheet2-计算明细'!B51="","",'Sheet2-计算明细'!B51)</f>
        <v>龙帆恒盛稳固9号</v>
      </c>
      <c r="C43" s="36" t="str">
        <f>IF('Sheet2-计算明细'!C51="","",'Sheet2-计算明细'!C51)</f>
        <v>SSX605</v>
      </c>
      <c r="D43" s="36" t="str">
        <f>IF('Sheet2-计算明细'!D51="","",'Sheet2-计算明细'!D51)</f>
        <v>厦门龙帆资管</v>
      </c>
      <c r="E43" s="36" t="str">
        <f>IF('Sheet2-计算明细'!G51="","",'Sheet2-计算明细'!G51)</f>
        <v>入池</v>
      </c>
      <c r="F43" s="37">
        <f>IF(ISNUMBER('Sheet2-计算明细'!I51),'Sheet2-计算明细'!I51,"")</f>
        <v>70</v>
      </c>
      <c r="G43" s="37">
        <f>IF(ISNUMBER('Sheet2-计算明细'!K51),'Sheet2-计算明细'!K51,"")</f>
        <v>100</v>
      </c>
      <c r="H43" s="37">
        <f>IF(ISNUMBER('Sheet2-计算明细'!L51),'Sheet2-计算明细'!L51,"")</f>
        <v>100</v>
      </c>
      <c r="I43" s="37">
        <f>IF(ISNUMBER('Sheet2-计算明细'!S51),'Sheet2-计算明细'!S51,"")</f>
        <v>31.59</v>
      </c>
      <c r="J43" s="37">
        <f>IF(ISNUMBER('Sheet2-计算明细'!Y51),'Sheet2-计算明细'!Y51,"")</f>
        <v>74.48</v>
      </c>
      <c r="K43" s="37">
        <f>IF(ISNUMBER('Sheet2-计算明细'!AC51),'Sheet2-计算明细'!AC51,"")</f>
        <v>60.81</v>
      </c>
      <c r="L43" s="37">
        <f>IF(ISNUMBER('Sheet2-计算明细'!AI51),'Sheet2-计算明细'!AI51,"")</f>
        <v>59.79</v>
      </c>
      <c r="M43" s="37">
        <f>IF(ISNUMBER('Sheet2-计算明细'!AK51),'Sheet2-计算明细'!AK51,"")</f>
        <v>100</v>
      </c>
      <c r="N43" s="37">
        <f>IF(ISNUMBER('Sheet2-计算明细'!AL51),'Sheet2-计算明细'!AL51,"")</f>
        <v>88</v>
      </c>
      <c r="O43" s="37">
        <f>IF(ISNUMBER('Sheet2-计算明细'!AM51),'Sheet2-计算明细'!AM51,"")</f>
        <v>44.46</v>
      </c>
      <c r="P43" s="37">
        <f>IF(ISNUMBER('Sheet2-计算明细'!AN51),'Sheet2-计算明细'!AN51,"")</f>
        <v>60.81</v>
      </c>
      <c r="Q43" s="37">
        <f>IF(ISNUMBER('Sheet2-计算明细'!AO51),'Sheet2-计算明细'!AO51,"")</f>
        <v>59.79</v>
      </c>
      <c r="R43" s="37">
        <f>IF(ISNUMBER('Sheet2-计算明细'!AP51),'Sheet2-计算明细'!AP51,"")</f>
        <v>100</v>
      </c>
      <c r="S43" s="38">
        <f>IF(ISNUMBER('Sheet2-计算明细'!AQ51),'Sheet2-计算明细'!AQ51,"")</f>
        <v>1</v>
      </c>
      <c r="T43" s="37">
        <f>IF(ISNUMBER('Sheet2-计算明细'!AR51),'Sheet2-计算明细'!AR51,"")</f>
        <v>65.23115</v>
      </c>
      <c r="U43" s="37">
        <f>IF(ISNUMBER('Sheet2-计算明细'!AS51),'Sheet2-计算明细'!AS51,"")</f>
        <v>65.23</v>
      </c>
      <c r="V43" s="37">
        <f>IF(ISNUMBER('Sheet2-计算明细'!AV51),'Sheet2-计算明细'!AV51,"")</f>
        <v>65.23115</v>
      </c>
      <c r="W43" s="39" t="str">
        <f>IF('Sheet2-计算明细'!AU51="","",'Sheet2-计算明细'!AU51)</f>
        <v/>
      </c>
      <c r="X43" s="40">
        <f>35</f>
        <v>35</v>
      </c>
      <c r="Y43" s="36" t="str">
        <f>IF('Sheet2-计算明细'!AX51="","",'Sheet2-计算明细'!AX51)</f>
        <v>套利策略</v>
      </c>
      <c r="Z43" s="36" t="str">
        <f>IF('Sheet2-计算明细'!AY51="","",'Sheet2-计算明细'!AY51)</f>
        <v>期货套利</v>
      </c>
      <c r="AA43" s="36" t="str">
        <f>IF('Sheet2-计算明细'!AW51="","",'Sheet2-计算明细'!AW51)</f>
        <v>完整赋分</v>
      </c>
      <c r="AB43" s="40">
        <f>IF(ISNUMBER('Sheet2-计算明细'!A51),'Sheet2-计算明细'!A51,"")</f>
        <v>35</v>
      </c>
      <c r="AC43" t="str">
        <f>协会公示!E36</f>
        <v>5-10亿元</v>
      </c>
      <c r="AD43" t="str">
        <f>协会公示!F36</f>
        <v>大规模</v>
      </c>
      <c r="AE43" t="str">
        <f>协会公示!G36</f>
        <v>本次公示未见相关提示</v>
      </c>
      <c r="AF43" t="str">
        <f>协会公示!R36</f>
        <v>https://gs.amac.org.cn/amac-infodisc/res/pof/manager/1611020850101525.html</v>
      </c>
    </row>
    <row r="44" ht="44" customHeight="1" spans="1:32">
      <c r="A44" s="36">
        <f>IF(ISNUMBER('Sheet2-计算明细'!AT74),'Sheet2-计算明细'!AT74,"")</f>
        <v>39</v>
      </c>
      <c r="B44" s="36" t="str">
        <f>IF('Sheet2-计算明细'!B74="","",'Sheet2-计算明细'!B74)</f>
        <v>世宽若水尘心2号B类</v>
      </c>
      <c r="C44" s="36" t="str">
        <f>IF('Sheet2-计算明细'!C74="","",'Sheet2-计算明细'!C74)</f>
        <v>XX769B</v>
      </c>
      <c r="D44" s="36" t="str">
        <f>IF('Sheet2-计算明细'!D74="","",'Sheet2-计算明细'!D74)</f>
        <v>厦门世宽</v>
      </c>
      <c r="E44" s="36" t="str">
        <f>IF('Sheet2-计算明细'!G74="","",'Sheet2-计算明细'!G74)</f>
        <v>入池</v>
      </c>
      <c r="F44" s="37">
        <f>IF(ISNUMBER('Sheet2-计算明细'!I74),'Sheet2-计算明细'!I74,"")</f>
        <v>60</v>
      </c>
      <c r="G44" s="37" t="str">
        <f>IF(ISNUMBER('Sheet2-计算明细'!K74),'Sheet2-计算明细'!K74,"")</f>
        <v/>
      </c>
      <c r="H44" s="37">
        <f>IF(ISNUMBER('Sheet2-计算明细'!L74),'Sheet2-计算明细'!L74,"")</f>
        <v>100</v>
      </c>
      <c r="I44" s="37">
        <f>IF(ISNUMBER('Sheet2-计算明细'!S74),'Sheet2-计算明细'!S74,"")</f>
        <v>81.94</v>
      </c>
      <c r="J44" s="37">
        <f>IF(ISNUMBER('Sheet2-计算明细'!Y74),'Sheet2-计算明细'!Y74,"")</f>
        <v>69.23</v>
      </c>
      <c r="K44" s="37">
        <f>IF(ISNUMBER('Sheet2-计算明细'!AC74),'Sheet2-计算明细'!AC74,"")</f>
        <v>56.76</v>
      </c>
      <c r="L44" s="37">
        <f>IF(ISNUMBER('Sheet2-计算明细'!AI74),'Sheet2-计算明细'!AI74,"")</f>
        <v>59.15</v>
      </c>
      <c r="M44" s="37" t="str">
        <f>IF(ISNUMBER('Sheet2-计算明细'!AK74),'Sheet2-计算明细'!AK74,"")</f>
        <v/>
      </c>
      <c r="N44" s="37">
        <f>IF(ISNUMBER('Sheet2-计算明细'!AL74),'Sheet2-计算明细'!AL74,"")</f>
        <v>77.14</v>
      </c>
      <c r="O44" s="37">
        <f>IF(ISNUMBER('Sheet2-计算明细'!AM74),'Sheet2-计算明细'!AM74,"")</f>
        <v>78.13</v>
      </c>
      <c r="P44" s="37">
        <f>IF(ISNUMBER('Sheet2-计算明细'!AN74),'Sheet2-计算明细'!AN74,"")</f>
        <v>56.76</v>
      </c>
      <c r="Q44" s="37">
        <f>IF(ISNUMBER('Sheet2-计算明细'!AO74),'Sheet2-计算明细'!AO74,"")</f>
        <v>59.15</v>
      </c>
      <c r="R44" s="37" t="str">
        <f>IF(ISNUMBER('Sheet2-计算明细'!AP74),'Sheet2-计算明细'!AP74,"")</f>
        <v/>
      </c>
      <c r="S44" s="38">
        <f>IF(ISNUMBER('Sheet2-计算明细'!AQ74),'Sheet2-计算明细'!AQ74,"")</f>
        <v>0.655</v>
      </c>
      <c r="T44" s="37">
        <f>IF(ISNUMBER('Sheet2-计算明细'!AR74),'Sheet2-计算明细'!AR74,"")</f>
        <v>42.31224</v>
      </c>
      <c r="U44" s="37">
        <f>IF(ISNUMBER('Sheet2-计算明细'!AS74),'Sheet2-计算明细'!AS74,"")</f>
        <v>64.6</v>
      </c>
      <c r="V44" s="37" t="str">
        <f>IF(ISNUMBER('Sheet2-计算明细'!AV74),'Sheet2-计算明细'!AV74,"")</f>
        <v/>
      </c>
      <c r="W44" s="39" t="str">
        <f>IF('Sheet2-计算明细'!AU74="","",'Sheet2-计算明细'!AU74)</f>
        <v>产品规模标识；近三年收益；近三年胜率；近三年回撤；</v>
      </c>
      <c r="X44" s="40">
        <f>58</f>
        <v>58</v>
      </c>
      <c r="Y44" s="36" t="str">
        <f>IF('Sheet2-计算明细'!AX74="","",'Sheet2-计算明细'!AX74)</f>
        <v>套利策略</v>
      </c>
      <c r="Z44" s="36" t="str">
        <f>IF('Sheet2-计算明细'!AY74="","",'Sheet2-计算明细'!AY74)</f>
        <v>期货套利</v>
      </c>
      <c r="AA44" s="36" t="str">
        <f>IF('Sheet2-计算明细'!AW74="","",'Sheet2-计算明细'!AW74)</f>
        <v>暂定分／数据不完整</v>
      </c>
      <c r="AB44" s="40">
        <f>IF(ISNUMBER('Sheet2-计算明细'!A74),'Sheet2-计算明细'!A74,"")</f>
        <v>58</v>
      </c>
      <c r="AC44" t="str">
        <f>协会公示!E59</f>
        <v>0-5亿元</v>
      </c>
      <c r="AD44" t="str">
        <f>协会公示!F59</f>
        <v>小规模</v>
      </c>
      <c r="AE44" t="str">
        <f>协会公示!G59</f>
        <v>本次公示未见相关提示</v>
      </c>
      <c r="AF44" t="str">
        <f>协会公示!R59</f>
        <v>https://gs.amac.org.cn/amac-infodisc/res/pof/manager/101000026000.html</v>
      </c>
    </row>
    <row r="45" ht="44" customHeight="1" spans="1:32">
      <c r="A45" s="36">
        <f>IF(ISNUMBER('Sheet2-计算明细'!AT36),'Sheet2-计算明细'!AT36,"")</f>
        <v>40</v>
      </c>
      <c r="B45" s="36" t="str">
        <f>IF('Sheet2-计算明细'!B36="","",'Sheet2-计算明细'!B36)</f>
        <v>汇艾稳健3号</v>
      </c>
      <c r="C45" s="36" t="str">
        <f>IF('Sheet2-计算明细'!C36="","",'Sheet2-计算明细'!C36)</f>
        <v>SR8584</v>
      </c>
      <c r="D45" s="36" t="str">
        <f>IF('Sheet2-计算明细'!D36="","",'Sheet2-计算明细'!D36)</f>
        <v>上海汇艾资管</v>
      </c>
      <c r="E45" s="36" t="str">
        <f>IF('Sheet2-计算明细'!G36="","",'Sheet2-计算明细'!G36)</f>
        <v>入池</v>
      </c>
      <c r="F45" s="37">
        <f>IF(ISNUMBER('Sheet2-计算明细'!I36),'Sheet2-计算明细'!I36,"")</f>
        <v>60</v>
      </c>
      <c r="G45" s="37">
        <f>IF(ISNUMBER('Sheet2-计算明细'!K36),'Sheet2-计算明细'!K36,"")</f>
        <v>100</v>
      </c>
      <c r="H45" s="37">
        <f>IF(ISNUMBER('Sheet2-计算明细'!L36),'Sheet2-计算明细'!L36,"")</f>
        <v>100</v>
      </c>
      <c r="I45" s="37">
        <f>IF(ISNUMBER('Sheet2-计算明细'!S36),'Sheet2-计算明细'!S36,"")</f>
        <v>23.71</v>
      </c>
      <c r="J45" s="37">
        <f>IF(ISNUMBER('Sheet2-计算明细'!Y36),'Sheet2-计算明细'!Y36,"")</f>
        <v>88.33</v>
      </c>
      <c r="K45" s="37">
        <f>IF(ISNUMBER('Sheet2-计算明细'!AC36),'Sheet2-计算明细'!AC36,"")</f>
        <v>70.27</v>
      </c>
      <c r="L45" s="37">
        <f>IF(ISNUMBER('Sheet2-计算明细'!AI36),'Sheet2-计算明细'!AI36,"")</f>
        <v>48.36</v>
      </c>
      <c r="M45" s="37">
        <f>IF(ISNUMBER('Sheet2-计算明细'!AK36),'Sheet2-计算明细'!AK36,"")</f>
        <v>100</v>
      </c>
      <c r="N45" s="37">
        <f>IF(ISNUMBER('Sheet2-计算明细'!AL36),'Sheet2-计算明细'!AL36,"")</f>
        <v>84</v>
      </c>
      <c r="O45" s="37">
        <f>IF(ISNUMBER('Sheet2-计算明细'!AM36),'Sheet2-计算明细'!AM36,"")</f>
        <v>43.1</v>
      </c>
      <c r="P45" s="37">
        <f>IF(ISNUMBER('Sheet2-计算明细'!AN36),'Sheet2-计算明细'!AN36,"")</f>
        <v>70.27</v>
      </c>
      <c r="Q45" s="37">
        <f>IF(ISNUMBER('Sheet2-计算明细'!AO36),'Sheet2-计算明细'!AO36,"")</f>
        <v>48.36</v>
      </c>
      <c r="R45" s="37">
        <f>IF(ISNUMBER('Sheet2-计算明细'!AP36),'Sheet2-计算明细'!AP36,"")</f>
        <v>100</v>
      </c>
      <c r="S45" s="38">
        <f>IF(ISNUMBER('Sheet2-计算明细'!AQ36),'Sheet2-计算明细'!AQ36,"")</f>
        <v>1</v>
      </c>
      <c r="T45" s="37">
        <f>IF(ISNUMBER('Sheet2-计算明细'!AR36),'Sheet2-计算明细'!AR36,"")</f>
        <v>63.29634</v>
      </c>
      <c r="U45" s="37">
        <f>IF(ISNUMBER('Sheet2-计算明细'!AS36),'Sheet2-计算明细'!AS36,"")</f>
        <v>63.3</v>
      </c>
      <c r="V45" s="37">
        <f>IF(ISNUMBER('Sheet2-计算明细'!AV36),'Sheet2-计算明细'!AV36,"")</f>
        <v>63.29634</v>
      </c>
      <c r="W45" s="39" t="str">
        <f>IF('Sheet2-计算明细'!AU36="","",'Sheet2-计算明细'!AU36)</f>
        <v/>
      </c>
      <c r="X45" s="40">
        <f>20</f>
        <v>20</v>
      </c>
      <c r="Y45" s="36" t="str">
        <f>IF('Sheet2-计算明细'!AX36="","",'Sheet2-计算明细'!AX36)</f>
        <v>套利策略</v>
      </c>
      <c r="Z45" s="36" t="str">
        <f>IF('Sheet2-计算明细'!AY36="","",'Sheet2-计算明细'!AY36)</f>
        <v>期货套利</v>
      </c>
      <c r="AA45" s="36" t="str">
        <f>IF('Sheet2-计算明细'!AW36="","",'Sheet2-计算明细'!AW36)</f>
        <v>完整赋分</v>
      </c>
      <c r="AB45" s="40">
        <f>IF(ISNUMBER('Sheet2-计算明细'!A36),'Sheet2-计算明细'!A36,"")</f>
        <v>20</v>
      </c>
      <c r="AC45" t="str">
        <f>协会公示!E21</f>
        <v>0-5亿元</v>
      </c>
      <c r="AD45" t="str">
        <f>协会公示!F21</f>
        <v>小规模</v>
      </c>
      <c r="AE45" t="str">
        <f>协会公示!G21</f>
        <v>本次公示未见相关提示</v>
      </c>
      <c r="AF45" t="str">
        <f>协会公示!R21</f>
        <v>https://gs.amac.org.cn/amac-infodisc/res/pof/manager/101000016385.html</v>
      </c>
    </row>
    <row r="46" ht="44" customHeight="1" spans="1:32">
      <c r="A46" s="36">
        <f>IF(ISNUMBER('Sheet2-计算明细'!AT60),'Sheet2-计算明细'!AT60,"")</f>
        <v>41</v>
      </c>
      <c r="B46" s="36" t="str">
        <f>IF('Sheet2-计算明细'!B60="","",'Sheet2-计算明细'!B60)</f>
        <v>慕途盈川1号</v>
      </c>
      <c r="C46" s="36" t="str">
        <f>IF('Sheet2-计算明细'!C60="","",'Sheet2-计算明细'!C60)</f>
        <v>SAQQ67</v>
      </c>
      <c r="D46" s="36" t="str">
        <f>IF('Sheet2-计算明细'!D60="","",'Sheet2-计算明细'!D60)</f>
        <v>慕途基金</v>
      </c>
      <c r="E46" s="36" t="str">
        <f>IF('Sheet2-计算明细'!G60="","",'Sheet2-计算明细'!G60)</f>
        <v>入池</v>
      </c>
      <c r="F46" s="37">
        <f>IF(ISNUMBER('Sheet2-计算明细'!I60),'Sheet2-计算明细'!I60,"")</f>
        <v>80</v>
      </c>
      <c r="G46" s="37">
        <f>IF(ISNUMBER('Sheet2-计算明细'!K60),'Sheet2-计算明细'!K60,"")</f>
        <v>100</v>
      </c>
      <c r="H46" s="37">
        <f>IF(ISNUMBER('Sheet2-计算明细'!L60),'Sheet2-计算明细'!L60,"")</f>
        <v>70</v>
      </c>
      <c r="I46" s="37">
        <f>IF(ISNUMBER('Sheet2-计算明细'!S60),'Sheet2-计算明细'!S60,"")</f>
        <v>65.41</v>
      </c>
      <c r="J46" s="37">
        <f>IF(ISNUMBER('Sheet2-计算明细'!Y60),'Sheet2-计算明细'!Y60,"")</f>
        <v>76.92</v>
      </c>
      <c r="K46" s="37">
        <f>IF(ISNUMBER('Sheet2-计算明细'!AC60),'Sheet2-计算明细'!AC60,"")</f>
        <v>50</v>
      </c>
      <c r="L46" s="37">
        <f>IF(ISNUMBER('Sheet2-计算明细'!AI60),'Sheet2-计算明细'!AI60,"")</f>
        <v>39.44</v>
      </c>
      <c r="M46" s="37">
        <f>IF(ISNUMBER('Sheet2-计算明细'!AK60),'Sheet2-计算明细'!AK60,"")</f>
        <v>100</v>
      </c>
      <c r="N46" s="37">
        <f>IF(ISNUMBER('Sheet2-计算明细'!AL60),'Sheet2-计算明细'!AL60,"")</f>
        <v>83</v>
      </c>
      <c r="O46" s="37">
        <f>IF(ISNUMBER('Sheet2-计算明细'!AM60),'Sheet2-计算明细'!AM60,"")</f>
        <v>67.77</v>
      </c>
      <c r="P46" s="37">
        <f>IF(ISNUMBER('Sheet2-计算明细'!AN60),'Sheet2-计算明细'!AN60,"")</f>
        <v>50</v>
      </c>
      <c r="Q46" s="37">
        <f>IF(ISNUMBER('Sheet2-计算明细'!AO60),'Sheet2-计算明细'!AO60,"")</f>
        <v>39.44</v>
      </c>
      <c r="R46" s="37">
        <f>IF(ISNUMBER('Sheet2-计算明细'!AP60),'Sheet2-计算明细'!AP60,"")</f>
        <v>100</v>
      </c>
      <c r="S46" s="38">
        <f>IF(ISNUMBER('Sheet2-计算明细'!AQ60),'Sheet2-计算明细'!AQ60,"")</f>
        <v>0.856</v>
      </c>
      <c r="T46" s="37">
        <f>IF(ISNUMBER('Sheet2-计算明细'!AR60),'Sheet2-计算明细'!AR60,"")</f>
        <v>53.97628</v>
      </c>
      <c r="U46" s="37">
        <f>IF(ISNUMBER('Sheet2-计算明细'!AS60),'Sheet2-计算明细'!AS60,"")</f>
        <v>63.06</v>
      </c>
      <c r="V46" s="37" t="str">
        <f>IF(ISNUMBER('Sheet2-计算明细'!AV60),'Sheet2-计算明细'!AV60,"")</f>
        <v/>
      </c>
      <c r="W46" s="39" t="str">
        <f>IF('Sheet2-计算明细'!AU60="","",'Sheet2-计算明细'!AU60)</f>
        <v>近三年收益；近三年胜率；近三年回撤；DD_long不可识别；</v>
      </c>
      <c r="X46" s="40">
        <f>44</f>
        <v>44</v>
      </c>
      <c r="Y46" s="36" t="str">
        <f>IF('Sheet2-计算明细'!AX60="","",'Sheet2-计算明细'!AX60)</f>
        <v>套利策略</v>
      </c>
      <c r="Z46" s="36" t="str">
        <f>IF('Sheet2-计算明细'!AY60="","",'Sheet2-计算明细'!AY60)</f>
        <v>期货套利</v>
      </c>
      <c r="AA46" s="36" t="str">
        <f>IF('Sheet2-计算明细'!AW60="","",'Sheet2-计算明细'!AW60)</f>
        <v>暂定分／数据不完整</v>
      </c>
      <c r="AB46" s="40">
        <f>IF(ISNUMBER('Sheet2-计算明细'!A60),'Sheet2-计算明细'!A60,"")</f>
        <v>44</v>
      </c>
      <c r="AC46" t="str">
        <f>协会公示!E45</f>
        <v>10-20亿元</v>
      </c>
      <c r="AD46" t="str">
        <f>协会公示!F45</f>
        <v>大规模</v>
      </c>
      <c r="AE46" t="str">
        <f>协会公示!G45</f>
        <v>本次公示未见相关提示</v>
      </c>
      <c r="AF46" t="str">
        <f>协会公示!R45</f>
        <v>https://gs.amac.org.cn/amac-infodisc/res/pof/manager/2106221238106983.html</v>
      </c>
    </row>
    <row r="47" ht="44" customHeight="1" spans="1:32">
      <c r="A47" s="36">
        <f>IF(ISNUMBER('Sheet2-计算明细'!AT46),'Sheet2-计算明细'!AT46,"")</f>
        <v>42</v>
      </c>
      <c r="B47" s="36" t="str">
        <f>IF('Sheet2-计算明细'!B46="","",'Sheet2-计算明细'!B46)</f>
        <v>聚亿具臻B类</v>
      </c>
      <c r="C47" s="36" t="str">
        <f>IF('Sheet2-计算明细'!C46="","",'Sheet2-计算明细'!C46)</f>
        <v>LM995B</v>
      </c>
      <c r="D47" s="36" t="str">
        <f>IF('Sheet2-计算明细'!D46="","",'Sheet2-计算明细'!D46)</f>
        <v>珠海聚亿基金</v>
      </c>
      <c r="E47" s="36" t="str">
        <f>IF('Sheet2-计算明细'!G46="","",'Sheet2-计算明细'!G46)</f>
        <v>入池</v>
      </c>
      <c r="F47" s="37">
        <f>IF(ISNUMBER('Sheet2-计算明细'!I46),'Sheet2-计算明细'!I46,"")</f>
        <v>60</v>
      </c>
      <c r="G47" s="37" t="str">
        <f>IF(ISNUMBER('Sheet2-计算明细'!K46),'Sheet2-计算明细'!K46,"")</f>
        <v/>
      </c>
      <c r="H47" s="37">
        <f>IF(ISNUMBER('Sheet2-计算明细'!L46),'Sheet2-计算明细'!L46,"")</f>
        <v>100</v>
      </c>
      <c r="I47" s="37">
        <f>IF(ISNUMBER('Sheet2-计算明细'!S46),'Sheet2-计算明细'!S46,"")</f>
        <v>97.22</v>
      </c>
      <c r="J47" s="37">
        <f>IF(ISNUMBER('Sheet2-计算明细'!Y46),'Sheet2-计算明细'!Y46,"")</f>
        <v>76.92</v>
      </c>
      <c r="K47" s="37">
        <f>IF(ISNUMBER('Sheet2-计算明细'!AC46),'Sheet2-计算明细'!AC46,"")</f>
        <v>40.54</v>
      </c>
      <c r="L47" s="37">
        <f>IF(ISNUMBER('Sheet2-计算明细'!AI46),'Sheet2-计算明细'!AI46,"")</f>
        <v>64.79</v>
      </c>
      <c r="M47" s="37" t="str">
        <f>IF(ISNUMBER('Sheet2-计算明细'!AK46),'Sheet2-计算明细'!AK46,"")</f>
        <v/>
      </c>
      <c r="N47" s="37">
        <f>IF(ISNUMBER('Sheet2-计算明细'!AL46),'Sheet2-计算明细'!AL46,"")</f>
        <v>77.14</v>
      </c>
      <c r="O47" s="37">
        <f>IF(ISNUMBER('Sheet2-计算明细'!AM46),'Sheet2-计算明细'!AM46,"")</f>
        <v>91.13</v>
      </c>
      <c r="P47" s="37">
        <f>IF(ISNUMBER('Sheet2-计算明细'!AN46),'Sheet2-计算明细'!AN46,"")</f>
        <v>40.54</v>
      </c>
      <c r="Q47" s="37">
        <f>IF(ISNUMBER('Sheet2-计算明细'!AO46),'Sheet2-计算明细'!AO46,"")</f>
        <v>64.79</v>
      </c>
      <c r="R47" s="37" t="str">
        <f>IF(ISNUMBER('Sheet2-计算明细'!AP46),'Sheet2-计算明细'!AP46,"")</f>
        <v/>
      </c>
      <c r="S47" s="38">
        <f>IF(ISNUMBER('Sheet2-计算明细'!AQ46),'Sheet2-计算明细'!AQ46,"")</f>
        <v>0.655</v>
      </c>
      <c r="T47" s="37">
        <f>IF(ISNUMBER('Sheet2-计算明细'!AR46),'Sheet2-计算明细'!AR46,"")</f>
        <v>40.8328</v>
      </c>
      <c r="U47" s="37">
        <f>IF(ISNUMBER('Sheet2-计算明细'!AS46),'Sheet2-计算明细'!AS46,"")</f>
        <v>62.34</v>
      </c>
      <c r="V47" s="37" t="str">
        <f>IF(ISNUMBER('Sheet2-计算明细'!AV46),'Sheet2-计算明细'!AV46,"")</f>
        <v/>
      </c>
      <c r="W47" s="39" t="str">
        <f>IF('Sheet2-计算明细'!AU46="","",'Sheet2-计算明细'!AU46)</f>
        <v>产品规模标识；近三年收益；近三年胜率；近三年回撤；</v>
      </c>
      <c r="X47" s="40">
        <f>30</f>
        <v>30</v>
      </c>
      <c r="Y47" s="36" t="str">
        <f>IF('Sheet2-计算明细'!AX46="","",'Sheet2-计算明细'!AX46)</f>
        <v>套利策略</v>
      </c>
      <c r="Z47" s="36" t="str">
        <f>IF('Sheet2-计算明细'!AY46="","",'Sheet2-计算明细'!AY46)</f>
        <v>期货套利</v>
      </c>
      <c r="AA47" s="36" t="str">
        <f>IF('Sheet2-计算明细'!AW46="","",'Sheet2-计算明细'!AW46)</f>
        <v>暂定分／数据不完整</v>
      </c>
      <c r="AB47" s="40">
        <f>IF(ISNUMBER('Sheet2-计算明细'!A46),'Sheet2-计算明细'!A46,"")</f>
        <v>30</v>
      </c>
      <c r="AC47" t="str">
        <f>协会公示!E31</f>
        <v>0-5亿元</v>
      </c>
      <c r="AD47" t="str">
        <f>协会公示!F31</f>
        <v>小规模</v>
      </c>
      <c r="AE47" t="str">
        <f>协会公示!G31</f>
        <v>本次公示未见相关提示</v>
      </c>
      <c r="AF47" t="str">
        <f>协会公示!R31</f>
        <v>https://gs.amac.org.cn/amac-infodisc/res/pof/manager/1706231108101144.html</v>
      </c>
    </row>
    <row r="48" ht="44" customHeight="1" spans="1:32">
      <c r="A48" s="36">
        <f>IF(ISNUMBER('Sheet2-计算明细'!AT77),'Sheet2-计算明细'!AT77,"")</f>
        <v>43</v>
      </c>
      <c r="B48" s="36" t="str">
        <f>IF('Sheet2-计算明细'!B77="","",'Sheet2-计算明细'!B77)</f>
        <v>殊馥兴义6号</v>
      </c>
      <c r="C48" s="36" t="str">
        <f>IF('Sheet2-计算明细'!C77="","",'Sheet2-计算明细'!C77)</f>
        <v>SXQ267</v>
      </c>
      <c r="D48" s="36" t="str">
        <f>IF('Sheet2-计算明细'!D77="","",'Sheet2-计算明细'!D77)</f>
        <v>上海殊馥投资</v>
      </c>
      <c r="E48" s="36" t="str">
        <f>IF('Sheet2-计算明细'!G77="","",'Sheet2-计算明细'!G77)</f>
        <v>入池</v>
      </c>
      <c r="F48" s="37">
        <f>IF(ISNUMBER('Sheet2-计算明细'!I77),'Sheet2-计算明细'!I77,"")</f>
        <v>80</v>
      </c>
      <c r="G48" s="37">
        <f>IF(ISNUMBER('Sheet2-计算明细'!K77),'Sheet2-计算明细'!K77,"")</f>
        <v>100</v>
      </c>
      <c r="H48" s="37">
        <f>IF(ISNUMBER('Sheet2-计算明细'!L77),'Sheet2-计算明细'!L77,"")</f>
        <v>100</v>
      </c>
      <c r="I48" s="37">
        <f>IF(ISNUMBER('Sheet2-计算明细'!S77),'Sheet2-计算明细'!S77,"")</f>
        <v>34.85</v>
      </c>
      <c r="J48" s="37">
        <f>IF(ISNUMBER('Sheet2-计算明细'!Y77),'Sheet2-计算明细'!Y77,"")</f>
        <v>79.49</v>
      </c>
      <c r="K48" s="37">
        <f>IF(ISNUMBER('Sheet2-计算明细'!AC77),'Sheet2-计算明细'!AC77,"")</f>
        <v>55.41</v>
      </c>
      <c r="L48" s="37">
        <f>IF(ISNUMBER('Sheet2-计算明细'!AI77),'Sheet2-计算明细'!AI77,"")</f>
        <v>30.99</v>
      </c>
      <c r="M48" s="37">
        <f>IF(ISNUMBER('Sheet2-计算明细'!AK77),'Sheet2-计算明细'!AK77,"")</f>
        <v>100</v>
      </c>
      <c r="N48" s="37">
        <f>IF(ISNUMBER('Sheet2-计算明细'!AL77),'Sheet2-计算明细'!AL77,"")</f>
        <v>92</v>
      </c>
      <c r="O48" s="37">
        <f>IF(ISNUMBER('Sheet2-计算明细'!AM77),'Sheet2-计算明细'!AM77,"")</f>
        <v>48.24</v>
      </c>
      <c r="P48" s="37">
        <f>IF(ISNUMBER('Sheet2-计算明细'!AN77),'Sheet2-计算明细'!AN77,"")</f>
        <v>55.41</v>
      </c>
      <c r="Q48" s="37">
        <f>IF(ISNUMBER('Sheet2-计算明细'!AO77),'Sheet2-计算明细'!AO77,"")</f>
        <v>30.99</v>
      </c>
      <c r="R48" s="37">
        <f>IF(ISNUMBER('Sheet2-计算明细'!AP77),'Sheet2-计算明细'!AP77,"")</f>
        <v>100</v>
      </c>
      <c r="S48" s="38">
        <f>IF(ISNUMBER('Sheet2-计算明细'!AQ77),'Sheet2-计算明细'!AQ77,"")</f>
        <v>0.88</v>
      </c>
      <c r="T48" s="37">
        <f>IF(ISNUMBER('Sheet2-计算明细'!AR77),'Sheet2-计算明细'!AR77,"")</f>
        <v>52.87882</v>
      </c>
      <c r="U48" s="37">
        <f>IF(ISNUMBER('Sheet2-计算明细'!AS77),'Sheet2-计算明细'!AS77,"")</f>
        <v>60.09</v>
      </c>
      <c r="V48" s="37" t="str">
        <f>IF(ISNUMBER('Sheet2-计算明细'!AV77),'Sheet2-计算明细'!AV77,"")</f>
        <v/>
      </c>
      <c r="W48" s="39" t="str">
        <f>IF('Sheet2-计算明细'!AU77="","",'Sheet2-计算明细'!AU77)</f>
        <v>DD_long不可识别；</v>
      </c>
      <c r="X48" s="40">
        <f>61</f>
        <v>61</v>
      </c>
      <c r="Y48" s="36" t="str">
        <f>IF('Sheet2-计算明细'!AX77="","",'Sheet2-计算明细'!AX77)</f>
        <v>套利策略</v>
      </c>
      <c r="Z48" s="36" t="str">
        <f>IF('Sheet2-计算明细'!AY77="","",'Sheet2-计算明细'!AY77)</f>
        <v>期货套利</v>
      </c>
      <c r="AA48" s="36" t="str">
        <f>IF('Sheet2-计算明细'!AW77="","",'Sheet2-计算明细'!AW77)</f>
        <v>暂定分／数据不完整</v>
      </c>
      <c r="AB48" s="40">
        <f>IF(ISNUMBER('Sheet2-计算明细'!A77),'Sheet2-计算明细'!A77,"")</f>
        <v>61</v>
      </c>
      <c r="AC48" t="str">
        <f>协会公示!E62</f>
        <v>10-20亿元</v>
      </c>
      <c r="AD48" t="str">
        <f>协会公示!F62</f>
        <v>大规模</v>
      </c>
      <c r="AE48" t="str">
        <f>协会公示!G62</f>
        <v>历史监管责令改正</v>
      </c>
      <c r="AF48" t="str">
        <f>协会公示!R62</f>
        <v>https://gs.amac.org.cn/amac-infodisc/res/pof/manager/101000042776.html</v>
      </c>
    </row>
    <row r="49" ht="44" customHeight="1" spans="1:32">
      <c r="A49" s="36">
        <f>IF(ISNUMBER('Sheet2-计算明细'!AT33),'Sheet2-计算明细'!AT33,"")</f>
        <v>44</v>
      </c>
      <c r="B49" s="36" t="str">
        <f>IF('Sheet2-计算明细'!B33="","",'Sheet2-计算明细'!B33)</f>
        <v>广联宏丰利1号</v>
      </c>
      <c r="C49" s="36" t="str">
        <f>IF('Sheet2-计算明细'!C33="","",'Sheet2-计算明细'!C33)</f>
        <v>SAGN89</v>
      </c>
      <c r="D49" s="36" t="str">
        <f>IF('Sheet2-计算明细'!D33="","",'Sheet2-计算明细'!D33)</f>
        <v>海南广联宏</v>
      </c>
      <c r="E49" s="36" t="str">
        <f>IF('Sheet2-计算明细'!G33="","",'Sheet2-计算明细'!G33)</f>
        <v>入池</v>
      </c>
      <c r="F49" s="37">
        <f>IF(ISNUMBER('Sheet2-计算明细'!I33),'Sheet2-计算明细'!I33,"")</f>
        <v>70</v>
      </c>
      <c r="G49" s="37">
        <f>IF(ISNUMBER('Sheet2-计算明细'!K33),'Sheet2-计算明细'!K33,"")</f>
        <v>100</v>
      </c>
      <c r="H49" s="37">
        <f>IF(ISNUMBER('Sheet2-计算明细'!L33),'Sheet2-计算明细'!L33,"")</f>
        <v>70</v>
      </c>
      <c r="I49" s="37">
        <f>IF(ISNUMBER('Sheet2-计算明细'!S33),'Sheet2-计算明细'!S33,"")</f>
        <v>99.17</v>
      </c>
      <c r="J49" s="37">
        <f>IF(ISNUMBER('Sheet2-计算明细'!Y33),'Sheet2-计算明细'!Y33,"")</f>
        <v>84.62</v>
      </c>
      <c r="K49" s="37">
        <f>IF(ISNUMBER('Sheet2-计算明细'!AC33),'Sheet2-计算明细'!AC33,"")</f>
        <v>14.86</v>
      </c>
      <c r="L49" s="37">
        <f>IF(ISNUMBER('Sheet2-计算明细'!AI33),'Sheet2-计算明细'!AI33,"")</f>
        <v>49.3</v>
      </c>
      <c r="M49" s="37">
        <f>IF(ISNUMBER('Sheet2-计算明细'!AK33),'Sheet2-计算明细'!AK33,"")</f>
        <v>100</v>
      </c>
      <c r="N49" s="37">
        <f>IF(ISNUMBER('Sheet2-计算明细'!AL33),'Sheet2-计算明细'!AL33,"")</f>
        <v>79</v>
      </c>
      <c r="O49" s="37">
        <f>IF(ISNUMBER('Sheet2-计算明细'!AM33),'Sheet2-计算明细'!AM33,"")</f>
        <v>96.19</v>
      </c>
      <c r="P49" s="37">
        <f>IF(ISNUMBER('Sheet2-计算明细'!AN33),'Sheet2-计算明细'!AN33,"")</f>
        <v>14.86</v>
      </c>
      <c r="Q49" s="37">
        <f>IF(ISNUMBER('Sheet2-计算明细'!AO33),'Sheet2-计算明细'!AO33,"")</f>
        <v>49.3</v>
      </c>
      <c r="R49" s="37">
        <f>IF(ISNUMBER('Sheet2-计算明细'!AP33),'Sheet2-计算明细'!AP33,"")</f>
        <v>100</v>
      </c>
      <c r="S49" s="38">
        <f>IF(ISNUMBER('Sheet2-计算明细'!AQ33),'Sheet2-计算明细'!AQ33,"")</f>
        <v>0.856</v>
      </c>
      <c r="T49" s="37">
        <f>IF(ISNUMBER('Sheet2-计算明细'!AR33),'Sheet2-计算明细'!AR33,"")</f>
        <v>51.36856</v>
      </c>
      <c r="U49" s="37">
        <f>IF(ISNUMBER('Sheet2-计算明细'!AS33),'Sheet2-计算明细'!AS33,"")</f>
        <v>60.01</v>
      </c>
      <c r="V49" s="37" t="str">
        <f>IF(ISNUMBER('Sheet2-计算明细'!AV33),'Sheet2-计算明细'!AV33,"")</f>
        <v/>
      </c>
      <c r="W49" s="39" t="str">
        <f>IF('Sheet2-计算明细'!AU33="","",'Sheet2-计算明细'!AU33)</f>
        <v>近三年收益；近三年胜率；近三年回撤；DD_long不可识别；</v>
      </c>
      <c r="X49" s="40">
        <f>17</f>
        <v>17</v>
      </c>
      <c r="Y49" s="36" t="str">
        <f>IF('Sheet2-计算明细'!AX33="","",'Sheet2-计算明细'!AX33)</f>
        <v>套利策略</v>
      </c>
      <c r="Z49" s="36" t="str">
        <f>IF('Sheet2-计算明细'!AY33="","",'Sheet2-计算明细'!AY33)</f>
        <v>期货套利</v>
      </c>
      <c r="AA49" s="36" t="str">
        <f>IF('Sheet2-计算明细'!AW33="","",'Sheet2-计算明细'!AW33)</f>
        <v>暂定分／数据不完整</v>
      </c>
      <c r="AB49" s="40">
        <f>IF(ISNUMBER('Sheet2-计算明细'!A33),'Sheet2-计算明细'!A33,"")</f>
        <v>17</v>
      </c>
      <c r="AC49" t="str">
        <f>协会公示!E18</f>
        <v>5-10亿元</v>
      </c>
      <c r="AD49" t="str">
        <f>协会公示!F18</f>
        <v>大规模</v>
      </c>
      <c r="AE49" t="str">
        <f>协会公示!G18</f>
        <v>协会提示／已整改异常</v>
      </c>
      <c r="AF49" t="str">
        <f>协会公示!R18</f>
        <v>https://gs.amac.org.cn/amac-infodisc/res/pof/manager/2109061042100364.html</v>
      </c>
    </row>
    <row r="50" ht="44" customHeight="1" spans="1:32">
      <c r="A50" s="36">
        <f>IF(ISNUMBER('Sheet2-计算明细'!AT38),'Sheet2-计算明细'!AT38,"")</f>
        <v>45</v>
      </c>
      <c r="B50" s="36" t="str">
        <f>IF('Sheet2-计算明细'!B38="","",'Sheet2-计算明细'!B38)</f>
        <v>佳泽信享5号A类</v>
      </c>
      <c r="C50" s="36" t="str">
        <f>IF('Sheet2-计算明细'!C38="","",'Sheet2-计算明细'!C38)</f>
        <v>ZC395A</v>
      </c>
      <c r="D50" s="36" t="str">
        <f>IF('Sheet2-计算明细'!D38="","",'Sheet2-计算明细'!D38)</f>
        <v>海南佳泽</v>
      </c>
      <c r="E50" s="36" t="str">
        <f>IF('Sheet2-计算明细'!G38="","",'Sheet2-计算明细'!G38)</f>
        <v>入池</v>
      </c>
      <c r="F50" s="37">
        <f>IF(ISNUMBER('Sheet2-计算明细'!I38),'Sheet2-计算明细'!I38,"")</f>
        <v>60</v>
      </c>
      <c r="G50" s="37" t="str">
        <f>IF(ISNUMBER('Sheet2-计算明细'!K38),'Sheet2-计算明细'!K38,"")</f>
        <v/>
      </c>
      <c r="H50" s="37">
        <f>IF(ISNUMBER('Sheet2-计算明细'!L38),'Sheet2-计算明细'!L38,"")</f>
        <v>100</v>
      </c>
      <c r="I50" s="37">
        <f>IF(ISNUMBER('Sheet2-计算明细'!S38),'Sheet2-计算明细'!S38,"")</f>
        <v>28.94</v>
      </c>
      <c r="J50" s="37">
        <f>IF(ISNUMBER('Sheet2-计算明细'!Y38),'Sheet2-计算明细'!Y38,"")</f>
        <v>85.38</v>
      </c>
      <c r="K50" s="37">
        <f>IF(ISNUMBER('Sheet2-计算明细'!AC38),'Sheet2-计算明细'!AC38,"")</f>
        <v>45.95</v>
      </c>
      <c r="L50" s="37">
        <f>IF(ISNUMBER('Sheet2-计算明细'!AI38),'Sheet2-计算明细'!AI38,"")</f>
        <v>53.07</v>
      </c>
      <c r="M50" s="37">
        <f>IF(ISNUMBER('Sheet2-计算明细'!AK38),'Sheet2-计算明细'!AK38,"")</f>
        <v>100</v>
      </c>
      <c r="N50" s="37">
        <f>IF(ISNUMBER('Sheet2-计算明细'!AL38),'Sheet2-计算明细'!AL38,"")</f>
        <v>77.14</v>
      </c>
      <c r="O50" s="37">
        <f>IF(ISNUMBER('Sheet2-计算明细'!AM38),'Sheet2-计算明细'!AM38,"")</f>
        <v>45.87</v>
      </c>
      <c r="P50" s="37">
        <f>IF(ISNUMBER('Sheet2-计算明细'!AN38),'Sheet2-计算明细'!AN38,"")</f>
        <v>45.95</v>
      </c>
      <c r="Q50" s="37">
        <f>IF(ISNUMBER('Sheet2-计算明细'!AO38),'Sheet2-计算明细'!AO38,"")</f>
        <v>53.07</v>
      </c>
      <c r="R50" s="37">
        <f>IF(ISNUMBER('Sheet2-计算明细'!AP38),'Sheet2-计算明细'!AP38,"")</f>
        <v>100</v>
      </c>
      <c r="S50" s="38">
        <f>IF(ISNUMBER('Sheet2-计算明细'!AQ38),'Sheet2-计算明细'!AQ38,"")</f>
        <v>0.955</v>
      </c>
      <c r="T50" s="37">
        <f>IF(ISNUMBER('Sheet2-计算明细'!AR38),'Sheet2-计算明细'!AR38,"")</f>
        <v>54.68171</v>
      </c>
      <c r="U50" s="37">
        <f>IF(ISNUMBER('Sheet2-计算明细'!AS38),'Sheet2-计算明细'!AS38,"")</f>
        <v>57.26</v>
      </c>
      <c r="V50" s="37" t="str">
        <f>IF(ISNUMBER('Sheet2-计算明细'!AV38),'Sheet2-计算明细'!AV38,"")</f>
        <v/>
      </c>
      <c r="W50" s="39" t="str">
        <f>IF('Sheet2-计算明细'!AU38="","",'Sheet2-计算明细'!AU38)</f>
        <v>产品规模标识；</v>
      </c>
      <c r="X50" s="40">
        <f>22</f>
        <v>22</v>
      </c>
      <c r="Y50" s="36" t="str">
        <f>IF('Sheet2-计算明细'!AX38="","",'Sheet2-计算明细'!AX38)</f>
        <v>套利策略</v>
      </c>
      <c r="Z50" s="36" t="str">
        <f>IF('Sheet2-计算明细'!AY38="","",'Sheet2-计算明细'!AY38)</f>
        <v>期货套利</v>
      </c>
      <c r="AA50" s="36" t="str">
        <f>IF('Sheet2-计算明细'!AW38="","",'Sheet2-计算明细'!AW38)</f>
        <v>暂定分／数据不完整</v>
      </c>
      <c r="AB50" s="40">
        <f>IF(ISNUMBER('Sheet2-计算明细'!A38),'Sheet2-计算明细'!A38,"")</f>
        <v>22</v>
      </c>
      <c r="AC50" t="str">
        <f>协会公示!E23</f>
        <v>0-5亿元</v>
      </c>
      <c r="AD50" t="str">
        <f>协会公示!F23</f>
        <v>小规模</v>
      </c>
      <c r="AE50" t="str">
        <f>协会公示!G23</f>
        <v>协会提示／已整改异常</v>
      </c>
      <c r="AF50" t="str">
        <f>协会公示!R23</f>
        <v>https://gs.amac.org.cn/amac-infodisc/res/pof/manager/2202171443109430.html</v>
      </c>
    </row>
    <row r="51" ht="44" customHeight="1" spans="1:32">
      <c r="A51" s="36">
        <f>IF(ISNUMBER('Sheet2-计算明细'!AT22),'Sheet2-计算明细'!AT22,"")</f>
        <v>46</v>
      </c>
      <c r="B51" s="36" t="str">
        <f>IF('Sheet2-计算明细'!B22="","",'Sheet2-计算明细'!B22)</f>
        <v>博弈树金选套利2号</v>
      </c>
      <c r="C51" s="36" t="str">
        <f>IF('Sheet2-计算明细'!C22="","",'Sheet2-计算明细'!C22)</f>
        <v>SXR086</v>
      </c>
      <c r="D51" s="36" t="str">
        <f>IF('Sheet2-计算明细'!D22="","",'Sheet2-计算明细'!D22)</f>
        <v>广东丰煜</v>
      </c>
      <c r="E51" s="36" t="str">
        <f>IF('Sheet2-计算明细'!G22="","",'Sheet2-计算明细'!G22)</f>
        <v>入池</v>
      </c>
      <c r="F51" s="37">
        <f>IF(ISNUMBER('Sheet2-计算明细'!I22),'Sheet2-计算明细'!I22,"")</f>
        <v>60</v>
      </c>
      <c r="G51" s="37">
        <f>IF(ISNUMBER('Sheet2-计算明细'!K22),'Sheet2-计算明细'!K22,"")</f>
        <v>100</v>
      </c>
      <c r="H51" s="37">
        <f>IF(ISNUMBER('Sheet2-计算明细'!L22),'Sheet2-计算明细'!L22,"")</f>
        <v>100</v>
      </c>
      <c r="I51" s="37">
        <f>IF(ISNUMBER('Sheet2-计算明细'!S22),'Sheet2-计算明细'!S22,"")</f>
        <v>71.97</v>
      </c>
      <c r="J51" s="37">
        <f>IF(ISNUMBER('Sheet2-计算明细'!Y22),'Sheet2-计算明细'!Y22,"")</f>
        <v>74.48</v>
      </c>
      <c r="K51" s="37">
        <f>IF(ISNUMBER('Sheet2-计算明细'!AC22),'Sheet2-计算明细'!AC22,"")</f>
        <v>22.97</v>
      </c>
      <c r="L51" s="37">
        <f>IF(ISNUMBER('Sheet2-计算明细'!AI22),'Sheet2-计算明细'!AI22,"")</f>
        <v>40.85</v>
      </c>
      <c r="M51" s="37">
        <f>IF(ISNUMBER('Sheet2-计算明细'!AK22),'Sheet2-计算明细'!AK22,"")</f>
        <v>100</v>
      </c>
      <c r="N51" s="37">
        <f>IF(ISNUMBER('Sheet2-计算明细'!AL22),'Sheet2-计算明细'!AL22,"")</f>
        <v>84</v>
      </c>
      <c r="O51" s="37">
        <f>IF(ISNUMBER('Sheet2-计算明细'!AM22),'Sheet2-计算明细'!AM22,"")</f>
        <v>72.72</v>
      </c>
      <c r="P51" s="37">
        <f>IF(ISNUMBER('Sheet2-计算明细'!AN22),'Sheet2-计算明细'!AN22,"")</f>
        <v>22.97</v>
      </c>
      <c r="Q51" s="37">
        <f>IF(ISNUMBER('Sheet2-计算明细'!AO22),'Sheet2-计算明细'!AO22,"")</f>
        <v>40.85</v>
      </c>
      <c r="R51" s="37">
        <f>IF(ISNUMBER('Sheet2-计算明细'!AP22),'Sheet2-计算明细'!AP22,"")</f>
        <v>100</v>
      </c>
      <c r="S51" s="38">
        <f>IF(ISNUMBER('Sheet2-计算明细'!AQ22),'Sheet2-计算明细'!AQ22,"")</f>
        <v>0.88</v>
      </c>
      <c r="T51" s="37">
        <f>IF(ISNUMBER('Sheet2-计算明细'!AR22),'Sheet2-计算明细'!AR22,"")</f>
        <v>50.24035</v>
      </c>
      <c r="U51" s="37">
        <f>IF(ISNUMBER('Sheet2-计算明细'!AS22),'Sheet2-计算明细'!AS22,"")</f>
        <v>57.09</v>
      </c>
      <c r="V51" s="37" t="str">
        <f>IF(ISNUMBER('Sheet2-计算明细'!AV22),'Sheet2-计算明细'!AV22,"")</f>
        <v/>
      </c>
      <c r="W51" s="39" t="str">
        <f>IF('Sheet2-计算明细'!AU22="","",'Sheet2-计算明细'!AU22)</f>
        <v>DD_long不可识别；</v>
      </c>
      <c r="X51" s="40">
        <f>6</f>
        <v>6</v>
      </c>
      <c r="Y51" s="36" t="str">
        <f>IF('Sheet2-计算明细'!AX22="","",'Sheet2-计算明细'!AX22)</f>
        <v>套利策略</v>
      </c>
      <c r="Z51" s="36" t="str">
        <f>IF('Sheet2-计算明细'!AY22="","",'Sheet2-计算明细'!AY22)</f>
        <v>期货套利</v>
      </c>
      <c r="AA51" s="36" t="str">
        <f>IF('Sheet2-计算明细'!AW22="","",'Sheet2-计算明细'!AW22)</f>
        <v>暂定分／数据不完整</v>
      </c>
      <c r="AB51" s="40">
        <f>IF(ISNUMBER('Sheet2-计算明细'!A22),'Sheet2-计算明细'!A22,"")</f>
        <v>6</v>
      </c>
      <c r="AC51" t="str">
        <f>协会公示!E7</f>
        <v>0-5亿元</v>
      </c>
      <c r="AD51" t="str">
        <f>协会公示!F7</f>
        <v>小规模</v>
      </c>
      <c r="AE51" t="str">
        <f>协会公示!G7</f>
        <v>本次公示未见相关提示</v>
      </c>
      <c r="AF51" t="str">
        <f>协会公示!R7</f>
        <v>https://gs.amac.org.cn/amac-infodisc/res/pof/manager/101000015767.html</v>
      </c>
    </row>
    <row r="52" ht="44" customHeight="1" spans="1:32">
      <c r="A52" s="36">
        <f>IF(ISNUMBER('Sheet2-计算明细'!AT66),'Sheet2-计算明细'!AT66,"")</f>
        <v>47</v>
      </c>
      <c r="B52" s="36" t="str">
        <f>IF('Sheet2-计算明细'!B66="","",'Sheet2-计算明细'!B66)</f>
        <v>融昊青松CTA套利一号</v>
      </c>
      <c r="C52" s="36" t="str">
        <f>IF('Sheet2-计算明细'!C66="","",'Sheet2-计算明细'!C66)</f>
        <v>S09735</v>
      </c>
      <c r="D52" s="36" t="str">
        <f>IF('Sheet2-计算明细'!D66="","",'Sheet2-计算明细'!D66)</f>
        <v>上海融昊投资</v>
      </c>
      <c r="E52" s="36" t="str">
        <f>IF('Sheet2-计算明细'!G66="","",'Sheet2-计算明细'!G66)</f>
        <v>入池</v>
      </c>
      <c r="F52" s="37">
        <f>IF(ISNUMBER('Sheet2-计算明细'!I66),'Sheet2-计算明细'!I66,"")</f>
        <v>80</v>
      </c>
      <c r="G52" s="37">
        <f>IF(ISNUMBER('Sheet2-计算明细'!K66),'Sheet2-计算明细'!K66,"")</f>
        <v>100</v>
      </c>
      <c r="H52" s="37">
        <f>IF(ISNUMBER('Sheet2-计算明细'!L66),'Sheet2-计算明细'!L66,"")</f>
        <v>100</v>
      </c>
      <c r="I52" s="37">
        <f>IF(ISNUMBER('Sheet2-计算明细'!S66),'Sheet2-计算明细'!S66,"")</f>
        <v>64.92</v>
      </c>
      <c r="J52" s="37">
        <f>IF(ISNUMBER('Sheet2-计算明细'!Y66),'Sheet2-计算明细'!Y66,"")</f>
        <v>80.77</v>
      </c>
      <c r="K52" s="37">
        <f>IF(ISNUMBER('Sheet2-计算明细'!AC66),'Sheet2-计算明细'!AC66,"")</f>
        <v>33.78</v>
      </c>
      <c r="L52" s="37">
        <f>IF(ISNUMBER('Sheet2-计算明细'!AI66),'Sheet2-计算明细'!AI66,"")</f>
        <v>41.97</v>
      </c>
      <c r="M52" s="37">
        <f>IF(ISNUMBER('Sheet2-计算明细'!AK66),'Sheet2-计算明细'!AK66,"")</f>
        <v>80</v>
      </c>
      <c r="N52" s="37">
        <f>IF(ISNUMBER('Sheet2-计算明细'!AL66),'Sheet2-计算明细'!AL66,"")</f>
        <v>92</v>
      </c>
      <c r="O52" s="37">
        <f>IF(ISNUMBER('Sheet2-计算明细'!AM66),'Sheet2-计算明细'!AM66,"")</f>
        <v>69.68</v>
      </c>
      <c r="P52" s="37">
        <f>IF(ISNUMBER('Sheet2-计算明细'!AN66),'Sheet2-计算明细'!AN66,"")</f>
        <v>33.78</v>
      </c>
      <c r="Q52" s="37">
        <f>IF(ISNUMBER('Sheet2-计算明细'!AO66),'Sheet2-计算明细'!AO66,"")</f>
        <v>41.97</v>
      </c>
      <c r="R52" s="37">
        <f>IF(ISNUMBER('Sheet2-计算明细'!AP66),'Sheet2-计算明细'!AP66,"")</f>
        <v>80</v>
      </c>
      <c r="S52" s="38">
        <f>IF(ISNUMBER('Sheet2-计算明细'!AQ66),'Sheet2-计算明细'!AQ66,"")</f>
        <v>1</v>
      </c>
      <c r="T52" s="37">
        <f>IF(ISNUMBER('Sheet2-计算明细'!AR66),'Sheet2-计算明细'!AR66,"")</f>
        <v>56.77228</v>
      </c>
      <c r="U52" s="37">
        <f>IF(ISNUMBER('Sheet2-计算明细'!AS66),'Sheet2-计算明细'!AS66,"")</f>
        <v>56.77</v>
      </c>
      <c r="V52" s="37">
        <f>IF(ISNUMBER('Sheet2-计算明细'!AV66),'Sheet2-计算明细'!AV66,"")</f>
        <v>56.77228</v>
      </c>
      <c r="W52" s="39" t="str">
        <f>IF('Sheet2-计算明细'!AU66="","",'Sheet2-计算明细'!AU66)</f>
        <v/>
      </c>
      <c r="X52" s="40">
        <f>50</f>
        <v>50</v>
      </c>
      <c r="Y52" s="36" t="str">
        <f>IF('Sheet2-计算明细'!AX66="","",'Sheet2-计算明细'!AX66)</f>
        <v>期货策略</v>
      </c>
      <c r="Z52" s="36" t="str">
        <f>IF('Sheet2-计算明细'!AY66="","",'Sheet2-计算明细'!AY66)</f>
        <v>主观期货</v>
      </c>
      <c r="AA52" s="36" t="str">
        <f>IF('Sheet2-计算明细'!AW66="","",'Sheet2-计算明细'!AW66)</f>
        <v>完整赋分</v>
      </c>
      <c r="AB52" s="40">
        <f>IF(ISNUMBER('Sheet2-计算明细'!A66),'Sheet2-计算明细'!A66,"")</f>
        <v>50</v>
      </c>
      <c r="AC52" t="str">
        <f>协会公示!E51</f>
        <v>10-20亿元</v>
      </c>
      <c r="AD52" t="str">
        <f>协会公示!F51</f>
        <v>大规模</v>
      </c>
      <c r="AE52" t="str">
        <f>协会公示!G51</f>
        <v>本次公示未见相关提示</v>
      </c>
      <c r="AF52" t="str">
        <f>协会公示!R51</f>
        <v>https://gs.amac.org.cn/amac-infodisc/res/pof/manager/101000008109.html</v>
      </c>
    </row>
    <row r="53" ht="44" customHeight="1" spans="1:32">
      <c r="A53" s="36">
        <f>IF(ISNUMBER('Sheet2-计算明细'!AT57),'Sheet2-计算明细'!AT57,"")</f>
        <v>48</v>
      </c>
      <c r="B53" s="36" t="str">
        <f>IF('Sheet2-计算明细'!B57="","",'Sheet2-计算明细'!B57)</f>
        <v>慕途基本面量化2号</v>
      </c>
      <c r="C53" s="36" t="str">
        <f>IF('Sheet2-计算明细'!C57="","",'Sheet2-计算明细'!C57)</f>
        <v>SB9576</v>
      </c>
      <c r="D53" s="36" t="str">
        <f>IF('Sheet2-计算明细'!D57="","",'Sheet2-计算明细'!D57)</f>
        <v>慕途基金</v>
      </c>
      <c r="E53" s="36" t="str">
        <f>IF('Sheet2-计算明细'!G57="","",'Sheet2-计算明细'!G57)</f>
        <v>入池</v>
      </c>
      <c r="F53" s="37">
        <f>IF(ISNUMBER('Sheet2-计算明细'!I57),'Sheet2-计算明细'!I57,"")</f>
        <v>80</v>
      </c>
      <c r="G53" s="37">
        <f>IF(ISNUMBER('Sheet2-计算明细'!K57),'Sheet2-计算明细'!K57,"")</f>
        <v>100</v>
      </c>
      <c r="H53" s="37">
        <f>IF(ISNUMBER('Sheet2-计算明细'!L57),'Sheet2-计算明细'!L57,"")</f>
        <v>100</v>
      </c>
      <c r="I53" s="37">
        <f>IF(ISNUMBER('Sheet2-计算明细'!S57),'Sheet2-计算明细'!S57,"")</f>
        <v>64.85</v>
      </c>
      <c r="J53" s="37">
        <f>IF(ISNUMBER('Sheet2-计算明细'!Y57),'Sheet2-计算明细'!Y57,"")</f>
        <v>74.87</v>
      </c>
      <c r="K53" s="37">
        <f>IF(ISNUMBER('Sheet2-计算明细'!AC57),'Sheet2-计算明细'!AC57,"")</f>
        <v>29.73</v>
      </c>
      <c r="L53" s="37">
        <f>IF(ISNUMBER('Sheet2-计算明细'!AI57),'Sheet2-计算明细'!AI57,"")</f>
        <v>26.76</v>
      </c>
      <c r="M53" s="37">
        <f>IF(ISNUMBER('Sheet2-计算明细'!AK57),'Sheet2-计算明细'!AK57,"")</f>
        <v>100</v>
      </c>
      <c r="N53" s="37">
        <f>IF(ISNUMBER('Sheet2-计算明细'!AL57),'Sheet2-计算明细'!AL57,"")</f>
        <v>92</v>
      </c>
      <c r="O53" s="37">
        <f>IF(ISNUMBER('Sheet2-计算明细'!AM57),'Sheet2-计算明细'!AM57,"")</f>
        <v>67.86</v>
      </c>
      <c r="P53" s="37">
        <f>IF(ISNUMBER('Sheet2-计算明细'!AN57),'Sheet2-计算明细'!AN57,"")</f>
        <v>29.73</v>
      </c>
      <c r="Q53" s="37">
        <f>IF(ISNUMBER('Sheet2-计算明细'!AO57),'Sheet2-计算明细'!AO57,"")</f>
        <v>26.76</v>
      </c>
      <c r="R53" s="37">
        <f>IF(ISNUMBER('Sheet2-计算明细'!AP57),'Sheet2-计算明细'!AP57,"")</f>
        <v>100</v>
      </c>
      <c r="S53" s="38">
        <f>IF(ISNUMBER('Sheet2-计算明细'!AQ57),'Sheet2-计算明细'!AQ57,"")</f>
        <v>0.88</v>
      </c>
      <c r="T53" s="37">
        <f>IF(ISNUMBER('Sheet2-计算明细'!AR57),'Sheet2-计算明细'!AR57,"")</f>
        <v>49.62065</v>
      </c>
      <c r="U53" s="37">
        <f>IF(ISNUMBER('Sheet2-计算明细'!AS57),'Sheet2-计算明细'!AS57,"")</f>
        <v>56.39</v>
      </c>
      <c r="V53" s="37" t="str">
        <f>IF(ISNUMBER('Sheet2-计算明细'!AV57),'Sheet2-计算明细'!AV57,"")</f>
        <v/>
      </c>
      <c r="W53" s="39" t="str">
        <f>IF('Sheet2-计算明细'!AU57="","",'Sheet2-计算明细'!AU57)</f>
        <v>DD_long不可识别；</v>
      </c>
      <c r="X53" s="40">
        <f>41</f>
        <v>41</v>
      </c>
      <c r="Y53" s="36" t="str">
        <f>IF('Sheet2-计算明细'!AX57="","",'Sheet2-计算明细'!AX57)</f>
        <v>套利策略</v>
      </c>
      <c r="Z53" s="36" t="str">
        <f>IF('Sheet2-计算明细'!AY57="","",'Sheet2-计算明细'!AY57)</f>
        <v>期货套利</v>
      </c>
      <c r="AA53" s="36" t="str">
        <f>IF('Sheet2-计算明细'!AW57="","",'Sheet2-计算明细'!AW57)</f>
        <v>暂定分／数据不完整</v>
      </c>
      <c r="AB53" s="40">
        <f>IF(ISNUMBER('Sheet2-计算明细'!A57),'Sheet2-计算明细'!A57,"")</f>
        <v>41</v>
      </c>
      <c r="AC53" t="str">
        <f>协会公示!E42</f>
        <v>10-20亿元</v>
      </c>
      <c r="AD53" t="str">
        <f>协会公示!F42</f>
        <v>大规模</v>
      </c>
      <c r="AE53" t="str">
        <f>协会公示!G42</f>
        <v>本次公示未见相关提示</v>
      </c>
      <c r="AF53" t="str">
        <f>协会公示!R42</f>
        <v>https://gs.amac.org.cn/amac-infodisc/res/pof/manager/2106221238106983.html</v>
      </c>
    </row>
    <row r="54" ht="44" customHeight="1" spans="1:32">
      <c r="A54" s="36">
        <f>IF(ISNUMBER('Sheet2-计算明细'!AT94),'Sheet2-计算明细'!AT94,"")</f>
        <v>49</v>
      </c>
      <c r="B54" s="36" t="str">
        <f>IF('Sheet2-计算明细'!B94="","",'Sheet2-计算明细'!B94)</f>
        <v>致同稳盈对冲</v>
      </c>
      <c r="C54" s="36" t="str">
        <f>IF('Sheet2-计算明细'!C94="","",'Sheet2-计算明细'!C94)</f>
        <v>SS8645</v>
      </c>
      <c r="D54" s="36" t="str">
        <f>IF('Sheet2-计算明细'!D94="","",'Sheet2-计算明细'!D94)</f>
        <v>上海致同投资</v>
      </c>
      <c r="E54" s="36" t="str">
        <f>IF('Sheet2-计算明细'!G94="","",'Sheet2-计算明细'!G94)</f>
        <v>入池</v>
      </c>
      <c r="F54" s="37">
        <f>IF(ISNUMBER('Sheet2-计算明细'!I94),'Sheet2-计算明细'!I94,"")</f>
        <v>90</v>
      </c>
      <c r="G54" s="37">
        <f>IF(ISNUMBER('Sheet2-计算明细'!K94),'Sheet2-计算明细'!K94,"")</f>
        <v>100</v>
      </c>
      <c r="H54" s="37">
        <f>IF(ISNUMBER('Sheet2-计算明细'!L94),'Sheet2-计算明细'!L94,"")</f>
        <v>100</v>
      </c>
      <c r="I54" s="37">
        <f>IF(ISNUMBER('Sheet2-计算明细'!S94),'Sheet2-计算明细'!S94,"")</f>
        <v>18.49</v>
      </c>
      <c r="J54" s="37">
        <f>IF(ISNUMBER('Sheet2-计算明细'!Y94),'Sheet2-计算明细'!Y94,"")</f>
        <v>74.87</v>
      </c>
      <c r="K54" s="37">
        <f>IF(ISNUMBER('Sheet2-计算明细'!AC94),'Sheet2-计算明细'!AC94,"")</f>
        <v>59.46</v>
      </c>
      <c r="L54" s="37">
        <f>IF(ISNUMBER('Sheet2-计算明细'!AI94),'Sheet2-计算明细'!AI94,"")</f>
        <v>25.35</v>
      </c>
      <c r="M54" s="37">
        <f>IF(ISNUMBER('Sheet2-计算明细'!AK94),'Sheet2-计算明细'!AK94,"")</f>
        <v>80</v>
      </c>
      <c r="N54" s="37">
        <f>IF(ISNUMBER('Sheet2-计算明细'!AL94),'Sheet2-计算明细'!AL94,"")</f>
        <v>96</v>
      </c>
      <c r="O54" s="37">
        <f>IF(ISNUMBER('Sheet2-计算明细'!AM94),'Sheet2-计算明细'!AM94,"")</f>
        <v>35.4</v>
      </c>
      <c r="P54" s="37">
        <f>IF(ISNUMBER('Sheet2-计算明细'!AN94),'Sheet2-计算明细'!AN94,"")</f>
        <v>59.46</v>
      </c>
      <c r="Q54" s="37">
        <f>IF(ISNUMBER('Sheet2-计算明细'!AO94),'Sheet2-计算明细'!AO94,"")</f>
        <v>25.35</v>
      </c>
      <c r="R54" s="37">
        <f>IF(ISNUMBER('Sheet2-计算明细'!AP94),'Sheet2-计算明细'!AP94,"")</f>
        <v>80</v>
      </c>
      <c r="S54" s="38">
        <f>IF(ISNUMBER('Sheet2-计算明细'!AQ94),'Sheet2-计算明细'!AQ94,"")</f>
        <v>0.88</v>
      </c>
      <c r="T54" s="37">
        <f>IF(ISNUMBER('Sheet2-计算明细'!AR94),'Sheet2-计算明细'!AR94,"")</f>
        <v>48.90839</v>
      </c>
      <c r="U54" s="37">
        <f>IF(ISNUMBER('Sheet2-计算明细'!AS94),'Sheet2-计算明细'!AS94,"")</f>
        <v>55.58</v>
      </c>
      <c r="V54" s="37" t="str">
        <f>IF(ISNUMBER('Sheet2-计算明细'!AV94),'Sheet2-计算明细'!AV94,"")</f>
        <v/>
      </c>
      <c r="W54" s="39" t="str">
        <f>IF('Sheet2-计算明细'!AU94="","",'Sheet2-计算明细'!AU94)</f>
        <v>DD_long不可识别；</v>
      </c>
      <c r="X54" s="40">
        <f>78</f>
        <v>78</v>
      </c>
      <c r="Y54" s="36" t="str">
        <f>IF('Sheet2-计算明细'!AX94="","",'Sheet2-计算明细'!AX94)</f>
        <v>套利策略</v>
      </c>
      <c r="Z54" s="36" t="str">
        <f>IF('Sheet2-计算明细'!AY94="","",'Sheet2-计算明细'!AY94)</f>
        <v>期货套利</v>
      </c>
      <c r="AA54" s="36" t="str">
        <f>IF('Sheet2-计算明细'!AW94="","",'Sheet2-计算明细'!AW94)</f>
        <v>暂定分／数据不完整</v>
      </c>
      <c r="AB54" s="40">
        <f>IF(ISNUMBER('Sheet2-计算明细'!A94),'Sheet2-计算明细'!A94,"")</f>
        <v>78</v>
      </c>
      <c r="AC54" t="str">
        <f>协会公示!E79</f>
        <v>20-50亿元</v>
      </c>
      <c r="AD54" t="str">
        <f>协会公示!F79</f>
        <v>大规模</v>
      </c>
      <c r="AE54" t="str">
        <f>协会公示!G79</f>
        <v>监管警示函</v>
      </c>
      <c r="AF54" t="str">
        <f>协会公示!R79</f>
        <v>https://gs.amac.org.cn/amac-infodisc/res/pof/manager/101000004339.html</v>
      </c>
    </row>
    <row r="55" ht="44" customHeight="1" spans="1:32">
      <c r="A55" s="36">
        <f>IF(ISNUMBER('Sheet2-计算明细'!AT90),'Sheet2-计算明细'!AT90,"")</f>
        <v>50</v>
      </c>
      <c r="B55" s="36" t="str">
        <f>IF('Sheet2-计算明细'!B90="","",'Sheet2-计算明细'!B90)</f>
        <v>在赢套利一号</v>
      </c>
      <c r="C55" s="36" t="str">
        <f>IF('Sheet2-计算明细'!C90="","",'Sheet2-计算明细'!C90)</f>
        <v>SGW281</v>
      </c>
      <c r="D55" s="36" t="str">
        <f>IF('Sheet2-计算明细'!D90="","",'Sheet2-计算明细'!D90)</f>
        <v>浙江在赢</v>
      </c>
      <c r="E55" s="36" t="str">
        <f>IF('Sheet2-计算明细'!G90="","",'Sheet2-计算明细'!G90)</f>
        <v>入池</v>
      </c>
      <c r="F55" s="37">
        <f>IF(ISNUMBER('Sheet2-计算明细'!I90),'Sheet2-计算明细'!I90,"")</f>
        <v>70</v>
      </c>
      <c r="G55" s="37">
        <f>IF(ISNUMBER('Sheet2-计算明细'!K90),'Sheet2-计算明细'!K90,"")</f>
        <v>100</v>
      </c>
      <c r="H55" s="37">
        <f>IF(ISNUMBER('Sheet2-计算明细'!L90),'Sheet2-计算明细'!L90,"")</f>
        <v>100</v>
      </c>
      <c r="I55" s="37">
        <f>IF(ISNUMBER('Sheet2-计算明细'!S90),'Sheet2-计算明细'!S90,"")</f>
        <v>81.51</v>
      </c>
      <c r="J55" s="37">
        <f>IF(ISNUMBER('Sheet2-计算明细'!Y90),'Sheet2-计算明细'!Y90,"")</f>
        <v>77.44</v>
      </c>
      <c r="K55" s="37">
        <f>IF(ISNUMBER('Sheet2-计算明细'!AC90),'Sheet2-计算明细'!AC90,"")</f>
        <v>12.16</v>
      </c>
      <c r="L55" s="37">
        <f>IF(ISNUMBER('Sheet2-计算明细'!AI90),'Sheet2-计算明细'!AI90,"")</f>
        <v>42.49</v>
      </c>
      <c r="M55" s="37">
        <f>IF(ISNUMBER('Sheet2-计算明细'!AK90),'Sheet2-计算明细'!AK90,"")</f>
        <v>100</v>
      </c>
      <c r="N55" s="37">
        <f>IF(ISNUMBER('Sheet2-计算明细'!AL90),'Sheet2-计算明细'!AL90,"")</f>
        <v>88</v>
      </c>
      <c r="O55" s="37">
        <f>IF(ISNUMBER('Sheet2-计算明细'!AM90),'Sheet2-计算明细'!AM90,"")</f>
        <v>80.29</v>
      </c>
      <c r="P55" s="37">
        <f>IF(ISNUMBER('Sheet2-计算明细'!AN90),'Sheet2-计算明细'!AN90,"")</f>
        <v>12.16</v>
      </c>
      <c r="Q55" s="37">
        <f>IF(ISNUMBER('Sheet2-计算明细'!AO90),'Sheet2-计算明细'!AO90,"")</f>
        <v>42.49</v>
      </c>
      <c r="R55" s="37">
        <f>IF(ISNUMBER('Sheet2-计算明细'!AP90),'Sheet2-计算明细'!AP90,"")</f>
        <v>100</v>
      </c>
      <c r="S55" s="38">
        <f>IF(ISNUMBER('Sheet2-计算明细'!AQ90),'Sheet2-计算明细'!AQ90,"")</f>
        <v>1</v>
      </c>
      <c r="T55" s="37">
        <f>IF(ISNUMBER('Sheet2-计算明细'!AR90),'Sheet2-计算明细'!AR90,"")</f>
        <v>55.04391</v>
      </c>
      <c r="U55" s="37">
        <f>IF(ISNUMBER('Sheet2-计算明细'!AS90),'Sheet2-计算明细'!AS90,"")</f>
        <v>55.04</v>
      </c>
      <c r="V55" s="37">
        <f>IF(ISNUMBER('Sheet2-计算明细'!AV90),'Sheet2-计算明细'!AV90,"")</f>
        <v>55.04391</v>
      </c>
      <c r="W55" s="39" t="str">
        <f>IF('Sheet2-计算明细'!AU90="","",'Sheet2-计算明细'!AU90)</f>
        <v/>
      </c>
      <c r="X55" s="40">
        <f>74</f>
        <v>74</v>
      </c>
      <c r="Y55" s="36" t="str">
        <f>IF('Sheet2-计算明细'!AX90="","",'Sheet2-计算明细'!AX90)</f>
        <v>期货策略</v>
      </c>
      <c r="Z55" s="36" t="str">
        <f>IF('Sheet2-计算明细'!AY90="","",'Sheet2-计算明细'!AY90)</f>
        <v>主观期货</v>
      </c>
      <c r="AA55" s="36" t="str">
        <f>IF('Sheet2-计算明细'!AW90="","",'Sheet2-计算明细'!AW90)</f>
        <v>完整赋分</v>
      </c>
      <c r="AB55" s="40">
        <f>IF(ISNUMBER('Sheet2-计算明细'!A90),'Sheet2-计算明细'!A90,"")</f>
        <v>74</v>
      </c>
      <c r="AC55" t="str">
        <f>协会公示!E75</f>
        <v>5-10亿元</v>
      </c>
      <c r="AD55" t="str">
        <f>协会公示!F75</f>
        <v>大规模</v>
      </c>
      <c r="AE55" t="str">
        <f>协会公示!G75</f>
        <v>本次公示未见相关提示</v>
      </c>
      <c r="AF55" t="str">
        <f>协会公示!R75</f>
        <v>https://gs.amac.org.cn/amac-infodisc/res/pof/manager/101000009803.html</v>
      </c>
    </row>
    <row r="56" ht="44" customHeight="1" spans="1:32">
      <c r="A56" s="36">
        <f>IF(ISNUMBER('Sheet2-计算明细'!AT56),'Sheet2-计算明细'!AT56,"")</f>
        <v>51</v>
      </c>
      <c r="B56" s="36" t="str">
        <f>IF('Sheet2-计算明细'!B56="","",'Sheet2-计算明细'!B56)</f>
        <v>慕途基本面量化1号</v>
      </c>
      <c r="C56" s="36" t="str">
        <f>IF('Sheet2-计算明细'!C56="","",'Sheet2-计算明细'!C56)</f>
        <v>SVW787</v>
      </c>
      <c r="D56" s="36" t="str">
        <f>IF('Sheet2-计算明细'!D56="","",'Sheet2-计算明细'!D56)</f>
        <v>慕途基金</v>
      </c>
      <c r="E56" s="36" t="str">
        <f>IF('Sheet2-计算明细'!G56="","",'Sheet2-计算明细'!G56)</f>
        <v>入池</v>
      </c>
      <c r="F56" s="37">
        <f>IF(ISNUMBER('Sheet2-计算明细'!I56),'Sheet2-计算明细'!I56,"")</f>
        <v>80</v>
      </c>
      <c r="G56" s="37">
        <f>IF(ISNUMBER('Sheet2-计算明细'!K56),'Sheet2-计算明细'!K56,"")</f>
        <v>100</v>
      </c>
      <c r="H56" s="37">
        <f>IF(ISNUMBER('Sheet2-计算明细'!L56),'Sheet2-计算明细'!L56,"")</f>
        <v>100</v>
      </c>
      <c r="I56" s="37">
        <f>IF(ISNUMBER('Sheet2-计算明细'!S56),'Sheet2-计算明细'!S56,"")</f>
        <v>61.14</v>
      </c>
      <c r="J56" s="37">
        <f>IF(ISNUMBER('Sheet2-计算明细'!Y56),'Sheet2-计算明细'!Y56,"")</f>
        <v>69.87</v>
      </c>
      <c r="K56" s="37">
        <f>IF(ISNUMBER('Sheet2-计算明细'!AC56),'Sheet2-计算明细'!AC56,"")</f>
        <v>27.03</v>
      </c>
      <c r="L56" s="37">
        <f>IF(ISNUMBER('Sheet2-计算明细'!AI56),'Sheet2-计算明细'!AI56,"")</f>
        <v>23.94</v>
      </c>
      <c r="M56" s="37">
        <f>IF(ISNUMBER('Sheet2-计算明细'!AK56),'Sheet2-计算明细'!AK56,"")</f>
        <v>100</v>
      </c>
      <c r="N56" s="37">
        <f>IF(ISNUMBER('Sheet2-计算明细'!AL56),'Sheet2-计算明细'!AL56,"")</f>
        <v>92</v>
      </c>
      <c r="O56" s="37">
        <f>IF(ISNUMBER('Sheet2-计算明细'!AM56),'Sheet2-计算明细'!AM56,"")</f>
        <v>63.76</v>
      </c>
      <c r="P56" s="37">
        <f>IF(ISNUMBER('Sheet2-计算明细'!AN56),'Sheet2-计算明细'!AN56,"")</f>
        <v>27.03</v>
      </c>
      <c r="Q56" s="37">
        <f>IF(ISNUMBER('Sheet2-计算明细'!AO56),'Sheet2-计算明细'!AO56,"")</f>
        <v>23.94</v>
      </c>
      <c r="R56" s="37">
        <f>IF(ISNUMBER('Sheet2-计算明细'!AP56),'Sheet2-计算明细'!AP56,"")</f>
        <v>100</v>
      </c>
      <c r="S56" s="38">
        <f>IF(ISNUMBER('Sheet2-计算明细'!AQ56),'Sheet2-计算明细'!AQ56,"")</f>
        <v>0.88</v>
      </c>
      <c r="T56" s="37">
        <f>IF(ISNUMBER('Sheet2-计算明细'!AR56),'Sheet2-计算明细'!AR56,"")</f>
        <v>47.61802</v>
      </c>
      <c r="U56" s="37">
        <f>IF(ISNUMBER('Sheet2-计算明细'!AS56),'Sheet2-计算明细'!AS56,"")</f>
        <v>54.11</v>
      </c>
      <c r="V56" s="37" t="str">
        <f>IF(ISNUMBER('Sheet2-计算明细'!AV56),'Sheet2-计算明细'!AV56,"")</f>
        <v/>
      </c>
      <c r="W56" s="39" t="str">
        <f>IF('Sheet2-计算明细'!AU56="","",'Sheet2-计算明细'!AU56)</f>
        <v>DD_long不可识别；</v>
      </c>
      <c r="X56" s="40">
        <f>40</f>
        <v>40</v>
      </c>
      <c r="Y56" s="36" t="str">
        <f>IF('Sheet2-计算明细'!AX56="","",'Sheet2-计算明细'!AX56)</f>
        <v>套利策略</v>
      </c>
      <c r="Z56" s="36" t="str">
        <f>IF('Sheet2-计算明细'!AY56="","",'Sheet2-计算明细'!AY56)</f>
        <v>期货套利</v>
      </c>
      <c r="AA56" s="36" t="str">
        <f>IF('Sheet2-计算明细'!AW56="","",'Sheet2-计算明细'!AW56)</f>
        <v>暂定分／数据不完整</v>
      </c>
      <c r="AB56" s="40">
        <f>IF(ISNUMBER('Sheet2-计算明细'!A56),'Sheet2-计算明细'!A56,"")</f>
        <v>40</v>
      </c>
      <c r="AC56" t="str">
        <f>协会公示!E41</f>
        <v>10-20亿元</v>
      </c>
      <c r="AD56" t="str">
        <f>协会公示!F41</f>
        <v>大规模</v>
      </c>
      <c r="AE56" t="str">
        <f>协会公示!G41</f>
        <v>本次公示未见相关提示</v>
      </c>
      <c r="AF56" t="str">
        <f>协会公示!R41</f>
        <v>https://gs.amac.org.cn/amac-infodisc/res/pof/manager/2106221238106983.html</v>
      </c>
    </row>
    <row r="57" ht="44" customHeight="1" spans="1:32">
      <c r="A57" s="36">
        <f>IF(ISNUMBER('Sheet2-计算明细'!AT29),'Sheet2-计算明细'!AT29,"")</f>
        <v>52</v>
      </c>
      <c r="B57" s="36" t="str">
        <f>IF('Sheet2-计算明细'!B29="","",'Sheet2-计算明细'!B29)</f>
        <v>东方富银命运1号</v>
      </c>
      <c r="C57" s="36" t="str">
        <f>IF('Sheet2-计算明细'!C29="","",'Sheet2-计算明细'!C29)</f>
        <v>SEG244</v>
      </c>
      <c r="D57" s="36" t="str">
        <f>IF('Sheet2-计算明细'!D29="","",'Sheet2-计算明细'!D29)</f>
        <v>深圳东方富银投资</v>
      </c>
      <c r="E57" s="36" t="str">
        <f>IF('Sheet2-计算明细'!G29="","",'Sheet2-计算明细'!G29)</f>
        <v>入池</v>
      </c>
      <c r="F57" s="37">
        <f>IF(ISNUMBER('Sheet2-计算明细'!I29),'Sheet2-计算明细'!I29,"")</f>
        <v>60</v>
      </c>
      <c r="G57" s="37">
        <f>IF(ISNUMBER('Sheet2-计算明细'!K29),'Sheet2-计算明细'!K29,"")</f>
        <v>100</v>
      </c>
      <c r="H57" s="37">
        <f>IF(ISNUMBER('Sheet2-计算明细'!L29),'Sheet2-计算明细'!L29,"")</f>
        <v>100</v>
      </c>
      <c r="I57" s="37">
        <f>IF(ISNUMBER('Sheet2-计算明细'!S29),'Sheet2-计算明细'!S29,"")</f>
        <v>41.06</v>
      </c>
      <c r="J57" s="37">
        <f>IF(ISNUMBER('Sheet2-计算明细'!Y29),'Sheet2-计算明细'!Y29,"")</f>
        <v>79.11</v>
      </c>
      <c r="K57" s="37">
        <f>IF(ISNUMBER('Sheet2-计算明细'!AC29),'Sheet2-计算明细'!AC29,"")</f>
        <v>35.14</v>
      </c>
      <c r="L57" s="37">
        <f>IF(ISNUMBER('Sheet2-计算明细'!AI29),'Sheet2-计算明细'!AI29,"")</f>
        <v>45.39</v>
      </c>
      <c r="M57" s="37">
        <f>IF(ISNUMBER('Sheet2-计算明细'!AK29),'Sheet2-计算明细'!AK29,"")</f>
        <v>80</v>
      </c>
      <c r="N57" s="37">
        <f>IF(ISNUMBER('Sheet2-计算明细'!AL29),'Sheet2-计算明细'!AL29,"")</f>
        <v>84</v>
      </c>
      <c r="O57" s="37">
        <f>IF(ISNUMBER('Sheet2-计算明细'!AM29),'Sheet2-计算明细'!AM29,"")</f>
        <v>52.47</v>
      </c>
      <c r="P57" s="37">
        <f>IF(ISNUMBER('Sheet2-计算明细'!AN29),'Sheet2-计算明细'!AN29,"")</f>
        <v>35.14</v>
      </c>
      <c r="Q57" s="37">
        <f>IF(ISNUMBER('Sheet2-计算明细'!AO29),'Sheet2-计算明细'!AO29,"")</f>
        <v>45.39</v>
      </c>
      <c r="R57" s="37">
        <f>IF(ISNUMBER('Sheet2-计算明细'!AP29),'Sheet2-计算明细'!AP29,"")</f>
        <v>80</v>
      </c>
      <c r="S57" s="38">
        <f>IF(ISNUMBER('Sheet2-计算明细'!AQ29),'Sheet2-计算明细'!AQ29,"")</f>
        <v>1</v>
      </c>
      <c r="T57" s="37">
        <f>IF(ISNUMBER('Sheet2-计算明细'!AR29),'Sheet2-计算明细'!AR29,"")</f>
        <v>53.49622</v>
      </c>
      <c r="U57" s="37">
        <f>IF(ISNUMBER('Sheet2-计算明细'!AS29),'Sheet2-计算明细'!AS29,"")</f>
        <v>53.5</v>
      </c>
      <c r="V57" s="37">
        <f>IF(ISNUMBER('Sheet2-计算明细'!AV29),'Sheet2-计算明细'!AV29,"")</f>
        <v>53.49622</v>
      </c>
      <c r="W57" s="39" t="str">
        <f>IF('Sheet2-计算明细'!AU29="","",'Sheet2-计算明细'!AU29)</f>
        <v/>
      </c>
      <c r="X57" s="40">
        <f>13</f>
        <v>13</v>
      </c>
      <c r="Y57" s="36" t="str">
        <f>IF('Sheet2-计算明细'!AX29="","",'Sheet2-计算明细'!AX29)</f>
        <v>套利策略</v>
      </c>
      <c r="Z57" s="36" t="str">
        <f>IF('Sheet2-计算明细'!AY29="","",'Sheet2-计算明细'!AY29)</f>
        <v>可转债套利</v>
      </c>
      <c r="AA57" s="36" t="str">
        <f>IF('Sheet2-计算明细'!AW29="","",'Sheet2-计算明细'!AW29)</f>
        <v>完整赋分</v>
      </c>
      <c r="AB57" s="40">
        <f>IF(ISNUMBER('Sheet2-计算明细'!A29),'Sheet2-计算明细'!A29,"")</f>
        <v>13</v>
      </c>
      <c r="AC57" t="str">
        <f>协会公示!E14</f>
        <v>0-5亿元</v>
      </c>
      <c r="AD57" t="str">
        <f>协会公示!F14</f>
        <v>小规模</v>
      </c>
      <c r="AE57" t="str">
        <f>协会公示!G14</f>
        <v>本次公示未见相关提示</v>
      </c>
      <c r="AF57" t="str">
        <f>协会公示!R14</f>
        <v>https://gs.amac.org.cn/amac-infodisc/res/pof/manager/1803121751101388.html</v>
      </c>
    </row>
    <row r="58" ht="44" customHeight="1" spans="1:32">
      <c r="A58" s="36">
        <f>IF(ISNUMBER('Sheet2-计算明细'!AT18),'Sheet2-计算明细'!AT18,"")</f>
        <v>53</v>
      </c>
      <c r="B58" s="36" t="str">
        <f>IF('Sheet2-计算明细'!B18="","",'Sheet2-计算明细'!B18)</f>
        <v>滨风风云瑞丰1号</v>
      </c>
      <c r="C58" s="36" t="str">
        <f>IF('Sheet2-计算明细'!C18="","",'Sheet2-计算明细'!C18)</f>
        <v>SXL267</v>
      </c>
      <c r="D58" s="36" t="str">
        <f>IF('Sheet2-计算明细'!D18="","",'Sheet2-计算明细'!D18)</f>
        <v>鹰潭滨风投资</v>
      </c>
      <c r="E58" s="36" t="str">
        <f>IF('Sheet2-计算明细'!G18="","",'Sheet2-计算明细'!G18)</f>
        <v>入池</v>
      </c>
      <c r="F58" s="37">
        <f>IF(ISNUMBER('Sheet2-计算明细'!I18),'Sheet2-计算明细'!I18,"")</f>
        <v>70</v>
      </c>
      <c r="G58" s="37">
        <f>IF(ISNUMBER('Sheet2-计算明细'!K18),'Sheet2-计算明细'!K18,"")</f>
        <v>100</v>
      </c>
      <c r="H58" s="37">
        <f>IF(ISNUMBER('Sheet2-计算明细'!L18),'Sheet2-计算明细'!L18,"")</f>
        <v>100</v>
      </c>
      <c r="I58" s="37">
        <f>IF(ISNUMBER('Sheet2-计算明细'!S18),'Sheet2-计算明细'!S18,"")</f>
        <v>95.15</v>
      </c>
      <c r="J58" s="37">
        <f>IF(ISNUMBER('Sheet2-计算明细'!Y18),'Sheet2-计算明细'!Y18,"")</f>
        <v>66.54</v>
      </c>
      <c r="K58" s="37">
        <f>IF(ISNUMBER('Sheet2-计算明细'!AC18),'Sheet2-计算明细'!AC18,"")</f>
        <v>4.05</v>
      </c>
      <c r="L58" s="37">
        <f>IF(ISNUMBER('Sheet2-计算明细'!AI18),'Sheet2-计算明细'!AI18,"")</f>
        <v>29.58</v>
      </c>
      <c r="M58" s="37">
        <f>IF(ISNUMBER('Sheet2-计算明细'!AK18),'Sheet2-计算明细'!AK18,"")</f>
        <v>100</v>
      </c>
      <c r="N58" s="37">
        <f>IF(ISNUMBER('Sheet2-计算明细'!AL18),'Sheet2-计算明细'!AL18,"")</f>
        <v>88</v>
      </c>
      <c r="O58" s="37">
        <f>IF(ISNUMBER('Sheet2-计算明细'!AM18),'Sheet2-计算明细'!AM18,"")</f>
        <v>86.57</v>
      </c>
      <c r="P58" s="37">
        <f>IF(ISNUMBER('Sheet2-计算明细'!AN18),'Sheet2-计算明细'!AN18,"")</f>
        <v>4.05</v>
      </c>
      <c r="Q58" s="37">
        <f>IF(ISNUMBER('Sheet2-计算明细'!AO18),'Sheet2-计算明细'!AO18,"")</f>
        <v>29.58</v>
      </c>
      <c r="R58" s="37">
        <f>IF(ISNUMBER('Sheet2-计算明细'!AP18),'Sheet2-计算明细'!AP18,"")</f>
        <v>100</v>
      </c>
      <c r="S58" s="38">
        <f>IF(ISNUMBER('Sheet2-计算明细'!AQ18),'Sheet2-计算明细'!AQ18,"")</f>
        <v>0.88</v>
      </c>
      <c r="T58" s="37">
        <f>IF(ISNUMBER('Sheet2-计算明细'!AR18),'Sheet2-计算明细'!AR18,"")</f>
        <v>46.8504876923077</v>
      </c>
      <c r="U58" s="37">
        <f>IF(ISNUMBER('Sheet2-计算明细'!AS18),'Sheet2-计算明细'!AS18,"")</f>
        <v>53.24</v>
      </c>
      <c r="V58" s="37" t="str">
        <f>IF(ISNUMBER('Sheet2-计算明细'!AV18),'Sheet2-计算明细'!AV18,"")</f>
        <v/>
      </c>
      <c r="W58" s="39" t="str">
        <f>IF('Sheet2-计算明细'!AU18="","",'Sheet2-计算明细'!AU18)</f>
        <v>DD_long不可识别；</v>
      </c>
      <c r="X58" s="40">
        <f>2</f>
        <v>2</v>
      </c>
      <c r="Y58" s="36" t="str">
        <f>IF('Sheet2-计算明细'!AX18="","",'Sheet2-计算明细'!AX18)</f>
        <v>期货策略</v>
      </c>
      <c r="Z58" s="36" t="str">
        <f>IF('Sheet2-计算明细'!AY18="","",'Sheet2-计算明细'!AY18)</f>
        <v>量化期货</v>
      </c>
      <c r="AA58" s="36" t="str">
        <f>IF('Sheet2-计算明细'!AW18="","",'Sheet2-计算明细'!AW18)</f>
        <v>暂定分／数据不完整</v>
      </c>
      <c r="AB58" s="40">
        <f>IF(ISNUMBER('Sheet2-计算明细'!A18),'Sheet2-计算明细'!A18,"")</f>
        <v>2</v>
      </c>
      <c r="AC58" t="str">
        <f>协会公示!E3</f>
        <v>5-10亿元</v>
      </c>
      <c r="AD58" t="str">
        <f>协会公示!F3</f>
        <v>大规模</v>
      </c>
      <c r="AE58" t="str">
        <f>协会公示!G3</f>
        <v>本次公示未见相关提示</v>
      </c>
      <c r="AF58" t="str">
        <f>协会公示!R3</f>
        <v>https://gs.amac.org.cn/amac-infodisc/res/pof/manager/1801301704109241.html</v>
      </c>
    </row>
    <row r="59" ht="44" customHeight="1" spans="1:32">
      <c r="A59" s="36">
        <f>IF(ISNUMBER('Sheet2-计算明细'!AT72),'Sheet2-计算明细'!AT72,"")</f>
        <v>54</v>
      </c>
      <c r="B59" s="36" t="str">
        <f>IF('Sheet2-计算明细'!B72="","",'Sheet2-计算明细'!B72)</f>
        <v>深度梦扬量化套利0号</v>
      </c>
      <c r="C59" s="36" t="str">
        <f>IF('Sheet2-计算明细'!C72="","",'Sheet2-计算明细'!C72)</f>
        <v>SQD620</v>
      </c>
      <c r="D59" s="36" t="str">
        <f>IF('Sheet2-计算明细'!D72="","",'Sheet2-计算明细'!D72)</f>
        <v>杭州深度资管</v>
      </c>
      <c r="E59" s="36" t="str">
        <f>IF('Sheet2-计算明细'!G72="","",'Sheet2-计算明细'!G72)</f>
        <v>入池</v>
      </c>
      <c r="F59" s="37">
        <f>IF(ISNUMBER('Sheet2-计算明细'!I72),'Sheet2-计算明细'!I72,"")</f>
        <v>80</v>
      </c>
      <c r="G59" s="37">
        <f>IF(ISNUMBER('Sheet2-计算明细'!K72),'Sheet2-计算明细'!K72,"")</f>
        <v>100</v>
      </c>
      <c r="H59" s="37">
        <f>IF(ISNUMBER('Sheet2-计算明细'!L72),'Sheet2-计算明细'!L72,"")</f>
        <v>100</v>
      </c>
      <c r="I59" s="37">
        <f>IF(ISNUMBER('Sheet2-计算明细'!S72),'Sheet2-计算明细'!S72,"")</f>
        <v>56.06</v>
      </c>
      <c r="J59" s="37">
        <f>IF(ISNUMBER('Sheet2-计算明细'!Y72),'Sheet2-计算明细'!Y72,"")</f>
        <v>73.21</v>
      </c>
      <c r="K59" s="37">
        <f>IF(ISNUMBER('Sheet2-计算明细'!AC72),'Sheet2-计算明细'!AC72,"")</f>
        <v>25.68</v>
      </c>
      <c r="L59" s="37">
        <f>IF(ISNUMBER('Sheet2-计算明细'!AI72),'Sheet2-计算明细'!AI72,"")</f>
        <v>21.13</v>
      </c>
      <c r="M59" s="37">
        <f>IF(ISNUMBER('Sheet2-计算明细'!AK72),'Sheet2-计算明细'!AK72,"")</f>
        <v>100</v>
      </c>
      <c r="N59" s="37">
        <f>IF(ISNUMBER('Sheet2-计算明细'!AL72),'Sheet2-计算明细'!AL72,"")</f>
        <v>92</v>
      </c>
      <c r="O59" s="37">
        <f>IF(ISNUMBER('Sheet2-计算明细'!AM72),'Sheet2-计算明细'!AM72,"")</f>
        <v>61.2</v>
      </c>
      <c r="P59" s="37">
        <f>IF(ISNUMBER('Sheet2-计算明细'!AN72),'Sheet2-计算明细'!AN72,"")</f>
        <v>25.68</v>
      </c>
      <c r="Q59" s="37">
        <f>IF(ISNUMBER('Sheet2-计算明细'!AO72),'Sheet2-计算明细'!AO72,"")</f>
        <v>21.13</v>
      </c>
      <c r="R59" s="37">
        <f>IF(ISNUMBER('Sheet2-计算明细'!AP72),'Sheet2-计算明细'!AP72,"")</f>
        <v>100</v>
      </c>
      <c r="S59" s="38">
        <f>IF(ISNUMBER('Sheet2-计算明细'!AQ72),'Sheet2-计算明细'!AQ72,"")</f>
        <v>0.88</v>
      </c>
      <c r="T59" s="37">
        <f>IF(ISNUMBER('Sheet2-计算明细'!AR72),'Sheet2-计算明细'!AR72,"")</f>
        <v>46.2638276923077</v>
      </c>
      <c r="U59" s="37">
        <f>IF(ISNUMBER('Sheet2-计算明细'!AS72),'Sheet2-计算明细'!AS72,"")</f>
        <v>52.57</v>
      </c>
      <c r="V59" s="37" t="str">
        <f>IF(ISNUMBER('Sheet2-计算明细'!AV72),'Sheet2-计算明细'!AV72,"")</f>
        <v/>
      </c>
      <c r="W59" s="39" t="str">
        <f>IF('Sheet2-计算明细'!AU72="","",'Sheet2-计算明细'!AU72)</f>
        <v>DD_long不可识别；</v>
      </c>
      <c r="X59" s="40">
        <f>56</f>
        <v>56</v>
      </c>
      <c r="Y59" s="36" t="str">
        <f>IF('Sheet2-计算明细'!AX72="","",'Sheet2-计算明细'!AX72)</f>
        <v>期权策略</v>
      </c>
      <c r="Z59" s="36" t="str">
        <f>IF('Sheet2-计算明细'!AY72="","",'Sheet2-计算明细'!AY72)</f>
        <v>场内期权</v>
      </c>
      <c r="AA59" s="36" t="str">
        <f>IF('Sheet2-计算明细'!AW72="","",'Sheet2-计算明细'!AW72)</f>
        <v>暂定分／数据不完整</v>
      </c>
      <c r="AB59" s="40">
        <f>IF(ISNUMBER('Sheet2-计算明细'!A72),'Sheet2-计算明细'!A72,"")</f>
        <v>56</v>
      </c>
      <c r="AC59" t="str">
        <f>协会公示!E57</f>
        <v>10-20亿元</v>
      </c>
      <c r="AD59" t="str">
        <f>协会公示!F57</f>
        <v>大规模</v>
      </c>
      <c r="AE59" t="str">
        <f>协会公示!G57</f>
        <v>本次公示未见相关提示</v>
      </c>
      <c r="AF59" t="str">
        <f>协会公示!R57</f>
        <v>https://gs.amac.org.cn/amac-infodisc/res/pof/manager/1703210938100205.html</v>
      </c>
    </row>
    <row r="60" ht="44" customHeight="1" spans="1:32">
      <c r="A60" s="36">
        <f>IF(ISNUMBER('Sheet2-计算明细'!AT71),'Sheet2-计算明细'!AT71,"")</f>
        <v>55</v>
      </c>
      <c r="B60" s="36" t="str">
        <f>IF('Sheet2-计算明细'!B71="","",'Sheet2-计算明细'!B71)</f>
        <v>深度梦扬量化1号</v>
      </c>
      <c r="C60" s="36" t="str">
        <f>IF('Sheet2-计算明细'!C71="","",'Sheet2-计算明细'!C71)</f>
        <v>SZM348</v>
      </c>
      <c r="D60" s="36" t="str">
        <f>IF('Sheet2-计算明细'!D71="","",'Sheet2-计算明细'!D71)</f>
        <v>杭州深度资管</v>
      </c>
      <c r="E60" s="36" t="str">
        <f>IF('Sheet2-计算明细'!G71="","",'Sheet2-计算明细'!G71)</f>
        <v>入池</v>
      </c>
      <c r="F60" s="37">
        <f>IF(ISNUMBER('Sheet2-计算明细'!I71),'Sheet2-计算明细'!I71,"")</f>
        <v>80</v>
      </c>
      <c r="G60" s="37">
        <f>IF(ISNUMBER('Sheet2-计算明细'!K71),'Sheet2-计算明细'!K71,"")</f>
        <v>100</v>
      </c>
      <c r="H60" s="37">
        <f>IF(ISNUMBER('Sheet2-计算明细'!L71),'Sheet2-计算明细'!L71,"")</f>
        <v>100</v>
      </c>
      <c r="I60" s="37">
        <f>IF(ISNUMBER('Sheet2-计算明细'!S71),'Sheet2-计算明细'!S71,"")</f>
        <v>38.79</v>
      </c>
      <c r="J60" s="37">
        <f>IF(ISNUMBER('Sheet2-计算明细'!Y71),'Sheet2-计算明细'!Y71,"")</f>
        <v>73.21</v>
      </c>
      <c r="K60" s="37">
        <f>IF(ISNUMBER('Sheet2-计算明细'!AC71),'Sheet2-计算明细'!AC71,"")</f>
        <v>32.43</v>
      </c>
      <c r="L60" s="37">
        <f>IF(ISNUMBER('Sheet2-计算明细'!AI71),'Sheet2-计算明细'!AI71,"")</f>
        <v>22.54</v>
      </c>
      <c r="M60" s="37">
        <f>IF(ISNUMBER('Sheet2-计算明细'!AK71),'Sheet2-计算明细'!AK71,"")</f>
        <v>100</v>
      </c>
      <c r="N60" s="37">
        <f>IF(ISNUMBER('Sheet2-计算明细'!AL71),'Sheet2-计算明细'!AL71,"")</f>
        <v>92</v>
      </c>
      <c r="O60" s="37">
        <f>IF(ISNUMBER('Sheet2-计算明细'!AM71),'Sheet2-计算明细'!AM71,"")</f>
        <v>49.12</v>
      </c>
      <c r="P60" s="37">
        <f>IF(ISNUMBER('Sheet2-计算明细'!AN71),'Sheet2-计算明细'!AN71,"")</f>
        <v>32.43</v>
      </c>
      <c r="Q60" s="37">
        <f>IF(ISNUMBER('Sheet2-计算明细'!AO71),'Sheet2-计算明细'!AO71,"")</f>
        <v>22.54</v>
      </c>
      <c r="R60" s="37">
        <f>IF(ISNUMBER('Sheet2-计算明细'!AP71),'Sheet2-计算明细'!AP71,"")</f>
        <v>100</v>
      </c>
      <c r="S60" s="38">
        <f>IF(ISNUMBER('Sheet2-计算明细'!AQ71),'Sheet2-计算明细'!AQ71,"")</f>
        <v>0.88</v>
      </c>
      <c r="T60" s="37">
        <f>IF(ISNUMBER('Sheet2-计算明细'!AR71),'Sheet2-计算明细'!AR71,"")</f>
        <v>45.78803</v>
      </c>
      <c r="U60" s="37">
        <f>IF(ISNUMBER('Sheet2-计算明细'!AS71),'Sheet2-计算明细'!AS71,"")</f>
        <v>52.03</v>
      </c>
      <c r="V60" s="37" t="str">
        <f>IF(ISNUMBER('Sheet2-计算明细'!AV71),'Sheet2-计算明细'!AV71,"")</f>
        <v/>
      </c>
      <c r="W60" s="39" t="str">
        <f>IF('Sheet2-计算明细'!AU71="","",'Sheet2-计算明细'!AU71)</f>
        <v>DD_long不可识别；</v>
      </c>
      <c r="X60" s="40">
        <f>55</f>
        <v>55</v>
      </c>
      <c r="Y60" s="36" t="str">
        <f>IF('Sheet2-计算明细'!AX71="","",'Sheet2-计算明细'!AX71)</f>
        <v>期权策略</v>
      </c>
      <c r="Z60" s="36" t="str">
        <f>IF('Sheet2-计算明细'!AY71="","",'Sheet2-计算明细'!AY71)</f>
        <v>场内期权</v>
      </c>
      <c r="AA60" s="36" t="str">
        <f>IF('Sheet2-计算明细'!AW71="","",'Sheet2-计算明细'!AW71)</f>
        <v>暂定分／数据不完整</v>
      </c>
      <c r="AB60" s="40">
        <f>IF(ISNUMBER('Sheet2-计算明细'!A71),'Sheet2-计算明细'!A71,"")</f>
        <v>55</v>
      </c>
      <c r="AC60" t="str">
        <f>协会公示!E56</f>
        <v>10-20亿元</v>
      </c>
      <c r="AD60" t="str">
        <f>协会公示!F56</f>
        <v>大规模</v>
      </c>
      <c r="AE60" t="str">
        <f>协会公示!G56</f>
        <v>本次公示未见相关提示</v>
      </c>
      <c r="AF60" t="str">
        <f>协会公示!R56</f>
        <v>https://gs.amac.org.cn/amac-infodisc/res/pof/manager/1703210938100205.html</v>
      </c>
    </row>
    <row r="61" ht="44" customHeight="1" spans="1:32">
      <c r="A61" s="36">
        <f>IF(ISNUMBER('Sheet2-计算明细'!AT76),'Sheet2-计算明细'!AT76,"")</f>
        <v>56</v>
      </c>
      <c r="B61" s="36" t="str">
        <f>IF('Sheet2-计算明细'!B76="","",'Sheet2-计算明细'!B76)</f>
        <v>殊馥馥源套利1号</v>
      </c>
      <c r="C61" s="36" t="str">
        <f>IF('Sheet2-计算明细'!C76="","",'Sheet2-计算明细'!C76)</f>
        <v>SGM512</v>
      </c>
      <c r="D61" s="36" t="str">
        <f>IF('Sheet2-计算明细'!D76="","",'Sheet2-计算明细'!D76)</f>
        <v>上海殊馥投资</v>
      </c>
      <c r="E61" s="36" t="str">
        <f>IF('Sheet2-计算明细'!G76="","",'Sheet2-计算明细'!G76)</f>
        <v>入池</v>
      </c>
      <c r="F61" s="37">
        <f>IF(ISNUMBER('Sheet2-计算明细'!I76),'Sheet2-计算明细'!I76,"")</f>
        <v>80</v>
      </c>
      <c r="G61" s="37">
        <f>IF(ISNUMBER('Sheet2-计算明细'!K76),'Sheet2-计算明细'!K76,"")</f>
        <v>100</v>
      </c>
      <c r="H61" s="37">
        <f>IF(ISNUMBER('Sheet2-计算明细'!L76),'Sheet2-计算明细'!L76,"")</f>
        <v>100</v>
      </c>
      <c r="I61" s="37">
        <f>IF(ISNUMBER('Sheet2-计算明细'!S76),'Sheet2-计算明细'!S76,"")</f>
        <v>43.68</v>
      </c>
      <c r="J61" s="37">
        <f>IF(ISNUMBER('Sheet2-计算明细'!Y76),'Sheet2-计算明细'!Y76,"")</f>
        <v>88.33</v>
      </c>
      <c r="K61" s="37">
        <f>IF(ISNUMBER('Sheet2-计算明细'!AC76),'Sheet2-计算明细'!AC76,"")</f>
        <v>17.57</v>
      </c>
      <c r="L61" s="37">
        <f>IF(ISNUMBER('Sheet2-计算明细'!AI76),'Sheet2-计算明细'!AI76,"")</f>
        <v>37.56</v>
      </c>
      <c r="M61" s="37">
        <f>IF(ISNUMBER('Sheet2-计算明细'!AK76),'Sheet2-计算明细'!AK76,"")</f>
        <v>100</v>
      </c>
      <c r="N61" s="37">
        <f>IF(ISNUMBER('Sheet2-计算明细'!AL76),'Sheet2-计算明细'!AL76,"")</f>
        <v>92</v>
      </c>
      <c r="O61" s="37">
        <f>IF(ISNUMBER('Sheet2-计算明细'!AM76),'Sheet2-计算明细'!AM76,"")</f>
        <v>57.07</v>
      </c>
      <c r="P61" s="37">
        <f>IF(ISNUMBER('Sheet2-计算明细'!AN76),'Sheet2-计算明细'!AN76,"")</f>
        <v>17.57</v>
      </c>
      <c r="Q61" s="37">
        <f>IF(ISNUMBER('Sheet2-计算明细'!AO76),'Sheet2-计算明细'!AO76,"")</f>
        <v>37.56</v>
      </c>
      <c r="R61" s="37">
        <f>IF(ISNUMBER('Sheet2-计算明细'!AP76),'Sheet2-计算明细'!AP76,"")</f>
        <v>100</v>
      </c>
      <c r="S61" s="38">
        <f>IF(ISNUMBER('Sheet2-计算明细'!AQ76),'Sheet2-计算明细'!AQ76,"")</f>
        <v>1</v>
      </c>
      <c r="T61" s="37">
        <f>IF(ISNUMBER('Sheet2-计算明细'!AR76),'Sheet2-计算明细'!AR76,"")</f>
        <v>50.8739</v>
      </c>
      <c r="U61" s="37">
        <f>IF(ISNUMBER('Sheet2-计算明细'!AS76),'Sheet2-计算明细'!AS76,"")</f>
        <v>50.87</v>
      </c>
      <c r="V61" s="37">
        <f>IF(ISNUMBER('Sheet2-计算明细'!AV76),'Sheet2-计算明细'!AV76,"")</f>
        <v>50.8739</v>
      </c>
      <c r="W61" s="39" t="str">
        <f>IF('Sheet2-计算明细'!AU76="","",'Sheet2-计算明细'!AU76)</f>
        <v/>
      </c>
      <c r="X61" s="40">
        <f>60</f>
        <v>60</v>
      </c>
      <c r="Y61" s="36" t="str">
        <f>IF('Sheet2-计算明细'!AX76="","",'Sheet2-计算明细'!AX76)</f>
        <v>套利策略</v>
      </c>
      <c r="Z61" s="36" t="str">
        <f>IF('Sheet2-计算明细'!AY76="","",'Sheet2-计算明细'!AY76)</f>
        <v>基金套利</v>
      </c>
      <c r="AA61" s="36" t="str">
        <f>IF('Sheet2-计算明细'!AW76="","",'Sheet2-计算明细'!AW76)</f>
        <v>完整赋分</v>
      </c>
      <c r="AB61" s="40">
        <f>IF(ISNUMBER('Sheet2-计算明细'!A76),'Sheet2-计算明细'!A76,"")</f>
        <v>60</v>
      </c>
      <c r="AC61" t="str">
        <f>协会公示!E61</f>
        <v>10-20亿元</v>
      </c>
      <c r="AD61" t="str">
        <f>协会公示!F61</f>
        <v>大规模</v>
      </c>
      <c r="AE61" t="str">
        <f>协会公示!G61</f>
        <v>历史监管责令改正</v>
      </c>
      <c r="AF61" t="str">
        <f>协会公示!R61</f>
        <v>https://gs.amac.org.cn/amac-infodisc/res/pof/manager/101000042776.html</v>
      </c>
    </row>
    <row r="62" ht="44" customHeight="1" spans="1:32">
      <c r="A62" s="36">
        <f>IF(ISNUMBER('Sheet2-计算明细'!AT21),'Sheet2-计算明细'!AT21,"")</f>
        <v>57</v>
      </c>
      <c r="B62" s="36" t="str">
        <f>IF('Sheet2-计算明细'!B21="","",'Sheet2-计算明细'!B21)</f>
        <v>博润易量稳健1号</v>
      </c>
      <c r="C62" s="36" t="str">
        <f>IF('Sheet2-计算明细'!C21="","",'Sheet2-计算明细'!C21)</f>
        <v>SXL913</v>
      </c>
      <c r="D62" s="36" t="str">
        <f>IF('Sheet2-计算明细'!D21="","",'Sheet2-计算明细'!D21)</f>
        <v>北京博润银泰投资</v>
      </c>
      <c r="E62" s="36" t="str">
        <f>IF('Sheet2-计算明细'!G21="","",'Sheet2-计算明细'!G21)</f>
        <v>入池</v>
      </c>
      <c r="F62" s="37">
        <f>IF(ISNUMBER('Sheet2-计算明细'!I21),'Sheet2-计算明细'!I21,"")</f>
        <v>100</v>
      </c>
      <c r="G62" s="37">
        <f>IF(ISNUMBER('Sheet2-计算明细'!K21),'Sheet2-计算明细'!K21,"")</f>
        <v>100</v>
      </c>
      <c r="H62" s="37">
        <f>IF(ISNUMBER('Sheet2-计算明细'!L21),'Sheet2-计算明细'!L21,"")</f>
        <v>100</v>
      </c>
      <c r="I62" s="37">
        <f>IF(ISNUMBER('Sheet2-计算明细'!S21),'Sheet2-计算明细'!S21,"")</f>
        <v>29.85</v>
      </c>
      <c r="J62" s="37">
        <f>IF(ISNUMBER('Sheet2-计算明细'!Y21),'Sheet2-计算明细'!Y21,"")</f>
        <v>58.97</v>
      </c>
      <c r="K62" s="37">
        <f>IF(ISNUMBER('Sheet2-计算明细'!AC21),'Sheet2-计算明细'!AC21,"")</f>
        <v>31.08</v>
      </c>
      <c r="L62" s="37">
        <f>IF(ISNUMBER('Sheet2-计算明细'!AI21),'Sheet2-计算明细'!AI21,"")</f>
        <v>15.49</v>
      </c>
      <c r="M62" s="37">
        <f>IF(ISNUMBER('Sheet2-计算明细'!AK21),'Sheet2-计算明细'!AK21,"")</f>
        <v>100</v>
      </c>
      <c r="N62" s="37">
        <f>IF(ISNUMBER('Sheet2-计算明细'!AL21),'Sheet2-计算明细'!AL21,"")</f>
        <v>100</v>
      </c>
      <c r="O62" s="37">
        <f>IF(ISNUMBER('Sheet2-计算明细'!AM21),'Sheet2-计算明细'!AM21,"")</f>
        <v>38.59</v>
      </c>
      <c r="P62" s="37">
        <f>IF(ISNUMBER('Sheet2-计算明细'!AN21),'Sheet2-计算明细'!AN21,"")</f>
        <v>31.08</v>
      </c>
      <c r="Q62" s="37">
        <f>IF(ISNUMBER('Sheet2-计算明细'!AO21),'Sheet2-计算明细'!AO21,"")</f>
        <v>15.49</v>
      </c>
      <c r="R62" s="37">
        <f>IF(ISNUMBER('Sheet2-计算明细'!AP21),'Sheet2-计算明细'!AP21,"")</f>
        <v>100</v>
      </c>
      <c r="S62" s="38">
        <f>IF(ISNUMBER('Sheet2-计算明细'!AQ21),'Sheet2-计算明细'!AQ21,"")</f>
        <v>0.88</v>
      </c>
      <c r="T62" s="37">
        <f>IF(ISNUMBER('Sheet2-计算明细'!AR21),'Sheet2-计算明细'!AR21,"")</f>
        <v>43.27567</v>
      </c>
      <c r="U62" s="37">
        <f>IF(ISNUMBER('Sheet2-计算明细'!AS21),'Sheet2-计算明细'!AS21,"")</f>
        <v>49.18</v>
      </c>
      <c r="V62" s="37" t="str">
        <f>IF(ISNUMBER('Sheet2-计算明细'!AV21),'Sheet2-计算明细'!AV21,"")</f>
        <v/>
      </c>
      <c r="W62" s="39" t="str">
        <f>IF('Sheet2-计算明细'!AU21="","",'Sheet2-计算明细'!AU21)</f>
        <v>DD_long不可识别；</v>
      </c>
      <c r="X62" s="40">
        <f>5</f>
        <v>5</v>
      </c>
      <c r="Y62" s="36" t="str">
        <f>IF('Sheet2-计算明细'!AX21="","",'Sheet2-计算明细'!AX21)</f>
        <v>套利策略</v>
      </c>
      <c r="Z62" s="36" t="str">
        <f>IF('Sheet2-计算明细'!AY21="","",'Sheet2-计算明细'!AY21)</f>
        <v>期货套利</v>
      </c>
      <c r="AA62" s="36" t="str">
        <f>IF('Sheet2-计算明细'!AW21="","",'Sheet2-计算明细'!AW21)</f>
        <v>暂定分／数据不完整</v>
      </c>
      <c r="AB62" s="40">
        <f>IF(ISNUMBER('Sheet2-计算明细'!A21),'Sheet2-计算明细'!A21,"")</f>
        <v>5</v>
      </c>
      <c r="AC62" t="str">
        <f>协会公示!E6</f>
        <v>100亿元以上</v>
      </c>
      <c r="AD62" t="str">
        <f>协会公示!F6</f>
        <v>大规模</v>
      </c>
      <c r="AE62" t="str">
        <f>协会公示!G6</f>
        <v>本次公示未见相关提示</v>
      </c>
      <c r="AF62" t="str">
        <f>协会公示!R6</f>
        <v>https://gs.amac.org.cn/amac-infodisc/res/pof/manager/101000005082.html</v>
      </c>
    </row>
    <row r="63" ht="44" customHeight="1" spans="1:32">
      <c r="A63" s="36">
        <f>IF(ISNUMBER('Sheet2-计算明细'!AT97),'Sheet2-计算明细'!AT97,"")</f>
        <v>58</v>
      </c>
      <c r="B63" s="36" t="str">
        <f>IF('Sheet2-计算明细'!B97="","",'Sheet2-计算明细'!B97)</f>
        <v>中益仁梅香千寒</v>
      </c>
      <c r="C63" s="36" t="str">
        <f>IF('Sheet2-计算明细'!C97="","",'Sheet2-计算明细'!C97)</f>
        <v>SBAF26</v>
      </c>
      <c r="D63" s="36" t="str">
        <f>IF('Sheet2-计算明细'!D97="","",'Sheet2-计算明细'!D97)</f>
        <v>日照中益仁</v>
      </c>
      <c r="E63" s="36" t="str">
        <f>IF('Sheet2-计算明细'!G97="","",'Sheet2-计算明细'!G97)</f>
        <v>入池</v>
      </c>
      <c r="F63" s="37">
        <f>IF(ISNUMBER('Sheet2-计算明细'!I97),'Sheet2-计算明细'!I97,"")</f>
        <v>80</v>
      </c>
      <c r="G63" s="37">
        <f>IF(ISNUMBER('Sheet2-计算明细'!K97),'Sheet2-计算明细'!K97,"")</f>
        <v>0</v>
      </c>
      <c r="H63" s="37">
        <f>IF(ISNUMBER('Sheet2-计算明细'!L97),'Sheet2-计算明细'!L97,"")</f>
        <v>70</v>
      </c>
      <c r="I63" s="37">
        <f>IF(ISNUMBER('Sheet2-计算明细'!S97),'Sheet2-计算明细'!S97,"")</f>
        <v>78.48</v>
      </c>
      <c r="J63" s="37">
        <f>IF(ISNUMBER('Sheet2-计算明细'!Y97),'Sheet2-计算明细'!Y97,"")</f>
        <v>90.77</v>
      </c>
      <c r="K63" s="37">
        <f>IF(ISNUMBER('Sheet2-计算明细'!AC97),'Sheet2-计算明细'!AC97,"")</f>
        <v>10.81</v>
      </c>
      <c r="L63" s="37">
        <f>IF(ISNUMBER('Sheet2-计算明细'!AI97),'Sheet2-计算明细'!AI97,"")</f>
        <v>32.39</v>
      </c>
      <c r="M63" s="37">
        <f>IF(ISNUMBER('Sheet2-计算明细'!AK97),'Sheet2-计算明细'!AK97,"")</f>
        <v>100</v>
      </c>
      <c r="N63" s="37">
        <f>IF(ISNUMBER('Sheet2-计算明细'!AL97),'Sheet2-计算明细'!AL97,"")</f>
        <v>53</v>
      </c>
      <c r="O63" s="37">
        <f>IF(ISNUMBER('Sheet2-计算明细'!AM97),'Sheet2-计算明细'!AM97,"")</f>
        <v>82.17</v>
      </c>
      <c r="P63" s="37">
        <f>IF(ISNUMBER('Sheet2-计算明细'!AN97),'Sheet2-计算明细'!AN97,"")</f>
        <v>10.81</v>
      </c>
      <c r="Q63" s="37">
        <f>IF(ISNUMBER('Sheet2-计算明细'!AO97),'Sheet2-计算明细'!AO97,"")</f>
        <v>32.39</v>
      </c>
      <c r="R63" s="37">
        <f>IF(ISNUMBER('Sheet2-计算明细'!AP97),'Sheet2-计算明细'!AP97,"")</f>
        <v>100</v>
      </c>
      <c r="S63" s="38">
        <f>IF(ISNUMBER('Sheet2-计算明细'!AQ97),'Sheet2-计算明细'!AQ97,"")</f>
        <v>0.88</v>
      </c>
      <c r="T63" s="37">
        <f>IF(ISNUMBER('Sheet2-计算明细'!AR97),'Sheet2-计算明细'!AR97,"")</f>
        <v>42.91678</v>
      </c>
      <c r="U63" s="37">
        <f>IF(ISNUMBER('Sheet2-计算明细'!AS97),'Sheet2-计算明细'!AS97,"")</f>
        <v>48.77</v>
      </c>
      <c r="V63" s="37" t="str">
        <f>IF(ISNUMBER('Sheet2-计算明细'!AV97),'Sheet2-计算明细'!AV97,"")</f>
        <v/>
      </c>
      <c r="W63" s="39" t="str">
        <f>IF('Sheet2-计算明细'!AU97="","",'Sheet2-计算明细'!AU97)</f>
        <v>近三年收益；近三年胜率；近三年回撤；DD_long不可识别；</v>
      </c>
      <c r="X63" s="40">
        <f>81</f>
        <v>81</v>
      </c>
      <c r="Y63" s="36" t="str">
        <f>IF('Sheet2-计算明细'!AX97="","",'Sheet2-计算明细'!AX97)</f>
        <v>套利策略</v>
      </c>
      <c r="Z63" s="36" t="str">
        <f>IF('Sheet2-计算明细'!AY97="","",'Sheet2-计算明细'!AY97)</f>
        <v>期货套利</v>
      </c>
      <c r="AA63" s="36" t="str">
        <f>IF('Sheet2-计算明细'!AW97="","",'Sheet2-计算明细'!AW97)</f>
        <v>暂定分／数据不完整</v>
      </c>
      <c r="AB63" s="40">
        <f>IF(ISNUMBER('Sheet2-计算明细'!A97),'Sheet2-计算明细'!A97,"")</f>
        <v>81</v>
      </c>
      <c r="AC63" t="str">
        <f>协会公示!E82</f>
        <v>10-20亿元</v>
      </c>
      <c r="AD63" t="str">
        <f>协会公示!F82</f>
        <v>大规模</v>
      </c>
      <c r="AE63" t="str">
        <f>协会公示!G82</f>
        <v>协会提示／已整改异常</v>
      </c>
      <c r="AF63" t="str">
        <f>协会公示!R82</f>
        <v>https://gs.amac.org.cn/amac-infodisc/res/pof/manager/1708291806108811.html</v>
      </c>
    </row>
    <row r="64" ht="44" customHeight="1" spans="1:32">
      <c r="A64" s="36">
        <f>IF(ISNUMBER('Sheet2-计算明细'!AT80),'Sheet2-计算明细'!AT80,"")</f>
        <v>59</v>
      </c>
      <c r="B64" s="36" t="str">
        <f>IF('Sheet2-计算明细'!B80="","",'Sheet2-计算明细'!B80)</f>
        <v>唐德幽兰量化套利一号</v>
      </c>
      <c r="C64" s="36" t="str">
        <f>IF('Sheet2-计算明细'!C80="","",'Sheet2-计算明细'!C80)</f>
        <v>SAHM04</v>
      </c>
      <c r="D64" s="36" t="str">
        <f>IF('Sheet2-计算明细'!D80="","",'Sheet2-计算明细'!D80)</f>
        <v>深圳唐德</v>
      </c>
      <c r="E64" s="36" t="str">
        <f>IF('Sheet2-计算明细'!G80="","",'Sheet2-计算明细'!G80)</f>
        <v>入池</v>
      </c>
      <c r="F64" s="37">
        <f>IF(ISNUMBER('Sheet2-计算明细'!I80),'Sheet2-计算明细'!I80,"")</f>
        <v>60</v>
      </c>
      <c r="G64" s="37">
        <f>IF(ISNUMBER('Sheet2-计算明细'!K80),'Sheet2-计算明细'!K80,"")</f>
        <v>0</v>
      </c>
      <c r="H64" s="37">
        <f>IF(ISNUMBER('Sheet2-计算明细'!L80),'Sheet2-计算明细'!L80,"")</f>
        <v>70</v>
      </c>
      <c r="I64" s="37">
        <f>IF(ISNUMBER('Sheet2-计算明细'!S80),'Sheet2-计算明细'!S80,"")</f>
        <v>45.68</v>
      </c>
      <c r="J64" s="37">
        <f>IF(ISNUMBER('Sheet2-计算明细'!Y80),'Sheet2-计算明细'!Y80,"")</f>
        <v>84.62</v>
      </c>
      <c r="K64" s="37">
        <f>IF(ISNUMBER('Sheet2-计算明细'!AC80),'Sheet2-计算明细'!AC80,"")</f>
        <v>41.89</v>
      </c>
      <c r="L64" s="37">
        <f>IF(ISNUMBER('Sheet2-计算明细'!AI80),'Sheet2-计算明细'!AI80,"")</f>
        <v>28.17</v>
      </c>
      <c r="M64" s="37">
        <f>IF(ISNUMBER('Sheet2-计算明细'!AK80),'Sheet2-计算明细'!AK80,"")</f>
        <v>100</v>
      </c>
      <c r="N64" s="37">
        <f>IF(ISNUMBER('Sheet2-计算明细'!AL80),'Sheet2-计算明细'!AL80,"")</f>
        <v>45</v>
      </c>
      <c r="O64" s="37">
        <f>IF(ISNUMBER('Sheet2-计算明细'!AM80),'Sheet2-计算明细'!AM80,"")</f>
        <v>53.64</v>
      </c>
      <c r="P64" s="37">
        <f>IF(ISNUMBER('Sheet2-计算明细'!AN80),'Sheet2-计算明细'!AN80,"")</f>
        <v>41.89</v>
      </c>
      <c r="Q64" s="37">
        <f>IF(ISNUMBER('Sheet2-计算明细'!AO80),'Sheet2-计算明细'!AO80,"")</f>
        <v>28.17</v>
      </c>
      <c r="R64" s="37">
        <f>IF(ISNUMBER('Sheet2-计算明细'!AP80),'Sheet2-计算明细'!AP80,"")</f>
        <v>100</v>
      </c>
      <c r="S64" s="38">
        <f>IF(ISNUMBER('Sheet2-计算明细'!AQ80),'Sheet2-计算明细'!AQ80,"")</f>
        <v>0.856</v>
      </c>
      <c r="T64" s="37">
        <f>IF(ISNUMBER('Sheet2-计算明细'!AR80),'Sheet2-计算明细'!AR80,"")</f>
        <v>41.73434</v>
      </c>
      <c r="U64" s="37">
        <f>IF(ISNUMBER('Sheet2-计算明细'!AS80),'Sheet2-计算明细'!AS80,"")</f>
        <v>48.76</v>
      </c>
      <c r="V64" s="37" t="str">
        <f>IF(ISNUMBER('Sheet2-计算明细'!AV80),'Sheet2-计算明细'!AV80,"")</f>
        <v/>
      </c>
      <c r="W64" s="39" t="str">
        <f>IF('Sheet2-计算明细'!AU80="","",'Sheet2-计算明细'!AU80)</f>
        <v>近三年收益；近三年胜率；近三年回撤；DD_long不可识别；</v>
      </c>
      <c r="X64" s="40">
        <f>64</f>
        <v>64</v>
      </c>
      <c r="Y64" s="36" t="str">
        <f>IF('Sheet2-计算明细'!AX80="","",'Sheet2-计算明细'!AX80)</f>
        <v>套利策略</v>
      </c>
      <c r="Z64" s="36" t="str">
        <f>IF('Sheet2-计算明细'!AY80="","",'Sheet2-计算明细'!AY80)</f>
        <v>期货套利</v>
      </c>
      <c r="AA64" s="36" t="str">
        <f>IF('Sheet2-计算明细'!AW80="","",'Sheet2-计算明细'!AW80)</f>
        <v>暂定分／数据不完整</v>
      </c>
      <c r="AB64" s="40">
        <f>IF(ISNUMBER('Sheet2-计算明细'!A80),'Sheet2-计算明细'!A80,"")</f>
        <v>64</v>
      </c>
      <c r="AC64" t="str">
        <f>协会公示!E65</f>
        <v>0-5亿元</v>
      </c>
      <c r="AD64" t="str">
        <f>协会公示!F65</f>
        <v>小规模</v>
      </c>
      <c r="AE64" t="str">
        <f>协会公示!G65</f>
        <v>协会提示／已整改异常</v>
      </c>
      <c r="AF64" t="str">
        <f>协会公示!R65</f>
        <v>https://gs.amac.org.cn/amac-infodisc/res/pof/manager/101000038100.html</v>
      </c>
    </row>
    <row r="65" ht="44" customHeight="1" spans="1:32">
      <c r="A65" s="36">
        <f>IF(ISNUMBER('Sheet2-计算明细'!AT98),'Sheet2-计算明细'!AT98,"")</f>
        <v>60</v>
      </c>
      <c r="B65" s="36" t="str">
        <f>IF('Sheet2-计算明细'!B98="","",'Sheet2-计算明细'!B98)</f>
        <v>庄贤对冲3号</v>
      </c>
      <c r="C65" s="36" t="str">
        <f>IF('Sheet2-计算明细'!C98="","",'Sheet2-计算明细'!C98)</f>
        <v>SGW091</v>
      </c>
      <c r="D65" s="36" t="str">
        <f>IF('Sheet2-计算明细'!D98="","",'Sheet2-计算明细'!D98)</f>
        <v>杭州庄贤投资</v>
      </c>
      <c r="E65" s="36" t="str">
        <f>IF('Sheet2-计算明细'!G98="","",'Sheet2-计算明细'!G98)</f>
        <v>入池</v>
      </c>
      <c r="F65" s="37">
        <f>IF(ISNUMBER('Sheet2-计算明细'!I98),'Sheet2-计算明细'!I98,"")</f>
        <v>90</v>
      </c>
      <c r="G65" s="37">
        <f>IF(ISNUMBER('Sheet2-计算明细'!K98),'Sheet2-计算明细'!K98,"")</f>
        <v>100</v>
      </c>
      <c r="H65" s="37">
        <f>IF(ISNUMBER('Sheet2-计算明细'!L98),'Sheet2-计算明细'!L98,"")</f>
        <v>100</v>
      </c>
      <c r="I65" s="37">
        <f>IF(ISNUMBER('Sheet2-计算明细'!S98),'Sheet2-计算明细'!S98,"")</f>
        <v>17.72</v>
      </c>
      <c r="J65" s="37">
        <f>IF(ISNUMBER('Sheet2-计算明细'!Y98),'Sheet2-计算明细'!Y98,"")</f>
        <v>73.21</v>
      </c>
      <c r="K65" s="37">
        <f>IF(ISNUMBER('Sheet2-计算明细'!AC98),'Sheet2-计算明细'!AC98,"")</f>
        <v>37.84</v>
      </c>
      <c r="L65" s="37">
        <f>IF(ISNUMBER('Sheet2-计算明细'!AI98),'Sheet2-计算明细'!AI98,"")</f>
        <v>32.38</v>
      </c>
      <c r="M65" s="37">
        <f>IF(ISNUMBER('Sheet2-计算明细'!AK98),'Sheet2-计算明细'!AK98,"")</f>
        <v>80</v>
      </c>
      <c r="N65" s="37">
        <f>IF(ISNUMBER('Sheet2-计算明细'!AL98),'Sheet2-计算明细'!AL98,"")</f>
        <v>96</v>
      </c>
      <c r="O65" s="37">
        <f>IF(ISNUMBER('Sheet2-计算明细'!AM98),'Sheet2-计算明细'!AM98,"")</f>
        <v>34.37</v>
      </c>
      <c r="P65" s="37">
        <f>IF(ISNUMBER('Sheet2-计算明细'!AN98),'Sheet2-计算明细'!AN98,"")</f>
        <v>37.84</v>
      </c>
      <c r="Q65" s="37">
        <f>IF(ISNUMBER('Sheet2-计算明细'!AO98),'Sheet2-计算明细'!AO98,"")</f>
        <v>32.38</v>
      </c>
      <c r="R65" s="37">
        <f>IF(ISNUMBER('Sheet2-计算明细'!AP98),'Sheet2-计算明细'!AP98,"")</f>
        <v>80</v>
      </c>
      <c r="S65" s="38">
        <f>IF(ISNUMBER('Sheet2-计算明细'!AQ98),'Sheet2-计算明细'!AQ98,"")</f>
        <v>1</v>
      </c>
      <c r="T65" s="37">
        <f>IF(ISNUMBER('Sheet2-计算明细'!AR98),'Sheet2-计算明细'!AR98,"")</f>
        <v>48.44721</v>
      </c>
      <c r="U65" s="37">
        <f>IF(ISNUMBER('Sheet2-计算明细'!AS98),'Sheet2-计算明细'!AS98,"")</f>
        <v>48.45</v>
      </c>
      <c r="V65" s="37">
        <f>IF(ISNUMBER('Sheet2-计算明细'!AV98),'Sheet2-计算明细'!AV98,"")</f>
        <v>48.44721</v>
      </c>
      <c r="W65" s="39" t="str">
        <f>IF('Sheet2-计算明细'!AU98="","",'Sheet2-计算明细'!AU98)</f>
        <v/>
      </c>
      <c r="X65" s="40">
        <f>82</f>
        <v>82</v>
      </c>
      <c r="Y65" s="36" t="str">
        <f>IF('Sheet2-计算明细'!AX98="","",'Sheet2-计算明细'!AX98)</f>
        <v>期权策略</v>
      </c>
      <c r="Z65" s="36" t="str">
        <f>IF('Sheet2-计算明细'!AY98="","",'Sheet2-计算明细'!AY98)</f>
        <v>场内期权</v>
      </c>
      <c r="AA65" s="36" t="str">
        <f>IF('Sheet2-计算明细'!AW98="","",'Sheet2-计算明细'!AW98)</f>
        <v>完整赋分</v>
      </c>
      <c r="AB65" s="40">
        <f>IF(ISNUMBER('Sheet2-计算明细'!A98),'Sheet2-计算明细'!A98,"")</f>
        <v>82</v>
      </c>
      <c r="AC65" t="str">
        <f>协会公示!E83</f>
        <v>20-50亿元</v>
      </c>
      <c r="AD65" t="str">
        <f>协会公示!F83</f>
        <v>大规模</v>
      </c>
      <c r="AE65" t="str">
        <f>协会公示!G83</f>
        <v>本次公示未见相关提示</v>
      </c>
      <c r="AF65" t="str">
        <f>协会公示!R83</f>
        <v>https://gs.amac.org.cn/amac-infodisc/res/pof/manager/1703280912100590.html</v>
      </c>
    </row>
    <row r="66" ht="44" customHeight="1" spans="1:32">
      <c r="A66" s="36">
        <f>IF(ISNUMBER('Sheet2-计算明细'!AT69),'Sheet2-计算明细'!AT69,"")</f>
        <v>61</v>
      </c>
      <c r="B66" s="36" t="str">
        <f>IF('Sheet2-计算明细'!B69="","",'Sheet2-计算明细'!B69)</f>
        <v>杉阳云杉混合1号A类</v>
      </c>
      <c r="C66" s="36" t="str">
        <f>IF('Sheet2-计算明细'!C69="","",'Sheet2-计算明细'!C69)</f>
        <v>LA063A</v>
      </c>
      <c r="D66" s="36" t="str">
        <f>IF('Sheet2-计算明细'!D69="","",'Sheet2-计算明细'!D69)</f>
        <v>上海杉阳</v>
      </c>
      <c r="E66" s="36" t="str">
        <f>IF('Sheet2-计算明细'!G69="","",'Sheet2-计算明细'!G69)</f>
        <v>入池</v>
      </c>
      <c r="F66" s="37">
        <f>IF(ISNUMBER('Sheet2-计算明细'!I69),'Sheet2-计算明细'!I69,"")</f>
        <v>60</v>
      </c>
      <c r="G66" s="37" t="str">
        <f>IF(ISNUMBER('Sheet2-计算明细'!K69),'Sheet2-计算明细'!K69,"")</f>
        <v/>
      </c>
      <c r="H66" s="37">
        <f>IF(ISNUMBER('Sheet2-计算明细'!L69),'Sheet2-计算明细'!L69,"")</f>
        <v>100</v>
      </c>
      <c r="I66" s="37">
        <f>IF(ISNUMBER('Sheet2-计算明细'!S69),'Sheet2-计算明细'!S69,"")</f>
        <v>18.94</v>
      </c>
      <c r="J66" s="37">
        <f>IF(ISNUMBER('Sheet2-计算明细'!Y69),'Sheet2-计算明细'!Y69,"")</f>
        <v>71.15</v>
      </c>
      <c r="K66" s="37">
        <f>IF(ISNUMBER('Sheet2-计算明细'!AC69),'Sheet2-计算明细'!AC69,"")</f>
        <v>36.49</v>
      </c>
      <c r="L66" s="37">
        <f>IF(ISNUMBER('Sheet2-计算明细'!AI69),'Sheet2-计算明细'!AI69,"")</f>
        <v>38.43</v>
      </c>
      <c r="M66" s="37">
        <f>IF(ISNUMBER('Sheet2-计算明细'!AK69),'Sheet2-计算明细'!AK69,"")</f>
        <v>100</v>
      </c>
      <c r="N66" s="37">
        <f>IF(ISNUMBER('Sheet2-计算明细'!AL69),'Sheet2-计算明细'!AL69,"")</f>
        <v>77.14</v>
      </c>
      <c r="O66" s="37">
        <f>IF(ISNUMBER('Sheet2-计算明细'!AM69),'Sheet2-计算明细'!AM69,"")</f>
        <v>34.61</v>
      </c>
      <c r="P66" s="37">
        <f>IF(ISNUMBER('Sheet2-计算明细'!AN69),'Sheet2-计算明细'!AN69,"")</f>
        <v>36.49</v>
      </c>
      <c r="Q66" s="37">
        <f>IF(ISNUMBER('Sheet2-计算明细'!AO69),'Sheet2-计算明细'!AO69,"")</f>
        <v>38.43</v>
      </c>
      <c r="R66" s="37">
        <f>IF(ISNUMBER('Sheet2-计算明细'!AP69),'Sheet2-计算明细'!AP69,"")</f>
        <v>100</v>
      </c>
      <c r="S66" s="38">
        <f>IF(ISNUMBER('Sheet2-计算明细'!AQ69),'Sheet2-计算明细'!AQ69,"")</f>
        <v>0.955</v>
      </c>
      <c r="T66" s="37">
        <f>IF(ISNUMBER('Sheet2-计算明细'!AR69),'Sheet2-计算明细'!AR69,"")</f>
        <v>45.67411</v>
      </c>
      <c r="U66" s="37">
        <f>IF(ISNUMBER('Sheet2-计算明细'!AS69),'Sheet2-计算明细'!AS69,"")</f>
        <v>47.83</v>
      </c>
      <c r="V66" s="37" t="str">
        <f>IF(ISNUMBER('Sheet2-计算明细'!AV69),'Sheet2-计算明细'!AV69,"")</f>
        <v/>
      </c>
      <c r="W66" s="39" t="str">
        <f>IF('Sheet2-计算明细'!AU69="","",'Sheet2-计算明细'!AU69)</f>
        <v>产品规模标识；</v>
      </c>
      <c r="X66" s="40">
        <f>53</f>
        <v>53</v>
      </c>
      <c r="Y66" s="36" t="str">
        <f>IF('Sheet2-计算明细'!AX69="","",'Sheet2-计算明细'!AX69)</f>
        <v>套利策略</v>
      </c>
      <c r="Z66" s="36" t="str">
        <f>IF('Sheet2-计算明细'!AY69="","",'Sheet2-计算明细'!AY69)</f>
        <v>期货套利</v>
      </c>
      <c r="AA66" s="36" t="str">
        <f>IF('Sheet2-计算明细'!AW69="","",'Sheet2-计算明细'!AW69)</f>
        <v>暂定分／数据不完整</v>
      </c>
      <c r="AB66" s="40">
        <f>IF(ISNUMBER('Sheet2-计算明细'!A69),'Sheet2-计算明细'!A69,"")</f>
        <v>53</v>
      </c>
      <c r="AC66" t="str">
        <f>协会公示!E54</f>
        <v>0-5亿元</v>
      </c>
      <c r="AD66" t="str">
        <f>协会公示!F54</f>
        <v>小规模</v>
      </c>
      <c r="AE66" t="str">
        <f>协会公示!G54</f>
        <v>本次公示未见相关提示</v>
      </c>
      <c r="AF66" t="str">
        <f>协会公示!R54</f>
        <v>https://gs.amac.org.cn/amac-infodisc/res/pof/manager/2001061547104837.html</v>
      </c>
    </row>
    <row r="67" ht="44" customHeight="1" spans="1:32">
      <c r="A67" s="36">
        <f>IF(ISNUMBER('Sheet2-计算明细'!AT26),'Sheet2-计算明细'!AT26,"")</f>
        <v>62</v>
      </c>
      <c r="B67" s="36" t="str">
        <f>IF('Sheet2-计算明细'!B26="","",'Sheet2-计算明细'!B26)</f>
        <v>晨翰11号</v>
      </c>
      <c r="C67" s="36" t="str">
        <f>IF('Sheet2-计算明细'!C26="","",'Sheet2-计算明细'!C26)</f>
        <v>SVT598</v>
      </c>
      <c r="D67" s="36" t="str">
        <f>IF('Sheet2-计算明细'!D26="","",'Sheet2-计算明细'!D26)</f>
        <v>晋江晨翰</v>
      </c>
      <c r="E67" s="36" t="str">
        <f>IF('Sheet2-计算明细'!G26="","",'Sheet2-计算明细'!G26)</f>
        <v>入池</v>
      </c>
      <c r="F67" s="37">
        <f>IF(ISNUMBER('Sheet2-计算明细'!I26),'Sheet2-计算明细'!I26,"")</f>
        <v>70</v>
      </c>
      <c r="G67" s="37">
        <f>IF(ISNUMBER('Sheet2-计算明细'!K26),'Sheet2-计算明细'!K26,"")</f>
        <v>100</v>
      </c>
      <c r="H67" s="37">
        <f>IF(ISNUMBER('Sheet2-计算明细'!L26),'Sheet2-计算明细'!L26,"")</f>
        <v>100</v>
      </c>
      <c r="I67" s="37">
        <f>IF(ISNUMBER('Sheet2-计算明细'!S26),'Sheet2-计算明细'!S26,"")</f>
        <v>12.2</v>
      </c>
      <c r="J67" s="37">
        <f>IF(ISNUMBER('Sheet2-计算明细'!Y26),'Sheet2-计算明细'!Y26,"")</f>
        <v>58.97</v>
      </c>
      <c r="K67" s="37">
        <f>IF(ISNUMBER('Sheet2-计算明细'!AC26),'Sheet2-计算明细'!AC26,"")</f>
        <v>47.3</v>
      </c>
      <c r="L67" s="37">
        <f>IF(ISNUMBER('Sheet2-计算明细'!AI26),'Sheet2-计算明细'!AI26,"")</f>
        <v>16.39</v>
      </c>
      <c r="M67" s="37">
        <f>IF(ISNUMBER('Sheet2-计算明细'!AK26),'Sheet2-计算明细'!AK26,"")</f>
        <v>100</v>
      </c>
      <c r="N67" s="37">
        <f>IF(ISNUMBER('Sheet2-计算明细'!AL26),'Sheet2-计算明细'!AL26,"")</f>
        <v>88</v>
      </c>
      <c r="O67" s="37">
        <f>IF(ISNUMBER('Sheet2-计算明细'!AM26),'Sheet2-计算明细'!AM26,"")</f>
        <v>26.23</v>
      </c>
      <c r="P67" s="37">
        <f>IF(ISNUMBER('Sheet2-计算明细'!AN26),'Sheet2-计算明细'!AN26,"")</f>
        <v>47.3</v>
      </c>
      <c r="Q67" s="37">
        <f>IF(ISNUMBER('Sheet2-计算明细'!AO26),'Sheet2-计算明细'!AO26,"")</f>
        <v>16.39</v>
      </c>
      <c r="R67" s="37">
        <f>IF(ISNUMBER('Sheet2-计算明细'!AP26),'Sheet2-计算明细'!AP26,"")</f>
        <v>100</v>
      </c>
      <c r="S67" s="38">
        <f>IF(ISNUMBER('Sheet2-计算明细'!AQ26),'Sheet2-计算明细'!AQ26,"")</f>
        <v>1</v>
      </c>
      <c r="T67" s="37">
        <f>IF(ISNUMBER('Sheet2-计算明细'!AR26),'Sheet2-计算明细'!AR26,"")</f>
        <v>45.18907</v>
      </c>
      <c r="U67" s="37">
        <f>IF(ISNUMBER('Sheet2-计算明细'!AS26),'Sheet2-计算明细'!AS26,"")</f>
        <v>45.19</v>
      </c>
      <c r="V67" s="37">
        <f>IF(ISNUMBER('Sheet2-计算明细'!AV26),'Sheet2-计算明细'!AV26,"")</f>
        <v>45.18907</v>
      </c>
      <c r="W67" s="39" t="str">
        <f>IF('Sheet2-计算明细'!AU26="","",'Sheet2-计算明细'!AU26)</f>
        <v/>
      </c>
      <c r="X67" s="40">
        <f>10</f>
        <v>10</v>
      </c>
      <c r="Y67" s="36" t="str">
        <f>IF('Sheet2-计算明细'!AX26="","",'Sheet2-计算明细'!AX26)</f>
        <v>套利策略</v>
      </c>
      <c r="Z67" s="36" t="str">
        <f>IF('Sheet2-计算明细'!AY26="","",'Sheet2-计算明细'!AY26)</f>
        <v>期货套利</v>
      </c>
      <c r="AA67" s="36" t="str">
        <f>IF('Sheet2-计算明细'!AW26="","",'Sheet2-计算明细'!AW26)</f>
        <v>完整赋分</v>
      </c>
      <c r="AB67" s="40">
        <f>IF(ISNUMBER('Sheet2-计算明细'!A26),'Sheet2-计算明细'!A26,"")</f>
        <v>10</v>
      </c>
      <c r="AC67" t="str">
        <f>协会公示!E11</f>
        <v>5-10亿元</v>
      </c>
      <c r="AD67" t="str">
        <f>协会公示!F11</f>
        <v>大规模</v>
      </c>
      <c r="AE67" t="str">
        <f>协会公示!G11</f>
        <v>本次公示未见相关提示</v>
      </c>
      <c r="AF67" t="str">
        <f>协会公示!R11</f>
        <v>https://gs.amac.org.cn/amac-infodisc/res/pof/manager/2002211754119480.html</v>
      </c>
    </row>
    <row r="68" ht="44" customHeight="1" spans="1:32">
      <c r="A68" s="36">
        <f>IF(ISNUMBER('Sheet2-计算明细'!AT35),'Sheet2-计算明细'!AT35,"")</f>
        <v>63</v>
      </c>
      <c r="B68" s="36" t="str">
        <f>IF('Sheet2-计算明细'!B35="","",'Sheet2-计算明细'!B35)</f>
        <v>杭州探融-锦鲤智能量化3号</v>
      </c>
      <c r="C68" s="36" t="str">
        <f>IF('Sheet2-计算明细'!C35="","",'Sheet2-计算明细'!C35)</f>
        <v>SQC001</v>
      </c>
      <c r="D68" s="36" t="str">
        <f>IF('Sheet2-计算明细'!D35="","",'Sheet2-计算明细'!D35)</f>
        <v>杭州探融投资</v>
      </c>
      <c r="E68" s="36" t="str">
        <f>IF('Sheet2-计算明细'!G35="","",'Sheet2-计算明细'!G35)</f>
        <v>入池</v>
      </c>
      <c r="F68" s="37">
        <f>IF(ISNUMBER('Sheet2-计算明细'!I35),'Sheet2-计算明细'!I35,"")</f>
        <v>60</v>
      </c>
      <c r="G68" s="37">
        <f>IF(ISNUMBER('Sheet2-计算明细'!K35),'Sheet2-计算明细'!K35,"")</f>
        <v>100</v>
      </c>
      <c r="H68" s="37">
        <f>IF(ISNUMBER('Sheet2-计算明细'!L35),'Sheet2-计算明细'!L35,"")</f>
        <v>100</v>
      </c>
      <c r="I68" s="37">
        <f>IF(ISNUMBER('Sheet2-计算明细'!S35),'Sheet2-计算明细'!S35,"")</f>
        <v>11.36</v>
      </c>
      <c r="J68" s="37">
        <f>IF(ISNUMBER('Sheet2-计算明细'!Y35),'Sheet2-计算明细'!Y35,"")</f>
        <v>51.41</v>
      </c>
      <c r="K68" s="37">
        <f>IF(ISNUMBER('Sheet2-计算明细'!AC35),'Sheet2-计算明细'!AC35,"")</f>
        <v>52.7</v>
      </c>
      <c r="L68" s="37">
        <f>IF(ISNUMBER('Sheet2-计算明细'!AI35),'Sheet2-计算明细'!AI35,"")</f>
        <v>22.13</v>
      </c>
      <c r="M68" s="37">
        <f>IF(ISNUMBER('Sheet2-计算明细'!AK35),'Sheet2-计算明细'!AK35,"")</f>
        <v>80</v>
      </c>
      <c r="N68" s="37">
        <f>IF(ISNUMBER('Sheet2-计算明细'!AL35),'Sheet2-计算明细'!AL35,"")</f>
        <v>84</v>
      </c>
      <c r="O68" s="37">
        <f>IF(ISNUMBER('Sheet2-计算明细'!AM35),'Sheet2-计算明细'!AM35,"")</f>
        <v>23.38</v>
      </c>
      <c r="P68" s="37">
        <f>IF(ISNUMBER('Sheet2-计算明细'!AN35),'Sheet2-计算明细'!AN35,"")</f>
        <v>52.7</v>
      </c>
      <c r="Q68" s="37">
        <f>IF(ISNUMBER('Sheet2-计算明细'!AO35),'Sheet2-计算明细'!AO35,"")</f>
        <v>22.13</v>
      </c>
      <c r="R68" s="37">
        <f>IF(ISNUMBER('Sheet2-计算明细'!AP35),'Sheet2-计算明细'!AP35,"")</f>
        <v>80</v>
      </c>
      <c r="S68" s="38">
        <f>IF(ISNUMBER('Sheet2-计算明细'!AQ35),'Sheet2-计算明细'!AQ35,"")</f>
        <v>1</v>
      </c>
      <c r="T68" s="37">
        <f>IF(ISNUMBER('Sheet2-计算明细'!AR35),'Sheet2-计算明细'!AR35,"")</f>
        <v>45.08956</v>
      </c>
      <c r="U68" s="37">
        <f>IF(ISNUMBER('Sheet2-计算明细'!AS35),'Sheet2-计算明细'!AS35,"")</f>
        <v>45.09</v>
      </c>
      <c r="V68" s="37">
        <f>IF(ISNUMBER('Sheet2-计算明细'!AV35),'Sheet2-计算明细'!AV35,"")</f>
        <v>45.08956</v>
      </c>
      <c r="W68" s="39" t="str">
        <f>IF('Sheet2-计算明细'!AU35="","",'Sheet2-计算明细'!AU35)</f>
        <v/>
      </c>
      <c r="X68" s="40">
        <f>19</f>
        <v>19</v>
      </c>
      <c r="Y68" s="36" t="str">
        <f>IF('Sheet2-计算明细'!AX35="","",'Sheet2-计算明细'!AX35)</f>
        <v>套利策略</v>
      </c>
      <c r="Z68" s="36" t="str">
        <f>IF('Sheet2-计算明细'!AY35="","",'Sheet2-计算明细'!AY35)</f>
        <v>可转债套利</v>
      </c>
      <c r="AA68" s="36" t="str">
        <f>IF('Sheet2-计算明细'!AW35="","",'Sheet2-计算明细'!AW35)</f>
        <v>完整赋分</v>
      </c>
      <c r="AB68" s="40">
        <f>IF(ISNUMBER('Sheet2-计算明细'!A35),'Sheet2-计算明细'!A35,"")</f>
        <v>19</v>
      </c>
      <c r="AC68" t="str">
        <f>协会公示!E20</f>
        <v>0-5亿元</v>
      </c>
      <c r="AD68" t="str">
        <f>协会公示!F20</f>
        <v>小规模</v>
      </c>
      <c r="AE68" t="str">
        <f>协会公示!G20</f>
        <v>本次公示未见相关提示</v>
      </c>
      <c r="AF68" t="str">
        <f>协会公示!R20</f>
        <v>https://gs.amac.org.cn/amac-infodisc/res/pof/manager/101000049159.html</v>
      </c>
    </row>
    <row r="69" ht="44" customHeight="1" spans="1:32">
      <c r="A69" s="36">
        <f>IF(ISNUMBER('Sheet2-计算明细'!AT83),'Sheet2-计算明细'!AT83,"")</f>
        <v>64</v>
      </c>
      <c r="B69" s="36" t="str">
        <f>IF('Sheet2-计算明细'!B83="","",'Sheet2-计算明细'!B83)</f>
        <v>悬铃C号</v>
      </c>
      <c r="C69" s="36" t="str">
        <f>IF('Sheet2-计算明细'!C83="","",'Sheet2-计算明细'!C83)</f>
        <v>SEK201</v>
      </c>
      <c r="D69" s="36" t="str">
        <f>IF('Sheet2-计算明细'!D83="","",'Sheet2-计算明细'!D83)</f>
        <v>上海悬铃</v>
      </c>
      <c r="E69" s="36" t="str">
        <f>IF('Sheet2-计算明细'!G83="","",'Sheet2-计算明细'!G83)</f>
        <v>入池</v>
      </c>
      <c r="F69" s="37">
        <f>IF(ISNUMBER('Sheet2-计算明细'!I83),'Sheet2-计算明细'!I83,"")</f>
        <v>90</v>
      </c>
      <c r="G69" s="37">
        <f>IF(ISNUMBER('Sheet2-计算明细'!K83),'Sheet2-计算明细'!K83,"")</f>
        <v>100</v>
      </c>
      <c r="H69" s="37">
        <f>IF(ISNUMBER('Sheet2-计算明细'!L83),'Sheet2-计算明细'!L83,"")</f>
        <v>100</v>
      </c>
      <c r="I69" s="37" t="str">
        <f>IF(ISNUMBER('Sheet2-计算明细'!S83),'Sheet2-计算明细'!S83,"")</f>
        <v/>
      </c>
      <c r="J69" s="37" t="str">
        <f>IF(ISNUMBER('Sheet2-计算明细'!Y83),'Sheet2-计算明细'!Y83,"")</f>
        <v/>
      </c>
      <c r="K69" s="37">
        <f>IF(ISNUMBER('Sheet2-计算明细'!AC83),'Sheet2-计算明细'!AC83,"")</f>
        <v>13.51</v>
      </c>
      <c r="L69" s="37" t="str">
        <f>IF(ISNUMBER('Sheet2-计算明细'!AI83),'Sheet2-计算明细'!AI83,"")</f>
        <v/>
      </c>
      <c r="M69" s="37" t="str">
        <f>IF(ISNUMBER('Sheet2-计算明细'!AK83),'Sheet2-计算明细'!AK83,"")</f>
        <v/>
      </c>
      <c r="N69" s="37">
        <f>IF(ISNUMBER('Sheet2-计算明细'!AL83),'Sheet2-计算明细'!AL83,"")</f>
        <v>96</v>
      </c>
      <c r="O69" s="37" t="str">
        <f>IF(ISNUMBER('Sheet2-计算明细'!AM83),'Sheet2-计算明细'!AM83,"")</f>
        <v/>
      </c>
      <c r="P69" s="37">
        <f>IF(ISNUMBER('Sheet2-计算明细'!AN83),'Sheet2-计算明细'!AN83,"")</f>
        <v>13.51</v>
      </c>
      <c r="Q69" s="37" t="str">
        <f>IF(ISNUMBER('Sheet2-计算明细'!AO83),'Sheet2-计算明细'!AO83,"")</f>
        <v/>
      </c>
      <c r="R69" s="37" t="str">
        <f>IF(ISNUMBER('Sheet2-计算明细'!AP83),'Sheet2-计算明细'!AP83,"")</f>
        <v/>
      </c>
      <c r="S69" s="38">
        <f>IF(ISNUMBER('Sheet2-计算明细'!AQ83),'Sheet2-计算明细'!AQ83,"")</f>
        <v>0.4</v>
      </c>
      <c r="T69" s="37">
        <f>IF(ISNUMBER('Sheet2-计算明细'!AR83),'Sheet2-计算明细'!AR83,"")</f>
        <v>17.7775</v>
      </c>
      <c r="U69" s="37">
        <f>IF(ISNUMBER('Sheet2-计算明细'!AS83),'Sheet2-计算明细'!AS83,"")</f>
        <v>44.44</v>
      </c>
      <c r="V69" s="37" t="str">
        <f>IF(ISNUMBER('Sheet2-计算明细'!AV83),'Sheet2-计算明细'!AV83,"")</f>
        <v/>
      </c>
      <c r="W69" s="39" t="str">
        <f>IF('Sheet2-计算明细'!AU83="","",'Sheet2-计算明细'!AU83)</f>
        <v>近一年收益；近一年胜率；近一年卡玛；</v>
      </c>
      <c r="X69" s="40">
        <f>67</f>
        <v>67</v>
      </c>
      <c r="Y69" s="36" t="str">
        <f>IF('Sheet2-计算明细'!AX83="","",'Sheet2-计算明细'!AX83)</f>
        <v>套利策略</v>
      </c>
      <c r="Z69" s="36" t="str">
        <f>IF('Sheet2-计算明细'!AY83="","",'Sheet2-计算明细'!AY83)</f>
        <v>可转债套利</v>
      </c>
      <c r="AA69" s="36" t="str">
        <f>IF('Sheet2-计算明细'!AW83="","",'Sheet2-计算明细'!AW83)</f>
        <v>暂定分／数据不完整</v>
      </c>
      <c r="AB69" s="40">
        <f>IF(ISNUMBER('Sheet2-计算明细'!A83),'Sheet2-计算明细'!A83,"")</f>
        <v>67</v>
      </c>
      <c r="AC69" t="str">
        <f>协会公示!E68</f>
        <v>20-50亿元</v>
      </c>
      <c r="AD69" t="str">
        <f>协会公示!F68</f>
        <v>大规模</v>
      </c>
      <c r="AE69" t="str">
        <f>协会公示!G68</f>
        <v>本次公示未见相关提示</v>
      </c>
      <c r="AF69" t="str">
        <f>协会公示!R68</f>
        <v>https://gs.amac.org.cn/amac-infodisc/res/pof/manager/1701161209103763.html</v>
      </c>
    </row>
    <row r="70" ht="44" customHeight="1" spans="1:32">
      <c r="A70" s="36">
        <f>IF(ISNUMBER('Sheet2-计算明细'!AT54),'Sheet2-计算明细'!AT54,"")</f>
        <v>65</v>
      </c>
      <c r="B70" s="36" t="str">
        <f>IF('Sheet2-计算明细'!B54="","",'Sheet2-计算明细'!B54)</f>
        <v>铭杉量化稳健5号</v>
      </c>
      <c r="C70" s="36" t="str">
        <f>IF('Sheet2-计算明细'!C54="","",'Sheet2-计算明细'!C54)</f>
        <v>SLT573</v>
      </c>
      <c r="D70" s="36" t="str">
        <f>IF('Sheet2-计算明细'!D54="","",'Sheet2-计算明细'!D54)</f>
        <v>上海铭杉投资</v>
      </c>
      <c r="E70" s="36" t="str">
        <f>IF('Sheet2-计算明细'!G54="","",'Sheet2-计算明细'!G54)</f>
        <v>入池</v>
      </c>
      <c r="F70" s="37">
        <f>IF(ISNUMBER('Sheet2-计算明细'!I54),'Sheet2-计算明细'!I54,"")</f>
        <v>60</v>
      </c>
      <c r="G70" s="37">
        <f>IF(ISNUMBER('Sheet2-计算明细'!K54),'Sheet2-计算明细'!K54,"")</f>
        <v>0</v>
      </c>
      <c r="H70" s="37">
        <f>IF(ISNUMBER('Sheet2-计算明细'!L54),'Sheet2-计算明细'!L54,"")</f>
        <v>100</v>
      </c>
      <c r="I70" s="37">
        <f>IF(ISNUMBER('Sheet2-计算明细'!S54),'Sheet2-计算明细'!S54,"")</f>
        <v>25.83</v>
      </c>
      <c r="J70" s="37">
        <f>IF(ISNUMBER('Sheet2-计算明细'!Y54),'Sheet2-计算明细'!Y54,"")</f>
        <v>82.82</v>
      </c>
      <c r="K70" s="37">
        <f>IF(ISNUMBER('Sheet2-计算明细'!AC54),'Sheet2-计算明细'!AC54,"")</f>
        <v>43.24</v>
      </c>
      <c r="L70" s="37">
        <f>IF(ISNUMBER('Sheet2-计算明细'!AI54),'Sheet2-计算明细'!AI54,"")</f>
        <v>14.08</v>
      </c>
      <c r="M70" s="37">
        <f>IF(ISNUMBER('Sheet2-计算明细'!AK54),'Sheet2-计算明细'!AK54,"")</f>
        <v>80</v>
      </c>
      <c r="N70" s="37">
        <f>IF(ISNUMBER('Sheet2-计算明细'!AL54),'Sheet2-计算明细'!AL54,"")</f>
        <v>54</v>
      </c>
      <c r="O70" s="37">
        <f>IF(ISNUMBER('Sheet2-计算明细'!AM54),'Sheet2-计算明细'!AM54,"")</f>
        <v>42.93</v>
      </c>
      <c r="P70" s="37">
        <f>IF(ISNUMBER('Sheet2-计算明细'!AN54),'Sheet2-计算明细'!AN54,"")</f>
        <v>43.24</v>
      </c>
      <c r="Q70" s="37">
        <f>IF(ISNUMBER('Sheet2-计算明细'!AO54),'Sheet2-计算明细'!AO54,"")</f>
        <v>14.08</v>
      </c>
      <c r="R70" s="37">
        <f>IF(ISNUMBER('Sheet2-计算明细'!AP54),'Sheet2-计算明细'!AP54,"")</f>
        <v>80</v>
      </c>
      <c r="S70" s="38">
        <f>IF(ISNUMBER('Sheet2-计算明细'!AQ54),'Sheet2-计算明细'!AQ54,"")</f>
        <v>0.88</v>
      </c>
      <c r="T70" s="37">
        <f>IF(ISNUMBER('Sheet2-计算明细'!AR54),'Sheet2-计算明细'!AR54,"")</f>
        <v>38.02989</v>
      </c>
      <c r="U70" s="37">
        <f>IF(ISNUMBER('Sheet2-计算明细'!AS54),'Sheet2-计算明细'!AS54,"")</f>
        <v>43.22</v>
      </c>
      <c r="V70" s="37" t="str">
        <f>IF(ISNUMBER('Sheet2-计算明细'!AV54),'Sheet2-计算明细'!AV54,"")</f>
        <v/>
      </c>
      <c r="W70" s="39" t="str">
        <f>IF('Sheet2-计算明细'!AU54="","",'Sheet2-计算明细'!AU54)</f>
        <v>DD_long不可识别；</v>
      </c>
      <c r="X70" s="40">
        <f>38</f>
        <v>38</v>
      </c>
      <c r="Y70" s="36" t="str">
        <f>IF('Sheet2-计算明细'!AX54="","",'Sheet2-计算明细'!AX54)</f>
        <v>套利策略</v>
      </c>
      <c r="Z70" s="36" t="str">
        <f>IF('Sheet2-计算明细'!AY54="","",'Sheet2-计算明细'!AY54)</f>
        <v>期货套利</v>
      </c>
      <c r="AA70" s="36" t="str">
        <f>IF('Sheet2-计算明细'!AW54="","",'Sheet2-计算明细'!AW54)</f>
        <v>暂定分／数据不完整</v>
      </c>
      <c r="AB70" s="40">
        <f>IF(ISNUMBER('Sheet2-计算明细'!A54),'Sheet2-计算明细'!A54,"")</f>
        <v>38</v>
      </c>
      <c r="AC70" t="str">
        <f>协会公示!E39</f>
        <v>0-5亿元</v>
      </c>
      <c r="AD70" t="str">
        <f>协会公示!F39</f>
        <v>小规模</v>
      </c>
      <c r="AE70" t="str">
        <f>协会公示!G39</f>
        <v>协会提示／已整改异常</v>
      </c>
      <c r="AF70" t="str">
        <f>协会公示!R39</f>
        <v>https://gs.amac.org.cn/amac-infodisc/res/pof/manager/1708301158107602.html</v>
      </c>
    </row>
    <row r="71" ht="44" customHeight="1" spans="1:32">
      <c r="A71" s="36">
        <f>IF(ISNUMBER('Sheet2-计算明细'!AT27),'Sheet2-计算明细'!AT27,"")</f>
        <v>66</v>
      </c>
      <c r="B71" s="36" t="str">
        <f>IF('Sheet2-计算明细'!B27="","",'Sheet2-计算明细'!B27)</f>
        <v>晨翰6号</v>
      </c>
      <c r="C71" s="36" t="str">
        <f>IF('Sheet2-计算明细'!C27="","",'Sheet2-计算明细'!C27)</f>
        <v>STS460</v>
      </c>
      <c r="D71" s="36" t="str">
        <f>IF('Sheet2-计算明细'!D27="","",'Sheet2-计算明细'!D27)</f>
        <v>晋江晨翰</v>
      </c>
      <c r="E71" s="36" t="str">
        <f>IF('Sheet2-计算明细'!G27="","",'Sheet2-计算明细'!G27)</f>
        <v>入池</v>
      </c>
      <c r="F71" s="37">
        <f>IF(ISNUMBER('Sheet2-计算明细'!I27),'Sheet2-计算明细'!I27,"")</f>
        <v>70</v>
      </c>
      <c r="G71" s="37">
        <f>IF(ISNUMBER('Sheet2-计算明细'!K27),'Sheet2-计算明细'!K27,"")</f>
        <v>100</v>
      </c>
      <c r="H71" s="37">
        <f>IF(ISNUMBER('Sheet2-计算明细'!L27),'Sheet2-计算明细'!L27,"")</f>
        <v>100</v>
      </c>
      <c r="I71" s="37">
        <f>IF(ISNUMBER('Sheet2-计算明细'!S27),'Sheet2-计算明细'!S27,"")</f>
        <v>32.58</v>
      </c>
      <c r="J71" s="37">
        <f>IF(ISNUMBER('Sheet2-计算明细'!Y27),'Sheet2-计算明细'!Y27,"")</f>
        <v>51.02</v>
      </c>
      <c r="K71" s="37">
        <f>IF(ISNUMBER('Sheet2-计算明细'!AC27),'Sheet2-计算明细'!AC27,"")</f>
        <v>16.22</v>
      </c>
      <c r="L71" s="37">
        <f>IF(ISNUMBER('Sheet2-计算明细'!AI27),'Sheet2-计算明细'!AI27,"")</f>
        <v>12.68</v>
      </c>
      <c r="M71" s="37">
        <f>IF(ISNUMBER('Sheet2-计算明细'!AK27),'Sheet2-计算明细'!AK27,"")</f>
        <v>100</v>
      </c>
      <c r="N71" s="37">
        <f>IF(ISNUMBER('Sheet2-计算明细'!AL27),'Sheet2-计算明细'!AL27,"")</f>
        <v>88</v>
      </c>
      <c r="O71" s="37">
        <f>IF(ISNUMBER('Sheet2-计算明细'!AM27),'Sheet2-计算明细'!AM27,"")</f>
        <v>38.11</v>
      </c>
      <c r="P71" s="37">
        <f>IF(ISNUMBER('Sheet2-计算明细'!AN27),'Sheet2-计算明细'!AN27,"")</f>
        <v>16.22</v>
      </c>
      <c r="Q71" s="37">
        <f>IF(ISNUMBER('Sheet2-计算明细'!AO27),'Sheet2-计算明细'!AO27,"")</f>
        <v>12.68</v>
      </c>
      <c r="R71" s="37">
        <f>IF(ISNUMBER('Sheet2-计算明细'!AP27),'Sheet2-计算明细'!AP27,"")</f>
        <v>100</v>
      </c>
      <c r="S71" s="38">
        <f>IF(ISNUMBER('Sheet2-计算明细'!AQ27),'Sheet2-计算明细'!AQ27,"")</f>
        <v>0.88</v>
      </c>
      <c r="T71" s="37">
        <f>IF(ISNUMBER('Sheet2-计算明细'!AR27),'Sheet2-计算明细'!AR27,"")</f>
        <v>37.15934</v>
      </c>
      <c r="U71" s="37">
        <f>IF(ISNUMBER('Sheet2-计算明细'!AS27),'Sheet2-计算明细'!AS27,"")</f>
        <v>42.23</v>
      </c>
      <c r="V71" s="37" t="str">
        <f>IF(ISNUMBER('Sheet2-计算明细'!AV27),'Sheet2-计算明细'!AV27,"")</f>
        <v/>
      </c>
      <c r="W71" s="39" t="str">
        <f>IF('Sheet2-计算明细'!AU27="","",'Sheet2-计算明细'!AU27)</f>
        <v>DD_long不可识别；</v>
      </c>
      <c r="X71" s="40">
        <f>11</f>
        <v>11</v>
      </c>
      <c r="Y71" s="36" t="str">
        <f>IF('Sheet2-计算明细'!AX27="","",'Sheet2-计算明细'!AX27)</f>
        <v>套利策略</v>
      </c>
      <c r="Z71" s="36" t="str">
        <f>IF('Sheet2-计算明细'!AY27="","",'Sheet2-计算明细'!AY27)</f>
        <v>期货套利</v>
      </c>
      <c r="AA71" s="36" t="str">
        <f>IF('Sheet2-计算明细'!AW27="","",'Sheet2-计算明细'!AW27)</f>
        <v>暂定分／数据不完整</v>
      </c>
      <c r="AB71" s="40">
        <f>IF(ISNUMBER('Sheet2-计算明细'!A27),'Sheet2-计算明细'!A27,"")</f>
        <v>11</v>
      </c>
      <c r="AC71" t="str">
        <f>协会公示!E12</f>
        <v>5-10亿元</v>
      </c>
      <c r="AD71" t="str">
        <f>协会公示!F12</f>
        <v>大规模</v>
      </c>
      <c r="AE71" t="str">
        <f>协会公示!G12</f>
        <v>本次公示未见相关提示</v>
      </c>
      <c r="AF71" t="str">
        <f>协会公示!R12</f>
        <v>https://gs.amac.org.cn/amac-infodisc/res/pof/manager/2002211754119480.html</v>
      </c>
    </row>
    <row r="72" ht="44" customHeight="1" spans="1:32">
      <c r="A72" s="36">
        <f>IF(ISNUMBER('Sheet2-计算明细'!AT39),'Sheet2-计算明细'!AT39,"")</f>
        <v>67</v>
      </c>
      <c r="B72" s="36" t="str">
        <f>IF('Sheet2-计算明细'!B39="","",'Sheet2-计算明细'!B39)</f>
        <v>嘉和传承精研二期</v>
      </c>
      <c r="C72" s="36" t="str">
        <f>IF('Sheet2-计算明细'!C39="","",'Sheet2-计算明细'!C39)</f>
        <v>STD929</v>
      </c>
      <c r="D72" s="36" t="str">
        <f>IF('Sheet2-计算明细'!D39="","",'Sheet2-计算明细'!D39)</f>
        <v>上海嘉和传承</v>
      </c>
      <c r="E72" s="36" t="str">
        <f>IF('Sheet2-计算明细'!G39="","",'Sheet2-计算明细'!G39)</f>
        <v>入池</v>
      </c>
      <c r="F72" s="37">
        <f>IF(ISNUMBER('Sheet2-计算明细'!I39),'Sheet2-计算明细'!I39,"")</f>
        <v>70</v>
      </c>
      <c r="G72" s="37">
        <f>IF(ISNUMBER('Sheet2-计算明细'!K39),'Sheet2-计算明细'!K39,"")</f>
        <v>100</v>
      </c>
      <c r="H72" s="37">
        <f>IF(ISNUMBER('Sheet2-计算明细'!L39),'Sheet2-计算明细'!L39,"")</f>
        <v>100</v>
      </c>
      <c r="I72" s="37">
        <f>IF(ISNUMBER('Sheet2-计算明细'!S39),'Sheet2-计算明细'!S39,"")</f>
        <v>64.17</v>
      </c>
      <c r="J72" s="37">
        <f>IF(ISNUMBER('Sheet2-计算明细'!Y39),'Sheet2-计算明细'!Y39,"")</f>
        <v>57.31</v>
      </c>
      <c r="K72" s="37">
        <f>IF(ISNUMBER('Sheet2-计算明细'!AC39),'Sheet2-计算明细'!AC39,"")</f>
        <v>8.11</v>
      </c>
      <c r="L72" s="37">
        <f>IF(ISNUMBER('Sheet2-计算明细'!AI39),'Sheet2-计算明细'!AI39,"")</f>
        <v>7.04</v>
      </c>
      <c r="M72" s="37">
        <f>IF(ISNUMBER('Sheet2-计算明细'!AK39),'Sheet2-计算明细'!AK39,"")</f>
        <v>80</v>
      </c>
      <c r="N72" s="37">
        <f>IF(ISNUMBER('Sheet2-计算明细'!AL39),'Sheet2-计算明细'!AL39,"")</f>
        <v>88</v>
      </c>
      <c r="O72" s="37">
        <f>IF(ISNUMBER('Sheet2-计算明细'!AM39),'Sheet2-计算明细'!AM39,"")</f>
        <v>62.11</v>
      </c>
      <c r="P72" s="37">
        <f>IF(ISNUMBER('Sheet2-计算明细'!AN39),'Sheet2-计算明细'!AN39,"")</f>
        <v>8.11</v>
      </c>
      <c r="Q72" s="37">
        <f>IF(ISNUMBER('Sheet2-计算明细'!AO39),'Sheet2-计算明细'!AO39,"")</f>
        <v>7.04</v>
      </c>
      <c r="R72" s="37">
        <f>IF(ISNUMBER('Sheet2-计算明细'!AP39),'Sheet2-计算明细'!AP39,"")</f>
        <v>80</v>
      </c>
      <c r="S72" s="38">
        <f>IF(ISNUMBER('Sheet2-计算明细'!AQ39),'Sheet2-计算明细'!AQ39,"")</f>
        <v>0.88</v>
      </c>
      <c r="T72" s="37">
        <f>IF(ISNUMBER('Sheet2-计算明细'!AR39),'Sheet2-计算明细'!AR39,"")</f>
        <v>36.91651</v>
      </c>
      <c r="U72" s="37">
        <f>IF(ISNUMBER('Sheet2-计算明细'!AS39),'Sheet2-计算明细'!AS39,"")</f>
        <v>41.95</v>
      </c>
      <c r="V72" s="37" t="str">
        <f>IF(ISNUMBER('Sheet2-计算明细'!AV39),'Sheet2-计算明细'!AV39,"")</f>
        <v/>
      </c>
      <c r="W72" s="39" t="str">
        <f>IF('Sheet2-计算明细'!AU39="","",'Sheet2-计算明细'!AU39)</f>
        <v>DD_long不可识别；</v>
      </c>
      <c r="X72" s="40">
        <f>23</f>
        <v>23</v>
      </c>
      <c r="Y72" s="36" t="str">
        <f>IF('Sheet2-计算明细'!AX39="","",'Sheet2-计算明细'!AX39)</f>
        <v>套利策略</v>
      </c>
      <c r="Z72" s="36" t="str">
        <f>IF('Sheet2-计算明细'!AY39="","",'Sheet2-计算明细'!AY39)</f>
        <v>期货套利</v>
      </c>
      <c r="AA72" s="36" t="str">
        <f>IF('Sheet2-计算明细'!AW39="","",'Sheet2-计算明细'!AW39)</f>
        <v>暂定分／数据不完整</v>
      </c>
      <c r="AB72" s="40">
        <f>IF(ISNUMBER('Sheet2-计算明细'!A39),'Sheet2-计算明细'!A39,"")</f>
        <v>23</v>
      </c>
      <c r="AC72" t="str">
        <f>协会公示!E24</f>
        <v>5-10亿元</v>
      </c>
      <c r="AD72" t="str">
        <f>协会公示!F24</f>
        <v>大规模</v>
      </c>
      <c r="AE72" t="str">
        <f>协会公示!G24</f>
        <v>本次公示未见相关提示</v>
      </c>
      <c r="AF72" t="str">
        <f>协会公示!R24</f>
        <v>https://gs.amac.org.cn/amac-infodisc/res/pof/manager/2203031405108672.html</v>
      </c>
    </row>
    <row r="73" ht="44" customHeight="1" spans="1:32">
      <c r="A73" s="36">
        <f>IF(ISNUMBER('Sheet2-计算明细'!AT88),'Sheet2-计算明细'!AT88,"")</f>
        <v>68</v>
      </c>
      <c r="B73" s="36" t="str">
        <f>IF('Sheet2-计算明细'!B88="","",'Sheet2-计算明细'!B88)</f>
        <v>涌涵农本一号</v>
      </c>
      <c r="C73" s="36" t="str">
        <f>IF('Sheet2-计算明细'!C88="","",'Sheet2-计算明细'!C88)</f>
        <v>SAWA30</v>
      </c>
      <c r="D73" s="36" t="str">
        <f>IF('Sheet2-计算明细'!D88="","",'Sheet2-计算明细'!D88)</f>
        <v>上海涌涵</v>
      </c>
      <c r="E73" s="36" t="str">
        <f>IF('Sheet2-计算明细'!G88="","",'Sheet2-计算明细'!G88)</f>
        <v>入池</v>
      </c>
      <c r="F73" s="37">
        <f>IF(ISNUMBER('Sheet2-计算明细'!I88),'Sheet2-计算明细'!I88,"")</f>
        <v>80</v>
      </c>
      <c r="G73" s="37">
        <f>IF(ISNUMBER('Sheet2-计算明细'!K88),'Sheet2-计算明细'!K88,"")</f>
        <v>100</v>
      </c>
      <c r="H73" s="37">
        <f>IF(ISNUMBER('Sheet2-计算明细'!L88),'Sheet2-计算明细'!L88,"")</f>
        <v>70</v>
      </c>
      <c r="I73" s="37">
        <f>IF(ISNUMBER('Sheet2-计算明细'!S88),'Sheet2-计算明细'!S88,"")</f>
        <v>54.17</v>
      </c>
      <c r="J73" s="37">
        <f>IF(ISNUMBER('Sheet2-计算明细'!Y88),'Sheet2-计算明细'!Y88,"")</f>
        <v>67.69</v>
      </c>
      <c r="K73" s="37">
        <f>IF(ISNUMBER('Sheet2-计算明细'!AC88),'Sheet2-计算明细'!AC88,"")</f>
        <v>1.35</v>
      </c>
      <c r="L73" s="37">
        <f>IF(ISNUMBER('Sheet2-计算明细'!AI88),'Sheet2-计算明细'!AI88,"")</f>
        <v>8.45</v>
      </c>
      <c r="M73" s="37">
        <f>IF(ISNUMBER('Sheet2-计算明细'!AK88),'Sheet2-计算明细'!AK88,"")</f>
        <v>100</v>
      </c>
      <c r="N73" s="37">
        <f>IF(ISNUMBER('Sheet2-计算明细'!AL88),'Sheet2-计算明细'!AL88,"")</f>
        <v>83</v>
      </c>
      <c r="O73" s="37">
        <f>IF(ISNUMBER('Sheet2-计算明细'!AM88),'Sheet2-计算明细'!AM88,"")</f>
        <v>58.22</v>
      </c>
      <c r="P73" s="37">
        <f>IF(ISNUMBER('Sheet2-计算明细'!AN88),'Sheet2-计算明细'!AN88,"")</f>
        <v>1.35</v>
      </c>
      <c r="Q73" s="37">
        <f>IF(ISNUMBER('Sheet2-计算明细'!AO88),'Sheet2-计算明细'!AO88,"")</f>
        <v>8.45</v>
      </c>
      <c r="R73" s="37">
        <f>IF(ISNUMBER('Sheet2-计算明细'!AP88),'Sheet2-计算明细'!AP88,"")</f>
        <v>100</v>
      </c>
      <c r="S73" s="38">
        <f>IF(ISNUMBER('Sheet2-计算明细'!AQ88),'Sheet2-计算明细'!AQ88,"")</f>
        <v>0.88</v>
      </c>
      <c r="T73" s="37">
        <f>IF(ISNUMBER('Sheet2-计算明细'!AR88),'Sheet2-计算明细'!AR88,"")</f>
        <v>35.95342</v>
      </c>
      <c r="U73" s="37">
        <f>IF(ISNUMBER('Sheet2-计算明细'!AS88),'Sheet2-计算明细'!AS88,"")</f>
        <v>40.86</v>
      </c>
      <c r="V73" s="37" t="str">
        <f>IF(ISNUMBER('Sheet2-计算明细'!AV88),'Sheet2-计算明细'!AV88,"")</f>
        <v/>
      </c>
      <c r="W73" s="39" t="str">
        <f>IF('Sheet2-计算明细'!AU88="","",'Sheet2-计算明细'!AU88)</f>
        <v>近三年收益；近三年胜率；近三年回撤；DD_long不可识别；</v>
      </c>
      <c r="X73" s="40">
        <f>72</f>
        <v>72</v>
      </c>
      <c r="Y73" s="36" t="str">
        <f>IF('Sheet2-计算明细'!AX88="","",'Sheet2-计算明细'!AX88)</f>
        <v>套利策略</v>
      </c>
      <c r="Z73" s="36" t="str">
        <f>IF('Sheet2-计算明细'!AY88="","",'Sheet2-计算明细'!AY88)</f>
        <v/>
      </c>
      <c r="AA73" s="36" t="str">
        <f>IF('Sheet2-计算明细'!AW88="","",'Sheet2-计算明细'!AW88)</f>
        <v>暂定分／数据不完整</v>
      </c>
      <c r="AB73" s="40">
        <f>IF(ISNUMBER('Sheet2-计算明细'!A88),'Sheet2-计算明细'!A88,"")</f>
        <v>72</v>
      </c>
      <c r="AC73" t="str">
        <f>协会公示!E73</f>
        <v>10-20亿元</v>
      </c>
      <c r="AD73" t="str">
        <f>协会公示!F73</f>
        <v>大规模</v>
      </c>
      <c r="AE73" t="str">
        <f>协会公示!G73</f>
        <v>本次公示未见相关提示</v>
      </c>
      <c r="AF73" t="str">
        <f>协会公示!R73</f>
        <v>https://gs.amac.org.cn/amac-infodisc/res/pof/manager/2108301436104889.html</v>
      </c>
    </row>
    <row r="74" ht="44" customHeight="1" spans="1:32">
      <c r="A74" s="36">
        <f>IF(ISNUMBER('Sheet2-计算明细'!AT73),'Sheet2-计算明细'!AT73,"")</f>
        <v>69</v>
      </c>
      <c r="B74" s="36" t="str">
        <f>IF('Sheet2-计算明细'!B73="","",'Sheet2-计算明细'!B73)</f>
        <v>盛冠达试金石3号</v>
      </c>
      <c r="C74" s="36" t="str">
        <f>IF('Sheet2-计算明细'!C73="","",'Sheet2-计算明细'!C73)</f>
        <v>SW1709</v>
      </c>
      <c r="D74" s="36" t="str">
        <f>IF('Sheet2-计算明细'!D73="","",'Sheet2-计算明细'!D73)</f>
        <v>海南盛冠达</v>
      </c>
      <c r="E74" s="36" t="str">
        <f>IF('Sheet2-计算明细'!G73="","",'Sheet2-计算明细'!G73)</f>
        <v>入池</v>
      </c>
      <c r="F74" s="37">
        <f>IF(ISNUMBER('Sheet2-计算明细'!I73),'Sheet2-计算明细'!I73,"")</f>
        <v>90</v>
      </c>
      <c r="G74" s="37">
        <f>IF(ISNUMBER('Sheet2-计算明细'!K73),'Sheet2-计算明细'!K73,"")</f>
        <v>100</v>
      </c>
      <c r="H74" s="37">
        <f>IF(ISNUMBER('Sheet2-计算明细'!L73),'Sheet2-计算明细'!L73,"")</f>
        <v>100</v>
      </c>
      <c r="I74" s="37">
        <f>IF(ISNUMBER('Sheet2-计算明细'!S73),'Sheet2-计算明细'!S73,"")</f>
        <v>19.77</v>
      </c>
      <c r="J74" s="37">
        <f>IF(ISNUMBER('Sheet2-计算明细'!Y73),'Sheet2-计算明细'!Y73,"")</f>
        <v>68.21</v>
      </c>
      <c r="K74" s="37">
        <f>IF(ISNUMBER('Sheet2-计算明细'!AC73),'Sheet2-计算明细'!AC73,"")</f>
        <v>28.38</v>
      </c>
      <c r="L74" s="37">
        <f>IF(ISNUMBER('Sheet2-计算明细'!AI73),'Sheet2-计算明细'!AI73,"")</f>
        <v>14.67</v>
      </c>
      <c r="M74" s="37">
        <f>IF(ISNUMBER('Sheet2-计算明细'!AK73),'Sheet2-计算明细'!AK73,"")</f>
        <v>80</v>
      </c>
      <c r="N74" s="37">
        <f>IF(ISNUMBER('Sheet2-计算明细'!AL73),'Sheet2-计算明细'!AL73,"")</f>
        <v>96</v>
      </c>
      <c r="O74" s="37">
        <f>IF(ISNUMBER('Sheet2-计算明细'!AM73),'Sheet2-计算明细'!AM73,"")</f>
        <v>34.3</v>
      </c>
      <c r="P74" s="37">
        <f>IF(ISNUMBER('Sheet2-计算明细'!AN73),'Sheet2-计算明细'!AN73,"")</f>
        <v>28.38</v>
      </c>
      <c r="Q74" s="37">
        <f>IF(ISNUMBER('Sheet2-计算明细'!AO73),'Sheet2-计算明细'!AO73,"")</f>
        <v>14.67</v>
      </c>
      <c r="R74" s="37">
        <f>IF(ISNUMBER('Sheet2-计算明细'!AP73),'Sheet2-计算明细'!AP73,"")</f>
        <v>80</v>
      </c>
      <c r="S74" s="38">
        <f>IF(ISNUMBER('Sheet2-计算明细'!AQ73),'Sheet2-计算明细'!AQ73,"")</f>
        <v>1</v>
      </c>
      <c r="T74" s="37">
        <f>IF(ISNUMBER('Sheet2-计算明细'!AR73),'Sheet2-计算明细'!AR73,"")</f>
        <v>40.75586</v>
      </c>
      <c r="U74" s="37">
        <f>IF(ISNUMBER('Sheet2-计算明细'!AS73),'Sheet2-计算明细'!AS73,"")</f>
        <v>40.76</v>
      </c>
      <c r="V74" s="37">
        <f>IF(ISNUMBER('Sheet2-计算明细'!AV73),'Sheet2-计算明细'!AV73,"")</f>
        <v>40.75586</v>
      </c>
      <c r="W74" s="39" t="str">
        <f>IF('Sheet2-计算明细'!AU73="","",'Sheet2-计算明细'!AU73)</f>
        <v/>
      </c>
      <c r="X74" s="40">
        <f>57</f>
        <v>57</v>
      </c>
      <c r="Y74" s="36" t="str">
        <f>IF('Sheet2-计算明细'!AX73="","",'Sheet2-计算明细'!AX73)</f>
        <v>套利策略</v>
      </c>
      <c r="Z74" s="36" t="str">
        <f>IF('Sheet2-计算明细'!AY73="","",'Sheet2-计算明细'!AY73)</f>
        <v>期货套利</v>
      </c>
      <c r="AA74" s="36" t="str">
        <f>IF('Sheet2-计算明细'!AW73="","",'Sheet2-计算明细'!AW73)</f>
        <v>完整赋分</v>
      </c>
      <c r="AB74" s="40">
        <f>IF(ISNUMBER('Sheet2-计算明细'!A73),'Sheet2-计算明细'!A73,"")</f>
        <v>57</v>
      </c>
      <c r="AC74" t="str">
        <f>协会公示!E58</f>
        <v>20-50亿元</v>
      </c>
      <c r="AD74" t="str">
        <f>协会公示!F58</f>
        <v>大规模</v>
      </c>
      <c r="AE74" t="str">
        <f>协会公示!G58</f>
        <v>本次公示未见相关提示</v>
      </c>
      <c r="AF74" t="str">
        <f>协会公示!R58</f>
        <v>https://gs.amac.org.cn/amac-infodisc/res/pof/manager/101000001663.html</v>
      </c>
    </row>
    <row r="75" ht="44" customHeight="1" spans="1:32">
      <c r="A75" s="36">
        <f>IF(ISNUMBER('Sheet2-计算明细'!AT82),'Sheet2-计算明细'!AT82,"")</f>
        <v>70</v>
      </c>
      <c r="B75" s="36" t="str">
        <f>IF('Sheet2-计算明细'!B82="","",'Sheet2-计算明细'!B82)</f>
        <v>系数CTA套利五号</v>
      </c>
      <c r="C75" s="36" t="str">
        <f>IF('Sheet2-计算明细'!C82="","",'Sheet2-计算明细'!C82)</f>
        <v>SXT086</v>
      </c>
      <c r="D75" s="36" t="str">
        <f>IF('Sheet2-计算明细'!D82="","",'Sheet2-计算明细'!D82)</f>
        <v>上海系数投资</v>
      </c>
      <c r="E75" s="36" t="str">
        <f>IF('Sheet2-计算明细'!G82="","",'Sheet2-计算明细'!G82)</f>
        <v>入池</v>
      </c>
      <c r="F75" s="37">
        <f>IF(ISNUMBER('Sheet2-计算明细'!I82),'Sheet2-计算明细'!I82,"")</f>
        <v>60</v>
      </c>
      <c r="G75" s="37">
        <f>IF(ISNUMBER('Sheet2-计算明细'!K82),'Sheet2-计算明细'!K82,"")</f>
        <v>100</v>
      </c>
      <c r="H75" s="37">
        <f>IF(ISNUMBER('Sheet2-计算明细'!L82),'Sheet2-计算明细'!L82,"")</f>
        <v>100</v>
      </c>
      <c r="I75" s="37">
        <f>IF(ISNUMBER('Sheet2-计算明细'!S82),'Sheet2-计算明细'!S82,"")</f>
        <v>36.44</v>
      </c>
      <c r="J75" s="37">
        <f>IF(ISNUMBER('Sheet2-计算明细'!Y82),'Sheet2-计算明细'!Y82,"")</f>
        <v>57.69</v>
      </c>
      <c r="K75" s="37">
        <f>IF(ISNUMBER('Sheet2-计算明细'!AC82),'Sheet2-计算明细'!AC82,"")</f>
        <v>21.62</v>
      </c>
      <c r="L75" s="37">
        <f>IF(ISNUMBER('Sheet2-计算明细'!AI82),'Sheet2-计算明细'!AI82,"")</f>
        <v>2.82</v>
      </c>
      <c r="M75" s="37">
        <f>IF(ISNUMBER('Sheet2-计算明细'!AK82),'Sheet2-计算明细'!AK82,"")</f>
        <v>80</v>
      </c>
      <c r="N75" s="37">
        <f>IF(ISNUMBER('Sheet2-计算明细'!AL82),'Sheet2-计算明细'!AL82,"")</f>
        <v>84</v>
      </c>
      <c r="O75" s="37">
        <f>IF(ISNUMBER('Sheet2-计算明细'!AM82),'Sheet2-计算明细'!AM82,"")</f>
        <v>42.82</v>
      </c>
      <c r="P75" s="37">
        <f>IF(ISNUMBER('Sheet2-计算明细'!AN82),'Sheet2-计算明细'!AN82,"")</f>
        <v>21.62</v>
      </c>
      <c r="Q75" s="37">
        <f>IF(ISNUMBER('Sheet2-计算明细'!AO82),'Sheet2-计算明细'!AO82,"")</f>
        <v>2.82</v>
      </c>
      <c r="R75" s="37">
        <f>IF(ISNUMBER('Sheet2-计算明细'!AP82),'Sheet2-计算明细'!AP82,"")</f>
        <v>80</v>
      </c>
      <c r="S75" s="38">
        <f>IF(ISNUMBER('Sheet2-计算明细'!AQ82),'Sheet2-计算明细'!AQ82,"")</f>
        <v>0.88</v>
      </c>
      <c r="T75" s="37">
        <f>IF(ISNUMBER('Sheet2-计算明细'!AR82),'Sheet2-计算明细'!AR82,"")</f>
        <v>35.0760184615385</v>
      </c>
      <c r="U75" s="37">
        <f>IF(ISNUMBER('Sheet2-计算明细'!AS82),'Sheet2-计算明细'!AS82,"")</f>
        <v>39.86</v>
      </c>
      <c r="V75" s="37" t="str">
        <f>IF(ISNUMBER('Sheet2-计算明细'!AV82),'Sheet2-计算明细'!AV82,"")</f>
        <v/>
      </c>
      <c r="W75" s="39" t="str">
        <f>IF('Sheet2-计算明细'!AU82="","",'Sheet2-计算明细'!AU82)</f>
        <v>DD_long不可识别；</v>
      </c>
      <c r="X75" s="40">
        <f>66</f>
        <v>66</v>
      </c>
      <c r="Y75" s="36" t="str">
        <f>IF('Sheet2-计算明细'!AX82="","",'Sheet2-计算明细'!AX82)</f>
        <v>套利策略</v>
      </c>
      <c r="Z75" s="36" t="str">
        <f>IF('Sheet2-计算明细'!AY82="","",'Sheet2-计算明细'!AY82)</f>
        <v>期货套利</v>
      </c>
      <c r="AA75" s="36" t="str">
        <f>IF('Sheet2-计算明细'!AW82="","",'Sheet2-计算明细'!AW82)</f>
        <v>暂定分／数据不完整</v>
      </c>
      <c r="AB75" s="40">
        <f>IF(ISNUMBER('Sheet2-计算明细'!A82),'Sheet2-计算明细'!A82,"")</f>
        <v>66</v>
      </c>
      <c r="AC75" t="str">
        <f>协会公示!E67</f>
        <v>0-5亿元</v>
      </c>
      <c r="AD75" t="str">
        <f>协会公示!F67</f>
        <v>小规模</v>
      </c>
      <c r="AE75" t="str">
        <f>协会公示!G67</f>
        <v>本次公示未见相关提示</v>
      </c>
      <c r="AF75" t="str">
        <f>协会公示!R67</f>
        <v>https://gs.amac.org.cn/amac-infodisc/res/pof/manager/101000000497.html</v>
      </c>
    </row>
    <row r="76" ht="44" customHeight="1" spans="1:32">
      <c r="A76" s="36">
        <f>IF(ISNUMBER('Sheet2-计算明细'!AT28),'Sheet2-计算明细'!AT28,"")</f>
        <v>71</v>
      </c>
      <c r="B76" s="36" t="str">
        <f>IF('Sheet2-计算明细'!B28="","",'Sheet2-计算明细'!B28)</f>
        <v>刀锋期权套利</v>
      </c>
      <c r="C76" s="36" t="str">
        <f>IF('Sheet2-计算明细'!C28="","",'Sheet2-计算明细'!C28)</f>
        <v>SGR366</v>
      </c>
      <c r="D76" s="36" t="str">
        <f>IF('Sheet2-计算明细'!D28="","",'Sheet2-计算明细'!D28)</f>
        <v>深圳刀锋</v>
      </c>
      <c r="E76" s="36" t="str">
        <f>IF('Sheet2-计算明细'!G28="","",'Sheet2-计算明细'!G28)</f>
        <v>入池</v>
      </c>
      <c r="F76" s="37">
        <f>IF(ISNUMBER('Sheet2-计算明细'!I28),'Sheet2-计算明细'!I28,"")</f>
        <v>60</v>
      </c>
      <c r="G76" s="37">
        <f>IF(ISNUMBER('Sheet2-计算明细'!K28),'Sheet2-计算明细'!K28,"")</f>
        <v>100</v>
      </c>
      <c r="H76" s="37">
        <f>IF(ISNUMBER('Sheet2-计算明细'!L28),'Sheet2-计算明细'!L28,"")</f>
        <v>100</v>
      </c>
      <c r="I76" s="37">
        <f>IF(ISNUMBER('Sheet2-计算明细'!S28),'Sheet2-计算明细'!S28,"")</f>
        <v>54.54</v>
      </c>
      <c r="J76" s="37">
        <f>IF(ISNUMBER('Sheet2-计算明细'!Y28),'Sheet2-计算明细'!Y28,"")</f>
        <v>82.44</v>
      </c>
      <c r="K76" s="37">
        <f>IF(ISNUMBER('Sheet2-计算明细'!AC28),'Sheet2-计算明细'!AC28,"")</f>
        <v>6.76</v>
      </c>
      <c r="L76" s="37">
        <f>IF(ISNUMBER('Sheet2-计算明细'!AI28),'Sheet2-计算明细'!AI28,"")</f>
        <v>13.49</v>
      </c>
      <c r="M76" s="37">
        <f>IF(ISNUMBER('Sheet2-计算明细'!AK28),'Sheet2-计算明细'!AK28,"")</f>
        <v>80</v>
      </c>
      <c r="N76" s="37">
        <f>IF(ISNUMBER('Sheet2-计算明细'!AL28),'Sheet2-计算明细'!AL28,"")</f>
        <v>84</v>
      </c>
      <c r="O76" s="37">
        <f>IF(ISNUMBER('Sheet2-计算明细'!AM28),'Sheet2-计算明细'!AM28,"")</f>
        <v>62.91</v>
      </c>
      <c r="P76" s="37">
        <f>IF(ISNUMBER('Sheet2-计算明细'!AN28),'Sheet2-计算明细'!AN28,"")</f>
        <v>6.76</v>
      </c>
      <c r="Q76" s="37">
        <f>IF(ISNUMBER('Sheet2-计算明细'!AO28),'Sheet2-计算明细'!AO28,"")</f>
        <v>13.49</v>
      </c>
      <c r="R76" s="37">
        <f>IF(ISNUMBER('Sheet2-计算明细'!AP28),'Sheet2-计算明细'!AP28,"")</f>
        <v>80</v>
      </c>
      <c r="S76" s="38">
        <f>IF(ISNUMBER('Sheet2-计算明细'!AQ28),'Sheet2-计算明细'!AQ28,"")</f>
        <v>1</v>
      </c>
      <c r="T76" s="37">
        <f>IF(ISNUMBER('Sheet2-计算明细'!AR28),'Sheet2-计算明细'!AR28,"")</f>
        <v>38.91818</v>
      </c>
      <c r="U76" s="37">
        <f>IF(ISNUMBER('Sheet2-计算明细'!AS28),'Sheet2-计算明细'!AS28,"")</f>
        <v>38.92</v>
      </c>
      <c r="V76" s="37">
        <f>IF(ISNUMBER('Sheet2-计算明细'!AV28),'Sheet2-计算明细'!AV28,"")</f>
        <v>38.91818</v>
      </c>
      <c r="W76" s="39" t="str">
        <f>IF('Sheet2-计算明细'!AU28="","",'Sheet2-计算明细'!AU28)</f>
        <v/>
      </c>
      <c r="X76" s="40">
        <f>12</f>
        <v>12</v>
      </c>
      <c r="Y76" s="36" t="str">
        <f>IF('Sheet2-计算明细'!AX28="","",'Sheet2-计算明细'!AX28)</f>
        <v>期权策略</v>
      </c>
      <c r="Z76" s="36" t="str">
        <f>IF('Sheet2-计算明细'!AY28="","",'Sheet2-计算明细'!AY28)</f>
        <v>场内期权</v>
      </c>
      <c r="AA76" s="36" t="str">
        <f>IF('Sheet2-计算明细'!AW28="","",'Sheet2-计算明细'!AW28)</f>
        <v>完整赋分</v>
      </c>
      <c r="AB76" s="40">
        <f>IF(ISNUMBER('Sheet2-计算明细'!A28),'Sheet2-计算明细'!A28,"")</f>
        <v>12</v>
      </c>
      <c r="AC76" t="str">
        <f>协会公示!E13</f>
        <v>0-5亿元</v>
      </c>
      <c r="AD76" t="str">
        <f>协会公示!F13</f>
        <v>小规模</v>
      </c>
      <c r="AE76" t="str">
        <f>协会公示!G13</f>
        <v>本次公示未见相关提示</v>
      </c>
      <c r="AF76" t="str">
        <f>协会公示!R13</f>
        <v>https://gs.amac.org.cn/amac-infodisc/res/pof/manager/101000037574.html</v>
      </c>
    </row>
    <row r="77" ht="44" customHeight="1" spans="1:32">
      <c r="A77" s="36">
        <f>IF(ISNUMBER('Sheet2-计算明细'!AT70),'Sheet2-计算明细'!AT70,"")</f>
        <v>72</v>
      </c>
      <c r="B77" s="36" t="str">
        <f>IF('Sheet2-计算明细'!B70="","",'Sheet2-计算明细'!B70)</f>
        <v>尚湖期权套利安享1号</v>
      </c>
      <c r="C77" s="36" t="str">
        <f>IF('Sheet2-计算明细'!C70="","",'Sheet2-计算明细'!C70)</f>
        <v>SXZ850</v>
      </c>
      <c r="D77" s="36" t="str">
        <f>IF('Sheet2-计算明细'!D70="","",'Sheet2-计算明细'!D70)</f>
        <v>上海尚湖</v>
      </c>
      <c r="E77" s="36" t="str">
        <f>IF('Sheet2-计算明细'!G70="","",'Sheet2-计算明细'!G70)</f>
        <v>入池</v>
      </c>
      <c r="F77" s="37">
        <f>IF(ISNUMBER('Sheet2-计算明细'!I70),'Sheet2-计算明细'!I70,"")</f>
        <v>70</v>
      </c>
      <c r="G77" s="37">
        <f>IF(ISNUMBER('Sheet2-计算明细'!K70),'Sheet2-计算明细'!K70,"")</f>
        <v>100</v>
      </c>
      <c r="H77" s="37">
        <f>IF(ISNUMBER('Sheet2-计算明细'!L70),'Sheet2-计算明细'!L70,"")</f>
        <v>100</v>
      </c>
      <c r="I77" s="37">
        <f>IF(ISNUMBER('Sheet2-计算明细'!S70),'Sheet2-计算明细'!S70,"")</f>
        <v>21.82</v>
      </c>
      <c r="J77" s="37">
        <f>IF(ISNUMBER('Sheet2-计算明细'!Y70),'Sheet2-计算明细'!Y70,"")</f>
        <v>81.15</v>
      </c>
      <c r="K77" s="37">
        <f>IF(ISNUMBER('Sheet2-计算明细'!AC70),'Sheet2-计算明细'!AC70,"")</f>
        <v>18.92</v>
      </c>
      <c r="L77" s="37">
        <f>IF(ISNUMBER('Sheet2-计算明细'!AI70),'Sheet2-计算明细'!AI70,"")</f>
        <v>16.83</v>
      </c>
      <c r="M77" s="37">
        <f>IF(ISNUMBER('Sheet2-计算明细'!AK70),'Sheet2-计算明细'!AK70,"")</f>
        <v>80</v>
      </c>
      <c r="N77" s="37">
        <f>IF(ISNUMBER('Sheet2-计算明细'!AL70),'Sheet2-计算明细'!AL70,"")</f>
        <v>88</v>
      </c>
      <c r="O77" s="37">
        <f>IF(ISNUMBER('Sheet2-计算明细'!AM70),'Sheet2-计算明细'!AM70,"")</f>
        <v>39.62</v>
      </c>
      <c r="P77" s="37">
        <f>IF(ISNUMBER('Sheet2-计算明细'!AN70),'Sheet2-计算明细'!AN70,"")</f>
        <v>18.92</v>
      </c>
      <c r="Q77" s="37">
        <f>IF(ISNUMBER('Sheet2-计算明细'!AO70),'Sheet2-计算明细'!AO70,"")</f>
        <v>16.83</v>
      </c>
      <c r="R77" s="37">
        <f>IF(ISNUMBER('Sheet2-计算明细'!AP70),'Sheet2-计算明细'!AP70,"")</f>
        <v>80</v>
      </c>
      <c r="S77" s="38">
        <f>IF(ISNUMBER('Sheet2-计算明细'!AQ70),'Sheet2-计算明细'!AQ70,"")</f>
        <v>1</v>
      </c>
      <c r="T77" s="37">
        <f>IF(ISNUMBER('Sheet2-计算明细'!AR70),'Sheet2-计算明细'!AR70,"")</f>
        <v>38.90314</v>
      </c>
      <c r="U77" s="37">
        <f>IF(ISNUMBER('Sheet2-计算明细'!AS70),'Sheet2-计算明细'!AS70,"")</f>
        <v>38.9</v>
      </c>
      <c r="V77" s="37">
        <f>IF(ISNUMBER('Sheet2-计算明细'!AV70),'Sheet2-计算明细'!AV70,"")</f>
        <v>38.90314</v>
      </c>
      <c r="W77" s="39" t="str">
        <f>IF('Sheet2-计算明细'!AU70="","",'Sheet2-计算明细'!AU70)</f>
        <v/>
      </c>
      <c r="X77" s="40">
        <f>54</f>
        <v>54</v>
      </c>
      <c r="Y77" s="36" t="str">
        <f>IF('Sheet2-计算明细'!AX70="","",'Sheet2-计算明细'!AX70)</f>
        <v>期权策略</v>
      </c>
      <c r="Z77" s="36" t="str">
        <f>IF('Sheet2-计算明细'!AY70="","",'Sheet2-计算明细'!AY70)</f>
        <v>场内期权</v>
      </c>
      <c r="AA77" s="36" t="str">
        <f>IF('Sheet2-计算明细'!AW70="","",'Sheet2-计算明细'!AW70)</f>
        <v>完整赋分</v>
      </c>
      <c r="AB77" s="40">
        <f>IF(ISNUMBER('Sheet2-计算明细'!A70),'Sheet2-计算明细'!A70,"")</f>
        <v>54</v>
      </c>
      <c r="AC77" t="str">
        <f>协会公示!E55</f>
        <v>5-10亿元</v>
      </c>
      <c r="AD77" t="str">
        <f>协会公示!F55</f>
        <v>大规模</v>
      </c>
      <c r="AE77" t="str">
        <f>协会公示!G55</f>
        <v>本次公示未见相关提示</v>
      </c>
      <c r="AF77" t="str">
        <f>协会公示!R55</f>
        <v>https://gs.amac.org.cn/amac-infodisc/res/pof/manager/101000036458.html</v>
      </c>
    </row>
    <row r="78" ht="44" customHeight="1" spans="1:32">
      <c r="A78" s="36">
        <f>IF(ISNUMBER('Sheet2-计算明细'!AT95),'Sheet2-计算明细'!AT95,"")</f>
        <v>73</v>
      </c>
      <c r="B78" s="36" t="str">
        <f>IF('Sheet2-计算明细'!B95="","",'Sheet2-计算明细'!B95)</f>
        <v>致远投资昆仑1号</v>
      </c>
      <c r="C78" s="36" t="str">
        <f>IF('Sheet2-计算明细'!C95="","",'Sheet2-计算明细'!C95)</f>
        <v>SSD863</v>
      </c>
      <c r="D78" s="36" t="str">
        <f>IF('Sheet2-计算明细'!D95="","",'Sheet2-计算明细'!D95)</f>
        <v>广州致远</v>
      </c>
      <c r="E78" s="36" t="str">
        <f>IF('Sheet2-计算明细'!G95="","",'Sheet2-计算明细'!G95)</f>
        <v>入池</v>
      </c>
      <c r="F78" s="37">
        <f>IF(ISNUMBER('Sheet2-计算明细'!I95),'Sheet2-计算明细'!I95,"")</f>
        <v>90</v>
      </c>
      <c r="G78" s="37">
        <f>IF(ISNUMBER('Sheet2-计算明细'!K95),'Sheet2-计算明细'!K95,"")</f>
        <v>100</v>
      </c>
      <c r="H78" s="37">
        <f>IF(ISNUMBER('Sheet2-计算明细'!L95),'Sheet2-计算明细'!L95,"")</f>
        <v>100</v>
      </c>
      <c r="I78" s="37">
        <f>IF(ISNUMBER('Sheet2-计算明细'!S95),'Sheet2-计算明细'!S95,"")</f>
        <v>19.24</v>
      </c>
      <c r="J78" s="37">
        <f>IF(ISNUMBER('Sheet2-计算明细'!Y95),'Sheet2-计算明细'!Y95,"")</f>
        <v>56.02</v>
      </c>
      <c r="K78" s="37">
        <f>IF(ISNUMBER('Sheet2-计算明细'!AC95),'Sheet2-计算明细'!AC95,"")</f>
        <v>24.32</v>
      </c>
      <c r="L78" s="37">
        <f>IF(ISNUMBER('Sheet2-计算明细'!AI95),'Sheet2-计算明细'!AI95,"")</f>
        <v>14.26</v>
      </c>
      <c r="M78" s="37">
        <f>IF(ISNUMBER('Sheet2-计算明细'!AK95),'Sheet2-计算明细'!AK95,"")</f>
        <v>80</v>
      </c>
      <c r="N78" s="37">
        <f>IF(ISNUMBER('Sheet2-计算明细'!AL95),'Sheet2-计算明细'!AL95,"")</f>
        <v>96</v>
      </c>
      <c r="O78" s="37">
        <f>IF(ISNUMBER('Sheet2-计算明细'!AM95),'Sheet2-计算明细'!AM95,"")</f>
        <v>30.28</v>
      </c>
      <c r="P78" s="37">
        <f>IF(ISNUMBER('Sheet2-计算明细'!AN95),'Sheet2-计算明细'!AN95,"")</f>
        <v>24.32</v>
      </c>
      <c r="Q78" s="37">
        <f>IF(ISNUMBER('Sheet2-计算明细'!AO95),'Sheet2-计算明细'!AO95,"")</f>
        <v>14.26</v>
      </c>
      <c r="R78" s="37">
        <f>IF(ISNUMBER('Sheet2-计算明细'!AP95),'Sheet2-计算明细'!AP95,"")</f>
        <v>80</v>
      </c>
      <c r="S78" s="38">
        <f>IF(ISNUMBER('Sheet2-计算明细'!AQ95),'Sheet2-计算明细'!AQ95,"")</f>
        <v>1</v>
      </c>
      <c r="T78" s="37">
        <f>IF(ISNUMBER('Sheet2-计算明细'!AR95),'Sheet2-计算明细'!AR95,"")</f>
        <v>38.81385</v>
      </c>
      <c r="U78" s="37">
        <f>IF(ISNUMBER('Sheet2-计算明细'!AS95),'Sheet2-计算明细'!AS95,"")</f>
        <v>38.81</v>
      </c>
      <c r="V78" s="37">
        <f>IF(ISNUMBER('Sheet2-计算明细'!AV95),'Sheet2-计算明细'!AV95,"")</f>
        <v>38.81385</v>
      </c>
      <c r="W78" s="39" t="str">
        <f>IF('Sheet2-计算明细'!AU95="","",'Sheet2-计算明细'!AU95)</f>
        <v/>
      </c>
      <c r="X78" s="40">
        <f>79</f>
        <v>79</v>
      </c>
      <c r="Y78" s="36" t="str">
        <f>IF('Sheet2-计算明细'!AX95="","",'Sheet2-计算明细'!AX95)</f>
        <v>期权策略</v>
      </c>
      <c r="Z78" s="36" t="str">
        <f>IF('Sheet2-计算明细'!AY95="","",'Sheet2-计算明细'!AY95)</f>
        <v>场内期权</v>
      </c>
      <c r="AA78" s="36" t="str">
        <f>IF('Sheet2-计算明细'!AW95="","",'Sheet2-计算明细'!AW95)</f>
        <v>完整赋分</v>
      </c>
      <c r="AB78" s="40">
        <f>IF(ISNUMBER('Sheet2-计算明细'!A95),'Sheet2-计算明细'!A95,"")</f>
        <v>79</v>
      </c>
      <c r="AC78" t="str">
        <f>协会公示!E80</f>
        <v>20-50亿元</v>
      </c>
      <c r="AD78" t="str">
        <f>协会公示!F80</f>
        <v>大规模</v>
      </c>
      <c r="AE78" t="str">
        <f>协会公示!G80</f>
        <v>本次公示未见相关提示</v>
      </c>
      <c r="AF78" t="str">
        <f>协会公示!R80</f>
        <v>https://gs.amac.org.cn/amac-infodisc/res/pof/manager/2011301812106408.html</v>
      </c>
    </row>
    <row r="79" ht="44" customHeight="1" spans="1:32">
      <c r="A79" s="36">
        <f>IF(ISNUMBER('Sheet2-计算明细'!AT19),'Sheet2-计算明细'!AT19,"")</f>
        <v>74</v>
      </c>
      <c r="B79" s="36" t="str">
        <f>IF('Sheet2-计算明细'!B19="","",'Sheet2-计算明细'!B19)</f>
        <v>博牛转债策略2号</v>
      </c>
      <c r="C79" s="36" t="str">
        <f>IF('Sheet2-计算明细'!C19="","",'Sheet2-计算明细'!C19)</f>
        <v>SVY871</v>
      </c>
      <c r="D79" s="36" t="str">
        <f>IF('Sheet2-计算明细'!D19="","",'Sheet2-计算明细'!D19)</f>
        <v>广州博牛</v>
      </c>
      <c r="E79" s="36" t="str">
        <f>IF('Sheet2-计算明细'!G19="","",'Sheet2-计算明细'!G19)</f>
        <v>入池</v>
      </c>
      <c r="F79" s="37">
        <f>IF(ISNUMBER('Sheet2-计算明细'!I19),'Sheet2-计算明细'!I19,"")</f>
        <v>70</v>
      </c>
      <c r="G79" s="37">
        <f>IF(ISNUMBER('Sheet2-计算明细'!K19),'Sheet2-计算明细'!K19,"")</f>
        <v>100</v>
      </c>
      <c r="H79" s="37">
        <f>IF(ISNUMBER('Sheet2-计算明细'!L19),'Sheet2-计算明细'!L19,"")</f>
        <v>100</v>
      </c>
      <c r="I79" s="37">
        <f>IF(ISNUMBER('Sheet2-计算明细'!S19),'Sheet2-计算明细'!S19,"")</f>
        <v>18.41</v>
      </c>
      <c r="J79" s="37">
        <f>IF(ISNUMBER('Sheet2-计算明细'!Y19),'Sheet2-计算明细'!Y19,"")</f>
        <v>48.46</v>
      </c>
      <c r="K79" s="37">
        <f>IF(ISNUMBER('Sheet2-计算明细'!AC19),'Sheet2-计算明细'!AC19,"")</f>
        <v>20.27</v>
      </c>
      <c r="L79" s="37">
        <f>IF(ISNUMBER('Sheet2-计算明细'!AI19),'Sheet2-计算明细'!AI19,"")</f>
        <v>10.85</v>
      </c>
      <c r="M79" s="37">
        <f>IF(ISNUMBER('Sheet2-计算明细'!AK19),'Sheet2-计算明细'!AK19,"")</f>
        <v>80</v>
      </c>
      <c r="N79" s="37">
        <f>IF(ISNUMBER('Sheet2-计算明细'!AL19),'Sheet2-计算明细'!AL19,"")</f>
        <v>88</v>
      </c>
      <c r="O79" s="37">
        <f>IF(ISNUMBER('Sheet2-计算明细'!AM19),'Sheet2-计算明细'!AM19,"")</f>
        <v>27.43</v>
      </c>
      <c r="P79" s="37">
        <f>IF(ISNUMBER('Sheet2-计算明细'!AN19),'Sheet2-计算明细'!AN19,"")</f>
        <v>20.27</v>
      </c>
      <c r="Q79" s="37">
        <f>IF(ISNUMBER('Sheet2-计算明细'!AO19),'Sheet2-计算明细'!AO19,"")</f>
        <v>10.85</v>
      </c>
      <c r="R79" s="37">
        <f>IF(ISNUMBER('Sheet2-计算明细'!AP19),'Sheet2-计算明细'!AP19,"")</f>
        <v>80</v>
      </c>
      <c r="S79" s="38">
        <f>IF(ISNUMBER('Sheet2-计算明细'!AQ19),'Sheet2-计算明细'!AQ19,"")</f>
        <v>1</v>
      </c>
      <c r="T79" s="37">
        <f>IF(ISNUMBER('Sheet2-计算明细'!AR19),'Sheet2-计算明细'!AR19,"")</f>
        <v>35.00643</v>
      </c>
      <c r="U79" s="37">
        <f>IF(ISNUMBER('Sheet2-计算明细'!AS19),'Sheet2-计算明细'!AS19,"")</f>
        <v>35.01</v>
      </c>
      <c r="V79" s="37">
        <f>IF(ISNUMBER('Sheet2-计算明细'!AV19),'Sheet2-计算明细'!AV19,"")</f>
        <v>35.00643</v>
      </c>
      <c r="W79" s="39" t="str">
        <f>IF('Sheet2-计算明细'!AU19="","",'Sheet2-计算明细'!AU19)</f>
        <v/>
      </c>
      <c r="X79" s="40">
        <f>3</f>
        <v>3</v>
      </c>
      <c r="Y79" s="36" t="str">
        <f>IF('Sheet2-计算明细'!AX19="","",'Sheet2-计算明细'!AX19)</f>
        <v>套利策略</v>
      </c>
      <c r="Z79" s="36" t="str">
        <f>IF('Sheet2-计算明细'!AY19="","",'Sheet2-计算明细'!AY19)</f>
        <v>可转债套利</v>
      </c>
      <c r="AA79" s="36" t="str">
        <f>IF('Sheet2-计算明细'!AW19="","",'Sheet2-计算明细'!AW19)</f>
        <v>完整赋分</v>
      </c>
      <c r="AB79" s="40">
        <f>IF(ISNUMBER('Sheet2-计算明细'!A19),'Sheet2-计算明细'!A19,"")</f>
        <v>3</v>
      </c>
      <c r="AC79" t="str">
        <f>协会公示!E4</f>
        <v>5-10亿元</v>
      </c>
      <c r="AD79" t="str">
        <f>协会公示!F4</f>
        <v>大规模</v>
      </c>
      <c r="AE79" t="str">
        <f>协会公示!G4</f>
        <v>协会提示／已整改异常</v>
      </c>
      <c r="AF79" t="str">
        <f>协会公示!R4</f>
        <v>https://gs.amac.org.cn/amac-infodisc/res/pof/manager/1801020956105866.html</v>
      </c>
    </row>
    <row r="80" ht="44" customHeight="1" spans="1:32">
      <c r="A80" s="36">
        <f>IF(ISNUMBER('Sheet2-计算明细'!AT81),'Sheet2-计算明细'!AT81,"")</f>
        <v>75</v>
      </c>
      <c r="B80" s="36" t="str">
        <f>IF('Sheet2-计算明细'!B81="","",'Sheet2-计算明细'!B81)</f>
        <v>唐龙量化对冲99号</v>
      </c>
      <c r="C80" s="36" t="str">
        <f>IF('Sheet2-计算明细'!C81="","",'Sheet2-计算明细'!C81)</f>
        <v>SJQ683</v>
      </c>
      <c r="D80" s="36" t="str">
        <f>IF('Sheet2-计算明细'!D81="","",'Sheet2-计算明细'!D81)</f>
        <v>福建平潭唐龙资管</v>
      </c>
      <c r="E80" s="36" t="str">
        <f>IF('Sheet2-计算明细'!G81="","",'Sheet2-计算明细'!G81)</f>
        <v>入池</v>
      </c>
      <c r="F80" s="37">
        <f>IF(ISNUMBER('Sheet2-计算明细'!I81),'Sheet2-计算明细'!I81,"")</f>
        <v>70</v>
      </c>
      <c r="G80" s="37">
        <f>IF(ISNUMBER('Sheet2-计算明细'!K81),'Sheet2-计算明细'!K81,"")</f>
        <v>100</v>
      </c>
      <c r="H80" s="37">
        <f>IF(ISNUMBER('Sheet2-计算明细'!L81),'Sheet2-计算明细'!L81,"")</f>
        <v>100</v>
      </c>
      <c r="I80" s="37">
        <f>IF(ISNUMBER('Sheet2-计算明细'!S81),'Sheet2-计算明细'!S81,"")</f>
        <v>12.04</v>
      </c>
      <c r="J80" s="37">
        <f>IF(ISNUMBER('Sheet2-计算明细'!Y81),'Sheet2-计算明细'!Y81,"")</f>
        <v>63.59</v>
      </c>
      <c r="K80" s="37">
        <f>IF(ISNUMBER('Sheet2-计算明细'!AC81),'Sheet2-计算明细'!AC81,"")</f>
        <v>2.7</v>
      </c>
      <c r="L80" s="37">
        <f>IF(ISNUMBER('Sheet2-计算明细'!AI81),'Sheet2-计算明细'!AI81,"")</f>
        <v>22.82</v>
      </c>
      <c r="M80" s="37">
        <f>IF(ISNUMBER('Sheet2-计算明细'!AK81),'Sheet2-计算明细'!AK81,"")</f>
        <v>80</v>
      </c>
      <c r="N80" s="37">
        <f>IF(ISNUMBER('Sheet2-计算明细'!AL81),'Sheet2-计算明细'!AL81,"")</f>
        <v>88</v>
      </c>
      <c r="O80" s="37">
        <f>IF(ISNUMBER('Sheet2-计算明细'!AM81),'Sheet2-计算明细'!AM81,"")</f>
        <v>27.51</v>
      </c>
      <c r="P80" s="37">
        <f>IF(ISNUMBER('Sheet2-计算明细'!AN81),'Sheet2-计算明细'!AN81,"")</f>
        <v>2.7</v>
      </c>
      <c r="Q80" s="37">
        <f>IF(ISNUMBER('Sheet2-计算明细'!AO81),'Sheet2-计算明细'!AO81,"")</f>
        <v>22.82</v>
      </c>
      <c r="R80" s="37">
        <f>IF(ISNUMBER('Sheet2-计算明细'!AP81),'Sheet2-计算明细'!AP81,"")</f>
        <v>80</v>
      </c>
      <c r="S80" s="38">
        <f>IF(ISNUMBER('Sheet2-计算明细'!AQ81),'Sheet2-计算明细'!AQ81,"")</f>
        <v>1</v>
      </c>
      <c r="T80" s="37">
        <f>IF(ISNUMBER('Sheet2-计算明细'!AR81),'Sheet2-计算明细'!AR81,"")</f>
        <v>34.2218</v>
      </c>
      <c r="U80" s="37">
        <f>IF(ISNUMBER('Sheet2-计算明细'!AS81),'Sheet2-计算明细'!AS81,"")</f>
        <v>34.22</v>
      </c>
      <c r="V80" s="37">
        <f>IF(ISNUMBER('Sheet2-计算明细'!AV81),'Sheet2-计算明细'!AV81,"")</f>
        <v>34.2218</v>
      </c>
      <c r="W80" s="39" t="str">
        <f>IF('Sheet2-计算明细'!AU81="","",'Sheet2-计算明细'!AU81)</f>
        <v/>
      </c>
      <c r="X80" s="40">
        <f>65</f>
        <v>65</v>
      </c>
      <c r="Y80" s="36" t="str">
        <f>IF('Sheet2-计算明细'!AX81="","",'Sheet2-计算明细'!AX81)</f>
        <v>套利策略</v>
      </c>
      <c r="Z80" s="36" t="str">
        <f>IF('Sheet2-计算明细'!AY81="","",'Sheet2-计算明细'!AY81)</f>
        <v>可转债套利</v>
      </c>
      <c r="AA80" s="36" t="str">
        <f>IF('Sheet2-计算明细'!AW81="","",'Sheet2-计算明细'!AW81)</f>
        <v>完整赋分</v>
      </c>
      <c r="AB80" s="40">
        <f>IF(ISNUMBER('Sheet2-计算明细'!A81),'Sheet2-计算明细'!A81,"")</f>
        <v>65</v>
      </c>
      <c r="AC80" t="str">
        <f>协会公示!E66</f>
        <v>5-10亿元</v>
      </c>
      <c r="AD80" t="str">
        <f>协会公示!F66</f>
        <v>大规模</v>
      </c>
      <c r="AE80" t="str">
        <f>协会公示!G66</f>
        <v>本次公示未见相关提示</v>
      </c>
      <c r="AF80" t="str">
        <f>协会公示!R66</f>
        <v>https://gs.amac.org.cn/amac-infodisc/res/pof/manager/1708091719102142.html</v>
      </c>
    </row>
    <row r="81" ht="44" customHeight="1" spans="1:32">
      <c r="A81" s="36">
        <f>IF(ISNUMBER('Sheet2-计算明细'!AT43),'Sheet2-计算明细'!AT43,"")</f>
        <v>76</v>
      </c>
      <c r="B81" s="36" t="str">
        <f>IF('Sheet2-计算明细'!B43="","",'Sheet2-计算明细'!B43)</f>
        <v>金锝牵星1号C类</v>
      </c>
      <c r="C81" s="36" t="str">
        <f>IF('Sheet2-计算明细'!C43="","",'Sheet2-计算明细'!C43)</f>
        <v>ASB89C</v>
      </c>
      <c r="D81" s="36" t="str">
        <f>IF('Sheet2-计算明细'!D43="","",'Sheet2-计算明细'!D43)</f>
        <v>上海金锝资管</v>
      </c>
      <c r="E81" s="36" t="str">
        <f>IF('Sheet2-计算明细'!G43="","",'Sheet2-计算明细'!G43)</f>
        <v>入池</v>
      </c>
      <c r="F81" s="37">
        <f>IF(ISNUMBER('Sheet2-计算明细'!I43),'Sheet2-计算明细'!I43,"")</f>
        <v>100</v>
      </c>
      <c r="G81" s="37" t="str">
        <f>IF(ISNUMBER('Sheet2-计算明细'!K43),'Sheet2-计算明细'!K43,"")</f>
        <v/>
      </c>
      <c r="H81" s="37">
        <f>IF(ISNUMBER('Sheet2-计算明细'!L43),'Sheet2-计算明细'!L43,"")</f>
        <v>70</v>
      </c>
      <c r="I81" s="37">
        <f>IF(ISNUMBER('Sheet2-计算明细'!S43),'Sheet2-计算明细'!S43,"")</f>
        <v>10</v>
      </c>
      <c r="J81" s="37">
        <f>IF(ISNUMBER('Sheet2-计算明细'!Y43),'Sheet2-计算明细'!Y43,"")</f>
        <v>53.8461538461538</v>
      </c>
      <c r="K81" s="37">
        <f>IF(ISNUMBER('Sheet2-计算明细'!AC43),'Sheet2-计算明细'!AC43,"")</f>
        <v>9.46</v>
      </c>
      <c r="L81" s="37">
        <f>IF(ISNUMBER('Sheet2-计算明细'!AI43),'Sheet2-计算明细'!AI43,"")</f>
        <v>4.23</v>
      </c>
      <c r="M81" s="37">
        <f>IF(ISNUMBER('Sheet2-计算明细'!AK43),'Sheet2-计算明细'!AK43,"")</f>
        <v>80</v>
      </c>
      <c r="N81" s="37">
        <f>IF(ISNUMBER('Sheet2-计算明细'!AL43),'Sheet2-计算明细'!AL43,"")</f>
        <v>87.14</v>
      </c>
      <c r="O81" s="37">
        <f>IF(ISNUMBER('Sheet2-计算明细'!AM43),'Sheet2-计算明细'!AM43,"")</f>
        <v>18.97</v>
      </c>
      <c r="P81" s="37">
        <f>IF(ISNUMBER('Sheet2-计算明细'!AN43),'Sheet2-计算明细'!AN43,"")</f>
        <v>9.46</v>
      </c>
      <c r="Q81" s="37">
        <f>IF(ISNUMBER('Sheet2-计算明细'!AO43),'Sheet2-计算明细'!AO43,"")</f>
        <v>4.23</v>
      </c>
      <c r="R81" s="37">
        <f>IF(ISNUMBER('Sheet2-计算明细'!AP43),'Sheet2-计算明细'!AP43,"")</f>
        <v>80</v>
      </c>
      <c r="S81" s="38">
        <f>IF(ISNUMBER('Sheet2-计算明细'!AQ43),'Sheet2-计算明细'!AQ43,"")</f>
        <v>0.811</v>
      </c>
      <c r="T81" s="37">
        <f>IF(ISNUMBER('Sheet2-计算明细'!AR43),'Sheet2-计算明细'!AR43,"")</f>
        <v>23.6154215384615</v>
      </c>
      <c r="U81" s="37">
        <f>IF(ISNUMBER('Sheet2-计算明细'!AS43),'Sheet2-计算明细'!AS43,"")</f>
        <v>29.12</v>
      </c>
      <c r="V81" s="37" t="str">
        <f>IF(ISNUMBER('Sheet2-计算明细'!AV43),'Sheet2-计算明细'!AV43,"")</f>
        <v/>
      </c>
      <c r="W81" s="39" t="str">
        <f>IF('Sheet2-计算明细'!AU43="","",'Sheet2-计算明细'!AU43)</f>
        <v>产品规模标识；近三年收益；近三年胜率；近三年回撤；DD_long不可识别；</v>
      </c>
      <c r="X81" s="40">
        <f>27</f>
        <v>27</v>
      </c>
      <c r="Y81" s="36" t="str">
        <f>IF('Sheet2-计算明细'!AX43="","",'Sheet2-计算明细'!AX43)</f>
        <v>套利策略</v>
      </c>
      <c r="Z81" s="36" t="str">
        <f>IF('Sheet2-计算明细'!AY43="","",'Sheet2-计算明细'!AY43)</f>
        <v>期权套利</v>
      </c>
      <c r="AA81" s="36" t="str">
        <f>IF('Sheet2-计算明细'!AW43="","",'Sheet2-计算明细'!AW43)</f>
        <v>暂定分／数据不完整</v>
      </c>
      <c r="AB81" s="40">
        <f>IF(ISNUMBER('Sheet2-计算明细'!A43),'Sheet2-计算明细'!A43,"")</f>
        <v>27</v>
      </c>
      <c r="AC81" t="str">
        <f>协会公示!E28</f>
        <v>100亿元以上</v>
      </c>
      <c r="AD81" t="str">
        <f>协会公示!F28</f>
        <v>大规模</v>
      </c>
      <c r="AE81" t="str">
        <f>协会公示!G28</f>
        <v>本次公示未见相关提示</v>
      </c>
      <c r="AF81" t="str">
        <f>协会公示!R28</f>
        <v>https://gs.amac.org.cn/amac-infodisc/res/pof/manager/101000003739.html</v>
      </c>
    </row>
    <row r="82" ht="44" customHeight="1" spans="1:32">
      <c r="A82" s="36">
        <f>IF(ISNUMBER('Sheet2-计算明细'!AT49),'Sheet2-计算明细'!AT49,"")</f>
        <v>77</v>
      </c>
      <c r="B82" s="36" t="str">
        <f>IF('Sheet2-计算明细'!B49="","",'Sheet2-计算明细'!B49)</f>
        <v>量金灵瑞1号</v>
      </c>
      <c r="C82" s="36" t="str">
        <f>IF('Sheet2-计算明细'!C49="","",'Sheet2-计算明细'!C49)</f>
        <v>SAPV10</v>
      </c>
      <c r="D82" s="36" t="str">
        <f>IF('Sheet2-计算明细'!D49="","",'Sheet2-计算明细'!D49)</f>
        <v>上海坤灵</v>
      </c>
      <c r="E82" s="36" t="str">
        <f>IF('Sheet2-计算明细'!G49="","",'Sheet2-计算明细'!G49)</f>
        <v>入池</v>
      </c>
      <c r="F82" s="37">
        <f>IF(ISNUMBER('Sheet2-计算明细'!I49),'Sheet2-计算明细'!I49,"")</f>
        <v>90</v>
      </c>
      <c r="G82" s="37">
        <f>IF(ISNUMBER('Sheet2-计算明细'!K49),'Sheet2-计算明细'!K49,"")</f>
        <v>100</v>
      </c>
      <c r="H82" s="37">
        <f>IF(ISNUMBER('Sheet2-计算明细'!L49),'Sheet2-计算明细'!L49,"")</f>
        <v>70</v>
      </c>
      <c r="I82" s="37">
        <f>IF(ISNUMBER('Sheet2-计算明细'!S49),'Sheet2-计算明细'!S49,"")</f>
        <v>0</v>
      </c>
      <c r="J82" s="37">
        <f>IF(ISNUMBER('Sheet2-计算明细'!Y49),'Sheet2-计算明细'!Y49,"")</f>
        <v>53.8461538461538</v>
      </c>
      <c r="K82" s="37">
        <f>IF(ISNUMBER('Sheet2-计算明细'!AC49),'Sheet2-计算明细'!AC49,"")</f>
        <v>5.41</v>
      </c>
      <c r="L82" s="37">
        <f>IF(ISNUMBER('Sheet2-计算明细'!AI49),'Sheet2-计算明细'!AI49,"")</f>
        <v>0</v>
      </c>
      <c r="M82" s="37" t="str">
        <f>IF(ISNUMBER('Sheet2-计算明细'!AK49),'Sheet2-计算明细'!AK49,"")</f>
        <v/>
      </c>
      <c r="N82" s="37">
        <f>IF(ISNUMBER('Sheet2-计算明细'!AL49),'Sheet2-计算明细'!AL49,"")</f>
        <v>87</v>
      </c>
      <c r="O82" s="37">
        <f>IF(ISNUMBER('Sheet2-计算明细'!AM49),'Sheet2-计算明细'!AM49,"")</f>
        <v>16.15</v>
      </c>
      <c r="P82" s="37">
        <f>IF(ISNUMBER('Sheet2-计算明细'!AN49),'Sheet2-计算明细'!AN49,"")</f>
        <v>5.41</v>
      </c>
      <c r="Q82" s="37">
        <f>IF(ISNUMBER('Sheet2-计算明细'!AO49),'Sheet2-计算明细'!AO49,"")</f>
        <v>0</v>
      </c>
      <c r="R82" s="37" t="str">
        <f>IF(ISNUMBER('Sheet2-计算明细'!AP49),'Sheet2-计算明细'!AP49,"")</f>
        <v/>
      </c>
      <c r="S82" s="38">
        <f>IF(ISNUMBER('Sheet2-计算明细'!AQ49),'Sheet2-计算明细'!AQ49,"")</f>
        <v>0.7</v>
      </c>
      <c r="T82" s="37">
        <f>IF(ISNUMBER('Sheet2-计算明细'!AR49),'Sheet2-计算明细'!AR49,"")</f>
        <v>16.3409615384615</v>
      </c>
      <c r="U82" s="37">
        <f>IF(ISNUMBER('Sheet2-计算明细'!AS49),'Sheet2-计算明细'!AS49,"")</f>
        <v>23.34</v>
      </c>
      <c r="V82" s="37" t="str">
        <f>IF(ISNUMBER('Sheet2-计算明细'!AV49),'Sheet2-计算明细'!AV49,"")</f>
        <v/>
      </c>
      <c r="W82" s="39" t="str">
        <f>IF('Sheet2-计算明细'!AU49="","",'Sheet2-计算明细'!AU49)</f>
        <v>近三年收益；近三年胜率；近三年回撤；成立以来年化；</v>
      </c>
      <c r="X82" s="40">
        <f>33</f>
        <v>33</v>
      </c>
      <c r="Y82" s="36" t="str">
        <f>IF('Sheet2-计算明细'!AX49="","",'Sheet2-计算明细'!AX49)</f>
        <v>套利策略</v>
      </c>
      <c r="Z82" s="36" t="str">
        <f>IF('Sheet2-计算明细'!AY49="","",'Sheet2-计算明细'!AY49)</f>
        <v>期货套利</v>
      </c>
      <c r="AA82" s="36" t="str">
        <f>IF('Sheet2-计算明细'!AW49="","",'Sheet2-计算明细'!AW49)</f>
        <v>暂定分／数据不完整</v>
      </c>
      <c r="AB82" s="40">
        <f>IF(ISNUMBER('Sheet2-计算明细'!A49),'Sheet2-计算明细'!A49,"")</f>
        <v>33</v>
      </c>
      <c r="AC82" t="str">
        <f>协会公示!E34</f>
        <v>20-50亿元</v>
      </c>
      <c r="AD82" t="str">
        <f>协会公示!F34</f>
        <v>大规模</v>
      </c>
      <c r="AE82" t="str">
        <f>协会公示!G34</f>
        <v>本次公示未见相关提示</v>
      </c>
      <c r="AF82" t="str">
        <f>协会公示!R34</f>
        <v>https://gs.amac.org.cn/amac-infodisc/res/pof/manager/101000023324.html</v>
      </c>
    </row>
    <row r="83" ht="44" customHeight="1" spans="1:32">
      <c r="A83" s="36">
        <f>IF(ISNUMBER('Sheet2-计算明细'!AT79),'Sheet2-计算明细'!AT79,"")</f>
        <v>78</v>
      </c>
      <c r="B83" s="36" t="str">
        <f>IF('Sheet2-计算明细'!B79="","",'Sheet2-计算明细'!B79)</f>
        <v>数为道策套利一号</v>
      </c>
      <c r="C83" s="36" t="str">
        <f>IF('Sheet2-计算明细'!C79="","",'Sheet2-计算明细'!C79)</f>
        <v>SNA956</v>
      </c>
      <c r="D83" s="36" t="str">
        <f>IF('Sheet2-计算明细'!D79="","",'Sheet2-计算明细'!D79)</f>
        <v>福州数为</v>
      </c>
      <c r="E83" s="36" t="str">
        <f>IF('Sheet2-计算明细'!G79="","",'Sheet2-计算明细'!G79)</f>
        <v>入池</v>
      </c>
      <c r="F83" s="37">
        <f>IF(ISNUMBER('Sheet2-计算明细'!I79),'Sheet2-计算明细'!I79,"")</f>
        <v>60</v>
      </c>
      <c r="G83" s="37">
        <f>IF(ISNUMBER('Sheet2-计算明细'!K79),'Sheet2-计算明细'!K79,"")</f>
        <v>0</v>
      </c>
      <c r="H83" s="37">
        <f>IF(ISNUMBER('Sheet2-计算明细'!L79),'Sheet2-计算明细'!L79,"")</f>
        <v>100</v>
      </c>
      <c r="I83" s="37" t="str">
        <f>IF(ISNUMBER('Sheet2-计算明细'!S79),'Sheet2-计算明细'!S79,"")</f>
        <v/>
      </c>
      <c r="J83" s="37" t="str">
        <f>IF(ISNUMBER('Sheet2-计算明细'!Y79),'Sheet2-计算明细'!Y79,"")</f>
        <v/>
      </c>
      <c r="K83" s="37">
        <f>IF(ISNUMBER('Sheet2-计算明细'!AC79),'Sheet2-计算明细'!AC79,"")</f>
        <v>0</v>
      </c>
      <c r="L83" s="37" t="str">
        <f>IF(ISNUMBER('Sheet2-计算明细'!AI79),'Sheet2-计算明细'!AI79,"")</f>
        <v/>
      </c>
      <c r="M83" s="37" t="str">
        <f>IF(ISNUMBER('Sheet2-计算明细'!AK79),'Sheet2-计算明细'!AK79,"")</f>
        <v/>
      </c>
      <c r="N83" s="37">
        <f>IF(ISNUMBER('Sheet2-计算明细'!AL79),'Sheet2-计算明细'!AL79,"")</f>
        <v>54</v>
      </c>
      <c r="O83" s="37" t="str">
        <f>IF(ISNUMBER('Sheet2-计算明细'!AM79),'Sheet2-计算明细'!AM79,"")</f>
        <v/>
      </c>
      <c r="P83" s="37">
        <f>IF(ISNUMBER('Sheet2-计算明细'!AN79),'Sheet2-计算明细'!AN79,"")</f>
        <v>0</v>
      </c>
      <c r="Q83" s="37" t="str">
        <f>IF(ISNUMBER('Sheet2-计算明细'!AO79),'Sheet2-计算明细'!AO79,"")</f>
        <v/>
      </c>
      <c r="R83" s="37" t="str">
        <f>IF(ISNUMBER('Sheet2-计算明细'!AP79),'Sheet2-计算明细'!AP79,"")</f>
        <v/>
      </c>
      <c r="S83" s="38">
        <f>IF(ISNUMBER('Sheet2-计算明细'!AQ79),'Sheet2-计算明细'!AQ79,"")</f>
        <v>0.4</v>
      </c>
      <c r="T83" s="37">
        <f>IF(ISNUMBER('Sheet2-计算明细'!AR79),'Sheet2-计算明细'!AR79,"")</f>
        <v>8.1</v>
      </c>
      <c r="U83" s="37">
        <f>IF(ISNUMBER('Sheet2-计算明细'!AS79),'Sheet2-计算明细'!AS79,"")</f>
        <v>20.25</v>
      </c>
      <c r="V83" s="37" t="str">
        <f>IF(ISNUMBER('Sheet2-计算明细'!AV79),'Sheet2-计算明细'!AV79,"")</f>
        <v/>
      </c>
      <c r="W83" s="39" t="str">
        <f>IF('Sheet2-计算明细'!AU79="","",'Sheet2-计算明细'!AU79)</f>
        <v>近一年收益；近一年胜率；近一年卡玛；</v>
      </c>
      <c r="X83" s="40">
        <f>63</f>
        <v>63</v>
      </c>
      <c r="Y83" s="36" t="str">
        <f>IF('Sheet2-计算明细'!AX79="","",'Sheet2-计算明细'!AX79)</f>
        <v>套利策略</v>
      </c>
      <c r="Z83" s="36" t="str">
        <f>IF('Sheet2-计算明细'!AY79="","",'Sheet2-计算明细'!AY79)</f>
        <v>基金套利</v>
      </c>
      <c r="AA83" s="36" t="str">
        <f>IF('Sheet2-计算明细'!AW79="","",'Sheet2-计算明细'!AW79)</f>
        <v>暂定分／数据不完整</v>
      </c>
      <c r="AB83" s="40">
        <f>IF(ISNUMBER('Sheet2-计算明细'!A79),'Sheet2-计算明细'!A79,"")</f>
        <v>63</v>
      </c>
      <c r="AC83" t="str">
        <f>协会公示!E64</f>
        <v>0-5亿元</v>
      </c>
      <c r="AD83" t="str">
        <f>协会公示!F64</f>
        <v>小规模</v>
      </c>
      <c r="AE83" t="str">
        <f>协会公示!G64</f>
        <v>协会提示／已整改异常</v>
      </c>
      <c r="AF83" t="str">
        <f>协会公示!R64</f>
        <v>https://gs.amac.org.cn/amac-infodisc/res/pof/manager/1705081548107725.html</v>
      </c>
    </row>
    <row r="84" ht="44" customHeight="1" spans="1:32">
      <c r="A84" s="36" t="str">
        <f>IF(ISNUMBER('Sheet2-计算明细'!AT30),'Sheet2-计算明细'!AT30,"")</f>
        <v/>
      </c>
      <c r="B84" s="36" t="str">
        <f>IF('Sheet2-计算明细'!B30="","",'Sheet2-计算明细'!B30)</f>
        <v>东源投资丰源5号</v>
      </c>
      <c r="C84" s="36" t="str">
        <f>IF('Sheet2-计算明细'!C30="","",'Sheet2-计算明细'!C30)</f>
        <v>SBMG09</v>
      </c>
      <c r="D84" s="36" t="str">
        <f>IF('Sheet2-计算明细'!D30="","",'Sheet2-计算明细'!D30)</f>
        <v>天津东源投资</v>
      </c>
      <c r="E84" s="36" t="str">
        <f>IF('Sheet2-计算明细'!G30="","",'Sheet2-计算明细'!G30)</f>
        <v>不入池</v>
      </c>
      <c r="F84" s="37">
        <f>IF(ISNUMBER('Sheet2-计算明细'!I30),'Sheet2-计算明细'!I30,"")</f>
        <v>90</v>
      </c>
      <c r="G84" s="37">
        <f>IF(ISNUMBER('Sheet2-计算明细'!K30),'Sheet2-计算明细'!K30,"")</f>
        <v>100</v>
      </c>
      <c r="H84" s="37" t="str">
        <f>IF(ISNUMBER('Sheet2-计算明细'!L30),'Sheet2-计算明细'!L30,"")</f>
        <v/>
      </c>
      <c r="I84" s="37" t="str">
        <f>IF(ISNUMBER('Sheet2-计算明细'!S30),'Sheet2-计算明细'!S30,"")</f>
        <v/>
      </c>
      <c r="J84" s="37" t="str">
        <f>IF(ISNUMBER('Sheet2-计算明细'!Y30),'Sheet2-计算明细'!Y30,"")</f>
        <v/>
      </c>
      <c r="K84" s="37" t="str">
        <f>IF(ISNUMBER('Sheet2-计算明细'!AC30),'Sheet2-计算明细'!AC30,"")</f>
        <v/>
      </c>
      <c r="L84" s="37" t="str">
        <f>IF(ISNUMBER('Sheet2-计算明细'!AI30),'Sheet2-计算明细'!AI30,"")</f>
        <v/>
      </c>
      <c r="M84" s="37" t="str">
        <f>IF(ISNUMBER('Sheet2-计算明细'!AK30),'Sheet2-计算明细'!AK30,"")</f>
        <v/>
      </c>
      <c r="N84" s="37">
        <f>IF(ISNUMBER('Sheet2-计算明细'!AL30),'Sheet2-计算明细'!AL30,"")</f>
        <v>94.29</v>
      </c>
      <c r="O84" s="37" t="str">
        <f>IF(ISNUMBER('Sheet2-计算明细'!AM30),'Sheet2-计算明细'!AM30,"")</f>
        <v/>
      </c>
      <c r="P84" s="37" t="str">
        <f>IF(ISNUMBER('Sheet2-计算明细'!AN30),'Sheet2-计算明细'!AN30,"")</f>
        <v/>
      </c>
      <c r="Q84" s="37" t="str">
        <f>IF(ISNUMBER('Sheet2-计算明细'!AO30),'Sheet2-计算明细'!AO30,"")</f>
        <v/>
      </c>
      <c r="R84" s="37" t="str">
        <f>IF(ISNUMBER('Sheet2-计算明细'!AP30),'Sheet2-计算明细'!AP30,"")</f>
        <v/>
      </c>
      <c r="S84" s="38">
        <f>IF(ISNUMBER('Sheet2-计算明细'!AQ30),'Sheet2-计算明细'!AQ30,"")</f>
        <v>0</v>
      </c>
      <c r="T84" s="37" t="str">
        <f>IF(ISNUMBER('Sheet2-计算明细'!AR30),'Sheet2-计算明细'!AR30,"")</f>
        <v/>
      </c>
      <c r="U84" s="37" t="str">
        <f>IF(ISNUMBER('Sheet2-计算明细'!AS30),'Sheet2-计算明细'!AS30,"")</f>
        <v/>
      </c>
      <c r="V84" s="37" t="str">
        <f>IF(ISNUMBER('Sheet2-计算明细'!AV30),'Sheet2-计算明细'!AV30,"")</f>
        <v/>
      </c>
      <c r="W84" s="39" t="str">
        <f>IF('Sheet2-计算明细'!AU30="","",'Sheet2-计算明细'!AU30)</f>
        <v>近一年收益；近一年胜率；近三年收益；近三年胜率；近三年回撤；近一年卡玛；成立以来年化；</v>
      </c>
      <c r="X84" s="40">
        <f>14</f>
        <v>14</v>
      </c>
      <c r="Y84" s="36" t="str">
        <f>IF('Sheet2-计算明细'!AX30="","",'Sheet2-计算明细'!AX30)</f>
        <v>套利策略</v>
      </c>
      <c r="Z84" s="36" t="str">
        <f>IF('Sheet2-计算明细'!AY30="","",'Sheet2-计算明细'!AY30)</f>
        <v>期权套利</v>
      </c>
      <c r="AA84" s="36" t="str">
        <f>IF('Sheet2-计算明细'!AW30="","",'Sheet2-计算明细'!AW30)</f>
        <v>不入池</v>
      </c>
      <c r="AB84" s="40">
        <f>IF(ISNUMBER('Sheet2-计算明细'!A30),'Sheet2-计算明细'!A30,"")</f>
        <v>14</v>
      </c>
      <c r="AC84" t="str">
        <f>协会公示!E15</f>
        <v>20-50亿元</v>
      </c>
      <c r="AD84" t="str">
        <f>协会公示!F15</f>
        <v>大规模</v>
      </c>
      <c r="AE84" t="str">
        <f>协会公示!G15</f>
        <v>协会提示／已整改异常</v>
      </c>
      <c r="AF84" t="str">
        <f>协会公示!R15</f>
        <v>https://gs.amac.org.cn/amac-infodisc/res/pof/manager/101000000235.html</v>
      </c>
    </row>
    <row r="85" ht="44" customHeight="1" spans="1:32">
      <c r="A85" s="36" t="str">
        <f>IF(ISNUMBER('Sheet2-计算明细'!AT31),'Sheet2-计算明细'!AT31,"")</f>
        <v/>
      </c>
      <c r="B85" s="36" t="str">
        <f>IF('Sheet2-计算明细'!B31="","",'Sheet2-计算明细'!B31)</f>
        <v>东源投资乐源1号</v>
      </c>
      <c r="C85" s="36" t="str">
        <f>IF('Sheet2-计算明细'!C31="","",'Sheet2-计算明细'!C31)</f>
        <v>SBRX68</v>
      </c>
      <c r="D85" s="36" t="str">
        <f>IF('Sheet2-计算明细'!D31="","",'Sheet2-计算明细'!D31)</f>
        <v>天津东源投资</v>
      </c>
      <c r="E85" s="36" t="str">
        <f>IF('Sheet2-计算明细'!G31="","",'Sheet2-计算明细'!G31)</f>
        <v>不入池</v>
      </c>
      <c r="F85" s="37">
        <f>IF(ISNUMBER('Sheet2-计算明细'!I31),'Sheet2-计算明细'!I31,"")</f>
        <v>90</v>
      </c>
      <c r="G85" s="37">
        <f>IF(ISNUMBER('Sheet2-计算明细'!K31),'Sheet2-计算明细'!K31,"")</f>
        <v>100</v>
      </c>
      <c r="H85" s="37" t="str">
        <f>IF(ISNUMBER('Sheet2-计算明细'!L31),'Sheet2-计算明细'!L31,"")</f>
        <v/>
      </c>
      <c r="I85" s="37" t="str">
        <f>IF(ISNUMBER('Sheet2-计算明细'!S31),'Sheet2-计算明细'!S31,"")</f>
        <v/>
      </c>
      <c r="J85" s="37" t="str">
        <f>IF(ISNUMBER('Sheet2-计算明细'!Y31),'Sheet2-计算明细'!Y31,"")</f>
        <v/>
      </c>
      <c r="K85" s="37" t="str">
        <f>IF(ISNUMBER('Sheet2-计算明细'!AC31),'Sheet2-计算明细'!AC31,"")</f>
        <v/>
      </c>
      <c r="L85" s="37" t="str">
        <f>IF(ISNUMBER('Sheet2-计算明细'!AI31),'Sheet2-计算明细'!AI31,"")</f>
        <v/>
      </c>
      <c r="M85" s="37" t="str">
        <f>IF(ISNUMBER('Sheet2-计算明细'!AK31),'Sheet2-计算明细'!AK31,"")</f>
        <v/>
      </c>
      <c r="N85" s="37">
        <f>IF(ISNUMBER('Sheet2-计算明细'!AL31),'Sheet2-计算明细'!AL31,"")</f>
        <v>94.29</v>
      </c>
      <c r="O85" s="37" t="str">
        <f>IF(ISNUMBER('Sheet2-计算明细'!AM31),'Sheet2-计算明细'!AM31,"")</f>
        <v/>
      </c>
      <c r="P85" s="37" t="str">
        <f>IF(ISNUMBER('Sheet2-计算明细'!AN31),'Sheet2-计算明细'!AN31,"")</f>
        <v/>
      </c>
      <c r="Q85" s="37" t="str">
        <f>IF(ISNUMBER('Sheet2-计算明细'!AO31),'Sheet2-计算明细'!AO31,"")</f>
        <v/>
      </c>
      <c r="R85" s="37" t="str">
        <f>IF(ISNUMBER('Sheet2-计算明细'!AP31),'Sheet2-计算明细'!AP31,"")</f>
        <v/>
      </c>
      <c r="S85" s="38">
        <f>IF(ISNUMBER('Sheet2-计算明细'!AQ31),'Sheet2-计算明细'!AQ31,"")</f>
        <v>0</v>
      </c>
      <c r="T85" s="37" t="str">
        <f>IF(ISNUMBER('Sheet2-计算明细'!AR31),'Sheet2-计算明细'!AR31,"")</f>
        <v/>
      </c>
      <c r="U85" s="37" t="str">
        <f>IF(ISNUMBER('Sheet2-计算明细'!AS31),'Sheet2-计算明细'!AS31,"")</f>
        <v/>
      </c>
      <c r="V85" s="37" t="str">
        <f>IF(ISNUMBER('Sheet2-计算明细'!AV31),'Sheet2-计算明细'!AV31,"")</f>
        <v/>
      </c>
      <c r="W85" s="39" t="str">
        <f>IF('Sheet2-计算明细'!AU31="","",'Sheet2-计算明细'!AU31)</f>
        <v>近一年收益；近一年胜率；近三年收益；近三年胜率；近三年回撤；近一年卡玛；</v>
      </c>
      <c r="X85" s="40">
        <f>15</f>
        <v>15</v>
      </c>
      <c r="Y85" s="36" t="str">
        <f>IF('Sheet2-计算明细'!AX31="","",'Sheet2-计算明细'!AX31)</f>
        <v>套利策略</v>
      </c>
      <c r="Z85" s="36" t="str">
        <f>IF('Sheet2-计算明细'!AY31="","",'Sheet2-计算明细'!AY31)</f>
        <v>期权套利</v>
      </c>
      <c r="AA85" s="36" t="str">
        <f>IF('Sheet2-计算明细'!AW31="","",'Sheet2-计算明细'!AW31)</f>
        <v>不入池</v>
      </c>
      <c r="AB85" s="40">
        <f>IF(ISNUMBER('Sheet2-计算明细'!A31),'Sheet2-计算明细'!A31,"")</f>
        <v>15</v>
      </c>
      <c r="AC85" t="str">
        <f>协会公示!E16</f>
        <v>20-50亿元</v>
      </c>
      <c r="AD85" t="str">
        <f>协会公示!F16</f>
        <v>大规模</v>
      </c>
      <c r="AE85" t="str">
        <f>协会公示!G16</f>
        <v>协会提示／已整改异常</v>
      </c>
      <c r="AF85" t="str">
        <f>协会公示!R16</f>
        <v>https://gs.amac.org.cn/amac-infodisc/res/pof/manager/101000000235.html</v>
      </c>
    </row>
    <row r="86" ht="44" customHeight="1" spans="1:32">
      <c r="A86" s="36" t="str">
        <f>IF(ISNUMBER('Sheet2-计算明细'!AT44),'Sheet2-计算明细'!AT44,"")</f>
        <v/>
      </c>
      <c r="B86" s="36" t="str">
        <f>IF('Sheet2-计算明细'!B44="","",'Sheet2-计算明细'!B44)</f>
        <v>九木套利9号A类</v>
      </c>
      <c r="C86" s="36" t="str">
        <f>IF('Sheet2-计算明细'!C44="","",'Sheet2-计算明细'!C44)</f>
        <v>BSA32A</v>
      </c>
      <c r="D86" s="36" t="str">
        <f>IF('Sheet2-计算明细'!D44="","",'Sheet2-计算明细'!D44)</f>
        <v>深圳九木</v>
      </c>
      <c r="E86" s="36" t="str">
        <f>IF('Sheet2-计算明细'!G44="","",'Sheet2-计算明细'!G44)</f>
        <v>不入池</v>
      </c>
      <c r="F86" s="37">
        <f>IF(ISNUMBER('Sheet2-计算明细'!I44),'Sheet2-计算明细'!I44,"")</f>
        <v>80</v>
      </c>
      <c r="G86" s="37" t="str">
        <f>IF(ISNUMBER('Sheet2-计算明细'!K44),'Sheet2-计算明细'!K44,"")</f>
        <v/>
      </c>
      <c r="H86" s="37" t="str">
        <f>IF(ISNUMBER('Sheet2-计算明细'!L44),'Sheet2-计算明细'!L44,"")</f>
        <v/>
      </c>
      <c r="I86" s="37" t="str">
        <f>IF(ISNUMBER('Sheet2-计算明细'!S44),'Sheet2-计算明细'!S44,"")</f>
        <v/>
      </c>
      <c r="J86" s="37" t="str">
        <f>IF(ISNUMBER('Sheet2-计算明细'!Y44),'Sheet2-计算明细'!Y44,"")</f>
        <v/>
      </c>
      <c r="K86" s="37" t="str">
        <f>IF(ISNUMBER('Sheet2-计算明细'!AC44),'Sheet2-计算明细'!AC44,"")</f>
        <v/>
      </c>
      <c r="L86" s="37" t="str">
        <f>IF(ISNUMBER('Sheet2-计算明细'!AI44),'Sheet2-计算明细'!AI44,"")</f>
        <v/>
      </c>
      <c r="M86" s="37" t="str">
        <f>IF(ISNUMBER('Sheet2-计算明细'!AK44),'Sheet2-计算明细'!AK44,"")</f>
        <v/>
      </c>
      <c r="N86" s="37">
        <f>IF(ISNUMBER('Sheet2-计算明细'!AL44),'Sheet2-计算明细'!AL44,"")</f>
        <v>80</v>
      </c>
      <c r="O86" s="37" t="str">
        <f>IF(ISNUMBER('Sheet2-计算明细'!AM44),'Sheet2-计算明细'!AM44,"")</f>
        <v/>
      </c>
      <c r="P86" s="37" t="str">
        <f>IF(ISNUMBER('Sheet2-计算明细'!AN44),'Sheet2-计算明细'!AN44,"")</f>
        <v/>
      </c>
      <c r="Q86" s="37" t="str">
        <f>IF(ISNUMBER('Sheet2-计算明细'!AO44),'Sheet2-计算明细'!AO44,"")</f>
        <v/>
      </c>
      <c r="R86" s="37" t="str">
        <f>IF(ISNUMBER('Sheet2-计算明细'!AP44),'Sheet2-计算明细'!AP44,"")</f>
        <v/>
      </c>
      <c r="S86" s="38">
        <f>IF(ISNUMBER('Sheet2-计算明细'!AQ44),'Sheet2-计算明细'!AQ44,"")</f>
        <v>0</v>
      </c>
      <c r="T86" s="37" t="str">
        <f>IF(ISNUMBER('Sheet2-计算明细'!AR44),'Sheet2-计算明细'!AR44,"")</f>
        <v/>
      </c>
      <c r="U86" s="37" t="str">
        <f>IF(ISNUMBER('Sheet2-计算明细'!AS44),'Sheet2-计算明细'!AS44,"")</f>
        <v/>
      </c>
      <c r="V86" s="37" t="str">
        <f>IF(ISNUMBER('Sheet2-计算明细'!AV44),'Sheet2-计算明细'!AV44,"")</f>
        <v/>
      </c>
      <c r="W86" s="39" t="str">
        <f>IF('Sheet2-计算明细'!AU44="","",'Sheet2-计算明细'!AU44)</f>
        <v>产品规模标识；近一年收益；近一年胜率；近三年收益；近三年胜率；近三年回撤；近一年卡玛；</v>
      </c>
      <c r="X86" s="40">
        <f>28</f>
        <v>28</v>
      </c>
      <c r="Y86" s="36" t="str">
        <f>IF('Sheet2-计算明细'!AX44="","",'Sheet2-计算明细'!AX44)</f>
        <v>套利策略</v>
      </c>
      <c r="Z86" s="36" t="str">
        <f>IF('Sheet2-计算明细'!AY44="","",'Sheet2-计算明细'!AY44)</f>
        <v>期货套利</v>
      </c>
      <c r="AA86" s="36" t="str">
        <f>IF('Sheet2-计算明细'!AW44="","",'Sheet2-计算明细'!AW44)</f>
        <v>不入池</v>
      </c>
      <c r="AB86" s="40">
        <f>IF(ISNUMBER('Sheet2-计算明细'!A44),'Sheet2-计算明细'!A44,"")</f>
        <v>28</v>
      </c>
      <c r="AC86" t="str">
        <f>协会公示!E29</f>
        <v>10-20亿元</v>
      </c>
      <c r="AD86" t="str">
        <f>协会公示!F29</f>
        <v>大规模</v>
      </c>
      <c r="AE86" t="str">
        <f>协会公示!G29</f>
        <v>本次公示未见相关提示</v>
      </c>
      <c r="AF86" t="str">
        <f>协会公示!R29</f>
        <v>https://gs.amac.org.cn/amac-infodisc/res/pof/manager/2502261446106414.html</v>
      </c>
    </row>
    <row r="87" ht="44" customHeight="1" spans="1:32">
      <c r="A87" s="36" t="str">
        <f>IF(ISNUMBER('Sheet2-计算明细'!AT48),'Sheet2-计算明细'!AT48,"")</f>
        <v/>
      </c>
      <c r="B87" s="36" t="str">
        <f>IF('Sheet2-计算明细'!B48="","",'Sheet2-计算明细'!B48)</f>
        <v>澜胜稳赋套利1号</v>
      </c>
      <c r="C87" s="36" t="str">
        <f>IF('Sheet2-计算明细'!C48="","",'Sheet2-计算明细'!C48)</f>
        <v>SBPY84</v>
      </c>
      <c r="D87" s="36" t="str">
        <f>IF('Sheet2-计算明细'!D48="","",'Sheet2-计算明细'!D48)</f>
        <v>上海澜胜</v>
      </c>
      <c r="E87" s="36" t="str">
        <f>IF('Sheet2-计算明细'!G48="","",'Sheet2-计算明细'!G48)</f>
        <v>不入池</v>
      </c>
      <c r="F87" s="37">
        <f>IF(ISNUMBER('Sheet2-计算明细'!I48),'Sheet2-计算明细'!I48,"")</f>
        <v>60</v>
      </c>
      <c r="G87" s="37">
        <f>IF(ISNUMBER('Sheet2-计算明细'!K48),'Sheet2-计算明细'!K48,"")</f>
        <v>100</v>
      </c>
      <c r="H87" s="37" t="str">
        <f>IF(ISNUMBER('Sheet2-计算明细'!L48),'Sheet2-计算明细'!L48,"")</f>
        <v/>
      </c>
      <c r="I87" s="37" t="str">
        <f>IF(ISNUMBER('Sheet2-计算明细'!S48),'Sheet2-计算明细'!S48,"")</f>
        <v/>
      </c>
      <c r="J87" s="37" t="str">
        <f>IF(ISNUMBER('Sheet2-计算明细'!Y48),'Sheet2-计算明细'!Y48,"")</f>
        <v/>
      </c>
      <c r="K87" s="37" t="str">
        <f>IF(ISNUMBER('Sheet2-计算明细'!AC48),'Sheet2-计算明细'!AC48,"")</f>
        <v/>
      </c>
      <c r="L87" s="37" t="str">
        <f>IF(ISNUMBER('Sheet2-计算明细'!AI48),'Sheet2-计算明细'!AI48,"")</f>
        <v/>
      </c>
      <c r="M87" s="37" t="str">
        <f>IF(ISNUMBER('Sheet2-计算明细'!AK48),'Sheet2-计算明细'!AK48,"")</f>
        <v/>
      </c>
      <c r="N87" s="37">
        <f>IF(ISNUMBER('Sheet2-计算明细'!AL48),'Sheet2-计算明细'!AL48,"")</f>
        <v>77.14</v>
      </c>
      <c r="O87" s="37" t="str">
        <f>IF(ISNUMBER('Sheet2-计算明细'!AM48),'Sheet2-计算明细'!AM48,"")</f>
        <v/>
      </c>
      <c r="P87" s="37" t="str">
        <f>IF(ISNUMBER('Sheet2-计算明细'!AN48),'Sheet2-计算明细'!AN48,"")</f>
        <v/>
      </c>
      <c r="Q87" s="37" t="str">
        <f>IF(ISNUMBER('Sheet2-计算明细'!AO48),'Sheet2-计算明细'!AO48,"")</f>
        <v/>
      </c>
      <c r="R87" s="37" t="str">
        <f>IF(ISNUMBER('Sheet2-计算明细'!AP48),'Sheet2-计算明细'!AP48,"")</f>
        <v/>
      </c>
      <c r="S87" s="38">
        <f>IF(ISNUMBER('Sheet2-计算明细'!AQ48),'Sheet2-计算明细'!AQ48,"")</f>
        <v>0</v>
      </c>
      <c r="T87" s="37" t="str">
        <f>IF(ISNUMBER('Sheet2-计算明细'!AR48),'Sheet2-计算明细'!AR48,"")</f>
        <v/>
      </c>
      <c r="U87" s="37" t="str">
        <f>IF(ISNUMBER('Sheet2-计算明细'!AS48),'Sheet2-计算明细'!AS48,"")</f>
        <v/>
      </c>
      <c r="V87" s="37" t="str">
        <f>IF(ISNUMBER('Sheet2-计算明细'!AV48),'Sheet2-计算明细'!AV48,"")</f>
        <v/>
      </c>
      <c r="W87" s="39" t="str">
        <f>IF('Sheet2-计算明细'!AU48="","",'Sheet2-计算明细'!AU48)</f>
        <v>近一年收益；近一年胜率；近三年收益；近三年胜率；近三年回撤；近一年卡玛；</v>
      </c>
      <c r="X87" s="40">
        <f>32</f>
        <v>32</v>
      </c>
      <c r="Y87" s="36" t="str">
        <f>IF('Sheet2-计算明细'!AX48="","",'Sheet2-计算明细'!AX48)</f>
        <v>套利策略</v>
      </c>
      <c r="Z87" s="36" t="str">
        <f>IF('Sheet2-计算明细'!AY48="","",'Sheet2-计算明细'!AY48)</f>
        <v/>
      </c>
      <c r="AA87" s="36" t="str">
        <f>IF('Sheet2-计算明细'!AW48="","",'Sheet2-计算明细'!AW48)</f>
        <v>不入池</v>
      </c>
      <c r="AB87" s="40">
        <f>IF(ISNUMBER('Sheet2-计算明细'!A48),'Sheet2-计算明细'!A48,"")</f>
        <v>32</v>
      </c>
      <c r="AC87" t="str">
        <f>协会公示!E33</f>
        <v>0-5亿元</v>
      </c>
      <c r="AD87" t="str">
        <f>协会公示!F33</f>
        <v>小规模</v>
      </c>
      <c r="AE87" t="str">
        <f>协会公示!G33</f>
        <v>本次公示未见相关提示</v>
      </c>
      <c r="AF87" t="str">
        <f>协会公示!R33</f>
        <v>https://gs.amac.org.cn/amac-infodisc/res/pof/manager/101000031933.html</v>
      </c>
    </row>
    <row r="88" ht="44" customHeight="1" spans="1:32">
      <c r="A88" s="36" t="str">
        <f>IF(ISNUMBER('Sheet2-计算明细'!AT93),'Sheet2-计算明细'!AT93,"")</f>
        <v/>
      </c>
      <c r="B88" s="36" t="str">
        <f>IF('Sheet2-计算明细'!B93="","",'Sheet2-计算明细'!B93)</f>
        <v>臻选期权套利一号</v>
      </c>
      <c r="C88" s="36" t="str">
        <f>IF('Sheet2-计算明细'!C93="","",'Sheet2-计算明细'!C93)</f>
        <v>SBEM86</v>
      </c>
      <c r="D88" s="36" t="str">
        <f>IF('Sheet2-计算明细'!D93="","",'Sheet2-计算明细'!D93)</f>
        <v>海南臻选</v>
      </c>
      <c r="E88" s="36" t="str">
        <f>IF('Sheet2-计算明细'!G93="","",'Sheet2-计算明细'!G93)</f>
        <v>不入池</v>
      </c>
      <c r="F88" s="37">
        <f>IF(ISNUMBER('Sheet2-计算明细'!I93),'Sheet2-计算明细'!I93,"")</f>
        <v>80</v>
      </c>
      <c r="G88" s="37">
        <f>IF(ISNUMBER('Sheet2-计算明细'!K93),'Sheet2-计算明细'!K93,"")</f>
        <v>100</v>
      </c>
      <c r="H88" s="37" t="str">
        <f>IF(ISNUMBER('Sheet2-计算明细'!L93),'Sheet2-计算明细'!L93,"")</f>
        <v/>
      </c>
      <c r="I88" s="37" t="str">
        <f>IF(ISNUMBER('Sheet2-计算明细'!S93),'Sheet2-计算明细'!S93,"")</f>
        <v/>
      </c>
      <c r="J88" s="37" t="str">
        <f>IF(ISNUMBER('Sheet2-计算明细'!Y93),'Sheet2-计算明细'!Y93,"")</f>
        <v/>
      </c>
      <c r="K88" s="37" t="str">
        <f>IF(ISNUMBER('Sheet2-计算明细'!AC93),'Sheet2-计算明细'!AC93,"")</f>
        <v/>
      </c>
      <c r="L88" s="37" t="str">
        <f>IF(ISNUMBER('Sheet2-计算明细'!AI93),'Sheet2-计算明细'!AI93,"")</f>
        <v/>
      </c>
      <c r="M88" s="37" t="str">
        <f>IF(ISNUMBER('Sheet2-计算明细'!AK93),'Sheet2-计算明细'!AK93,"")</f>
        <v/>
      </c>
      <c r="N88" s="37">
        <f>IF(ISNUMBER('Sheet2-计算明细'!AL93),'Sheet2-计算明细'!AL93,"")</f>
        <v>88.57</v>
      </c>
      <c r="O88" s="37" t="str">
        <f>IF(ISNUMBER('Sheet2-计算明细'!AM93),'Sheet2-计算明细'!AM93,"")</f>
        <v/>
      </c>
      <c r="P88" s="37" t="str">
        <f>IF(ISNUMBER('Sheet2-计算明细'!AN93),'Sheet2-计算明细'!AN93,"")</f>
        <v/>
      </c>
      <c r="Q88" s="37" t="str">
        <f>IF(ISNUMBER('Sheet2-计算明细'!AO93),'Sheet2-计算明细'!AO93,"")</f>
        <v/>
      </c>
      <c r="R88" s="37" t="str">
        <f>IF(ISNUMBER('Sheet2-计算明细'!AP93),'Sheet2-计算明细'!AP93,"")</f>
        <v/>
      </c>
      <c r="S88" s="38">
        <f>IF(ISNUMBER('Sheet2-计算明细'!AQ93),'Sheet2-计算明细'!AQ93,"")</f>
        <v>0</v>
      </c>
      <c r="T88" s="37" t="str">
        <f>IF(ISNUMBER('Sheet2-计算明细'!AR93),'Sheet2-计算明细'!AR93,"")</f>
        <v/>
      </c>
      <c r="U88" s="37" t="str">
        <f>IF(ISNUMBER('Sheet2-计算明细'!AS93),'Sheet2-计算明细'!AS93,"")</f>
        <v/>
      </c>
      <c r="V88" s="37" t="str">
        <f>IF(ISNUMBER('Sheet2-计算明细'!AV93),'Sheet2-计算明细'!AV93,"")</f>
        <v/>
      </c>
      <c r="W88" s="39" t="str">
        <f>IF('Sheet2-计算明细'!AU93="","",'Sheet2-计算明细'!AU93)</f>
        <v>近一年收益；近一年胜率；近三年收益；近三年胜率；近三年回撤；近一年卡玛；</v>
      </c>
      <c r="X88" s="40">
        <f>77</f>
        <v>77</v>
      </c>
      <c r="Y88" s="36" t="str">
        <f>IF('Sheet2-计算明细'!AX93="","",'Sheet2-计算明细'!AX93)</f>
        <v>期权策略</v>
      </c>
      <c r="Z88" s="36" t="str">
        <f>IF('Sheet2-计算明细'!AY93="","",'Sheet2-计算明细'!AY93)</f>
        <v/>
      </c>
      <c r="AA88" s="36" t="str">
        <f>IF('Sheet2-计算明细'!AW93="","",'Sheet2-计算明细'!AW93)</f>
        <v>不入池</v>
      </c>
      <c r="AB88" s="40">
        <f>IF(ISNUMBER('Sheet2-计算明细'!A93),'Sheet2-计算明细'!A93,"")</f>
        <v>77</v>
      </c>
      <c r="AC88" t="str">
        <f>协会公示!E78</f>
        <v>10-20亿元</v>
      </c>
      <c r="AD88" t="str">
        <f>协会公示!F78</f>
        <v>大规模</v>
      </c>
      <c r="AE88" t="str">
        <f>协会公示!G78</f>
        <v>协会提示／已整改异常</v>
      </c>
      <c r="AF88" t="str">
        <f>协会公示!R78</f>
        <v>https://gs.amac.org.cn/amac-infodisc/res/pof/manager/2108111018103387.html</v>
      </c>
    </row>
  </sheetData>
  <conditionalFormatting sqref="AA6:AA88">
    <cfRule type="containsText" dxfId="0" priority="1" operator="between" text="暂定">
      <formula>NOT(ISERROR(SEARCH("暂定",AA6)))</formula>
    </cfRule>
  </conditionalFormatting>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4"/>
  <sheetViews>
    <sheetView showGridLines="0" workbookViewId="0">
      <pane xSplit="2" ySplit="1" topLeftCell="C2" activePane="bottomRight" state="frozen"/>
      <selection/>
      <selection pane="topRight"/>
      <selection pane="bottomLeft"/>
      <selection pane="bottomRight" activeCell="I111" sqref="I110:J111"/>
    </sheetView>
  </sheetViews>
  <sheetFormatPr defaultColWidth="9" defaultRowHeight="16.8"/>
  <cols>
    <col min="1" max="1" width="30" customWidth="1"/>
    <col min="2" max="4" width="15" customWidth="1"/>
    <col min="5" max="5" width="26" customWidth="1"/>
    <col min="6" max="16" width="15" customWidth="1"/>
    <col min="17" max="17" width="60" customWidth="1"/>
    <col min="18" max="18" width="22" customWidth="1"/>
    <col min="19" max="20" width="20" customWidth="1"/>
    <col min="21" max="21" width="42" customWidth="1"/>
  </cols>
  <sheetData>
    <row r="1" ht="44" customHeight="1" spans="1:21">
      <c r="A1" s="20" t="s">
        <v>2</v>
      </c>
      <c r="B1" s="21" t="s">
        <v>673</v>
      </c>
      <c r="C1" s="21" t="s">
        <v>768</v>
      </c>
      <c r="D1" s="21" t="s">
        <v>769</v>
      </c>
      <c r="E1" s="21" t="s">
        <v>674</v>
      </c>
      <c r="F1" s="21" t="s">
        <v>11</v>
      </c>
      <c r="G1" s="21" t="s">
        <v>770</v>
      </c>
      <c r="H1" s="21" t="s">
        <v>771</v>
      </c>
      <c r="I1" s="21" t="s">
        <v>772</v>
      </c>
      <c r="J1" s="21" t="s">
        <v>773</v>
      </c>
      <c r="K1" s="21" t="s">
        <v>774</v>
      </c>
      <c r="L1" s="21" t="s">
        <v>775</v>
      </c>
      <c r="M1" s="21" t="s">
        <v>776</v>
      </c>
      <c r="N1" s="21" t="s">
        <v>777</v>
      </c>
      <c r="O1" s="21" t="s">
        <v>579</v>
      </c>
      <c r="P1" s="21" t="s">
        <v>778</v>
      </c>
      <c r="Q1" s="21" t="s">
        <v>30</v>
      </c>
      <c r="R1" s="27" t="s">
        <v>724</v>
      </c>
      <c r="S1" t="s">
        <v>779</v>
      </c>
      <c r="T1" t="s">
        <v>780</v>
      </c>
      <c r="U1" t="s">
        <v>781</v>
      </c>
    </row>
    <row r="2" ht="24" customHeight="1" spans="1:21">
      <c r="A2" s="22" t="s">
        <v>33</v>
      </c>
      <c r="B2" s="22" t="s">
        <v>40</v>
      </c>
      <c r="C2" s="22" t="s">
        <v>237</v>
      </c>
      <c r="D2" s="22" t="s">
        <v>782</v>
      </c>
      <c r="E2" s="22" t="s">
        <v>41</v>
      </c>
      <c r="F2" s="23">
        <v>43710</v>
      </c>
      <c r="G2" s="26">
        <v>0.1239</v>
      </c>
      <c r="H2" s="26">
        <v>0.1185</v>
      </c>
      <c r="I2" s="26">
        <v>0.8919</v>
      </c>
      <c r="J2" s="26">
        <v>0.8462</v>
      </c>
      <c r="K2" s="26">
        <v>0.0129</v>
      </c>
      <c r="L2" s="30">
        <v>9.1845</v>
      </c>
      <c r="M2" s="30">
        <v>34.5789</v>
      </c>
      <c r="N2" s="22" t="s">
        <v>783</v>
      </c>
      <c r="O2" s="23">
        <v>46269</v>
      </c>
      <c r="P2" s="23">
        <v>46275</v>
      </c>
      <c r="Q2" s="22" t="s">
        <v>46</v>
      </c>
      <c r="R2" s="22" t="s">
        <v>784</v>
      </c>
      <c r="S2" s="32">
        <v>0.103</v>
      </c>
      <c r="T2" s="33">
        <v>0</v>
      </c>
      <c r="U2" t="s">
        <v>785</v>
      </c>
    </row>
    <row r="3" ht="24" customHeight="1" spans="1:21">
      <c r="A3" s="22" t="s">
        <v>49</v>
      </c>
      <c r="B3" s="22" t="s">
        <v>53</v>
      </c>
      <c r="C3" s="22" t="s">
        <v>786</v>
      </c>
      <c r="D3" s="22" t="s">
        <v>787</v>
      </c>
      <c r="E3" s="22" t="s">
        <v>54</v>
      </c>
      <c r="F3" s="23">
        <v>44897</v>
      </c>
      <c r="G3" s="29">
        <f>IF(ISNUMBER(补数计算!L32),补数计算!L32,"")</f>
        <v>0.456756079869705</v>
      </c>
      <c r="H3" s="29">
        <f>IF(ISNUMBER(补数计算!L33),补数计算!L33,"")</f>
        <v>0.245457942277343</v>
      </c>
      <c r="I3" s="29">
        <f>IF(ISNUMBER(补数计算!O33),补数计算!O33,"")</f>
        <v>0.648648648648649</v>
      </c>
      <c r="J3" s="29">
        <f>IF(ISNUMBER(补数计算!O32),补数计算!O32,"")</f>
        <v>0.692307692307692</v>
      </c>
      <c r="K3" s="29">
        <f>IF(ISNUMBER(补数计算!M33),补数计算!M33,"")</f>
        <v>0.130615358535345</v>
      </c>
      <c r="L3" s="31">
        <f>IF(ISNUMBER(补数计算!N33),补数计算!N33,"")</f>
        <v>1.87924257169896</v>
      </c>
      <c r="M3" s="31">
        <f>IF(ISNUMBER(补数计算!N32),补数计算!N32,"")</f>
        <v>3.49695537333081</v>
      </c>
      <c r="N3" s="22" t="s">
        <v>788</v>
      </c>
      <c r="O3" s="23">
        <v>46269</v>
      </c>
      <c r="P3" s="23">
        <v>46275</v>
      </c>
      <c r="Q3" s="22" t="s">
        <v>58</v>
      </c>
      <c r="R3" s="22" t="s">
        <v>784</v>
      </c>
      <c r="S3" s="34">
        <f>IF(ISNUMBER(补数计算!L34),补数计算!L34,"")</f>
        <v>0.245415795828636</v>
      </c>
      <c r="T3" s="33">
        <v>8</v>
      </c>
      <c r="U3" t="s">
        <v>789</v>
      </c>
    </row>
    <row r="4" ht="24" customHeight="1" spans="1:21">
      <c r="A4" s="22" t="s">
        <v>60</v>
      </c>
      <c r="B4" s="22" t="s">
        <v>63</v>
      </c>
      <c r="C4" s="22" t="s">
        <v>237</v>
      </c>
      <c r="D4" s="22" t="s">
        <v>790</v>
      </c>
      <c r="E4" s="22" t="s">
        <v>64</v>
      </c>
      <c r="F4" s="23">
        <v>44788</v>
      </c>
      <c r="G4" s="26">
        <v>-0.0148</v>
      </c>
      <c r="H4" s="26">
        <v>0.0427</v>
      </c>
      <c r="I4" s="26">
        <v>0.5946</v>
      </c>
      <c r="J4" s="26">
        <v>0.3077</v>
      </c>
      <c r="K4" s="26">
        <v>0.045</v>
      </c>
      <c r="L4" s="30">
        <v>0.9502</v>
      </c>
      <c r="M4" s="30">
        <v>-0.3298</v>
      </c>
      <c r="N4" s="22" t="s">
        <v>791</v>
      </c>
      <c r="O4" s="23">
        <v>46269</v>
      </c>
      <c r="P4" s="23">
        <v>46275</v>
      </c>
      <c r="Q4" s="22" t="s">
        <v>67</v>
      </c>
      <c r="R4" s="22" t="s">
        <v>784</v>
      </c>
      <c r="S4" s="32">
        <v>0.0478</v>
      </c>
      <c r="T4" s="33">
        <v>0</v>
      </c>
      <c r="U4" t="s">
        <v>785</v>
      </c>
    </row>
    <row r="5" ht="24" customHeight="1" spans="1:21">
      <c r="A5" s="22" t="s">
        <v>69</v>
      </c>
      <c r="B5" s="22" t="s">
        <v>72</v>
      </c>
      <c r="C5" s="22" t="s">
        <v>237</v>
      </c>
      <c r="D5" s="22" t="s">
        <v>792</v>
      </c>
      <c r="E5" s="22" t="s">
        <v>73</v>
      </c>
      <c r="F5" s="23">
        <v>44624</v>
      </c>
      <c r="G5" s="26">
        <v>0.1551</v>
      </c>
      <c r="H5" s="26">
        <v>0.168</v>
      </c>
      <c r="I5" s="26">
        <v>0.8378</v>
      </c>
      <c r="J5" s="26">
        <v>0.8462</v>
      </c>
      <c r="K5" s="26">
        <v>0.0223</v>
      </c>
      <c r="L5" s="30">
        <v>7.5386</v>
      </c>
      <c r="M5" s="30">
        <v>7.206</v>
      </c>
      <c r="N5" s="22" t="s">
        <v>783</v>
      </c>
      <c r="O5" s="23">
        <v>46269</v>
      </c>
      <c r="P5" s="23">
        <v>46275</v>
      </c>
      <c r="Q5" s="22" t="s">
        <v>75</v>
      </c>
      <c r="R5" s="22" t="s">
        <v>784</v>
      </c>
      <c r="S5" s="32">
        <v>0.1427</v>
      </c>
      <c r="T5" s="33">
        <v>0</v>
      </c>
      <c r="U5" t="s">
        <v>785</v>
      </c>
    </row>
    <row r="6" ht="24" customHeight="1" spans="1:21">
      <c r="A6" s="22" t="s">
        <v>77</v>
      </c>
      <c r="B6" s="22" t="s">
        <v>78</v>
      </c>
      <c r="C6" s="22" t="s">
        <v>237</v>
      </c>
      <c r="D6" s="22" t="s">
        <v>782</v>
      </c>
      <c r="E6" s="22" t="s">
        <v>73</v>
      </c>
      <c r="F6" s="23">
        <v>44895</v>
      </c>
      <c r="G6" s="26">
        <v>0.0829</v>
      </c>
      <c r="H6" s="26">
        <v>0.0543</v>
      </c>
      <c r="I6" s="26">
        <v>0.6216</v>
      </c>
      <c r="J6" s="26">
        <v>0.5385</v>
      </c>
      <c r="K6" s="26">
        <v>0.0368</v>
      </c>
      <c r="L6" s="30">
        <v>1.4748</v>
      </c>
      <c r="M6" s="30">
        <v>2.254</v>
      </c>
      <c r="N6" s="22" t="s">
        <v>783</v>
      </c>
      <c r="O6" s="23">
        <v>46269</v>
      </c>
      <c r="P6" s="23">
        <v>46275</v>
      </c>
      <c r="Q6" s="22" t="s">
        <v>81</v>
      </c>
      <c r="R6" s="22" t="s">
        <v>784</v>
      </c>
      <c r="S6" s="32">
        <v>0.0423</v>
      </c>
      <c r="T6" s="33">
        <v>0</v>
      </c>
      <c r="U6" t="s">
        <v>785</v>
      </c>
    </row>
    <row r="7" ht="24" customHeight="1" spans="1:21">
      <c r="A7" s="22" t="s">
        <v>83</v>
      </c>
      <c r="B7" s="22" t="s">
        <v>84</v>
      </c>
      <c r="C7" s="22" t="s">
        <v>237</v>
      </c>
      <c r="D7" s="22" t="s">
        <v>782</v>
      </c>
      <c r="E7" s="22" t="s">
        <v>85</v>
      </c>
      <c r="F7" s="23">
        <v>44867</v>
      </c>
      <c r="G7" s="26">
        <v>0.2516</v>
      </c>
      <c r="H7" s="26">
        <v>0.1281</v>
      </c>
      <c r="I7" s="26">
        <v>0.7297</v>
      </c>
      <c r="J7" s="26">
        <v>0.7692</v>
      </c>
      <c r="K7" s="26">
        <v>0.041</v>
      </c>
      <c r="L7" s="30">
        <v>3.1249</v>
      </c>
      <c r="M7" s="30">
        <v>6.1365</v>
      </c>
      <c r="N7" s="22" t="s">
        <v>783</v>
      </c>
      <c r="O7" s="23">
        <v>46269</v>
      </c>
      <c r="P7" s="23">
        <v>46275</v>
      </c>
      <c r="Q7" s="22" t="s">
        <v>86</v>
      </c>
      <c r="R7" s="22" t="s">
        <v>784</v>
      </c>
      <c r="S7" s="32">
        <v>0.1228</v>
      </c>
      <c r="T7" s="33">
        <v>0</v>
      </c>
      <c r="U7" t="s">
        <v>785</v>
      </c>
    </row>
    <row r="8" ht="24" customHeight="1" spans="1:21">
      <c r="A8" s="22" t="s">
        <v>88</v>
      </c>
      <c r="B8" s="22" t="s">
        <v>90</v>
      </c>
      <c r="C8" s="22" t="s">
        <v>237</v>
      </c>
      <c r="D8" s="22" t="s">
        <v>782</v>
      </c>
      <c r="E8" s="22" t="s">
        <v>91</v>
      </c>
      <c r="F8" s="23">
        <v>44288</v>
      </c>
      <c r="G8" s="29">
        <f>IF(ISNUMBER(补数计算!L26),补数计算!L26,"")</f>
        <v>0.0729565217090635</v>
      </c>
      <c r="H8" s="29">
        <f>IF(ISNUMBER(补数计算!L27),补数计算!L27,"")</f>
        <v>0.0620957413947367</v>
      </c>
      <c r="I8" s="29">
        <f>IF(ISNUMBER(补数计算!O27),补数计算!O27,"")</f>
        <v>0.891891891891892</v>
      </c>
      <c r="J8" s="29">
        <f>IF(ISNUMBER(补数计算!O26),补数计算!O26,"")</f>
        <v>1</v>
      </c>
      <c r="K8" s="29">
        <f>IF(ISNUMBER(补数计算!M27),补数计算!M27,"")</f>
        <v>0.0114873553364767</v>
      </c>
      <c r="L8" s="31">
        <f>IF(ISNUMBER(补数计算!N27),补数计算!N27,"")</f>
        <v>5.40557330872835</v>
      </c>
      <c r="M8" s="31">
        <f>IF(ISNUMBER(补数计算!N26),补数计算!N26,"")</f>
        <v>44.1917549224981</v>
      </c>
      <c r="N8" s="22" t="s">
        <v>783</v>
      </c>
      <c r="O8" s="23">
        <v>46269</v>
      </c>
      <c r="P8" s="23">
        <v>46275</v>
      </c>
      <c r="Q8" s="22" t="s">
        <v>93</v>
      </c>
      <c r="R8" s="22" t="s">
        <v>784</v>
      </c>
      <c r="S8" s="34">
        <f>IF(ISNUMBER(补数计算!L28),补数计算!L28,"")</f>
        <v>0.0637470418513069</v>
      </c>
      <c r="T8" s="33">
        <v>8</v>
      </c>
      <c r="U8" t="s">
        <v>793</v>
      </c>
    </row>
    <row r="9" ht="24" customHeight="1" spans="1:21">
      <c r="A9" s="22" t="s">
        <v>95</v>
      </c>
      <c r="B9" s="22" t="s">
        <v>98</v>
      </c>
      <c r="C9" s="22" t="s">
        <v>237</v>
      </c>
      <c r="D9" s="22" t="s">
        <v>794</v>
      </c>
      <c r="E9" s="22" t="s">
        <v>99</v>
      </c>
      <c r="F9" s="23">
        <v>44967</v>
      </c>
      <c r="G9" s="26">
        <v>0.0253</v>
      </c>
      <c r="H9" s="26">
        <v>0.0614</v>
      </c>
      <c r="I9" s="26">
        <v>0.8378</v>
      </c>
      <c r="J9" s="26">
        <v>0.6154</v>
      </c>
      <c r="K9" s="26">
        <v>0.0062</v>
      </c>
      <c r="L9" s="30">
        <v>9.8653</v>
      </c>
      <c r="M9" s="30">
        <v>5.1208</v>
      </c>
      <c r="N9" s="22" t="s">
        <v>783</v>
      </c>
      <c r="O9" s="23">
        <v>46269</v>
      </c>
      <c r="P9" s="23">
        <v>46275</v>
      </c>
      <c r="Q9" s="22" t="s">
        <v>102</v>
      </c>
      <c r="R9" s="22" t="s">
        <v>784</v>
      </c>
      <c r="S9" s="32">
        <v>0.0696</v>
      </c>
      <c r="T9" s="33">
        <v>0</v>
      </c>
      <c r="U9" t="s">
        <v>785</v>
      </c>
    </row>
    <row r="10" ht="24" customHeight="1" spans="1:21">
      <c r="A10" s="22" t="s">
        <v>104</v>
      </c>
      <c r="B10" s="22" t="s">
        <v>105</v>
      </c>
      <c r="C10" s="22" t="s">
        <v>237</v>
      </c>
      <c r="D10" s="22" t="s">
        <v>794</v>
      </c>
      <c r="E10" s="22" t="s">
        <v>99</v>
      </c>
      <c r="F10" s="23">
        <v>44966</v>
      </c>
      <c r="G10" s="26">
        <v>0.0284</v>
      </c>
      <c r="H10" s="26">
        <v>0.0638</v>
      </c>
      <c r="I10" s="26">
        <v>0.8378</v>
      </c>
      <c r="J10" s="26">
        <v>0.6154</v>
      </c>
      <c r="K10" s="26">
        <v>0.0042</v>
      </c>
      <c r="L10" s="30">
        <v>15.1233</v>
      </c>
      <c r="M10" s="30">
        <v>6.7374</v>
      </c>
      <c r="N10" s="22" t="s">
        <v>783</v>
      </c>
      <c r="O10" s="23">
        <v>46269</v>
      </c>
      <c r="P10" s="23">
        <v>46275</v>
      </c>
      <c r="Q10" s="22" t="s">
        <v>108</v>
      </c>
      <c r="R10" s="22" t="s">
        <v>784</v>
      </c>
      <c r="S10" s="32">
        <v>0.0714</v>
      </c>
      <c r="T10" s="33">
        <v>0</v>
      </c>
      <c r="U10" t="s">
        <v>785</v>
      </c>
    </row>
    <row r="11" ht="24" customHeight="1" spans="1:21">
      <c r="A11" s="22" t="s">
        <v>110</v>
      </c>
      <c r="B11" s="22" t="s">
        <v>112</v>
      </c>
      <c r="C11" s="22" t="s">
        <v>237</v>
      </c>
      <c r="D11" s="22" t="s">
        <v>782</v>
      </c>
      <c r="E11" s="22" t="s">
        <v>113</v>
      </c>
      <c r="F11" s="23">
        <v>44722</v>
      </c>
      <c r="G11" s="26">
        <v>0.0344</v>
      </c>
      <c r="H11" s="26">
        <v>0.0333</v>
      </c>
      <c r="I11" s="26">
        <v>0.6216</v>
      </c>
      <c r="J11" s="26">
        <v>0.5385</v>
      </c>
      <c r="K11" s="26">
        <v>0.0239</v>
      </c>
      <c r="L11" s="30">
        <v>1.3937</v>
      </c>
      <c r="M11" s="30">
        <v>2.2598</v>
      </c>
      <c r="N11" s="22" t="s">
        <v>783</v>
      </c>
      <c r="O11" s="23">
        <v>46269</v>
      </c>
      <c r="P11" s="23">
        <v>46275</v>
      </c>
      <c r="Q11" s="22" t="s">
        <v>115</v>
      </c>
      <c r="R11" s="22" t="s">
        <v>784</v>
      </c>
      <c r="S11" s="32">
        <v>0.0619</v>
      </c>
      <c r="T11" s="33">
        <v>0</v>
      </c>
      <c r="U11" t="s">
        <v>785</v>
      </c>
    </row>
    <row r="12" ht="24" customHeight="1" spans="1:21">
      <c r="A12" s="22" t="s">
        <v>117</v>
      </c>
      <c r="B12" s="22" t="s">
        <v>118</v>
      </c>
      <c r="C12" s="22" t="s">
        <v>237</v>
      </c>
      <c r="D12" s="22" t="s">
        <v>782</v>
      </c>
      <c r="E12" s="22" t="s">
        <v>113</v>
      </c>
      <c r="F12" s="23">
        <v>44575</v>
      </c>
      <c r="G12" s="26">
        <v>0.0864</v>
      </c>
      <c r="H12" s="26">
        <v>0.054</v>
      </c>
      <c r="I12" s="26">
        <v>0.5405</v>
      </c>
      <c r="J12" s="26">
        <v>0.4615</v>
      </c>
      <c r="K12" s="26">
        <v>0.0503</v>
      </c>
      <c r="L12" s="30">
        <v>1.0741</v>
      </c>
      <c r="M12" s="30">
        <v>1.7177</v>
      </c>
      <c r="N12" s="22" t="s">
        <v>783</v>
      </c>
      <c r="O12" s="23">
        <v>46269</v>
      </c>
      <c r="P12" s="23">
        <v>46275</v>
      </c>
      <c r="Q12" s="22" t="s">
        <v>119</v>
      </c>
      <c r="R12" s="22" t="s">
        <v>784</v>
      </c>
      <c r="S12" s="32">
        <v>0.0915</v>
      </c>
      <c r="T12" s="33">
        <v>0</v>
      </c>
      <c r="U12" t="s">
        <v>785</v>
      </c>
    </row>
    <row r="13" ht="24" customHeight="1" spans="1:21">
      <c r="A13" s="22" t="s">
        <v>121</v>
      </c>
      <c r="B13" s="22" t="s">
        <v>124</v>
      </c>
      <c r="C13" s="22" t="s">
        <v>122</v>
      </c>
      <c r="D13" s="22" t="s">
        <v>795</v>
      </c>
      <c r="E13" s="22" t="s">
        <v>125</v>
      </c>
      <c r="F13" s="23">
        <v>43627</v>
      </c>
      <c r="G13" s="26">
        <v>0.0856</v>
      </c>
      <c r="H13" s="26">
        <v>0.0936</v>
      </c>
      <c r="I13" s="26">
        <v>0.8108</v>
      </c>
      <c r="J13" s="26">
        <v>0.8462</v>
      </c>
      <c r="K13" s="26">
        <v>0.1121</v>
      </c>
      <c r="L13" s="30">
        <v>0.835</v>
      </c>
      <c r="M13" s="30">
        <v>2.377</v>
      </c>
      <c r="N13" s="22" t="s">
        <v>783</v>
      </c>
      <c r="O13" s="23">
        <v>46269</v>
      </c>
      <c r="P13" s="23">
        <v>46275</v>
      </c>
      <c r="Q13" s="22" t="s">
        <v>127</v>
      </c>
      <c r="R13" s="22" t="s">
        <v>784</v>
      </c>
      <c r="S13" s="32">
        <v>0.0252</v>
      </c>
      <c r="T13" s="33">
        <v>0</v>
      </c>
      <c r="U13" t="s">
        <v>785</v>
      </c>
    </row>
    <row r="14" ht="24" customHeight="1" spans="1:21">
      <c r="A14" s="22" t="s">
        <v>129</v>
      </c>
      <c r="B14" s="22" t="s">
        <v>130</v>
      </c>
      <c r="C14" s="22" t="s">
        <v>237</v>
      </c>
      <c r="D14" s="22" t="s">
        <v>790</v>
      </c>
      <c r="E14" s="22" t="s">
        <v>131</v>
      </c>
      <c r="F14" s="23">
        <v>43334</v>
      </c>
      <c r="G14" s="26">
        <v>0.0597</v>
      </c>
      <c r="H14" s="26">
        <v>0.0824</v>
      </c>
      <c r="I14" s="26">
        <v>0.7568</v>
      </c>
      <c r="J14" s="26">
        <v>0.8462</v>
      </c>
      <c r="K14" s="26">
        <v>0.0343</v>
      </c>
      <c r="L14" s="30">
        <v>2.3998</v>
      </c>
      <c r="M14" s="30">
        <v>7.9496</v>
      </c>
      <c r="N14" s="22" t="s">
        <v>783</v>
      </c>
      <c r="O14" s="23">
        <v>46269</v>
      </c>
      <c r="P14" s="23">
        <v>46275</v>
      </c>
      <c r="Q14" s="22" t="s">
        <v>133</v>
      </c>
      <c r="R14" s="22" t="s">
        <v>784</v>
      </c>
      <c r="S14" s="32">
        <v>0.071</v>
      </c>
      <c r="T14" s="33">
        <v>0</v>
      </c>
      <c r="U14" t="s">
        <v>785</v>
      </c>
    </row>
    <row r="15" ht="24" customHeight="1" spans="1:21">
      <c r="A15" s="22" t="s">
        <v>135</v>
      </c>
      <c r="B15" s="22" t="s">
        <v>139</v>
      </c>
      <c r="C15" s="22" t="s">
        <v>237</v>
      </c>
      <c r="D15" s="22" t="s">
        <v>796</v>
      </c>
      <c r="E15" s="22" t="s">
        <v>140</v>
      </c>
      <c r="F15" s="23">
        <v>46017</v>
      </c>
      <c r="G15" s="26"/>
      <c r="H15" s="26"/>
      <c r="I15" s="26"/>
      <c r="J15" s="26"/>
      <c r="K15" s="26"/>
      <c r="L15" s="30"/>
      <c r="M15" s="30"/>
      <c r="N15" s="22"/>
      <c r="O15" s="23">
        <v>46269</v>
      </c>
      <c r="P15" s="23">
        <v>46275</v>
      </c>
      <c r="Q15" s="22" t="s">
        <v>142</v>
      </c>
      <c r="R15" s="22" t="s">
        <v>784</v>
      </c>
      <c r="S15" s="32"/>
      <c r="T15" s="33">
        <v>0</v>
      </c>
      <c r="U15" t="s">
        <v>785</v>
      </c>
    </row>
    <row r="16" ht="24" customHeight="1" spans="1:21">
      <c r="A16" s="22" t="s">
        <v>144</v>
      </c>
      <c r="B16" s="22" t="s">
        <v>145</v>
      </c>
      <c r="C16" s="22" t="s">
        <v>237</v>
      </c>
      <c r="D16" s="22" t="s">
        <v>796</v>
      </c>
      <c r="E16" s="22" t="s">
        <v>140</v>
      </c>
      <c r="F16" s="23">
        <v>46066</v>
      </c>
      <c r="G16" s="26"/>
      <c r="H16" s="26"/>
      <c r="I16" s="26"/>
      <c r="J16" s="26"/>
      <c r="K16" s="26"/>
      <c r="L16" s="30"/>
      <c r="M16" s="30"/>
      <c r="N16" s="22"/>
      <c r="O16" s="23">
        <v>46269</v>
      </c>
      <c r="P16" s="23">
        <v>46275</v>
      </c>
      <c r="Q16" s="22" t="s">
        <v>148</v>
      </c>
      <c r="R16" s="22" t="s">
        <v>784</v>
      </c>
      <c r="S16" s="34">
        <f>IF(ISNUMBER(补数计算!L13),补数计算!L13,"")</f>
        <v>0.161443539957389</v>
      </c>
      <c r="T16" s="33">
        <v>1</v>
      </c>
      <c r="U16" t="s">
        <v>797</v>
      </c>
    </row>
    <row r="17" ht="24" customHeight="1" spans="1:21">
      <c r="A17" s="22" t="s">
        <v>150</v>
      </c>
      <c r="B17" s="22" t="s">
        <v>151</v>
      </c>
      <c r="C17" s="22" t="s">
        <v>237</v>
      </c>
      <c r="D17" s="22" t="s">
        <v>782</v>
      </c>
      <c r="E17" s="22" t="s">
        <v>152</v>
      </c>
      <c r="F17" s="23">
        <v>44729</v>
      </c>
      <c r="G17" s="26">
        <v>0.0944</v>
      </c>
      <c r="H17" s="26">
        <v>0.0809</v>
      </c>
      <c r="I17" s="26">
        <v>0.9459</v>
      </c>
      <c r="J17" s="26">
        <v>1</v>
      </c>
      <c r="K17" s="26">
        <v>0.0033</v>
      </c>
      <c r="L17" s="30">
        <v>24.1855</v>
      </c>
      <c r="M17" s="30">
        <v>89.586</v>
      </c>
      <c r="N17" s="22" t="s">
        <v>783</v>
      </c>
      <c r="O17" s="23">
        <v>46269</v>
      </c>
      <c r="P17" s="23">
        <v>46275</v>
      </c>
      <c r="Q17" s="22" t="s">
        <v>153</v>
      </c>
      <c r="R17" s="22" t="s">
        <v>784</v>
      </c>
      <c r="S17" s="32">
        <v>0.0713</v>
      </c>
      <c r="T17" s="33">
        <v>0</v>
      </c>
      <c r="U17" t="s">
        <v>785</v>
      </c>
    </row>
    <row r="18" ht="24" customHeight="1" spans="1:21">
      <c r="A18" s="22" t="s">
        <v>155</v>
      </c>
      <c r="B18" s="22" t="s">
        <v>157</v>
      </c>
      <c r="C18" s="22" t="s">
        <v>237</v>
      </c>
      <c r="D18" s="22" t="s">
        <v>782</v>
      </c>
      <c r="E18" s="22" t="s">
        <v>158</v>
      </c>
      <c r="F18" s="23">
        <v>45322</v>
      </c>
      <c r="G18" s="26">
        <v>0.4446</v>
      </c>
      <c r="H18" s="26"/>
      <c r="I18" s="26"/>
      <c r="J18" s="26">
        <v>0.8462</v>
      </c>
      <c r="K18" s="26"/>
      <c r="L18" s="30"/>
      <c r="M18" s="30">
        <v>8.6489</v>
      </c>
      <c r="N18" s="22" t="s">
        <v>783</v>
      </c>
      <c r="O18" s="23">
        <v>46269</v>
      </c>
      <c r="P18" s="23">
        <v>46275</v>
      </c>
      <c r="Q18" s="22" t="s">
        <v>159</v>
      </c>
      <c r="R18" s="22" t="s">
        <v>784</v>
      </c>
      <c r="S18" s="32">
        <v>0.3039</v>
      </c>
      <c r="T18" s="33">
        <v>0</v>
      </c>
      <c r="U18" t="s">
        <v>785</v>
      </c>
    </row>
    <row r="19" ht="24" customHeight="1" spans="1:21">
      <c r="A19" s="22" t="s">
        <v>161</v>
      </c>
      <c r="B19" s="22" t="s">
        <v>162</v>
      </c>
      <c r="C19" s="22" t="s">
        <v>237</v>
      </c>
      <c r="D19" s="22" t="s">
        <v>782</v>
      </c>
      <c r="E19" s="22" t="s">
        <v>158</v>
      </c>
      <c r="F19" s="23">
        <v>45705</v>
      </c>
      <c r="G19" s="26">
        <v>0.2067</v>
      </c>
      <c r="H19" s="26"/>
      <c r="I19" s="26"/>
      <c r="J19" s="26">
        <v>0.8462</v>
      </c>
      <c r="K19" s="26"/>
      <c r="L19" s="30"/>
      <c r="M19" s="30">
        <v>10.9897</v>
      </c>
      <c r="N19" s="22" t="s">
        <v>783</v>
      </c>
      <c r="O19" s="23">
        <v>46269</v>
      </c>
      <c r="P19" s="23">
        <v>46275</v>
      </c>
      <c r="Q19" s="22" t="s">
        <v>163</v>
      </c>
      <c r="R19" s="22" t="s">
        <v>784</v>
      </c>
      <c r="S19" s="32">
        <v>0.1876</v>
      </c>
      <c r="T19" s="33">
        <v>0</v>
      </c>
      <c r="U19" t="s">
        <v>785</v>
      </c>
    </row>
    <row r="20" ht="24" customHeight="1" spans="1:21">
      <c r="A20" s="22" t="s">
        <v>165</v>
      </c>
      <c r="B20" s="22" t="s">
        <v>166</v>
      </c>
      <c r="C20" s="22" t="s">
        <v>237</v>
      </c>
      <c r="D20" s="22" t="s">
        <v>790</v>
      </c>
      <c r="E20" s="22" t="s">
        <v>167</v>
      </c>
      <c r="F20" s="23">
        <v>44305</v>
      </c>
      <c r="G20" s="26">
        <v>0.0054</v>
      </c>
      <c r="H20" s="26">
        <v>0.0383</v>
      </c>
      <c r="I20" s="26">
        <v>0.5946</v>
      </c>
      <c r="J20" s="26">
        <v>0.3846</v>
      </c>
      <c r="K20" s="26">
        <v>0.0199</v>
      </c>
      <c r="L20" s="30">
        <v>1.9291</v>
      </c>
      <c r="M20" s="30">
        <v>0.2728</v>
      </c>
      <c r="N20" s="22" t="s">
        <v>783</v>
      </c>
      <c r="O20" s="23">
        <v>46269</v>
      </c>
      <c r="P20" s="23">
        <v>46275</v>
      </c>
      <c r="Q20" s="22" t="s">
        <v>168</v>
      </c>
      <c r="R20" s="22" t="s">
        <v>784</v>
      </c>
      <c r="S20" s="32">
        <v>0.0466</v>
      </c>
      <c r="T20" s="33">
        <v>0</v>
      </c>
      <c r="U20" t="s">
        <v>785</v>
      </c>
    </row>
    <row r="21" ht="24" customHeight="1" spans="1:21">
      <c r="A21" s="22" t="s">
        <v>170</v>
      </c>
      <c r="B21" s="22" t="s">
        <v>171</v>
      </c>
      <c r="C21" s="22" t="s">
        <v>237</v>
      </c>
      <c r="D21" s="22" t="s">
        <v>782</v>
      </c>
      <c r="E21" s="22" t="s">
        <v>172</v>
      </c>
      <c r="F21" s="23">
        <v>42772</v>
      </c>
      <c r="G21" s="26">
        <v>0.0765</v>
      </c>
      <c r="H21" s="26">
        <v>0.0429</v>
      </c>
      <c r="I21" s="26">
        <v>0.8108</v>
      </c>
      <c r="J21" s="26">
        <v>1</v>
      </c>
      <c r="K21" s="26">
        <v>0.0106</v>
      </c>
      <c r="L21" s="30">
        <v>4.042</v>
      </c>
      <c r="M21" s="30">
        <v>9.7894</v>
      </c>
      <c r="N21" s="22" t="s">
        <v>783</v>
      </c>
      <c r="O21" s="23">
        <v>46269</v>
      </c>
      <c r="P21" s="23">
        <v>46275</v>
      </c>
      <c r="Q21" s="22" t="s">
        <v>173</v>
      </c>
      <c r="R21" s="22" t="s">
        <v>784</v>
      </c>
      <c r="S21" s="32">
        <v>0.1093</v>
      </c>
      <c r="T21" s="33">
        <v>0</v>
      </c>
      <c r="U21" t="s">
        <v>785</v>
      </c>
    </row>
    <row r="22" ht="24" customHeight="1" spans="1:21">
      <c r="A22" s="22" t="s">
        <v>175</v>
      </c>
      <c r="B22" s="22" t="s">
        <v>176</v>
      </c>
      <c r="C22" s="22" t="s">
        <v>237</v>
      </c>
      <c r="D22" s="22" t="s">
        <v>782</v>
      </c>
      <c r="E22" s="22" t="s">
        <v>177</v>
      </c>
      <c r="F22" s="23">
        <v>44462</v>
      </c>
      <c r="G22" s="26">
        <v>0.1359</v>
      </c>
      <c r="H22" s="26">
        <v>0.1668</v>
      </c>
      <c r="I22" s="26">
        <v>1</v>
      </c>
      <c r="J22" s="26">
        <v>1</v>
      </c>
      <c r="K22" s="26">
        <v>0.0027</v>
      </c>
      <c r="L22" s="30">
        <v>61.2582</v>
      </c>
      <c r="M22" s="30">
        <v>49.9044</v>
      </c>
      <c r="N22" s="22" t="s">
        <v>783</v>
      </c>
      <c r="O22" s="23">
        <v>46269</v>
      </c>
      <c r="P22" s="23">
        <v>46275</v>
      </c>
      <c r="Q22" s="22" t="s">
        <v>178</v>
      </c>
      <c r="R22" s="22" t="s">
        <v>784</v>
      </c>
      <c r="S22" s="32">
        <v>0.1457</v>
      </c>
      <c r="T22" s="33">
        <v>0</v>
      </c>
      <c r="U22" t="s">
        <v>785</v>
      </c>
    </row>
    <row r="23" ht="24" customHeight="1" spans="1:21">
      <c r="A23" s="22" t="s">
        <v>180</v>
      </c>
      <c r="B23" s="22" t="s">
        <v>182</v>
      </c>
      <c r="C23" s="22" t="s">
        <v>237</v>
      </c>
      <c r="D23" s="22" t="s">
        <v>782</v>
      </c>
      <c r="E23" s="22" t="s">
        <v>183</v>
      </c>
      <c r="F23" s="23">
        <v>44936</v>
      </c>
      <c r="G23" s="26">
        <v>0.076</v>
      </c>
      <c r="H23" s="26">
        <v>0.0589</v>
      </c>
      <c r="I23" s="26">
        <v>0.8108</v>
      </c>
      <c r="J23" s="26">
        <v>0.9231</v>
      </c>
      <c r="K23" s="26">
        <v>0.0244</v>
      </c>
      <c r="L23" s="30">
        <v>2.4113</v>
      </c>
      <c r="M23" s="30">
        <v>16.5592</v>
      </c>
      <c r="N23" s="22" t="s">
        <v>783</v>
      </c>
      <c r="O23" s="23">
        <v>46269</v>
      </c>
      <c r="P23" s="23">
        <v>46275</v>
      </c>
      <c r="Q23" s="22" t="s">
        <v>184</v>
      </c>
      <c r="R23" s="22" t="s">
        <v>784</v>
      </c>
      <c r="S23" s="32">
        <v>0.0514</v>
      </c>
      <c r="T23" s="33">
        <v>0</v>
      </c>
      <c r="U23" t="s">
        <v>785</v>
      </c>
    </row>
    <row r="24" ht="24" customHeight="1" spans="1:21">
      <c r="A24" s="22" t="s">
        <v>186</v>
      </c>
      <c r="B24" s="22" t="s">
        <v>188</v>
      </c>
      <c r="C24" s="22" t="s">
        <v>237</v>
      </c>
      <c r="D24" s="22" t="s">
        <v>782</v>
      </c>
      <c r="E24" s="22" t="s">
        <v>189</v>
      </c>
      <c r="F24" s="23">
        <v>44537</v>
      </c>
      <c r="G24" s="26">
        <v>0.0873</v>
      </c>
      <c r="H24" s="26">
        <v>0.1196</v>
      </c>
      <c r="I24" s="26">
        <v>0.5946</v>
      </c>
      <c r="J24" s="26">
        <v>0.5385</v>
      </c>
      <c r="K24" s="26">
        <v>0.0894</v>
      </c>
      <c r="L24" s="30">
        <v>1.3375</v>
      </c>
      <c r="M24" s="30">
        <v>0.9764</v>
      </c>
      <c r="N24" s="22" t="s">
        <v>783</v>
      </c>
      <c r="O24" s="23">
        <v>46269</v>
      </c>
      <c r="P24" s="23">
        <v>46275</v>
      </c>
      <c r="Q24" s="22" t="s">
        <v>191</v>
      </c>
      <c r="R24" s="22" t="s">
        <v>784</v>
      </c>
      <c r="S24" s="32">
        <v>0.1037</v>
      </c>
      <c r="T24" s="33">
        <v>0</v>
      </c>
      <c r="U24" t="s">
        <v>785</v>
      </c>
    </row>
    <row r="25" ht="24" customHeight="1" spans="1:21">
      <c r="A25" s="22" t="s">
        <v>193</v>
      </c>
      <c r="B25" s="22" t="s">
        <v>194</v>
      </c>
      <c r="C25" s="22" t="s">
        <v>237</v>
      </c>
      <c r="D25" s="22" t="s">
        <v>792</v>
      </c>
      <c r="E25" s="22" t="s">
        <v>195</v>
      </c>
      <c r="F25" s="23">
        <v>45694</v>
      </c>
      <c r="G25" s="29">
        <f>IF(ISNUMBER(补数计算!L68),补数计算!L68,"")</f>
        <v>0.316969734003115</v>
      </c>
      <c r="H25" s="26"/>
      <c r="I25" s="26"/>
      <c r="J25" s="26"/>
      <c r="K25" s="26"/>
      <c r="L25" s="30"/>
      <c r="M25" s="31">
        <f>IF(ISNUMBER(补数计算!N68),补数计算!N68,"")</f>
        <v>51.1242695390374</v>
      </c>
      <c r="N25" s="22" t="s">
        <v>783</v>
      </c>
      <c r="O25" s="23">
        <v>46269</v>
      </c>
      <c r="P25" s="23">
        <v>46275</v>
      </c>
      <c r="Q25" s="22" t="s">
        <v>196</v>
      </c>
      <c r="R25" s="22" t="s">
        <v>784</v>
      </c>
      <c r="S25" s="34">
        <f>IF(ISNUMBER(补数计算!L70),补数计算!L70,"")</f>
        <v>0.22997763561791</v>
      </c>
      <c r="T25" s="33">
        <v>3</v>
      </c>
      <c r="U25" t="s">
        <v>798</v>
      </c>
    </row>
    <row r="26" ht="24" customHeight="1" spans="1:21">
      <c r="A26" s="22" t="s">
        <v>198</v>
      </c>
      <c r="B26" s="22" t="s">
        <v>199</v>
      </c>
      <c r="C26" s="22" t="s">
        <v>237</v>
      </c>
      <c r="D26" s="22" t="s">
        <v>792</v>
      </c>
      <c r="E26" s="22" t="s">
        <v>195</v>
      </c>
      <c r="F26" s="23">
        <v>45749</v>
      </c>
      <c r="G26" s="29">
        <f>IF(ISNUMBER(补数计算!L71),补数计算!L71,"")</f>
        <v>0.112408879112008</v>
      </c>
      <c r="H26" s="26"/>
      <c r="I26" s="26"/>
      <c r="J26" s="29">
        <f>IF(ISNUMBER(补数计算!O71),补数计算!O71,"")</f>
        <v>0.846153846153846</v>
      </c>
      <c r="K26" s="26"/>
      <c r="L26" s="30"/>
      <c r="M26" s="31">
        <f>IF(ISNUMBER(补数计算!N71),补数计算!N71,"")</f>
        <v>26.3368894264932</v>
      </c>
      <c r="N26" s="22" t="s">
        <v>783</v>
      </c>
      <c r="O26" s="23">
        <v>46269</v>
      </c>
      <c r="P26" s="23">
        <v>46275</v>
      </c>
      <c r="Q26" s="22" t="s">
        <v>200</v>
      </c>
      <c r="R26" s="22" t="s">
        <v>784</v>
      </c>
      <c r="S26" s="32"/>
      <c r="T26" s="33">
        <v>3</v>
      </c>
      <c r="U26" t="s">
        <v>799</v>
      </c>
    </row>
    <row r="27" ht="24" customHeight="1" spans="1:21">
      <c r="A27" s="22" t="s">
        <v>202</v>
      </c>
      <c r="B27" s="22" t="s">
        <v>203</v>
      </c>
      <c r="C27" s="22" t="s">
        <v>237</v>
      </c>
      <c r="D27" s="22" t="s">
        <v>792</v>
      </c>
      <c r="E27" s="22" t="s">
        <v>195</v>
      </c>
      <c r="F27" s="23">
        <v>45818</v>
      </c>
      <c r="G27" s="29">
        <f>IF(ISNUMBER(补数计算!L74),补数计算!L74,"")</f>
        <v>0.0853083964433377</v>
      </c>
      <c r="H27" s="26"/>
      <c r="I27" s="26"/>
      <c r="J27" s="26"/>
      <c r="K27" s="26"/>
      <c r="L27" s="30"/>
      <c r="M27" s="31">
        <f>IF(ISNUMBER(补数计算!N74),补数计算!N74,"")</f>
        <v>20.4363207386701</v>
      </c>
      <c r="N27" s="22" t="s">
        <v>783</v>
      </c>
      <c r="O27" s="23">
        <v>46269</v>
      </c>
      <c r="P27" s="23">
        <v>46275</v>
      </c>
      <c r="Q27" s="22" t="s">
        <v>204</v>
      </c>
      <c r="R27" s="22" t="s">
        <v>784</v>
      </c>
      <c r="S27" s="32"/>
      <c r="T27" s="33">
        <v>2</v>
      </c>
      <c r="U27" t="s">
        <v>800</v>
      </c>
    </row>
    <row r="28" ht="24" customHeight="1" spans="1:21">
      <c r="A28" s="22" t="s">
        <v>206</v>
      </c>
      <c r="B28" s="22" t="s">
        <v>207</v>
      </c>
      <c r="C28" s="22" t="s">
        <v>237</v>
      </c>
      <c r="D28" s="22" t="s">
        <v>796</v>
      </c>
      <c r="E28" s="22" t="s">
        <v>208</v>
      </c>
      <c r="F28" s="23">
        <v>45652</v>
      </c>
      <c r="G28" s="29">
        <f>IF(ISNUMBER(补数计算!L59),补数计算!L59,"")</f>
        <v>0.011707709978378</v>
      </c>
      <c r="H28" s="26"/>
      <c r="I28" s="26"/>
      <c r="J28" s="29">
        <f>IF(ISNUMBER(补数计算!O59),补数计算!O59,"")</f>
        <v>0.538461538461538</v>
      </c>
      <c r="K28" s="26"/>
      <c r="L28" s="30"/>
      <c r="M28" s="31">
        <f>IF(ISNUMBER(补数计算!N59),补数计算!N59,"")</f>
        <v>0.172627102654873</v>
      </c>
      <c r="N28" s="22" t="s">
        <v>783</v>
      </c>
      <c r="O28" s="23">
        <v>46269</v>
      </c>
      <c r="P28" s="23">
        <v>46275</v>
      </c>
      <c r="Q28" s="22" t="s">
        <v>209</v>
      </c>
      <c r="R28" s="22" t="s">
        <v>784</v>
      </c>
      <c r="S28" s="34">
        <f>IF(ISNUMBER(补数计算!L61),补数计算!L61,"")</f>
        <v>0.0268458961775353</v>
      </c>
      <c r="T28" s="33">
        <v>4</v>
      </c>
      <c r="U28" t="s">
        <v>801</v>
      </c>
    </row>
    <row r="29" ht="24" customHeight="1" spans="1:21">
      <c r="A29" s="22" t="s">
        <v>211</v>
      </c>
      <c r="B29" s="22" t="s">
        <v>213</v>
      </c>
      <c r="C29" s="22" t="s">
        <v>237</v>
      </c>
      <c r="D29" s="22" t="s">
        <v>782</v>
      </c>
      <c r="E29" s="22" t="s">
        <v>214</v>
      </c>
      <c r="F29" s="23">
        <v>46094</v>
      </c>
      <c r="G29" s="26"/>
      <c r="H29" s="26"/>
      <c r="I29" s="26"/>
      <c r="J29" s="26"/>
      <c r="K29" s="26"/>
      <c r="L29" s="30"/>
      <c r="M29" s="30"/>
      <c r="N29" s="22"/>
      <c r="O29" s="23">
        <v>46269</v>
      </c>
      <c r="P29" s="23">
        <v>46275</v>
      </c>
      <c r="Q29" s="22" t="s">
        <v>215</v>
      </c>
      <c r="R29" s="22" t="s">
        <v>784</v>
      </c>
      <c r="S29" s="34">
        <f>IF(ISNUMBER(补数计算!L16),补数计算!L16,"")</f>
        <v>0.00375795437634197</v>
      </c>
      <c r="T29" s="33">
        <v>1</v>
      </c>
      <c r="U29" t="s">
        <v>802</v>
      </c>
    </row>
    <row r="30" ht="24" customHeight="1" spans="1:21">
      <c r="A30" s="22" t="s">
        <v>217</v>
      </c>
      <c r="B30" s="22" t="s">
        <v>218</v>
      </c>
      <c r="C30" s="22" t="s">
        <v>237</v>
      </c>
      <c r="D30" s="22" t="s">
        <v>782</v>
      </c>
      <c r="E30" s="22" t="s">
        <v>219</v>
      </c>
      <c r="F30" s="23">
        <v>44271</v>
      </c>
      <c r="G30" s="26">
        <v>0.1369</v>
      </c>
      <c r="H30" s="26">
        <v>0.1341</v>
      </c>
      <c r="I30" s="26">
        <v>0.8919</v>
      </c>
      <c r="J30" s="26">
        <v>1</v>
      </c>
      <c r="K30" s="26">
        <v>0.0249</v>
      </c>
      <c r="L30" s="30">
        <v>5.3886</v>
      </c>
      <c r="M30" s="30">
        <v>28.8428</v>
      </c>
      <c r="N30" s="22" t="s">
        <v>803</v>
      </c>
      <c r="O30" s="23">
        <v>46269</v>
      </c>
      <c r="P30" s="23">
        <v>46275</v>
      </c>
      <c r="Q30" s="22" t="s">
        <v>222</v>
      </c>
      <c r="R30" s="22" t="s">
        <v>784</v>
      </c>
      <c r="S30" s="32">
        <v>0.1149</v>
      </c>
      <c r="T30" s="33">
        <v>0</v>
      </c>
      <c r="U30" t="s">
        <v>785</v>
      </c>
    </row>
    <row r="31" ht="24" customHeight="1" spans="1:21">
      <c r="A31" s="22" t="s">
        <v>224</v>
      </c>
      <c r="B31" s="22" t="s">
        <v>225</v>
      </c>
      <c r="C31" s="22" t="s">
        <v>237</v>
      </c>
      <c r="D31" s="22" t="s">
        <v>782</v>
      </c>
      <c r="E31" s="22" t="s">
        <v>226</v>
      </c>
      <c r="F31" s="23">
        <v>44061</v>
      </c>
      <c r="G31" s="26">
        <v>0.3558</v>
      </c>
      <c r="H31" s="26"/>
      <c r="I31" s="26"/>
      <c r="J31" s="26">
        <v>0.7692</v>
      </c>
      <c r="K31" s="26"/>
      <c r="L31" s="30"/>
      <c r="M31" s="30">
        <v>13.8749</v>
      </c>
      <c r="N31" s="22" t="s">
        <v>783</v>
      </c>
      <c r="O31" s="23">
        <v>46269</v>
      </c>
      <c r="P31" s="23">
        <v>46275</v>
      </c>
      <c r="Q31" s="22" t="s">
        <v>227</v>
      </c>
      <c r="R31" s="22" t="s">
        <v>784</v>
      </c>
      <c r="S31" s="32">
        <v>0.2739</v>
      </c>
      <c r="T31" s="33">
        <v>0</v>
      </c>
      <c r="U31" t="s">
        <v>785</v>
      </c>
    </row>
    <row r="32" ht="24" customHeight="1" spans="1:21">
      <c r="A32" s="22" t="s">
        <v>229</v>
      </c>
      <c r="B32" s="22" t="s">
        <v>231</v>
      </c>
      <c r="C32" s="22" t="s">
        <v>237</v>
      </c>
      <c r="D32" s="22" t="s">
        <v>782</v>
      </c>
      <c r="E32" s="22" t="s">
        <v>232</v>
      </c>
      <c r="F32" s="23">
        <v>44323</v>
      </c>
      <c r="G32" s="29">
        <f>IF(ISNUMBER(补数计算!L62),补数计算!L62,"")</f>
        <v>0.109031152301643</v>
      </c>
      <c r="H32" s="29">
        <f>IF(ISNUMBER(补数计算!L63),补数计算!L63,"")</f>
        <v>0.0803812845919136</v>
      </c>
      <c r="I32" s="26"/>
      <c r="J32" s="26"/>
      <c r="K32" s="29">
        <f>IF(ISNUMBER(补数计算!M63),补数计算!M63,"")</f>
        <v>0.00826733361122689</v>
      </c>
      <c r="L32" s="31">
        <f>IF(ISNUMBER(补数计算!N63),补数计算!N63,"")</f>
        <v>9.72275807072274</v>
      </c>
      <c r="M32" s="31">
        <f>IF(ISNUMBER(补数计算!N62),补数计算!N62,"")</f>
        <v>13.1881882876458</v>
      </c>
      <c r="N32" s="22" t="s">
        <v>783</v>
      </c>
      <c r="O32" s="23">
        <v>46269</v>
      </c>
      <c r="P32" s="23">
        <v>46275</v>
      </c>
      <c r="Q32" s="22" t="s">
        <v>233</v>
      </c>
      <c r="R32" s="22" t="s">
        <v>784</v>
      </c>
      <c r="S32" s="34">
        <f>IF(ISNUMBER(补数计算!L64),补数计算!L64,"")</f>
        <v>0.0898549556576955</v>
      </c>
      <c r="T32" s="33">
        <v>6</v>
      </c>
      <c r="U32" t="s">
        <v>804</v>
      </c>
    </row>
    <row r="33" ht="24" customHeight="1" spans="1:21">
      <c r="A33" s="22" t="s">
        <v>235</v>
      </c>
      <c r="B33" s="22" t="s">
        <v>238</v>
      </c>
      <c r="C33" s="22" t="s">
        <v>237</v>
      </c>
      <c r="D33" s="22"/>
      <c r="E33" s="22" t="s">
        <v>239</v>
      </c>
      <c r="F33" s="23">
        <v>46049</v>
      </c>
      <c r="G33" s="26"/>
      <c r="H33" s="26"/>
      <c r="I33" s="26"/>
      <c r="J33" s="26"/>
      <c r="K33" s="26"/>
      <c r="L33" s="30"/>
      <c r="M33" s="30"/>
      <c r="N33" s="22" t="s">
        <v>783</v>
      </c>
      <c r="O33" s="23">
        <v>46269</v>
      </c>
      <c r="P33" s="23">
        <v>46275</v>
      </c>
      <c r="Q33" s="22" t="s">
        <v>241</v>
      </c>
      <c r="R33" s="22" t="s">
        <v>784</v>
      </c>
      <c r="S33" s="34">
        <f>IF(ISNUMBER(补数计算!L37),补数计算!L37,"")</f>
        <v>0.137766765771663</v>
      </c>
      <c r="T33" s="33">
        <v>1</v>
      </c>
      <c r="U33" t="s">
        <v>805</v>
      </c>
    </row>
    <row r="34" ht="24" customHeight="1" spans="1:21">
      <c r="A34" s="22" t="s">
        <v>243</v>
      </c>
      <c r="B34" s="22" t="s">
        <v>244</v>
      </c>
      <c r="C34" s="22" t="s">
        <v>237</v>
      </c>
      <c r="D34" s="22" t="s">
        <v>782</v>
      </c>
      <c r="E34" s="22" t="s">
        <v>245</v>
      </c>
      <c r="F34" s="23">
        <v>45594</v>
      </c>
      <c r="G34" s="29">
        <f>IF(ISNUMBER(补数计算!L56),补数计算!L56,"")</f>
        <v>-0.0482785647879772</v>
      </c>
      <c r="H34" s="26"/>
      <c r="I34" s="26"/>
      <c r="J34" s="29">
        <f>IF(ISNUMBER(补数计算!O56),补数计算!O56,"")</f>
        <v>0.538461538461538</v>
      </c>
      <c r="K34" s="26"/>
      <c r="L34" s="30"/>
      <c r="M34" s="31">
        <f>IF(ISNUMBER(补数计算!N56),补数计算!N56,"")</f>
        <v>-0.395526882367967</v>
      </c>
      <c r="N34" s="22" t="s">
        <v>783</v>
      </c>
      <c r="O34" s="23">
        <v>46269</v>
      </c>
      <c r="P34" s="23">
        <v>46275</v>
      </c>
      <c r="Q34" s="22" t="s">
        <v>246</v>
      </c>
      <c r="R34" s="22" t="s">
        <v>784</v>
      </c>
      <c r="S34" s="32"/>
      <c r="T34" s="33">
        <v>3</v>
      </c>
      <c r="U34" t="s">
        <v>806</v>
      </c>
    </row>
    <row r="35" ht="24" customHeight="1" spans="1:21">
      <c r="A35" s="22" t="s">
        <v>248</v>
      </c>
      <c r="B35" s="22" t="s">
        <v>249</v>
      </c>
      <c r="C35" s="22" t="s">
        <v>237</v>
      </c>
      <c r="D35" s="22" t="s">
        <v>796</v>
      </c>
      <c r="E35" s="22" t="s">
        <v>250</v>
      </c>
      <c r="F35" s="23">
        <v>44196</v>
      </c>
      <c r="G35" s="29">
        <f>IF(ISNUMBER(补数计算!L53),补数计算!L53,"")</f>
        <v>0.0648994493369395</v>
      </c>
      <c r="H35" s="29">
        <f>IF(ISNUMBER(补数计算!L54),补数计算!L54,"")</f>
        <v>0.0854840487275965</v>
      </c>
      <c r="I35" s="29">
        <f>IF(ISNUMBER(补数计算!O54),补数计算!O54,"")</f>
        <v>0.918918918918919</v>
      </c>
      <c r="J35" s="29">
        <f>IF(ISNUMBER(补数计算!O53),补数计算!O53,"")</f>
        <v>1</v>
      </c>
      <c r="K35" s="29">
        <f>IF(ISNUMBER(补数计算!M54),补数计算!M54,"")</f>
        <v>0.003369637162284</v>
      </c>
      <c r="L35" s="31">
        <f>IF(ISNUMBER(补数计算!N54),补数计算!N54,"")</f>
        <v>25.3689179607854</v>
      </c>
      <c r="M35" s="31">
        <f>IF(ISNUMBER(补数计算!N53),补数计算!N53,"")</f>
        <v>43.8279888397176</v>
      </c>
      <c r="N35" s="22" t="s">
        <v>783</v>
      </c>
      <c r="O35" s="23">
        <v>46269</v>
      </c>
      <c r="P35" s="23">
        <v>46275</v>
      </c>
      <c r="Q35" s="22" t="s">
        <v>252</v>
      </c>
      <c r="R35" s="22" t="s">
        <v>784</v>
      </c>
      <c r="S35" s="34">
        <f>IF(ISNUMBER(补数计算!L55),补数计算!L55,"")</f>
        <v>0.128288174778181</v>
      </c>
      <c r="T35" s="33">
        <v>8</v>
      </c>
      <c r="U35" t="s">
        <v>807</v>
      </c>
    </row>
    <row r="36" ht="24" customHeight="1" spans="1:21">
      <c r="A36" s="22" t="s">
        <v>254</v>
      </c>
      <c r="B36" s="22" t="s">
        <v>255</v>
      </c>
      <c r="C36" s="22" t="s">
        <v>237</v>
      </c>
      <c r="D36" s="22" t="s">
        <v>782</v>
      </c>
      <c r="E36" s="22" t="s">
        <v>256</v>
      </c>
      <c r="F36" s="23">
        <v>44489</v>
      </c>
      <c r="G36" s="26">
        <v>0.0869</v>
      </c>
      <c r="H36" s="26">
        <v>0.0498</v>
      </c>
      <c r="I36" s="26">
        <v>0.7297</v>
      </c>
      <c r="J36" s="26">
        <v>0.7692</v>
      </c>
      <c r="K36" s="26">
        <v>0.013</v>
      </c>
      <c r="L36" s="30">
        <v>3.8289</v>
      </c>
      <c r="M36" s="30">
        <v>20.6535</v>
      </c>
      <c r="N36" s="22" t="s">
        <v>783</v>
      </c>
      <c r="O36" s="23">
        <v>46269</v>
      </c>
      <c r="P36" s="23">
        <v>46275</v>
      </c>
      <c r="Q36" s="22" t="s">
        <v>257</v>
      </c>
      <c r="R36" s="22" t="s">
        <v>784</v>
      </c>
      <c r="S36" s="32">
        <v>0.0697</v>
      </c>
      <c r="T36" s="33">
        <v>0</v>
      </c>
      <c r="U36" t="s">
        <v>785</v>
      </c>
    </row>
    <row r="37" ht="24" customHeight="1" spans="1:21">
      <c r="A37" s="28" t="s">
        <v>808</v>
      </c>
      <c r="B37" s="22" t="s">
        <v>260</v>
      </c>
      <c r="C37" s="22" t="s">
        <v>237</v>
      </c>
      <c r="D37" s="22" t="s">
        <v>782</v>
      </c>
      <c r="E37" s="22" t="s">
        <v>261</v>
      </c>
      <c r="F37" s="23">
        <v>45096</v>
      </c>
      <c r="G37" s="26"/>
      <c r="H37" s="26"/>
      <c r="I37" s="26"/>
      <c r="J37" s="26"/>
      <c r="K37" s="26"/>
      <c r="L37" s="30"/>
      <c r="M37" s="30"/>
      <c r="N37" s="22" t="s">
        <v>783</v>
      </c>
      <c r="O37" s="23">
        <v>46269</v>
      </c>
      <c r="P37" s="23">
        <v>46275</v>
      </c>
      <c r="Q37" s="22" t="s">
        <v>262</v>
      </c>
      <c r="R37" s="22" t="s">
        <v>784</v>
      </c>
      <c r="S37" s="32"/>
      <c r="T37" s="33">
        <v>0</v>
      </c>
      <c r="U37" t="s">
        <v>785</v>
      </c>
    </row>
    <row r="38" ht="24" customHeight="1" spans="1:21">
      <c r="A38" s="22" t="s">
        <v>264</v>
      </c>
      <c r="B38" s="22" t="s">
        <v>265</v>
      </c>
      <c r="C38" s="22" t="s">
        <v>237</v>
      </c>
      <c r="D38" s="22" t="s">
        <v>782</v>
      </c>
      <c r="E38" s="22" t="s">
        <v>266</v>
      </c>
      <c r="F38" s="23">
        <v>43937</v>
      </c>
      <c r="G38" s="26">
        <v>0.0406</v>
      </c>
      <c r="H38" s="26">
        <v>0.0728</v>
      </c>
      <c r="I38" s="26">
        <v>0.8919</v>
      </c>
      <c r="J38" s="26">
        <v>0.7692</v>
      </c>
      <c r="K38" s="26">
        <v>0.0047</v>
      </c>
      <c r="L38" s="30">
        <v>15.5368</v>
      </c>
      <c r="M38" s="30">
        <v>8.6508</v>
      </c>
      <c r="N38" s="22" t="s">
        <v>783</v>
      </c>
      <c r="O38" s="23">
        <v>46269</v>
      </c>
      <c r="P38" s="23">
        <v>46275</v>
      </c>
      <c r="Q38" s="22" t="s">
        <v>267</v>
      </c>
      <c r="R38" s="22" t="s">
        <v>784</v>
      </c>
      <c r="S38" s="32">
        <v>0.1002</v>
      </c>
      <c r="T38" s="33">
        <v>0</v>
      </c>
      <c r="U38" t="s">
        <v>785</v>
      </c>
    </row>
    <row r="39" ht="24" customHeight="1" spans="1:21">
      <c r="A39" s="22" t="s">
        <v>269</v>
      </c>
      <c r="B39" s="22" t="s">
        <v>271</v>
      </c>
      <c r="C39" s="22" t="s">
        <v>237</v>
      </c>
      <c r="D39" s="22" t="s">
        <v>782</v>
      </c>
      <c r="E39" s="22" t="s">
        <v>272</v>
      </c>
      <c r="F39" s="23">
        <v>44088</v>
      </c>
      <c r="G39" s="26">
        <v>0.0505</v>
      </c>
      <c r="H39" s="26">
        <v>0.0567</v>
      </c>
      <c r="I39" s="26">
        <v>0.8649</v>
      </c>
      <c r="J39" s="26">
        <v>0.7692</v>
      </c>
      <c r="K39" s="26">
        <v>0.0251</v>
      </c>
      <c r="L39" s="30">
        <v>2.2574</v>
      </c>
      <c r="M39" s="30">
        <v>2.0133</v>
      </c>
      <c r="N39" s="22" t="s">
        <v>783</v>
      </c>
      <c r="O39" s="23">
        <v>46269</v>
      </c>
      <c r="P39" s="23">
        <v>46275</v>
      </c>
      <c r="Q39" s="22" t="s">
        <v>273</v>
      </c>
      <c r="R39" s="22" t="s">
        <v>784</v>
      </c>
      <c r="S39" s="32">
        <v>0.0599</v>
      </c>
      <c r="T39" s="33">
        <v>0</v>
      </c>
      <c r="U39" t="s">
        <v>785</v>
      </c>
    </row>
    <row r="40" ht="24" customHeight="1" spans="1:21">
      <c r="A40" s="22" t="s">
        <v>275</v>
      </c>
      <c r="B40" s="22" t="s">
        <v>276</v>
      </c>
      <c r="C40" s="22" t="s">
        <v>237</v>
      </c>
      <c r="D40" s="22" t="s">
        <v>792</v>
      </c>
      <c r="E40" s="22" t="s">
        <v>277</v>
      </c>
      <c r="F40" s="23">
        <v>44571</v>
      </c>
      <c r="G40" s="26">
        <v>0.1092</v>
      </c>
      <c r="H40" s="26">
        <v>0.1448</v>
      </c>
      <c r="I40" s="26">
        <v>0.9459</v>
      </c>
      <c r="J40" s="26">
        <v>0.9231</v>
      </c>
      <c r="K40" s="26">
        <v>0.0057</v>
      </c>
      <c r="L40" s="30">
        <v>25.3725</v>
      </c>
      <c r="M40" s="30">
        <v>19.1426</v>
      </c>
      <c r="N40" s="22" t="s">
        <v>783</v>
      </c>
      <c r="O40" s="23">
        <v>46269</v>
      </c>
      <c r="P40" s="23">
        <v>46275</v>
      </c>
      <c r="Q40" s="22" t="s">
        <v>279</v>
      </c>
      <c r="R40" s="22" t="s">
        <v>784</v>
      </c>
      <c r="S40" s="32">
        <v>0.1133</v>
      </c>
      <c r="T40" s="33">
        <v>0</v>
      </c>
      <c r="U40" t="s">
        <v>785</v>
      </c>
    </row>
    <row r="41" ht="24" customHeight="1" spans="1:21">
      <c r="A41" s="22" t="s">
        <v>281</v>
      </c>
      <c r="B41" s="22" t="s">
        <v>283</v>
      </c>
      <c r="C41" s="22" t="s">
        <v>237</v>
      </c>
      <c r="D41" s="22" t="s">
        <v>782</v>
      </c>
      <c r="E41" s="22" t="s">
        <v>284</v>
      </c>
      <c r="F41" s="23">
        <v>44750</v>
      </c>
      <c r="G41" s="26">
        <v>0.1031</v>
      </c>
      <c r="H41" s="26">
        <v>0.0898</v>
      </c>
      <c r="I41" s="26">
        <v>0.7027</v>
      </c>
      <c r="J41" s="26">
        <v>0.6923</v>
      </c>
      <c r="K41" s="26">
        <v>0.0402</v>
      </c>
      <c r="L41" s="30">
        <v>2.2337</v>
      </c>
      <c r="M41" s="30">
        <v>2.5636</v>
      </c>
      <c r="N41" s="22" t="s">
        <v>783</v>
      </c>
      <c r="O41" s="23">
        <v>46269</v>
      </c>
      <c r="P41" s="23">
        <v>46275</v>
      </c>
      <c r="Q41" s="22" t="s">
        <v>286</v>
      </c>
      <c r="R41" s="22" t="s">
        <v>784</v>
      </c>
      <c r="S41" s="32">
        <v>0.1139</v>
      </c>
      <c r="T41" s="33">
        <v>0</v>
      </c>
      <c r="U41" t="s">
        <v>785</v>
      </c>
    </row>
    <row r="42" ht="24" customHeight="1" spans="1:21">
      <c r="A42" s="22" t="s">
        <v>288</v>
      </c>
      <c r="B42" s="22" t="s">
        <v>289</v>
      </c>
      <c r="C42" s="22" t="s">
        <v>237</v>
      </c>
      <c r="D42" s="22" t="s">
        <v>782</v>
      </c>
      <c r="E42" s="22" t="s">
        <v>284</v>
      </c>
      <c r="F42" s="23">
        <v>45166</v>
      </c>
      <c r="G42" s="26">
        <v>0.1102</v>
      </c>
      <c r="H42" s="26">
        <v>0.0942</v>
      </c>
      <c r="I42" s="26">
        <v>0.7838</v>
      </c>
      <c r="J42" s="26">
        <v>0.6923</v>
      </c>
      <c r="K42" s="26">
        <v>0.0375</v>
      </c>
      <c r="L42" s="30">
        <v>2.5144</v>
      </c>
      <c r="M42" s="30">
        <v>2.94</v>
      </c>
      <c r="N42" s="22" t="s">
        <v>783</v>
      </c>
      <c r="O42" s="23">
        <v>46269</v>
      </c>
      <c r="P42" s="23">
        <v>46275</v>
      </c>
      <c r="Q42" s="22" t="s">
        <v>290</v>
      </c>
      <c r="R42" s="22" t="s">
        <v>784</v>
      </c>
      <c r="S42" s="32">
        <v>0.0939</v>
      </c>
      <c r="T42" s="33">
        <v>0</v>
      </c>
      <c r="U42" t="s">
        <v>785</v>
      </c>
    </row>
    <row r="43" ht="24" customHeight="1" spans="1:21">
      <c r="A43" s="22" t="s">
        <v>292</v>
      </c>
      <c r="B43" s="22" t="s">
        <v>293</v>
      </c>
      <c r="C43" s="22" t="s">
        <v>237</v>
      </c>
      <c r="D43" s="22" t="s">
        <v>782</v>
      </c>
      <c r="E43" s="22" t="s">
        <v>284</v>
      </c>
      <c r="F43" s="23">
        <v>45376</v>
      </c>
      <c r="G43" s="26">
        <v>0.1317</v>
      </c>
      <c r="H43" s="26"/>
      <c r="I43" s="26"/>
      <c r="J43" s="26">
        <v>0.8462</v>
      </c>
      <c r="K43" s="26"/>
      <c r="L43" s="30"/>
      <c r="M43" s="30">
        <v>10.4605</v>
      </c>
      <c r="N43" s="22" t="s">
        <v>783</v>
      </c>
      <c r="O43" s="23">
        <v>46269</v>
      </c>
      <c r="P43" s="23">
        <v>46275</v>
      </c>
      <c r="Q43" s="22" t="s">
        <v>294</v>
      </c>
      <c r="R43" s="22" t="s">
        <v>784</v>
      </c>
      <c r="S43" s="32">
        <v>0.0882</v>
      </c>
      <c r="T43" s="33">
        <v>0</v>
      </c>
      <c r="U43" t="s">
        <v>785</v>
      </c>
    </row>
    <row r="44" ht="24" customHeight="1" spans="1:21">
      <c r="A44" s="22" t="s">
        <v>296</v>
      </c>
      <c r="B44" s="22" t="s">
        <v>298</v>
      </c>
      <c r="C44" s="22" t="s">
        <v>122</v>
      </c>
      <c r="D44" s="22" t="s">
        <v>795</v>
      </c>
      <c r="E44" s="22" t="s">
        <v>284</v>
      </c>
      <c r="F44" s="23">
        <v>44691</v>
      </c>
      <c r="G44" s="26">
        <v>0.0804</v>
      </c>
      <c r="H44" s="26">
        <v>0.079</v>
      </c>
      <c r="I44" s="26">
        <v>1</v>
      </c>
      <c r="J44" s="26">
        <v>1</v>
      </c>
      <c r="K44" s="26">
        <v>0.0084</v>
      </c>
      <c r="L44" s="30">
        <v>9.4502</v>
      </c>
      <c r="M44" s="30">
        <v>23.319</v>
      </c>
      <c r="N44" s="22" t="s">
        <v>783</v>
      </c>
      <c r="O44" s="23">
        <v>46269</v>
      </c>
      <c r="P44" s="23">
        <v>46275</v>
      </c>
      <c r="Q44" s="22" t="s">
        <v>300</v>
      </c>
      <c r="R44" s="22" t="s">
        <v>784</v>
      </c>
      <c r="S44" s="32">
        <v>0.0767</v>
      </c>
      <c r="T44" s="33">
        <v>0</v>
      </c>
      <c r="U44" t="s">
        <v>785</v>
      </c>
    </row>
    <row r="45" ht="24" customHeight="1" spans="1:21">
      <c r="A45" s="22" t="s">
        <v>302</v>
      </c>
      <c r="B45" s="22" t="s">
        <v>303</v>
      </c>
      <c r="C45" s="22" t="s">
        <v>237</v>
      </c>
      <c r="D45" s="22" t="s">
        <v>782</v>
      </c>
      <c r="E45" s="22" t="s">
        <v>284</v>
      </c>
      <c r="F45" s="23">
        <v>45621</v>
      </c>
      <c r="G45" s="26">
        <v>0.1359</v>
      </c>
      <c r="H45" s="26"/>
      <c r="I45" s="26"/>
      <c r="J45" s="26">
        <v>0.7692</v>
      </c>
      <c r="K45" s="26"/>
      <c r="L45" s="30"/>
      <c r="M45" s="30">
        <v>6.0218</v>
      </c>
      <c r="N45" s="22" t="s">
        <v>783</v>
      </c>
      <c r="O45" s="23">
        <v>46269</v>
      </c>
      <c r="P45" s="23">
        <v>46275</v>
      </c>
      <c r="Q45" s="22" t="s">
        <v>304</v>
      </c>
      <c r="R45" s="22" t="s">
        <v>784</v>
      </c>
      <c r="S45" s="32">
        <v>0.1099</v>
      </c>
      <c r="T45" s="33">
        <v>0</v>
      </c>
      <c r="U45" t="s">
        <v>785</v>
      </c>
    </row>
    <row r="46" ht="24" customHeight="1" spans="1:21">
      <c r="A46" s="22" t="s">
        <v>306</v>
      </c>
      <c r="B46" s="22" t="s">
        <v>308</v>
      </c>
      <c r="C46" s="22" t="s">
        <v>237</v>
      </c>
      <c r="D46" s="22" t="s">
        <v>782</v>
      </c>
      <c r="E46" s="22" t="s">
        <v>309</v>
      </c>
      <c r="F46" s="23">
        <v>45092</v>
      </c>
      <c r="G46" s="26">
        <v>0.0667</v>
      </c>
      <c r="H46" s="26">
        <v>0.0475</v>
      </c>
      <c r="I46" s="26">
        <v>1</v>
      </c>
      <c r="J46" s="26">
        <v>1</v>
      </c>
      <c r="K46" s="26">
        <v>0</v>
      </c>
      <c r="L46" s="30"/>
      <c r="M46" s="30"/>
      <c r="N46" s="22" t="s">
        <v>783</v>
      </c>
      <c r="O46" s="23">
        <v>46269</v>
      </c>
      <c r="P46" s="23">
        <v>46275</v>
      </c>
      <c r="Q46" s="22" t="s">
        <v>310</v>
      </c>
      <c r="R46" s="22" t="s">
        <v>784</v>
      </c>
      <c r="S46" s="32">
        <v>0.047</v>
      </c>
      <c r="T46" s="33">
        <v>0</v>
      </c>
      <c r="U46" t="s">
        <v>785</v>
      </c>
    </row>
    <row r="47" ht="24" customHeight="1" spans="1:21">
      <c r="A47" s="22" t="s">
        <v>312</v>
      </c>
      <c r="B47" s="22" t="s">
        <v>313</v>
      </c>
      <c r="C47" s="22" t="s">
        <v>237</v>
      </c>
      <c r="D47" s="22" t="s">
        <v>792</v>
      </c>
      <c r="E47" s="22" t="s">
        <v>314</v>
      </c>
      <c r="F47" s="23">
        <v>45023</v>
      </c>
      <c r="G47" s="26">
        <v>0.0904</v>
      </c>
      <c r="H47" s="26">
        <v>0.0493</v>
      </c>
      <c r="I47" s="26">
        <v>0.8649</v>
      </c>
      <c r="J47" s="26">
        <v>1</v>
      </c>
      <c r="K47" s="26">
        <v>0.0068</v>
      </c>
      <c r="L47" s="30">
        <v>7.2026</v>
      </c>
      <c r="M47" s="30">
        <v>69.4333</v>
      </c>
      <c r="N47" s="22" t="s">
        <v>783</v>
      </c>
      <c r="O47" s="23">
        <v>46269</v>
      </c>
      <c r="P47" s="23">
        <v>46275</v>
      </c>
      <c r="Q47" s="22" t="s">
        <v>315</v>
      </c>
      <c r="R47" s="22" t="s">
        <v>784</v>
      </c>
      <c r="S47" s="32">
        <v>0.0448</v>
      </c>
      <c r="T47" s="33">
        <v>0</v>
      </c>
      <c r="U47" t="s">
        <v>785</v>
      </c>
    </row>
    <row r="48" ht="24" customHeight="1" spans="1:21">
      <c r="A48" s="22" t="s">
        <v>317</v>
      </c>
      <c r="B48" s="22" t="s">
        <v>318</v>
      </c>
      <c r="C48" s="22" t="s">
        <v>237</v>
      </c>
      <c r="D48" s="22" t="s">
        <v>792</v>
      </c>
      <c r="E48" s="22" t="s">
        <v>314</v>
      </c>
      <c r="F48" s="23">
        <v>43894</v>
      </c>
      <c r="G48" s="26">
        <v>0.2062</v>
      </c>
      <c r="H48" s="26">
        <v>0.1364</v>
      </c>
      <c r="I48" s="26">
        <v>0.8649</v>
      </c>
      <c r="J48" s="26">
        <v>0.9231</v>
      </c>
      <c r="K48" s="26">
        <v>0.0257</v>
      </c>
      <c r="L48" s="30">
        <v>5.3032</v>
      </c>
      <c r="M48" s="30">
        <v>51.564</v>
      </c>
      <c r="N48" s="22" t="s">
        <v>783</v>
      </c>
      <c r="O48" s="23">
        <v>46269</v>
      </c>
      <c r="P48" s="23">
        <v>46275</v>
      </c>
      <c r="Q48" s="22" t="s">
        <v>319</v>
      </c>
      <c r="R48" s="22" t="s">
        <v>784</v>
      </c>
      <c r="S48" s="32">
        <v>0.1454</v>
      </c>
      <c r="T48" s="33">
        <v>0</v>
      </c>
      <c r="U48" t="s">
        <v>785</v>
      </c>
    </row>
    <row r="49" ht="24" customHeight="1" spans="1:21">
      <c r="A49" s="22" t="s">
        <v>321</v>
      </c>
      <c r="B49" s="22" t="s">
        <v>322</v>
      </c>
      <c r="C49" s="22" t="s">
        <v>237</v>
      </c>
      <c r="D49" s="22" t="s">
        <v>792</v>
      </c>
      <c r="E49" s="22" t="s">
        <v>314</v>
      </c>
      <c r="F49" s="23">
        <v>42479</v>
      </c>
      <c r="G49" s="26">
        <v>0.0719</v>
      </c>
      <c r="H49" s="26">
        <v>0.0646</v>
      </c>
      <c r="I49" s="26">
        <v>0.8919</v>
      </c>
      <c r="J49" s="26">
        <v>0.9231</v>
      </c>
      <c r="K49" s="26">
        <v>0.0097</v>
      </c>
      <c r="L49" s="30">
        <v>6.6467</v>
      </c>
      <c r="M49" s="30">
        <v>7.3998</v>
      </c>
      <c r="N49" s="22" t="s">
        <v>783</v>
      </c>
      <c r="O49" s="23">
        <v>46269</v>
      </c>
      <c r="P49" s="23">
        <v>46275</v>
      </c>
      <c r="Q49" s="22" t="s">
        <v>324</v>
      </c>
      <c r="R49" s="22" t="s">
        <v>784</v>
      </c>
      <c r="S49" s="32">
        <v>0.0786</v>
      </c>
      <c r="T49" s="33">
        <v>0</v>
      </c>
      <c r="U49" t="s">
        <v>785</v>
      </c>
    </row>
    <row r="50" ht="24" customHeight="1" spans="1:21">
      <c r="A50" s="22" t="s">
        <v>326</v>
      </c>
      <c r="B50" s="22" t="s">
        <v>327</v>
      </c>
      <c r="C50" s="22" t="s">
        <v>237</v>
      </c>
      <c r="D50" s="22" t="s">
        <v>782</v>
      </c>
      <c r="E50" s="22" t="s">
        <v>328</v>
      </c>
      <c r="F50" s="23">
        <v>43490</v>
      </c>
      <c r="G50" s="29">
        <f>IF(ISNUMBER(补数计算!L41),补数计算!L41,"")</f>
        <v>0.138372093023256</v>
      </c>
      <c r="H50" s="29">
        <f>IF(ISNUMBER(补数计算!L42),补数计算!L42,"")</f>
        <v>0.120073116138451</v>
      </c>
      <c r="I50" s="29">
        <f>IF(ISNUMBER(补数计算!O42),补数计算!O42,"")</f>
        <v>0.783783783783784</v>
      </c>
      <c r="J50" s="29">
        <f>IF(ISNUMBER(补数计算!O41),补数计算!O41,"")</f>
        <v>0.769230769230769</v>
      </c>
      <c r="K50" s="29">
        <f>IF(ISNUMBER(补数计算!M42),补数计算!M42,"")</f>
        <v>0.00533091362785687</v>
      </c>
      <c r="L50" s="31">
        <f>IF(ISNUMBER(补数计算!N42),补数计算!N42,"")</f>
        <v>22.5239282645671</v>
      </c>
      <c r="M50" s="31">
        <f>IF(ISNUMBER(补数计算!N41),补数计算!N41,"")</f>
        <v>28.453054789121</v>
      </c>
      <c r="N50" s="22" t="s">
        <v>783</v>
      </c>
      <c r="O50" s="23">
        <v>46269</v>
      </c>
      <c r="P50" s="23">
        <v>46275</v>
      </c>
      <c r="Q50" s="22" t="s">
        <v>331</v>
      </c>
      <c r="R50" s="22" t="s">
        <v>784</v>
      </c>
      <c r="S50" s="34">
        <f>IF(ISNUMBER(补数计算!L43),补数计算!L43,"")</f>
        <v>0.12473444211069</v>
      </c>
      <c r="T50" s="33">
        <v>8</v>
      </c>
      <c r="U50" t="s">
        <v>809</v>
      </c>
    </row>
    <row r="51" ht="24" customHeight="1" spans="1:21">
      <c r="A51" s="22" t="s">
        <v>333</v>
      </c>
      <c r="B51" s="22" t="s">
        <v>336</v>
      </c>
      <c r="C51" s="22" t="s">
        <v>786</v>
      </c>
      <c r="D51" s="22" t="s">
        <v>810</v>
      </c>
      <c r="E51" s="22" t="s">
        <v>337</v>
      </c>
      <c r="F51" s="23">
        <v>45064</v>
      </c>
      <c r="G51" s="26">
        <v>0.0945</v>
      </c>
      <c r="H51" s="26">
        <v>0.1009</v>
      </c>
      <c r="I51" s="26">
        <v>0.7838</v>
      </c>
      <c r="J51" s="26">
        <v>0.8462</v>
      </c>
      <c r="K51" s="26">
        <v>0.0362</v>
      </c>
      <c r="L51" s="30">
        <v>2.7913</v>
      </c>
      <c r="M51" s="30">
        <v>5.7555</v>
      </c>
      <c r="N51" s="22" t="s">
        <v>788</v>
      </c>
      <c r="O51" s="23">
        <v>46269</v>
      </c>
      <c r="P51" s="23">
        <v>46275</v>
      </c>
      <c r="Q51" s="22" t="s">
        <v>340</v>
      </c>
      <c r="R51" s="22" t="s">
        <v>784</v>
      </c>
      <c r="S51" s="32">
        <v>0.0924</v>
      </c>
      <c r="T51" s="33">
        <v>0</v>
      </c>
      <c r="U51" t="s">
        <v>785</v>
      </c>
    </row>
    <row r="52" ht="24" customHeight="1" spans="1:21">
      <c r="A52" s="22" t="s">
        <v>342</v>
      </c>
      <c r="B52" s="22" t="s">
        <v>343</v>
      </c>
      <c r="C52" s="22" t="s">
        <v>237</v>
      </c>
      <c r="D52" s="22" t="s">
        <v>782</v>
      </c>
      <c r="E52" s="22" t="s">
        <v>344</v>
      </c>
      <c r="F52" s="23">
        <v>44893</v>
      </c>
      <c r="G52" s="26"/>
      <c r="H52" s="26"/>
      <c r="I52" s="26"/>
      <c r="J52" s="26"/>
      <c r="K52" s="26"/>
      <c r="L52" s="30"/>
      <c r="M52" s="30"/>
      <c r="N52" s="22" t="s">
        <v>783</v>
      </c>
      <c r="O52" s="23">
        <v>46269</v>
      </c>
      <c r="P52" s="23">
        <v>46275</v>
      </c>
      <c r="Q52" s="22" t="s">
        <v>345</v>
      </c>
      <c r="R52" s="22" t="s">
        <v>784</v>
      </c>
      <c r="S52" s="32"/>
      <c r="T52" s="33">
        <v>0</v>
      </c>
      <c r="U52" t="s">
        <v>785</v>
      </c>
    </row>
    <row r="53" ht="24" customHeight="1" spans="1:21">
      <c r="A53" s="22" t="s">
        <v>347</v>
      </c>
      <c r="B53" s="22" t="s">
        <v>348</v>
      </c>
      <c r="C53" s="22" t="s">
        <v>237</v>
      </c>
      <c r="D53" s="22" t="s">
        <v>782</v>
      </c>
      <c r="E53" s="22" t="s">
        <v>349</v>
      </c>
      <c r="F53" s="23">
        <v>45595</v>
      </c>
      <c r="G53" s="29">
        <f>IF(ISNUMBER(补数计算!L38),补数计算!L38,"")</f>
        <v>0.113688504314173</v>
      </c>
      <c r="H53" s="26"/>
      <c r="I53" s="26"/>
      <c r="J53" s="29">
        <f>IF(ISNUMBER(补数计算!O38),补数计算!O38,"")</f>
        <v>0.615384615384615</v>
      </c>
      <c r="K53" s="26"/>
      <c r="L53" s="30"/>
      <c r="M53" s="31">
        <f>IF(ISNUMBER(补数计算!N38),补数计算!N38,"")</f>
        <v>10.8689819283216</v>
      </c>
      <c r="N53" s="22" t="s">
        <v>783</v>
      </c>
      <c r="O53" s="23">
        <v>46269</v>
      </c>
      <c r="P53" s="23">
        <v>46275</v>
      </c>
      <c r="Q53" s="22" t="s">
        <v>351</v>
      </c>
      <c r="R53" s="22" t="s">
        <v>784</v>
      </c>
      <c r="S53" s="34">
        <f>IF(ISNUMBER(补数计算!L40),补数计算!L40,"")</f>
        <v>0.100382114301413</v>
      </c>
      <c r="T53" s="33">
        <v>4</v>
      </c>
      <c r="U53" t="s">
        <v>811</v>
      </c>
    </row>
    <row r="54" ht="24" customHeight="1" spans="1:21">
      <c r="A54" s="22" t="s">
        <v>353</v>
      </c>
      <c r="B54" s="22" t="s">
        <v>354</v>
      </c>
      <c r="C54" s="22" t="s">
        <v>237</v>
      </c>
      <c r="D54" s="22" t="s">
        <v>782</v>
      </c>
      <c r="E54" s="22" t="s">
        <v>355</v>
      </c>
      <c r="F54" s="23">
        <v>43980</v>
      </c>
      <c r="G54" s="26">
        <v>0.0707</v>
      </c>
      <c r="H54" s="26">
        <v>0.0386</v>
      </c>
      <c r="I54" s="26">
        <v>0.6757</v>
      </c>
      <c r="J54" s="26">
        <v>0.7692</v>
      </c>
      <c r="K54" s="26">
        <v>0.031</v>
      </c>
      <c r="L54" s="30">
        <v>1.2434</v>
      </c>
      <c r="M54" s="30">
        <v>12.1029</v>
      </c>
      <c r="N54" s="22" t="s">
        <v>783</v>
      </c>
      <c r="O54" s="23">
        <v>46269</v>
      </c>
      <c r="P54" s="23">
        <v>46275</v>
      </c>
      <c r="Q54" s="22" t="s">
        <v>357</v>
      </c>
      <c r="R54" s="22" t="s">
        <v>784</v>
      </c>
      <c r="S54" s="32">
        <v>0.0686</v>
      </c>
      <c r="T54" s="33">
        <v>0</v>
      </c>
      <c r="U54" t="s">
        <v>785</v>
      </c>
    </row>
    <row r="55" ht="24" customHeight="1" spans="1:21">
      <c r="A55" s="22" t="s">
        <v>359</v>
      </c>
      <c r="B55" s="22" t="s">
        <v>360</v>
      </c>
      <c r="C55" s="22" t="s">
        <v>122</v>
      </c>
      <c r="D55" s="22" t="s">
        <v>795</v>
      </c>
      <c r="E55" s="22" t="s">
        <v>361</v>
      </c>
      <c r="F55" s="23">
        <v>44915</v>
      </c>
      <c r="G55" s="26">
        <v>0.0257</v>
      </c>
      <c r="H55" s="26">
        <v>0.0498</v>
      </c>
      <c r="I55" s="26">
        <v>0.8378</v>
      </c>
      <c r="J55" s="26">
        <v>0.7692</v>
      </c>
      <c r="K55" s="26">
        <v>0.0498</v>
      </c>
      <c r="L55" s="30">
        <v>0.9986</v>
      </c>
      <c r="M55" s="30">
        <v>2.4248</v>
      </c>
      <c r="N55" s="22" t="s">
        <v>783</v>
      </c>
      <c r="O55" s="23">
        <v>46269</v>
      </c>
      <c r="P55" s="23">
        <v>46275</v>
      </c>
      <c r="Q55" s="22" t="s">
        <v>363</v>
      </c>
      <c r="R55" s="22" t="s">
        <v>784</v>
      </c>
      <c r="S55" s="32">
        <v>0.0503</v>
      </c>
      <c r="T55" s="33">
        <v>0</v>
      </c>
      <c r="U55" t="s">
        <v>785</v>
      </c>
    </row>
    <row r="56" ht="24" customHeight="1" spans="1:21">
      <c r="A56" s="22" t="s">
        <v>365</v>
      </c>
      <c r="B56" s="22" t="s">
        <v>366</v>
      </c>
      <c r="C56" s="22" t="s">
        <v>122</v>
      </c>
      <c r="D56" s="22" t="s">
        <v>795</v>
      </c>
      <c r="E56" s="22" t="s">
        <v>367</v>
      </c>
      <c r="F56" s="23">
        <v>44985</v>
      </c>
      <c r="G56" s="26">
        <v>0.0924</v>
      </c>
      <c r="H56" s="26">
        <v>0.0619</v>
      </c>
      <c r="I56" s="26">
        <v>0.7568</v>
      </c>
      <c r="J56" s="26">
        <v>0.6923</v>
      </c>
      <c r="K56" s="26">
        <v>0.0365</v>
      </c>
      <c r="L56" s="30">
        <v>1.695</v>
      </c>
      <c r="M56" s="30">
        <v>2.5301</v>
      </c>
      <c r="N56" s="22" t="s">
        <v>783</v>
      </c>
      <c r="O56" s="23">
        <v>46269</v>
      </c>
      <c r="P56" s="23">
        <v>46275</v>
      </c>
      <c r="Q56" s="22" t="s">
        <v>368</v>
      </c>
      <c r="R56" s="22" t="s">
        <v>784</v>
      </c>
      <c r="S56" s="32">
        <v>0.0544</v>
      </c>
      <c r="T56" s="33">
        <v>0</v>
      </c>
      <c r="U56" t="s">
        <v>785</v>
      </c>
    </row>
    <row r="57" ht="24" customHeight="1" spans="1:21">
      <c r="A57" s="22" t="s">
        <v>370</v>
      </c>
      <c r="B57" s="22" t="s">
        <v>371</v>
      </c>
      <c r="C57" s="22" t="s">
        <v>122</v>
      </c>
      <c r="D57" s="22" t="s">
        <v>795</v>
      </c>
      <c r="E57" s="22" t="s">
        <v>367</v>
      </c>
      <c r="F57" s="23">
        <v>44305</v>
      </c>
      <c r="G57" s="29">
        <f>IF(ISNUMBER(补数计算!L29),补数计算!L29,"")</f>
        <v>0.0996137314702967</v>
      </c>
      <c r="H57" s="29">
        <f>IF(ISNUMBER(补数计算!L30),补数计算!L30,"")</f>
        <v>0.0845476235035083</v>
      </c>
      <c r="I57" s="29">
        <f>IF(ISNUMBER(补数计算!O30),补数计算!O30,"")</f>
        <v>0.756756756756757</v>
      </c>
      <c r="J57" s="29">
        <f>IF(ISNUMBER(补数计算!O29),补数计算!O29,"")</f>
        <v>0.692307692307692</v>
      </c>
      <c r="K57" s="29">
        <f>IF(ISNUMBER(补数计算!M30),补数计算!M30,"")</f>
        <v>0.0402287251934073</v>
      </c>
      <c r="L57" s="31">
        <f>IF(ISNUMBER(补数计算!N30),补数计算!N30,"")</f>
        <v>2.10167294879541</v>
      </c>
      <c r="M57" s="31">
        <f>IF(ISNUMBER(补数计算!N29),补数计算!N29,"")</f>
        <v>2.47618414432435</v>
      </c>
      <c r="N57" s="22" t="s">
        <v>783</v>
      </c>
      <c r="O57" s="23">
        <v>46269</v>
      </c>
      <c r="P57" s="23">
        <v>46275</v>
      </c>
      <c r="Q57" s="22" t="s">
        <v>373</v>
      </c>
      <c r="R57" s="22" t="s">
        <v>784</v>
      </c>
      <c r="S57" s="34">
        <f>IF(ISNUMBER(补数计算!L31),补数计算!L31,"")</f>
        <v>0.0776116770429107</v>
      </c>
      <c r="T57" s="33">
        <v>8</v>
      </c>
      <c r="U57" t="s">
        <v>812</v>
      </c>
    </row>
    <row r="58" ht="24" customHeight="1" spans="1:21">
      <c r="A58" s="22" t="s">
        <v>375</v>
      </c>
      <c r="B58" s="22" t="s">
        <v>376</v>
      </c>
      <c r="C58" s="22" t="s">
        <v>237</v>
      </c>
      <c r="D58" s="22" t="s">
        <v>782</v>
      </c>
      <c r="E58" s="22" t="s">
        <v>377</v>
      </c>
      <c r="F58" s="23">
        <v>43041</v>
      </c>
      <c r="G58" s="26">
        <v>0.0255</v>
      </c>
      <c r="H58" s="26">
        <v>0.0484</v>
      </c>
      <c r="I58" s="26">
        <v>0.6757</v>
      </c>
      <c r="J58" s="26">
        <v>0.6923</v>
      </c>
      <c r="K58" s="26">
        <v>0.0393</v>
      </c>
      <c r="L58" s="30">
        <v>1.2291</v>
      </c>
      <c r="M58" s="30">
        <v>1.2268</v>
      </c>
      <c r="N58" s="22" t="s">
        <v>783</v>
      </c>
      <c r="O58" s="23">
        <v>46269</v>
      </c>
      <c r="P58" s="23">
        <v>46275</v>
      </c>
      <c r="Q58" s="22" t="s">
        <v>379</v>
      </c>
      <c r="R58" s="22" t="s">
        <v>784</v>
      </c>
      <c r="S58" s="32">
        <v>0.0753</v>
      </c>
      <c r="T58" s="33">
        <v>0</v>
      </c>
      <c r="U58" t="s">
        <v>785</v>
      </c>
    </row>
    <row r="59" ht="24" customHeight="1" spans="1:21">
      <c r="A59" s="22" t="s">
        <v>381</v>
      </c>
      <c r="B59" s="22" t="s">
        <v>383</v>
      </c>
      <c r="C59" s="22" t="s">
        <v>237</v>
      </c>
      <c r="D59" s="22" t="s">
        <v>782</v>
      </c>
      <c r="E59" s="22" t="s">
        <v>384</v>
      </c>
      <c r="F59" s="23">
        <v>44904</v>
      </c>
      <c r="G59" s="26">
        <v>0.1582</v>
      </c>
      <c r="H59" s="26"/>
      <c r="I59" s="26"/>
      <c r="J59" s="26">
        <v>0.6923</v>
      </c>
      <c r="K59" s="26"/>
      <c r="L59" s="30"/>
      <c r="M59" s="30">
        <v>10.8875</v>
      </c>
      <c r="N59" s="22" t="s">
        <v>783</v>
      </c>
      <c r="O59" s="23">
        <v>46269</v>
      </c>
      <c r="P59" s="23">
        <v>46275</v>
      </c>
      <c r="Q59" s="22" t="s">
        <v>385</v>
      </c>
      <c r="R59" s="22" t="s">
        <v>784</v>
      </c>
      <c r="S59" s="32">
        <v>0.1782</v>
      </c>
      <c r="T59" s="33">
        <v>0</v>
      </c>
      <c r="U59" t="s">
        <v>785</v>
      </c>
    </row>
    <row r="60" ht="24" customHeight="1" spans="1:21">
      <c r="A60" s="22" t="s">
        <v>387</v>
      </c>
      <c r="B60" s="22" t="s">
        <v>388</v>
      </c>
      <c r="C60" s="22" t="s">
        <v>237</v>
      </c>
      <c r="D60" s="22" t="s">
        <v>782</v>
      </c>
      <c r="E60" s="22" t="s">
        <v>384</v>
      </c>
      <c r="F60" s="23">
        <v>44883</v>
      </c>
      <c r="G60" s="29">
        <f>IF(ISNUMBER(补数计算!L5),补数计算!L5,"")</f>
        <v>0.204884716237227</v>
      </c>
      <c r="H60" s="29">
        <f>IF(ISNUMBER(补数计算!L6),补数计算!L6,"")</f>
        <v>0.153258520854718</v>
      </c>
      <c r="I60" s="26"/>
      <c r="J60" s="26"/>
      <c r="K60" s="29">
        <f>IF(ISNUMBER(补数计算!M6),补数计算!M6,"")</f>
        <v>0.0108076242876795</v>
      </c>
      <c r="L60" s="31">
        <f>IF(ISNUMBER(补数计算!N6),补数计算!N6,"")</f>
        <v>14.1805929569027</v>
      </c>
      <c r="M60" s="31">
        <f>IF(ISNUMBER(补数计算!N5),补数计算!N5,"")</f>
        <v>22.1106040011496</v>
      </c>
      <c r="N60" s="22" t="s">
        <v>783</v>
      </c>
      <c r="O60" s="23">
        <v>46269</v>
      </c>
      <c r="P60" s="23">
        <v>46275</v>
      </c>
      <c r="Q60" s="22" t="s">
        <v>389</v>
      </c>
      <c r="R60" s="22" t="s">
        <v>784</v>
      </c>
      <c r="S60" s="34">
        <f>IF(ISNUMBER(补数计算!L7),补数计算!L7,"")</f>
        <v>0.119697639612653</v>
      </c>
      <c r="T60" s="33">
        <v>6</v>
      </c>
      <c r="U60" t="s">
        <v>813</v>
      </c>
    </row>
    <row r="61" ht="24" customHeight="1" spans="1:21">
      <c r="A61" s="22" t="s">
        <v>391</v>
      </c>
      <c r="B61" s="22" t="s">
        <v>392</v>
      </c>
      <c r="C61" s="22" t="s">
        <v>237</v>
      </c>
      <c r="D61" s="22" t="s">
        <v>792</v>
      </c>
      <c r="E61" s="22" t="s">
        <v>393</v>
      </c>
      <c r="F61" s="23">
        <v>43585</v>
      </c>
      <c r="G61" s="26">
        <v>0.0944</v>
      </c>
      <c r="H61" s="26">
        <v>0.0669</v>
      </c>
      <c r="I61" s="26">
        <v>0.8108</v>
      </c>
      <c r="J61" s="26">
        <v>1</v>
      </c>
      <c r="K61" s="26">
        <v>0.0502</v>
      </c>
      <c r="L61" s="30">
        <v>1.3332</v>
      </c>
      <c r="M61" s="30">
        <v>10.8113</v>
      </c>
      <c r="N61" s="22" t="s">
        <v>783</v>
      </c>
      <c r="O61" s="23">
        <v>46269</v>
      </c>
      <c r="P61" s="23">
        <v>46275</v>
      </c>
      <c r="Q61" s="22" t="s">
        <v>394</v>
      </c>
      <c r="R61" s="22" t="s">
        <v>784</v>
      </c>
      <c r="S61" s="32">
        <v>0.0751</v>
      </c>
      <c r="T61" s="33">
        <v>0</v>
      </c>
      <c r="U61" t="s">
        <v>785</v>
      </c>
    </row>
    <row r="62" ht="24" customHeight="1" spans="1:21">
      <c r="A62" s="22" t="s">
        <v>396</v>
      </c>
      <c r="B62" s="22" t="s">
        <v>397</v>
      </c>
      <c r="C62" s="22" t="s">
        <v>237</v>
      </c>
      <c r="D62" s="22" t="s">
        <v>782</v>
      </c>
      <c r="E62" s="22" t="s">
        <v>393</v>
      </c>
      <c r="F62" s="23">
        <v>44867</v>
      </c>
      <c r="G62" s="26">
        <v>0.0779</v>
      </c>
      <c r="H62" s="26">
        <v>0.0651</v>
      </c>
      <c r="I62" s="26">
        <v>0.8108</v>
      </c>
      <c r="J62" s="26">
        <v>0.7692</v>
      </c>
      <c r="K62" s="26">
        <v>0.0169</v>
      </c>
      <c r="L62" s="30">
        <v>3.8429</v>
      </c>
      <c r="M62" s="30">
        <v>4.599</v>
      </c>
      <c r="N62" s="22" t="s">
        <v>783</v>
      </c>
      <c r="O62" s="23">
        <v>46269</v>
      </c>
      <c r="P62" s="23">
        <v>46275</v>
      </c>
      <c r="Q62" s="22" t="s">
        <v>398</v>
      </c>
      <c r="R62" s="22" t="s">
        <v>784</v>
      </c>
      <c r="S62" s="32">
        <v>0.1025</v>
      </c>
      <c r="T62" s="33">
        <v>0</v>
      </c>
      <c r="U62" t="s">
        <v>785</v>
      </c>
    </row>
    <row r="63" ht="24" customHeight="1" spans="1:21">
      <c r="A63" s="22" t="s">
        <v>400</v>
      </c>
      <c r="B63" s="22" t="s">
        <v>401</v>
      </c>
      <c r="C63" s="22" t="s">
        <v>237</v>
      </c>
      <c r="D63" s="22" t="s">
        <v>782</v>
      </c>
      <c r="E63" s="22" t="s">
        <v>393</v>
      </c>
      <c r="F63" s="23">
        <v>44894</v>
      </c>
      <c r="G63" s="26">
        <v>0.0715</v>
      </c>
      <c r="H63" s="26">
        <v>0.0784</v>
      </c>
      <c r="I63" s="26">
        <v>0.8378</v>
      </c>
      <c r="J63" s="26">
        <v>0.8462</v>
      </c>
      <c r="K63" s="26">
        <v>0.0079</v>
      </c>
      <c r="L63" s="30">
        <v>9.9706</v>
      </c>
      <c r="M63" s="30">
        <v>9.0843</v>
      </c>
      <c r="N63" s="22" t="s">
        <v>783</v>
      </c>
      <c r="O63" s="23">
        <v>46269</v>
      </c>
      <c r="P63" s="23">
        <v>46275</v>
      </c>
      <c r="Q63" s="22" t="s">
        <v>402</v>
      </c>
      <c r="R63" s="22" t="s">
        <v>784</v>
      </c>
      <c r="S63" s="32">
        <v>0.0884</v>
      </c>
      <c r="T63" s="33">
        <v>0</v>
      </c>
      <c r="U63" t="s">
        <v>785</v>
      </c>
    </row>
    <row r="64" ht="24" customHeight="1" spans="1:21">
      <c r="A64" s="22" t="s">
        <v>404</v>
      </c>
      <c r="B64" s="22" t="s">
        <v>405</v>
      </c>
      <c r="C64" s="22" t="s">
        <v>237</v>
      </c>
      <c r="D64" s="22" t="s">
        <v>792</v>
      </c>
      <c r="E64" s="22" t="s">
        <v>406</v>
      </c>
      <c r="F64" s="23">
        <v>44123</v>
      </c>
      <c r="G64" s="26"/>
      <c r="H64" s="26">
        <v>-0.1145</v>
      </c>
      <c r="I64" s="26">
        <v>0.3784</v>
      </c>
      <c r="J64" s="26"/>
      <c r="K64" s="26">
        <v>0.3667</v>
      </c>
      <c r="L64" s="30">
        <v>-0.3121</v>
      </c>
      <c r="M64" s="30"/>
      <c r="N64" s="22" t="s">
        <v>783</v>
      </c>
      <c r="O64" s="23">
        <v>46269</v>
      </c>
      <c r="P64" s="23">
        <v>46275</v>
      </c>
      <c r="Q64" s="22" t="s">
        <v>407</v>
      </c>
      <c r="R64" s="22" t="s">
        <v>784</v>
      </c>
      <c r="S64" s="32">
        <v>-0.0366</v>
      </c>
      <c r="T64" s="33">
        <v>0</v>
      </c>
      <c r="U64" t="s">
        <v>785</v>
      </c>
    </row>
    <row r="65" ht="24" customHeight="1" spans="1:21">
      <c r="A65" s="22" t="s">
        <v>409</v>
      </c>
      <c r="B65" s="22" t="s">
        <v>410</v>
      </c>
      <c r="C65" s="22" t="s">
        <v>237</v>
      </c>
      <c r="D65" s="22" t="s">
        <v>782</v>
      </c>
      <c r="E65" s="22" t="s">
        <v>411</v>
      </c>
      <c r="F65" s="23">
        <v>45408</v>
      </c>
      <c r="G65" s="26">
        <v>0.0858</v>
      </c>
      <c r="H65" s="26"/>
      <c r="I65" s="26"/>
      <c r="J65" s="26">
        <v>0.8462</v>
      </c>
      <c r="K65" s="26"/>
      <c r="L65" s="30"/>
      <c r="M65" s="30">
        <v>3.3908</v>
      </c>
      <c r="N65" s="22" t="s">
        <v>783</v>
      </c>
      <c r="O65" s="23">
        <v>46269</v>
      </c>
      <c r="P65" s="23">
        <v>46275</v>
      </c>
      <c r="Q65" s="22" t="s">
        <v>413</v>
      </c>
      <c r="R65" s="22" t="s">
        <v>784</v>
      </c>
      <c r="S65" s="32">
        <v>0.079</v>
      </c>
      <c r="T65" s="33">
        <v>0</v>
      </c>
      <c r="U65" t="s">
        <v>785</v>
      </c>
    </row>
    <row r="66" ht="24" customHeight="1" spans="1:21">
      <c r="A66" s="22" t="s">
        <v>415</v>
      </c>
      <c r="B66" s="22" t="s">
        <v>417</v>
      </c>
      <c r="C66" s="22" t="s">
        <v>237</v>
      </c>
      <c r="D66" s="22" t="s">
        <v>790</v>
      </c>
      <c r="E66" s="22" t="s">
        <v>418</v>
      </c>
      <c r="F66" s="23">
        <v>43885</v>
      </c>
      <c r="G66" s="26">
        <v>0.0195</v>
      </c>
      <c r="H66" s="26">
        <v>0.0404</v>
      </c>
      <c r="I66" s="26">
        <v>0.6486</v>
      </c>
      <c r="J66" s="26">
        <v>0.6154</v>
      </c>
      <c r="K66" s="26">
        <v>0.1458</v>
      </c>
      <c r="L66" s="30">
        <v>0.2772</v>
      </c>
      <c r="M66" s="30">
        <v>5.898</v>
      </c>
      <c r="N66" s="22" t="s">
        <v>783</v>
      </c>
      <c r="O66" s="23">
        <v>46269</v>
      </c>
      <c r="P66" s="23">
        <v>46275</v>
      </c>
      <c r="Q66" s="22" t="s">
        <v>419</v>
      </c>
      <c r="R66" s="22" t="s">
        <v>784</v>
      </c>
      <c r="S66" s="32">
        <v>0.1824</v>
      </c>
      <c r="T66" s="33">
        <v>0</v>
      </c>
      <c r="U66" t="s">
        <v>785</v>
      </c>
    </row>
    <row r="67" ht="24" customHeight="1" spans="1:21">
      <c r="A67" s="22" t="s">
        <v>421</v>
      </c>
      <c r="B67" s="22" t="s">
        <v>422</v>
      </c>
      <c r="C67" s="22" t="s">
        <v>237</v>
      </c>
      <c r="D67" s="22" t="s">
        <v>782</v>
      </c>
      <c r="E67" s="22" t="s">
        <v>423</v>
      </c>
      <c r="F67" s="23">
        <v>44881</v>
      </c>
      <c r="G67" s="29">
        <f>IF(ISNUMBER(补数计算!L44),补数计算!L44,"")</f>
        <v>0.00652201582515199</v>
      </c>
      <c r="H67" s="29">
        <f>IF(ISNUMBER(补数计算!L45),补数计算!L45,"")</f>
        <v>0.0926384246815495</v>
      </c>
      <c r="I67" s="29">
        <f>IF(ISNUMBER(补数计算!O45),补数计算!O45,"")</f>
        <v>0.648648648648649</v>
      </c>
      <c r="J67" s="29">
        <f>IF(ISNUMBER(补数计算!O44),补数计算!O44,"")</f>
        <v>0.461538461538462</v>
      </c>
      <c r="K67" s="29">
        <f>IF(ISNUMBER(补数计算!M45),补数计算!M45,"")</f>
        <v>0.0431149238278361</v>
      </c>
      <c r="L67" s="31">
        <f>IF(ISNUMBER(补数计算!N45),补数计算!N45,"")</f>
        <v>2.14863941431203</v>
      </c>
      <c r="M67" s="31">
        <f>IF(ISNUMBER(补数计算!N44),补数计算!N44,"")</f>
        <v>0.151270493975481</v>
      </c>
      <c r="N67" s="22" t="s">
        <v>788</v>
      </c>
      <c r="O67" s="23">
        <v>46269</v>
      </c>
      <c r="P67" s="23">
        <v>46275</v>
      </c>
      <c r="Q67" s="22" t="s">
        <v>425</v>
      </c>
      <c r="R67" s="22" t="s">
        <v>784</v>
      </c>
      <c r="S67" s="32"/>
      <c r="T67" s="33">
        <v>7</v>
      </c>
      <c r="U67" t="s">
        <v>814</v>
      </c>
    </row>
    <row r="68" ht="24" customHeight="1" spans="1:21">
      <c r="A68" s="22" t="s">
        <v>427</v>
      </c>
      <c r="B68" s="22" t="s">
        <v>429</v>
      </c>
      <c r="C68" s="22" t="s">
        <v>237</v>
      </c>
      <c r="D68" s="22" t="s">
        <v>790</v>
      </c>
      <c r="E68" s="22" t="s">
        <v>430</v>
      </c>
      <c r="F68" s="23">
        <v>43423</v>
      </c>
      <c r="G68" s="26"/>
      <c r="H68" s="26">
        <v>0.0638</v>
      </c>
      <c r="I68" s="26">
        <v>0.5</v>
      </c>
      <c r="J68" s="26"/>
      <c r="K68" s="26">
        <v>0.0561</v>
      </c>
      <c r="L68" s="30">
        <v>1.137</v>
      </c>
      <c r="M68" s="30"/>
      <c r="N68" s="22" t="s">
        <v>783</v>
      </c>
      <c r="O68" s="23">
        <v>46269</v>
      </c>
      <c r="P68" s="23">
        <v>46275</v>
      </c>
      <c r="Q68" s="22" t="s">
        <v>432</v>
      </c>
      <c r="R68" s="22" t="s">
        <v>784</v>
      </c>
      <c r="S68" s="32">
        <v>0.126</v>
      </c>
      <c r="T68" s="33">
        <v>0</v>
      </c>
      <c r="U68" t="s">
        <v>785</v>
      </c>
    </row>
    <row r="69" ht="24" customHeight="1" spans="1:21">
      <c r="A69" s="22" t="s">
        <v>434</v>
      </c>
      <c r="B69" s="22" t="s">
        <v>435</v>
      </c>
      <c r="C69" s="22" t="s">
        <v>237</v>
      </c>
      <c r="D69" s="22" t="s">
        <v>790</v>
      </c>
      <c r="E69" s="22" t="s">
        <v>436</v>
      </c>
      <c r="F69" s="23">
        <v>45441</v>
      </c>
      <c r="G69" s="26">
        <v>0.087</v>
      </c>
      <c r="H69" s="26"/>
      <c r="I69" s="26"/>
      <c r="J69" s="26">
        <v>0.7692</v>
      </c>
      <c r="K69" s="26"/>
      <c r="L69" s="30"/>
      <c r="M69" s="30">
        <v>18.2994</v>
      </c>
      <c r="N69" s="22" t="s">
        <v>783</v>
      </c>
      <c r="O69" s="23">
        <v>46269</v>
      </c>
      <c r="P69" s="23">
        <v>46275</v>
      </c>
      <c r="Q69" s="22" t="s">
        <v>438</v>
      </c>
      <c r="R69" s="22" t="s">
        <v>784</v>
      </c>
      <c r="S69" s="32">
        <v>0.0733</v>
      </c>
      <c r="T69" s="33">
        <v>0</v>
      </c>
      <c r="U69" t="s">
        <v>785</v>
      </c>
    </row>
    <row r="70" ht="24" customHeight="1" spans="1:21">
      <c r="A70" s="22" t="s">
        <v>440</v>
      </c>
      <c r="B70" s="22" t="s">
        <v>441</v>
      </c>
      <c r="C70" s="22" t="s">
        <v>237</v>
      </c>
      <c r="D70" s="22" t="s">
        <v>782</v>
      </c>
      <c r="E70" s="22" t="s">
        <v>442</v>
      </c>
      <c r="F70" s="23">
        <v>44155</v>
      </c>
      <c r="G70" s="26">
        <v>0.0553</v>
      </c>
      <c r="H70" s="26">
        <v>0.1192</v>
      </c>
      <c r="I70" s="26">
        <v>0.8108</v>
      </c>
      <c r="J70" s="26">
        <v>0.8462</v>
      </c>
      <c r="K70" s="26">
        <v>0.0108</v>
      </c>
      <c r="L70" s="30">
        <v>11.0857</v>
      </c>
      <c r="M70" s="30">
        <v>15.1012</v>
      </c>
      <c r="N70" s="22" t="s">
        <v>783</v>
      </c>
      <c r="O70" s="23">
        <v>46269</v>
      </c>
      <c r="P70" s="23">
        <v>46275</v>
      </c>
      <c r="Q70" s="22" t="s">
        <v>443</v>
      </c>
      <c r="R70" s="22" t="s">
        <v>784</v>
      </c>
      <c r="S70" s="32">
        <v>0.0948</v>
      </c>
      <c r="T70" s="33">
        <v>0</v>
      </c>
      <c r="U70" t="s">
        <v>785</v>
      </c>
    </row>
    <row r="71" ht="24" customHeight="1" spans="1:21">
      <c r="A71" s="22" t="s">
        <v>445</v>
      </c>
      <c r="B71" s="22" t="s">
        <v>446</v>
      </c>
      <c r="C71" s="22" t="s">
        <v>237</v>
      </c>
      <c r="D71" s="22" t="s">
        <v>782</v>
      </c>
      <c r="E71" s="22" t="s">
        <v>442</v>
      </c>
      <c r="F71" s="23">
        <v>43585</v>
      </c>
      <c r="G71" s="26">
        <v>0.0609</v>
      </c>
      <c r="H71" s="26">
        <v>0.093</v>
      </c>
      <c r="I71" s="26">
        <v>0.8649</v>
      </c>
      <c r="J71" s="26">
        <v>0.9231</v>
      </c>
      <c r="K71" s="26">
        <v>0.0144</v>
      </c>
      <c r="L71" s="30">
        <v>6.4572</v>
      </c>
      <c r="M71" s="30">
        <v>25.854</v>
      </c>
      <c r="N71" s="22" t="s">
        <v>783</v>
      </c>
      <c r="O71" s="23">
        <v>46269</v>
      </c>
      <c r="P71" s="23">
        <v>46275</v>
      </c>
      <c r="Q71" s="22" t="s">
        <v>447</v>
      </c>
      <c r="R71" s="22" t="s">
        <v>784</v>
      </c>
      <c r="S71" s="32">
        <v>0.1328</v>
      </c>
      <c r="T71" s="33">
        <v>0</v>
      </c>
      <c r="U71" t="s">
        <v>785</v>
      </c>
    </row>
    <row r="72" ht="24" customHeight="1" spans="1:21">
      <c r="A72" s="22" t="s">
        <v>449</v>
      </c>
      <c r="B72" s="22" t="s">
        <v>450</v>
      </c>
      <c r="C72" s="22" t="s">
        <v>237</v>
      </c>
      <c r="D72" s="22" t="s">
        <v>782</v>
      </c>
      <c r="E72" s="22" t="s">
        <v>442</v>
      </c>
      <c r="F72" s="23">
        <v>43728</v>
      </c>
      <c r="G72" s="26">
        <v>0.0583</v>
      </c>
      <c r="H72" s="26">
        <v>0.1242</v>
      </c>
      <c r="I72" s="26">
        <v>0.8649</v>
      </c>
      <c r="J72" s="26">
        <v>1</v>
      </c>
      <c r="K72" s="26">
        <v>0.0227</v>
      </c>
      <c r="L72" s="30">
        <v>5.461</v>
      </c>
      <c r="M72" s="30">
        <v>18.2945</v>
      </c>
      <c r="N72" s="22" t="s">
        <v>783</v>
      </c>
      <c r="O72" s="23">
        <v>46269</v>
      </c>
      <c r="P72" s="23">
        <v>46275</v>
      </c>
      <c r="Q72" s="22" t="s">
        <v>451</v>
      </c>
      <c r="R72" s="22" t="s">
        <v>784</v>
      </c>
      <c r="S72" s="32">
        <v>0.152</v>
      </c>
      <c r="T72" s="33">
        <v>0</v>
      </c>
      <c r="U72" t="s">
        <v>785</v>
      </c>
    </row>
    <row r="73" ht="24" customHeight="1" spans="1:21">
      <c r="A73" s="22" t="s">
        <v>453</v>
      </c>
      <c r="B73" s="22" t="s">
        <v>454</v>
      </c>
      <c r="C73" s="22" t="s">
        <v>237</v>
      </c>
      <c r="D73" s="22"/>
      <c r="E73" s="22" t="s">
        <v>455</v>
      </c>
      <c r="F73" s="23">
        <v>45803</v>
      </c>
      <c r="G73" s="26">
        <v>0.2405</v>
      </c>
      <c r="H73" s="26"/>
      <c r="I73" s="26"/>
      <c r="J73" s="26">
        <v>0.4615</v>
      </c>
      <c r="K73" s="26"/>
      <c r="L73" s="30"/>
      <c r="M73" s="30">
        <v>1.2242</v>
      </c>
      <c r="N73" s="22" t="s">
        <v>783</v>
      </c>
      <c r="O73" s="23">
        <v>46269</v>
      </c>
      <c r="P73" s="23">
        <v>46275</v>
      </c>
      <c r="Q73" s="22" t="s">
        <v>457</v>
      </c>
      <c r="R73" s="22" t="s">
        <v>784</v>
      </c>
      <c r="S73" s="32">
        <v>0.1639</v>
      </c>
      <c r="T73" s="33">
        <v>0</v>
      </c>
      <c r="U73" t="s">
        <v>785</v>
      </c>
    </row>
    <row r="74" ht="24" customHeight="1" spans="1:21">
      <c r="A74" s="22" t="s">
        <v>459</v>
      </c>
      <c r="B74" s="22" t="s">
        <v>460</v>
      </c>
      <c r="C74" s="22" t="s">
        <v>237</v>
      </c>
      <c r="D74" s="22" t="s">
        <v>782</v>
      </c>
      <c r="E74" s="22" t="s">
        <v>461</v>
      </c>
      <c r="F74" s="23">
        <v>44166</v>
      </c>
      <c r="G74" s="26">
        <v>0.1855</v>
      </c>
      <c r="H74" s="26">
        <v>0.172</v>
      </c>
      <c r="I74" s="26">
        <v>0.8378</v>
      </c>
      <c r="J74" s="26">
        <v>0.7692</v>
      </c>
      <c r="K74" s="26">
        <v>0.0105</v>
      </c>
      <c r="L74" s="30">
        <v>16.4367</v>
      </c>
      <c r="M74" s="30">
        <v>39.9118</v>
      </c>
      <c r="N74" s="22" t="s">
        <v>783</v>
      </c>
      <c r="O74" s="23">
        <v>46269</v>
      </c>
      <c r="P74" s="23">
        <v>46275</v>
      </c>
      <c r="Q74" s="22" t="s">
        <v>462</v>
      </c>
      <c r="R74" s="22" t="s">
        <v>784</v>
      </c>
      <c r="S74" s="32">
        <v>0.1926</v>
      </c>
      <c r="T74" s="33">
        <v>0</v>
      </c>
      <c r="U74" t="s">
        <v>785</v>
      </c>
    </row>
    <row r="75" ht="24" customHeight="1" spans="1:21">
      <c r="A75" s="22" t="s">
        <v>464</v>
      </c>
      <c r="B75" s="22" t="s">
        <v>466</v>
      </c>
      <c r="C75" s="22" t="s">
        <v>786</v>
      </c>
      <c r="D75" s="22" t="s">
        <v>810</v>
      </c>
      <c r="E75" s="22" t="s">
        <v>467</v>
      </c>
      <c r="F75" s="23">
        <v>43710</v>
      </c>
      <c r="G75" s="26">
        <v>0.1844</v>
      </c>
      <c r="H75" s="26">
        <v>0.1427</v>
      </c>
      <c r="I75" s="26">
        <v>0.7297</v>
      </c>
      <c r="J75" s="26">
        <v>0.8462</v>
      </c>
      <c r="K75" s="26">
        <v>0.0584</v>
      </c>
      <c r="L75" s="30">
        <v>2.4432</v>
      </c>
      <c r="M75" s="30">
        <v>8.3045</v>
      </c>
      <c r="N75" s="22" t="s">
        <v>788</v>
      </c>
      <c r="O75" s="23">
        <v>46269</v>
      </c>
      <c r="P75" s="23">
        <v>46275</v>
      </c>
      <c r="Q75" s="22" t="s">
        <v>469</v>
      </c>
      <c r="R75" s="22" t="s">
        <v>784</v>
      </c>
      <c r="S75" s="32">
        <v>0.1685</v>
      </c>
      <c r="T75" s="33">
        <v>0</v>
      </c>
      <c r="U75" t="s">
        <v>785</v>
      </c>
    </row>
    <row r="76" ht="24" customHeight="1" spans="1:21">
      <c r="A76" s="22" t="s">
        <v>471</v>
      </c>
      <c r="B76" s="22" t="s">
        <v>472</v>
      </c>
      <c r="C76" s="22" t="s">
        <v>237</v>
      </c>
      <c r="D76" s="22" t="s">
        <v>782</v>
      </c>
      <c r="E76" s="22" t="s">
        <v>473</v>
      </c>
      <c r="F76" s="23">
        <v>45848</v>
      </c>
      <c r="G76" s="29">
        <f>IF(ISNUMBER(补数计算!L23),补数计算!L23,"")</f>
        <v>0.0885473475458602</v>
      </c>
      <c r="H76" s="26"/>
      <c r="I76" s="26"/>
      <c r="J76" s="29">
        <f>IF(ISNUMBER(补数计算!O23),补数计算!O23,"")</f>
        <v>1</v>
      </c>
      <c r="K76" s="26"/>
      <c r="L76" s="30"/>
      <c r="M76" s="31">
        <f>IF(ISNUMBER(补数计算!N23),补数计算!N23,"")</f>
        <v>26.1337657687431</v>
      </c>
      <c r="N76" s="22" t="s">
        <v>783</v>
      </c>
      <c r="O76" s="23">
        <v>46269</v>
      </c>
      <c r="P76" s="23">
        <v>46275</v>
      </c>
      <c r="Q76" s="22" t="s">
        <v>474</v>
      </c>
      <c r="R76" s="22" t="s">
        <v>784</v>
      </c>
      <c r="S76" s="34">
        <f>IF(ISNUMBER(补数计算!L25),补数计算!L25,"")</f>
        <v>0.0842588197581635</v>
      </c>
      <c r="T76" s="33">
        <v>4</v>
      </c>
      <c r="U76" t="s">
        <v>815</v>
      </c>
    </row>
    <row r="77" ht="24" customHeight="1" spans="1:21">
      <c r="A77" s="22" t="s">
        <v>476</v>
      </c>
      <c r="B77" s="22" t="s">
        <v>477</v>
      </c>
      <c r="C77" s="22" t="s">
        <v>237</v>
      </c>
      <c r="D77" s="22" t="s">
        <v>782</v>
      </c>
      <c r="E77" s="22" t="s">
        <v>473</v>
      </c>
      <c r="F77" s="23">
        <v>45749</v>
      </c>
      <c r="G77" s="26"/>
      <c r="H77" s="26"/>
      <c r="I77" s="26"/>
      <c r="J77" s="26"/>
      <c r="K77" s="26"/>
      <c r="L77" s="30"/>
      <c r="M77" s="30"/>
      <c r="N77" s="22" t="s">
        <v>783</v>
      </c>
      <c r="O77" s="23">
        <v>46269</v>
      </c>
      <c r="P77" s="23">
        <v>46275</v>
      </c>
      <c r="Q77" s="22" t="s">
        <v>478</v>
      </c>
      <c r="R77" s="22" t="s">
        <v>784</v>
      </c>
      <c r="S77" s="32"/>
      <c r="T77" s="33">
        <v>0</v>
      </c>
      <c r="U77" t="s">
        <v>785</v>
      </c>
    </row>
    <row r="78" ht="24" customHeight="1" spans="1:21">
      <c r="A78" s="22" t="s">
        <v>480</v>
      </c>
      <c r="B78" s="22" t="s">
        <v>481</v>
      </c>
      <c r="C78" s="22" t="s">
        <v>122</v>
      </c>
      <c r="D78" s="22"/>
      <c r="E78" s="22" t="s">
        <v>482</v>
      </c>
      <c r="F78" s="23">
        <v>45929</v>
      </c>
      <c r="G78" s="26"/>
      <c r="H78" s="26"/>
      <c r="I78" s="26"/>
      <c r="J78" s="26"/>
      <c r="K78" s="26"/>
      <c r="L78" s="30"/>
      <c r="M78" s="30"/>
      <c r="N78" s="22" t="s">
        <v>783</v>
      </c>
      <c r="O78" s="23">
        <v>46269</v>
      </c>
      <c r="P78" s="23">
        <v>46275</v>
      </c>
      <c r="Q78" s="22" t="s">
        <v>484</v>
      </c>
      <c r="R78" s="22" t="s">
        <v>784</v>
      </c>
      <c r="S78" s="32">
        <v>0.1333</v>
      </c>
      <c r="T78" s="33">
        <v>0</v>
      </c>
      <c r="U78" t="s">
        <v>785</v>
      </c>
    </row>
    <row r="79" ht="24" customHeight="1" spans="1:21">
      <c r="A79" s="22" t="s">
        <v>486</v>
      </c>
      <c r="B79" s="22" t="s">
        <v>488</v>
      </c>
      <c r="C79" s="22" t="s">
        <v>237</v>
      </c>
      <c r="D79" s="22" t="s">
        <v>782</v>
      </c>
      <c r="E79" s="22" t="s">
        <v>489</v>
      </c>
      <c r="F79" s="23">
        <v>42857</v>
      </c>
      <c r="G79" s="26">
        <v>0.0381</v>
      </c>
      <c r="H79" s="26">
        <v>0.048</v>
      </c>
      <c r="I79" s="26">
        <v>0.7838</v>
      </c>
      <c r="J79" s="26">
        <v>0.6923</v>
      </c>
      <c r="K79" s="26">
        <v>0.0134</v>
      </c>
      <c r="L79" s="30">
        <v>3.5896</v>
      </c>
      <c r="M79" s="30">
        <v>2.8512</v>
      </c>
      <c r="N79" s="22" t="s">
        <v>783</v>
      </c>
      <c r="O79" s="23">
        <v>46269</v>
      </c>
      <c r="P79" s="23">
        <v>46275</v>
      </c>
      <c r="Q79" s="22" t="s">
        <v>491</v>
      </c>
      <c r="R79" s="22" t="s">
        <v>784</v>
      </c>
      <c r="S79" s="32">
        <v>0.0885</v>
      </c>
      <c r="T79" s="33">
        <v>0</v>
      </c>
      <c r="U79" t="s">
        <v>785</v>
      </c>
    </row>
    <row r="80" ht="24" customHeight="1" spans="1:21">
      <c r="A80" s="22" t="s">
        <v>493</v>
      </c>
      <c r="B80" s="22" t="s">
        <v>495</v>
      </c>
      <c r="C80" s="22" t="s">
        <v>122</v>
      </c>
      <c r="D80" s="22" t="s">
        <v>795</v>
      </c>
      <c r="E80" s="22" t="s">
        <v>496</v>
      </c>
      <c r="F80" s="23">
        <v>44550</v>
      </c>
      <c r="G80" s="26">
        <v>0.0309</v>
      </c>
      <c r="H80" s="26">
        <v>0.0486</v>
      </c>
      <c r="I80" s="26">
        <v>0.6216</v>
      </c>
      <c r="J80" s="26">
        <v>0.4615</v>
      </c>
      <c r="K80" s="26">
        <v>0.041</v>
      </c>
      <c r="L80" s="30">
        <v>1.1848</v>
      </c>
      <c r="M80" s="30">
        <v>1.391</v>
      </c>
      <c r="N80" s="22" t="s">
        <v>783</v>
      </c>
      <c r="O80" s="23">
        <v>46269</v>
      </c>
      <c r="P80" s="23">
        <v>46275</v>
      </c>
      <c r="Q80" s="22" t="s">
        <v>497</v>
      </c>
      <c r="R80" s="22" t="s">
        <v>784</v>
      </c>
      <c r="S80" s="32">
        <v>0.0551</v>
      </c>
      <c r="T80" s="33">
        <v>0</v>
      </c>
      <c r="U80" t="s">
        <v>785</v>
      </c>
    </row>
    <row r="81" ht="24" customHeight="1" spans="1:21">
      <c r="A81" s="22" t="s">
        <v>499</v>
      </c>
      <c r="B81" s="22" t="s">
        <v>502</v>
      </c>
      <c r="C81" s="22" t="s">
        <v>237</v>
      </c>
      <c r="D81" s="22"/>
      <c r="E81" s="22" t="s">
        <v>503</v>
      </c>
      <c r="F81" s="23">
        <v>45800</v>
      </c>
      <c r="G81" s="26">
        <v>0.1172</v>
      </c>
      <c r="H81" s="26"/>
      <c r="I81" s="26"/>
      <c r="J81" s="26">
        <v>0.9231</v>
      </c>
      <c r="K81" s="26"/>
      <c r="L81" s="30"/>
      <c r="M81" s="30">
        <v>21.0627</v>
      </c>
      <c r="N81" s="22" t="s">
        <v>783</v>
      </c>
      <c r="O81" s="23">
        <v>46269</v>
      </c>
      <c r="P81" s="23">
        <v>46275</v>
      </c>
      <c r="Q81" s="22" t="s">
        <v>505</v>
      </c>
      <c r="R81" s="22" t="s">
        <v>784</v>
      </c>
      <c r="S81" s="32">
        <v>0.1223</v>
      </c>
      <c r="T81" s="33">
        <v>0</v>
      </c>
      <c r="U81" t="s">
        <v>785</v>
      </c>
    </row>
    <row r="82" ht="24" customHeight="1" spans="1:21">
      <c r="A82" s="22" t="s">
        <v>507</v>
      </c>
      <c r="B82" s="22" t="s">
        <v>508</v>
      </c>
      <c r="C82" s="22" t="s">
        <v>237</v>
      </c>
      <c r="D82" s="22" t="s">
        <v>782</v>
      </c>
      <c r="E82" s="22" t="s">
        <v>509</v>
      </c>
      <c r="F82" s="23">
        <v>45826</v>
      </c>
      <c r="G82" s="26">
        <v>0.3154</v>
      </c>
      <c r="H82" s="26"/>
      <c r="I82" s="26"/>
      <c r="J82" s="26">
        <v>0.8462</v>
      </c>
      <c r="K82" s="26"/>
      <c r="L82" s="30"/>
      <c r="M82" s="30">
        <v>4.7185</v>
      </c>
      <c r="N82" s="22" t="s">
        <v>783</v>
      </c>
      <c r="O82" s="23">
        <v>46269</v>
      </c>
      <c r="P82" s="23">
        <v>46275</v>
      </c>
      <c r="Q82" s="22" t="s">
        <v>510</v>
      </c>
      <c r="R82" s="22" t="s">
        <v>784</v>
      </c>
      <c r="S82" s="32">
        <v>0.2683</v>
      </c>
      <c r="T82" s="33">
        <v>0</v>
      </c>
      <c r="U82" t="s">
        <v>785</v>
      </c>
    </row>
    <row r="83" ht="24" customHeight="1" spans="1:21">
      <c r="A83" s="22" t="s">
        <v>512</v>
      </c>
      <c r="B83" s="22" t="s">
        <v>513</v>
      </c>
      <c r="C83" s="22" t="s">
        <v>122</v>
      </c>
      <c r="D83" s="22" t="s">
        <v>795</v>
      </c>
      <c r="E83" s="22" t="s">
        <v>514</v>
      </c>
      <c r="F83" s="23">
        <v>43665</v>
      </c>
      <c r="G83" s="26">
        <v>0.0433</v>
      </c>
      <c r="H83" s="26">
        <v>0.0463</v>
      </c>
      <c r="I83" s="26">
        <v>0.7568</v>
      </c>
      <c r="J83" s="26">
        <v>0.6923</v>
      </c>
      <c r="K83" s="26">
        <v>0.0268</v>
      </c>
      <c r="L83" s="30">
        <v>1.7263</v>
      </c>
      <c r="M83" s="30">
        <v>5.6782</v>
      </c>
      <c r="N83" s="22" t="s">
        <v>783</v>
      </c>
      <c r="O83" s="23">
        <v>46269</v>
      </c>
      <c r="P83" s="23">
        <v>46275</v>
      </c>
      <c r="Q83" s="22" t="s">
        <v>516</v>
      </c>
      <c r="R83" s="22" t="s">
        <v>784</v>
      </c>
      <c r="S83" s="32">
        <v>0.0572</v>
      </c>
      <c r="T83" s="33">
        <v>0</v>
      </c>
      <c r="U83" t="s">
        <v>785</v>
      </c>
    </row>
    <row r="84" ht="24" customHeight="1" spans="1:21">
      <c r="A84" s="22" t="s">
        <v>518</v>
      </c>
      <c r="B84" s="22" t="s">
        <v>816</v>
      </c>
      <c r="C84" s="22" t="s">
        <v>122</v>
      </c>
      <c r="D84" s="22"/>
      <c r="E84" s="22" t="s">
        <v>817</v>
      </c>
      <c r="F84" s="23">
        <v>45363</v>
      </c>
      <c r="G84" s="29">
        <f>IF(ISNUMBER(补数计算!L17),补数计算!L17,"")</f>
        <v>0.254213705021174</v>
      </c>
      <c r="H84" s="26"/>
      <c r="I84" s="26"/>
      <c r="J84" s="29">
        <f>IF(ISNUMBER(补数计算!O17),补数计算!O17,"")</f>
        <v>1</v>
      </c>
      <c r="K84" s="26"/>
      <c r="L84" s="30"/>
      <c r="M84" s="31">
        <f>IF(ISNUMBER(补数计算!N17),补数计算!N17,"")</f>
        <v>22.825642454631</v>
      </c>
      <c r="N84" s="22" t="s">
        <v>783</v>
      </c>
      <c r="O84" s="23">
        <v>46269</v>
      </c>
      <c r="P84" s="23">
        <v>46275</v>
      </c>
      <c r="Q84" s="22" t="s">
        <v>818</v>
      </c>
      <c r="R84" s="22" t="s">
        <v>784</v>
      </c>
      <c r="S84" s="32"/>
      <c r="T84" s="33">
        <v>3</v>
      </c>
      <c r="U84" t="s">
        <v>819</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4"/>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6.8"/>
  <cols>
    <col min="1" max="1" width="15" customWidth="1"/>
    <col min="2" max="2" width="28" customWidth="1"/>
    <col min="3" max="8" width="15" customWidth="1"/>
    <col min="9" max="9" width="60" customWidth="1"/>
    <col min="10" max="10" width="15" customWidth="1"/>
    <col min="11" max="11" width="28" customWidth="1"/>
    <col min="12" max="12" width="60" customWidth="1"/>
    <col min="13" max="14" width="15" customWidth="1"/>
    <col min="15" max="15" width="60" customWidth="1"/>
    <col min="16" max="17" width="15" customWidth="1"/>
    <col min="18" max="18" width="78" customWidth="1"/>
    <col min="19" max="20" width="28" customWidth="1"/>
    <col min="21" max="22" width="15" customWidth="1"/>
  </cols>
  <sheetData>
    <row r="1" ht="44" customHeight="1" spans="1:22">
      <c r="A1" s="20" t="s">
        <v>723</v>
      </c>
      <c r="B1" s="21" t="s">
        <v>820</v>
      </c>
      <c r="C1" s="21" t="s">
        <v>821</v>
      </c>
      <c r="D1" s="21" t="s">
        <v>728</v>
      </c>
      <c r="E1" s="21" t="s">
        <v>822</v>
      </c>
      <c r="F1" s="21" t="s">
        <v>724</v>
      </c>
      <c r="G1" s="21" t="s">
        <v>778</v>
      </c>
      <c r="H1" s="21" t="s">
        <v>579</v>
      </c>
      <c r="I1" s="21" t="s">
        <v>823</v>
      </c>
      <c r="J1" s="21" t="s">
        <v>824</v>
      </c>
      <c r="K1" s="21" t="s">
        <v>535</v>
      </c>
      <c r="L1" s="21" t="s">
        <v>611</v>
      </c>
      <c r="M1" s="21" t="s">
        <v>825</v>
      </c>
      <c r="N1" s="21" t="s">
        <v>826</v>
      </c>
      <c r="O1" s="21" t="s">
        <v>726</v>
      </c>
      <c r="P1" s="21" t="s">
        <v>827</v>
      </c>
      <c r="Q1" s="21" t="s">
        <v>779</v>
      </c>
      <c r="R1" s="21" t="s">
        <v>828</v>
      </c>
      <c r="S1" s="21" t="s">
        <v>829</v>
      </c>
      <c r="T1" s="21" t="s">
        <v>830</v>
      </c>
      <c r="U1" s="21" t="s">
        <v>831</v>
      </c>
      <c r="V1" s="27" t="s">
        <v>832</v>
      </c>
    </row>
    <row r="2" ht="58" customHeight="1" spans="1:22">
      <c r="A2" s="22">
        <v>2</v>
      </c>
      <c r="B2" s="22" t="s">
        <v>33</v>
      </c>
      <c r="C2" s="22" t="s">
        <v>40</v>
      </c>
      <c r="D2" s="22" t="s">
        <v>40</v>
      </c>
      <c r="E2" s="22" t="s">
        <v>40</v>
      </c>
      <c r="F2" s="22" t="s">
        <v>784</v>
      </c>
      <c r="G2" s="23">
        <v>46275</v>
      </c>
      <c r="H2" s="23">
        <v>46269</v>
      </c>
      <c r="I2" s="24" t="s">
        <v>46</v>
      </c>
      <c r="J2" s="22" t="s">
        <v>833</v>
      </c>
      <c r="K2" s="22" t="str">
        <f>协会公示!E2</f>
        <v>20-50亿元</v>
      </c>
      <c r="L2" s="24" t="str">
        <f>协会公示!R2</f>
        <v>https://gs.amac.org.cn/amac-infodisc/res/pof/manager/1709181131101311.html</v>
      </c>
      <c r="M2" s="23">
        <f>协会公示!Q2</f>
        <v>46276</v>
      </c>
      <c r="N2" s="25">
        <v>0</v>
      </c>
      <c r="O2" s="24" t="s">
        <v>834</v>
      </c>
      <c r="P2" s="23">
        <v>46276</v>
      </c>
      <c r="Q2" s="26">
        <f>IF(ISNUMBER('Sheet4-原始数据'!S2),'Sheet4-原始数据'!S2,"")</f>
        <v>0.103</v>
      </c>
      <c r="R2" s="24" t="s">
        <v>835</v>
      </c>
      <c r="S2" s="22" t="s">
        <v>35</v>
      </c>
      <c r="T2" s="22" t="s">
        <v>836</v>
      </c>
      <c r="U2" s="22" t="s">
        <v>40</v>
      </c>
      <c r="V2" s="22" t="s">
        <v>36</v>
      </c>
    </row>
    <row r="3" ht="58" customHeight="1" spans="1:22">
      <c r="A3" s="22">
        <v>3</v>
      </c>
      <c r="B3" s="22" t="s">
        <v>49</v>
      </c>
      <c r="C3" s="22" t="s">
        <v>53</v>
      </c>
      <c r="D3" s="22" t="s">
        <v>53</v>
      </c>
      <c r="E3" s="22" t="s">
        <v>53</v>
      </c>
      <c r="F3" s="22" t="s">
        <v>784</v>
      </c>
      <c r="G3" s="23">
        <v>46275</v>
      </c>
      <c r="H3" s="23">
        <v>46269</v>
      </c>
      <c r="I3" s="24" t="s">
        <v>58</v>
      </c>
      <c r="J3" s="22" t="s">
        <v>837</v>
      </c>
      <c r="K3" s="22" t="str">
        <f>协会公示!E3</f>
        <v>5-10亿元</v>
      </c>
      <c r="L3" s="24" t="str">
        <f>协会公示!R3</f>
        <v>https://gs.amac.org.cn/amac-infodisc/res/pof/manager/1801301704109241.html</v>
      </c>
      <c r="M3" s="23">
        <f>协会公示!Q3</f>
        <v>46276</v>
      </c>
      <c r="N3" s="25">
        <v>0</v>
      </c>
      <c r="O3" s="24" t="s">
        <v>838</v>
      </c>
      <c r="P3" s="23">
        <v>46276</v>
      </c>
      <c r="Q3" s="26">
        <f>IF(ISNUMBER('Sheet4-原始数据'!S3),'Sheet4-原始数据'!S3,"")</f>
        <v>0.245415795828636</v>
      </c>
      <c r="R3" s="24" t="s">
        <v>835</v>
      </c>
      <c r="S3" s="22" t="s">
        <v>50</v>
      </c>
      <c r="T3" s="22" t="s">
        <v>836</v>
      </c>
      <c r="U3" s="22" t="s">
        <v>53</v>
      </c>
      <c r="V3" s="22" t="s">
        <v>36</v>
      </c>
    </row>
    <row r="4" ht="58" customHeight="1" spans="1:22">
      <c r="A4" s="22">
        <v>4</v>
      </c>
      <c r="B4" s="22" t="s">
        <v>60</v>
      </c>
      <c r="C4" s="22" t="s">
        <v>63</v>
      </c>
      <c r="D4" s="22" t="s">
        <v>63</v>
      </c>
      <c r="E4" s="22" t="s">
        <v>63</v>
      </c>
      <c r="F4" s="22" t="s">
        <v>784</v>
      </c>
      <c r="G4" s="23">
        <v>46275</v>
      </c>
      <c r="H4" s="23">
        <v>46269</v>
      </c>
      <c r="I4" s="24" t="s">
        <v>67</v>
      </c>
      <c r="J4" s="22" t="s">
        <v>839</v>
      </c>
      <c r="K4" s="22" t="str">
        <f>协会公示!E4</f>
        <v>5-10亿元</v>
      </c>
      <c r="L4" s="24" t="str">
        <f>协会公示!R4</f>
        <v>https://gs.amac.org.cn/amac-infodisc/res/pof/manager/1801020956105866.html</v>
      </c>
      <c r="M4" s="23">
        <f>协会公示!Q4</f>
        <v>46276</v>
      </c>
      <c r="N4" s="25">
        <v>0</v>
      </c>
      <c r="O4" s="24" t="s">
        <v>840</v>
      </c>
      <c r="P4" s="23">
        <v>46276</v>
      </c>
      <c r="Q4" s="26">
        <f>IF(ISNUMBER('Sheet4-原始数据'!S4),'Sheet4-原始数据'!S4,"")</f>
        <v>0.0478</v>
      </c>
      <c r="R4" s="24" t="s">
        <v>835</v>
      </c>
      <c r="S4" s="22" t="s">
        <v>61</v>
      </c>
      <c r="T4" s="22" t="s">
        <v>836</v>
      </c>
      <c r="U4" s="22" t="s">
        <v>63</v>
      </c>
      <c r="V4" s="22" t="s">
        <v>36</v>
      </c>
    </row>
    <row r="5" ht="58" customHeight="1" spans="1:22">
      <c r="A5" s="22">
        <v>5</v>
      </c>
      <c r="B5" s="22" t="s">
        <v>69</v>
      </c>
      <c r="C5" s="22" t="s">
        <v>72</v>
      </c>
      <c r="D5" s="22" t="s">
        <v>72</v>
      </c>
      <c r="E5" s="22" t="s">
        <v>72</v>
      </c>
      <c r="F5" s="22" t="s">
        <v>784</v>
      </c>
      <c r="G5" s="23">
        <v>46275</v>
      </c>
      <c r="H5" s="23">
        <v>46269</v>
      </c>
      <c r="I5" s="24" t="s">
        <v>75</v>
      </c>
      <c r="J5" s="22" t="s">
        <v>841</v>
      </c>
      <c r="K5" s="22" t="str">
        <f>协会公示!E5</f>
        <v>100亿元以上</v>
      </c>
      <c r="L5" s="24" t="str">
        <f>协会公示!R5</f>
        <v>https://gs.amac.org.cn/amac-infodisc/res/pof/manager/101000005082.html</v>
      </c>
      <c r="M5" s="23">
        <f>协会公示!Q5</f>
        <v>46276</v>
      </c>
      <c r="N5" s="25">
        <v>0</v>
      </c>
      <c r="O5" s="24" t="s">
        <v>842</v>
      </c>
      <c r="P5" s="23">
        <v>46276</v>
      </c>
      <c r="Q5" s="26">
        <f>IF(ISNUMBER('Sheet4-原始数据'!S5),'Sheet4-原始数据'!S5,"")</f>
        <v>0.1427</v>
      </c>
      <c r="R5" s="24" t="s">
        <v>835</v>
      </c>
      <c r="S5" s="22" t="s">
        <v>70</v>
      </c>
      <c r="T5" s="22" t="s">
        <v>836</v>
      </c>
      <c r="U5" s="22" t="s">
        <v>72</v>
      </c>
      <c r="V5" s="22" t="s">
        <v>36</v>
      </c>
    </row>
    <row r="6" ht="58" customHeight="1" spans="1:22">
      <c r="A6" s="22">
        <v>6</v>
      </c>
      <c r="B6" s="22" t="s">
        <v>77</v>
      </c>
      <c r="C6" s="22" t="s">
        <v>78</v>
      </c>
      <c r="D6" s="22" t="s">
        <v>78</v>
      </c>
      <c r="E6" s="22" t="s">
        <v>78</v>
      </c>
      <c r="F6" s="22" t="s">
        <v>784</v>
      </c>
      <c r="G6" s="23">
        <v>46275</v>
      </c>
      <c r="H6" s="23">
        <v>46269</v>
      </c>
      <c r="I6" s="24" t="s">
        <v>81</v>
      </c>
      <c r="J6" s="22" t="s">
        <v>843</v>
      </c>
      <c r="K6" s="22" t="str">
        <f>协会公示!E6</f>
        <v>100亿元以上</v>
      </c>
      <c r="L6" s="24" t="str">
        <f>协会公示!R6</f>
        <v>https://gs.amac.org.cn/amac-infodisc/res/pof/manager/101000005082.html</v>
      </c>
      <c r="M6" s="23">
        <f>协会公示!Q6</f>
        <v>46276</v>
      </c>
      <c r="N6" s="25">
        <v>0</v>
      </c>
      <c r="O6" s="24" t="s">
        <v>844</v>
      </c>
      <c r="P6" s="23">
        <v>46276</v>
      </c>
      <c r="Q6" s="26">
        <f>IF(ISNUMBER('Sheet4-原始数据'!S6),'Sheet4-原始数据'!S6,"")</f>
        <v>0.0423</v>
      </c>
      <c r="R6" s="24" t="s">
        <v>835</v>
      </c>
      <c r="S6" s="22" t="s">
        <v>35</v>
      </c>
      <c r="T6" s="22" t="s">
        <v>836</v>
      </c>
      <c r="U6" s="22" t="s">
        <v>78</v>
      </c>
      <c r="V6" s="22" t="s">
        <v>36</v>
      </c>
    </row>
    <row r="7" ht="58" customHeight="1" spans="1:22">
      <c r="A7" s="22">
        <v>7</v>
      </c>
      <c r="B7" s="22" t="s">
        <v>83</v>
      </c>
      <c r="C7" s="22" t="s">
        <v>84</v>
      </c>
      <c r="D7" s="22" t="s">
        <v>84</v>
      </c>
      <c r="E7" s="22" t="s">
        <v>84</v>
      </c>
      <c r="F7" s="22" t="s">
        <v>784</v>
      </c>
      <c r="G7" s="23">
        <v>46275</v>
      </c>
      <c r="H7" s="23">
        <v>46269</v>
      </c>
      <c r="I7" s="24" t="s">
        <v>86</v>
      </c>
      <c r="J7" s="22" t="s">
        <v>845</v>
      </c>
      <c r="K7" s="22" t="str">
        <f>协会公示!E7</f>
        <v>0-5亿元</v>
      </c>
      <c r="L7" s="24" t="str">
        <f>协会公示!R7</f>
        <v>https://gs.amac.org.cn/amac-infodisc/res/pof/manager/101000015767.html</v>
      </c>
      <c r="M7" s="23">
        <f>协会公示!Q7</f>
        <v>46276</v>
      </c>
      <c r="N7" s="25">
        <v>0</v>
      </c>
      <c r="O7" s="24" t="s">
        <v>846</v>
      </c>
      <c r="P7" s="23">
        <v>46276</v>
      </c>
      <c r="Q7" s="26">
        <f>IF(ISNUMBER('Sheet4-原始数据'!S7),'Sheet4-原始数据'!S7,"")</f>
        <v>0.1228</v>
      </c>
      <c r="R7" s="24" t="s">
        <v>835</v>
      </c>
      <c r="S7" s="22" t="s">
        <v>35</v>
      </c>
      <c r="T7" s="22" t="s">
        <v>836</v>
      </c>
      <c r="U7" s="22" t="s">
        <v>84</v>
      </c>
      <c r="V7" s="22" t="s">
        <v>36</v>
      </c>
    </row>
    <row r="8" ht="58" customHeight="1" spans="1:22">
      <c r="A8" s="22">
        <v>8</v>
      </c>
      <c r="B8" s="22" t="s">
        <v>88</v>
      </c>
      <c r="C8" s="22" t="s">
        <v>90</v>
      </c>
      <c r="D8" s="22" t="s">
        <v>90</v>
      </c>
      <c r="E8" s="22" t="s">
        <v>90</v>
      </c>
      <c r="F8" s="22" t="s">
        <v>784</v>
      </c>
      <c r="G8" s="23">
        <v>46275</v>
      </c>
      <c r="H8" s="23">
        <v>46269</v>
      </c>
      <c r="I8" s="24" t="s">
        <v>93</v>
      </c>
      <c r="J8" s="22" t="s">
        <v>847</v>
      </c>
      <c r="K8" s="22" t="str">
        <f>协会公示!E8</f>
        <v>5-10亿元</v>
      </c>
      <c r="L8" s="24" t="str">
        <f>协会公示!R8</f>
        <v>https://gs.amac.org.cn/amac-infodisc/res/pof/manager/101000022360.html</v>
      </c>
      <c r="M8" s="23">
        <f>协会公示!Q8</f>
        <v>46276</v>
      </c>
      <c r="N8" s="25">
        <v>0</v>
      </c>
      <c r="O8" s="24" t="s">
        <v>848</v>
      </c>
      <c r="P8" s="23">
        <v>46276</v>
      </c>
      <c r="Q8" s="26">
        <f>IF(ISNUMBER('Sheet4-原始数据'!S8),'Sheet4-原始数据'!S8,"")</f>
        <v>0.0637470418513069</v>
      </c>
      <c r="R8" s="24" t="s">
        <v>835</v>
      </c>
      <c r="S8" s="22" t="s">
        <v>35</v>
      </c>
      <c r="T8" s="22" t="s">
        <v>836</v>
      </c>
      <c r="U8" s="22" t="s">
        <v>90</v>
      </c>
      <c r="V8" s="22" t="s">
        <v>36</v>
      </c>
    </row>
    <row r="9" ht="58" customHeight="1" spans="1:22">
      <c r="A9" s="22">
        <v>9</v>
      </c>
      <c r="B9" s="22" t="s">
        <v>95</v>
      </c>
      <c r="C9" s="22" t="s">
        <v>98</v>
      </c>
      <c r="D9" s="22" t="s">
        <v>98</v>
      </c>
      <c r="E9" s="22" t="s">
        <v>98</v>
      </c>
      <c r="F9" s="22" t="s">
        <v>784</v>
      </c>
      <c r="G9" s="23">
        <v>46275</v>
      </c>
      <c r="H9" s="23">
        <v>46269</v>
      </c>
      <c r="I9" s="24" t="s">
        <v>102</v>
      </c>
      <c r="J9" s="22" t="s">
        <v>849</v>
      </c>
      <c r="K9" s="22" t="str">
        <f>协会公示!E9</f>
        <v>20-50亿元</v>
      </c>
      <c r="L9" s="24" t="str">
        <f>协会公示!R9</f>
        <v>https://gs.amac.org.cn/amac-infodisc/res/pof/manager/2209261520106658.html</v>
      </c>
      <c r="M9" s="23">
        <f>协会公示!Q9</f>
        <v>46276</v>
      </c>
      <c r="N9" s="25">
        <v>0</v>
      </c>
      <c r="O9" s="24" t="s">
        <v>850</v>
      </c>
      <c r="P9" s="23">
        <v>46276</v>
      </c>
      <c r="Q9" s="26">
        <f>IF(ISNUMBER('Sheet4-原始数据'!S9),'Sheet4-原始数据'!S9,"")</f>
        <v>0.0696</v>
      </c>
      <c r="R9" s="24" t="s">
        <v>835</v>
      </c>
      <c r="S9" s="22" t="s">
        <v>96</v>
      </c>
      <c r="T9" s="22" t="s">
        <v>836</v>
      </c>
      <c r="U9" s="22" t="s">
        <v>98</v>
      </c>
      <c r="V9" s="22" t="s">
        <v>36</v>
      </c>
    </row>
    <row r="10" ht="58" customHeight="1" spans="1:22">
      <c r="A10" s="22">
        <v>10</v>
      </c>
      <c r="B10" s="22" t="s">
        <v>104</v>
      </c>
      <c r="C10" s="22" t="s">
        <v>105</v>
      </c>
      <c r="D10" s="22" t="s">
        <v>105</v>
      </c>
      <c r="E10" s="22" t="s">
        <v>105</v>
      </c>
      <c r="F10" s="22" t="s">
        <v>784</v>
      </c>
      <c r="G10" s="23">
        <v>46275</v>
      </c>
      <c r="H10" s="23">
        <v>46269</v>
      </c>
      <c r="I10" s="24" t="s">
        <v>108</v>
      </c>
      <c r="J10" s="22" t="s">
        <v>851</v>
      </c>
      <c r="K10" s="22" t="str">
        <f>协会公示!E10</f>
        <v>20-50亿元</v>
      </c>
      <c r="L10" s="24" t="str">
        <f>协会公示!R10</f>
        <v>https://gs.amac.org.cn/amac-infodisc/res/pof/manager/2209261520106658.html</v>
      </c>
      <c r="M10" s="23">
        <f>协会公示!Q10</f>
        <v>46276</v>
      </c>
      <c r="N10" s="25">
        <v>0</v>
      </c>
      <c r="O10" s="24" t="s">
        <v>852</v>
      </c>
      <c r="P10" s="23">
        <v>46276</v>
      </c>
      <c r="Q10" s="26">
        <f>IF(ISNUMBER('Sheet4-原始数据'!S10),'Sheet4-原始数据'!S10,"")</f>
        <v>0.0714</v>
      </c>
      <c r="R10" s="24" t="s">
        <v>835</v>
      </c>
      <c r="S10" s="22" t="s">
        <v>96</v>
      </c>
      <c r="T10" s="22" t="s">
        <v>836</v>
      </c>
      <c r="U10" s="22" t="s">
        <v>105</v>
      </c>
      <c r="V10" s="22" t="s">
        <v>36</v>
      </c>
    </row>
    <row r="11" ht="58" customHeight="1" spans="1:22">
      <c r="A11" s="22">
        <v>11</v>
      </c>
      <c r="B11" s="22" t="s">
        <v>110</v>
      </c>
      <c r="C11" s="22" t="s">
        <v>112</v>
      </c>
      <c r="D11" s="22" t="s">
        <v>112</v>
      </c>
      <c r="E11" s="22" t="s">
        <v>112</v>
      </c>
      <c r="F11" s="22" t="s">
        <v>784</v>
      </c>
      <c r="G11" s="23">
        <v>46275</v>
      </c>
      <c r="H11" s="23">
        <v>46269</v>
      </c>
      <c r="I11" s="24" t="s">
        <v>115</v>
      </c>
      <c r="J11" s="22" t="s">
        <v>853</v>
      </c>
      <c r="K11" s="22" t="str">
        <f>协会公示!E11</f>
        <v>5-10亿元</v>
      </c>
      <c r="L11" s="24" t="str">
        <f>协会公示!R11</f>
        <v>https://gs.amac.org.cn/amac-infodisc/res/pof/manager/2002211754119480.html</v>
      </c>
      <c r="M11" s="23">
        <f>协会公示!Q11</f>
        <v>46276</v>
      </c>
      <c r="N11" s="25">
        <v>0</v>
      </c>
      <c r="O11" s="24" t="s">
        <v>854</v>
      </c>
      <c r="P11" s="23">
        <v>46276</v>
      </c>
      <c r="Q11" s="26">
        <f>IF(ISNUMBER('Sheet4-原始数据'!S11),'Sheet4-原始数据'!S11,"")</f>
        <v>0.0619</v>
      </c>
      <c r="R11" s="24" t="s">
        <v>835</v>
      </c>
      <c r="S11" s="22" t="s">
        <v>35</v>
      </c>
      <c r="T11" s="22" t="s">
        <v>836</v>
      </c>
      <c r="U11" s="22" t="s">
        <v>112</v>
      </c>
      <c r="V11" s="22" t="s">
        <v>36</v>
      </c>
    </row>
    <row r="12" ht="58" customHeight="1" spans="1:22">
      <c r="A12" s="22">
        <v>12</v>
      </c>
      <c r="B12" s="22" t="s">
        <v>117</v>
      </c>
      <c r="C12" s="22" t="s">
        <v>118</v>
      </c>
      <c r="D12" s="22" t="s">
        <v>118</v>
      </c>
      <c r="E12" s="22" t="s">
        <v>118</v>
      </c>
      <c r="F12" s="22" t="s">
        <v>784</v>
      </c>
      <c r="G12" s="23">
        <v>46275</v>
      </c>
      <c r="H12" s="23">
        <v>46269</v>
      </c>
      <c r="I12" s="24" t="s">
        <v>119</v>
      </c>
      <c r="J12" s="22" t="s">
        <v>855</v>
      </c>
      <c r="K12" s="22" t="str">
        <f>协会公示!E12</f>
        <v>5-10亿元</v>
      </c>
      <c r="L12" s="24" t="str">
        <f>协会公示!R12</f>
        <v>https://gs.amac.org.cn/amac-infodisc/res/pof/manager/2002211754119480.html</v>
      </c>
      <c r="M12" s="23">
        <f>协会公示!Q12</f>
        <v>46276</v>
      </c>
      <c r="N12" s="25">
        <v>0</v>
      </c>
      <c r="O12" s="24" t="s">
        <v>856</v>
      </c>
      <c r="P12" s="23">
        <v>46276</v>
      </c>
      <c r="Q12" s="26">
        <f>IF(ISNUMBER('Sheet4-原始数据'!S12),'Sheet4-原始数据'!S12,"")</f>
        <v>0.0915</v>
      </c>
      <c r="R12" s="24" t="s">
        <v>835</v>
      </c>
      <c r="S12" s="22" t="s">
        <v>35</v>
      </c>
      <c r="T12" s="22" t="s">
        <v>836</v>
      </c>
      <c r="U12" s="22" t="s">
        <v>118</v>
      </c>
      <c r="V12" s="22" t="s">
        <v>36</v>
      </c>
    </row>
    <row r="13" ht="58" customHeight="1" spans="1:22">
      <c r="A13" s="22">
        <v>13</v>
      </c>
      <c r="B13" s="22" t="s">
        <v>121</v>
      </c>
      <c r="C13" s="22" t="s">
        <v>124</v>
      </c>
      <c r="D13" s="22" t="s">
        <v>124</v>
      </c>
      <c r="E13" s="22" t="s">
        <v>124</v>
      </c>
      <c r="F13" s="22" t="s">
        <v>784</v>
      </c>
      <c r="G13" s="23">
        <v>46275</v>
      </c>
      <c r="H13" s="23">
        <v>46269</v>
      </c>
      <c r="I13" s="24" t="s">
        <v>127</v>
      </c>
      <c r="J13" s="22" t="s">
        <v>857</v>
      </c>
      <c r="K13" s="22" t="str">
        <f>协会公示!E13</f>
        <v>0-5亿元</v>
      </c>
      <c r="L13" s="24" t="str">
        <f>协会公示!R13</f>
        <v>https://gs.amac.org.cn/amac-infodisc/res/pof/manager/101000037574.html</v>
      </c>
      <c r="M13" s="23">
        <f>协会公示!Q13</f>
        <v>46276</v>
      </c>
      <c r="N13" s="25">
        <v>0</v>
      </c>
      <c r="O13" s="24" t="s">
        <v>858</v>
      </c>
      <c r="P13" s="23">
        <v>46276</v>
      </c>
      <c r="Q13" s="26">
        <f>IF(ISNUMBER('Sheet4-原始数据'!S13),'Sheet4-原始数据'!S13,"")</f>
        <v>0.0252</v>
      </c>
      <c r="R13" s="24" t="s">
        <v>835</v>
      </c>
      <c r="S13" s="22" t="s">
        <v>122</v>
      </c>
      <c r="T13" s="22" t="s">
        <v>836</v>
      </c>
      <c r="U13" s="22" t="s">
        <v>124</v>
      </c>
      <c r="V13" s="22" t="s">
        <v>36</v>
      </c>
    </row>
    <row r="14" ht="58" customHeight="1" spans="1:22">
      <c r="A14" s="22">
        <v>14</v>
      </c>
      <c r="B14" s="22" t="s">
        <v>129</v>
      </c>
      <c r="C14" s="22" t="s">
        <v>130</v>
      </c>
      <c r="D14" s="22" t="s">
        <v>130</v>
      </c>
      <c r="E14" s="22" t="s">
        <v>130</v>
      </c>
      <c r="F14" s="22" t="s">
        <v>784</v>
      </c>
      <c r="G14" s="23">
        <v>46275</v>
      </c>
      <c r="H14" s="23">
        <v>46269</v>
      </c>
      <c r="I14" s="24" t="s">
        <v>133</v>
      </c>
      <c r="J14" s="22" t="s">
        <v>859</v>
      </c>
      <c r="K14" s="22" t="str">
        <f>协会公示!E14</f>
        <v>0-5亿元</v>
      </c>
      <c r="L14" s="24" t="str">
        <f>协会公示!R14</f>
        <v>https://gs.amac.org.cn/amac-infodisc/res/pof/manager/1803121751101388.html</v>
      </c>
      <c r="M14" s="23">
        <f>协会公示!Q14</f>
        <v>46276</v>
      </c>
      <c r="N14" s="25">
        <v>0</v>
      </c>
      <c r="O14" s="24" t="s">
        <v>860</v>
      </c>
      <c r="P14" s="23">
        <v>46276</v>
      </c>
      <c r="Q14" s="26">
        <f>IF(ISNUMBER('Sheet4-原始数据'!S14),'Sheet4-原始数据'!S14,"")</f>
        <v>0.071</v>
      </c>
      <c r="R14" s="24" t="s">
        <v>835</v>
      </c>
      <c r="S14" s="22" t="s">
        <v>61</v>
      </c>
      <c r="T14" s="22" t="s">
        <v>836</v>
      </c>
      <c r="U14" s="22" t="s">
        <v>130</v>
      </c>
      <c r="V14" s="22" t="s">
        <v>36</v>
      </c>
    </row>
    <row r="15" ht="58" customHeight="1" spans="1:22">
      <c r="A15" s="22">
        <v>15</v>
      </c>
      <c r="B15" s="22" t="s">
        <v>135</v>
      </c>
      <c r="C15" s="22" t="s">
        <v>139</v>
      </c>
      <c r="D15" s="22" t="s">
        <v>139</v>
      </c>
      <c r="E15" s="22" t="s">
        <v>139</v>
      </c>
      <c r="F15" s="22" t="s">
        <v>784</v>
      </c>
      <c r="G15" s="23">
        <v>46275</v>
      </c>
      <c r="H15" s="23">
        <v>46269</v>
      </c>
      <c r="I15" s="24" t="s">
        <v>142</v>
      </c>
      <c r="J15" s="22" t="s">
        <v>861</v>
      </c>
      <c r="K15" s="22" t="str">
        <f>协会公示!E15</f>
        <v>20-50亿元</v>
      </c>
      <c r="L15" s="24" t="str">
        <f>协会公示!R15</f>
        <v>https://gs.amac.org.cn/amac-infodisc/res/pof/manager/101000000235.html</v>
      </c>
      <c r="M15" s="23">
        <f>协会公示!Q15</f>
        <v>46276</v>
      </c>
      <c r="N15" s="25">
        <v>0</v>
      </c>
      <c r="O15" s="24" t="s">
        <v>862</v>
      </c>
      <c r="P15" s="23">
        <v>46276</v>
      </c>
      <c r="Q15" s="26" t="str">
        <f>IF(ISNUMBER('Sheet4-原始数据'!S15),'Sheet4-原始数据'!S15,"")</f>
        <v/>
      </c>
      <c r="R15" s="24" t="s">
        <v>835</v>
      </c>
      <c r="S15" s="22" t="s">
        <v>136</v>
      </c>
      <c r="T15" s="22" t="s">
        <v>836</v>
      </c>
      <c r="U15" s="22" t="s">
        <v>139</v>
      </c>
      <c r="V15" s="22" t="s">
        <v>36</v>
      </c>
    </row>
    <row r="16" ht="58" customHeight="1" spans="1:22">
      <c r="A16" s="22">
        <v>16</v>
      </c>
      <c r="B16" s="22" t="s">
        <v>144</v>
      </c>
      <c r="C16" s="22" t="s">
        <v>145</v>
      </c>
      <c r="D16" s="22" t="s">
        <v>145</v>
      </c>
      <c r="E16" s="22" t="s">
        <v>145</v>
      </c>
      <c r="F16" s="22" t="s">
        <v>784</v>
      </c>
      <c r="G16" s="23">
        <v>46275</v>
      </c>
      <c r="H16" s="23">
        <v>46269</v>
      </c>
      <c r="I16" s="24" t="s">
        <v>148</v>
      </c>
      <c r="J16" s="22" t="s">
        <v>863</v>
      </c>
      <c r="K16" s="22" t="str">
        <f>协会公示!E16</f>
        <v>20-50亿元</v>
      </c>
      <c r="L16" s="24" t="str">
        <f>协会公示!R16</f>
        <v>https://gs.amac.org.cn/amac-infodisc/res/pof/manager/101000000235.html</v>
      </c>
      <c r="M16" s="23">
        <f>协会公示!Q16</f>
        <v>46276</v>
      </c>
      <c r="N16" s="25">
        <v>0</v>
      </c>
      <c r="O16" s="24" t="s">
        <v>864</v>
      </c>
      <c r="P16" s="23">
        <v>46276</v>
      </c>
      <c r="Q16" s="26">
        <f>IF(ISNUMBER('Sheet4-原始数据'!S16),'Sheet4-原始数据'!S16,"")</f>
        <v>0.161443539957389</v>
      </c>
      <c r="R16" s="24" t="s">
        <v>835</v>
      </c>
      <c r="S16" s="22" t="s">
        <v>136</v>
      </c>
      <c r="T16" s="22" t="s">
        <v>836</v>
      </c>
      <c r="U16" s="22" t="s">
        <v>145</v>
      </c>
      <c r="V16" s="22" t="s">
        <v>36</v>
      </c>
    </row>
    <row r="17" ht="58" customHeight="1" spans="1:22">
      <c r="A17" s="22">
        <v>17</v>
      </c>
      <c r="B17" s="22" t="s">
        <v>150</v>
      </c>
      <c r="C17" s="22" t="s">
        <v>151</v>
      </c>
      <c r="D17" s="22" t="s">
        <v>151</v>
      </c>
      <c r="E17" s="22" t="s">
        <v>151</v>
      </c>
      <c r="F17" s="22" t="s">
        <v>784</v>
      </c>
      <c r="G17" s="23">
        <v>46275</v>
      </c>
      <c r="H17" s="23">
        <v>46269</v>
      </c>
      <c r="I17" s="24" t="s">
        <v>153</v>
      </c>
      <c r="J17" s="22" t="s">
        <v>865</v>
      </c>
      <c r="K17" s="22" t="str">
        <f>协会公示!E17</f>
        <v>0-5亿元</v>
      </c>
      <c r="L17" s="24" t="str">
        <f>协会公示!R17</f>
        <v>https://gs.amac.org.cn/amac-infodisc/res/pof/manager/2104292125100136.html</v>
      </c>
      <c r="M17" s="23">
        <f>协会公示!Q17</f>
        <v>46276</v>
      </c>
      <c r="N17" s="25">
        <v>0</v>
      </c>
      <c r="O17" s="24" t="s">
        <v>866</v>
      </c>
      <c r="P17" s="23">
        <v>46276</v>
      </c>
      <c r="Q17" s="26">
        <f>IF(ISNUMBER('Sheet4-原始数据'!S17),'Sheet4-原始数据'!S17,"")</f>
        <v>0.0713</v>
      </c>
      <c r="R17" s="24" t="s">
        <v>835</v>
      </c>
      <c r="S17" s="22" t="s">
        <v>35</v>
      </c>
      <c r="T17" s="22" t="s">
        <v>836</v>
      </c>
      <c r="U17" s="22" t="s">
        <v>151</v>
      </c>
      <c r="V17" s="22" t="s">
        <v>36</v>
      </c>
    </row>
    <row r="18" ht="58" customHeight="1" spans="1:22">
      <c r="A18" s="22">
        <v>18</v>
      </c>
      <c r="B18" s="22" t="s">
        <v>155</v>
      </c>
      <c r="C18" s="22" t="s">
        <v>157</v>
      </c>
      <c r="D18" s="22" t="s">
        <v>157</v>
      </c>
      <c r="E18" s="22" t="s">
        <v>157</v>
      </c>
      <c r="F18" s="22" t="s">
        <v>784</v>
      </c>
      <c r="G18" s="23">
        <v>46275</v>
      </c>
      <c r="H18" s="23">
        <v>46269</v>
      </c>
      <c r="I18" s="24" t="s">
        <v>159</v>
      </c>
      <c r="J18" s="22" t="s">
        <v>867</v>
      </c>
      <c r="K18" s="22" t="str">
        <f>协会公示!E18</f>
        <v>5-10亿元</v>
      </c>
      <c r="L18" s="24" t="str">
        <f>协会公示!R18</f>
        <v>https://gs.amac.org.cn/amac-infodisc/res/pof/manager/2109061042100364.html</v>
      </c>
      <c r="M18" s="23">
        <f>协会公示!Q18</f>
        <v>46276</v>
      </c>
      <c r="N18" s="25">
        <v>0</v>
      </c>
      <c r="O18" s="24" t="s">
        <v>868</v>
      </c>
      <c r="P18" s="23">
        <v>46276</v>
      </c>
      <c r="Q18" s="26">
        <f>IF(ISNUMBER('Sheet4-原始数据'!S18),'Sheet4-原始数据'!S18,"")</f>
        <v>0.3039</v>
      </c>
      <c r="R18" s="24" t="s">
        <v>835</v>
      </c>
      <c r="S18" s="22" t="s">
        <v>35</v>
      </c>
      <c r="T18" s="22" t="s">
        <v>836</v>
      </c>
      <c r="U18" s="22" t="s">
        <v>157</v>
      </c>
      <c r="V18" s="22" t="s">
        <v>36</v>
      </c>
    </row>
    <row r="19" ht="58" customHeight="1" spans="1:22">
      <c r="A19" s="22">
        <v>19</v>
      </c>
      <c r="B19" s="22" t="s">
        <v>161</v>
      </c>
      <c r="C19" s="22" t="s">
        <v>162</v>
      </c>
      <c r="D19" s="22" t="s">
        <v>162</v>
      </c>
      <c r="E19" s="22" t="s">
        <v>162</v>
      </c>
      <c r="F19" s="22" t="s">
        <v>784</v>
      </c>
      <c r="G19" s="23">
        <v>46275</v>
      </c>
      <c r="H19" s="23">
        <v>46269</v>
      </c>
      <c r="I19" s="24" t="s">
        <v>163</v>
      </c>
      <c r="J19" s="22" t="s">
        <v>869</v>
      </c>
      <c r="K19" s="22" t="str">
        <f>协会公示!E19</f>
        <v>5-10亿元</v>
      </c>
      <c r="L19" s="24" t="str">
        <f>协会公示!R19</f>
        <v>https://gs.amac.org.cn/amac-infodisc/res/pof/manager/2109061042100364.html</v>
      </c>
      <c r="M19" s="23">
        <f>协会公示!Q19</f>
        <v>46276</v>
      </c>
      <c r="N19" s="25">
        <v>0</v>
      </c>
      <c r="O19" s="24" t="s">
        <v>870</v>
      </c>
      <c r="P19" s="23">
        <v>46276</v>
      </c>
      <c r="Q19" s="26">
        <f>IF(ISNUMBER('Sheet4-原始数据'!S19),'Sheet4-原始数据'!S19,"")</f>
        <v>0.1876</v>
      </c>
      <c r="R19" s="24" t="s">
        <v>835</v>
      </c>
      <c r="S19" s="22" t="s">
        <v>35</v>
      </c>
      <c r="T19" s="22" t="s">
        <v>836</v>
      </c>
      <c r="U19" s="22" t="s">
        <v>162</v>
      </c>
      <c r="V19" s="22" t="s">
        <v>36</v>
      </c>
    </row>
    <row r="20" ht="58" customHeight="1" spans="1:22">
      <c r="A20" s="22">
        <v>20</v>
      </c>
      <c r="B20" s="22" t="s">
        <v>165</v>
      </c>
      <c r="C20" s="22" t="s">
        <v>166</v>
      </c>
      <c r="D20" s="22" t="s">
        <v>166</v>
      </c>
      <c r="E20" s="22" t="s">
        <v>166</v>
      </c>
      <c r="F20" s="22" t="s">
        <v>784</v>
      </c>
      <c r="G20" s="23">
        <v>46275</v>
      </c>
      <c r="H20" s="23">
        <v>46269</v>
      </c>
      <c r="I20" s="24" t="s">
        <v>168</v>
      </c>
      <c r="J20" s="22" t="s">
        <v>871</v>
      </c>
      <c r="K20" s="22" t="str">
        <f>协会公示!E20</f>
        <v>0-5亿元</v>
      </c>
      <c r="L20" s="24" t="str">
        <f>协会公示!R20</f>
        <v>https://gs.amac.org.cn/amac-infodisc/res/pof/manager/101000049159.html</v>
      </c>
      <c r="M20" s="23">
        <f>协会公示!Q20</f>
        <v>46276</v>
      </c>
      <c r="N20" s="25">
        <v>0</v>
      </c>
      <c r="O20" s="24" t="s">
        <v>872</v>
      </c>
      <c r="P20" s="23">
        <v>46276</v>
      </c>
      <c r="Q20" s="26">
        <f>IF(ISNUMBER('Sheet4-原始数据'!S20),'Sheet4-原始数据'!S20,"")</f>
        <v>0.0466</v>
      </c>
      <c r="R20" s="24" t="s">
        <v>835</v>
      </c>
      <c r="S20" s="22" t="s">
        <v>61</v>
      </c>
      <c r="T20" s="22" t="s">
        <v>836</v>
      </c>
      <c r="U20" s="22" t="s">
        <v>166</v>
      </c>
      <c r="V20" s="22" t="s">
        <v>36</v>
      </c>
    </row>
    <row r="21" ht="58" customHeight="1" spans="1:22">
      <c r="A21" s="22">
        <v>21</v>
      </c>
      <c r="B21" s="22" t="s">
        <v>170</v>
      </c>
      <c r="C21" s="22" t="s">
        <v>171</v>
      </c>
      <c r="D21" s="22" t="s">
        <v>171</v>
      </c>
      <c r="E21" s="22" t="s">
        <v>171</v>
      </c>
      <c r="F21" s="22" t="s">
        <v>784</v>
      </c>
      <c r="G21" s="23">
        <v>46275</v>
      </c>
      <c r="H21" s="23">
        <v>46269</v>
      </c>
      <c r="I21" s="24" t="s">
        <v>173</v>
      </c>
      <c r="J21" s="22" t="s">
        <v>873</v>
      </c>
      <c r="K21" s="22" t="str">
        <f>协会公示!E21</f>
        <v>0-5亿元</v>
      </c>
      <c r="L21" s="24" t="str">
        <f>协会公示!R21</f>
        <v>https://gs.amac.org.cn/amac-infodisc/res/pof/manager/101000016385.html</v>
      </c>
      <c r="M21" s="23">
        <f>协会公示!Q21</f>
        <v>46276</v>
      </c>
      <c r="N21" s="25">
        <v>0</v>
      </c>
      <c r="O21" s="24" t="s">
        <v>874</v>
      </c>
      <c r="P21" s="23">
        <v>46276</v>
      </c>
      <c r="Q21" s="26">
        <f>IF(ISNUMBER('Sheet4-原始数据'!S21),'Sheet4-原始数据'!S21,"")</f>
        <v>0.1093</v>
      </c>
      <c r="R21" s="24" t="s">
        <v>835</v>
      </c>
      <c r="S21" s="22" t="s">
        <v>35</v>
      </c>
      <c r="T21" s="22" t="s">
        <v>836</v>
      </c>
      <c r="U21" s="22" t="s">
        <v>171</v>
      </c>
      <c r="V21" s="22" t="s">
        <v>36</v>
      </c>
    </row>
    <row r="22" ht="58" customHeight="1" spans="1:22">
      <c r="A22" s="22">
        <v>22</v>
      </c>
      <c r="B22" s="22" t="s">
        <v>175</v>
      </c>
      <c r="C22" s="22" t="s">
        <v>176</v>
      </c>
      <c r="D22" s="22" t="s">
        <v>176</v>
      </c>
      <c r="E22" s="22" t="s">
        <v>176</v>
      </c>
      <c r="F22" s="22" t="s">
        <v>784</v>
      </c>
      <c r="G22" s="23">
        <v>46275</v>
      </c>
      <c r="H22" s="23">
        <v>46269</v>
      </c>
      <c r="I22" s="24" t="s">
        <v>178</v>
      </c>
      <c r="J22" s="22" t="s">
        <v>875</v>
      </c>
      <c r="K22" s="22" t="str">
        <f>协会公示!E22</f>
        <v>10-20亿元</v>
      </c>
      <c r="L22" s="24" t="str">
        <f>协会公示!R22</f>
        <v>https://gs.amac.org.cn/amac-infodisc/res/pof/manager/1705031716108118.html</v>
      </c>
      <c r="M22" s="23">
        <f>协会公示!Q22</f>
        <v>46276</v>
      </c>
      <c r="N22" s="25">
        <v>0</v>
      </c>
      <c r="O22" s="24" t="s">
        <v>876</v>
      </c>
      <c r="P22" s="23">
        <v>46276</v>
      </c>
      <c r="Q22" s="26">
        <f>IF(ISNUMBER('Sheet4-原始数据'!S22),'Sheet4-原始数据'!S22,"")</f>
        <v>0.1457</v>
      </c>
      <c r="R22" s="24" t="s">
        <v>835</v>
      </c>
      <c r="S22" s="22" t="s">
        <v>35</v>
      </c>
      <c r="T22" s="22" t="s">
        <v>836</v>
      </c>
      <c r="U22" s="22" t="s">
        <v>176</v>
      </c>
      <c r="V22" s="22" t="s">
        <v>36</v>
      </c>
    </row>
    <row r="23" ht="58" customHeight="1" spans="1:22">
      <c r="A23" s="22">
        <v>23</v>
      </c>
      <c r="B23" s="22" t="s">
        <v>180</v>
      </c>
      <c r="C23" s="22" t="s">
        <v>182</v>
      </c>
      <c r="D23" s="22" t="s">
        <v>182</v>
      </c>
      <c r="E23" s="22" t="s">
        <v>182</v>
      </c>
      <c r="F23" s="22" t="s">
        <v>784</v>
      </c>
      <c r="G23" s="23">
        <v>46275</v>
      </c>
      <c r="H23" s="23">
        <v>46269</v>
      </c>
      <c r="I23" s="24" t="s">
        <v>184</v>
      </c>
      <c r="J23" s="22" t="s">
        <v>877</v>
      </c>
      <c r="K23" s="22" t="str">
        <f>协会公示!E23</f>
        <v>0-5亿元</v>
      </c>
      <c r="L23" s="24" t="str">
        <f>协会公示!R23</f>
        <v>https://gs.amac.org.cn/amac-infodisc/res/pof/manager/2202171443109430.html</v>
      </c>
      <c r="M23" s="23">
        <f>协会公示!Q23</f>
        <v>46276</v>
      </c>
      <c r="N23" s="25"/>
      <c r="O23" s="24" t="s">
        <v>836</v>
      </c>
      <c r="P23" s="23"/>
      <c r="Q23" s="26">
        <f>IF(ISNUMBER('Sheet4-原始数据'!S23),'Sheet4-原始数据'!S23,"")</f>
        <v>0.0514</v>
      </c>
      <c r="R23" s="24" t="s">
        <v>878</v>
      </c>
      <c r="S23" s="22" t="s">
        <v>35</v>
      </c>
      <c r="T23" s="22" t="s">
        <v>836</v>
      </c>
      <c r="U23" s="22" t="s">
        <v>836</v>
      </c>
      <c r="V23" s="22" t="s">
        <v>879</v>
      </c>
    </row>
    <row r="24" ht="58" customHeight="1" spans="1:22">
      <c r="A24" s="22">
        <v>24</v>
      </c>
      <c r="B24" s="22" t="s">
        <v>186</v>
      </c>
      <c r="C24" s="22" t="s">
        <v>188</v>
      </c>
      <c r="D24" s="22" t="s">
        <v>188</v>
      </c>
      <c r="E24" s="22" t="s">
        <v>188</v>
      </c>
      <c r="F24" s="22" t="s">
        <v>784</v>
      </c>
      <c r="G24" s="23">
        <v>46275</v>
      </c>
      <c r="H24" s="23">
        <v>46269</v>
      </c>
      <c r="I24" s="24" t="s">
        <v>191</v>
      </c>
      <c r="J24" s="22" t="s">
        <v>880</v>
      </c>
      <c r="K24" s="22" t="str">
        <f>协会公示!E24</f>
        <v>5-10亿元</v>
      </c>
      <c r="L24" s="24" t="str">
        <f>协会公示!R24</f>
        <v>https://gs.amac.org.cn/amac-infodisc/res/pof/manager/2203031405108672.html</v>
      </c>
      <c r="M24" s="23">
        <f>协会公示!Q24</f>
        <v>46276</v>
      </c>
      <c r="N24" s="25">
        <v>0</v>
      </c>
      <c r="O24" s="24" t="s">
        <v>881</v>
      </c>
      <c r="P24" s="23">
        <v>46276</v>
      </c>
      <c r="Q24" s="26">
        <f>IF(ISNUMBER('Sheet4-原始数据'!S24),'Sheet4-原始数据'!S24,"")</f>
        <v>0.1037</v>
      </c>
      <c r="R24" s="24" t="s">
        <v>835</v>
      </c>
      <c r="S24" s="22" t="s">
        <v>35</v>
      </c>
      <c r="T24" s="22" t="s">
        <v>836</v>
      </c>
      <c r="U24" s="22" t="s">
        <v>188</v>
      </c>
      <c r="V24" s="22" t="s">
        <v>36</v>
      </c>
    </row>
    <row r="25" ht="58" customHeight="1" spans="1:22">
      <c r="A25" s="22">
        <v>25</v>
      </c>
      <c r="B25" s="22" t="s">
        <v>193</v>
      </c>
      <c r="C25" s="22" t="s">
        <v>194</v>
      </c>
      <c r="D25" s="22" t="s">
        <v>194</v>
      </c>
      <c r="E25" s="22" t="s">
        <v>194</v>
      </c>
      <c r="F25" s="22" t="s">
        <v>784</v>
      </c>
      <c r="G25" s="23">
        <v>46275</v>
      </c>
      <c r="H25" s="23">
        <v>46269</v>
      </c>
      <c r="I25" s="24" t="s">
        <v>196</v>
      </c>
      <c r="J25" s="22" t="s">
        <v>882</v>
      </c>
      <c r="K25" s="22" t="str">
        <f>协会公示!E25</f>
        <v>10-20亿元</v>
      </c>
      <c r="L25" s="24" t="str">
        <f>协会公示!R25</f>
        <v>https://gs.amac.org.cn/amac-infodisc/res/pof/manager/1903261812109866.html</v>
      </c>
      <c r="M25" s="23">
        <f>协会公示!Q25</f>
        <v>46276</v>
      </c>
      <c r="N25" s="25">
        <v>0</v>
      </c>
      <c r="O25" s="24" t="s">
        <v>883</v>
      </c>
      <c r="P25" s="23">
        <v>46276</v>
      </c>
      <c r="Q25" s="26">
        <f>IF(ISNUMBER('Sheet4-原始数据'!S25),'Sheet4-原始数据'!S25,"")</f>
        <v>0.22997763561791</v>
      </c>
      <c r="R25" s="24" t="s">
        <v>884</v>
      </c>
      <c r="S25" s="22" t="s">
        <v>70</v>
      </c>
      <c r="T25" s="22" t="s">
        <v>836</v>
      </c>
      <c r="U25" s="22" t="s">
        <v>194</v>
      </c>
      <c r="V25" s="22" t="s">
        <v>36</v>
      </c>
    </row>
    <row r="26" ht="58" customHeight="1" spans="1:22">
      <c r="A26" s="22">
        <v>26</v>
      </c>
      <c r="B26" s="22" t="s">
        <v>198</v>
      </c>
      <c r="C26" s="22" t="s">
        <v>199</v>
      </c>
      <c r="D26" s="22" t="s">
        <v>199</v>
      </c>
      <c r="E26" s="22" t="s">
        <v>199</v>
      </c>
      <c r="F26" s="22" t="s">
        <v>784</v>
      </c>
      <c r="G26" s="23">
        <v>46275</v>
      </c>
      <c r="H26" s="23">
        <v>46269</v>
      </c>
      <c r="I26" s="24" t="s">
        <v>200</v>
      </c>
      <c r="J26" s="22" t="s">
        <v>885</v>
      </c>
      <c r="K26" s="22" t="str">
        <f>协会公示!E26</f>
        <v>10-20亿元</v>
      </c>
      <c r="L26" s="24" t="str">
        <f>协会公示!R26</f>
        <v>https://gs.amac.org.cn/amac-infodisc/res/pof/manager/1903261812109866.html</v>
      </c>
      <c r="M26" s="23">
        <f>协会公示!Q26</f>
        <v>46276</v>
      </c>
      <c r="N26" s="25">
        <v>0</v>
      </c>
      <c r="O26" s="24" t="s">
        <v>886</v>
      </c>
      <c r="P26" s="23">
        <v>46276</v>
      </c>
      <c r="Q26" s="26" t="str">
        <f>IF(ISNUMBER('Sheet4-原始数据'!S26),'Sheet4-原始数据'!S26,"")</f>
        <v/>
      </c>
      <c r="R26" s="24" t="s">
        <v>884</v>
      </c>
      <c r="S26" s="22" t="s">
        <v>70</v>
      </c>
      <c r="T26" s="22" t="s">
        <v>836</v>
      </c>
      <c r="U26" s="22" t="s">
        <v>199</v>
      </c>
      <c r="V26" s="22" t="s">
        <v>36</v>
      </c>
    </row>
    <row r="27" ht="58" customHeight="1" spans="1:22">
      <c r="A27" s="22">
        <v>27</v>
      </c>
      <c r="B27" s="22" t="s">
        <v>202</v>
      </c>
      <c r="C27" s="22" t="s">
        <v>203</v>
      </c>
      <c r="D27" s="22" t="s">
        <v>203</v>
      </c>
      <c r="E27" s="22" t="s">
        <v>203</v>
      </c>
      <c r="F27" s="22" t="s">
        <v>784</v>
      </c>
      <c r="G27" s="23">
        <v>46275</v>
      </c>
      <c r="H27" s="23">
        <v>46269</v>
      </c>
      <c r="I27" s="24" t="s">
        <v>204</v>
      </c>
      <c r="J27" s="22" t="s">
        <v>887</v>
      </c>
      <c r="K27" s="22" t="str">
        <f>协会公示!E27</f>
        <v>10-20亿元</v>
      </c>
      <c r="L27" s="24" t="str">
        <f>协会公示!R27</f>
        <v>https://gs.amac.org.cn/amac-infodisc/res/pof/manager/1903261812109866.html</v>
      </c>
      <c r="M27" s="23">
        <f>协会公示!Q27</f>
        <v>46276</v>
      </c>
      <c r="N27" s="25">
        <v>0</v>
      </c>
      <c r="O27" s="24" t="s">
        <v>888</v>
      </c>
      <c r="P27" s="23">
        <v>46276</v>
      </c>
      <c r="Q27" s="26" t="str">
        <f>IF(ISNUMBER('Sheet4-原始数据'!S27),'Sheet4-原始数据'!S27,"")</f>
        <v/>
      </c>
      <c r="R27" s="24" t="s">
        <v>835</v>
      </c>
      <c r="S27" s="22" t="s">
        <v>70</v>
      </c>
      <c r="T27" s="22" t="s">
        <v>836</v>
      </c>
      <c r="U27" s="22" t="s">
        <v>203</v>
      </c>
      <c r="V27" s="22" t="s">
        <v>36</v>
      </c>
    </row>
    <row r="28" ht="58" customHeight="1" spans="1:22">
      <c r="A28" s="22">
        <v>28</v>
      </c>
      <c r="B28" s="22" t="s">
        <v>206</v>
      </c>
      <c r="C28" s="22" t="s">
        <v>207</v>
      </c>
      <c r="D28" s="22" t="s">
        <v>207</v>
      </c>
      <c r="E28" s="22" t="s">
        <v>207</v>
      </c>
      <c r="F28" s="22" t="s">
        <v>784</v>
      </c>
      <c r="G28" s="23">
        <v>46275</v>
      </c>
      <c r="H28" s="23">
        <v>46269</v>
      </c>
      <c r="I28" s="24" t="s">
        <v>209</v>
      </c>
      <c r="J28" s="22" t="s">
        <v>889</v>
      </c>
      <c r="K28" s="22" t="str">
        <f>协会公示!E28</f>
        <v>100亿元以上</v>
      </c>
      <c r="L28" s="24" t="str">
        <f>协会公示!R28</f>
        <v>https://gs.amac.org.cn/amac-infodisc/res/pof/manager/101000003739.html</v>
      </c>
      <c r="M28" s="23">
        <f>协会公示!Q28</f>
        <v>46276</v>
      </c>
      <c r="N28" s="25"/>
      <c r="O28" s="24" t="s">
        <v>836</v>
      </c>
      <c r="P28" s="23"/>
      <c r="Q28" s="26">
        <f>IF(ISNUMBER('Sheet4-原始数据'!S28),'Sheet4-原始数据'!S28,"")</f>
        <v>0.0268458961775353</v>
      </c>
      <c r="R28" s="24" t="s">
        <v>890</v>
      </c>
      <c r="S28" s="22" t="s">
        <v>136</v>
      </c>
      <c r="T28" s="22" t="s">
        <v>836</v>
      </c>
      <c r="U28" s="22" t="s">
        <v>836</v>
      </c>
      <c r="V28" s="22" t="s">
        <v>879</v>
      </c>
    </row>
    <row r="29" ht="58" customHeight="1" spans="1:22">
      <c r="A29" s="22">
        <v>29</v>
      </c>
      <c r="B29" s="22" t="s">
        <v>211</v>
      </c>
      <c r="C29" s="22" t="s">
        <v>213</v>
      </c>
      <c r="D29" s="22" t="s">
        <v>213</v>
      </c>
      <c r="E29" s="22" t="s">
        <v>213</v>
      </c>
      <c r="F29" s="22" t="s">
        <v>784</v>
      </c>
      <c r="G29" s="23">
        <v>46275</v>
      </c>
      <c r="H29" s="23">
        <v>46269</v>
      </c>
      <c r="I29" s="24" t="s">
        <v>215</v>
      </c>
      <c r="J29" s="22" t="s">
        <v>891</v>
      </c>
      <c r="K29" s="22" t="str">
        <f>协会公示!E29</f>
        <v>10-20亿元</v>
      </c>
      <c r="L29" s="24" t="str">
        <f>协会公示!R29</f>
        <v>https://gs.amac.org.cn/amac-infodisc/res/pof/manager/2502261446106414.html</v>
      </c>
      <c r="M29" s="23">
        <f>协会公示!Q29</f>
        <v>46276</v>
      </c>
      <c r="N29" s="25"/>
      <c r="O29" s="24" t="s">
        <v>836</v>
      </c>
      <c r="P29" s="23"/>
      <c r="Q29" s="26">
        <f>IF(ISNUMBER('Sheet4-原始数据'!S29),'Sheet4-原始数据'!S29,"")</f>
        <v>0.00375795437634197</v>
      </c>
      <c r="R29" s="24" t="s">
        <v>890</v>
      </c>
      <c r="S29" s="22" t="s">
        <v>35</v>
      </c>
      <c r="T29" s="22" t="s">
        <v>836</v>
      </c>
      <c r="U29" s="22" t="s">
        <v>836</v>
      </c>
      <c r="V29" s="22" t="s">
        <v>879</v>
      </c>
    </row>
    <row r="30" ht="58" customHeight="1" spans="1:22">
      <c r="A30" s="22">
        <v>30</v>
      </c>
      <c r="B30" s="22" t="s">
        <v>217</v>
      </c>
      <c r="C30" s="22" t="s">
        <v>218</v>
      </c>
      <c r="D30" s="22" t="s">
        <v>218</v>
      </c>
      <c r="E30" s="22" t="s">
        <v>218</v>
      </c>
      <c r="F30" s="22" t="s">
        <v>784</v>
      </c>
      <c r="G30" s="23">
        <v>46275</v>
      </c>
      <c r="H30" s="23">
        <v>46269</v>
      </c>
      <c r="I30" s="24" t="s">
        <v>222</v>
      </c>
      <c r="J30" s="22" t="s">
        <v>892</v>
      </c>
      <c r="K30" s="22" t="str">
        <f>协会公示!E30</f>
        <v>5-10亿元</v>
      </c>
      <c r="L30" s="24" t="str">
        <f>协会公示!R30</f>
        <v>https://gs.amac.org.cn/amac-infodisc/res/pof/manager/2301051740101642.html</v>
      </c>
      <c r="M30" s="23">
        <f>协会公示!Q30</f>
        <v>46276</v>
      </c>
      <c r="N30" s="25">
        <v>0</v>
      </c>
      <c r="O30" s="24" t="s">
        <v>893</v>
      </c>
      <c r="P30" s="23">
        <v>46276</v>
      </c>
      <c r="Q30" s="26">
        <f>IF(ISNUMBER('Sheet4-原始数据'!S30),'Sheet4-原始数据'!S30,"")</f>
        <v>0.1149</v>
      </c>
      <c r="R30" s="24" t="s">
        <v>835</v>
      </c>
      <c r="S30" s="22" t="s">
        <v>35</v>
      </c>
      <c r="T30" s="22" t="s">
        <v>836</v>
      </c>
      <c r="U30" s="22" t="s">
        <v>218</v>
      </c>
      <c r="V30" s="22" t="s">
        <v>36</v>
      </c>
    </row>
    <row r="31" ht="58" customHeight="1" spans="1:22">
      <c r="A31" s="22">
        <v>31</v>
      </c>
      <c r="B31" s="22" t="s">
        <v>224</v>
      </c>
      <c r="C31" s="22" t="s">
        <v>225</v>
      </c>
      <c r="D31" s="22" t="s">
        <v>225</v>
      </c>
      <c r="E31" s="22" t="s">
        <v>225</v>
      </c>
      <c r="F31" s="22" t="s">
        <v>784</v>
      </c>
      <c r="G31" s="23">
        <v>46275</v>
      </c>
      <c r="H31" s="23">
        <v>46269</v>
      </c>
      <c r="I31" s="24" t="s">
        <v>227</v>
      </c>
      <c r="J31" s="22" t="s">
        <v>894</v>
      </c>
      <c r="K31" s="22" t="str">
        <f>协会公示!E31</f>
        <v>0-5亿元</v>
      </c>
      <c r="L31" s="24" t="str">
        <f>协会公示!R31</f>
        <v>https://gs.amac.org.cn/amac-infodisc/res/pof/manager/1706231108101144.html</v>
      </c>
      <c r="M31" s="23">
        <f>协会公示!Q31</f>
        <v>46276</v>
      </c>
      <c r="N31" s="25"/>
      <c r="O31" s="24" t="s">
        <v>836</v>
      </c>
      <c r="P31" s="23"/>
      <c r="Q31" s="26">
        <f>IF(ISNUMBER('Sheet4-原始数据'!S31),'Sheet4-原始数据'!S31,"")</f>
        <v>0.2739</v>
      </c>
      <c r="R31" s="24" t="s">
        <v>890</v>
      </c>
      <c r="S31" s="22" t="s">
        <v>35</v>
      </c>
      <c r="T31" s="22" t="s">
        <v>836</v>
      </c>
      <c r="U31" s="22" t="s">
        <v>836</v>
      </c>
      <c r="V31" s="22" t="s">
        <v>879</v>
      </c>
    </row>
    <row r="32" ht="58" customHeight="1" spans="1:22">
      <c r="A32" s="22">
        <v>32</v>
      </c>
      <c r="B32" s="22" t="s">
        <v>229</v>
      </c>
      <c r="C32" s="22" t="s">
        <v>231</v>
      </c>
      <c r="D32" s="22" t="s">
        <v>231</v>
      </c>
      <c r="E32" s="22" t="s">
        <v>231</v>
      </c>
      <c r="F32" s="22" t="s">
        <v>784</v>
      </c>
      <c r="G32" s="23">
        <v>46275</v>
      </c>
      <c r="H32" s="23">
        <v>46269</v>
      </c>
      <c r="I32" s="24" t="s">
        <v>233</v>
      </c>
      <c r="J32" s="22" t="s">
        <v>895</v>
      </c>
      <c r="K32" s="22" t="str">
        <f>协会公示!E32</f>
        <v>0-5亿元</v>
      </c>
      <c r="L32" s="24" t="str">
        <f>协会公示!R32</f>
        <v>https://gs.amac.org.cn/amac-infodisc/res/pof/manager/1801241613109731.html</v>
      </c>
      <c r="M32" s="23">
        <f>协会公示!Q32</f>
        <v>46276</v>
      </c>
      <c r="N32" s="25">
        <v>0</v>
      </c>
      <c r="O32" s="24" t="s">
        <v>896</v>
      </c>
      <c r="P32" s="23">
        <v>46276</v>
      </c>
      <c r="Q32" s="26">
        <f>IF(ISNUMBER('Sheet4-原始数据'!S32),'Sheet4-原始数据'!S32,"")</f>
        <v>0.0898549556576955</v>
      </c>
      <c r="R32" s="24" t="s">
        <v>835</v>
      </c>
      <c r="S32" s="22" t="s">
        <v>35</v>
      </c>
      <c r="T32" s="22" t="s">
        <v>836</v>
      </c>
      <c r="U32" s="22" t="s">
        <v>231</v>
      </c>
      <c r="V32" s="22" t="s">
        <v>36</v>
      </c>
    </row>
    <row r="33" ht="58" customHeight="1" spans="1:22">
      <c r="A33" s="22">
        <v>33</v>
      </c>
      <c r="B33" s="22" t="s">
        <v>235</v>
      </c>
      <c r="C33" s="22" t="s">
        <v>238</v>
      </c>
      <c r="D33" s="22" t="s">
        <v>238</v>
      </c>
      <c r="E33" s="22" t="s">
        <v>238</v>
      </c>
      <c r="F33" s="22" t="s">
        <v>784</v>
      </c>
      <c r="G33" s="23">
        <v>46275</v>
      </c>
      <c r="H33" s="23">
        <v>46269</v>
      </c>
      <c r="I33" s="24" t="s">
        <v>241</v>
      </c>
      <c r="J33" s="22" t="s">
        <v>897</v>
      </c>
      <c r="K33" s="22" t="str">
        <f>协会公示!E33</f>
        <v>0-5亿元</v>
      </c>
      <c r="L33" s="24" t="str">
        <f>协会公示!R33</f>
        <v>https://gs.amac.org.cn/amac-infodisc/res/pof/manager/101000031933.html</v>
      </c>
      <c r="M33" s="23">
        <f>协会公示!Q33</f>
        <v>46276</v>
      </c>
      <c r="N33" s="25">
        <v>0</v>
      </c>
      <c r="O33" s="24" t="s">
        <v>898</v>
      </c>
      <c r="P33" s="23">
        <v>46276</v>
      </c>
      <c r="Q33" s="26">
        <f>IF(ISNUMBER('Sheet4-原始数据'!S33),'Sheet4-原始数据'!S33,"")</f>
        <v>0.137766765771663</v>
      </c>
      <c r="R33" s="24" t="s">
        <v>835</v>
      </c>
      <c r="S33" s="22" t="s">
        <v>236</v>
      </c>
      <c r="T33" s="22" t="s">
        <v>836</v>
      </c>
      <c r="U33" s="22" t="s">
        <v>238</v>
      </c>
      <c r="V33" s="22" t="s">
        <v>36</v>
      </c>
    </row>
    <row r="34" ht="58" customHeight="1" spans="1:22">
      <c r="A34" s="22">
        <v>34</v>
      </c>
      <c r="B34" s="22" t="s">
        <v>243</v>
      </c>
      <c r="C34" s="22" t="s">
        <v>244</v>
      </c>
      <c r="D34" s="22" t="s">
        <v>244</v>
      </c>
      <c r="E34" s="22" t="s">
        <v>244</v>
      </c>
      <c r="F34" s="22" t="s">
        <v>784</v>
      </c>
      <c r="G34" s="23">
        <v>46275</v>
      </c>
      <c r="H34" s="23">
        <v>46269</v>
      </c>
      <c r="I34" s="24" t="s">
        <v>246</v>
      </c>
      <c r="J34" s="22" t="s">
        <v>899</v>
      </c>
      <c r="K34" s="22" t="str">
        <f>协会公示!E34</f>
        <v>20-50亿元</v>
      </c>
      <c r="L34" s="24" t="str">
        <f>协会公示!R34</f>
        <v>https://gs.amac.org.cn/amac-infodisc/res/pof/manager/101000023324.html</v>
      </c>
      <c r="M34" s="23">
        <f>协会公示!Q34</f>
        <v>46276</v>
      </c>
      <c r="N34" s="25">
        <v>0</v>
      </c>
      <c r="O34" s="24" t="s">
        <v>900</v>
      </c>
      <c r="P34" s="23">
        <v>46276</v>
      </c>
      <c r="Q34" s="26" t="str">
        <f>IF(ISNUMBER('Sheet4-原始数据'!S34),'Sheet4-原始数据'!S34,"")</f>
        <v/>
      </c>
      <c r="R34" s="24" t="s">
        <v>835</v>
      </c>
      <c r="S34" s="22" t="s">
        <v>35</v>
      </c>
      <c r="T34" s="22" t="s">
        <v>836</v>
      </c>
      <c r="U34" s="22" t="s">
        <v>244</v>
      </c>
      <c r="V34" s="22" t="s">
        <v>36</v>
      </c>
    </row>
    <row r="35" ht="58" customHeight="1" spans="1:22">
      <c r="A35" s="22">
        <v>35</v>
      </c>
      <c r="B35" s="22" t="s">
        <v>248</v>
      </c>
      <c r="C35" s="22" t="s">
        <v>249</v>
      </c>
      <c r="D35" s="22" t="s">
        <v>249</v>
      </c>
      <c r="E35" s="22" t="s">
        <v>249</v>
      </c>
      <c r="F35" s="22" t="s">
        <v>784</v>
      </c>
      <c r="G35" s="23">
        <v>46275</v>
      </c>
      <c r="H35" s="23">
        <v>46269</v>
      </c>
      <c r="I35" s="24" t="s">
        <v>252</v>
      </c>
      <c r="J35" s="22" t="s">
        <v>901</v>
      </c>
      <c r="K35" s="22" t="str">
        <f>协会公示!E35</f>
        <v>50-100亿元</v>
      </c>
      <c r="L35" s="24" t="str">
        <f>协会公示!R35</f>
        <v>https://gs.amac.org.cn/amac-infodisc/res/pof/manager/101000000790.html</v>
      </c>
      <c r="M35" s="23">
        <f>协会公示!Q35</f>
        <v>46276</v>
      </c>
      <c r="N35" s="25">
        <v>0</v>
      </c>
      <c r="O35" s="24" t="s">
        <v>902</v>
      </c>
      <c r="P35" s="23">
        <v>46276</v>
      </c>
      <c r="Q35" s="26">
        <f>IF(ISNUMBER('Sheet4-原始数据'!S35),'Sheet4-原始数据'!S35,"")</f>
        <v>0.128288174778181</v>
      </c>
      <c r="R35" s="24" t="s">
        <v>835</v>
      </c>
      <c r="S35" s="22" t="s">
        <v>136</v>
      </c>
      <c r="T35" s="22" t="s">
        <v>836</v>
      </c>
      <c r="U35" s="22" t="s">
        <v>249</v>
      </c>
      <c r="V35" s="22" t="s">
        <v>36</v>
      </c>
    </row>
    <row r="36" ht="58" customHeight="1" spans="1:22">
      <c r="A36" s="22">
        <v>36</v>
      </c>
      <c r="B36" s="22" t="s">
        <v>254</v>
      </c>
      <c r="C36" s="22" t="s">
        <v>255</v>
      </c>
      <c r="D36" s="22" t="s">
        <v>255</v>
      </c>
      <c r="E36" s="22" t="s">
        <v>255</v>
      </c>
      <c r="F36" s="22" t="s">
        <v>784</v>
      </c>
      <c r="G36" s="23">
        <v>46275</v>
      </c>
      <c r="H36" s="23">
        <v>46269</v>
      </c>
      <c r="I36" s="24" t="s">
        <v>257</v>
      </c>
      <c r="J36" s="22" t="s">
        <v>903</v>
      </c>
      <c r="K36" s="22" t="str">
        <f>协会公示!E36</f>
        <v>5-10亿元</v>
      </c>
      <c r="L36" s="24" t="str">
        <f>协会公示!R36</f>
        <v>https://gs.amac.org.cn/amac-infodisc/res/pof/manager/1611020850101525.html</v>
      </c>
      <c r="M36" s="23">
        <f>协会公示!Q36</f>
        <v>46276</v>
      </c>
      <c r="N36" s="25">
        <v>0</v>
      </c>
      <c r="O36" s="24" t="s">
        <v>904</v>
      </c>
      <c r="P36" s="23">
        <v>46276</v>
      </c>
      <c r="Q36" s="26">
        <f>IF(ISNUMBER('Sheet4-原始数据'!S36),'Sheet4-原始数据'!S36,"")</f>
        <v>0.0697</v>
      </c>
      <c r="R36" s="24" t="s">
        <v>835</v>
      </c>
      <c r="S36" s="22" t="s">
        <v>35</v>
      </c>
      <c r="T36" s="22" t="s">
        <v>836</v>
      </c>
      <c r="U36" s="22" t="s">
        <v>255</v>
      </c>
      <c r="V36" s="22" t="s">
        <v>36</v>
      </c>
    </row>
    <row r="37" ht="58" customHeight="1" spans="1:22">
      <c r="A37" s="22">
        <v>37</v>
      </c>
      <c r="B37" s="22" t="s">
        <v>259</v>
      </c>
      <c r="C37" s="22" t="s">
        <v>260</v>
      </c>
      <c r="D37" s="22" t="s">
        <v>260</v>
      </c>
      <c r="E37" s="22" t="s">
        <v>260</v>
      </c>
      <c r="F37" s="22" t="s">
        <v>784</v>
      </c>
      <c r="G37" s="23">
        <v>46275</v>
      </c>
      <c r="H37" s="23">
        <v>46269</v>
      </c>
      <c r="I37" s="24" t="s">
        <v>262</v>
      </c>
      <c r="J37" s="22" t="s">
        <v>905</v>
      </c>
      <c r="K37" s="22" t="str">
        <f>协会公示!E37</f>
        <v>10-20亿元</v>
      </c>
      <c r="L37" s="24" t="str">
        <f>协会公示!R37</f>
        <v>https://gs.amac.org.cn/amac-infodisc/res/pof/manager/2303061547109927.html</v>
      </c>
      <c r="M37" s="23">
        <f>协会公示!Q37</f>
        <v>46276</v>
      </c>
      <c r="N37" s="25">
        <v>0</v>
      </c>
      <c r="O37" s="24" t="s">
        <v>906</v>
      </c>
      <c r="P37" s="23">
        <v>46276</v>
      </c>
      <c r="Q37" s="26" t="str">
        <f>IF(ISNUMBER('Sheet4-原始数据'!S37),'Sheet4-原始数据'!S37,"")</f>
        <v/>
      </c>
      <c r="R37" s="24" t="s">
        <v>835</v>
      </c>
      <c r="S37" s="22" t="s">
        <v>35</v>
      </c>
      <c r="T37" s="22" t="s">
        <v>836</v>
      </c>
      <c r="U37" s="22" t="s">
        <v>260</v>
      </c>
      <c r="V37" s="22" t="s">
        <v>36</v>
      </c>
    </row>
    <row r="38" ht="58" customHeight="1" spans="1:22">
      <c r="A38" s="22">
        <v>38</v>
      </c>
      <c r="B38" s="22" t="s">
        <v>264</v>
      </c>
      <c r="C38" s="22" t="s">
        <v>265</v>
      </c>
      <c r="D38" s="22" t="s">
        <v>265</v>
      </c>
      <c r="E38" s="22" t="s">
        <v>265</v>
      </c>
      <c r="F38" s="22" t="s">
        <v>784</v>
      </c>
      <c r="G38" s="23">
        <v>46275</v>
      </c>
      <c r="H38" s="23">
        <v>46269</v>
      </c>
      <c r="I38" s="24" t="s">
        <v>267</v>
      </c>
      <c r="J38" s="22" t="s">
        <v>907</v>
      </c>
      <c r="K38" s="22" t="str">
        <f>协会公示!E38</f>
        <v>100亿元以上</v>
      </c>
      <c r="L38" s="24" t="str">
        <f>协会公示!R38</f>
        <v>https://gs.amac.org.cn/amac-infodisc/res/pof/manager/101000039347.html</v>
      </c>
      <c r="M38" s="23">
        <f>协会公示!Q38</f>
        <v>46276</v>
      </c>
      <c r="N38" s="25">
        <v>0</v>
      </c>
      <c r="O38" s="24" t="s">
        <v>908</v>
      </c>
      <c r="P38" s="23">
        <v>46276</v>
      </c>
      <c r="Q38" s="26">
        <f>IF(ISNUMBER('Sheet4-原始数据'!S38),'Sheet4-原始数据'!S38,"")</f>
        <v>0.1002</v>
      </c>
      <c r="R38" s="24" t="s">
        <v>835</v>
      </c>
      <c r="S38" s="22" t="s">
        <v>35</v>
      </c>
      <c r="T38" s="22" t="s">
        <v>836</v>
      </c>
      <c r="U38" s="22" t="s">
        <v>265</v>
      </c>
      <c r="V38" s="22" t="s">
        <v>36</v>
      </c>
    </row>
    <row r="39" ht="58" customHeight="1" spans="1:22">
      <c r="A39" s="22">
        <v>39</v>
      </c>
      <c r="B39" s="22" t="s">
        <v>269</v>
      </c>
      <c r="C39" s="22" t="s">
        <v>271</v>
      </c>
      <c r="D39" s="22" t="s">
        <v>271</v>
      </c>
      <c r="E39" s="22" t="s">
        <v>271</v>
      </c>
      <c r="F39" s="22" t="s">
        <v>784</v>
      </c>
      <c r="G39" s="23">
        <v>46275</v>
      </c>
      <c r="H39" s="23">
        <v>46269</v>
      </c>
      <c r="I39" s="24" t="s">
        <v>273</v>
      </c>
      <c r="J39" s="22" t="s">
        <v>909</v>
      </c>
      <c r="K39" s="22" t="str">
        <f>协会公示!E39</f>
        <v>0-5亿元</v>
      </c>
      <c r="L39" s="24" t="str">
        <f>协会公示!R39</f>
        <v>https://gs.amac.org.cn/amac-infodisc/res/pof/manager/1708301158107602.html</v>
      </c>
      <c r="M39" s="23">
        <f>协会公示!Q39</f>
        <v>46276</v>
      </c>
      <c r="N39" s="25">
        <v>1</v>
      </c>
      <c r="O39" s="24" t="s">
        <v>910</v>
      </c>
      <c r="P39" s="23">
        <v>46276</v>
      </c>
      <c r="Q39" s="26">
        <f>IF(ISNUMBER('Sheet4-原始数据'!S39),'Sheet4-原始数据'!S39,"")</f>
        <v>0.0599</v>
      </c>
      <c r="R39" s="24" t="s">
        <v>835</v>
      </c>
      <c r="S39" s="22" t="s">
        <v>35</v>
      </c>
      <c r="T39" s="22" t="s">
        <v>836</v>
      </c>
      <c r="U39" s="22" t="s">
        <v>271</v>
      </c>
      <c r="V39" s="22" t="s">
        <v>36</v>
      </c>
    </row>
    <row r="40" ht="58" customHeight="1" spans="1:22">
      <c r="A40" s="22">
        <v>40</v>
      </c>
      <c r="B40" s="22" t="s">
        <v>275</v>
      </c>
      <c r="C40" s="22" t="s">
        <v>276</v>
      </c>
      <c r="D40" s="22" t="s">
        <v>276</v>
      </c>
      <c r="E40" s="22" t="s">
        <v>276</v>
      </c>
      <c r="F40" s="22" t="s">
        <v>784</v>
      </c>
      <c r="G40" s="23">
        <v>46275</v>
      </c>
      <c r="H40" s="23">
        <v>46269</v>
      </c>
      <c r="I40" s="24" t="s">
        <v>279</v>
      </c>
      <c r="J40" s="22" t="s">
        <v>911</v>
      </c>
      <c r="K40" s="22" t="str">
        <f>协会公示!E40</f>
        <v>10-20亿元</v>
      </c>
      <c r="L40" s="24" t="str">
        <f>协会公示!R40</f>
        <v>https://gs.amac.org.cn/amac-infodisc/res/pof/manager/101000000297.html</v>
      </c>
      <c r="M40" s="23">
        <f>协会公示!Q40</f>
        <v>46276</v>
      </c>
      <c r="N40" s="25">
        <v>0</v>
      </c>
      <c r="O40" s="24" t="s">
        <v>912</v>
      </c>
      <c r="P40" s="23">
        <v>46276</v>
      </c>
      <c r="Q40" s="26">
        <f>IF(ISNUMBER('Sheet4-原始数据'!S40),'Sheet4-原始数据'!S40,"")</f>
        <v>0.1133</v>
      </c>
      <c r="R40" s="24" t="s">
        <v>835</v>
      </c>
      <c r="S40" s="22" t="s">
        <v>70</v>
      </c>
      <c r="T40" s="22" t="s">
        <v>836</v>
      </c>
      <c r="U40" s="22" t="s">
        <v>276</v>
      </c>
      <c r="V40" s="22" t="s">
        <v>36</v>
      </c>
    </row>
    <row r="41" ht="58" customHeight="1" spans="1:22">
      <c r="A41" s="22">
        <v>41</v>
      </c>
      <c r="B41" s="22" t="s">
        <v>281</v>
      </c>
      <c r="C41" s="22" t="s">
        <v>283</v>
      </c>
      <c r="D41" s="22" t="s">
        <v>283</v>
      </c>
      <c r="E41" s="22" t="s">
        <v>283</v>
      </c>
      <c r="F41" s="22" t="s">
        <v>784</v>
      </c>
      <c r="G41" s="23">
        <v>46275</v>
      </c>
      <c r="H41" s="23">
        <v>46269</v>
      </c>
      <c r="I41" s="24" t="s">
        <v>286</v>
      </c>
      <c r="J41" s="22" t="s">
        <v>913</v>
      </c>
      <c r="K41" s="22" t="str">
        <f>协会公示!E41</f>
        <v>10-20亿元</v>
      </c>
      <c r="L41" s="24" t="str">
        <f>协会公示!R41</f>
        <v>https://gs.amac.org.cn/amac-infodisc/res/pof/manager/2106221238106983.html</v>
      </c>
      <c r="M41" s="23">
        <f>协会公示!Q41</f>
        <v>46276</v>
      </c>
      <c r="N41" s="25">
        <v>0</v>
      </c>
      <c r="O41" s="24" t="s">
        <v>914</v>
      </c>
      <c r="P41" s="23">
        <v>46276</v>
      </c>
      <c r="Q41" s="26">
        <f>IF(ISNUMBER('Sheet4-原始数据'!S41),'Sheet4-原始数据'!S41,"")</f>
        <v>0.1139</v>
      </c>
      <c r="R41" s="24" t="s">
        <v>835</v>
      </c>
      <c r="S41" s="22" t="s">
        <v>35</v>
      </c>
      <c r="T41" s="22" t="s">
        <v>836</v>
      </c>
      <c r="U41" s="22" t="s">
        <v>283</v>
      </c>
      <c r="V41" s="22" t="s">
        <v>36</v>
      </c>
    </row>
    <row r="42" ht="58" customHeight="1" spans="1:22">
      <c r="A42" s="22">
        <v>42</v>
      </c>
      <c r="B42" s="22" t="s">
        <v>288</v>
      </c>
      <c r="C42" s="22" t="s">
        <v>289</v>
      </c>
      <c r="D42" s="22" t="s">
        <v>289</v>
      </c>
      <c r="E42" s="22" t="s">
        <v>289</v>
      </c>
      <c r="F42" s="22" t="s">
        <v>784</v>
      </c>
      <c r="G42" s="23">
        <v>46275</v>
      </c>
      <c r="H42" s="23">
        <v>46269</v>
      </c>
      <c r="I42" s="24" t="s">
        <v>290</v>
      </c>
      <c r="J42" s="22" t="s">
        <v>915</v>
      </c>
      <c r="K42" s="22" t="str">
        <f>协会公示!E42</f>
        <v>10-20亿元</v>
      </c>
      <c r="L42" s="24" t="str">
        <f>协会公示!R42</f>
        <v>https://gs.amac.org.cn/amac-infodisc/res/pof/manager/2106221238106983.html</v>
      </c>
      <c r="M42" s="23">
        <f>协会公示!Q42</f>
        <v>46276</v>
      </c>
      <c r="N42" s="25">
        <v>0</v>
      </c>
      <c r="O42" s="24" t="s">
        <v>916</v>
      </c>
      <c r="P42" s="23">
        <v>46276</v>
      </c>
      <c r="Q42" s="26">
        <f>IF(ISNUMBER('Sheet4-原始数据'!S42),'Sheet4-原始数据'!S42,"")</f>
        <v>0.0939</v>
      </c>
      <c r="R42" s="24" t="s">
        <v>835</v>
      </c>
      <c r="S42" s="22" t="s">
        <v>35</v>
      </c>
      <c r="T42" s="22" t="s">
        <v>836</v>
      </c>
      <c r="U42" s="22" t="s">
        <v>289</v>
      </c>
      <c r="V42" s="22" t="s">
        <v>36</v>
      </c>
    </row>
    <row r="43" ht="58" customHeight="1" spans="1:22">
      <c r="A43" s="22">
        <v>43</v>
      </c>
      <c r="B43" s="22" t="s">
        <v>292</v>
      </c>
      <c r="C43" s="22" t="s">
        <v>293</v>
      </c>
      <c r="D43" s="22" t="s">
        <v>293</v>
      </c>
      <c r="E43" s="22" t="s">
        <v>293</v>
      </c>
      <c r="F43" s="22" t="s">
        <v>784</v>
      </c>
      <c r="G43" s="23">
        <v>46275</v>
      </c>
      <c r="H43" s="23">
        <v>46269</v>
      </c>
      <c r="I43" s="24" t="s">
        <v>294</v>
      </c>
      <c r="J43" s="22" t="s">
        <v>917</v>
      </c>
      <c r="K43" s="22" t="str">
        <f>协会公示!E43</f>
        <v>10-20亿元</v>
      </c>
      <c r="L43" s="24" t="str">
        <f>协会公示!R43</f>
        <v>https://gs.amac.org.cn/amac-infodisc/res/pof/manager/2106221238106983.html</v>
      </c>
      <c r="M43" s="23">
        <f>协会公示!Q43</f>
        <v>46276</v>
      </c>
      <c r="N43" s="25">
        <v>0</v>
      </c>
      <c r="O43" s="24" t="s">
        <v>918</v>
      </c>
      <c r="P43" s="23">
        <v>46276</v>
      </c>
      <c r="Q43" s="26">
        <f>IF(ISNUMBER('Sheet4-原始数据'!S43),'Sheet4-原始数据'!S43,"")</f>
        <v>0.0882</v>
      </c>
      <c r="R43" s="24" t="s">
        <v>835</v>
      </c>
      <c r="S43" s="22" t="s">
        <v>35</v>
      </c>
      <c r="T43" s="22" t="s">
        <v>836</v>
      </c>
      <c r="U43" s="22" t="s">
        <v>293</v>
      </c>
      <c r="V43" s="22" t="s">
        <v>36</v>
      </c>
    </row>
    <row r="44" ht="58" customHeight="1" spans="1:22">
      <c r="A44" s="22">
        <v>44</v>
      </c>
      <c r="B44" s="22" t="s">
        <v>296</v>
      </c>
      <c r="C44" s="22" t="s">
        <v>298</v>
      </c>
      <c r="D44" s="22" t="s">
        <v>298</v>
      </c>
      <c r="E44" s="22" t="s">
        <v>298</v>
      </c>
      <c r="F44" s="22" t="s">
        <v>784</v>
      </c>
      <c r="G44" s="23">
        <v>46275</v>
      </c>
      <c r="H44" s="23">
        <v>46269</v>
      </c>
      <c r="I44" s="24" t="s">
        <v>300</v>
      </c>
      <c r="J44" s="22" t="s">
        <v>919</v>
      </c>
      <c r="K44" s="22" t="str">
        <f>协会公示!E44</f>
        <v>10-20亿元</v>
      </c>
      <c r="L44" s="24" t="str">
        <f>协会公示!R44</f>
        <v>https://gs.amac.org.cn/amac-infodisc/res/pof/manager/2106221238106983.html</v>
      </c>
      <c r="M44" s="23">
        <f>协会公示!Q44</f>
        <v>46276</v>
      </c>
      <c r="N44" s="25">
        <v>0</v>
      </c>
      <c r="O44" s="24" t="s">
        <v>920</v>
      </c>
      <c r="P44" s="23">
        <v>46276</v>
      </c>
      <c r="Q44" s="26">
        <f>IF(ISNUMBER('Sheet4-原始数据'!S44),'Sheet4-原始数据'!S44,"")</f>
        <v>0.0767</v>
      </c>
      <c r="R44" s="24" t="s">
        <v>835</v>
      </c>
      <c r="S44" s="22" t="s">
        <v>122</v>
      </c>
      <c r="T44" s="22" t="s">
        <v>836</v>
      </c>
      <c r="U44" s="22" t="s">
        <v>298</v>
      </c>
      <c r="V44" s="22" t="s">
        <v>36</v>
      </c>
    </row>
    <row r="45" ht="58" customHeight="1" spans="1:22">
      <c r="A45" s="22">
        <v>45</v>
      </c>
      <c r="B45" s="22" t="s">
        <v>302</v>
      </c>
      <c r="C45" s="22" t="s">
        <v>303</v>
      </c>
      <c r="D45" s="22" t="s">
        <v>303</v>
      </c>
      <c r="E45" s="22" t="s">
        <v>303</v>
      </c>
      <c r="F45" s="22" t="s">
        <v>784</v>
      </c>
      <c r="G45" s="23">
        <v>46275</v>
      </c>
      <c r="H45" s="23">
        <v>46269</v>
      </c>
      <c r="I45" s="24" t="s">
        <v>304</v>
      </c>
      <c r="J45" s="22" t="s">
        <v>921</v>
      </c>
      <c r="K45" s="22" t="str">
        <f>协会公示!E45</f>
        <v>10-20亿元</v>
      </c>
      <c r="L45" s="24" t="str">
        <f>协会公示!R45</f>
        <v>https://gs.amac.org.cn/amac-infodisc/res/pof/manager/2106221238106983.html</v>
      </c>
      <c r="M45" s="23">
        <f>协会公示!Q45</f>
        <v>46276</v>
      </c>
      <c r="N45" s="25">
        <v>0</v>
      </c>
      <c r="O45" s="24" t="s">
        <v>922</v>
      </c>
      <c r="P45" s="23">
        <v>46276</v>
      </c>
      <c r="Q45" s="26">
        <f>IF(ISNUMBER('Sheet4-原始数据'!S45),'Sheet4-原始数据'!S45,"")</f>
        <v>0.1099</v>
      </c>
      <c r="R45" s="24" t="s">
        <v>835</v>
      </c>
      <c r="S45" s="22" t="s">
        <v>35</v>
      </c>
      <c r="T45" s="22" t="s">
        <v>836</v>
      </c>
      <c r="U45" s="22" t="s">
        <v>303</v>
      </c>
      <c r="V45" s="22" t="s">
        <v>36</v>
      </c>
    </row>
    <row r="46" ht="58" customHeight="1" spans="1:22">
      <c r="A46" s="22">
        <v>46</v>
      </c>
      <c r="B46" s="22" t="s">
        <v>306</v>
      </c>
      <c r="C46" s="22" t="s">
        <v>308</v>
      </c>
      <c r="D46" s="22" t="s">
        <v>308</v>
      </c>
      <c r="E46" s="22" t="s">
        <v>308</v>
      </c>
      <c r="F46" s="22" t="s">
        <v>784</v>
      </c>
      <c r="G46" s="23">
        <v>46275</v>
      </c>
      <c r="H46" s="23">
        <v>46269</v>
      </c>
      <c r="I46" s="24" t="s">
        <v>310</v>
      </c>
      <c r="J46" s="22" t="s">
        <v>923</v>
      </c>
      <c r="K46" s="22" t="str">
        <f>协会公示!E46</f>
        <v>10-20亿元</v>
      </c>
      <c r="L46" s="24" t="str">
        <f>协会公示!R46</f>
        <v>https://gs.amac.org.cn/amac-infodisc/res/pof/manager/101000045017.html</v>
      </c>
      <c r="M46" s="23">
        <f>协会公示!Q46</f>
        <v>46276</v>
      </c>
      <c r="N46" s="25">
        <v>0</v>
      </c>
      <c r="O46" s="24" t="s">
        <v>924</v>
      </c>
      <c r="P46" s="23">
        <v>46276</v>
      </c>
      <c r="Q46" s="26">
        <f>IF(ISNUMBER('Sheet4-原始数据'!S46),'Sheet4-原始数据'!S46,"")</f>
        <v>0.047</v>
      </c>
      <c r="R46" s="24" t="s">
        <v>835</v>
      </c>
      <c r="S46" s="22" t="s">
        <v>35</v>
      </c>
      <c r="T46" s="22" t="s">
        <v>836</v>
      </c>
      <c r="U46" s="22" t="s">
        <v>308</v>
      </c>
      <c r="V46" s="22" t="s">
        <v>36</v>
      </c>
    </row>
    <row r="47" ht="58" customHeight="1" spans="1:22">
      <c r="A47" s="22">
        <v>47</v>
      </c>
      <c r="B47" s="22" t="s">
        <v>312</v>
      </c>
      <c r="C47" s="22" t="s">
        <v>313</v>
      </c>
      <c r="D47" s="22" t="s">
        <v>313</v>
      </c>
      <c r="E47" s="22" t="s">
        <v>313</v>
      </c>
      <c r="F47" s="22" t="s">
        <v>784</v>
      </c>
      <c r="G47" s="23">
        <v>46275</v>
      </c>
      <c r="H47" s="23">
        <v>46269</v>
      </c>
      <c r="I47" s="24" t="s">
        <v>315</v>
      </c>
      <c r="J47" s="22" t="s">
        <v>925</v>
      </c>
      <c r="K47" s="22" t="str">
        <f>协会公示!E47</f>
        <v>50-100亿元</v>
      </c>
      <c r="L47" s="24" t="str">
        <f>协会公示!R47</f>
        <v>https://gs.amac.org.cn/amac-infodisc/res/pof/manager/101000030286.html</v>
      </c>
      <c r="M47" s="23">
        <f>协会公示!Q47</f>
        <v>46276</v>
      </c>
      <c r="N47" s="25">
        <v>0</v>
      </c>
      <c r="O47" s="24" t="s">
        <v>926</v>
      </c>
      <c r="P47" s="23">
        <v>46276</v>
      </c>
      <c r="Q47" s="26">
        <f>IF(ISNUMBER('Sheet4-原始数据'!S47),'Sheet4-原始数据'!S47,"")</f>
        <v>0.0448</v>
      </c>
      <c r="R47" s="24" t="s">
        <v>835</v>
      </c>
      <c r="S47" s="22" t="s">
        <v>70</v>
      </c>
      <c r="T47" s="22" t="s">
        <v>836</v>
      </c>
      <c r="U47" s="22" t="s">
        <v>313</v>
      </c>
      <c r="V47" s="22" t="s">
        <v>36</v>
      </c>
    </row>
    <row r="48" ht="58" customHeight="1" spans="1:22">
      <c r="A48" s="22">
        <v>48</v>
      </c>
      <c r="B48" s="22" t="s">
        <v>317</v>
      </c>
      <c r="C48" s="22" t="s">
        <v>318</v>
      </c>
      <c r="D48" s="22" t="s">
        <v>318</v>
      </c>
      <c r="E48" s="22" t="s">
        <v>318</v>
      </c>
      <c r="F48" s="22" t="s">
        <v>784</v>
      </c>
      <c r="G48" s="23">
        <v>46275</v>
      </c>
      <c r="H48" s="23">
        <v>46269</v>
      </c>
      <c r="I48" s="24" t="s">
        <v>319</v>
      </c>
      <c r="J48" s="22" t="s">
        <v>927</v>
      </c>
      <c r="K48" s="22" t="str">
        <f>协会公示!E48</f>
        <v>50-100亿元</v>
      </c>
      <c r="L48" s="24" t="str">
        <f>协会公示!R48</f>
        <v>https://gs.amac.org.cn/amac-infodisc/res/pof/manager/101000030286.html</v>
      </c>
      <c r="M48" s="23">
        <f>协会公示!Q48</f>
        <v>46276</v>
      </c>
      <c r="N48" s="25">
        <v>0</v>
      </c>
      <c r="O48" s="24" t="s">
        <v>928</v>
      </c>
      <c r="P48" s="23">
        <v>46276</v>
      </c>
      <c r="Q48" s="26">
        <f>IF(ISNUMBER('Sheet4-原始数据'!S48),'Sheet4-原始数据'!S48,"")</f>
        <v>0.1454</v>
      </c>
      <c r="R48" s="24" t="s">
        <v>835</v>
      </c>
      <c r="S48" s="22" t="s">
        <v>70</v>
      </c>
      <c r="T48" s="22" t="s">
        <v>836</v>
      </c>
      <c r="U48" s="22" t="s">
        <v>318</v>
      </c>
      <c r="V48" s="22" t="s">
        <v>36</v>
      </c>
    </row>
    <row r="49" ht="58" customHeight="1" spans="1:22">
      <c r="A49" s="22">
        <v>49</v>
      </c>
      <c r="B49" s="22" t="s">
        <v>321</v>
      </c>
      <c r="C49" s="22" t="s">
        <v>322</v>
      </c>
      <c r="D49" s="22" t="s">
        <v>322</v>
      </c>
      <c r="E49" s="22" t="s">
        <v>322</v>
      </c>
      <c r="F49" s="22" t="s">
        <v>784</v>
      </c>
      <c r="G49" s="23">
        <v>46275</v>
      </c>
      <c r="H49" s="23">
        <v>46269</v>
      </c>
      <c r="I49" s="24" t="s">
        <v>324</v>
      </c>
      <c r="J49" s="22" t="s">
        <v>929</v>
      </c>
      <c r="K49" s="22" t="str">
        <f>协会公示!E49</f>
        <v>50-100亿元</v>
      </c>
      <c r="L49" s="24" t="str">
        <f>协会公示!R49</f>
        <v>https://gs.amac.org.cn/amac-infodisc/res/pof/manager/101000030286.html</v>
      </c>
      <c r="M49" s="23">
        <f>协会公示!Q49</f>
        <v>46276</v>
      </c>
      <c r="N49" s="25">
        <v>0</v>
      </c>
      <c r="O49" s="24" t="s">
        <v>930</v>
      </c>
      <c r="P49" s="23">
        <v>46276</v>
      </c>
      <c r="Q49" s="26">
        <f>IF(ISNUMBER('Sheet4-原始数据'!S49),'Sheet4-原始数据'!S49,"")</f>
        <v>0.0786</v>
      </c>
      <c r="R49" s="24" t="s">
        <v>835</v>
      </c>
      <c r="S49" s="22" t="s">
        <v>70</v>
      </c>
      <c r="T49" s="22" t="s">
        <v>836</v>
      </c>
      <c r="U49" s="22" t="s">
        <v>322</v>
      </c>
      <c r="V49" s="22" t="s">
        <v>36</v>
      </c>
    </row>
    <row r="50" ht="58" customHeight="1" spans="1:22">
      <c r="A50" s="22">
        <v>50</v>
      </c>
      <c r="B50" s="22" t="s">
        <v>326</v>
      </c>
      <c r="C50" s="22" t="s">
        <v>327</v>
      </c>
      <c r="D50" s="22" t="s">
        <v>327</v>
      </c>
      <c r="E50" s="22" t="s">
        <v>327</v>
      </c>
      <c r="F50" s="22" t="s">
        <v>784</v>
      </c>
      <c r="G50" s="23">
        <v>46275</v>
      </c>
      <c r="H50" s="23">
        <v>46269</v>
      </c>
      <c r="I50" s="24" t="s">
        <v>331</v>
      </c>
      <c r="J50" s="22" t="s">
        <v>931</v>
      </c>
      <c r="K50" s="22" t="str">
        <f>协会公示!E50</f>
        <v>0-5亿元</v>
      </c>
      <c r="L50" s="24" t="str">
        <f>协会公示!R50</f>
        <v>https://gs.amac.org.cn/amac-infodisc/res/pof/manager/1809041559102185.html</v>
      </c>
      <c r="M50" s="23">
        <f>协会公示!Q50</f>
        <v>46276</v>
      </c>
      <c r="N50" s="25">
        <v>0</v>
      </c>
      <c r="O50" s="24" t="s">
        <v>932</v>
      </c>
      <c r="P50" s="23">
        <v>46276</v>
      </c>
      <c r="Q50" s="26">
        <f>IF(ISNUMBER('Sheet4-原始数据'!S50),'Sheet4-原始数据'!S50,"")</f>
        <v>0.12473444211069</v>
      </c>
      <c r="R50" s="24" t="s">
        <v>835</v>
      </c>
      <c r="S50" s="22" t="s">
        <v>35</v>
      </c>
      <c r="T50" s="22" t="s">
        <v>836</v>
      </c>
      <c r="U50" s="22" t="s">
        <v>327</v>
      </c>
      <c r="V50" s="22" t="s">
        <v>36</v>
      </c>
    </row>
    <row r="51" ht="58" customHeight="1" spans="1:22">
      <c r="A51" s="22">
        <v>51</v>
      </c>
      <c r="B51" s="22" t="s">
        <v>333</v>
      </c>
      <c r="C51" s="22" t="s">
        <v>336</v>
      </c>
      <c r="D51" s="22" t="s">
        <v>336</v>
      </c>
      <c r="E51" s="22" t="s">
        <v>336</v>
      </c>
      <c r="F51" s="22" t="s">
        <v>784</v>
      </c>
      <c r="G51" s="23">
        <v>46275</v>
      </c>
      <c r="H51" s="23">
        <v>46269</v>
      </c>
      <c r="I51" s="24" t="s">
        <v>340</v>
      </c>
      <c r="J51" s="22" t="s">
        <v>933</v>
      </c>
      <c r="K51" s="22" t="str">
        <f>协会公示!E51</f>
        <v>10-20亿元</v>
      </c>
      <c r="L51" s="24" t="str">
        <f>协会公示!R51</f>
        <v>https://gs.amac.org.cn/amac-infodisc/res/pof/manager/101000008109.html</v>
      </c>
      <c r="M51" s="23">
        <f>协会公示!Q51</f>
        <v>46276</v>
      </c>
      <c r="N51" s="25">
        <v>0</v>
      </c>
      <c r="O51" s="24" t="s">
        <v>934</v>
      </c>
      <c r="P51" s="23">
        <v>46276</v>
      </c>
      <c r="Q51" s="26">
        <f>IF(ISNUMBER('Sheet4-原始数据'!S51),'Sheet4-原始数据'!S51,"")</f>
        <v>0.0924</v>
      </c>
      <c r="R51" s="24" t="s">
        <v>835</v>
      </c>
      <c r="S51" s="22" t="s">
        <v>334</v>
      </c>
      <c r="T51" s="22" t="s">
        <v>836</v>
      </c>
      <c r="U51" s="22" t="s">
        <v>336</v>
      </c>
      <c r="V51" s="22" t="s">
        <v>36</v>
      </c>
    </row>
    <row r="52" ht="58" customHeight="1" spans="1:22">
      <c r="A52" s="22">
        <v>52</v>
      </c>
      <c r="B52" s="22" t="s">
        <v>342</v>
      </c>
      <c r="C52" s="22" t="s">
        <v>343</v>
      </c>
      <c r="D52" s="22" t="s">
        <v>343</v>
      </c>
      <c r="E52" s="22" t="s">
        <v>343</v>
      </c>
      <c r="F52" s="22" t="s">
        <v>784</v>
      </c>
      <c r="G52" s="23">
        <v>46275</v>
      </c>
      <c r="H52" s="23">
        <v>46269</v>
      </c>
      <c r="I52" s="24" t="s">
        <v>345</v>
      </c>
      <c r="J52" s="22" t="s">
        <v>935</v>
      </c>
      <c r="K52" s="22" t="str">
        <f>协会公示!E52</f>
        <v>20-50亿元</v>
      </c>
      <c r="L52" s="24" t="str">
        <f>协会公示!R52</f>
        <v>https://gs.amac.org.cn/amac-infodisc/res/pof/manager/2011201413105709.html</v>
      </c>
      <c r="M52" s="23">
        <f>协会公示!Q52</f>
        <v>46276</v>
      </c>
      <c r="N52" s="25"/>
      <c r="O52" s="24" t="s">
        <v>836</v>
      </c>
      <c r="P52" s="23"/>
      <c r="Q52" s="26" t="str">
        <f>IF(ISNUMBER('Sheet4-原始数据'!S52),'Sheet4-原始数据'!S52,"")</f>
        <v/>
      </c>
      <c r="R52" s="24" t="s">
        <v>878</v>
      </c>
      <c r="S52" s="22" t="s">
        <v>35</v>
      </c>
      <c r="T52" s="22" t="s">
        <v>836</v>
      </c>
      <c r="U52" s="22" t="s">
        <v>836</v>
      </c>
      <c r="V52" s="22" t="s">
        <v>879</v>
      </c>
    </row>
    <row r="53" ht="58" customHeight="1" spans="1:22">
      <c r="A53" s="22">
        <v>53</v>
      </c>
      <c r="B53" s="22" t="s">
        <v>347</v>
      </c>
      <c r="C53" s="22" t="s">
        <v>348</v>
      </c>
      <c r="D53" s="22" t="s">
        <v>348</v>
      </c>
      <c r="E53" s="22" t="s">
        <v>348</v>
      </c>
      <c r="F53" s="22" t="s">
        <v>784</v>
      </c>
      <c r="G53" s="23">
        <v>46275</v>
      </c>
      <c r="H53" s="23">
        <v>46269</v>
      </c>
      <c r="I53" s="24" t="s">
        <v>351</v>
      </c>
      <c r="J53" s="22" t="s">
        <v>936</v>
      </c>
      <c r="K53" s="22" t="str">
        <f>协会公示!E53</f>
        <v>5-10亿元</v>
      </c>
      <c r="L53" s="24" t="str">
        <f>协会公示!R53</f>
        <v>https://gs.amac.org.cn/amac-infodisc/res/pof/manager/2302061359107599.html</v>
      </c>
      <c r="M53" s="23">
        <f>协会公示!Q53</f>
        <v>46276</v>
      </c>
      <c r="N53" s="25">
        <v>0</v>
      </c>
      <c r="O53" s="24" t="s">
        <v>937</v>
      </c>
      <c r="P53" s="23">
        <v>46276</v>
      </c>
      <c r="Q53" s="26">
        <f>IF(ISNUMBER('Sheet4-原始数据'!S53),'Sheet4-原始数据'!S53,"")</f>
        <v>0.100382114301413</v>
      </c>
      <c r="R53" s="24" t="s">
        <v>835</v>
      </c>
      <c r="S53" s="22" t="s">
        <v>35</v>
      </c>
      <c r="T53" s="22" t="s">
        <v>836</v>
      </c>
      <c r="U53" s="22" t="s">
        <v>348</v>
      </c>
      <c r="V53" s="22" t="s">
        <v>36</v>
      </c>
    </row>
    <row r="54" ht="58" customHeight="1" spans="1:22">
      <c r="A54" s="22">
        <v>54</v>
      </c>
      <c r="B54" s="22" t="s">
        <v>353</v>
      </c>
      <c r="C54" s="22" t="s">
        <v>354</v>
      </c>
      <c r="D54" s="22" t="s">
        <v>354</v>
      </c>
      <c r="E54" s="22" t="s">
        <v>354</v>
      </c>
      <c r="F54" s="22" t="s">
        <v>784</v>
      </c>
      <c r="G54" s="23">
        <v>46275</v>
      </c>
      <c r="H54" s="23">
        <v>46269</v>
      </c>
      <c r="I54" s="24" t="s">
        <v>357</v>
      </c>
      <c r="J54" s="22" t="s">
        <v>938</v>
      </c>
      <c r="K54" s="22" t="str">
        <f>协会公示!E54</f>
        <v>0-5亿元</v>
      </c>
      <c r="L54" s="24" t="str">
        <f>协会公示!R54</f>
        <v>https://gs.amac.org.cn/amac-infodisc/res/pof/manager/2001061547104837.html</v>
      </c>
      <c r="M54" s="23">
        <f>协会公示!Q54</f>
        <v>46276</v>
      </c>
      <c r="N54" s="25"/>
      <c r="O54" s="24" t="s">
        <v>836</v>
      </c>
      <c r="P54" s="23"/>
      <c r="Q54" s="26">
        <f>IF(ISNUMBER('Sheet4-原始数据'!S54),'Sheet4-原始数据'!S54,"")</f>
        <v>0.0686</v>
      </c>
      <c r="R54" s="24" t="s">
        <v>878</v>
      </c>
      <c r="S54" s="22" t="s">
        <v>35</v>
      </c>
      <c r="T54" s="22" t="s">
        <v>836</v>
      </c>
      <c r="U54" s="22" t="s">
        <v>836</v>
      </c>
      <c r="V54" s="22" t="s">
        <v>879</v>
      </c>
    </row>
    <row r="55" ht="58" customHeight="1" spans="1:22">
      <c r="A55" s="22">
        <v>55</v>
      </c>
      <c r="B55" s="22" t="s">
        <v>359</v>
      </c>
      <c r="C55" s="22" t="s">
        <v>360</v>
      </c>
      <c r="D55" s="22" t="s">
        <v>360</v>
      </c>
      <c r="E55" s="22" t="s">
        <v>360</v>
      </c>
      <c r="F55" s="22" t="s">
        <v>784</v>
      </c>
      <c r="G55" s="23">
        <v>46275</v>
      </c>
      <c r="H55" s="23">
        <v>46269</v>
      </c>
      <c r="I55" s="24" t="s">
        <v>363</v>
      </c>
      <c r="J55" s="22" t="s">
        <v>939</v>
      </c>
      <c r="K55" s="22" t="str">
        <f>协会公示!E55</f>
        <v>5-10亿元</v>
      </c>
      <c r="L55" s="24" t="str">
        <f>协会公示!R55</f>
        <v>https://gs.amac.org.cn/amac-infodisc/res/pof/manager/101000036458.html</v>
      </c>
      <c r="M55" s="23">
        <f>协会公示!Q55</f>
        <v>46276</v>
      </c>
      <c r="N55" s="25">
        <v>0</v>
      </c>
      <c r="O55" s="24" t="s">
        <v>940</v>
      </c>
      <c r="P55" s="23">
        <v>46276</v>
      </c>
      <c r="Q55" s="26">
        <f>IF(ISNUMBER('Sheet4-原始数据'!S55),'Sheet4-原始数据'!S55,"")</f>
        <v>0.0503</v>
      </c>
      <c r="R55" s="24" t="s">
        <v>835</v>
      </c>
      <c r="S55" s="22" t="s">
        <v>122</v>
      </c>
      <c r="T55" s="22" t="s">
        <v>836</v>
      </c>
      <c r="U55" s="22" t="s">
        <v>360</v>
      </c>
      <c r="V55" s="22" t="s">
        <v>36</v>
      </c>
    </row>
    <row r="56" ht="58" customHeight="1" spans="1:22">
      <c r="A56" s="22">
        <v>56</v>
      </c>
      <c r="B56" s="22" t="s">
        <v>365</v>
      </c>
      <c r="C56" s="22" t="s">
        <v>366</v>
      </c>
      <c r="D56" s="22" t="s">
        <v>366</v>
      </c>
      <c r="E56" s="22" t="s">
        <v>366</v>
      </c>
      <c r="F56" s="22" t="s">
        <v>784</v>
      </c>
      <c r="G56" s="23">
        <v>46275</v>
      </c>
      <c r="H56" s="23">
        <v>46269</v>
      </c>
      <c r="I56" s="24" t="s">
        <v>368</v>
      </c>
      <c r="J56" s="22" t="s">
        <v>941</v>
      </c>
      <c r="K56" s="22" t="str">
        <f>协会公示!E56</f>
        <v>10-20亿元</v>
      </c>
      <c r="L56" s="24" t="str">
        <f>协会公示!R56</f>
        <v>https://gs.amac.org.cn/amac-infodisc/res/pof/manager/1703210938100205.html</v>
      </c>
      <c r="M56" s="23">
        <f>协会公示!Q56</f>
        <v>46276</v>
      </c>
      <c r="N56" s="25">
        <v>0</v>
      </c>
      <c r="O56" s="24" t="s">
        <v>942</v>
      </c>
      <c r="P56" s="23">
        <v>46276</v>
      </c>
      <c r="Q56" s="26">
        <f>IF(ISNUMBER('Sheet4-原始数据'!S56),'Sheet4-原始数据'!S56,"")</f>
        <v>0.0544</v>
      </c>
      <c r="R56" s="24" t="s">
        <v>835</v>
      </c>
      <c r="S56" s="22" t="s">
        <v>122</v>
      </c>
      <c r="T56" s="22" t="s">
        <v>836</v>
      </c>
      <c r="U56" s="22" t="s">
        <v>366</v>
      </c>
      <c r="V56" s="22" t="s">
        <v>36</v>
      </c>
    </row>
    <row r="57" ht="58" customHeight="1" spans="1:22">
      <c r="A57" s="22">
        <v>57</v>
      </c>
      <c r="B57" s="22" t="s">
        <v>370</v>
      </c>
      <c r="C57" s="22" t="s">
        <v>371</v>
      </c>
      <c r="D57" s="22" t="s">
        <v>371</v>
      </c>
      <c r="E57" s="22" t="s">
        <v>371</v>
      </c>
      <c r="F57" s="22" t="s">
        <v>784</v>
      </c>
      <c r="G57" s="23">
        <v>46275</v>
      </c>
      <c r="H57" s="23">
        <v>46269</v>
      </c>
      <c r="I57" s="24" t="s">
        <v>373</v>
      </c>
      <c r="J57" s="22" t="s">
        <v>943</v>
      </c>
      <c r="K57" s="22" t="str">
        <f>协会公示!E57</f>
        <v>10-20亿元</v>
      </c>
      <c r="L57" s="24" t="str">
        <f>协会公示!R57</f>
        <v>https://gs.amac.org.cn/amac-infodisc/res/pof/manager/1703210938100205.html</v>
      </c>
      <c r="M57" s="23">
        <f>协会公示!Q57</f>
        <v>46276</v>
      </c>
      <c r="N57" s="25">
        <v>0</v>
      </c>
      <c r="O57" s="24" t="s">
        <v>944</v>
      </c>
      <c r="P57" s="23">
        <v>46276</v>
      </c>
      <c r="Q57" s="26">
        <f>IF(ISNUMBER('Sheet4-原始数据'!S57),'Sheet4-原始数据'!S57,"")</f>
        <v>0.0776116770429107</v>
      </c>
      <c r="R57" s="24" t="s">
        <v>835</v>
      </c>
      <c r="S57" s="22" t="s">
        <v>122</v>
      </c>
      <c r="T57" s="22" t="s">
        <v>836</v>
      </c>
      <c r="U57" s="22" t="s">
        <v>371</v>
      </c>
      <c r="V57" s="22" t="s">
        <v>36</v>
      </c>
    </row>
    <row r="58" ht="58" customHeight="1" spans="1:22">
      <c r="A58" s="22">
        <v>58</v>
      </c>
      <c r="B58" s="22" t="s">
        <v>375</v>
      </c>
      <c r="C58" s="22" t="s">
        <v>376</v>
      </c>
      <c r="D58" s="22" t="s">
        <v>376</v>
      </c>
      <c r="E58" s="22" t="s">
        <v>376</v>
      </c>
      <c r="F58" s="22" t="s">
        <v>784</v>
      </c>
      <c r="G58" s="23">
        <v>46275</v>
      </c>
      <c r="H58" s="23">
        <v>46269</v>
      </c>
      <c r="I58" s="24" t="s">
        <v>379</v>
      </c>
      <c r="J58" s="22" t="s">
        <v>945</v>
      </c>
      <c r="K58" s="22" t="str">
        <f>协会公示!E58</f>
        <v>20-50亿元</v>
      </c>
      <c r="L58" s="24" t="str">
        <f>协会公示!R58</f>
        <v>https://gs.amac.org.cn/amac-infodisc/res/pof/manager/101000001663.html</v>
      </c>
      <c r="M58" s="23">
        <f>协会公示!Q58</f>
        <v>46276</v>
      </c>
      <c r="N58" s="25">
        <v>0</v>
      </c>
      <c r="O58" s="24" t="s">
        <v>946</v>
      </c>
      <c r="P58" s="23">
        <v>46276</v>
      </c>
      <c r="Q58" s="26">
        <f>IF(ISNUMBER('Sheet4-原始数据'!S58),'Sheet4-原始数据'!S58,"")</f>
        <v>0.0753</v>
      </c>
      <c r="R58" s="24" t="s">
        <v>835</v>
      </c>
      <c r="S58" s="22" t="s">
        <v>35</v>
      </c>
      <c r="T58" s="22" t="s">
        <v>836</v>
      </c>
      <c r="U58" s="22" t="s">
        <v>376</v>
      </c>
      <c r="V58" s="22" t="s">
        <v>36</v>
      </c>
    </row>
    <row r="59" ht="58" customHeight="1" spans="1:22">
      <c r="A59" s="22">
        <v>59</v>
      </c>
      <c r="B59" s="22" t="s">
        <v>381</v>
      </c>
      <c r="C59" s="22" t="s">
        <v>383</v>
      </c>
      <c r="D59" s="22" t="s">
        <v>383</v>
      </c>
      <c r="E59" s="22" t="s">
        <v>383</v>
      </c>
      <c r="F59" s="22" t="s">
        <v>784</v>
      </c>
      <c r="G59" s="23">
        <v>46275</v>
      </c>
      <c r="H59" s="23">
        <v>46269</v>
      </c>
      <c r="I59" s="24" t="s">
        <v>385</v>
      </c>
      <c r="J59" s="22" t="s">
        <v>947</v>
      </c>
      <c r="K59" s="22" t="str">
        <f>协会公示!E59</f>
        <v>0-5亿元</v>
      </c>
      <c r="L59" s="24" t="str">
        <f>协会公示!R59</f>
        <v>https://gs.amac.org.cn/amac-infodisc/res/pof/manager/101000026000.html</v>
      </c>
      <c r="M59" s="23">
        <f>协会公示!Q59</f>
        <v>46276</v>
      </c>
      <c r="N59" s="25"/>
      <c r="O59" s="24" t="s">
        <v>836</v>
      </c>
      <c r="P59" s="23"/>
      <c r="Q59" s="26">
        <f>IF(ISNUMBER('Sheet4-原始数据'!S59),'Sheet4-原始数据'!S59,"")</f>
        <v>0.1782</v>
      </c>
      <c r="R59" s="24" t="s">
        <v>890</v>
      </c>
      <c r="S59" s="22" t="s">
        <v>35</v>
      </c>
      <c r="T59" s="22" t="s">
        <v>836</v>
      </c>
      <c r="U59" s="22" t="s">
        <v>836</v>
      </c>
      <c r="V59" s="22" t="s">
        <v>879</v>
      </c>
    </row>
    <row r="60" ht="58" customHeight="1" spans="1:22">
      <c r="A60" s="22">
        <v>60</v>
      </c>
      <c r="B60" s="22" t="s">
        <v>387</v>
      </c>
      <c r="C60" s="22" t="s">
        <v>388</v>
      </c>
      <c r="D60" s="22" t="s">
        <v>388</v>
      </c>
      <c r="E60" s="22" t="s">
        <v>388</v>
      </c>
      <c r="F60" s="22" t="s">
        <v>784</v>
      </c>
      <c r="G60" s="23">
        <v>46275</v>
      </c>
      <c r="H60" s="23">
        <v>46269</v>
      </c>
      <c r="I60" s="24" t="s">
        <v>389</v>
      </c>
      <c r="J60" s="22" t="s">
        <v>948</v>
      </c>
      <c r="K60" s="22" t="str">
        <f>协会公示!E60</f>
        <v>0-5亿元</v>
      </c>
      <c r="L60" s="24" t="str">
        <f>协会公示!R60</f>
        <v>https://gs.amac.org.cn/amac-infodisc/res/pof/manager/101000026000.html</v>
      </c>
      <c r="M60" s="23">
        <f>协会公示!Q60</f>
        <v>46276</v>
      </c>
      <c r="N60" s="25">
        <v>0</v>
      </c>
      <c r="O60" s="24" t="s">
        <v>949</v>
      </c>
      <c r="P60" s="23">
        <v>46276</v>
      </c>
      <c r="Q60" s="26">
        <f>IF(ISNUMBER('Sheet4-原始数据'!S60),'Sheet4-原始数据'!S60,"")</f>
        <v>0.119697639612653</v>
      </c>
      <c r="R60" s="24" t="s">
        <v>835</v>
      </c>
      <c r="S60" s="22" t="s">
        <v>35</v>
      </c>
      <c r="T60" s="22" t="s">
        <v>836</v>
      </c>
      <c r="U60" s="22" t="s">
        <v>388</v>
      </c>
      <c r="V60" s="22" t="s">
        <v>36</v>
      </c>
    </row>
    <row r="61" ht="58" customHeight="1" spans="1:22">
      <c r="A61" s="22">
        <v>61</v>
      </c>
      <c r="B61" s="22" t="s">
        <v>391</v>
      </c>
      <c r="C61" s="22" t="s">
        <v>392</v>
      </c>
      <c r="D61" s="22" t="s">
        <v>392</v>
      </c>
      <c r="E61" s="22" t="s">
        <v>392</v>
      </c>
      <c r="F61" s="22" t="s">
        <v>784</v>
      </c>
      <c r="G61" s="23">
        <v>46275</v>
      </c>
      <c r="H61" s="23">
        <v>46269</v>
      </c>
      <c r="I61" s="24" t="s">
        <v>394</v>
      </c>
      <c r="J61" s="22" t="s">
        <v>950</v>
      </c>
      <c r="K61" s="22" t="str">
        <f>协会公示!E61</f>
        <v>10-20亿元</v>
      </c>
      <c r="L61" s="24" t="str">
        <f>协会公示!R61</f>
        <v>https://gs.amac.org.cn/amac-infodisc/res/pof/manager/101000042776.html</v>
      </c>
      <c r="M61" s="23">
        <f>协会公示!Q61</f>
        <v>46276</v>
      </c>
      <c r="N61" s="25">
        <v>0</v>
      </c>
      <c r="O61" s="24" t="s">
        <v>951</v>
      </c>
      <c r="P61" s="23">
        <v>46276</v>
      </c>
      <c r="Q61" s="26">
        <f>IF(ISNUMBER('Sheet4-原始数据'!S61),'Sheet4-原始数据'!S61,"")</f>
        <v>0.0751</v>
      </c>
      <c r="R61" s="24" t="s">
        <v>835</v>
      </c>
      <c r="S61" s="22" t="s">
        <v>70</v>
      </c>
      <c r="T61" s="22" t="s">
        <v>836</v>
      </c>
      <c r="U61" s="22" t="s">
        <v>392</v>
      </c>
      <c r="V61" s="22" t="s">
        <v>36</v>
      </c>
    </row>
    <row r="62" ht="58" customHeight="1" spans="1:22">
      <c r="A62" s="22">
        <v>62</v>
      </c>
      <c r="B62" s="22" t="s">
        <v>396</v>
      </c>
      <c r="C62" s="22" t="s">
        <v>397</v>
      </c>
      <c r="D62" s="22" t="s">
        <v>397</v>
      </c>
      <c r="E62" s="22" t="s">
        <v>397</v>
      </c>
      <c r="F62" s="22" t="s">
        <v>784</v>
      </c>
      <c r="G62" s="23">
        <v>46275</v>
      </c>
      <c r="H62" s="23">
        <v>46269</v>
      </c>
      <c r="I62" s="24" t="s">
        <v>398</v>
      </c>
      <c r="J62" s="22" t="s">
        <v>952</v>
      </c>
      <c r="K62" s="22" t="str">
        <f>协会公示!E62</f>
        <v>10-20亿元</v>
      </c>
      <c r="L62" s="24" t="str">
        <f>协会公示!R62</f>
        <v>https://gs.amac.org.cn/amac-infodisc/res/pof/manager/101000042776.html</v>
      </c>
      <c r="M62" s="23">
        <f>协会公示!Q62</f>
        <v>46276</v>
      </c>
      <c r="N62" s="25">
        <v>0</v>
      </c>
      <c r="O62" s="24" t="s">
        <v>953</v>
      </c>
      <c r="P62" s="23">
        <v>46276</v>
      </c>
      <c r="Q62" s="26">
        <f>IF(ISNUMBER('Sheet4-原始数据'!S62),'Sheet4-原始数据'!S62,"")</f>
        <v>0.1025</v>
      </c>
      <c r="R62" s="24" t="s">
        <v>835</v>
      </c>
      <c r="S62" s="22" t="s">
        <v>35</v>
      </c>
      <c r="T62" s="22" t="s">
        <v>836</v>
      </c>
      <c r="U62" s="22" t="s">
        <v>397</v>
      </c>
      <c r="V62" s="22" t="s">
        <v>36</v>
      </c>
    </row>
    <row r="63" ht="58" customHeight="1" spans="1:22">
      <c r="A63" s="22">
        <v>63</v>
      </c>
      <c r="B63" s="22" t="s">
        <v>400</v>
      </c>
      <c r="C63" s="22" t="s">
        <v>401</v>
      </c>
      <c r="D63" s="22" t="s">
        <v>401</v>
      </c>
      <c r="E63" s="22" t="s">
        <v>401</v>
      </c>
      <c r="F63" s="22" t="s">
        <v>784</v>
      </c>
      <c r="G63" s="23">
        <v>46275</v>
      </c>
      <c r="H63" s="23">
        <v>46269</v>
      </c>
      <c r="I63" s="24" t="s">
        <v>402</v>
      </c>
      <c r="J63" s="22" t="s">
        <v>954</v>
      </c>
      <c r="K63" s="22" t="str">
        <f>协会公示!E63</f>
        <v>10-20亿元</v>
      </c>
      <c r="L63" s="24" t="str">
        <f>协会公示!R63</f>
        <v>https://gs.amac.org.cn/amac-infodisc/res/pof/manager/101000042776.html</v>
      </c>
      <c r="M63" s="23">
        <f>协会公示!Q63</f>
        <v>46276</v>
      </c>
      <c r="N63" s="25">
        <v>0</v>
      </c>
      <c r="O63" s="24" t="s">
        <v>955</v>
      </c>
      <c r="P63" s="23">
        <v>46276</v>
      </c>
      <c r="Q63" s="26">
        <f>IF(ISNUMBER('Sheet4-原始数据'!S63),'Sheet4-原始数据'!S63,"")</f>
        <v>0.0884</v>
      </c>
      <c r="R63" s="24" t="s">
        <v>835</v>
      </c>
      <c r="S63" s="22" t="s">
        <v>35</v>
      </c>
      <c r="T63" s="22" t="s">
        <v>836</v>
      </c>
      <c r="U63" s="22" t="s">
        <v>401</v>
      </c>
      <c r="V63" s="22" t="s">
        <v>36</v>
      </c>
    </row>
    <row r="64" ht="58" customHeight="1" spans="1:22">
      <c r="A64" s="22">
        <v>64</v>
      </c>
      <c r="B64" s="22" t="s">
        <v>404</v>
      </c>
      <c r="C64" s="22" t="s">
        <v>405</v>
      </c>
      <c r="D64" s="22" t="s">
        <v>405</v>
      </c>
      <c r="E64" s="22" t="s">
        <v>405</v>
      </c>
      <c r="F64" s="22" t="s">
        <v>784</v>
      </c>
      <c r="G64" s="23">
        <v>46275</v>
      </c>
      <c r="H64" s="23">
        <v>46269</v>
      </c>
      <c r="I64" s="24" t="s">
        <v>407</v>
      </c>
      <c r="J64" s="22" t="s">
        <v>956</v>
      </c>
      <c r="K64" s="22" t="str">
        <f>协会公示!E64</f>
        <v>0-5亿元</v>
      </c>
      <c r="L64" s="24" t="str">
        <f>协会公示!R64</f>
        <v>https://gs.amac.org.cn/amac-infodisc/res/pof/manager/1705081548107725.html</v>
      </c>
      <c r="M64" s="23">
        <f>协会公示!Q64</f>
        <v>46276</v>
      </c>
      <c r="N64" s="25">
        <v>1</v>
      </c>
      <c r="O64" s="24" t="s">
        <v>957</v>
      </c>
      <c r="P64" s="23">
        <v>46276</v>
      </c>
      <c r="Q64" s="26">
        <f>IF(ISNUMBER('Sheet4-原始数据'!S64),'Sheet4-原始数据'!S64,"")</f>
        <v>-0.0366</v>
      </c>
      <c r="R64" s="24" t="s">
        <v>835</v>
      </c>
      <c r="S64" s="22" t="s">
        <v>70</v>
      </c>
      <c r="T64" s="22" t="s">
        <v>836</v>
      </c>
      <c r="U64" s="22" t="s">
        <v>405</v>
      </c>
      <c r="V64" s="22" t="s">
        <v>36</v>
      </c>
    </row>
    <row r="65" ht="58" customHeight="1" spans="1:22">
      <c r="A65" s="22">
        <v>65</v>
      </c>
      <c r="B65" s="22" t="s">
        <v>409</v>
      </c>
      <c r="C65" s="22" t="s">
        <v>410</v>
      </c>
      <c r="D65" s="22" t="s">
        <v>410</v>
      </c>
      <c r="E65" s="22" t="s">
        <v>410</v>
      </c>
      <c r="F65" s="22" t="s">
        <v>784</v>
      </c>
      <c r="G65" s="23">
        <v>46275</v>
      </c>
      <c r="H65" s="23">
        <v>46269</v>
      </c>
      <c r="I65" s="24" t="s">
        <v>413</v>
      </c>
      <c r="J65" s="22" t="s">
        <v>958</v>
      </c>
      <c r="K65" s="22" t="str">
        <f>协会公示!E65</f>
        <v>0-5亿元</v>
      </c>
      <c r="L65" s="24" t="str">
        <f>协会公示!R65</f>
        <v>https://gs.amac.org.cn/amac-infodisc/res/pof/manager/101000038100.html</v>
      </c>
      <c r="M65" s="23">
        <f>协会公示!Q65</f>
        <v>46276</v>
      </c>
      <c r="N65" s="25">
        <v>1</v>
      </c>
      <c r="O65" s="24" t="s">
        <v>959</v>
      </c>
      <c r="P65" s="23">
        <v>46276</v>
      </c>
      <c r="Q65" s="26">
        <f>IF(ISNUMBER('Sheet4-原始数据'!S65),'Sheet4-原始数据'!S65,"")</f>
        <v>0.079</v>
      </c>
      <c r="R65" s="24" t="s">
        <v>835</v>
      </c>
      <c r="S65" s="22" t="s">
        <v>35</v>
      </c>
      <c r="T65" s="22" t="s">
        <v>836</v>
      </c>
      <c r="U65" s="22" t="s">
        <v>410</v>
      </c>
      <c r="V65" s="22" t="s">
        <v>36</v>
      </c>
    </row>
    <row r="66" ht="58" customHeight="1" spans="1:22">
      <c r="A66" s="22">
        <v>66</v>
      </c>
      <c r="B66" s="22" t="s">
        <v>415</v>
      </c>
      <c r="C66" s="22" t="s">
        <v>417</v>
      </c>
      <c r="D66" s="22" t="s">
        <v>417</v>
      </c>
      <c r="E66" s="22" t="s">
        <v>417</v>
      </c>
      <c r="F66" s="22" t="s">
        <v>784</v>
      </c>
      <c r="G66" s="23">
        <v>46275</v>
      </c>
      <c r="H66" s="23">
        <v>46269</v>
      </c>
      <c r="I66" s="24" t="s">
        <v>419</v>
      </c>
      <c r="J66" s="22" t="s">
        <v>960</v>
      </c>
      <c r="K66" s="22" t="str">
        <f>协会公示!E66</f>
        <v>5-10亿元</v>
      </c>
      <c r="L66" s="24" t="str">
        <f>协会公示!R66</f>
        <v>https://gs.amac.org.cn/amac-infodisc/res/pof/manager/1708091719102142.html</v>
      </c>
      <c r="M66" s="23">
        <f>协会公示!Q66</f>
        <v>46276</v>
      </c>
      <c r="N66" s="25">
        <v>0</v>
      </c>
      <c r="O66" s="24" t="s">
        <v>961</v>
      </c>
      <c r="P66" s="23">
        <v>46276</v>
      </c>
      <c r="Q66" s="26">
        <f>IF(ISNUMBER('Sheet4-原始数据'!S66),'Sheet4-原始数据'!S66,"")</f>
        <v>0.1824</v>
      </c>
      <c r="R66" s="24" t="s">
        <v>835</v>
      </c>
      <c r="S66" s="22" t="s">
        <v>61</v>
      </c>
      <c r="T66" s="22" t="s">
        <v>836</v>
      </c>
      <c r="U66" s="22" t="s">
        <v>417</v>
      </c>
      <c r="V66" s="22" t="s">
        <v>36</v>
      </c>
    </row>
    <row r="67" ht="58" customHeight="1" spans="1:22">
      <c r="A67" s="22">
        <v>67</v>
      </c>
      <c r="B67" s="22" t="s">
        <v>421</v>
      </c>
      <c r="C67" s="22" t="s">
        <v>422</v>
      </c>
      <c r="D67" s="22" t="s">
        <v>422</v>
      </c>
      <c r="E67" s="22" t="s">
        <v>422</v>
      </c>
      <c r="F67" s="22" t="s">
        <v>784</v>
      </c>
      <c r="G67" s="23">
        <v>46275</v>
      </c>
      <c r="H67" s="23">
        <v>46269</v>
      </c>
      <c r="I67" s="24" t="s">
        <v>425</v>
      </c>
      <c r="J67" s="22" t="s">
        <v>962</v>
      </c>
      <c r="K67" s="22" t="str">
        <f>协会公示!E67</f>
        <v>0-5亿元</v>
      </c>
      <c r="L67" s="24" t="str">
        <f>协会公示!R67</f>
        <v>https://gs.amac.org.cn/amac-infodisc/res/pof/manager/101000000497.html</v>
      </c>
      <c r="M67" s="23">
        <f>协会公示!Q67</f>
        <v>46276</v>
      </c>
      <c r="N67" s="25">
        <v>0</v>
      </c>
      <c r="O67" s="24" t="s">
        <v>963</v>
      </c>
      <c r="P67" s="23">
        <v>46276</v>
      </c>
      <c r="Q67" s="26" t="str">
        <f>IF(ISNUMBER('Sheet4-原始数据'!S67),'Sheet4-原始数据'!S67,"")</f>
        <v/>
      </c>
      <c r="R67" s="24" t="s">
        <v>835</v>
      </c>
      <c r="S67" s="22" t="s">
        <v>35</v>
      </c>
      <c r="T67" s="22" t="s">
        <v>836</v>
      </c>
      <c r="U67" s="22" t="s">
        <v>422</v>
      </c>
      <c r="V67" s="22" t="s">
        <v>36</v>
      </c>
    </row>
    <row r="68" ht="58" customHeight="1" spans="1:22">
      <c r="A68" s="22">
        <v>68</v>
      </c>
      <c r="B68" s="22" t="s">
        <v>427</v>
      </c>
      <c r="C68" s="22" t="s">
        <v>429</v>
      </c>
      <c r="D68" s="22" t="s">
        <v>429</v>
      </c>
      <c r="E68" s="22" t="s">
        <v>429</v>
      </c>
      <c r="F68" s="22" t="s">
        <v>784</v>
      </c>
      <c r="G68" s="23">
        <v>46275</v>
      </c>
      <c r="H68" s="23">
        <v>46269</v>
      </c>
      <c r="I68" s="24" t="s">
        <v>432</v>
      </c>
      <c r="J68" s="22" t="s">
        <v>964</v>
      </c>
      <c r="K68" s="22" t="str">
        <f>协会公示!E68</f>
        <v>20-50亿元</v>
      </c>
      <c r="L68" s="24" t="str">
        <f>协会公示!R68</f>
        <v>https://gs.amac.org.cn/amac-infodisc/res/pof/manager/1701161209103763.html</v>
      </c>
      <c r="M68" s="23">
        <f>协会公示!Q68</f>
        <v>46276</v>
      </c>
      <c r="N68" s="25">
        <v>0</v>
      </c>
      <c r="O68" s="24" t="s">
        <v>965</v>
      </c>
      <c r="P68" s="23">
        <v>46276</v>
      </c>
      <c r="Q68" s="26">
        <f>IF(ISNUMBER('Sheet4-原始数据'!S68),'Sheet4-原始数据'!S68,"")</f>
        <v>0.126</v>
      </c>
      <c r="R68" s="24" t="s">
        <v>835</v>
      </c>
      <c r="S68" s="22" t="s">
        <v>61</v>
      </c>
      <c r="T68" s="22" t="s">
        <v>836</v>
      </c>
      <c r="U68" s="22" t="s">
        <v>429</v>
      </c>
      <c r="V68" s="22" t="s">
        <v>36</v>
      </c>
    </row>
    <row r="69" ht="58" customHeight="1" spans="1:22">
      <c r="A69" s="22">
        <v>69</v>
      </c>
      <c r="B69" s="22" t="s">
        <v>434</v>
      </c>
      <c r="C69" s="22" t="s">
        <v>435</v>
      </c>
      <c r="D69" s="22" t="s">
        <v>435</v>
      </c>
      <c r="E69" s="22" t="s">
        <v>435</v>
      </c>
      <c r="F69" s="22" t="s">
        <v>784</v>
      </c>
      <c r="G69" s="23">
        <v>46275</v>
      </c>
      <c r="H69" s="23">
        <v>46269</v>
      </c>
      <c r="I69" s="24" t="s">
        <v>438</v>
      </c>
      <c r="J69" s="22" t="s">
        <v>966</v>
      </c>
      <c r="K69" s="22" t="str">
        <f>协会公示!E69</f>
        <v>10-20亿元</v>
      </c>
      <c r="L69" s="24" t="str">
        <f>协会公示!R69</f>
        <v>https://gs.amac.org.cn/amac-infodisc/res/pof/manager/2009261701109105.html</v>
      </c>
      <c r="M69" s="23">
        <f>协会公示!Q69</f>
        <v>46276</v>
      </c>
      <c r="N69" s="25"/>
      <c r="O69" s="24" t="s">
        <v>836</v>
      </c>
      <c r="P69" s="23"/>
      <c r="Q69" s="26">
        <f>IF(ISNUMBER('Sheet4-原始数据'!S69),'Sheet4-原始数据'!S69,"")</f>
        <v>0.0733</v>
      </c>
      <c r="R69" s="24" t="s">
        <v>890</v>
      </c>
      <c r="S69" s="22" t="s">
        <v>61</v>
      </c>
      <c r="T69" s="22" t="s">
        <v>836</v>
      </c>
      <c r="U69" s="22" t="s">
        <v>836</v>
      </c>
      <c r="V69" s="22" t="s">
        <v>879</v>
      </c>
    </row>
    <row r="70" ht="58" customHeight="1" spans="1:22">
      <c r="A70" s="22">
        <v>70</v>
      </c>
      <c r="B70" s="22" t="s">
        <v>440</v>
      </c>
      <c r="C70" s="22" t="s">
        <v>441</v>
      </c>
      <c r="D70" s="22" t="s">
        <v>441</v>
      </c>
      <c r="E70" s="22" t="s">
        <v>441</v>
      </c>
      <c r="F70" s="22" t="s">
        <v>784</v>
      </c>
      <c r="G70" s="23">
        <v>46275</v>
      </c>
      <c r="H70" s="23">
        <v>46269</v>
      </c>
      <c r="I70" s="24" t="s">
        <v>443</v>
      </c>
      <c r="J70" s="22" t="s">
        <v>967</v>
      </c>
      <c r="K70" s="22" t="str">
        <f>协会公示!E70</f>
        <v>0-5亿元</v>
      </c>
      <c r="L70" s="24" t="str">
        <f>协会公示!R70</f>
        <v>https://gs.amac.org.cn/amac-infodisc/res/pof/manager/101000016974.html</v>
      </c>
      <c r="M70" s="23">
        <f>协会公示!Q70</f>
        <v>46276</v>
      </c>
      <c r="N70" s="25">
        <v>0</v>
      </c>
      <c r="O70" s="24" t="s">
        <v>968</v>
      </c>
      <c r="P70" s="23">
        <v>46276</v>
      </c>
      <c r="Q70" s="26">
        <f>IF(ISNUMBER('Sheet4-原始数据'!S70),'Sheet4-原始数据'!S70,"")</f>
        <v>0.0948</v>
      </c>
      <c r="R70" s="24" t="s">
        <v>835</v>
      </c>
      <c r="S70" s="22" t="s">
        <v>35</v>
      </c>
      <c r="T70" s="22" t="s">
        <v>836</v>
      </c>
      <c r="U70" s="22" t="s">
        <v>441</v>
      </c>
      <c r="V70" s="22" t="s">
        <v>36</v>
      </c>
    </row>
    <row r="71" ht="58" customHeight="1" spans="1:22">
      <c r="A71" s="22">
        <v>71</v>
      </c>
      <c r="B71" s="22" t="s">
        <v>445</v>
      </c>
      <c r="C71" s="22" t="s">
        <v>446</v>
      </c>
      <c r="D71" s="22" t="s">
        <v>446</v>
      </c>
      <c r="E71" s="22" t="s">
        <v>446</v>
      </c>
      <c r="F71" s="22" t="s">
        <v>784</v>
      </c>
      <c r="G71" s="23">
        <v>46275</v>
      </c>
      <c r="H71" s="23">
        <v>46269</v>
      </c>
      <c r="I71" s="24" t="s">
        <v>447</v>
      </c>
      <c r="J71" s="22" t="s">
        <v>969</v>
      </c>
      <c r="K71" s="22" t="str">
        <f>协会公示!E71</f>
        <v>0-5亿元</v>
      </c>
      <c r="L71" s="24" t="str">
        <f>协会公示!R71</f>
        <v>https://gs.amac.org.cn/amac-infodisc/res/pof/manager/101000016974.html</v>
      </c>
      <c r="M71" s="23">
        <f>协会公示!Q71</f>
        <v>46276</v>
      </c>
      <c r="N71" s="25">
        <v>0</v>
      </c>
      <c r="O71" s="24" t="s">
        <v>970</v>
      </c>
      <c r="P71" s="23">
        <v>46276</v>
      </c>
      <c r="Q71" s="26">
        <f>IF(ISNUMBER('Sheet4-原始数据'!S71),'Sheet4-原始数据'!S71,"")</f>
        <v>0.1328</v>
      </c>
      <c r="R71" s="24" t="s">
        <v>835</v>
      </c>
      <c r="S71" s="22" t="s">
        <v>35</v>
      </c>
      <c r="T71" s="22" t="s">
        <v>836</v>
      </c>
      <c r="U71" s="22" t="s">
        <v>446</v>
      </c>
      <c r="V71" s="22" t="s">
        <v>36</v>
      </c>
    </row>
    <row r="72" ht="58" customHeight="1" spans="1:22">
      <c r="A72" s="22">
        <v>72</v>
      </c>
      <c r="B72" s="22" t="s">
        <v>449</v>
      </c>
      <c r="C72" s="22" t="s">
        <v>450</v>
      </c>
      <c r="D72" s="22" t="s">
        <v>450</v>
      </c>
      <c r="E72" s="22" t="s">
        <v>450</v>
      </c>
      <c r="F72" s="22" t="s">
        <v>784</v>
      </c>
      <c r="G72" s="23">
        <v>46275</v>
      </c>
      <c r="H72" s="23">
        <v>46269</v>
      </c>
      <c r="I72" s="24" t="s">
        <v>451</v>
      </c>
      <c r="J72" s="22" t="s">
        <v>971</v>
      </c>
      <c r="K72" s="22" t="str">
        <f>协会公示!E72</f>
        <v>0-5亿元</v>
      </c>
      <c r="L72" s="24" t="str">
        <f>协会公示!R72</f>
        <v>https://gs.amac.org.cn/amac-infodisc/res/pof/manager/101000016974.html</v>
      </c>
      <c r="M72" s="23">
        <f>协会公示!Q72</f>
        <v>46276</v>
      </c>
      <c r="N72" s="25">
        <v>0</v>
      </c>
      <c r="O72" s="24" t="s">
        <v>972</v>
      </c>
      <c r="P72" s="23">
        <v>46276</v>
      </c>
      <c r="Q72" s="26">
        <f>IF(ISNUMBER('Sheet4-原始数据'!S72),'Sheet4-原始数据'!S72,"")</f>
        <v>0.152</v>
      </c>
      <c r="R72" s="24" t="s">
        <v>835</v>
      </c>
      <c r="S72" s="22" t="s">
        <v>35</v>
      </c>
      <c r="T72" s="22" t="s">
        <v>836</v>
      </c>
      <c r="U72" s="22" t="s">
        <v>450</v>
      </c>
      <c r="V72" s="22" t="s">
        <v>36</v>
      </c>
    </row>
    <row r="73" ht="58" customHeight="1" spans="1:22">
      <c r="A73" s="22">
        <v>73</v>
      </c>
      <c r="B73" s="22" t="s">
        <v>453</v>
      </c>
      <c r="C73" s="22" t="s">
        <v>454</v>
      </c>
      <c r="D73" s="22" t="s">
        <v>454</v>
      </c>
      <c r="E73" s="22" t="s">
        <v>454</v>
      </c>
      <c r="F73" s="22" t="s">
        <v>784</v>
      </c>
      <c r="G73" s="23">
        <v>46275</v>
      </c>
      <c r="H73" s="23">
        <v>46269</v>
      </c>
      <c r="I73" s="24" t="s">
        <v>457</v>
      </c>
      <c r="J73" s="22" t="s">
        <v>973</v>
      </c>
      <c r="K73" s="22" t="str">
        <f>协会公示!E73</f>
        <v>10-20亿元</v>
      </c>
      <c r="L73" s="24" t="str">
        <f>协会公示!R73</f>
        <v>https://gs.amac.org.cn/amac-infodisc/res/pof/manager/2108301436104889.html</v>
      </c>
      <c r="M73" s="23">
        <f>协会公示!Q73</f>
        <v>46276</v>
      </c>
      <c r="N73" s="25">
        <v>0</v>
      </c>
      <c r="O73" s="24" t="s">
        <v>974</v>
      </c>
      <c r="P73" s="23">
        <v>46276</v>
      </c>
      <c r="Q73" s="26">
        <f>IF(ISNUMBER('Sheet4-原始数据'!S73),'Sheet4-原始数据'!S73,"")</f>
        <v>0.1639</v>
      </c>
      <c r="R73" s="24" t="s">
        <v>835</v>
      </c>
      <c r="S73" s="22" t="s">
        <v>236</v>
      </c>
      <c r="T73" s="22" t="s">
        <v>836</v>
      </c>
      <c r="U73" s="22" t="s">
        <v>454</v>
      </c>
      <c r="V73" s="22" t="s">
        <v>36</v>
      </c>
    </row>
    <row r="74" ht="58" customHeight="1" spans="1:22">
      <c r="A74" s="22">
        <v>74</v>
      </c>
      <c r="B74" s="22" t="s">
        <v>459</v>
      </c>
      <c r="C74" s="22" t="s">
        <v>460</v>
      </c>
      <c r="D74" s="22" t="s">
        <v>460</v>
      </c>
      <c r="E74" s="22" t="s">
        <v>460</v>
      </c>
      <c r="F74" s="22" t="s">
        <v>784</v>
      </c>
      <c r="G74" s="23">
        <v>46275</v>
      </c>
      <c r="H74" s="23">
        <v>46269</v>
      </c>
      <c r="I74" s="24" t="s">
        <v>462</v>
      </c>
      <c r="J74" s="22" t="s">
        <v>975</v>
      </c>
      <c r="K74" s="22" t="str">
        <f>协会公示!E74</f>
        <v>10-20亿元</v>
      </c>
      <c r="L74" s="24" t="str">
        <f>协会公示!R74</f>
        <v>https://gs.amac.org.cn/amac-infodisc/res/pof/manager/2003241828108999.html</v>
      </c>
      <c r="M74" s="23">
        <f>协会公示!Q74</f>
        <v>46276</v>
      </c>
      <c r="N74" s="25">
        <v>0</v>
      </c>
      <c r="O74" s="24" t="s">
        <v>976</v>
      </c>
      <c r="P74" s="23">
        <v>46276</v>
      </c>
      <c r="Q74" s="26">
        <f>IF(ISNUMBER('Sheet4-原始数据'!S74),'Sheet4-原始数据'!S74,"")</f>
        <v>0.1926</v>
      </c>
      <c r="R74" s="24" t="s">
        <v>835</v>
      </c>
      <c r="S74" s="22" t="s">
        <v>35</v>
      </c>
      <c r="T74" s="22" t="s">
        <v>836</v>
      </c>
      <c r="U74" s="22" t="s">
        <v>460</v>
      </c>
      <c r="V74" s="22" t="s">
        <v>36</v>
      </c>
    </row>
    <row r="75" ht="58" customHeight="1" spans="1:22">
      <c r="A75" s="22">
        <v>75</v>
      </c>
      <c r="B75" s="22" t="s">
        <v>464</v>
      </c>
      <c r="C75" s="22" t="s">
        <v>466</v>
      </c>
      <c r="D75" s="22" t="s">
        <v>466</v>
      </c>
      <c r="E75" s="22" t="s">
        <v>466</v>
      </c>
      <c r="F75" s="22" t="s">
        <v>784</v>
      </c>
      <c r="G75" s="23">
        <v>46275</v>
      </c>
      <c r="H75" s="23">
        <v>46269</v>
      </c>
      <c r="I75" s="24" t="s">
        <v>469</v>
      </c>
      <c r="J75" s="22" t="s">
        <v>977</v>
      </c>
      <c r="K75" s="22" t="str">
        <f>协会公示!E75</f>
        <v>5-10亿元</v>
      </c>
      <c r="L75" s="24" t="str">
        <f>协会公示!R75</f>
        <v>https://gs.amac.org.cn/amac-infodisc/res/pof/manager/101000009803.html</v>
      </c>
      <c r="M75" s="23">
        <f>协会公示!Q75</f>
        <v>46276</v>
      </c>
      <c r="N75" s="25">
        <v>0</v>
      </c>
      <c r="O75" s="24" t="s">
        <v>978</v>
      </c>
      <c r="P75" s="23">
        <v>46276</v>
      </c>
      <c r="Q75" s="26">
        <f>IF(ISNUMBER('Sheet4-原始数据'!S75),'Sheet4-原始数据'!S75,"")</f>
        <v>0.1685</v>
      </c>
      <c r="R75" s="24" t="s">
        <v>835</v>
      </c>
      <c r="S75" s="22" t="s">
        <v>334</v>
      </c>
      <c r="T75" s="22" t="s">
        <v>836</v>
      </c>
      <c r="U75" s="22" t="s">
        <v>466</v>
      </c>
      <c r="V75" s="22" t="s">
        <v>36</v>
      </c>
    </row>
    <row r="76" ht="58" customHeight="1" spans="1:22">
      <c r="A76" s="22">
        <v>76</v>
      </c>
      <c r="B76" s="22" t="s">
        <v>471</v>
      </c>
      <c r="C76" s="22" t="s">
        <v>472</v>
      </c>
      <c r="D76" s="22" t="s">
        <v>472</v>
      </c>
      <c r="E76" s="22" t="s">
        <v>472</v>
      </c>
      <c r="F76" s="22" t="s">
        <v>784</v>
      </c>
      <c r="G76" s="23">
        <v>46275</v>
      </c>
      <c r="H76" s="23">
        <v>46269</v>
      </c>
      <c r="I76" s="24" t="s">
        <v>474</v>
      </c>
      <c r="J76" s="22" t="s">
        <v>979</v>
      </c>
      <c r="K76" s="22" t="str">
        <f>协会公示!E76</f>
        <v>10-20亿元</v>
      </c>
      <c r="L76" s="24" t="str">
        <f>协会公示!R76</f>
        <v>https://gs.amac.org.cn/amac-infodisc/res/pof/manager/101000047057.html</v>
      </c>
      <c r="M76" s="23">
        <f>协会公示!Q76</f>
        <v>46276</v>
      </c>
      <c r="N76" s="25">
        <v>0</v>
      </c>
      <c r="O76" s="24" t="s">
        <v>980</v>
      </c>
      <c r="P76" s="23">
        <v>46276</v>
      </c>
      <c r="Q76" s="26">
        <f>IF(ISNUMBER('Sheet4-原始数据'!S76),'Sheet4-原始数据'!S76,"")</f>
        <v>0.0842588197581635</v>
      </c>
      <c r="R76" s="24" t="s">
        <v>835</v>
      </c>
      <c r="S76" s="22" t="s">
        <v>35</v>
      </c>
      <c r="T76" s="22" t="s">
        <v>836</v>
      </c>
      <c r="U76" s="22" t="s">
        <v>472</v>
      </c>
      <c r="V76" s="22" t="s">
        <v>36</v>
      </c>
    </row>
    <row r="77" ht="58" customHeight="1" spans="1:22">
      <c r="A77" s="22">
        <v>77</v>
      </c>
      <c r="B77" s="22" t="s">
        <v>476</v>
      </c>
      <c r="C77" s="22" t="s">
        <v>477</v>
      </c>
      <c r="D77" s="22" t="s">
        <v>477</v>
      </c>
      <c r="E77" s="22" t="s">
        <v>477</v>
      </c>
      <c r="F77" s="22" t="s">
        <v>784</v>
      </c>
      <c r="G77" s="23">
        <v>46275</v>
      </c>
      <c r="H77" s="23">
        <v>46269</v>
      </c>
      <c r="I77" s="24" t="s">
        <v>478</v>
      </c>
      <c r="J77" s="22" t="s">
        <v>981</v>
      </c>
      <c r="K77" s="22" t="str">
        <f>协会公示!E77</f>
        <v>10-20亿元</v>
      </c>
      <c r="L77" s="24" t="str">
        <f>协会公示!R77</f>
        <v>https://gs.amac.org.cn/amac-infodisc/res/pof/manager/101000047057.html</v>
      </c>
      <c r="M77" s="23">
        <f>协会公示!Q77</f>
        <v>46276</v>
      </c>
      <c r="N77" s="25">
        <v>0</v>
      </c>
      <c r="O77" s="24" t="s">
        <v>982</v>
      </c>
      <c r="P77" s="23">
        <v>46276</v>
      </c>
      <c r="Q77" s="26" t="str">
        <f>IF(ISNUMBER('Sheet4-原始数据'!S77),'Sheet4-原始数据'!S77,"")</f>
        <v/>
      </c>
      <c r="R77" s="24" t="s">
        <v>835</v>
      </c>
      <c r="S77" s="22" t="s">
        <v>35</v>
      </c>
      <c r="T77" s="22" t="s">
        <v>836</v>
      </c>
      <c r="U77" s="22" t="s">
        <v>477</v>
      </c>
      <c r="V77" s="22" t="s">
        <v>36</v>
      </c>
    </row>
    <row r="78" ht="58" customHeight="1" spans="1:22">
      <c r="A78" s="22">
        <v>78</v>
      </c>
      <c r="B78" s="22" t="s">
        <v>480</v>
      </c>
      <c r="C78" s="22" t="s">
        <v>481</v>
      </c>
      <c r="D78" s="22" t="s">
        <v>481</v>
      </c>
      <c r="E78" s="22" t="s">
        <v>481</v>
      </c>
      <c r="F78" s="22" t="s">
        <v>784</v>
      </c>
      <c r="G78" s="23">
        <v>46275</v>
      </c>
      <c r="H78" s="23">
        <v>46269</v>
      </c>
      <c r="I78" s="24" t="s">
        <v>484</v>
      </c>
      <c r="J78" s="22" t="s">
        <v>983</v>
      </c>
      <c r="K78" s="22" t="str">
        <f>协会公示!E78</f>
        <v>10-20亿元</v>
      </c>
      <c r="L78" s="24" t="str">
        <f>协会公示!R78</f>
        <v>https://gs.amac.org.cn/amac-infodisc/res/pof/manager/2108111018103387.html</v>
      </c>
      <c r="M78" s="23">
        <f>协会公示!Q78</f>
        <v>46276</v>
      </c>
      <c r="N78" s="25">
        <v>0</v>
      </c>
      <c r="O78" s="24" t="s">
        <v>984</v>
      </c>
      <c r="P78" s="23">
        <v>46276</v>
      </c>
      <c r="Q78" s="26">
        <f>IF(ISNUMBER('Sheet4-原始数据'!S78),'Sheet4-原始数据'!S78,"")</f>
        <v>0.1333</v>
      </c>
      <c r="R78" s="24" t="s">
        <v>835</v>
      </c>
      <c r="S78" s="22" t="s">
        <v>122</v>
      </c>
      <c r="T78" s="22" t="s">
        <v>836</v>
      </c>
      <c r="U78" s="22" t="s">
        <v>481</v>
      </c>
      <c r="V78" s="22" t="s">
        <v>36</v>
      </c>
    </row>
    <row r="79" ht="58" customHeight="1" spans="1:22">
      <c r="A79" s="22">
        <v>79</v>
      </c>
      <c r="B79" s="22" t="s">
        <v>486</v>
      </c>
      <c r="C79" s="22" t="s">
        <v>488</v>
      </c>
      <c r="D79" s="22" t="s">
        <v>488</v>
      </c>
      <c r="E79" s="22" t="s">
        <v>488</v>
      </c>
      <c r="F79" s="22" t="s">
        <v>784</v>
      </c>
      <c r="G79" s="23">
        <v>46275</v>
      </c>
      <c r="H79" s="23">
        <v>46269</v>
      </c>
      <c r="I79" s="24" t="s">
        <v>491</v>
      </c>
      <c r="J79" s="22" t="s">
        <v>985</v>
      </c>
      <c r="K79" s="22" t="str">
        <f>协会公示!E79</f>
        <v>20-50亿元</v>
      </c>
      <c r="L79" s="24" t="str">
        <f>协会公示!R79</f>
        <v>https://gs.amac.org.cn/amac-infodisc/res/pof/manager/101000004339.html</v>
      </c>
      <c r="M79" s="23">
        <f>协会公示!Q79</f>
        <v>46276</v>
      </c>
      <c r="N79" s="25">
        <v>0</v>
      </c>
      <c r="O79" s="24" t="s">
        <v>986</v>
      </c>
      <c r="P79" s="23">
        <v>46276</v>
      </c>
      <c r="Q79" s="26">
        <f>IF(ISNUMBER('Sheet4-原始数据'!S79),'Sheet4-原始数据'!S79,"")</f>
        <v>0.0885</v>
      </c>
      <c r="R79" s="24" t="s">
        <v>835</v>
      </c>
      <c r="S79" s="22" t="s">
        <v>35</v>
      </c>
      <c r="T79" s="22" t="s">
        <v>836</v>
      </c>
      <c r="U79" s="22" t="s">
        <v>488</v>
      </c>
      <c r="V79" s="22" t="s">
        <v>36</v>
      </c>
    </row>
    <row r="80" ht="58" customHeight="1" spans="1:22">
      <c r="A80" s="22">
        <v>80</v>
      </c>
      <c r="B80" s="22" t="s">
        <v>493</v>
      </c>
      <c r="C80" s="22" t="s">
        <v>495</v>
      </c>
      <c r="D80" s="22" t="s">
        <v>495</v>
      </c>
      <c r="E80" s="22" t="s">
        <v>495</v>
      </c>
      <c r="F80" s="22" t="s">
        <v>784</v>
      </c>
      <c r="G80" s="23">
        <v>46275</v>
      </c>
      <c r="H80" s="23">
        <v>46269</v>
      </c>
      <c r="I80" s="24" t="s">
        <v>497</v>
      </c>
      <c r="J80" s="22" t="s">
        <v>987</v>
      </c>
      <c r="K80" s="22" t="str">
        <f>协会公示!E80</f>
        <v>20-50亿元</v>
      </c>
      <c r="L80" s="24" t="str">
        <f>协会公示!R80</f>
        <v>https://gs.amac.org.cn/amac-infodisc/res/pof/manager/2011301812106408.html</v>
      </c>
      <c r="M80" s="23">
        <f>协会公示!Q80</f>
        <v>46276</v>
      </c>
      <c r="N80" s="25">
        <v>0</v>
      </c>
      <c r="O80" s="24" t="s">
        <v>988</v>
      </c>
      <c r="P80" s="23">
        <v>46276</v>
      </c>
      <c r="Q80" s="26">
        <f>IF(ISNUMBER('Sheet4-原始数据'!S80),'Sheet4-原始数据'!S80,"")</f>
        <v>0.0551</v>
      </c>
      <c r="R80" s="24" t="s">
        <v>835</v>
      </c>
      <c r="S80" s="22" t="s">
        <v>122</v>
      </c>
      <c r="T80" s="22" t="s">
        <v>836</v>
      </c>
      <c r="U80" s="22" t="s">
        <v>495</v>
      </c>
      <c r="V80" s="22" t="s">
        <v>36</v>
      </c>
    </row>
    <row r="81" ht="58" customHeight="1" spans="1:22">
      <c r="A81" s="22">
        <v>81</v>
      </c>
      <c r="B81" s="22" t="s">
        <v>499</v>
      </c>
      <c r="C81" s="22" t="s">
        <v>502</v>
      </c>
      <c r="D81" s="22" t="s">
        <v>502</v>
      </c>
      <c r="E81" s="22" t="s">
        <v>502</v>
      </c>
      <c r="F81" s="22" t="s">
        <v>784</v>
      </c>
      <c r="G81" s="23">
        <v>46275</v>
      </c>
      <c r="H81" s="23">
        <v>46269</v>
      </c>
      <c r="I81" s="24" t="s">
        <v>505</v>
      </c>
      <c r="J81" s="22" t="s">
        <v>989</v>
      </c>
      <c r="K81" s="22" t="str">
        <f>协会公示!E81</f>
        <v>20-50亿元</v>
      </c>
      <c r="L81" s="24" t="str">
        <f>协会公示!R81</f>
        <v>https://gs.amac.org.cn/amac-infodisc/res/pof/manager/101000074295.html</v>
      </c>
      <c r="M81" s="23">
        <f>协会公示!Q81</f>
        <v>46276</v>
      </c>
      <c r="N81" s="25">
        <v>0</v>
      </c>
      <c r="O81" s="24" t="s">
        <v>990</v>
      </c>
      <c r="P81" s="23">
        <v>46276</v>
      </c>
      <c r="Q81" s="26">
        <f>IF(ISNUMBER('Sheet4-原始数据'!S81),'Sheet4-原始数据'!S81,"")</f>
        <v>0.1223</v>
      </c>
      <c r="R81" s="24" t="s">
        <v>835</v>
      </c>
      <c r="S81" s="22" t="s">
        <v>500</v>
      </c>
      <c r="T81" s="22" t="s">
        <v>836</v>
      </c>
      <c r="U81" s="22" t="s">
        <v>502</v>
      </c>
      <c r="V81" s="22" t="s">
        <v>36</v>
      </c>
    </row>
    <row r="82" ht="58" customHeight="1" spans="1:22">
      <c r="A82" s="22">
        <v>82</v>
      </c>
      <c r="B82" s="22" t="s">
        <v>507</v>
      </c>
      <c r="C82" s="22" t="s">
        <v>508</v>
      </c>
      <c r="D82" s="22" t="s">
        <v>508</v>
      </c>
      <c r="E82" s="22" t="s">
        <v>508</v>
      </c>
      <c r="F82" s="22" t="s">
        <v>784</v>
      </c>
      <c r="G82" s="23">
        <v>46275</v>
      </c>
      <c r="H82" s="23">
        <v>46269</v>
      </c>
      <c r="I82" s="24" t="s">
        <v>510</v>
      </c>
      <c r="J82" s="22" t="s">
        <v>991</v>
      </c>
      <c r="K82" s="22" t="str">
        <f>协会公示!E82</f>
        <v>10-20亿元</v>
      </c>
      <c r="L82" s="24" t="str">
        <f>协会公示!R82</f>
        <v>https://gs.amac.org.cn/amac-infodisc/res/pof/manager/1708291806108811.html</v>
      </c>
      <c r="M82" s="23">
        <f>协会公示!Q82</f>
        <v>46276</v>
      </c>
      <c r="N82" s="25">
        <v>1</v>
      </c>
      <c r="O82" s="24" t="s">
        <v>992</v>
      </c>
      <c r="P82" s="23">
        <v>46276</v>
      </c>
      <c r="Q82" s="26">
        <f>IF(ISNUMBER('Sheet4-原始数据'!S82),'Sheet4-原始数据'!S82,"")</f>
        <v>0.2683</v>
      </c>
      <c r="R82" s="24" t="s">
        <v>835</v>
      </c>
      <c r="S82" s="22" t="s">
        <v>35</v>
      </c>
      <c r="T82" s="22" t="s">
        <v>836</v>
      </c>
      <c r="U82" s="22" t="s">
        <v>508</v>
      </c>
      <c r="V82" s="22" t="s">
        <v>36</v>
      </c>
    </row>
    <row r="83" ht="58" customHeight="1" spans="1:22">
      <c r="A83" s="22">
        <v>83</v>
      </c>
      <c r="B83" s="22" t="s">
        <v>512</v>
      </c>
      <c r="C83" s="22" t="s">
        <v>513</v>
      </c>
      <c r="D83" s="22" t="s">
        <v>513</v>
      </c>
      <c r="E83" s="22" t="s">
        <v>513</v>
      </c>
      <c r="F83" s="22" t="s">
        <v>784</v>
      </c>
      <c r="G83" s="23">
        <v>46275</v>
      </c>
      <c r="H83" s="23">
        <v>46269</v>
      </c>
      <c r="I83" s="24" t="s">
        <v>516</v>
      </c>
      <c r="J83" s="22" t="s">
        <v>993</v>
      </c>
      <c r="K83" s="22" t="str">
        <f>协会公示!E83</f>
        <v>20-50亿元</v>
      </c>
      <c r="L83" s="24" t="str">
        <f>协会公示!R83</f>
        <v>https://gs.amac.org.cn/amac-infodisc/res/pof/manager/1703280912100590.html</v>
      </c>
      <c r="M83" s="23">
        <f>协会公示!Q83</f>
        <v>46276</v>
      </c>
      <c r="N83" s="25">
        <v>0</v>
      </c>
      <c r="O83" s="24" t="s">
        <v>994</v>
      </c>
      <c r="P83" s="23">
        <v>46276</v>
      </c>
      <c r="Q83" s="26">
        <f>IF(ISNUMBER('Sheet4-原始数据'!S83),'Sheet4-原始数据'!S83,"")</f>
        <v>0.0572</v>
      </c>
      <c r="R83" s="24" t="s">
        <v>835</v>
      </c>
      <c r="S83" s="22" t="s">
        <v>122</v>
      </c>
      <c r="T83" s="22" t="s">
        <v>836</v>
      </c>
      <c r="U83" s="22" t="s">
        <v>513</v>
      </c>
      <c r="V83" s="22" t="s">
        <v>36</v>
      </c>
    </row>
    <row r="84" ht="58" customHeight="1" spans="1:22">
      <c r="A84" s="22">
        <v>84</v>
      </c>
      <c r="B84" s="22" t="s">
        <v>518</v>
      </c>
      <c r="C84" s="22" t="s">
        <v>836</v>
      </c>
      <c r="D84" s="22" t="s">
        <v>816</v>
      </c>
      <c r="E84" s="22" t="s">
        <v>816</v>
      </c>
      <c r="F84" s="22" t="s">
        <v>784</v>
      </c>
      <c r="G84" s="23">
        <v>46275</v>
      </c>
      <c r="H84" s="23">
        <v>46269</v>
      </c>
      <c r="I84" s="24" t="s">
        <v>818</v>
      </c>
      <c r="J84" s="22" t="s">
        <v>995</v>
      </c>
      <c r="K84" s="22" t="str">
        <f>协会公示!E84</f>
        <v>50-100亿元</v>
      </c>
      <c r="L84" s="24" t="str">
        <f>协会公示!R84</f>
        <v>https://gs.amac.org.cn/amac-infodisc/res/pof/manager/1703070917106985.html</v>
      </c>
      <c r="M84" s="23">
        <f>协会公示!Q84</f>
        <v>46276</v>
      </c>
      <c r="N84" s="25">
        <v>0</v>
      </c>
      <c r="O84" s="24" t="s">
        <v>996</v>
      </c>
      <c r="P84" s="23">
        <v>46276</v>
      </c>
      <c r="Q84" s="26" t="str">
        <f>IF(ISNUMBER('Sheet4-原始数据'!S84),'Sheet4-原始数据'!S84,"")</f>
        <v/>
      </c>
      <c r="R84" s="24" t="s">
        <v>997</v>
      </c>
      <c r="S84" s="22" t="s">
        <v>520</v>
      </c>
      <c r="T84" s="22" t="s">
        <v>836</v>
      </c>
      <c r="U84" s="22" t="s">
        <v>816</v>
      </c>
      <c r="V84" s="22" t="s">
        <v>36</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635"/>
  <sheetViews>
    <sheetView showGridLines="0" workbookViewId="0">
      <pane xSplit="2" ySplit="1" topLeftCell="C239" activePane="bottomRight" state="frozen"/>
      <selection/>
      <selection pane="topRight"/>
      <selection pane="bottomLeft"/>
      <selection pane="bottomRight" activeCell="A1" sqref="A1"/>
    </sheetView>
  </sheetViews>
  <sheetFormatPr defaultColWidth="9" defaultRowHeight="16.8"/>
  <cols>
    <col min="1" max="1" width="15" customWidth="1"/>
    <col min="2" max="2" width="30" customWidth="1"/>
    <col min="3" max="13" width="15" customWidth="1"/>
    <col min="14" max="14" width="42" customWidth="1"/>
  </cols>
  <sheetData>
    <row r="1" ht="43" customHeight="1" spans="1:14">
      <c r="A1" s="7" t="s">
        <v>673</v>
      </c>
      <c r="B1" s="8" t="s">
        <v>2</v>
      </c>
      <c r="C1" s="8" t="s">
        <v>998</v>
      </c>
      <c r="D1" s="8" t="s">
        <v>999</v>
      </c>
      <c r="E1" s="8" t="s">
        <v>1000</v>
      </c>
      <c r="F1" s="8" t="s">
        <v>1001</v>
      </c>
      <c r="G1" s="8" t="s">
        <v>1002</v>
      </c>
      <c r="H1" s="8" t="s">
        <v>1003</v>
      </c>
      <c r="I1" s="8" t="s">
        <v>1004</v>
      </c>
      <c r="J1" s="8" t="s">
        <v>1005</v>
      </c>
      <c r="K1" s="8" t="s">
        <v>1006</v>
      </c>
      <c r="L1" s="8" t="s">
        <v>1007</v>
      </c>
      <c r="M1" s="8" t="s">
        <v>1008</v>
      </c>
      <c r="N1" s="14" t="s">
        <v>1009</v>
      </c>
    </row>
    <row r="2" ht="25" customHeight="1" spans="1:14">
      <c r="A2" s="9" t="s">
        <v>383</v>
      </c>
      <c r="B2" s="9" t="s">
        <v>381</v>
      </c>
      <c r="C2" s="10">
        <v>45513</v>
      </c>
      <c r="D2" s="15">
        <v>1.0377</v>
      </c>
      <c r="E2" s="15">
        <v>1.0377</v>
      </c>
      <c r="F2" s="15">
        <v>1.0377</v>
      </c>
      <c r="G2" s="11"/>
      <c r="H2" s="9">
        <f>MAX($F$2:F2)</f>
        <v>1.0377</v>
      </c>
      <c r="I2" s="11">
        <f t="shared" ref="I2:I65" si="0">1-F2/H2</f>
        <v>0</v>
      </c>
      <c r="J2" s="9"/>
      <c r="K2" s="11"/>
      <c r="L2" s="9"/>
      <c r="M2" s="11"/>
      <c r="N2" s="9" t="s">
        <v>1010</v>
      </c>
    </row>
    <row r="3" ht="25" customHeight="1" spans="1:14">
      <c r="A3" s="9" t="s">
        <v>383</v>
      </c>
      <c r="B3" s="9" t="s">
        <v>381</v>
      </c>
      <c r="C3" s="10">
        <v>45520</v>
      </c>
      <c r="D3" s="15">
        <v>1.04</v>
      </c>
      <c r="E3" s="15">
        <v>1.04</v>
      </c>
      <c r="F3" s="15">
        <v>1.04</v>
      </c>
      <c r="G3" s="11">
        <v>0.0022</v>
      </c>
      <c r="H3" s="9">
        <f>MAX($F$2:F3)</f>
        <v>1.04</v>
      </c>
      <c r="I3" s="11">
        <f t="shared" si="0"/>
        <v>0</v>
      </c>
      <c r="J3" s="9"/>
      <c r="K3" s="11"/>
      <c r="L3" s="9"/>
      <c r="M3" s="11"/>
      <c r="N3" s="9" t="s">
        <v>1010</v>
      </c>
    </row>
    <row r="4" ht="25" customHeight="1" spans="1:14">
      <c r="A4" s="9" t="s">
        <v>383</v>
      </c>
      <c r="B4" s="9" t="s">
        <v>381</v>
      </c>
      <c r="C4" s="10">
        <v>45527</v>
      </c>
      <c r="D4" s="15">
        <v>1.0477</v>
      </c>
      <c r="E4" s="15">
        <v>1.0477</v>
      </c>
      <c r="F4" s="15">
        <v>1.0477</v>
      </c>
      <c r="G4" s="11">
        <v>0.0074</v>
      </c>
      <c r="H4" s="9">
        <f>MAX($F$2:F4)</f>
        <v>1.0477</v>
      </c>
      <c r="I4" s="11">
        <f t="shared" si="0"/>
        <v>0</v>
      </c>
      <c r="J4" s="9"/>
      <c r="K4" s="11"/>
      <c r="L4" s="9"/>
      <c r="M4" s="11"/>
      <c r="N4" s="9" t="s">
        <v>1010</v>
      </c>
    </row>
    <row r="5" ht="25" customHeight="1" spans="1:14">
      <c r="A5" s="9" t="s">
        <v>383</v>
      </c>
      <c r="B5" s="9" t="s">
        <v>381</v>
      </c>
      <c r="C5" s="10">
        <v>45534</v>
      </c>
      <c r="D5" s="15">
        <v>1.048</v>
      </c>
      <c r="E5" s="15">
        <v>1.048</v>
      </c>
      <c r="F5" s="15">
        <v>1.048</v>
      </c>
      <c r="G5" s="11">
        <v>0.0003</v>
      </c>
      <c r="H5" s="9">
        <f>MAX($F$2:F5)</f>
        <v>1.048</v>
      </c>
      <c r="I5" s="11">
        <f t="shared" si="0"/>
        <v>0</v>
      </c>
      <c r="J5" s="9"/>
      <c r="K5" s="11"/>
      <c r="L5" s="9"/>
      <c r="M5" s="11"/>
      <c r="N5" s="9" t="s">
        <v>1010</v>
      </c>
    </row>
    <row r="6" ht="25" customHeight="1" spans="1:14">
      <c r="A6" s="9" t="s">
        <v>383</v>
      </c>
      <c r="B6" s="9" t="s">
        <v>381</v>
      </c>
      <c r="C6" s="10">
        <v>45541</v>
      </c>
      <c r="D6" s="15">
        <v>1.046</v>
      </c>
      <c r="E6" s="15">
        <v>1.046</v>
      </c>
      <c r="F6" s="15">
        <v>1.046</v>
      </c>
      <c r="G6" s="11">
        <v>-0.0019</v>
      </c>
      <c r="H6" s="9">
        <f>MAX($F$2:F6)</f>
        <v>1.048</v>
      </c>
      <c r="I6" s="11">
        <f t="shared" si="0"/>
        <v>0.00190839694656486</v>
      </c>
      <c r="J6" s="9"/>
      <c r="K6" s="11"/>
      <c r="L6" s="9"/>
      <c r="M6" s="11"/>
      <c r="N6" s="9" t="s">
        <v>1010</v>
      </c>
    </row>
    <row r="7" ht="25" customHeight="1" spans="1:14">
      <c r="A7" s="9" t="s">
        <v>383</v>
      </c>
      <c r="B7" s="9" t="s">
        <v>381</v>
      </c>
      <c r="C7" s="10">
        <v>45548</v>
      </c>
      <c r="D7" s="15">
        <v>1.0434</v>
      </c>
      <c r="E7" s="15">
        <v>1.0434</v>
      </c>
      <c r="F7" s="15">
        <v>1.0434</v>
      </c>
      <c r="G7" s="11">
        <v>-0.0025</v>
      </c>
      <c r="H7" s="9">
        <f>MAX($F$2:F7)</f>
        <v>1.048</v>
      </c>
      <c r="I7" s="11">
        <f t="shared" si="0"/>
        <v>0.00438931297709921</v>
      </c>
      <c r="J7" s="9"/>
      <c r="K7" s="11"/>
      <c r="L7" s="9"/>
      <c r="M7" s="11"/>
      <c r="N7" s="9" t="s">
        <v>1010</v>
      </c>
    </row>
    <row r="8" ht="25" customHeight="1" spans="1:14">
      <c r="A8" s="9" t="s">
        <v>383</v>
      </c>
      <c r="B8" s="9" t="s">
        <v>381</v>
      </c>
      <c r="C8" s="10">
        <v>45555</v>
      </c>
      <c r="D8" s="15">
        <v>1.0455</v>
      </c>
      <c r="E8" s="15">
        <v>1.0455</v>
      </c>
      <c r="F8" s="15">
        <v>1.0455</v>
      </c>
      <c r="G8" s="11">
        <v>0.002</v>
      </c>
      <c r="H8" s="9">
        <f>MAX($F$2:F8)</f>
        <v>1.048</v>
      </c>
      <c r="I8" s="11">
        <f t="shared" si="0"/>
        <v>0.00238549618320605</v>
      </c>
      <c r="J8" s="9"/>
      <c r="K8" s="11"/>
      <c r="L8" s="9"/>
      <c r="M8" s="11"/>
      <c r="N8" s="9" t="s">
        <v>1010</v>
      </c>
    </row>
    <row r="9" ht="25" customHeight="1" spans="1:14">
      <c r="A9" s="9" t="s">
        <v>383</v>
      </c>
      <c r="B9" s="9" t="s">
        <v>381</v>
      </c>
      <c r="C9" s="10">
        <v>45562</v>
      </c>
      <c r="D9" s="15">
        <v>1.0659</v>
      </c>
      <c r="E9" s="15">
        <v>1.0659</v>
      </c>
      <c r="F9" s="15">
        <v>1.0659</v>
      </c>
      <c r="G9" s="11">
        <v>0.0195</v>
      </c>
      <c r="H9" s="9">
        <f>MAX($F$2:F9)</f>
        <v>1.0659</v>
      </c>
      <c r="I9" s="11">
        <f t="shared" si="0"/>
        <v>0</v>
      </c>
      <c r="J9" s="9"/>
      <c r="K9" s="11"/>
      <c r="L9" s="9"/>
      <c r="M9" s="11"/>
      <c r="N9" s="9" t="s">
        <v>1010</v>
      </c>
    </row>
    <row r="10" ht="25" customHeight="1" spans="1:14">
      <c r="A10" s="9" t="s">
        <v>383</v>
      </c>
      <c r="B10" s="9" t="s">
        <v>381</v>
      </c>
      <c r="C10" s="10">
        <v>45565</v>
      </c>
      <c r="D10" s="15">
        <v>1.0695</v>
      </c>
      <c r="E10" s="15">
        <v>1.0695</v>
      </c>
      <c r="F10" s="15">
        <v>1.0695</v>
      </c>
      <c r="G10" s="11">
        <v>0.0034</v>
      </c>
      <c r="H10" s="9">
        <f>MAX($F$2:F10)</f>
        <v>1.0695</v>
      </c>
      <c r="I10" s="11">
        <f t="shared" si="0"/>
        <v>0</v>
      </c>
      <c r="J10" s="9"/>
      <c r="K10" s="11"/>
      <c r="L10" s="9"/>
      <c r="M10" s="11"/>
      <c r="N10" s="9" t="s">
        <v>1010</v>
      </c>
    </row>
    <row r="11" ht="25" customHeight="1" spans="1:14">
      <c r="A11" s="9" t="s">
        <v>383</v>
      </c>
      <c r="B11" s="9" t="s">
        <v>381</v>
      </c>
      <c r="C11" s="10">
        <v>45576</v>
      </c>
      <c r="D11" s="15">
        <v>1.1051</v>
      </c>
      <c r="E11" s="15">
        <v>1.1051</v>
      </c>
      <c r="F11" s="15">
        <v>1.1051</v>
      </c>
      <c r="G11" s="11">
        <v>0.0333</v>
      </c>
      <c r="H11" s="9">
        <f>MAX($F$2:F11)</f>
        <v>1.1051</v>
      </c>
      <c r="I11" s="11">
        <f t="shared" si="0"/>
        <v>0</v>
      </c>
      <c r="J11" s="9"/>
      <c r="K11" s="11"/>
      <c r="L11" s="9"/>
      <c r="M11" s="11"/>
      <c r="N11" s="9" t="s">
        <v>1010</v>
      </c>
    </row>
    <row r="12" ht="25" customHeight="1" spans="1:14">
      <c r="A12" s="9" t="s">
        <v>383</v>
      </c>
      <c r="B12" s="9" t="s">
        <v>381</v>
      </c>
      <c r="C12" s="10">
        <v>45583</v>
      </c>
      <c r="D12" s="15">
        <v>1.1222</v>
      </c>
      <c r="E12" s="15">
        <v>1.1222</v>
      </c>
      <c r="F12" s="15">
        <v>1.1222</v>
      </c>
      <c r="G12" s="11">
        <v>0.0155</v>
      </c>
      <c r="H12" s="9">
        <f>MAX($F$2:F12)</f>
        <v>1.1222</v>
      </c>
      <c r="I12" s="11">
        <f t="shared" si="0"/>
        <v>0</v>
      </c>
      <c r="J12" s="9"/>
      <c r="K12" s="11"/>
      <c r="L12" s="9"/>
      <c r="M12" s="11"/>
      <c r="N12" s="9" t="s">
        <v>1010</v>
      </c>
    </row>
    <row r="13" ht="25" customHeight="1" spans="1:14">
      <c r="A13" s="9" t="s">
        <v>383</v>
      </c>
      <c r="B13" s="9" t="s">
        <v>381</v>
      </c>
      <c r="C13" s="10">
        <v>45590</v>
      </c>
      <c r="D13" s="15">
        <v>1.1201</v>
      </c>
      <c r="E13" s="15">
        <v>1.1201</v>
      </c>
      <c r="F13" s="15">
        <v>1.1201</v>
      </c>
      <c r="G13" s="11">
        <v>-0.0019</v>
      </c>
      <c r="H13" s="9">
        <f>MAX($F$2:F13)</f>
        <v>1.1222</v>
      </c>
      <c r="I13" s="11">
        <f t="shared" si="0"/>
        <v>0.00187132418463731</v>
      </c>
      <c r="J13" s="9"/>
      <c r="K13" s="11"/>
      <c r="L13" s="9"/>
      <c r="M13" s="11"/>
      <c r="N13" s="9" t="s">
        <v>1010</v>
      </c>
    </row>
    <row r="14" ht="25" customHeight="1" spans="1:14">
      <c r="A14" s="9" t="s">
        <v>383</v>
      </c>
      <c r="B14" s="9" t="s">
        <v>381</v>
      </c>
      <c r="C14" s="10">
        <v>45596</v>
      </c>
      <c r="D14" s="15">
        <v>1.1263</v>
      </c>
      <c r="E14" s="15">
        <v>1.1263</v>
      </c>
      <c r="F14" s="15">
        <v>1.1263</v>
      </c>
      <c r="G14" s="11">
        <v>0.0055</v>
      </c>
      <c r="H14" s="9">
        <f>MAX($F$2:F14)</f>
        <v>1.1263</v>
      </c>
      <c r="I14" s="11">
        <f t="shared" si="0"/>
        <v>0</v>
      </c>
      <c r="J14" s="9"/>
      <c r="K14" s="11"/>
      <c r="L14" s="9"/>
      <c r="M14" s="11"/>
      <c r="N14" s="9" t="s">
        <v>1010</v>
      </c>
    </row>
    <row r="15" ht="25" customHeight="1" spans="1:14">
      <c r="A15" s="9" t="s">
        <v>383</v>
      </c>
      <c r="B15" s="9" t="s">
        <v>381</v>
      </c>
      <c r="C15" s="10">
        <v>45597</v>
      </c>
      <c r="D15" s="15">
        <v>1.1247</v>
      </c>
      <c r="E15" s="15">
        <v>1.1247</v>
      </c>
      <c r="F15" s="15">
        <v>1.1247</v>
      </c>
      <c r="G15" s="11">
        <v>-0.0014</v>
      </c>
      <c r="H15" s="9">
        <f>MAX($F$2:F15)</f>
        <v>1.1263</v>
      </c>
      <c r="I15" s="11">
        <f t="shared" si="0"/>
        <v>0.00142058066234574</v>
      </c>
      <c r="J15" s="9"/>
      <c r="K15" s="11"/>
      <c r="L15" s="9"/>
      <c r="M15" s="11"/>
      <c r="N15" s="9" t="s">
        <v>1010</v>
      </c>
    </row>
    <row r="16" ht="25" customHeight="1" spans="1:14">
      <c r="A16" s="9" t="s">
        <v>383</v>
      </c>
      <c r="B16" s="9" t="s">
        <v>381</v>
      </c>
      <c r="C16" s="10">
        <v>45604</v>
      </c>
      <c r="D16" s="15">
        <v>1.141</v>
      </c>
      <c r="E16" s="15">
        <v>1.141</v>
      </c>
      <c r="F16" s="15">
        <v>1.141</v>
      </c>
      <c r="G16" s="11">
        <v>0.0145</v>
      </c>
      <c r="H16" s="9">
        <f>MAX($F$2:F16)</f>
        <v>1.141</v>
      </c>
      <c r="I16" s="11">
        <f t="shared" si="0"/>
        <v>0</v>
      </c>
      <c r="J16" s="9"/>
      <c r="K16" s="11"/>
      <c r="L16" s="9"/>
      <c r="M16" s="11"/>
      <c r="N16" s="9" t="s">
        <v>1010</v>
      </c>
    </row>
    <row r="17" ht="25" customHeight="1" spans="1:14">
      <c r="A17" s="9" t="s">
        <v>383</v>
      </c>
      <c r="B17" s="9" t="s">
        <v>381</v>
      </c>
      <c r="C17" s="10">
        <v>45611</v>
      </c>
      <c r="D17" s="15">
        <v>1.1419</v>
      </c>
      <c r="E17" s="15">
        <v>1.1419</v>
      </c>
      <c r="F17" s="15">
        <v>1.1419</v>
      </c>
      <c r="G17" s="11">
        <v>0.0008</v>
      </c>
      <c r="H17" s="9">
        <f>MAX($F$2:F17)</f>
        <v>1.1419</v>
      </c>
      <c r="I17" s="11">
        <f t="shared" si="0"/>
        <v>0</v>
      </c>
      <c r="J17" s="9"/>
      <c r="K17" s="11"/>
      <c r="L17" s="9"/>
      <c r="M17" s="11"/>
      <c r="N17" s="9" t="s">
        <v>1010</v>
      </c>
    </row>
    <row r="18" ht="25" customHeight="1" spans="1:14">
      <c r="A18" s="9" t="s">
        <v>383</v>
      </c>
      <c r="B18" s="9" t="s">
        <v>381</v>
      </c>
      <c r="C18" s="10">
        <v>45618</v>
      </c>
      <c r="D18" s="15">
        <v>1.1475</v>
      </c>
      <c r="E18" s="15">
        <v>1.1475</v>
      </c>
      <c r="F18" s="15">
        <v>1.1475</v>
      </c>
      <c r="G18" s="11">
        <v>0.0049</v>
      </c>
      <c r="H18" s="9">
        <f>MAX($F$2:F18)</f>
        <v>1.1475</v>
      </c>
      <c r="I18" s="11">
        <f t="shared" si="0"/>
        <v>0</v>
      </c>
      <c r="J18" s="9"/>
      <c r="K18" s="11"/>
      <c r="L18" s="9"/>
      <c r="M18" s="11"/>
      <c r="N18" s="9" t="s">
        <v>1010</v>
      </c>
    </row>
    <row r="19" ht="25" customHeight="1" spans="1:14">
      <c r="A19" s="9" t="s">
        <v>383</v>
      </c>
      <c r="B19" s="9" t="s">
        <v>381</v>
      </c>
      <c r="C19" s="10">
        <v>45625</v>
      </c>
      <c r="D19" s="15">
        <v>1.1466</v>
      </c>
      <c r="E19" s="15">
        <v>1.1466</v>
      </c>
      <c r="F19" s="15">
        <v>1.1466</v>
      </c>
      <c r="G19" s="11">
        <v>-0.0008</v>
      </c>
      <c r="H19" s="9">
        <f>MAX($F$2:F19)</f>
        <v>1.1475</v>
      </c>
      <c r="I19" s="11">
        <f t="shared" si="0"/>
        <v>0.000784313725490149</v>
      </c>
      <c r="J19" s="9"/>
      <c r="K19" s="11"/>
      <c r="L19" s="9"/>
      <c r="M19" s="11"/>
      <c r="N19" s="9" t="s">
        <v>1010</v>
      </c>
    </row>
    <row r="20" ht="25" customHeight="1" spans="1:14">
      <c r="A20" s="9" t="s">
        <v>383</v>
      </c>
      <c r="B20" s="9" t="s">
        <v>381</v>
      </c>
      <c r="C20" s="10">
        <v>45632</v>
      </c>
      <c r="D20" s="15">
        <v>1.1498</v>
      </c>
      <c r="E20" s="15">
        <v>1.1498</v>
      </c>
      <c r="F20" s="15">
        <v>1.1498</v>
      </c>
      <c r="G20" s="11">
        <v>0.0028</v>
      </c>
      <c r="H20" s="9">
        <f>MAX($F$2:F20)</f>
        <v>1.1498</v>
      </c>
      <c r="I20" s="11">
        <f t="shared" si="0"/>
        <v>0</v>
      </c>
      <c r="J20" s="9"/>
      <c r="K20" s="11"/>
      <c r="L20" s="9"/>
      <c r="M20" s="11"/>
      <c r="N20" s="9" t="s">
        <v>1010</v>
      </c>
    </row>
    <row r="21" ht="25" customHeight="1" spans="1:14">
      <c r="A21" s="9" t="s">
        <v>383</v>
      </c>
      <c r="B21" s="9" t="s">
        <v>381</v>
      </c>
      <c r="C21" s="10">
        <v>45639</v>
      </c>
      <c r="D21" s="15">
        <v>1.1478</v>
      </c>
      <c r="E21" s="15">
        <v>1.1478</v>
      </c>
      <c r="F21" s="15">
        <v>1.1478</v>
      </c>
      <c r="G21" s="11">
        <v>-0.0017</v>
      </c>
      <c r="H21" s="9">
        <f>MAX($F$2:F21)</f>
        <v>1.1498</v>
      </c>
      <c r="I21" s="11">
        <f t="shared" si="0"/>
        <v>0.00173943294486001</v>
      </c>
      <c r="J21" s="9"/>
      <c r="K21" s="11"/>
      <c r="L21" s="9"/>
      <c r="M21" s="11"/>
      <c r="N21" s="9" t="s">
        <v>1010</v>
      </c>
    </row>
    <row r="22" ht="25" customHeight="1" spans="1:14">
      <c r="A22" s="9" t="s">
        <v>383</v>
      </c>
      <c r="B22" s="9" t="s">
        <v>381</v>
      </c>
      <c r="C22" s="10">
        <v>45646</v>
      </c>
      <c r="D22" s="15">
        <v>1.1571</v>
      </c>
      <c r="E22" s="15">
        <v>1.1571</v>
      </c>
      <c r="F22" s="15">
        <v>1.1571</v>
      </c>
      <c r="G22" s="11">
        <v>0.0081</v>
      </c>
      <c r="H22" s="9">
        <f>MAX($F$2:F22)</f>
        <v>1.1571</v>
      </c>
      <c r="I22" s="11">
        <f t="shared" si="0"/>
        <v>0</v>
      </c>
      <c r="J22" s="9"/>
      <c r="K22" s="11"/>
      <c r="L22" s="9"/>
      <c r="M22" s="11"/>
      <c r="N22" s="9" t="s">
        <v>1010</v>
      </c>
    </row>
    <row r="23" ht="25" customHeight="1" spans="1:14">
      <c r="A23" s="9" t="s">
        <v>383</v>
      </c>
      <c r="B23" s="9" t="s">
        <v>381</v>
      </c>
      <c r="C23" s="10">
        <v>45653</v>
      </c>
      <c r="D23" s="15">
        <v>1.1593</v>
      </c>
      <c r="E23" s="15">
        <v>1.1593</v>
      </c>
      <c r="F23" s="15">
        <v>1.1593</v>
      </c>
      <c r="G23" s="11">
        <v>0.0019</v>
      </c>
      <c r="H23" s="9">
        <f>MAX($F$2:F23)</f>
        <v>1.1593</v>
      </c>
      <c r="I23" s="11">
        <f t="shared" si="0"/>
        <v>0</v>
      </c>
      <c r="J23" s="9"/>
      <c r="K23" s="11"/>
      <c r="L23" s="9"/>
      <c r="M23" s="11"/>
      <c r="N23" s="9" t="s">
        <v>1010</v>
      </c>
    </row>
    <row r="24" ht="25" customHeight="1" spans="1:14">
      <c r="A24" s="9" t="s">
        <v>383</v>
      </c>
      <c r="B24" s="9" t="s">
        <v>381</v>
      </c>
      <c r="C24" s="10">
        <v>45657</v>
      </c>
      <c r="D24" s="15">
        <v>1.1596</v>
      </c>
      <c r="E24" s="15">
        <v>1.1596</v>
      </c>
      <c r="F24" s="15">
        <v>1.1596</v>
      </c>
      <c r="G24" s="11">
        <v>0.0003</v>
      </c>
      <c r="H24" s="9">
        <f>MAX($F$2:F24)</f>
        <v>1.1596</v>
      </c>
      <c r="I24" s="11">
        <f t="shared" si="0"/>
        <v>0</v>
      </c>
      <c r="J24" s="9"/>
      <c r="K24" s="11"/>
      <c r="L24" s="9"/>
      <c r="M24" s="11"/>
      <c r="N24" s="9" t="s">
        <v>1010</v>
      </c>
    </row>
    <row r="25" ht="25" customHeight="1" spans="1:14">
      <c r="A25" s="9" t="s">
        <v>383</v>
      </c>
      <c r="B25" s="9" t="s">
        <v>381</v>
      </c>
      <c r="C25" s="10">
        <v>45660</v>
      </c>
      <c r="D25" s="15">
        <v>1.1677</v>
      </c>
      <c r="E25" s="15">
        <v>1.1677</v>
      </c>
      <c r="F25" s="15">
        <v>1.1677</v>
      </c>
      <c r="G25" s="11">
        <v>0.007</v>
      </c>
      <c r="H25" s="9">
        <f>MAX($F$2:F25)</f>
        <v>1.1677</v>
      </c>
      <c r="I25" s="11">
        <f t="shared" si="0"/>
        <v>0</v>
      </c>
      <c r="J25" s="9"/>
      <c r="K25" s="11"/>
      <c r="L25" s="9"/>
      <c r="M25" s="11"/>
      <c r="N25" s="9" t="s">
        <v>1010</v>
      </c>
    </row>
    <row r="26" ht="25" customHeight="1" spans="1:14">
      <c r="A26" s="9" t="s">
        <v>383</v>
      </c>
      <c r="B26" s="9" t="s">
        <v>381</v>
      </c>
      <c r="C26" s="10">
        <v>45667</v>
      </c>
      <c r="D26" s="15">
        <v>1.1663</v>
      </c>
      <c r="E26" s="15">
        <v>1.1663</v>
      </c>
      <c r="F26" s="15">
        <v>1.1663</v>
      </c>
      <c r="G26" s="11">
        <v>-0.0012</v>
      </c>
      <c r="H26" s="9">
        <f>MAX($F$2:F26)</f>
        <v>1.1677</v>
      </c>
      <c r="I26" s="11">
        <f t="shared" si="0"/>
        <v>0.00119893808341187</v>
      </c>
      <c r="J26" s="9"/>
      <c r="K26" s="11"/>
      <c r="L26" s="9"/>
      <c r="M26" s="11"/>
      <c r="N26" s="9" t="s">
        <v>1010</v>
      </c>
    </row>
    <row r="27" ht="25" customHeight="1" spans="1:14">
      <c r="A27" s="9" t="s">
        <v>383</v>
      </c>
      <c r="B27" s="9" t="s">
        <v>381</v>
      </c>
      <c r="C27" s="10">
        <v>45674</v>
      </c>
      <c r="D27" s="15">
        <v>1.1723</v>
      </c>
      <c r="E27" s="15">
        <v>1.1723</v>
      </c>
      <c r="F27" s="15">
        <v>1.1723</v>
      </c>
      <c r="G27" s="11">
        <v>0.0051</v>
      </c>
      <c r="H27" s="9">
        <f>MAX($F$2:F27)</f>
        <v>1.1723</v>
      </c>
      <c r="I27" s="11">
        <f t="shared" si="0"/>
        <v>0</v>
      </c>
      <c r="J27" s="9"/>
      <c r="K27" s="11"/>
      <c r="L27" s="9"/>
      <c r="M27" s="11"/>
      <c r="N27" s="9" t="s">
        <v>1010</v>
      </c>
    </row>
    <row r="28" ht="25" customHeight="1" spans="1:14">
      <c r="A28" s="9" t="s">
        <v>383</v>
      </c>
      <c r="B28" s="9" t="s">
        <v>381</v>
      </c>
      <c r="C28" s="10">
        <v>45681</v>
      </c>
      <c r="D28" s="15">
        <v>1.1743</v>
      </c>
      <c r="E28" s="15">
        <v>1.1743</v>
      </c>
      <c r="F28" s="15">
        <v>1.1743</v>
      </c>
      <c r="G28" s="11">
        <v>0.0017</v>
      </c>
      <c r="H28" s="9">
        <f>MAX($F$2:F28)</f>
        <v>1.1743</v>
      </c>
      <c r="I28" s="11">
        <f t="shared" si="0"/>
        <v>0</v>
      </c>
      <c r="J28" s="9"/>
      <c r="K28" s="11"/>
      <c r="L28" s="9"/>
      <c r="M28" s="11"/>
      <c r="N28" s="9" t="s">
        <v>1010</v>
      </c>
    </row>
    <row r="29" ht="25" customHeight="1" spans="1:14">
      <c r="A29" s="9" t="s">
        <v>383</v>
      </c>
      <c r="B29" s="9" t="s">
        <v>381</v>
      </c>
      <c r="C29" s="10">
        <v>45684</v>
      </c>
      <c r="D29" s="15">
        <v>1.1763</v>
      </c>
      <c r="E29" s="15">
        <v>1.1763</v>
      </c>
      <c r="F29" s="15">
        <v>1.1763</v>
      </c>
      <c r="G29" s="11">
        <v>0.0017</v>
      </c>
      <c r="H29" s="9">
        <f>MAX($F$2:F29)</f>
        <v>1.1763</v>
      </c>
      <c r="I29" s="11">
        <f t="shared" si="0"/>
        <v>0</v>
      </c>
      <c r="J29" s="9"/>
      <c r="K29" s="11"/>
      <c r="L29" s="9"/>
      <c r="M29" s="11"/>
      <c r="N29" s="9" t="s">
        <v>1010</v>
      </c>
    </row>
    <row r="30" ht="25" customHeight="1" spans="1:14">
      <c r="A30" s="9" t="s">
        <v>383</v>
      </c>
      <c r="B30" s="9" t="s">
        <v>381</v>
      </c>
      <c r="C30" s="10">
        <v>45695</v>
      </c>
      <c r="D30" s="15">
        <v>1.1767</v>
      </c>
      <c r="E30" s="15">
        <v>1.1767</v>
      </c>
      <c r="F30" s="15">
        <v>1.1767</v>
      </c>
      <c r="G30" s="11">
        <v>0.0003</v>
      </c>
      <c r="H30" s="9">
        <f>MAX($F$2:F30)</f>
        <v>1.1767</v>
      </c>
      <c r="I30" s="11">
        <f t="shared" si="0"/>
        <v>0</v>
      </c>
      <c r="J30" s="9"/>
      <c r="K30" s="11"/>
      <c r="L30" s="9"/>
      <c r="M30" s="11"/>
      <c r="N30" s="9" t="s">
        <v>1010</v>
      </c>
    </row>
    <row r="31" ht="25" customHeight="1" spans="1:14">
      <c r="A31" s="9" t="s">
        <v>383</v>
      </c>
      <c r="B31" s="9" t="s">
        <v>381</v>
      </c>
      <c r="C31" s="10">
        <v>45702</v>
      </c>
      <c r="D31" s="15">
        <v>1.1785</v>
      </c>
      <c r="E31" s="15">
        <v>1.1785</v>
      </c>
      <c r="F31" s="15">
        <v>1.1785</v>
      </c>
      <c r="G31" s="11">
        <v>0.0015</v>
      </c>
      <c r="H31" s="9">
        <f>MAX($F$2:F31)</f>
        <v>1.1785</v>
      </c>
      <c r="I31" s="11">
        <f t="shared" si="0"/>
        <v>0</v>
      </c>
      <c r="J31" s="9"/>
      <c r="K31" s="11"/>
      <c r="L31" s="9"/>
      <c r="M31" s="11"/>
      <c r="N31" s="9" t="s">
        <v>1010</v>
      </c>
    </row>
    <row r="32" ht="25" customHeight="1" spans="1:14">
      <c r="A32" s="9" t="s">
        <v>383</v>
      </c>
      <c r="B32" s="9" t="s">
        <v>381</v>
      </c>
      <c r="C32" s="10">
        <v>45709</v>
      </c>
      <c r="D32" s="15">
        <v>1.1779</v>
      </c>
      <c r="E32" s="15">
        <v>1.1779</v>
      </c>
      <c r="F32" s="15">
        <v>1.1779</v>
      </c>
      <c r="G32" s="11">
        <v>-0.0005</v>
      </c>
      <c r="H32" s="9">
        <f>MAX($F$2:F32)</f>
        <v>1.1785</v>
      </c>
      <c r="I32" s="11">
        <f t="shared" si="0"/>
        <v>0.000509121764955545</v>
      </c>
      <c r="J32" s="9"/>
      <c r="K32" s="11"/>
      <c r="L32" s="9"/>
      <c r="M32" s="11"/>
      <c r="N32" s="9" t="s">
        <v>1010</v>
      </c>
    </row>
    <row r="33" ht="25" customHeight="1" spans="1:14">
      <c r="A33" s="9" t="s">
        <v>383</v>
      </c>
      <c r="B33" s="9" t="s">
        <v>381</v>
      </c>
      <c r="C33" s="10">
        <v>45715</v>
      </c>
      <c r="D33" s="15">
        <v>1</v>
      </c>
      <c r="E33" s="15">
        <v>1.175</v>
      </c>
      <c r="F33" s="15">
        <v>1.175</v>
      </c>
      <c r="G33" s="11">
        <v>-0.0025</v>
      </c>
      <c r="H33" s="9">
        <f>MAX($F$2:F33)</f>
        <v>1.1785</v>
      </c>
      <c r="I33" s="11">
        <f t="shared" si="0"/>
        <v>0.00296987696224016</v>
      </c>
      <c r="J33" s="9"/>
      <c r="K33" s="11"/>
      <c r="L33" s="9"/>
      <c r="M33" s="11"/>
      <c r="N33" s="9" t="s">
        <v>1010</v>
      </c>
    </row>
    <row r="34" ht="25" customHeight="1" spans="1:14">
      <c r="A34" s="9" t="s">
        <v>383</v>
      </c>
      <c r="B34" s="9" t="s">
        <v>381</v>
      </c>
      <c r="C34" s="10">
        <v>45716</v>
      </c>
      <c r="D34" s="15">
        <v>1.0022</v>
      </c>
      <c r="E34" s="15">
        <v>1.1772</v>
      </c>
      <c r="F34" s="15">
        <v>1.1776</v>
      </c>
      <c r="G34" s="11">
        <v>0.0022</v>
      </c>
      <c r="H34" s="9">
        <f>MAX($F$2:F34)</f>
        <v>1.1785</v>
      </c>
      <c r="I34" s="11">
        <f t="shared" si="0"/>
        <v>0.000763682647433317</v>
      </c>
      <c r="J34" s="9"/>
      <c r="K34" s="11"/>
      <c r="L34" s="9"/>
      <c r="M34" s="11"/>
      <c r="N34" s="9" t="s">
        <v>1010</v>
      </c>
    </row>
    <row r="35" ht="25" customHeight="1" spans="1:14">
      <c r="A35" s="9" t="s">
        <v>383</v>
      </c>
      <c r="B35" s="9" t="s">
        <v>381</v>
      </c>
      <c r="C35" s="10">
        <v>45723</v>
      </c>
      <c r="D35" s="15">
        <v>1.0067</v>
      </c>
      <c r="E35" s="15">
        <v>1.1817</v>
      </c>
      <c r="F35" s="15">
        <v>1.1829</v>
      </c>
      <c r="G35" s="11">
        <v>0.0045</v>
      </c>
      <c r="H35" s="9">
        <f>MAX($F$2:F35)</f>
        <v>1.1829</v>
      </c>
      <c r="I35" s="11">
        <f t="shared" si="0"/>
        <v>0</v>
      </c>
      <c r="J35" s="9"/>
      <c r="K35" s="11"/>
      <c r="L35" s="9"/>
      <c r="M35" s="11"/>
      <c r="N35" s="9" t="s">
        <v>1010</v>
      </c>
    </row>
    <row r="36" ht="25" customHeight="1" spans="1:14">
      <c r="A36" s="9" t="s">
        <v>383</v>
      </c>
      <c r="B36" s="9" t="s">
        <v>381</v>
      </c>
      <c r="C36" s="10">
        <v>45730</v>
      </c>
      <c r="D36" s="15">
        <v>1.0065</v>
      </c>
      <c r="E36" s="15">
        <v>1.1815</v>
      </c>
      <c r="F36" s="15">
        <v>1.1826</v>
      </c>
      <c r="G36" s="11">
        <v>-0.0002</v>
      </c>
      <c r="H36" s="9">
        <f>MAX($F$2:F36)</f>
        <v>1.1829</v>
      </c>
      <c r="I36" s="11">
        <f t="shared" si="0"/>
        <v>0.000253613999492752</v>
      </c>
      <c r="J36" s="9"/>
      <c r="K36" s="11"/>
      <c r="L36" s="9"/>
      <c r="M36" s="11"/>
      <c r="N36" s="9" t="s">
        <v>1010</v>
      </c>
    </row>
    <row r="37" ht="25" customHeight="1" spans="1:14">
      <c r="A37" s="9" t="s">
        <v>383</v>
      </c>
      <c r="B37" s="9" t="s">
        <v>381</v>
      </c>
      <c r="C37" s="10">
        <v>45737</v>
      </c>
      <c r="D37" s="15">
        <v>1.007</v>
      </c>
      <c r="E37" s="15">
        <v>1.182</v>
      </c>
      <c r="F37" s="15">
        <v>1.1832</v>
      </c>
      <c r="G37" s="11">
        <v>0.0005</v>
      </c>
      <c r="H37" s="9">
        <f>MAX($F$2:F37)</f>
        <v>1.1832</v>
      </c>
      <c r="I37" s="11">
        <f t="shared" si="0"/>
        <v>0</v>
      </c>
      <c r="J37" s="9"/>
      <c r="K37" s="11"/>
      <c r="L37" s="9"/>
      <c r="M37" s="11"/>
      <c r="N37" s="9" t="s">
        <v>1010</v>
      </c>
    </row>
    <row r="38" ht="25" customHeight="1" spans="1:14">
      <c r="A38" s="9" t="s">
        <v>383</v>
      </c>
      <c r="B38" s="9" t="s">
        <v>381</v>
      </c>
      <c r="C38" s="10">
        <v>45744</v>
      </c>
      <c r="D38" s="15">
        <v>1.0073</v>
      </c>
      <c r="E38" s="15">
        <v>1.1823</v>
      </c>
      <c r="F38" s="15">
        <v>1.1836</v>
      </c>
      <c r="G38" s="11">
        <v>0.0003</v>
      </c>
      <c r="H38" s="9">
        <f>MAX($F$2:F38)</f>
        <v>1.1836</v>
      </c>
      <c r="I38" s="11">
        <f t="shared" si="0"/>
        <v>0</v>
      </c>
      <c r="J38" s="9"/>
      <c r="K38" s="11"/>
      <c r="L38" s="9"/>
      <c r="M38" s="11"/>
      <c r="N38" s="9" t="s">
        <v>1010</v>
      </c>
    </row>
    <row r="39" ht="25" customHeight="1" spans="1:14">
      <c r="A39" s="9" t="s">
        <v>383</v>
      </c>
      <c r="B39" s="9" t="s">
        <v>381</v>
      </c>
      <c r="C39" s="10">
        <v>45747</v>
      </c>
      <c r="D39" s="15">
        <v>1.006</v>
      </c>
      <c r="E39" s="15">
        <v>1.181</v>
      </c>
      <c r="F39" s="15">
        <v>1.1821</v>
      </c>
      <c r="G39" s="11">
        <v>-0.0013</v>
      </c>
      <c r="H39" s="9">
        <f>MAX($F$2:F39)</f>
        <v>1.1836</v>
      </c>
      <c r="I39" s="11">
        <f t="shared" si="0"/>
        <v>0.0012673200405543</v>
      </c>
      <c r="J39" s="9"/>
      <c r="K39" s="11"/>
      <c r="L39" s="9"/>
      <c r="M39" s="11"/>
      <c r="N39" s="9" t="s">
        <v>1010</v>
      </c>
    </row>
    <row r="40" ht="25" customHeight="1" spans="1:14">
      <c r="A40" s="9" t="s">
        <v>383</v>
      </c>
      <c r="B40" s="9" t="s">
        <v>381</v>
      </c>
      <c r="C40" s="10">
        <v>45750</v>
      </c>
      <c r="D40" s="15">
        <v>1.008</v>
      </c>
      <c r="E40" s="15">
        <v>1.183</v>
      </c>
      <c r="F40" s="15">
        <v>1.1844</v>
      </c>
      <c r="G40" s="11">
        <v>0.002</v>
      </c>
      <c r="H40" s="9">
        <f>MAX($F$2:F40)</f>
        <v>1.1844</v>
      </c>
      <c r="I40" s="11">
        <f t="shared" si="0"/>
        <v>0</v>
      </c>
      <c r="J40" s="9"/>
      <c r="K40" s="11"/>
      <c r="L40" s="9"/>
      <c r="M40" s="11"/>
      <c r="N40" s="9" t="s">
        <v>1010</v>
      </c>
    </row>
    <row r="41" ht="25" customHeight="1" spans="1:14">
      <c r="A41" s="9" t="s">
        <v>383</v>
      </c>
      <c r="B41" s="9" t="s">
        <v>381</v>
      </c>
      <c r="C41" s="10">
        <v>45758</v>
      </c>
      <c r="D41" s="15">
        <v>1.0263</v>
      </c>
      <c r="E41" s="15">
        <v>1.2013</v>
      </c>
      <c r="F41" s="15">
        <v>1.2059</v>
      </c>
      <c r="G41" s="11">
        <v>0.0182</v>
      </c>
      <c r="H41" s="9">
        <f>MAX($F$2:F41)</f>
        <v>1.2059</v>
      </c>
      <c r="I41" s="11">
        <f t="shared" si="0"/>
        <v>0</v>
      </c>
      <c r="J41" s="9"/>
      <c r="K41" s="11"/>
      <c r="L41" s="9"/>
      <c r="M41" s="11"/>
      <c r="N41" s="9" t="s">
        <v>1010</v>
      </c>
    </row>
    <row r="42" ht="25" customHeight="1" spans="1:14">
      <c r="A42" s="9" t="s">
        <v>383</v>
      </c>
      <c r="B42" s="9" t="s">
        <v>381</v>
      </c>
      <c r="C42" s="10">
        <v>45765</v>
      </c>
      <c r="D42" s="15">
        <v>1.0291</v>
      </c>
      <c r="E42" s="15">
        <v>1.2041</v>
      </c>
      <c r="F42" s="15">
        <v>1.2092</v>
      </c>
      <c r="G42" s="11">
        <v>0.0027</v>
      </c>
      <c r="H42" s="9">
        <f>MAX($F$2:F42)</f>
        <v>1.2092</v>
      </c>
      <c r="I42" s="11">
        <f t="shared" si="0"/>
        <v>0</v>
      </c>
      <c r="J42" s="9"/>
      <c r="K42" s="11"/>
      <c r="L42" s="9"/>
      <c r="M42" s="11"/>
      <c r="N42" s="9" t="s">
        <v>1010</v>
      </c>
    </row>
    <row r="43" ht="25" customHeight="1" spans="1:14">
      <c r="A43" s="9" t="s">
        <v>383</v>
      </c>
      <c r="B43" s="9" t="s">
        <v>381</v>
      </c>
      <c r="C43" s="10">
        <v>45772</v>
      </c>
      <c r="D43" s="15">
        <v>1.0345</v>
      </c>
      <c r="E43" s="15">
        <v>1.2095</v>
      </c>
      <c r="F43" s="15">
        <v>1.2155</v>
      </c>
      <c r="G43" s="11">
        <v>0.0052</v>
      </c>
      <c r="H43" s="9">
        <f>MAX($F$2:F43)</f>
        <v>1.2155</v>
      </c>
      <c r="I43" s="11">
        <f t="shared" si="0"/>
        <v>0</v>
      </c>
      <c r="J43" s="9"/>
      <c r="K43" s="11"/>
      <c r="L43" s="9"/>
      <c r="M43" s="11"/>
      <c r="N43" s="9" t="s">
        <v>1010</v>
      </c>
    </row>
    <row r="44" ht="25" customHeight="1" spans="1:14">
      <c r="A44" s="9" t="s">
        <v>383</v>
      </c>
      <c r="B44" s="9" t="s">
        <v>381</v>
      </c>
      <c r="C44" s="10">
        <v>45777</v>
      </c>
      <c r="D44" s="15">
        <v>1.0352</v>
      </c>
      <c r="E44" s="15">
        <v>1.2102</v>
      </c>
      <c r="F44" s="15">
        <v>1.2164</v>
      </c>
      <c r="G44" s="11">
        <v>0.0007</v>
      </c>
      <c r="H44" s="9">
        <f>MAX($F$2:F44)</f>
        <v>1.2164</v>
      </c>
      <c r="I44" s="11">
        <f t="shared" si="0"/>
        <v>0</v>
      </c>
      <c r="J44" s="9"/>
      <c r="K44" s="11"/>
      <c r="L44" s="9"/>
      <c r="M44" s="11"/>
      <c r="N44" s="9" t="s">
        <v>1010</v>
      </c>
    </row>
    <row r="45" ht="25" customHeight="1" spans="1:14">
      <c r="A45" s="9" t="s">
        <v>383</v>
      </c>
      <c r="B45" s="9" t="s">
        <v>381</v>
      </c>
      <c r="C45" s="10">
        <v>45786</v>
      </c>
      <c r="D45" s="15">
        <v>1.0373</v>
      </c>
      <c r="E45" s="15">
        <v>1.2123</v>
      </c>
      <c r="F45" s="15">
        <v>1.2188</v>
      </c>
      <c r="G45" s="11">
        <v>0.002</v>
      </c>
      <c r="H45" s="9">
        <f>MAX($F$2:F45)</f>
        <v>1.2188</v>
      </c>
      <c r="I45" s="11">
        <f t="shared" si="0"/>
        <v>0</v>
      </c>
      <c r="J45" s="9"/>
      <c r="K45" s="11"/>
      <c r="L45" s="9"/>
      <c r="M45" s="11"/>
      <c r="N45" s="9" t="s">
        <v>1010</v>
      </c>
    </row>
    <row r="46" ht="25" customHeight="1" spans="1:14">
      <c r="A46" s="9" t="s">
        <v>383</v>
      </c>
      <c r="B46" s="9" t="s">
        <v>381</v>
      </c>
      <c r="C46" s="10">
        <v>45793</v>
      </c>
      <c r="D46" s="15">
        <v>1.0409</v>
      </c>
      <c r="E46" s="15">
        <v>1.2159</v>
      </c>
      <c r="F46" s="15">
        <v>1.2231</v>
      </c>
      <c r="G46" s="11">
        <v>0.0035</v>
      </c>
      <c r="H46" s="9">
        <f>MAX($F$2:F46)</f>
        <v>1.2231</v>
      </c>
      <c r="I46" s="11">
        <f t="shared" si="0"/>
        <v>0</v>
      </c>
      <c r="J46" s="9"/>
      <c r="K46" s="11"/>
      <c r="L46" s="9"/>
      <c r="M46" s="11"/>
      <c r="N46" s="9" t="s">
        <v>1010</v>
      </c>
    </row>
    <row r="47" ht="25" customHeight="1" spans="1:14">
      <c r="A47" s="9" t="s">
        <v>383</v>
      </c>
      <c r="B47" s="9" t="s">
        <v>381</v>
      </c>
      <c r="C47" s="10">
        <v>45800</v>
      </c>
      <c r="D47" s="15">
        <v>1.0418</v>
      </c>
      <c r="E47" s="15">
        <v>1.2168</v>
      </c>
      <c r="F47" s="15">
        <v>1.2241</v>
      </c>
      <c r="G47" s="11">
        <v>0.0009</v>
      </c>
      <c r="H47" s="9">
        <f>MAX($F$2:F47)</f>
        <v>1.2241</v>
      </c>
      <c r="I47" s="11">
        <f t="shared" si="0"/>
        <v>0</v>
      </c>
      <c r="J47" s="9"/>
      <c r="K47" s="11"/>
      <c r="L47" s="9"/>
      <c r="M47" s="11"/>
      <c r="N47" s="9" t="s">
        <v>1010</v>
      </c>
    </row>
    <row r="48" ht="25" customHeight="1" spans="1:14">
      <c r="A48" s="9" t="s">
        <v>383</v>
      </c>
      <c r="B48" s="9" t="s">
        <v>381</v>
      </c>
      <c r="C48" s="10">
        <v>45807</v>
      </c>
      <c r="D48" s="15">
        <v>1.0418</v>
      </c>
      <c r="E48" s="15">
        <v>1.2168</v>
      </c>
      <c r="F48" s="15">
        <v>1.2241</v>
      </c>
      <c r="G48" s="11">
        <v>0</v>
      </c>
      <c r="H48" s="9">
        <f>MAX($F$2:F48)</f>
        <v>1.2241</v>
      </c>
      <c r="I48" s="11">
        <f t="shared" si="0"/>
        <v>0</v>
      </c>
      <c r="J48" s="9"/>
      <c r="K48" s="11"/>
      <c r="L48" s="9"/>
      <c r="M48" s="11"/>
      <c r="N48" s="9" t="s">
        <v>1010</v>
      </c>
    </row>
    <row r="49" ht="25" customHeight="1" spans="1:14">
      <c r="A49" s="9" t="s">
        <v>383</v>
      </c>
      <c r="B49" s="9" t="s">
        <v>381</v>
      </c>
      <c r="C49" s="10">
        <v>45814</v>
      </c>
      <c r="D49" s="15">
        <v>1.0418</v>
      </c>
      <c r="E49" s="15">
        <v>1.2168</v>
      </c>
      <c r="F49" s="15">
        <v>1.2241</v>
      </c>
      <c r="G49" s="11">
        <v>0</v>
      </c>
      <c r="H49" s="9">
        <f>MAX($F$2:F49)</f>
        <v>1.2241</v>
      </c>
      <c r="I49" s="11">
        <f t="shared" si="0"/>
        <v>0</v>
      </c>
      <c r="J49" s="9"/>
      <c r="K49" s="11"/>
      <c r="L49" s="9"/>
      <c r="M49" s="11"/>
      <c r="N49" s="9" t="s">
        <v>1010</v>
      </c>
    </row>
    <row r="50" ht="25" customHeight="1" spans="1:14">
      <c r="A50" s="9" t="s">
        <v>383</v>
      </c>
      <c r="B50" s="9" t="s">
        <v>381</v>
      </c>
      <c r="C50" s="10">
        <v>45821</v>
      </c>
      <c r="D50" s="15">
        <v>1.0418</v>
      </c>
      <c r="E50" s="15">
        <v>1.2168</v>
      </c>
      <c r="F50" s="15">
        <v>1.2241</v>
      </c>
      <c r="G50" s="11">
        <v>0</v>
      </c>
      <c r="H50" s="9">
        <f>MAX($F$2:F50)</f>
        <v>1.2241</v>
      </c>
      <c r="I50" s="11">
        <f t="shared" si="0"/>
        <v>0</v>
      </c>
      <c r="J50" s="9"/>
      <c r="K50" s="11"/>
      <c r="L50" s="9"/>
      <c r="M50" s="11"/>
      <c r="N50" s="9" t="s">
        <v>1010</v>
      </c>
    </row>
    <row r="51" ht="25" customHeight="1" spans="1:14">
      <c r="A51" s="9" t="s">
        <v>383</v>
      </c>
      <c r="B51" s="9" t="s">
        <v>381</v>
      </c>
      <c r="C51" s="10">
        <v>45828</v>
      </c>
      <c r="D51" s="15">
        <v>1.0421</v>
      </c>
      <c r="E51" s="15">
        <v>1.2171</v>
      </c>
      <c r="F51" s="15">
        <v>1.2245</v>
      </c>
      <c r="G51" s="11">
        <v>0.0003</v>
      </c>
      <c r="H51" s="9">
        <f>MAX($F$2:F51)</f>
        <v>1.2245</v>
      </c>
      <c r="I51" s="11">
        <f t="shared" si="0"/>
        <v>0</v>
      </c>
      <c r="J51" s="9"/>
      <c r="K51" s="11"/>
      <c r="L51" s="9"/>
      <c r="M51" s="11"/>
      <c r="N51" s="9" t="s">
        <v>1010</v>
      </c>
    </row>
    <row r="52" ht="25" customHeight="1" spans="1:14">
      <c r="A52" s="9" t="s">
        <v>383</v>
      </c>
      <c r="B52" s="9" t="s">
        <v>381</v>
      </c>
      <c r="C52" s="10">
        <v>45835</v>
      </c>
      <c r="D52" s="15">
        <v>1.0398</v>
      </c>
      <c r="E52" s="15">
        <v>1.2148</v>
      </c>
      <c r="F52" s="15">
        <v>1.2218</v>
      </c>
      <c r="G52" s="11">
        <v>-0.0022</v>
      </c>
      <c r="H52" s="9">
        <f>MAX($F$2:F52)</f>
        <v>1.2245</v>
      </c>
      <c r="I52" s="11">
        <f t="shared" si="0"/>
        <v>0.00220498162515304</v>
      </c>
      <c r="J52" s="9"/>
      <c r="K52" s="11"/>
      <c r="L52" s="9"/>
      <c r="M52" s="11"/>
      <c r="N52" s="9" t="s">
        <v>1010</v>
      </c>
    </row>
    <row r="53" ht="25" customHeight="1" spans="1:14">
      <c r="A53" s="9" t="s">
        <v>383</v>
      </c>
      <c r="B53" s="9" t="s">
        <v>381</v>
      </c>
      <c r="C53" s="10">
        <v>45838</v>
      </c>
      <c r="D53" s="15">
        <v>1.0384</v>
      </c>
      <c r="E53" s="15">
        <v>1.2134</v>
      </c>
      <c r="F53" s="15">
        <v>1.2201</v>
      </c>
      <c r="G53" s="11">
        <v>-0.0013</v>
      </c>
      <c r="H53" s="9">
        <f>MAX($F$2:F53)</f>
        <v>1.2245</v>
      </c>
      <c r="I53" s="11">
        <f t="shared" si="0"/>
        <v>0.00359330338913844</v>
      </c>
      <c r="J53" s="9"/>
      <c r="K53" s="11"/>
      <c r="L53" s="9"/>
      <c r="M53" s="11"/>
      <c r="N53" s="9" t="s">
        <v>1010</v>
      </c>
    </row>
    <row r="54" ht="25" customHeight="1" spans="1:14">
      <c r="A54" s="9" t="s">
        <v>383</v>
      </c>
      <c r="B54" s="9" t="s">
        <v>381</v>
      </c>
      <c r="C54" s="10">
        <v>45842</v>
      </c>
      <c r="D54" s="15">
        <v>1.0383</v>
      </c>
      <c r="E54" s="15">
        <v>1.2133</v>
      </c>
      <c r="F54" s="15">
        <v>1.22</v>
      </c>
      <c r="G54" s="11">
        <v>-0.0001</v>
      </c>
      <c r="H54" s="9">
        <f>MAX($F$2:F54)</f>
        <v>1.2245</v>
      </c>
      <c r="I54" s="11">
        <f t="shared" si="0"/>
        <v>0.00367496937525513</v>
      </c>
      <c r="J54" s="9"/>
      <c r="K54" s="11"/>
      <c r="L54" s="9"/>
      <c r="M54" s="11"/>
      <c r="N54" s="9" t="s">
        <v>1010</v>
      </c>
    </row>
    <row r="55" ht="25" customHeight="1" spans="1:14">
      <c r="A55" s="9" t="s">
        <v>383</v>
      </c>
      <c r="B55" s="9" t="s">
        <v>381</v>
      </c>
      <c r="C55" s="10">
        <v>45849</v>
      </c>
      <c r="D55" s="15">
        <v>1.04</v>
      </c>
      <c r="E55" s="15">
        <v>1.215</v>
      </c>
      <c r="F55" s="15">
        <v>1.222</v>
      </c>
      <c r="G55" s="11">
        <v>0.0016</v>
      </c>
      <c r="H55" s="9">
        <f>MAX($F$2:F55)</f>
        <v>1.2245</v>
      </c>
      <c r="I55" s="11">
        <f t="shared" si="0"/>
        <v>0.00204164965291953</v>
      </c>
      <c r="J55" s="9"/>
      <c r="K55" s="11"/>
      <c r="L55" s="9"/>
      <c r="M55" s="11"/>
      <c r="N55" s="9" t="s">
        <v>1010</v>
      </c>
    </row>
    <row r="56" ht="25" customHeight="1" spans="1:14">
      <c r="A56" s="9" t="s">
        <v>383</v>
      </c>
      <c r="B56" s="9" t="s">
        <v>381</v>
      </c>
      <c r="C56" s="10">
        <v>45856</v>
      </c>
      <c r="D56" s="15">
        <v>1.0431</v>
      </c>
      <c r="E56" s="15">
        <v>1.2181</v>
      </c>
      <c r="F56" s="15">
        <v>1.2256</v>
      </c>
      <c r="G56" s="11">
        <v>0.003</v>
      </c>
      <c r="H56" s="9">
        <f>MAX($F$2:F56)</f>
        <v>1.2256</v>
      </c>
      <c r="I56" s="11">
        <f t="shared" si="0"/>
        <v>0</v>
      </c>
      <c r="J56" s="9"/>
      <c r="K56" s="11"/>
      <c r="L56" s="9"/>
      <c r="M56" s="11"/>
      <c r="N56" s="9" t="s">
        <v>1010</v>
      </c>
    </row>
    <row r="57" ht="25" customHeight="1" spans="1:14">
      <c r="A57" s="9" t="s">
        <v>383</v>
      </c>
      <c r="B57" s="9" t="s">
        <v>381</v>
      </c>
      <c r="C57" s="10">
        <v>45863</v>
      </c>
      <c r="D57" s="15">
        <v>1.0472</v>
      </c>
      <c r="E57" s="15">
        <v>1.2222</v>
      </c>
      <c r="F57" s="15">
        <v>1.2305</v>
      </c>
      <c r="G57" s="11">
        <v>0.0039</v>
      </c>
      <c r="H57" s="9">
        <f>MAX($F$2:F57)</f>
        <v>1.2305</v>
      </c>
      <c r="I57" s="11">
        <f t="shared" si="0"/>
        <v>0</v>
      </c>
      <c r="J57" s="9"/>
      <c r="K57" s="11"/>
      <c r="L57" s="9"/>
      <c r="M57" s="11"/>
      <c r="N57" s="9" t="s">
        <v>1010</v>
      </c>
    </row>
    <row r="58" ht="25" customHeight="1" spans="1:14">
      <c r="A58" s="9" t="s">
        <v>383</v>
      </c>
      <c r="B58" s="9" t="s">
        <v>381</v>
      </c>
      <c r="C58" s="10">
        <v>45869</v>
      </c>
      <c r="D58" s="15">
        <v>1.0548</v>
      </c>
      <c r="E58" s="15">
        <v>1.2298</v>
      </c>
      <c r="F58" s="15">
        <v>1.2394</v>
      </c>
      <c r="G58" s="11">
        <v>0.0073</v>
      </c>
      <c r="H58" s="9">
        <f>MAX($F$2:F58)</f>
        <v>1.2394</v>
      </c>
      <c r="I58" s="11">
        <f t="shared" si="0"/>
        <v>0</v>
      </c>
      <c r="J58" s="9"/>
      <c r="K58" s="11"/>
      <c r="L58" s="9"/>
      <c r="M58" s="11"/>
      <c r="N58" s="9" t="s">
        <v>1010</v>
      </c>
    </row>
    <row r="59" ht="25" customHeight="1" spans="1:14">
      <c r="A59" s="9" t="s">
        <v>383</v>
      </c>
      <c r="B59" s="9" t="s">
        <v>381</v>
      </c>
      <c r="C59" s="10">
        <v>45870</v>
      </c>
      <c r="D59" s="15">
        <v>1.0528</v>
      </c>
      <c r="E59" s="15">
        <v>1.2278</v>
      </c>
      <c r="F59" s="15">
        <v>1.237</v>
      </c>
      <c r="G59" s="11">
        <v>-0.0019</v>
      </c>
      <c r="H59" s="9">
        <f>MAX($F$2:F59)</f>
        <v>1.2394</v>
      </c>
      <c r="I59" s="11">
        <f t="shared" si="0"/>
        <v>0.00193642084879775</v>
      </c>
      <c r="J59" s="9"/>
      <c r="K59" s="11"/>
      <c r="L59" s="9"/>
      <c r="M59" s="11"/>
      <c r="N59" s="9" t="s">
        <v>1010</v>
      </c>
    </row>
    <row r="60" ht="25" customHeight="1" spans="1:14">
      <c r="A60" s="9" t="s">
        <v>383</v>
      </c>
      <c r="B60" s="9" t="s">
        <v>381</v>
      </c>
      <c r="C60" s="10">
        <v>45877</v>
      </c>
      <c r="D60" s="15">
        <v>1.0571</v>
      </c>
      <c r="E60" s="15">
        <v>1.2321</v>
      </c>
      <c r="F60" s="15">
        <v>1.2421</v>
      </c>
      <c r="G60" s="11">
        <v>0.0041</v>
      </c>
      <c r="H60" s="9">
        <f>MAX($F$2:F60)</f>
        <v>1.2421</v>
      </c>
      <c r="I60" s="11">
        <f t="shared" si="0"/>
        <v>0</v>
      </c>
      <c r="J60" s="9"/>
      <c r="K60" s="11"/>
      <c r="L60" s="9"/>
      <c r="M60" s="11"/>
      <c r="N60" s="9" t="s">
        <v>1010</v>
      </c>
    </row>
    <row r="61" ht="25" customHeight="1" spans="1:14">
      <c r="A61" s="9" t="s">
        <v>383</v>
      </c>
      <c r="B61" s="9" t="s">
        <v>381</v>
      </c>
      <c r="C61" s="10">
        <v>45884</v>
      </c>
      <c r="D61" s="15">
        <v>1.0593</v>
      </c>
      <c r="E61" s="15">
        <v>1.2343</v>
      </c>
      <c r="F61" s="15">
        <v>1.2447</v>
      </c>
      <c r="G61" s="11">
        <v>0.0021</v>
      </c>
      <c r="H61" s="9">
        <f>MAX($F$2:F61)</f>
        <v>1.2447</v>
      </c>
      <c r="I61" s="11">
        <f t="shared" si="0"/>
        <v>0</v>
      </c>
      <c r="J61" s="9"/>
      <c r="K61" s="11"/>
      <c r="L61" s="9"/>
      <c r="M61" s="11"/>
      <c r="N61" s="9" t="s">
        <v>1010</v>
      </c>
    </row>
    <row r="62" ht="25" customHeight="1" spans="1:14">
      <c r="A62" s="9" t="s">
        <v>383</v>
      </c>
      <c r="B62" s="9" t="s">
        <v>381</v>
      </c>
      <c r="C62" s="10">
        <v>45891</v>
      </c>
      <c r="D62" s="15">
        <v>1.0648</v>
      </c>
      <c r="E62" s="15">
        <v>1.2398</v>
      </c>
      <c r="F62" s="15">
        <v>1.2511</v>
      </c>
      <c r="G62" s="11">
        <v>0.0052</v>
      </c>
      <c r="H62" s="9">
        <f>MAX($F$2:F62)</f>
        <v>1.2511</v>
      </c>
      <c r="I62" s="11">
        <f t="shared" si="0"/>
        <v>0</v>
      </c>
      <c r="J62" s="9"/>
      <c r="K62" s="11"/>
      <c r="L62" s="9"/>
      <c r="M62" s="11"/>
      <c r="N62" s="9" t="s">
        <v>1010</v>
      </c>
    </row>
    <row r="63" ht="25" customHeight="1" spans="1:14">
      <c r="A63" s="9" t="s">
        <v>383</v>
      </c>
      <c r="B63" s="9" t="s">
        <v>381</v>
      </c>
      <c r="C63" s="10">
        <v>45898</v>
      </c>
      <c r="D63" s="15">
        <v>1.0683</v>
      </c>
      <c r="E63" s="15">
        <v>1.2433</v>
      </c>
      <c r="F63" s="15">
        <v>1.2553</v>
      </c>
      <c r="G63" s="11">
        <v>0.0033</v>
      </c>
      <c r="H63" s="9">
        <f>MAX($F$2:F63)</f>
        <v>1.2553</v>
      </c>
      <c r="I63" s="11">
        <f t="shared" si="0"/>
        <v>0</v>
      </c>
      <c r="J63" s="9">
        <f>MAX($F$63:F63)</f>
        <v>1.2553</v>
      </c>
      <c r="K63" s="11">
        <f t="shared" ref="K63:K115" si="1">1-F63/J63</f>
        <v>0</v>
      </c>
      <c r="L63" s="9"/>
      <c r="M63" s="11"/>
      <c r="N63" s="9" t="s">
        <v>1010</v>
      </c>
    </row>
    <row r="64" ht="25" customHeight="1" spans="1:14">
      <c r="A64" s="9" t="s">
        <v>383</v>
      </c>
      <c r="B64" s="9" t="s">
        <v>381</v>
      </c>
      <c r="C64" s="10">
        <v>45905</v>
      </c>
      <c r="D64" s="15">
        <v>1.0792</v>
      </c>
      <c r="E64" s="15">
        <v>1.2542</v>
      </c>
      <c r="F64" s="15">
        <v>1.2681</v>
      </c>
      <c r="G64" s="11">
        <v>0.0102</v>
      </c>
      <c r="H64" s="9">
        <f>MAX($F$2:F64)</f>
        <v>1.2681</v>
      </c>
      <c r="I64" s="11">
        <f t="shared" si="0"/>
        <v>0</v>
      </c>
      <c r="J64" s="9">
        <f>MAX($F$63:F64)</f>
        <v>1.2681</v>
      </c>
      <c r="K64" s="11">
        <f t="shared" si="1"/>
        <v>0</v>
      </c>
      <c r="L64" s="9"/>
      <c r="M64" s="11"/>
      <c r="N64" s="9" t="s">
        <v>1010</v>
      </c>
    </row>
    <row r="65" ht="25" customHeight="1" spans="1:14">
      <c r="A65" s="9" t="s">
        <v>383</v>
      </c>
      <c r="B65" s="9" t="s">
        <v>381</v>
      </c>
      <c r="C65" s="10">
        <v>45912</v>
      </c>
      <c r="D65" s="15">
        <v>1.0844</v>
      </c>
      <c r="E65" s="15">
        <v>1.2594</v>
      </c>
      <c r="F65" s="15">
        <v>1.2742</v>
      </c>
      <c r="G65" s="11">
        <v>0.0048</v>
      </c>
      <c r="H65" s="9">
        <f>MAX($F$2:F65)</f>
        <v>1.2742</v>
      </c>
      <c r="I65" s="11">
        <f t="shared" si="0"/>
        <v>0</v>
      </c>
      <c r="J65" s="9">
        <f>MAX($F$63:F65)</f>
        <v>1.2742</v>
      </c>
      <c r="K65" s="11">
        <f t="shared" si="1"/>
        <v>0</v>
      </c>
      <c r="L65" s="9"/>
      <c r="M65" s="11"/>
      <c r="N65" s="9" t="s">
        <v>1010</v>
      </c>
    </row>
    <row r="66" ht="25" customHeight="1" spans="1:14">
      <c r="A66" s="9" t="s">
        <v>383</v>
      </c>
      <c r="B66" s="9" t="s">
        <v>381</v>
      </c>
      <c r="C66" s="10">
        <v>45919</v>
      </c>
      <c r="D66" s="15">
        <v>1.0791</v>
      </c>
      <c r="E66" s="15">
        <v>1.2541</v>
      </c>
      <c r="F66" s="15">
        <v>1.2679</v>
      </c>
      <c r="G66" s="11">
        <v>-0.0049</v>
      </c>
      <c r="H66" s="9">
        <f>MAX($F$2:F66)</f>
        <v>1.2742</v>
      </c>
      <c r="I66" s="11">
        <f t="shared" ref="I66:I129" si="2">1-F66/H66</f>
        <v>0.00494427876314552</v>
      </c>
      <c r="J66" s="9">
        <f>MAX($F$63:F66)</f>
        <v>1.2742</v>
      </c>
      <c r="K66" s="11">
        <f t="shared" si="1"/>
        <v>0.00494427876314552</v>
      </c>
      <c r="L66" s="9"/>
      <c r="M66" s="11"/>
      <c r="N66" s="9" t="s">
        <v>1010</v>
      </c>
    </row>
    <row r="67" ht="25" customHeight="1" spans="1:14">
      <c r="A67" s="9" t="s">
        <v>383</v>
      </c>
      <c r="B67" s="9" t="s">
        <v>381</v>
      </c>
      <c r="C67" s="10">
        <v>45926</v>
      </c>
      <c r="D67" s="15">
        <v>1.0813</v>
      </c>
      <c r="E67" s="15">
        <v>1.2563</v>
      </c>
      <c r="F67" s="15">
        <v>1.2705</v>
      </c>
      <c r="G67" s="11">
        <v>0.002</v>
      </c>
      <c r="H67" s="9">
        <f>MAX($F$2:F67)</f>
        <v>1.2742</v>
      </c>
      <c r="I67" s="11">
        <f t="shared" si="2"/>
        <v>0.00290378276565695</v>
      </c>
      <c r="J67" s="9">
        <f>MAX($F$63:F67)</f>
        <v>1.2742</v>
      </c>
      <c r="K67" s="11">
        <f t="shared" si="1"/>
        <v>0.00290378276565695</v>
      </c>
      <c r="L67" s="9"/>
      <c r="M67" s="11"/>
      <c r="N67" s="9" t="s">
        <v>1010</v>
      </c>
    </row>
    <row r="68" ht="25" customHeight="1" spans="1:14">
      <c r="A68" s="9" t="s">
        <v>383</v>
      </c>
      <c r="B68" s="9" t="s">
        <v>381</v>
      </c>
      <c r="C68" s="10">
        <v>45930</v>
      </c>
      <c r="D68" s="15">
        <v>1.0813</v>
      </c>
      <c r="E68" s="15">
        <v>1.2563</v>
      </c>
      <c r="F68" s="15">
        <v>1.2705</v>
      </c>
      <c r="G68" s="11">
        <v>0</v>
      </c>
      <c r="H68" s="9">
        <f>MAX($F$2:F68)</f>
        <v>1.2742</v>
      </c>
      <c r="I68" s="11">
        <f t="shared" si="2"/>
        <v>0.00290378276565695</v>
      </c>
      <c r="J68" s="9">
        <f>MAX($F$63:F68)</f>
        <v>1.2742</v>
      </c>
      <c r="K68" s="11">
        <f t="shared" si="1"/>
        <v>0.00290378276565695</v>
      </c>
      <c r="L68" s="9"/>
      <c r="M68" s="11"/>
      <c r="N68" s="9" t="s">
        <v>1010</v>
      </c>
    </row>
    <row r="69" ht="25" customHeight="1" spans="1:14">
      <c r="A69" s="9" t="s">
        <v>383</v>
      </c>
      <c r="B69" s="9" t="s">
        <v>381</v>
      </c>
      <c r="C69" s="10">
        <v>45940</v>
      </c>
      <c r="D69" s="15">
        <v>1.0862</v>
      </c>
      <c r="E69" s="15">
        <v>1.2612</v>
      </c>
      <c r="F69" s="15">
        <v>1.2763</v>
      </c>
      <c r="G69" s="11">
        <v>0.0045</v>
      </c>
      <c r="H69" s="9">
        <f>MAX($F$2:F69)</f>
        <v>1.2763</v>
      </c>
      <c r="I69" s="11">
        <f t="shared" si="2"/>
        <v>0</v>
      </c>
      <c r="J69" s="9">
        <f>MAX($F$63:F69)</f>
        <v>1.2763</v>
      </c>
      <c r="K69" s="11">
        <f t="shared" si="1"/>
        <v>0</v>
      </c>
      <c r="L69" s="9"/>
      <c r="M69" s="11"/>
      <c r="N69" s="9" t="s">
        <v>1010</v>
      </c>
    </row>
    <row r="70" ht="25" customHeight="1" spans="1:14">
      <c r="A70" s="9" t="s">
        <v>383</v>
      </c>
      <c r="B70" s="9" t="s">
        <v>381</v>
      </c>
      <c r="C70" s="10">
        <v>45947</v>
      </c>
      <c r="D70" s="15">
        <v>1.0965</v>
      </c>
      <c r="E70" s="15">
        <v>1.2715</v>
      </c>
      <c r="F70" s="15">
        <v>1.2884</v>
      </c>
      <c r="G70" s="11">
        <v>0.0095</v>
      </c>
      <c r="H70" s="9">
        <f>MAX($F$2:F70)</f>
        <v>1.2884</v>
      </c>
      <c r="I70" s="11">
        <f t="shared" si="2"/>
        <v>0</v>
      </c>
      <c r="J70" s="9">
        <f>MAX($F$63:F70)</f>
        <v>1.2884</v>
      </c>
      <c r="K70" s="11">
        <f t="shared" si="1"/>
        <v>0</v>
      </c>
      <c r="L70" s="9"/>
      <c r="M70" s="11"/>
      <c r="N70" s="9" t="s">
        <v>1010</v>
      </c>
    </row>
    <row r="71" ht="25" customHeight="1" spans="1:14">
      <c r="A71" s="9" t="s">
        <v>383</v>
      </c>
      <c r="B71" s="9" t="s">
        <v>381</v>
      </c>
      <c r="C71" s="10">
        <v>45954</v>
      </c>
      <c r="D71" s="15">
        <v>1.0001</v>
      </c>
      <c r="E71" s="15">
        <v>1.2707</v>
      </c>
      <c r="F71" s="15">
        <v>1.2874</v>
      </c>
      <c r="G71" s="11">
        <v>-0.0007</v>
      </c>
      <c r="H71" s="9">
        <f>MAX($F$2:F71)</f>
        <v>1.2884</v>
      </c>
      <c r="I71" s="11">
        <f t="shared" si="2"/>
        <v>0.000776156473144884</v>
      </c>
      <c r="J71" s="9">
        <f>MAX($F$63:F71)</f>
        <v>1.2884</v>
      </c>
      <c r="K71" s="11">
        <f t="shared" si="1"/>
        <v>0.000776156473144884</v>
      </c>
      <c r="L71" s="9"/>
      <c r="M71" s="11"/>
      <c r="N71" s="9" t="s">
        <v>1010</v>
      </c>
    </row>
    <row r="72" ht="25" customHeight="1" spans="1:14">
      <c r="A72" s="9" t="s">
        <v>383</v>
      </c>
      <c r="B72" s="9" t="s">
        <v>381</v>
      </c>
      <c r="C72" s="10">
        <v>45961</v>
      </c>
      <c r="D72" s="15">
        <v>0.996</v>
      </c>
      <c r="E72" s="15">
        <v>1.2666</v>
      </c>
      <c r="F72" s="15">
        <v>1.2822</v>
      </c>
      <c r="G72" s="11">
        <v>-0.0041</v>
      </c>
      <c r="H72" s="9">
        <f>MAX($F$2:F72)</f>
        <v>1.2884</v>
      </c>
      <c r="I72" s="11">
        <f t="shared" si="2"/>
        <v>0.00481217013349888</v>
      </c>
      <c r="J72" s="9">
        <f>MAX($F$63:F72)</f>
        <v>1.2884</v>
      </c>
      <c r="K72" s="11">
        <f t="shared" si="1"/>
        <v>0.00481217013349888</v>
      </c>
      <c r="L72" s="9"/>
      <c r="M72" s="11"/>
      <c r="N72" s="9" t="s">
        <v>1010</v>
      </c>
    </row>
    <row r="73" ht="25" customHeight="1" spans="1:14">
      <c r="A73" s="9" t="s">
        <v>383</v>
      </c>
      <c r="B73" s="9" t="s">
        <v>381</v>
      </c>
      <c r="C73" s="10">
        <v>45968</v>
      </c>
      <c r="D73" s="15">
        <v>0.9984</v>
      </c>
      <c r="E73" s="15">
        <v>1.269</v>
      </c>
      <c r="F73" s="15">
        <v>1.2853</v>
      </c>
      <c r="G73" s="11">
        <v>0.0024</v>
      </c>
      <c r="H73" s="9">
        <f>MAX($F$2:F73)</f>
        <v>1.2884</v>
      </c>
      <c r="I73" s="11">
        <f t="shared" si="2"/>
        <v>0.00240608506674933</v>
      </c>
      <c r="J73" s="9">
        <f>MAX($F$63:F73)</f>
        <v>1.2884</v>
      </c>
      <c r="K73" s="11">
        <f t="shared" si="1"/>
        <v>0.00240608506674933</v>
      </c>
      <c r="L73" s="9"/>
      <c r="M73" s="11"/>
      <c r="N73" s="9" t="s">
        <v>1010</v>
      </c>
    </row>
    <row r="74" ht="25" customHeight="1" spans="1:14">
      <c r="A74" s="9" t="s">
        <v>383</v>
      </c>
      <c r="B74" s="9" t="s">
        <v>381</v>
      </c>
      <c r="C74" s="10">
        <v>45975</v>
      </c>
      <c r="D74" s="15">
        <v>0.9976</v>
      </c>
      <c r="E74" s="15">
        <v>1.2682</v>
      </c>
      <c r="F74" s="15">
        <v>1.2842</v>
      </c>
      <c r="G74" s="11">
        <v>-0.0008</v>
      </c>
      <c r="H74" s="9">
        <f>MAX($F$2:F74)</f>
        <v>1.2884</v>
      </c>
      <c r="I74" s="11">
        <f t="shared" si="2"/>
        <v>0.00325985718720889</v>
      </c>
      <c r="J74" s="9">
        <f>MAX($F$63:F74)</f>
        <v>1.2884</v>
      </c>
      <c r="K74" s="11">
        <f t="shared" si="1"/>
        <v>0.00325985718720889</v>
      </c>
      <c r="L74" s="9"/>
      <c r="M74" s="11"/>
      <c r="N74" s="9" t="s">
        <v>1010</v>
      </c>
    </row>
    <row r="75" ht="25" customHeight="1" spans="1:14">
      <c r="A75" s="9" t="s">
        <v>383</v>
      </c>
      <c r="B75" s="9" t="s">
        <v>381</v>
      </c>
      <c r="C75" s="10">
        <v>45982</v>
      </c>
      <c r="D75" s="15">
        <v>0.9978</v>
      </c>
      <c r="E75" s="15">
        <v>1.2684</v>
      </c>
      <c r="F75" s="15">
        <v>1.2845</v>
      </c>
      <c r="G75" s="11">
        <v>0.0002</v>
      </c>
      <c r="H75" s="9">
        <f>MAX($F$2:F75)</f>
        <v>1.2884</v>
      </c>
      <c r="I75" s="11">
        <f t="shared" si="2"/>
        <v>0.00302701024526542</v>
      </c>
      <c r="J75" s="9">
        <f>MAX($F$63:F75)</f>
        <v>1.2884</v>
      </c>
      <c r="K75" s="11">
        <f t="shared" si="1"/>
        <v>0.00302701024526542</v>
      </c>
      <c r="L75" s="9"/>
      <c r="M75" s="11"/>
      <c r="N75" s="9" t="s">
        <v>1010</v>
      </c>
    </row>
    <row r="76" ht="25" customHeight="1" spans="1:14">
      <c r="A76" s="9" t="s">
        <v>383</v>
      </c>
      <c r="B76" s="9" t="s">
        <v>381</v>
      </c>
      <c r="C76" s="10">
        <v>45989</v>
      </c>
      <c r="D76" s="15">
        <v>0.9945</v>
      </c>
      <c r="E76" s="15">
        <v>1.2651</v>
      </c>
      <c r="F76" s="15">
        <v>1.2802</v>
      </c>
      <c r="G76" s="11">
        <v>-0.0033</v>
      </c>
      <c r="H76" s="9">
        <f>MAX($F$2:F76)</f>
        <v>1.2884</v>
      </c>
      <c r="I76" s="11">
        <f t="shared" si="2"/>
        <v>0.00636448307978887</v>
      </c>
      <c r="J76" s="9">
        <f>MAX($F$63:F76)</f>
        <v>1.2884</v>
      </c>
      <c r="K76" s="11">
        <f t="shared" si="1"/>
        <v>0.00636448307978887</v>
      </c>
      <c r="L76" s="9"/>
      <c r="M76" s="11"/>
      <c r="N76" s="9" t="s">
        <v>1010</v>
      </c>
    </row>
    <row r="77" ht="25" customHeight="1" spans="1:14">
      <c r="A77" s="9" t="s">
        <v>383</v>
      </c>
      <c r="B77" s="9" t="s">
        <v>381</v>
      </c>
      <c r="C77" s="10">
        <v>45996</v>
      </c>
      <c r="D77" s="15">
        <v>0.994</v>
      </c>
      <c r="E77" s="15">
        <v>1.2646</v>
      </c>
      <c r="F77" s="15">
        <v>1.2796</v>
      </c>
      <c r="G77" s="11">
        <v>-0.0005</v>
      </c>
      <c r="H77" s="9">
        <f>MAX($F$2:F77)</f>
        <v>1.2884</v>
      </c>
      <c r="I77" s="11">
        <f t="shared" si="2"/>
        <v>0.00683017696367583</v>
      </c>
      <c r="J77" s="9">
        <f>MAX($F$63:F77)</f>
        <v>1.2884</v>
      </c>
      <c r="K77" s="11">
        <f t="shared" si="1"/>
        <v>0.00683017696367583</v>
      </c>
      <c r="L77" s="9"/>
      <c r="M77" s="11"/>
      <c r="N77" s="9" t="s">
        <v>1010</v>
      </c>
    </row>
    <row r="78" ht="25" customHeight="1" spans="1:14">
      <c r="A78" s="9" t="s">
        <v>383</v>
      </c>
      <c r="B78" s="9" t="s">
        <v>381</v>
      </c>
      <c r="C78" s="10">
        <v>46003</v>
      </c>
      <c r="D78" s="15">
        <v>0.9928</v>
      </c>
      <c r="E78" s="15">
        <v>1.2634</v>
      </c>
      <c r="F78" s="15">
        <v>1.2781</v>
      </c>
      <c r="G78" s="11">
        <v>-0.0012</v>
      </c>
      <c r="H78" s="9">
        <f>MAX($F$2:F78)</f>
        <v>1.2884</v>
      </c>
      <c r="I78" s="11">
        <f t="shared" si="2"/>
        <v>0.00799441167339332</v>
      </c>
      <c r="J78" s="9">
        <f>MAX($F$63:F78)</f>
        <v>1.2884</v>
      </c>
      <c r="K78" s="11">
        <f t="shared" si="1"/>
        <v>0.00799441167339332</v>
      </c>
      <c r="L78" s="9"/>
      <c r="M78" s="11"/>
      <c r="N78" s="9" t="s">
        <v>1010</v>
      </c>
    </row>
    <row r="79" ht="25" customHeight="1" spans="1:14">
      <c r="A79" s="9" t="s">
        <v>383</v>
      </c>
      <c r="B79" s="9" t="s">
        <v>381</v>
      </c>
      <c r="C79" s="10">
        <v>46010</v>
      </c>
      <c r="D79" s="15">
        <v>0.9986</v>
      </c>
      <c r="E79" s="15">
        <v>1.2692</v>
      </c>
      <c r="F79" s="15">
        <v>1.2855</v>
      </c>
      <c r="G79" s="11">
        <v>0.0058</v>
      </c>
      <c r="H79" s="9">
        <f>MAX($F$2:F79)</f>
        <v>1.2884</v>
      </c>
      <c r="I79" s="11">
        <f t="shared" si="2"/>
        <v>0.00225085377212042</v>
      </c>
      <c r="J79" s="9">
        <f>MAX($F$63:F79)</f>
        <v>1.2884</v>
      </c>
      <c r="K79" s="11">
        <f t="shared" si="1"/>
        <v>0.00225085377212042</v>
      </c>
      <c r="L79" s="9"/>
      <c r="M79" s="11"/>
      <c r="N79" s="9" t="s">
        <v>1010</v>
      </c>
    </row>
    <row r="80" ht="25" customHeight="1" spans="1:14">
      <c r="A80" s="9" t="s">
        <v>383</v>
      </c>
      <c r="B80" s="9" t="s">
        <v>381</v>
      </c>
      <c r="C80" s="10">
        <v>46017</v>
      </c>
      <c r="D80" s="15">
        <v>0.9985</v>
      </c>
      <c r="E80" s="15">
        <v>1.2691</v>
      </c>
      <c r="F80" s="15">
        <v>1.2854</v>
      </c>
      <c r="G80" s="11">
        <v>-0.0001</v>
      </c>
      <c r="H80" s="9">
        <f>MAX($F$2:F80)</f>
        <v>1.2884</v>
      </c>
      <c r="I80" s="11">
        <f t="shared" si="2"/>
        <v>0.00232846941943488</v>
      </c>
      <c r="J80" s="9">
        <f>MAX($F$63:F80)</f>
        <v>1.2884</v>
      </c>
      <c r="K80" s="11">
        <f t="shared" si="1"/>
        <v>0.00232846941943488</v>
      </c>
      <c r="L80" s="9"/>
      <c r="M80" s="11"/>
      <c r="N80" s="9" t="s">
        <v>1010</v>
      </c>
    </row>
    <row r="81" ht="25" customHeight="1" spans="1:14">
      <c r="A81" s="9" t="s">
        <v>383</v>
      </c>
      <c r="B81" s="9" t="s">
        <v>381</v>
      </c>
      <c r="C81" s="10">
        <v>46022</v>
      </c>
      <c r="D81" s="15">
        <v>0.9977</v>
      </c>
      <c r="E81" s="15">
        <v>1.2683</v>
      </c>
      <c r="F81" s="15">
        <v>1.2844</v>
      </c>
      <c r="G81" s="11">
        <v>-0.0008</v>
      </c>
      <c r="H81" s="9">
        <f>MAX($F$2:F81)</f>
        <v>1.2884</v>
      </c>
      <c r="I81" s="11">
        <f t="shared" si="2"/>
        <v>0.00310462589257998</v>
      </c>
      <c r="J81" s="9">
        <f>MAX($F$63:F81)</f>
        <v>1.2884</v>
      </c>
      <c r="K81" s="11">
        <f t="shared" si="1"/>
        <v>0.00310462589257998</v>
      </c>
      <c r="L81" s="9"/>
      <c r="M81" s="11"/>
      <c r="N81" s="9" t="s">
        <v>1010</v>
      </c>
    </row>
    <row r="82" ht="25" customHeight="1" spans="1:14">
      <c r="A82" s="9" t="s">
        <v>383</v>
      </c>
      <c r="B82" s="9" t="s">
        <v>381</v>
      </c>
      <c r="C82" s="10">
        <v>46031</v>
      </c>
      <c r="D82" s="15">
        <v>0.9978</v>
      </c>
      <c r="E82" s="15">
        <v>1.2684</v>
      </c>
      <c r="F82" s="15">
        <v>1.2845</v>
      </c>
      <c r="G82" s="11">
        <v>0.0001</v>
      </c>
      <c r="H82" s="9">
        <f>MAX($F$2:F82)</f>
        <v>1.2884</v>
      </c>
      <c r="I82" s="11">
        <f t="shared" si="2"/>
        <v>0.00302701024526542</v>
      </c>
      <c r="J82" s="9">
        <f>MAX($F$63:F82)</f>
        <v>1.2884</v>
      </c>
      <c r="K82" s="11">
        <f t="shared" si="1"/>
        <v>0.00302701024526542</v>
      </c>
      <c r="L82" s="9"/>
      <c r="M82" s="11"/>
      <c r="N82" s="9" t="s">
        <v>1010</v>
      </c>
    </row>
    <row r="83" ht="25" customHeight="1" spans="1:14">
      <c r="A83" s="9" t="s">
        <v>383</v>
      </c>
      <c r="B83" s="9" t="s">
        <v>381</v>
      </c>
      <c r="C83" s="10">
        <v>46038</v>
      </c>
      <c r="D83" s="15">
        <v>1.0038</v>
      </c>
      <c r="E83" s="15">
        <v>1.2744</v>
      </c>
      <c r="F83" s="15">
        <v>1.2922</v>
      </c>
      <c r="G83" s="11">
        <v>0.006</v>
      </c>
      <c r="H83" s="9">
        <f>MAX($F$2:F83)</f>
        <v>1.2922</v>
      </c>
      <c r="I83" s="11">
        <f t="shared" si="2"/>
        <v>0</v>
      </c>
      <c r="J83" s="9">
        <f>MAX($F$63:F83)</f>
        <v>1.2922</v>
      </c>
      <c r="K83" s="11">
        <f t="shared" si="1"/>
        <v>0</v>
      </c>
      <c r="L83" s="9"/>
      <c r="M83" s="11"/>
      <c r="N83" s="9" t="s">
        <v>1010</v>
      </c>
    </row>
    <row r="84" ht="25" customHeight="1" spans="1:14">
      <c r="A84" s="9" t="s">
        <v>383</v>
      </c>
      <c r="B84" s="9" t="s">
        <v>381</v>
      </c>
      <c r="C84" s="10">
        <v>46045</v>
      </c>
      <c r="D84" s="15">
        <v>1.0153</v>
      </c>
      <c r="E84" s="15">
        <v>1.2859</v>
      </c>
      <c r="F84" s="15">
        <v>1.307</v>
      </c>
      <c r="G84" s="11">
        <v>0.0115</v>
      </c>
      <c r="H84" s="9">
        <f>MAX($F$2:F84)</f>
        <v>1.307</v>
      </c>
      <c r="I84" s="11">
        <f t="shared" si="2"/>
        <v>0</v>
      </c>
      <c r="J84" s="9">
        <f>MAX($F$63:F84)</f>
        <v>1.307</v>
      </c>
      <c r="K84" s="11">
        <f t="shared" si="1"/>
        <v>0</v>
      </c>
      <c r="L84" s="9"/>
      <c r="M84" s="11"/>
      <c r="N84" s="9" t="s">
        <v>1010</v>
      </c>
    </row>
    <row r="85" ht="25" customHeight="1" spans="1:14">
      <c r="A85" s="9" t="s">
        <v>383</v>
      </c>
      <c r="B85" s="9" t="s">
        <v>381</v>
      </c>
      <c r="C85" s="10">
        <v>46052</v>
      </c>
      <c r="D85" s="15">
        <v>1.0186</v>
      </c>
      <c r="E85" s="15">
        <v>1.2892</v>
      </c>
      <c r="F85" s="15">
        <v>1.3113</v>
      </c>
      <c r="G85" s="11">
        <v>0.0033</v>
      </c>
      <c r="H85" s="9">
        <f>MAX($F$2:F85)</f>
        <v>1.3113</v>
      </c>
      <c r="I85" s="11">
        <f t="shared" si="2"/>
        <v>0</v>
      </c>
      <c r="J85" s="9">
        <f>MAX($F$63:F85)</f>
        <v>1.3113</v>
      </c>
      <c r="K85" s="11">
        <f t="shared" si="1"/>
        <v>0</v>
      </c>
      <c r="L85" s="9"/>
      <c r="M85" s="11"/>
      <c r="N85" s="9" t="s">
        <v>1010</v>
      </c>
    </row>
    <row r="86" ht="25" customHeight="1" spans="1:14">
      <c r="A86" s="9" t="s">
        <v>383</v>
      </c>
      <c r="B86" s="9" t="s">
        <v>381</v>
      </c>
      <c r="C86" s="10">
        <v>46059</v>
      </c>
      <c r="D86" s="15">
        <v>1.0088</v>
      </c>
      <c r="E86" s="15">
        <v>1.2794</v>
      </c>
      <c r="F86" s="15">
        <v>1.2986</v>
      </c>
      <c r="G86" s="11">
        <v>-0.0096</v>
      </c>
      <c r="H86" s="9">
        <f>MAX($F$2:F86)</f>
        <v>1.3113</v>
      </c>
      <c r="I86" s="11">
        <f t="shared" si="2"/>
        <v>0.00968504537481885</v>
      </c>
      <c r="J86" s="9">
        <f>MAX($F$63:F86)</f>
        <v>1.3113</v>
      </c>
      <c r="K86" s="11">
        <f t="shared" si="1"/>
        <v>0.00968504537481885</v>
      </c>
      <c r="L86" s="9"/>
      <c r="M86" s="11"/>
      <c r="N86" s="9" t="s">
        <v>1010</v>
      </c>
    </row>
    <row r="87" ht="25" customHeight="1" spans="1:14">
      <c r="A87" s="9" t="s">
        <v>383</v>
      </c>
      <c r="B87" s="9" t="s">
        <v>381</v>
      </c>
      <c r="C87" s="10">
        <v>46066</v>
      </c>
      <c r="D87" s="15">
        <v>1.0077</v>
      </c>
      <c r="E87" s="15">
        <v>1.2783</v>
      </c>
      <c r="F87" s="15">
        <v>1.2972</v>
      </c>
      <c r="G87" s="11">
        <v>-0.0011</v>
      </c>
      <c r="H87" s="9">
        <f>MAX($F$2:F87)</f>
        <v>1.3113</v>
      </c>
      <c r="I87" s="11">
        <f t="shared" si="2"/>
        <v>0.010752688172043</v>
      </c>
      <c r="J87" s="9">
        <f>MAX($F$63:F87)</f>
        <v>1.3113</v>
      </c>
      <c r="K87" s="11">
        <f t="shared" si="1"/>
        <v>0.010752688172043</v>
      </c>
      <c r="L87" s="9"/>
      <c r="M87" s="11"/>
      <c r="N87" s="9" t="s">
        <v>1010</v>
      </c>
    </row>
    <row r="88" ht="25" customHeight="1" spans="1:14">
      <c r="A88" s="9" t="s">
        <v>383</v>
      </c>
      <c r="B88" s="9" t="s">
        <v>381</v>
      </c>
      <c r="C88" s="10">
        <v>46080</v>
      </c>
      <c r="D88" s="15">
        <v>1.0038</v>
      </c>
      <c r="E88" s="15">
        <v>1.2744</v>
      </c>
      <c r="F88" s="15">
        <v>1.2922</v>
      </c>
      <c r="G88" s="11">
        <v>-0.0039</v>
      </c>
      <c r="H88" s="9">
        <f>MAX($F$2:F88)</f>
        <v>1.3113</v>
      </c>
      <c r="I88" s="11">
        <f t="shared" si="2"/>
        <v>0.0145656981621292</v>
      </c>
      <c r="J88" s="9">
        <f>MAX($F$63:F88)</f>
        <v>1.3113</v>
      </c>
      <c r="K88" s="11">
        <f t="shared" si="1"/>
        <v>0.0145656981621292</v>
      </c>
      <c r="L88" s="9"/>
      <c r="M88" s="11"/>
      <c r="N88" s="9" t="s">
        <v>1010</v>
      </c>
    </row>
    <row r="89" ht="25" customHeight="1" spans="1:14">
      <c r="A89" s="9" t="s">
        <v>383</v>
      </c>
      <c r="B89" s="9" t="s">
        <v>381</v>
      </c>
      <c r="C89" s="10">
        <v>46087</v>
      </c>
      <c r="D89" s="15">
        <v>1.0163</v>
      </c>
      <c r="E89" s="15">
        <v>1.2869</v>
      </c>
      <c r="F89" s="15">
        <v>1.3083</v>
      </c>
      <c r="G89" s="11">
        <v>0.0125</v>
      </c>
      <c r="H89" s="9">
        <f>MAX($F$2:F89)</f>
        <v>1.3113</v>
      </c>
      <c r="I89" s="11">
        <f t="shared" si="2"/>
        <v>0.00228780599405165</v>
      </c>
      <c r="J89" s="9">
        <f>MAX($F$63:F89)</f>
        <v>1.3113</v>
      </c>
      <c r="K89" s="11">
        <f t="shared" si="1"/>
        <v>0.00228780599405165</v>
      </c>
      <c r="L89" s="9"/>
      <c r="M89" s="11"/>
      <c r="N89" s="9" t="s">
        <v>1010</v>
      </c>
    </row>
    <row r="90" ht="25" customHeight="1" spans="1:14">
      <c r="A90" s="9" t="s">
        <v>383</v>
      </c>
      <c r="B90" s="9" t="s">
        <v>381</v>
      </c>
      <c r="C90" s="10">
        <v>46094</v>
      </c>
      <c r="D90" s="15">
        <v>1.0203</v>
      </c>
      <c r="E90" s="15">
        <v>1.2909</v>
      </c>
      <c r="F90" s="15">
        <v>1.3135</v>
      </c>
      <c r="G90" s="11">
        <v>0.0039</v>
      </c>
      <c r="H90" s="9">
        <f>MAX($F$2:F90)</f>
        <v>1.3135</v>
      </c>
      <c r="I90" s="11">
        <f t="shared" si="2"/>
        <v>0</v>
      </c>
      <c r="J90" s="9">
        <f>MAX($F$63:F90)</f>
        <v>1.3135</v>
      </c>
      <c r="K90" s="11">
        <f t="shared" si="1"/>
        <v>0</v>
      </c>
      <c r="L90" s="9"/>
      <c r="M90" s="11"/>
      <c r="N90" s="9" t="s">
        <v>1010</v>
      </c>
    </row>
    <row r="91" ht="25" customHeight="1" spans="1:14">
      <c r="A91" s="9" t="s">
        <v>383</v>
      </c>
      <c r="B91" s="9" t="s">
        <v>381</v>
      </c>
      <c r="C91" s="10">
        <v>46101</v>
      </c>
      <c r="D91" s="15">
        <v>1.0239</v>
      </c>
      <c r="E91" s="15">
        <v>1.2945</v>
      </c>
      <c r="F91" s="15">
        <v>1.3181</v>
      </c>
      <c r="G91" s="11">
        <v>0.0035</v>
      </c>
      <c r="H91" s="9">
        <f>MAX($F$2:F91)</f>
        <v>1.3181</v>
      </c>
      <c r="I91" s="11">
        <f t="shared" si="2"/>
        <v>0</v>
      </c>
      <c r="J91" s="9">
        <f>MAX($F$63:F91)</f>
        <v>1.3181</v>
      </c>
      <c r="K91" s="11">
        <f t="shared" si="1"/>
        <v>0</v>
      </c>
      <c r="L91" s="9"/>
      <c r="M91" s="11"/>
      <c r="N91" s="9" t="s">
        <v>1010</v>
      </c>
    </row>
    <row r="92" ht="25" customHeight="1" spans="1:14">
      <c r="A92" s="9" t="s">
        <v>383</v>
      </c>
      <c r="B92" s="9" t="s">
        <v>381</v>
      </c>
      <c r="C92" s="10">
        <v>46108</v>
      </c>
      <c r="D92" s="15">
        <v>1.0239</v>
      </c>
      <c r="E92" s="15">
        <v>1.2945</v>
      </c>
      <c r="F92" s="15">
        <v>1.3181</v>
      </c>
      <c r="G92" s="11">
        <v>0</v>
      </c>
      <c r="H92" s="9">
        <f>MAX($F$2:F92)</f>
        <v>1.3181</v>
      </c>
      <c r="I92" s="11">
        <f t="shared" si="2"/>
        <v>0</v>
      </c>
      <c r="J92" s="9">
        <f>MAX($F$63:F92)</f>
        <v>1.3181</v>
      </c>
      <c r="K92" s="11">
        <f t="shared" si="1"/>
        <v>0</v>
      </c>
      <c r="L92" s="9"/>
      <c r="M92" s="11"/>
      <c r="N92" s="9" t="s">
        <v>1010</v>
      </c>
    </row>
    <row r="93" ht="25" customHeight="1" spans="1:14">
      <c r="A93" s="9" t="s">
        <v>383</v>
      </c>
      <c r="B93" s="9" t="s">
        <v>381</v>
      </c>
      <c r="C93" s="10">
        <v>46115</v>
      </c>
      <c r="D93" s="15">
        <v>1.0251</v>
      </c>
      <c r="E93" s="15">
        <v>1.2957</v>
      </c>
      <c r="F93" s="15">
        <v>1.3196</v>
      </c>
      <c r="G93" s="11">
        <v>0.0012</v>
      </c>
      <c r="H93" s="9">
        <f>MAX($F$2:F93)</f>
        <v>1.3196</v>
      </c>
      <c r="I93" s="11">
        <f t="shared" si="2"/>
        <v>0</v>
      </c>
      <c r="J93" s="9">
        <f>MAX($F$63:F93)</f>
        <v>1.3196</v>
      </c>
      <c r="K93" s="11">
        <f t="shared" si="1"/>
        <v>0</v>
      </c>
      <c r="L93" s="9"/>
      <c r="M93" s="11"/>
      <c r="N93" s="9" t="s">
        <v>1010</v>
      </c>
    </row>
    <row r="94" ht="25" customHeight="1" spans="1:14">
      <c r="A94" s="9" t="s">
        <v>383</v>
      </c>
      <c r="B94" s="9" t="s">
        <v>381</v>
      </c>
      <c r="C94" s="10">
        <v>46122</v>
      </c>
      <c r="D94" s="15">
        <v>1.0195</v>
      </c>
      <c r="E94" s="15">
        <v>1.2901</v>
      </c>
      <c r="F94" s="15">
        <v>1.3124</v>
      </c>
      <c r="G94" s="11">
        <v>-0.0055</v>
      </c>
      <c r="H94" s="9">
        <f>MAX($F$2:F94)</f>
        <v>1.3196</v>
      </c>
      <c r="I94" s="11">
        <f t="shared" si="2"/>
        <v>0.00545619884813586</v>
      </c>
      <c r="J94" s="9">
        <f>MAX($F$63:F94)</f>
        <v>1.3196</v>
      </c>
      <c r="K94" s="11">
        <f t="shared" si="1"/>
        <v>0.00545619884813586</v>
      </c>
      <c r="L94" s="9"/>
      <c r="M94" s="11"/>
      <c r="N94" s="9" t="s">
        <v>1010</v>
      </c>
    </row>
    <row r="95" ht="25" customHeight="1" spans="1:14">
      <c r="A95" s="9" t="s">
        <v>383</v>
      </c>
      <c r="B95" s="9" t="s">
        <v>381</v>
      </c>
      <c r="C95" s="10">
        <v>46129</v>
      </c>
      <c r="D95" s="15">
        <v>1.0214</v>
      </c>
      <c r="E95" s="15">
        <v>1.292</v>
      </c>
      <c r="F95" s="15">
        <v>1.3149</v>
      </c>
      <c r="G95" s="11">
        <v>0.0019</v>
      </c>
      <c r="H95" s="9">
        <f>MAX($F$2:F95)</f>
        <v>1.3196</v>
      </c>
      <c r="I95" s="11">
        <f t="shared" si="2"/>
        <v>0.00356168535919987</v>
      </c>
      <c r="J95" s="9">
        <f>MAX($F$63:F95)</f>
        <v>1.3196</v>
      </c>
      <c r="K95" s="11">
        <f t="shared" si="1"/>
        <v>0.00356168535919987</v>
      </c>
      <c r="L95" s="9"/>
      <c r="M95" s="11"/>
      <c r="N95" s="9" t="s">
        <v>1010</v>
      </c>
    </row>
    <row r="96" ht="25" customHeight="1" spans="1:14">
      <c r="A96" s="9" t="s">
        <v>383</v>
      </c>
      <c r="B96" s="9" t="s">
        <v>381</v>
      </c>
      <c r="C96" s="10">
        <v>46136</v>
      </c>
      <c r="D96" s="15">
        <v>1.018</v>
      </c>
      <c r="E96" s="15">
        <v>1.2886</v>
      </c>
      <c r="F96" s="15">
        <v>1.3105</v>
      </c>
      <c r="G96" s="11">
        <v>-0.0033</v>
      </c>
      <c r="H96" s="9">
        <f>MAX($F$2:F96)</f>
        <v>1.3196</v>
      </c>
      <c r="I96" s="11">
        <f t="shared" si="2"/>
        <v>0.00689602909972731</v>
      </c>
      <c r="J96" s="9">
        <f>MAX($F$63:F96)</f>
        <v>1.3196</v>
      </c>
      <c r="K96" s="11">
        <f t="shared" si="1"/>
        <v>0.00689602909972731</v>
      </c>
      <c r="L96" s="9"/>
      <c r="M96" s="11"/>
      <c r="N96" s="9" t="s">
        <v>1010</v>
      </c>
    </row>
    <row r="97" ht="25" customHeight="1" spans="1:14">
      <c r="A97" s="9" t="s">
        <v>383</v>
      </c>
      <c r="B97" s="9" t="s">
        <v>381</v>
      </c>
      <c r="C97" s="10">
        <v>46142</v>
      </c>
      <c r="D97" s="15">
        <v>1.0193</v>
      </c>
      <c r="E97" s="15">
        <v>1.2899</v>
      </c>
      <c r="F97" s="15">
        <v>1.3122</v>
      </c>
      <c r="G97" s="11">
        <v>0.0013</v>
      </c>
      <c r="H97" s="9">
        <f>MAX($F$2:F97)</f>
        <v>1.3196</v>
      </c>
      <c r="I97" s="11">
        <f t="shared" si="2"/>
        <v>0.00560775992725071</v>
      </c>
      <c r="J97" s="9">
        <f>MAX($F$63:F97)</f>
        <v>1.3196</v>
      </c>
      <c r="K97" s="11">
        <f t="shared" si="1"/>
        <v>0.00560775992725071</v>
      </c>
      <c r="L97" s="9"/>
      <c r="M97" s="11"/>
      <c r="N97" s="9" t="s">
        <v>1010</v>
      </c>
    </row>
    <row r="98" ht="25" customHeight="1" spans="1:14">
      <c r="A98" s="9" t="s">
        <v>383</v>
      </c>
      <c r="B98" s="9" t="s">
        <v>381</v>
      </c>
      <c r="C98" s="10">
        <v>46150</v>
      </c>
      <c r="D98" s="15">
        <v>1.0219</v>
      </c>
      <c r="E98" s="15">
        <v>1.2925</v>
      </c>
      <c r="F98" s="15">
        <v>1.3155</v>
      </c>
      <c r="G98" s="11">
        <v>0.0026</v>
      </c>
      <c r="H98" s="9">
        <f>MAX($F$2:F98)</f>
        <v>1.3196</v>
      </c>
      <c r="I98" s="11">
        <f t="shared" si="2"/>
        <v>0.00310700212185522</v>
      </c>
      <c r="J98" s="9">
        <f>MAX($F$63:F98)</f>
        <v>1.3196</v>
      </c>
      <c r="K98" s="11">
        <f t="shared" si="1"/>
        <v>0.00310700212185522</v>
      </c>
      <c r="L98" s="9"/>
      <c r="M98" s="11"/>
      <c r="N98" s="9" t="s">
        <v>1010</v>
      </c>
    </row>
    <row r="99" ht="25" customHeight="1" spans="1:14">
      <c r="A99" s="9" t="s">
        <v>383</v>
      </c>
      <c r="B99" s="9" t="s">
        <v>381</v>
      </c>
      <c r="C99" s="10">
        <v>46157</v>
      </c>
      <c r="D99" s="15">
        <v>1</v>
      </c>
      <c r="E99" s="15">
        <v>1.3006</v>
      </c>
      <c r="F99" s="15">
        <v>1.3259</v>
      </c>
      <c r="G99" s="11">
        <v>0.0079</v>
      </c>
      <c r="H99" s="9">
        <f>MAX($F$2:F99)</f>
        <v>1.3259</v>
      </c>
      <c r="I99" s="11">
        <f t="shared" si="2"/>
        <v>0</v>
      </c>
      <c r="J99" s="9">
        <f>MAX($F$63:F99)</f>
        <v>1.3259</v>
      </c>
      <c r="K99" s="11">
        <f t="shared" si="1"/>
        <v>0</v>
      </c>
      <c r="L99" s="9"/>
      <c r="M99" s="11"/>
      <c r="N99" s="9" t="s">
        <v>1010</v>
      </c>
    </row>
    <row r="100" ht="25" customHeight="1" spans="1:14">
      <c r="A100" s="9" t="s">
        <v>383</v>
      </c>
      <c r="B100" s="9" t="s">
        <v>381</v>
      </c>
      <c r="C100" s="10">
        <v>46164</v>
      </c>
      <c r="D100" s="15">
        <v>1.0102</v>
      </c>
      <c r="E100" s="15">
        <v>1.3108</v>
      </c>
      <c r="F100" s="15">
        <v>1.3395</v>
      </c>
      <c r="G100" s="11">
        <v>0.0102</v>
      </c>
      <c r="H100" s="9">
        <f>MAX($F$2:F100)</f>
        <v>1.3395</v>
      </c>
      <c r="I100" s="11">
        <f t="shared" si="2"/>
        <v>0</v>
      </c>
      <c r="J100" s="9">
        <f>MAX($F$63:F100)</f>
        <v>1.3395</v>
      </c>
      <c r="K100" s="11">
        <f t="shared" si="1"/>
        <v>0</v>
      </c>
      <c r="L100" s="9"/>
      <c r="M100" s="11"/>
      <c r="N100" s="9" t="s">
        <v>1010</v>
      </c>
    </row>
    <row r="101" ht="25" customHeight="1" spans="1:14">
      <c r="A101" s="9" t="s">
        <v>383</v>
      </c>
      <c r="B101" s="9" t="s">
        <v>381</v>
      </c>
      <c r="C101" s="10">
        <v>46171</v>
      </c>
      <c r="D101" s="15">
        <v>1.0174</v>
      </c>
      <c r="E101" s="15">
        <v>1.318</v>
      </c>
      <c r="F101" s="15">
        <v>1.349</v>
      </c>
      <c r="G101" s="11">
        <v>0.0071</v>
      </c>
      <c r="H101" s="9">
        <f>MAX($F$2:F101)</f>
        <v>1.349</v>
      </c>
      <c r="I101" s="11">
        <f t="shared" si="2"/>
        <v>0</v>
      </c>
      <c r="J101" s="9">
        <f>MAX($F$63:F101)</f>
        <v>1.349</v>
      </c>
      <c r="K101" s="11">
        <f t="shared" si="1"/>
        <v>0</v>
      </c>
      <c r="L101" s="9"/>
      <c r="M101" s="11"/>
      <c r="N101" s="9" t="s">
        <v>1010</v>
      </c>
    </row>
    <row r="102" ht="25" customHeight="1" spans="1:14">
      <c r="A102" s="9" t="s">
        <v>383</v>
      </c>
      <c r="B102" s="9" t="s">
        <v>381</v>
      </c>
      <c r="C102" s="10">
        <v>46178</v>
      </c>
      <c r="D102" s="15">
        <v>1.0257</v>
      </c>
      <c r="E102" s="15">
        <v>1.3263</v>
      </c>
      <c r="F102" s="15">
        <v>1.36</v>
      </c>
      <c r="G102" s="11">
        <v>0.0082</v>
      </c>
      <c r="H102" s="9">
        <f>MAX($F$2:F102)</f>
        <v>1.36</v>
      </c>
      <c r="I102" s="11">
        <f t="shared" si="2"/>
        <v>0</v>
      </c>
      <c r="J102" s="9">
        <f>MAX($F$63:F102)</f>
        <v>1.36</v>
      </c>
      <c r="K102" s="11">
        <f t="shared" si="1"/>
        <v>0</v>
      </c>
      <c r="L102" s="9"/>
      <c r="M102" s="11"/>
      <c r="N102" s="9" t="s">
        <v>1010</v>
      </c>
    </row>
    <row r="103" ht="25" customHeight="1" spans="1:14">
      <c r="A103" s="9" t="s">
        <v>383</v>
      </c>
      <c r="B103" s="9" t="s">
        <v>381</v>
      </c>
      <c r="C103" s="10">
        <v>46185</v>
      </c>
      <c r="D103" s="15">
        <v>1.0325</v>
      </c>
      <c r="E103" s="15">
        <v>1.3331</v>
      </c>
      <c r="F103" s="15">
        <v>1.369</v>
      </c>
      <c r="G103" s="11">
        <v>0.0066</v>
      </c>
      <c r="H103" s="9">
        <f>MAX($F$2:F103)</f>
        <v>1.369</v>
      </c>
      <c r="I103" s="11">
        <f t="shared" si="2"/>
        <v>0</v>
      </c>
      <c r="J103" s="9">
        <f>MAX($F$63:F103)</f>
        <v>1.369</v>
      </c>
      <c r="K103" s="11">
        <f t="shared" si="1"/>
        <v>0</v>
      </c>
      <c r="L103" s="9"/>
      <c r="M103" s="11"/>
      <c r="N103" s="9" t="s">
        <v>1010</v>
      </c>
    </row>
    <row r="104" ht="25" customHeight="1" spans="1:14">
      <c r="A104" s="9" t="s">
        <v>383</v>
      </c>
      <c r="B104" s="9" t="s">
        <v>381</v>
      </c>
      <c r="C104" s="10">
        <v>46191</v>
      </c>
      <c r="D104" s="15">
        <v>1.0406</v>
      </c>
      <c r="E104" s="15">
        <v>1.3412</v>
      </c>
      <c r="F104" s="15">
        <v>1.3798</v>
      </c>
      <c r="G104" s="11">
        <v>0.0078</v>
      </c>
      <c r="H104" s="9">
        <f>MAX($F$2:F104)</f>
        <v>1.3798</v>
      </c>
      <c r="I104" s="11">
        <f t="shared" si="2"/>
        <v>0</v>
      </c>
      <c r="J104" s="9">
        <f>MAX($F$63:F104)</f>
        <v>1.3798</v>
      </c>
      <c r="K104" s="11">
        <f t="shared" si="1"/>
        <v>0</v>
      </c>
      <c r="L104" s="9"/>
      <c r="M104" s="11"/>
      <c r="N104" s="9" t="s">
        <v>1010</v>
      </c>
    </row>
    <row r="105" ht="25" customHeight="1" spans="1:14">
      <c r="A105" s="9" t="s">
        <v>383</v>
      </c>
      <c r="B105" s="9" t="s">
        <v>381</v>
      </c>
      <c r="C105" s="10">
        <v>46199</v>
      </c>
      <c r="D105" s="15">
        <v>1.0433</v>
      </c>
      <c r="E105" s="15">
        <v>1.3439</v>
      </c>
      <c r="F105" s="15">
        <v>1.3834</v>
      </c>
      <c r="G105" s="11">
        <v>0.0026</v>
      </c>
      <c r="H105" s="9">
        <f>MAX($F$2:F105)</f>
        <v>1.3834</v>
      </c>
      <c r="I105" s="11">
        <f t="shared" si="2"/>
        <v>0</v>
      </c>
      <c r="J105" s="9">
        <f>MAX($F$63:F105)</f>
        <v>1.3834</v>
      </c>
      <c r="K105" s="11">
        <f t="shared" si="1"/>
        <v>0</v>
      </c>
      <c r="L105" s="9"/>
      <c r="M105" s="11"/>
      <c r="N105" s="9" t="s">
        <v>1010</v>
      </c>
    </row>
    <row r="106" ht="25" customHeight="1" spans="1:14">
      <c r="A106" s="9" t="s">
        <v>383</v>
      </c>
      <c r="B106" s="9" t="s">
        <v>381</v>
      </c>
      <c r="C106" s="10">
        <v>46206</v>
      </c>
      <c r="D106" s="15">
        <v>1.0419</v>
      </c>
      <c r="E106" s="15">
        <v>1.3425</v>
      </c>
      <c r="F106" s="15">
        <v>1.3815</v>
      </c>
      <c r="G106" s="11">
        <v>-0.0013</v>
      </c>
      <c r="H106" s="9">
        <f>MAX($F$2:F106)</f>
        <v>1.3834</v>
      </c>
      <c r="I106" s="11">
        <f t="shared" si="2"/>
        <v>0.00137342778661276</v>
      </c>
      <c r="J106" s="9">
        <f>MAX($F$63:F106)</f>
        <v>1.3834</v>
      </c>
      <c r="K106" s="11">
        <f t="shared" si="1"/>
        <v>0.00137342778661276</v>
      </c>
      <c r="L106" s="9"/>
      <c r="M106" s="11"/>
      <c r="N106" s="9" t="s">
        <v>1010</v>
      </c>
    </row>
    <row r="107" ht="25" customHeight="1" spans="1:14">
      <c r="A107" s="9" t="s">
        <v>383</v>
      </c>
      <c r="B107" s="9" t="s">
        <v>381</v>
      </c>
      <c r="C107" s="10">
        <v>46213</v>
      </c>
      <c r="D107" s="15">
        <v>1.0438</v>
      </c>
      <c r="E107" s="15">
        <v>1.3444</v>
      </c>
      <c r="F107" s="15">
        <v>1.384</v>
      </c>
      <c r="G107" s="11">
        <v>0.0018</v>
      </c>
      <c r="H107" s="9">
        <f>MAX($F$2:F107)</f>
        <v>1.384</v>
      </c>
      <c r="I107" s="11">
        <f t="shared" si="2"/>
        <v>0</v>
      </c>
      <c r="J107" s="9">
        <f>MAX($F$63:F107)</f>
        <v>1.384</v>
      </c>
      <c r="K107" s="11">
        <f t="shared" si="1"/>
        <v>0</v>
      </c>
      <c r="L107" s="9"/>
      <c r="M107" s="11"/>
      <c r="N107" s="9" t="s">
        <v>1010</v>
      </c>
    </row>
    <row r="108" ht="25" customHeight="1" spans="1:14">
      <c r="A108" s="9" t="s">
        <v>383</v>
      </c>
      <c r="B108" s="9" t="s">
        <v>381</v>
      </c>
      <c r="C108" s="10">
        <v>46220</v>
      </c>
      <c r="D108" s="15">
        <v>1.0523</v>
      </c>
      <c r="E108" s="15">
        <v>1.3529</v>
      </c>
      <c r="F108" s="15">
        <v>1.3953</v>
      </c>
      <c r="G108" s="11">
        <v>0.0081</v>
      </c>
      <c r="H108" s="9">
        <f>MAX($F$2:F108)</f>
        <v>1.3953</v>
      </c>
      <c r="I108" s="11">
        <f t="shared" si="2"/>
        <v>0</v>
      </c>
      <c r="J108" s="9">
        <f>MAX($F$63:F108)</f>
        <v>1.3953</v>
      </c>
      <c r="K108" s="11">
        <f t="shared" si="1"/>
        <v>0</v>
      </c>
      <c r="L108" s="9"/>
      <c r="M108" s="11"/>
      <c r="N108" s="9" t="s">
        <v>1010</v>
      </c>
    </row>
    <row r="109" ht="25" customHeight="1" spans="1:14">
      <c r="A109" s="9" t="s">
        <v>383</v>
      </c>
      <c r="B109" s="9" t="s">
        <v>381</v>
      </c>
      <c r="C109" s="10">
        <v>46227</v>
      </c>
      <c r="D109" s="15">
        <v>1.0709</v>
      </c>
      <c r="E109" s="15">
        <v>1.3715</v>
      </c>
      <c r="F109" s="15">
        <v>1.4199</v>
      </c>
      <c r="G109" s="11">
        <v>0.0177</v>
      </c>
      <c r="H109" s="9">
        <f>MAX($F$2:F109)</f>
        <v>1.4199</v>
      </c>
      <c r="I109" s="11">
        <f t="shared" si="2"/>
        <v>0</v>
      </c>
      <c r="J109" s="9">
        <f>MAX($F$63:F109)</f>
        <v>1.4199</v>
      </c>
      <c r="K109" s="11">
        <f t="shared" si="1"/>
        <v>0</v>
      </c>
      <c r="L109" s="9"/>
      <c r="M109" s="11"/>
      <c r="N109" s="9" t="s">
        <v>1010</v>
      </c>
    </row>
    <row r="110" ht="25" customHeight="1" spans="1:14">
      <c r="A110" s="9" t="s">
        <v>383</v>
      </c>
      <c r="B110" s="9" t="s">
        <v>381</v>
      </c>
      <c r="C110" s="10">
        <v>46234</v>
      </c>
      <c r="D110" s="15">
        <v>1.0788</v>
      </c>
      <c r="E110" s="15">
        <v>1.3794</v>
      </c>
      <c r="F110" s="15">
        <v>1.4304</v>
      </c>
      <c r="G110" s="11">
        <v>0.0074</v>
      </c>
      <c r="H110" s="9">
        <f>MAX($F$2:F110)</f>
        <v>1.4304</v>
      </c>
      <c r="I110" s="11">
        <f t="shared" si="2"/>
        <v>0</v>
      </c>
      <c r="J110" s="9">
        <f>MAX($F$63:F110)</f>
        <v>1.4304</v>
      </c>
      <c r="K110" s="11">
        <f t="shared" si="1"/>
        <v>0</v>
      </c>
      <c r="L110" s="9"/>
      <c r="M110" s="11"/>
      <c r="N110" s="9" t="s">
        <v>1010</v>
      </c>
    </row>
    <row r="111" ht="25" customHeight="1" spans="1:14">
      <c r="A111" s="9" t="s">
        <v>383</v>
      </c>
      <c r="B111" s="9" t="s">
        <v>381</v>
      </c>
      <c r="C111" s="10">
        <v>46241</v>
      </c>
      <c r="D111" s="15">
        <v>1.0866</v>
      </c>
      <c r="E111" s="15">
        <v>1.3872</v>
      </c>
      <c r="F111" s="15">
        <v>1.4408</v>
      </c>
      <c r="G111" s="11">
        <v>0.0072</v>
      </c>
      <c r="H111" s="9">
        <f>MAX($F$2:F111)</f>
        <v>1.4408</v>
      </c>
      <c r="I111" s="11">
        <f t="shared" si="2"/>
        <v>0</v>
      </c>
      <c r="J111" s="9">
        <f>MAX($F$63:F111)</f>
        <v>1.4408</v>
      </c>
      <c r="K111" s="11">
        <f t="shared" si="1"/>
        <v>0</v>
      </c>
      <c r="L111" s="9"/>
      <c r="M111" s="11"/>
      <c r="N111" s="9" t="s">
        <v>1010</v>
      </c>
    </row>
    <row r="112" ht="25" customHeight="1" spans="1:14">
      <c r="A112" s="9" t="s">
        <v>383</v>
      </c>
      <c r="B112" s="9" t="s">
        <v>381</v>
      </c>
      <c r="C112" s="10">
        <v>46248</v>
      </c>
      <c r="D112" s="15">
        <v>1.0903</v>
      </c>
      <c r="E112" s="15">
        <v>1.3909</v>
      </c>
      <c r="F112" s="15">
        <v>1.4457</v>
      </c>
      <c r="G112" s="11">
        <v>0.0034</v>
      </c>
      <c r="H112" s="9">
        <f>MAX($F$2:F112)</f>
        <v>1.4457</v>
      </c>
      <c r="I112" s="11">
        <f t="shared" si="2"/>
        <v>0</v>
      </c>
      <c r="J112" s="9">
        <f>MAX($F$63:F112)</f>
        <v>1.4457</v>
      </c>
      <c r="K112" s="11">
        <f t="shared" si="1"/>
        <v>0</v>
      </c>
      <c r="L112" s="9"/>
      <c r="M112" s="11"/>
      <c r="N112" s="9" t="s">
        <v>1010</v>
      </c>
    </row>
    <row r="113" ht="25" customHeight="1" spans="1:14">
      <c r="A113" s="9" t="s">
        <v>383</v>
      </c>
      <c r="B113" s="9" t="s">
        <v>381</v>
      </c>
      <c r="C113" s="10">
        <v>46255</v>
      </c>
      <c r="D113" s="15">
        <v>1.098</v>
      </c>
      <c r="E113" s="15">
        <v>1.3986</v>
      </c>
      <c r="F113" s="15">
        <v>1.4559</v>
      </c>
      <c r="G113" s="11">
        <v>0.0071</v>
      </c>
      <c r="H113" s="9">
        <f>MAX($F$2:F113)</f>
        <v>1.4559</v>
      </c>
      <c r="I113" s="11">
        <f t="shared" si="2"/>
        <v>0</v>
      </c>
      <c r="J113" s="9">
        <f>MAX($F$63:F113)</f>
        <v>1.4559</v>
      </c>
      <c r="K113" s="11">
        <f t="shared" si="1"/>
        <v>0</v>
      </c>
      <c r="L113" s="9"/>
      <c r="M113" s="11"/>
      <c r="N113" s="9" t="s">
        <v>1010</v>
      </c>
    </row>
    <row r="114" ht="25" customHeight="1" spans="1:14">
      <c r="A114" s="9" t="s">
        <v>383</v>
      </c>
      <c r="B114" s="9" t="s">
        <v>381</v>
      </c>
      <c r="C114" s="10">
        <v>46262</v>
      </c>
      <c r="D114" s="15">
        <v>1.1009</v>
      </c>
      <c r="E114" s="15">
        <v>1.4015</v>
      </c>
      <c r="F114" s="15">
        <v>1.4597</v>
      </c>
      <c r="G114" s="11">
        <v>0.0026</v>
      </c>
      <c r="H114" s="9">
        <f>MAX($F$2:F114)</f>
        <v>1.4597</v>
      </c>
      <c r="I114" s="11">
        <f t="shared" si="2"/>
        <v>0</v>
      </c>
      <c r="J114" s="9">
        <f>MAX($F$63:F114)</f>
        <v>1.4597</v>
      </c>
      <c r="K114" s="11">
        <f t="shared" si="1"/>
        <v>0</v>
      </c>
      <c r="L114" s="9"/>
      <c r="M114" s="11"/>
      <c r="N114" s="9" t="s">
        <v>1010</v>
      </c>
    </row>
    <row r="115" ht="25" customHeight="1" spans="1:14">
      <c r="A115" s="9" t="s">
        <v>383</v>
      </c>
      <c r="B115" s="9" t="s">
        <v>381</v>
      </c>
      <c r="C115" s="10">
        <v>46269</v>
      </c>
      <c r="D115" s="15">
        <v>1.0991</v>
      </c>
      <c r="E115" s="15">
        <v>1.3997</v>
      </c>
      <c r="F115" s="15">
        <v>1.4573</v>
      </c>
      <c r="G115" s="11">
        <v>-0.0016</v>
      </c>
      <c r="H115" s="9">
        <f>MAX($F$2:F115)</f>
        <v>1.4597</v>
      </c>
      <c r="I115" s="11">
        <f t="shared" si="2"/>
        <v>0.00164417346029999</v>
      </c>
      <c r="J115" s="9">
        <f>MAX($F$63:F115)</f>
        <v>1.4597</v>
      </c>
      <c r="K115" s="11">
        <f t="shared" si="1"/>
        <v>0.00164417346029999</v>
      </c>
      <c r="L115" s="9"/>
      <c r="M115" s="11"/>
      <c r="N115" s="9" t="s">
        <v>1010</v>
      </c>
    </row>
    <row r="116" ht="25" customHeight="1" spans="1:14">
      <c r="A116" s="9" t="s">
        <v>388</v>
      </c>
      <c r="B116" s="9" t="s">
        <v>387</v>
      </c>
      <c r="C116" s="10">
        <v>44883</v>
      </c>
      <c r="D116" s="15">
        <v>1</v>
      </c>
      <c r="E116" s="15">
        <v>1</v>
      </c>
      <c r="F116" s="15">
        <v>1</v>
      </c>
      <c r="G116" s="11"/>
      <c r="H116" s="9">
        <f>MAX($F$116:F116)</f>
        <v>1</v>
      </c>
      <c r="I116" s="11">
        <f t="shared" si="2"/>
        <v>0</v>
      </c>
      <c r="J116" s="9"/>
      <c r="K116" s="11"/>
      <c r="L116" s="9"/>
      <c r="M116" s="11"/>
      <c r="N116" s="9" t="s">
        <v>813</v>
      </c>
    </row>
    <row r="117" ht="25" customHeight="1" spans="1:14">
      <c r="A117" s="9" t="s">
        <v>388</v>
      </c>
      <c r="B117" s="9" t="s">
        <v>387</v>
      </c>
      <c r="C117" s="10">
        <v>44890</v>
      </c>
      <c r="D117" s="15">
        <v>1.0002</v>
      </c>
      <c r="E117" s="15">
        <v>1.0002</v>
      </c>
      <c r="F117" s="15">
        <v>1.0002</v>
      </c>
      <c r="G117" s="11">
        <v>0.0002</v>
      </c>
      <c r="H117" s="9">
        <f>MAX($F$116:F117)</f>
        <v>1.0002</v>
      </c>
      <c r="I117" s="11">
        <f t="shared" si="2"/>
        <v>0</v>
      </c>
      <c r="J117" s="9"/>
      <c r="K117" s="11"/>
      <c r="L117" s="9"/>
      <c r="M117" s="11"/>
      <c r="N117" s="9" t="s">
        <v>813</v>
      </c>
    </row>
    <row r="118" ht="25" customHeight="1" spans="1:14">
      <c r="A118" s="9" t="s">
        <v>388</v>
      </c>
      <c r="B118" s="9" t="s">
        <v>387</v>
      </c>
      <c r="C118" s="10">
        <v>44895</v>
      </c>
      <c r="D118" s="15">
        <v>1.0002</v>
      </c>
      <c r="E118" s="15">
        <v>1.0002</v>
      </c>
      <c r="F118" s="15">
        <v>1.0002</v>
      </c>
      <c r="G118" s="11">
        <v>0</v>
      </c>
      <c r="H118" s="9">
        <f>MAX($F$116:F118)</f>
        <v>1.0002</v>
      </c>
      <c r="I118" s="11">
        <f t="shared" si="2"/>
        <v>0</v>
      </c>
      <c r="J118" s="9"/>
      <c r="K118" s="11"/>
      <c r="L118" s="9"/>
      <c r="M118" s="11"/>
      <c r="N118" s="9" t="s">
        <v>813</v>
      </c>
    </row>
    <row r="119" ht="25" customHeight="1" spans="1:14">
      <c r="A119" s="9" t="s">
        <v>388</v>
      </c>
      <c r="B119" s="9" t="s">
        <v>387</v>
      </c>
      <c r="C119" s="10">
        <v>44897</v>
      </c>
      <c r="D119" s="15">
        <v>1.0004</v>
      </c>
      <c r="E119" s="15">
        <v>1.0004</v>
      </c>
      <c r="F119" s="15">
        <v>1.0004</v>
      </c>
      <c r="G119" s="11">
        <v>0.0002</v>
      </c>
      <c r="H119" s="9">
        <f>MAX($F$116:F119)</f>
        <v>1.0004</v>
      </c>
      <c r="I119" s="11">
        <f t="shared" si="2"/>
        <v>0</v>
      </c>
      <c r="J119" s="9"/>
      <c r="K119" s="11"/>
      <c r="L119" s="9"/>
      <c r="M119" s="11"/>
      <c r="N119" s="9" t="s">
        <v>813</v>
      </c>
    </row>
    <row r="120" ht="25" customHeight="1" spans="1:14">
      <c r="A120" s="9" t="s">
        <v>388</v>
      </c>
      <c r="B120" s="9" t="s">
        <v>387</v>
      </c>
      <c r="C120" s="10">
        <v>44904</v>
      </c>
      <c r="D120" s="15">
        <v>1</v>
      </c>
      <c r="E120" s="15">
        <v>1</v>
      </c>
      <c r="F120" s="15">
        <v>1</v>
      </c>
      <c r="G120" s="11">
        <v>-0.0004</v>
      </c>
      <c r="H120" s="9">
        <f>MAX($F$116:F120)</f>
        <v>1.0004</v>
      </c>
      <c r="I120" s="11">
        <f t="shared" si="2"/>
        <v>0.000399840063974422</v>
      </c>
      <c r="J120" s="9"/>
      <c r="K120" s="11"/>
      <c r="L120" s="9"/>
      <c r="M120" s="11"/>
      <c r="N120" s="9" t="s">
        <v>813</v>
      </c>
    </row>
    <row r="121" ht="25" customHeight="1" spans="1:14">
      <c r="A121" s="9" t="s">
        <v>388</v>
      </c>
      <c r="B121" s="9" t="s">
        <v>387</v>
      </c>
      <c r="C121" s="10">
        <v>44911</v>
      </c>
      <c r="D121" s="15">
        <v>0.9986</v>
      </c>
      <c r="E121" s="15">
        <v>0.9986</v>
      </c>
      <c r="F121" s="15">
        <v>0.9986</v>
      </c>
      <c r="G121" s="11">
        <v>-0.0014</v>
      </c>
      <c r="H121" s="9">
        <f>MAX($F$116:F121)</f>
        <v>1.0004</v>
      </c>
      <c r="I121" s="11">
        <f t="shared" si="2"/>
        <v>0.00179928028788479</v>
      </c>
      <c r="J121" s="9"/>
      <c r="K121" s="11"/>
      <c r="L121" s="9"/>
      <c r="M121" s="11"/>
      <c r="N121" s="9" t="s">
        <v>813</v>
      </c>
    </row>
    <row r="122" ht="25" customHeight="1" spans="1:14">
      <c r="A122" s="9" t="s">
        <v>388</v>
      </c>
      <c r="B122" s="9" t="s">
        <v>387</v>
      </c>
      <c r="C122" s="10">
        <v>44918</v>
      </c>
      <c r="D122" s="15">
        <v>0.9983</v>
      </c>
      <c r="E122" s="15">
        <v>0.9983</v>
      </c>
      <c r="F122" s="15">
        <v>0.9983</v>
      </c>
      <c r="G122" s="11">
        <v>-0.0003</v>
      </c>
      <c r="H122" s="9">
        <f>MAX($F$116:F122)</f>
        <v>1.0004</v>
      </c>
      <c r="I122" s="11">
        <f t="shared" si="2"/>
        <v>0.00209916033586566</v>
      </c>
      <c r="J122" s="9"/>
      <c r="K122" s="11"/>
      <c r="L122" s="9"/>
      <c r="M122" s="11"/>
      <c r="N122" s="9" t="s">
        <v>813</v>
      </c>
    </row>
    <row r="123" ht="25" customHeight="1" spans="1:14">
      <c r="A123" s="9" t="s">
        <v>388</v>
      </c>
      <c r="B123" s="9" t="s">
        <v>387</v>
      </c>
      <c r="C123" s="10">
        <v>44925</v>
      </c>
      <c r="D123" s="15">
        <v>0.9996</v>
      </c>
      <c r="E123" s="15">
        <v>0.9996</v>
      </c>
      <c r="F123" s="15">
        <v>0.9996</v>
      </c>
      <c r="G123" s="11">
        <v>0.0013</v>
      </c>
      <c r="H123" s="9">
        <f>MAX($F$116:F123)</f>
        <v>1.0004</v>
      </c>
      <c r="I123" s="11">
        <f t="shared" si="2"/>
        <v>0.000799680127948732</v>
      </c>
      <c r="J123" s="9"/>
      <c r="K123" s="11"/>
      <c r="L123" s="9"/>
      <c r="M123" s="11"/>
      <c r="N123" s="9" t="s">
        <v>813</v>
      </c>
    </row>
    <row r="124" ht="25" customHeight="1" spans="1:14">
      <c r="A124" s="9" t="s">
        <v>388</v>
      </c>
      <c r="B124" s="9" t="s">
        <v>387</v>
      </c>
      <c r="C124" s="10">
        <v>44929</v>
      </c>
      <c r="D124" s="15">
        <v>0.9996</v>
      </c>
      <c r="E124" s="15">
        <v>0.9996</v>
      </c>
      <c r="F124" s="15">
        <v>0.9996</v>
      </c>
      <c r="G124" s="11">
        <v>0</v>
      </c>
      <c r="H124" s="9">
        <f>MAX($F$116:F124)</f>
        <v>1.0004</v>
      </c>
      <c r="I124" s="11">
        <f t="shared" si="2"/>
        <v>0.000799680127948732</v>
      </c>
      <c r="J124" s="9"/>
      <c r="K124" s="11"/>
      <c r="L124" s="9"/>
      <c r="M124" s="11"/>
      <c r="N124" s="9" t="s">
        <v>813</v>
      </c>
    </row>
    <row r="125" ht="25" customHeight="1" spans="1:14">
      <c r="A125" s="9" t="s">
        <v>388</v>
      </c>
      <c r="B125" s="9" t="s">
        <v>387</v>
      </c>
      <c r="C125" s="10">
        <v>44930</v>
      </c>
      <c r="D125" s="15">
        <v>0.9999</v>
      </c>
      <c r="E125" s="15">
        <v>0.9999</v>
      </c>
      <c r="F125" s="15">
        <v>0.9999</v>
      </c>
      <c r="G125" s="11">
        <v>0.0003</v>
      </c>
      <c r="H125" s="9">
        <f>MAX($F$116:F125)</f>
        <v>1.0004</v>
      </c>
      <c r="I125" s="11">
        <f t="shared" si="2"/>
        <v>0.000499800079967971</v>
      </c>
      <c r="J125" s="9"/>
      <c r="K125" s="11"/>
      <c r="L125" s="9"/>
      <c r="M125" s="11"/>
      <c r="N125" s="9" t="s">
        <v>813</v>
      </c>
    </row>
    <row r="126" ht="25" customHeight="1" spans="1:14">
      <c r="A126" s="9" t="s">
        <v>388</v>
      </c>
      <c r="B126" s="9" t="s">
        <v>387</v>
      </c>
      <c r="C126" s="10">
        <v>44932</v>
      </c>
      <c r="D126" s="15">
        <v>0.9998</v>
      </c>
      <c r="E126" s="15">
        <v>0.9998</v>
      </c>
      <c r="F126" s="15">
        <v>0.9998</v>
      </c>
      <c r="G126" s="11">
        <v>-0.0001</v>
      </c>
      <c r="H126" s="9">
        <f>MAX($F$116:F126)</f>
        <v>1.0004</v>
      </c>
      <c r="I126" s="11">
        <f t="shared" si="2"/>
        <v>0.000599760095961521</v>
      </c>
      <c r="J126" s="9"/>
      <c r="K126" s="11"/>
      <c r="L126" s="9"/>
      <c r="M126" s="11"/>
      <c r="N126" s="9" t="s">
        <v>813</v>
      </c>
    </row>
    <row r="127" ht="25" customHeight="1" spans="1:14">
      <c r="A127" s="9" t="s">
        <v>388</v>
      </c>
      <c r="B127" s="9" t="s">
        <v>387</v>
      </c>
      <c r="C127" s="10">
        <v>44939</v>
      </c>
      <c r="D127" s="15">
        <v>1.0001</v>
      </c>
      <c r="E127" s="15">
        <v>1.0001</v>
      </c>
      <c r="F127" s="15">
        <v>1.0001</v>
      </c>
      <c r="G127" s="11">
        <v>0.0003</v>
      </c>
      <c r="H127" s="9">
        <f>MAX($F$116:F127)</f>
        <v>1.0004</v>
      </c>
      <c r="I127" s="11">
        <f t="shared" si="2"/>
        <v>0.000299880047980761</v>
      </c>
      <c r="J127" s="9"/>
      <c r="K127" s="11"/>
      <c r="L127" s="9"/>
      <c r="M127" s="11"/>
      <c r="N127" s="9" t="s">
        <v>813</v>
      </c>
    </row>
    <row r="128" ht="25" customHeight="1" spans="1:14">
      <c r="A128" s="9" t="s">
        <v>388</v>
      </c>
      <c r="B128" s="9" t="s">
        <v>387</v>
      </c>
      <c r="C128" s="10">
        <v>44946</v>
      </c>
      <c r="D128" s="15">
        <v>1.0001</v>
      </c>
      <c r="E128" s="15">
        <v>1.0001</v>
      </c>
      <c r="F128" s="15">
        <v>1.0001</v>
      </c>
      <c r="G128" s="11">
        <v>0</v>
      </c>
      <c r="H128" s="9">
        <f>MAX($F$116:F128)</f>
        <v>1.0004</v>
      </c>
      <c r="I128" s="11">
        <f t="shared" si="2"/>
        <v>0.000299880047980761</v>
      </c>
      <c r="J128" s="9"/>
      <c r="K128" s="11"/>
      <c r="L128" s="9"/>
      <c r="M128" s="11"/>
      <c r="N128" s="9" t="s">
        <v>813</v>
      </c>
    </row>
    <row r="129" ht="25" customHeight="1" spans="1:14">
      <c r="A129" s="9" t="s">
        <v>388</v>
      </c>
      <c r="B129" s="9" t="s">
        <v>387</v>
      </c>
      <c r="C129" s="10">
        <v>44957</v>
      </c>
      <c r="D129" s="15">
        <v>1.0001</v>
      </c>
      <c r="E129" s="15">
        <v>1.0001</v>
      </c>
      <c r="F129" s="15">
        <v>1.0001</v>
      </c>
      <c r="G129" s="11">
        <v>0</v>
      </c>
      <c r="H129" s="9">
        <f>MAX($F$116:F129)</f>
        <v>1.0004</v>
      </c>
      <c r="I129" s="11">
        <f t="shared" si="2"/>
        <v>0.000299880047980761</v>
      </c>
      <c r="J129" s="9"/>
      <c r="K129" s="11"/>
      <c r="L129" s="9"/>
      <c r="M129" s="11"/>
      <c r="N129" s="9" t="s">
        <v>813</v>
      </c>
    </row>
    <row r="130" ht="25" customHeight="1" spans="1:14">
      <c r="A130" s="9" t="s">
        <v>388</v>
      </c>
      <c r="B130" s="9" t="s">
        <v>387</v>
      </c>
      <c r="C130" s="10">
        <v>44960</v>
      </c>
      <c r="D130" s="15">
        <v>1.0031</v>
      </c>
      <c r="E130" s="15">
        <v>1.0031</v>
      </c>
      <c r="F130" s="15">
        <v>1.0031</v>
      </c>
      <c r="G130" s="11">
        <v>0.003</v>
      </c>
      <c r="H130" s="9">
        <f>MAX($F$116:F130)</f>
        <v>1.0031</v>
      </c>
      <c r="I130" s="11">
        <f t="shared" ref="I130:I193" si="3">1-F130/H130</f>
        <v>0</v>
      </c>
      <c r="J130" s="9"/>
      <c r="K130" s="11"/>
      <c r="L130" s="9"/>
      <c r="M130" s="11"/>
      <c r="N130" s="9" t="s">
        <v>813</v>
      </c>
    </row>
    <row r="131" ht="25" customHeight="1" spans="1:14">
      <c r="A131" s="9" t="s">
        <v>388</v>
      </c>
      <c r="B131" s="9" t="s">
        <v>387</v>
      </c>
      <c r="C131" s="10">
        <v>44967</v>
      </c>
      <c r="D131" s="15">
        <v>1.0039</v>
      </c>
      <c r="E131" s="15">
        <v>1.0039</v>
      </c>
      <c r="F131" s="15">
        <v>1.0039</v>
      </c>
      <c r="G131" s="11">
        <v>0.0008</v>
      </c>
      <c r="H131" s="9">
        <f>MAX($F$116:F131)</f>
        <v>1.0039</v>
      </c>
      <c r="I131" s="11">
        <f t="shared" si="3"/>
        <v>0</v>
      </c>
      <c r="J131" s="9"/>
      <c r="K131" s="11"/>
      <c r="L131" s="9"/>
      <c r="M131" s="11"/>
      <c r="N131" s="9" t="s">
        <v>813</v>
      </c>
    </row>
    <row r="132" ht="25" customHeight="1" spans="1:14">
      <c r="A132" s="9" t="s">
        <v>388</v>
      </c>
      <c r="B132" s="9" t="s">
        <v>387</v>
      </c>
      <c r="C132" s="10">
        <v>44974</v>
      </c>
      <c r="D132" s="15">
        <v>0.9995</v>
      </c>
      <c r="E132" s="15">
        <v>0.9995</v>
      </c>
      <c r="F132" s="15">
        <v>0.9995</v>
      </c>
      <c r="G132" s="11">
        <v>-0.0044</v>
      </c>
      <c r="H132" s="9">
        <f>MAX($F$116:F132)</f>
        <v>1.0039</v>
      </c>
      <c r="I132" s="11">
        <f t="shared" si="3"/>
        <v>0.00438290666401031</v>
      </c>
      <c r="J132" s="9"/>
      <c r="K132" s="11"/>
      <c r="L132" s="9"/>
      <c r="M132" s="11"/>
      <c r="N132" s="9" t="s">
        <v>813</v>
      </c>
    </row>
    <row r="133" ht="25" customHeight="1" spans="1:14">
      <c r="A133" s="9" t="s">
        <v>388</v>
      </c>
      <c r="B133" s="9" t="s">
        <v>387</v>
      </c>
      <c r="C133" s="10">
        <v>44981</v>
      </c>
      <c r="D133" s="15">
        <v>0.9975</v>
      </c>
      <c r="E133" s="15">
        <v>0.9975</v>
      </c>
      <c r="F133" s="15">
        <v>0.9975</v>
      </c>
      <c r="G133" s="11">
        <v>-0.002</v>
      </c>
      <c r="H133" s="9">
        <f>MAX($F$116:F133)</f>
        <v>1.0039</v>
      </c>
      <c r="I133" s="11">
        <f t="shared" si="3"/>
        <v>0.00637513696583325</v>
      </c>
      <c r="J133" s="9"/>
      <c r="K133" s="11"/>
      <c r="L133" s="9"/>
      <c r="M133" s="11"/>
      <c r="N133" s="9" t="s">
        <v>813</v>
      </c>
    </row>
    <row r="134" ht="25" customHeight="1" spans="1:14">
      <c r="A134" s="9" t="s">
        <v>388</v>
      </c>
      <c r="B134" s="9" t="s">
        <v>387</v>
      </c>
      <c r="C134" s="10">
        <v>44985</v>
      </c>
      <c r="D134" s="15">
        <v>0.9975</v>
      </c>
      <c r="E134" s="15">
        <v>0.9975</v>
      </c>
      <c r="F134" s="15">
        <v>0.9975</v>
      </c>
      <c r="G134" s="11">
        <v>0</v>
      </c>
      <c r="H134" s="9">
        <f>MAX($F$116:F134)</f>
        <v>1.0039</v>
      </c>
      <c r="I134" s="11">
        <f t="shared" si="3"/>
        <v>0.00637513696583325</v>
      </c>
      <c r="J134" s="9"/>
      <c r="K134" s="11"/>
      <c r="L134" s="9"/>
      <c r="M134" s="11"/>
      <c r="N134" s="9" t="s">
        <v>813</v>
      </c>
    </row>
    <row r="135" ht="25" customHeight="1" spans="1:14">
      <c r="A135" s="9" t="s">
        <v>388</v>
      </c>
      <c r="B135" s="9" t="s">
        <v>387</v>
      </c>
      <c r="C135" s="10">
        <v>44988</v>
      </c>
      <c r="D135" s="15">
        <v>0.9962</v>
      </c>
      <c r="E135" s="15">
        <v>0.9962</v>
      </c>
      <c r="F135" s="15">
        <v>0.9962</v>
      </c>
      <c r="G135" s="11">
        <v>-0.0013</v>
      </c>
      <c r="H135" s="9">
        <f>MAX($F$116:F135)</f>
        <v>1.0039</v>
      </c>
      <c r="I135" s="11">
        <f t="shared" si="3"/>
        <v>0.00767008666201818</v>
      </c>
      <c r="J135" s="9"/>
      <c r="K135" s="11"/>
      <c r="L135" s="9"/>
      <c r="M135" s="11"/>
      <c r="N135" s="9" t="s">
        <v>813</v>
      </c>
    </row>
    <row r="136" ht="25" customHeight="1" spans="1:14">
      <c r="A136" s="9" t="s">
        <v>388</v>
      </c>
      <c r="B136" s="9" t="s">
        <v>387</v>
      </c>
      <c r="C136" s="10">
        <v>44995</v>
      </c>
      <c r="D136" s="15">
        <v>0.996</v>
      </c>
      <c r="E136" s="15">
        <v>0.996</v>
      </c>
      <c r="F136" s="15">
        <v>0.996</v>
      </c>
      <c r="G136" s="11">
        <v>-0.0002</v>
      </c>
      <c r="H136" s="9">
        <f>MAX($F$116:F136)</f>
        <v>1.0039</v>
      </c>
      <c r="I136" s="11">
        <f t="shared" si="3"/>
        <v>0.00786930969220045</v>
      </c>
      <c r="J136" s="9"/>
      <c r="K136" s="11"/>
      <c r="L136" s="9"/>
      <c r="M136" s="11"/>
      <c r="N136" s="9" t="s">
        <v>813</v>
      </c>
    </row>
    <row r="137" ht="25" customHeight="1" spans="1:14">
      <c r="A137" s="9" t="s">
        <v>388</v>
      </c>
      <c r="B137" s="9" t="s">
        <v>387</v>
      </c>
      <c r="C137" s="10">
        <v>45002</v>
      </c>
      <c r="D137" s="15">
        <v>0.9935</v>
      </c>
      <c r="E137" s="15">
        <v>0.9935</v>
      </c>
      <c r="F137" s="15">
        <v>0.9935</v>
      </c>
      <c r="G137" s="11">
        <v>-0.0025</v>
      </c>
      <c r="H137" s="9">
        <f>MAX($F$116:F137)</f>
        <v>1.0039</v>
      </c>
      <c r="I137" s="11">
        <f t="shared" si="3"/>
        <v>0.010359597569479</v>
      </c>
      <c r="J137" s="9"/>
      <c r="K137" s="11"/>
      <c r="L137" s="9"/>
      <c r="M137" s="11"/>
      <c r="N137" s="9" t="s">
        <v>813</v>
      </c>
    </row>
    <row r="138" ht="25" customHeight="1" spans="1:14">
      <c r="A138" s="9" t="s">
        <v>388</v>
      </c>
      <c r="B138" s="9" t="s">
        <v>387</v>
      </c>
      <c r="C138" s="10">
        <v>45009</v>
      </c>
      <c r="D138" s="15">
        <v>0.9955</v>
      </c>
      <c r="E138" s="15">
        <v>0.9955</v>
      </c>
      <c r="F138" s="15">
        <v>0.9955</v>
      </c>
      <c r="G138" s="11">
        <v>0.002</v>
      </c>
      <c r="H138" s="9">
        <f>MAX($F$116:F138)</f>
        <v>1.0039</v>
      </c>
      <c r="I138" s="11">
        <f t="shared" si="3"/>
        <v>0.00836736726765608</v>
      </c>
      <c r="J138" s="9"/>
      <c r="K138" s="11"/>
      <c r="L138" s="9"/>
      <c r="M138" s="11"/>
      <c r="N138" s="9" t="s">
        <v>813</v>
      </c>
    </row>
    <row r="139" ht="25" customHeight="1" spans="1:14">
      <c r="A139" s="9" t="s">
        <v>388</v>
      </c>
      <c r="B139" s="9" t="s">
        <v>387</v>
      </c>
      <c r="C139" s="10">
        <v>45016</v>
      </c>
      <c r="D139" s="15">
        <v>0.9913</v>
      </c>
      <c r="E139" s="15">
        <v>0.9913</v>
      </c>
      <c r="F139" s="15">
        <v>0.9913</v>
      </c>
      <c r="G139" s="11">
        <v>-0.0042</v>
      </c>
      <c r="H139" s="9">
        <f>MAX($F$116:F139)</f>
        <v>1.0039</v>
      </c>
      <c r="I139" s="11">
        <f t="shared" si="3"/>
        <v>0.0125510509014842</v>
      </c>
      <c r="J139" s="9"/>
      <c r="K139" s="11"/>
      <c r="L139" s="9"/>
      <c r="M139" s="11"/>
      <c r="N139" s="9" t="s">
        <v>813</v>
      </c>
    </row>
    <row r="140" ht="25" customHeight="1" spans="1:14">
      <c r="A140" s="9" t="s">
        <v>388</v>
      </c>
      <c r="B140" s="9" t="s">
        <v>387</v>
      </c>
      <c r="C140" s="10">
        <v>45023</v>
      </c>
      <c r="D140" s="15">
        <v>0.9912</v>
      </c>
      <c r="E140" s="15">
        <v>0.9912</v>
      </c>
      <c r="F140" s="15">
        <v>0.9912</v>
      </c>
      <c r="G140" s="11">
        <v>-0.0001</v>
      </c>
      <c r="H140" s="9">
        <f>MAX($F$116:F140)</f>
        <v>1.0039</v>
      </c>
      <c r="I140" s="11">
        <f t="shared" si="3"/>
        <v>0.0126506624165754</v>
      </c>
      <c r="J140" s="9"/>
      <c r="K140" s="11"/>
      <c r="L140" s="9"/>
      <c r="M140" s="11"/>
      <c r="N140" s="9" t="s">
        <v>813</v>
      </c>
    </row>
    <row r="141" ht="25" customHeight="1" spans="1:14">
      <c r="A141" s="9" t="s">
        <v>388</v>
      </c>
      <c r="B141" s="9" t="s">
        <v>387</v>
      </c>
      <c r="C141" s="10">
        <v>45030</v>
      </c>
      <c r="D141" s="15">
        <v>0.9904</v>
      </c>
      <c r="E141" s="15">
        <v>0.9904</v>
      </c>
      <c r="F141" s="15">
        <v>0.9904</v>
      </c>
      <c r="G141" s="11">
        <v>-0.0008</v>
      </c>
      <c r="H141" s="9">
        <f>MAX($F$116:F141)</f>
        <v>1.0039</v>
      </c>
      <c r="I141" s="11">
        <f t="shared" si="3"/>
        <v>0.0134475545373046</v>
      </c>
      <c r="J141" s="9"/>
      <c r="K141" s="11"/>
      <c r="L141" s="9"/>
      <c r="M141" s="11"/>
      <c r="N141" s="9" t="s">
        <v>813</v>
      </c>
    </row>
    <row r="142" ht="25" customHeight="1" spans="1:14">
      <c r="A142" s="9" t="s">
        <v>388</v>
      </c>
      <c r="B142" s="9" t="s">
        <v>387</v>
      </c>
      <c r="C142" s="10">
        <v>45037</v>
      </c>
      <c r="D142" s="15">
        <v>0.9907</v>
      </c>
      <c r="E142" s="15">
        <v>0.9907</v>
      </c>
      <c r="F142" s="15">
        <v>0.9907</v>
      </c>
      <c r="G142" s="11">
        <v>0.0003</v>
      </c>
      <c r="H142" s="9">
        <f>MAX($F$116:F142)</f>
        <v>1.0039</v>
      </c>
      <c r="I142" s="11">
        <f t="shared" si="3"/>
        <v>0.013148719992031</v>
      </c>
      <c r="J142" s="9"/>
      <c r="K142" s="11"/>
      <c r="L142" s="9"/>
      <c r="M142" s="11"/>
      <c r="N142" s="9" t="s">
        <v>813</v>
      </c>
    </row>
    <row r="143" ht="25" customHeight="1" spans="1:14">
      <c r="A143" s="9" t="s">
        <v>388</v>
      </c>
      <c r="B143" s="9" t="s">
        <v>387</v>
      </c>
      <c r="C143" s="10">
        <v>45044</v>
      </c>
      <c r="D143" s="15">
        <v>0.9907</v>
      </c>
      <c r="E143" s="15">
        <v>0.9907</v>
      </c>
      <c r="F143" s="15">
        <v>0.9907</v>
      </c>
      <c r="G143" s="11">
        <v>0</v>
      </c>
      <c r="H143" s="9">
        <f>MAX($F$116:F143)</f>
        <v>1.0039</v>
      </c>
      <c r="I143" s="11">
        <f t="shared" si="3"/>
        <v>0.013148719992031</v>
      </c>
      <c r="J143" s="9"/>
      <c r="K143" s="11"/>
      <c r="L143" s="9"/>
      <c r="M143" s="11"/>
      <c r="N143" s="9" t="s">
        <v>813</v>
      </c>
    </row>
    <row r="144" ht="25" customHeight="1" spans="1:14">
      <c r="A144" s="9" t="s">
        <v>388</v>
      </c>
      <c r="B144" s="9" t="s">
        <v>387</v>
      </c>
      <c r="C144" s="10">
        <v>45051</v>
      </c>
      <c r="D144" s="15">
        <v>0.9911</v>
      </c>
      <c r="E144" s="15">
        <v>0.9911</v>
      </c>
      <c r="F144" s="15">
        <v>0.9911</v>
      </c>
      <c r="G144" s="11">
        <v>0.0004</v>
      </c>
      <c r="H144" s="9">
        <f>MAX($F$116:F144)</f>
        <v>1.0039</v>
      </c>
      <c r="I144" s="11">
        <f t="shared" si="3"/>
        <v>0.0127502739316665</v>
      </c>
      <c r="J144" s="9"/>
      <c r="K144" s="11"/>
      <c r="L144" s="9"/>
      <c r="M144" s="11"/>
      <c r="N144" s="9" t="s">
        <v>813</v>
      </c>
    </row>
    <row r="145" ht="25" customHeight="1" spans="1:14">
      <c r="A145" s="9" t="s">
        <v>388</v>
      </c>
      <c r="B145" s="9" t="s">
        <v>387</v>
      </c>
      <c r="C145" s="10">
        <v>45058</v>
      </c>
      <c r="D145" s="15">
        <v>0.9907</v>
      </c>
      <c r="E145" s="15">
        <v>0.9907</v>
      </c>
      <c r="F145" s="15">
        <v>0.9907</v>
      </c>
      <c r="G145" s="11">
        <v>-0.0004</v>
      </c>
      <c r="H145" s="9">
        <f>MAX($F$116:F145)</f>
        <v>1.0039</v>
      </c>
      <c r="I145" s="11">
        <f t="shared" si="3"/>
        <v>0.013148719992031</v>
      </c>
      <c r="J145" s="9"/>
      <c r="K145" s="11"/>
      <c r="L145" s="9"/>
      <c r="M145" s="11"/>
      <c r="N145" s="9" t="s">
        <v>813</v>
      </c>
    </row>
    <row r="146" ht="25" customHeight="1" spans="1:14">
      <c r="A146" s="9" t="s">
        <v>388</v>
      </c>
      <c r="B146" s="9" t="s">
        <v>387</v>
      </c>
      <c r="C146" s="10">
        <v>45065</v>
      </c>
      <c r="D146" s="15">
        <v>0.9911</v>
      </c>
      <c r="E146" s="15">
        <v>0.9911</v>
      </c>
      <c r="F146" s="15">
        <v>0.9911</v>
      </c>
      <c r="G146" s="11">
        <v>0.0004</v>
      </c>
      <c r="H146" s="9">
        <f>MAX($F$116:F146)</f>
        <v>1.0039</v>
      </c>
      <c r="I146" s="11">
        <f t="shared" si="3"/>
        <v>0.0127502739316665</v>
      </c>
      <c r="J146" s="9"/>
      <c r="K146" s="11"/>
      <c r="L146" s="9"/>
      <c r="M146" s="11"/>
      <c r="N146" s="9" t="s">
        <v>813</v>
      </c>
    </row>
    <row r="147" ht="25" customHeight="1" spans="1:14">
      <c r="A147" s="9" t="s">
        <v>388</v>
      </c>
      <c r="B147" s="9" t="s">
        <v>387</v>
      </c>
      <c r="C147" s="10">
        <v>45072</v>
      </c>
      <c r="D147" s="15">
        <v>0.9911</v>
      </c>
      <c r="E147" s="15">
        <v>0.9911</v>
      </c>
      <c r="F147" s="15">
        <v>0.9911</v>
      </c>
      <c r="G147" s="11">
        <v>0</v>
      </c>
      <c r="H147" s="9">
        <f>MAX($F$116:F147)</f>
        <v>1.0039</v>
      </c>
      <c r="I147" s="11">
        <f t="shared" si="3"/>
        <v>0.0127502739316665</v>
      </c>
      <c r="J147" s="9"/>
      <c r="K147" s="11"/>
      <c r="L147" s="9"/>
      <c r="M147" s="11"/>
      <c r="N147" s="9" t="s">
        <v>813</v>
      </c>
    </row>
    <row r="148" ht="25" customHeight="1" spans="1:14">
      <c r="A148" s="9" t="s">
        <v>388</v>
      </c>
      <c r="B148" s="9" t="s">
        <v>387</v>
      </c>
      <c r="C148" s="10">
        <v>45077</v>
      </c>
      <c r="D148" s="15">
        <v>0.991</v>
      </c>
      <c r="E148" s="15">
        <v>0.991</v>
      </c>
      <c r="F148" s="15">
        <v>0.991</v>
      </c>
      <c r="G148" s="11">
        <v>-0.0001</v>
      </c>
      <c r="H148" s="9">
        <f>MAX($F$116:F148)</f>
        <v>1.0039</v>
      </c>
      <c r="I148" s="11">
        <f t="shared" si="3"/>
        <v>0.0128498854467577</v>
      </c>
      <c r="J148" s="9"/>
      <c r="K148" s="11"/>
      <c r="L148" s="9"/>
      <c r="M148" s="11"/>
      <c r="N148" s="9" t="s">
        <v>813</v>
      </c>
    </row>
    <row r="149" ht="25" customHeight="1" spans="1:14">
      <c r="A149" s="9" t="s">
        <v>388</v>
      </c>
      <c r="B149" s="9" t="s">
        <v>387</v>
      </c>
      <c r="C149" s="10">
        <v>45079</v>
      </c>
      <c r="D149" s="15">
        <v>0.9912</v>
      </c>
      <c r="E149" s="15">
        <v>0.9912</v>
      </c>
      <c r="F149" s="15">
        <v>0.9912</v>
      </c>
      <c r="G149" s="11">
        <v>0.0002</v>
      </c>
      <c r="H149" s="9">
        <f>MAX($F$116:F149)</f>
        <v>1.0039</v>
      </c>
      <c r="I149" s="11">
        <f t="shared" si="3"/>
        <v>0.0126506624165754</v>
      </c>
      <c r="J149" s="9"/>
      <c r="K149" s="11"/>
      <c r="L149" s="9"/>
      <c r="M149" s="11"/>
      <c r="N149" s="9" t="s">
        <v>813</v>
      </c>
    </row>
    <row r="150" ht="25" customHeight="1" spans="1:14">
      <c r="A150" s="9" t="s">
        <v>388</v>
      </c>
      <c r="B150" s="9" t="s">
        <v>387</v>
      </c>
      <c r="C150" s="10">
        <v>45086</v>
      </c>
      <c r="D150" s="15">
        <v>0.9906</v>
      </c>
      <c r="E150" s="15">
        <v>0.9906</v>
      </c>
      <c r="F150" s="15">
        <v>0.9906</v>
      </c>
      <c r="G150" s="11">
        <v>-0.0006</v>
      </c>
      <c r="H150" s="9">
        <f>MAX($F$116:F150)</f>
        <v>1.0039</v>
      </c>
      <c r="I150" s="11">
        <f t="shared" si="3"/>
        <v>0.0132483315071222</v>
      </c>
      <c r="J150" s="9"/>
      <c r="K150" s="11"/>
      <c r="L150" s="9"/>
      <c r="M150" s="11"/>
      <c r="N150" s="9" t="s">
        <v>813</v>
      </c>
    </row>
    <row r="151" ht="25" customHeight="1" spans="1:14">
      <c r="A151" s="9" t="s">
        <v>388</v>
      </c>
      <c r="B151" s="9" t="s">
        <v>387</v>
      </c>
      <c r="C151" s="10">
        <v>45093</v>
      </c>
      <c r="D151" s="15">
        <v>0.9923</v>
      </c>
      <c r="E151" s="15">
        <v>0.9923</v>
      </c>
      <c r="F151" s="15">
        <v>0.9923</v>
      </c>
      <c r="G151" s="11">
        <v>0.0017</v>
      </c>
      <c r="H151" s="9">
        <f>MAX($F$116:F151)</f>
        <v>1.0039</v>
      </c>
      <c r="I151" s="11">
        <f t="shared" si="3"/>
        <v>0.0115549357505729</v>
      </c>
      <c r="J151" s="9"/>
      <c r="K151" s="11"/>
      <c r="L151" s="9"/>
      <c r="M151" s="11"/>
      <c r="N151" s="9" t="s">
        <v>813</v>
      </c>
    </row>
    <row r="152" ht="25" customHeight="1" spans="1:14">
      <c r="A152" s="9" t="s">
        <v>388</v>
      </c>
      <c r="B152" s="9" t="s">
        <v>387</v>
      </c>
      <c r="C152" s="10">
        <v>45098</v>
      </c>
      <c r="D152" s="15">
        <v>0.9925</v>
      </c>
      <c r="E152" s="15">
        <v>0.9925</v>
      </c>
      <c r="F152" s="15">
        <v>0.9925</v>
      </c>
      <c r="G152" s="11">
        <v>0.0002</v>
      </c>
      <c r="H152" s="9">
        <f>MAX($F$116:F152)</f>
        <v>1.0039</v>
      </c>
      <c r="I152" s="11">
        <f t="shared" si="3"/>
        <v>0.0113557127203905</v>
      </c>
      <c r="J152" s="9"/>
      <c r="K152" s="11"/>
      <c r="L152" s="9"/>
      <c r="M152" s="11"/>
      <c r="N152" s="9" t="s">
        <v>813</v>
      </c>
    </row>
    <row r="153" ht="25" customHeight="1" spans="1:14">
      <c r="A153" s="9" t="s">
        <v>388</v>
      </c>
      <c r="B153" s="9" t="s">
        <v>387</v>
      </c>
      <c r="C153" s="10">
        <v>45107</v>
      </c>
      <c r="D153" s="15">
        <v>0.9928</v>
      </c>
      <c r="E153" s="15">
        <v>0.9928</v>
      </c>
      <c r="F153" s="15">
        <v>0.9928</v>
      </c>
      <c r="G153" s="11">
        <v>0.0003</v>
      </c>
      <c r="H153" s="9">
        <f>MAX($F$116:F153)</f>
        <v>1.0039</v>
      </c>
      <c r="I153" s="11">
        <f t="shared" si="3"/>
        <v>0.011056878175117</v>
      </c>
      <c r="J153" s="9"/>
      <c r="K153" s="11"/>
      <c r="L153" s="9"/>
      <c r="M153" s="11"/>
      <c r="N153" s="9" t="s">
        <v>813</v>
      </c>
    </row>
    <row r="154" ht="25" customHeight="1" spans="1:14">
      <c r="A154" s="9" t="s">
        <v>388</v>
      </c>
      <c r="B154" s="9" t="s">
        <v>387</v>
      </c>
      <c r="C154" s="10">
        <v>45114</v>
      </c>
      <c r="D154" s="15">
        <v>0.9935</v>
      </c>
      <c r="E154" s="15">
        <v>0.9935</v>
      </c>
      <c r="F154" s="15">
        <v>0.9935</v>
      </c>
      <c r="G154" s="11">
        <v>0.0007</v>
      </c>
      <c r="H154" s="9">
        <f>MAX($F$116:F154)</f>
        <v>1.0039</v>
      </c>
      <c r="I154" s="11">
        <f t="shared" si="3"/>
        <v>0.010359597569479</v>
      </c>
      <c r="J154" s="9"/>
      <c r="K154" s="11"/>
      <c r="L154" s="9"/>
      <c r="M154" s="11"/>
      <c r="N154" s="9" t="s">
        <v>813</v>
      </c>
    </row>
    <row r="155" ht="25" customHeight="1" spans="1:14">
      <c r="A155" s="9" t="s">
        <v>388</v>
      </c>
      <c r="B155" s="9" t="s">
        <v>387</v>
      </c>
      <c r="C155" s="10">
        <v>45121</v>
      </c>
      <c r="D155" s="15">
        <v>0.9943</v>
      </c>
      <c r="E155" s="15">
        <v>0.9943</v>
      </c>
      <c r="F155" s="15">
        <v>0.9943</v>
      </c>
      <c r="G155" s="11">
        <v>0.0008</v>
      </c>
      <c r="H155" s="9">
        <f>MAX($F$116:F155)</f>
        <v>1.0039</v>
      </c>
      <c r="I155" s="11">
        <f t="shared" si="3"/>
        <v>0.00956270544874993</v>
      </c>
      <c r="J155" s="9"/>
      <c r="K155" s="11"/>
      <c r="L155" s="9"/>
      <c r="M155" s="11"/>
      <c r="N155" s="9" t="s">
        <v>813</v>
      </c>
    </row>
    <row r="156" ht="25" customHeight="1" spans="1:14">
      <c r="A156" s="9" t="s">
        <v>388</v>
      </c>
      <c r="B156" s="9" t="s">
        <v>387</v>
      </c>
      <c r="C156" s="10">
        <v>45128</v>
      </c>
      <c r="D156" s="15">
        <v>0.9929</v>
      </c>
      <c r="E156" s="15">
        <v>0.9929</v>
      </c>
      <c r="F156" s="15">
        <v>0.9929</v>
      </c>
      <c r="G156" s="11">
        <v>-0.0014</v>
      </c>
      <c r="H156" s="9">
        <f>MAX($F$116:F156)</f>
        <v>1.0039</v>
      </c>
      <c r="I156" s="11">
        <f t="shared" si="3"/>
        <v>0.0109572666600259</v>
      </c>
      <c r="J156" s="9"/>
      <c r="K156" s="11"/>
      <c r="L156" s="9"/>
      <c r="M156" s="11"/>
      <c r="N156" s="9" t="s">
        <v>813</v>
      </c>
    </row>
    <row r="157" ht="25" customHeight="1" spans="1:14">
      <c r="A157" s="9" t="s">
        <v>388</v>
      </c>
      <c r="B157" s="9" t="s">
        <v>387</v>
      </c>
      <c r="C157" s="10">
        <v>45135</v>
      </c>
      <c r="D157" s="15">
        <v>0.9937</v>
      </c>
      <c r="E157" s="15">
        <v>0.9937</v>
      </c>
      <c r="F157" s="15">
        <v>0.9937</v>
      </c>
      <c r="G157" s="11">
        <v>0.0008</v>
      </c>
      <c r="H157" s="9">
        <f>MAX($F$116:F157)</f>
        <v>1.0039</v>
      </c>
      <c r="I157" s="11">
        <f t="shared" si="3"/>
        <v>0.0101603745392967</v>
      </c>
      <c r="J157" s="9"/>
      <c r="K157" s="11"/>
      <c r="L157" s="9"/>
      <c r="M157" s="11"/>
      <c r="N157" s="9" t="s">
        <v>813</v>
      </c>
    </row>
    <row r="158" ht="25" customHeight="1" spans="1:14">
      <c r="A158" s="9" t="s">
        <v>388</v>
      </c>
      <c r="B158" s="9" t="s">
        <v>387</v>
      </c>
      <c r="C158" s="10">
        <v>45138</v>
      </c>
      <c r="D158" s="15">
        <v>0.9938</v>
      </c>
      <c r="E158" s="15">
        <v>0.9938</v>
      </c>
      <c r="F158" s="15">
        <v>0.9938</v>
      </c>
      <c r="G158" s="11">
        <v>0.0001</v>
      </c>
      <c r="H158" s="9">
        <f>MAX($F$116:F158)</f>
        <v>1.0039</v>
      </c>
      <c r="I158" s="11">
        <f t="shared" si="3"/>
        <v>0.0100607630242056</v>
      </c>
      <c r="J158" s="9"/>
      <c r="K158" s="11"/>
      <c r="L158" s="9"/>
      <c r="M158" s="11"/>
      <c r="N158" s="9" t="s">
        <v>813</v>
      </c>
    </row>
    <row r="159" ht="25" customHeight="1" spans="1:14">
      <c r="A159" s="9" t="s">
        <v>388</v>
      </c>
      <c r="B159" s="9" t="s">
        <v>387</v>
      </c>
      <c r="C159" s="10">
        <v>45142</v>
      </c>
      <c r="D159" s="15">
        <v>0.9932</v>
      </c>
      <c r="E159" s="15">
        <v>0.9932</v>
      </c>
      <c r="F159" s="15">
        <v>0.9932</v>
      </c>
      <c r="G159" s="11">
        <v>-0.0006</v>
      </c>
      <c r="H159" s="9">
        <f>MAX($F$116:F159)</f>
        <v>1.0039</v>
      </c>
      <c r="I159" s="11">
        <f t="shared" si="3"/>
        <v>0.0106584321147525</v>
      </c>
      <c r="J159" s="9"/>
      <c r="K159" s="11"/>
      <c r="L159" s="9"/>
      <c r="M159" s="11"/>
      <c r="N159" s="9" t="s">
        <v>813</v>
      </c>
    </row>
    <row r="160" ht="25" customHeight="1" spans="1:14">
      <c r="A160" s="9" t="s">
        <v>388</v>
      </c>
      <c r="B160" s="9" t="s">
        <v>387</v>
      </c>
      <c r="C160" s="10">
        <v>45149</v>
      </c>
      <c r="D160" s="15">
        <v>0.9932</v>
      </c>
      <c r="E160" s="15">
        <v>0.9932</v>
      </c>
      <c r="F160" s="15">
        <v>0.9932</v>
      </c>
      <c r="G160" s="11">
        <v>0</v>
      </c>
      <c r="H160" s="9">
        <f>MAX($F$116:F160)</f>
        <v>1.0039</v>
      </c>
      <c r="I160" s="11">
        <f t="shared" si="3"/>
        <v>0.0106584321147525</v>
      </c>
      <c r="J160" s="9"/>
      <c r="K160" s="11"/>
      <c r="L160" s="9"/>
      <c r="M160" s="11"/>
      <c r="N160" s="9" t="s">
        <v>813</v>
      </c>
    </row>
    <row r="161" ht="25" customHeight="1" spans="1:14">
      <c r="A161" s="9" t="s">
        <v>388</v>
      </c>
      <c r="B161" s="9" t="s">
        <v>387</v>
      </c>
      <c r="C161" s="10">
        <v>45156</v>
      </c>
      <c r="D161" s="15">
        <v>0.9902</v>
      </c>
      <c r="E161" s="15">
        <v>0.9902</v>
      </c>
      <c r="F161" s="15">
        <v>0.9902</v>
      </c>
      <c r="G161" s="11">
        <v>-0.003</v>
      </c>
      <c r="H161" s="9">
        <f>MAX($F$116:F161)</f>
        <v>1.0039</v>
      </c>
      <c r="I161" s="11">
        <f t="shared" si="3"/>
        <v>0.0136467775674869</v>
      </c>
      <c r="J161" s="9"/>
      <c r="K161" s="11"/>
      <c r="L161" s="9"/>
      <c r="M161" s="11"/>
      <c r="N161" s="9" t="s">
        <v>813</v>
      </c>
    </row>
    <row r="162" ht="25" customHeight="1" spans="1:14">
      <c r="A162" s="9" t="s">
        <v>388</v>
      </c>
      <c r="B162" s="9" t="s">
        <v>387</v>
      </c>
      <c r="C162" s="10">
        <v>45163</v>
      </c>
      <c r="D162" s="15">
        <v>1.002</v>
      </c>
      <c r="E162" s="15">
        <v>1.002</v>
      </c>
      <c r="F162" s="15">
        <v>1.002</v>
      </c>
      <c r="G162" s="11">
        <v>0.0119</v>
      </c>
      <c r="H162" s="9">
        <f>MAX($F$116:F162)</f>
        <v>1.0039</v>
      </c>
      <c r="I162" s="11">
        <f t="shared" si="3"/>
        <v>0.00189261878673175</v>
      </c>
      <c r="J162" s="9"/>
      <c r="K162" s="11"/>
      <c r="L162" s="9"/>
      <c r="M162" s="11"/>
      <c r="N162" s="9" t="s">
        <v>813</v>
      </c>
    </row>
    <row r="163" ht="25" customHeight="1" spans="1:14">
      <c r="A163" s="9" t="s">
        <v>388</v>
      </c>
      <c r="B163" s="9" t="s">
        <v>387</v>
      </c>
      <c r="C163" s="10">
        <v>45169</v>
      </c>
      <c r="D163" s="15">
        <v>1</v>
      </c>
      <c r="E163" s="15">
        <v>1</v>
      </c>
      <c r="F163" s="15">
        <v>1</v>
      </c>
      <c r="G163" s="11">
        <v>-0.002</v>
      </c>
      <c r="H163" s="9">
        <f>MAX($F$116:F163)</f>
        <v>1.0039</v>
      </c>
      <c r="I163" s="11">
        <f t="shared" si="3"/>
        <v>0.00388484908855469</v>
      </c>
      <c r="J163" s="9"/>
      <c r="K163" s="11"/>
      <c r="L163" s="9"/>
      <c r="M163" s="11"/>
      <c r="N163" s="9" t="s">
        <v>813</v>
      </c>
    </row>
    <row r="164" ht="25" customHeight="1" spans="1:14">
      <c r="A164" s="9" t="s">
        <v>388</v>
      </c>
      <c r="B164" s="9" t="s">
        <v>387</v>
      </c>
      <c r="C164" s="10">
        <v>45170</v>
      </c>
      <c r="D164" s="15">
        <v>1.0003</v>
      </c>
      <c r="E164" s="15">
        <v>1.0003</v>
      </c>
      <c r="F164" s="15">
        <v>1.0003</v>
      </c>
      <c r="G164" s="11">
        <v>0.0003</v>
      </c>
      <c r="H164" s="9">
        <f>MAX($F$116:F164)</f>
        <v>1.0039</v>
      </c>
      <c r="I164" s="11">
        <f t="shared" si="3"/>
        <v>0.00358601454328122</v>
      </c>
      <c r="J164" s="9"/>
      <c r="K164" s="11"/>
      <c r="L164" s="9">
        <f>MAX($F$164:F164)</f>
        <v>1.0003</v>
      </c>
      <c r="M164" s="11">
        <f t="shared" ref="M164:M227" si="4">1-F164/L164</f>
        <v>0</v>
      </c>
      <c r="N164" s="9" t="s">
        <v>813</v>
      </c>
    </row>
    <row r="165" ht="25" customHeight="1" spans="1:14">
      <c r="A165" s="9" t="s">
        <v>388</v>
      </c>
      <c r="B165" s="9" t="s">
        <v>387</v>
      </c>
      <c r="C165" s="10">
        <v>45177</v>
      </c>
      <c r="D165" s="15">
        <v>0.9998</v>
      </c>
      <c r="E165" s="15">
        <v>0.9998</v>
      </c>
      <c r="F165" s="15">
        <v>0.9998</v>
      </c>
      <c r="G165" s="11">
        <v>-0.0005</v>
      </c>
      <c r="H165" s="9">
        <f>MAX($F$116:F165)</f>
        <v>1.0039</v>
      </c>
      <c r="I165" s="11">
        <f t="shared" si="3"/>
        <v>0.00408407211873696</v>
      </c>
      <c r="J165" s="9"/>
      <c r="K165" s="11"/>
      <c r="L165" s="9">
        <f>MAX($F$164:F165)</f>
        <v>1.0003</v>
      </c>
      <c r="M165" s="11">
        <f t="shared" si="4"/>
        <v>0.000499850044986427</v>
      </c>
      <c r="N165" s="9" t="s">
        <v>813</v>
      </c>
    </row>
    <row r="166" ht="25" customHeight="1" spans="1:14">
      <c r="A166" s="9" t="s">
        <v>388</v>
      </c>
      <c r="B166" s="9" t="s">
        <v>387</v>
      </c>
      <c r="C166" s="10">
        <v>45184</v>
      </c>
      <c r="D166" s="15">
        <v>1.0015</v>
      </c>
      <c r="E166" s="15">
        <v>1.0015</v>
      </c>
      <c r="F166" s="15">
        <v>1.0015</v>
      </c>
      <c r="G166" s="11">
        <v>0.0017</v>
      </c>
      <c r="H166" s="9">
        <f>MAX($F$116:F166)</f>
        <v>1.0039</v>
      </c>
      <c r="I166" s="11">
        <f t="shared" si="3"/>
        <v>0.00239067636218737</v>
      </c>
      <c r="J166" s="9"/>
      <c r="K166" s="11"/>
      <c r="L166" s="9">
        <f>MAX($F$164:F166)</f>
        <v>1.0015</v>
      </c>
      <c r="M166" s="11">
        <f t="shared" si="4"/>
        <v>0</v>
      </c>
      <c r="N166" s="9" t="s">
        <v>813</v>
      </c>
    </row>
    <row r="167" ht="25" customHeight="1" spans="1:14">
      <c r="A167" s="9" t="s">
        <v>388</v>
      </c>
      <c r="B167" s="9" t="s">
        <v>387</v>
      </c>
      <c r="C167" s="10">
        <v>45191</v>
      </c>
      <c r="D167" s="15">
        <v>1.0046</v>
      </c>
      <c r="E167" s="15">
        <v>1.0046</v>
      </c>
      <c r="F167" s="15">
        <v>1.0046</v>
      </c>
      <c r="G167" s="11">
        <v>0.0031</v>
      </c>
      <c r="H167" s="9">
        <f>MAX($F$116:F167)</f>
        <v>1.0046</v>
      </c>
      <c r="I167" s="11">
        <f t="shared" si="3"/>
        <v>0</v>
      </c>
      <c r="J167" s="9"/>
      <c r="K167" s="11"/>
      <c r="L167" s="9">
        <f>MAX($F$164:F167)</f>
        <v>1.0046</v>
      </c>
      <c r="M167" s="11">
        <f t="shared" si="4"/>
        <v>0</v>
      </c>
      <c r="N167" s="9" t="s">
        <v>813</v>
      </c>
    </row>
    <row r="168" ht="25" customHeight="1" spans="1:14">
      <c r="A168" s="9" t="s">
        <v>388</v>
      </c>
      <c r="B168" s="9" t="s">
        <v>387</v>
      </c>
      <c r="C168" s="10">
        <v>45197</v>
      </c>
      <c r="D168" s="15">
        <v>1.0055</v>
      </c>
      <c r="E168" s="15">
        <v>1.0055</v>
      </c>
      <c r="F168" s="15">
        <v>1.0055</v>
      </c>
      <c r="G168" s="11">
        <v>0.0009</v>
      </c>
      <c r="H168" s="9">
        <f>MAX($F$116:F168)</f>
        <v>1.0055</v>
      </c>
      <c r="I168" s="11">
        <f t="shared" si="3"/>
        <v>0</v>
      </c>
      <c r="J168" s="9"/>
      <c r="K168" s="11"/>
      <c r="L168" s="9">
        <f>MAX($F$164:F168)</f>
        <v>1.0055</v>
      </c>
      <c r="M168" s="11">
        <f t="shared" si="4"/>
        <v>0</v>
      </c>
      <c r="N168" s="9" t="s">
        <v>813</v>
      </c>
    </row>
    <row r="169" ht="25" customHeight="1" spans="1:14">
      <c r="A169" s="9" t="s">
        <v>388</v>
      </c>
      <c r="B169" s="9" t="s">
        <v>387</v>
      </c>
      <c r="C169" s="10">
        <v>45212</v>
      </c>
      <c r="D169" s="15">
        <v>1.0054</v>
      </c>
      <c r="E169" s="15">
        <v>1.0054</v>
      </c>
      <c r="F169" s="15">
        <v>1.0054</v>
      </c>
      <c r="G169" s="11">
        <v>-0.0001</v>
      </c>
      <c r="H169" s="9">
        <f>MAX($F$116:F169)</f>
        <v>1.0055</v>
      </c>
      <c r="I169" s="11">
        <f t="shared" si="3"/>
        <v>9.94530084534873e-5</v>
      </c>
      <c r="J169" s="9"/>
      <c r="K169" s="11"/>
      <c r="L169" s="9">
        <f>MAX($F$164:F169)</f>
        <v>1.0055</v>
      </c>
      <c r="M169" s="11">
        <f t="shared" si="4"/>
        <v>9.94530084534873e-5</v>
      </c>
      <c r="N169" s="9" t="s">
        <v>813</v>
      </c>
    </row>
    <row r="170" ht="25" customHeight="1" spans="1:14">
      <c r="A170" s="9" t="s">
        <v>388</v>
      </c>
      <c r="B170" s="9" t="s">
        <v>387</v>
      </c>
      <c r="C170" s="10">
        <v>45219</v>
      </c>
      <c r="D170" s="15">
        <v>1.0018</v>
      </c>
      <c r="E170" s="15">
        <v>1.0018</v>
      </c>
      <c r="F170" s="15">
        <v>1.0018</v>
      </c>
      <c r="G170" s="11">
        <v>-0.0036</v>
      </c>
      <c r="H170" s="9">
        <f>MAX($F$116:F170)</f>
        <v>1.0055</v>
      </c>
      <c r="I170" s="11">
        <f t="shared" si="3"/>
        <v>0.00367976131277969</v>
      </c>
      <c r="J170" s="9"/>
      <c r="K170" s="11"/>
      <c r="L170" s="9">
        <f>MAX($F$164:F170)</f>
        <v>1.0055</v>
      </c>
      <c r="M170" s="11">
        <f t="shared" si="4"/>
        <v>0.00367976131277969</v>
      </c>
      <c r="N170" s="9" t="s">
        <v>813</v>
      </c>
    </row>
    <row r="171" ht="25" customHeight="1" spans="1:14">
      <c r="A171" s="9" t="s">
        <v>388</v>
      </c>
      <c r="B171" s="9" t="s">
        <v>387</v>
      </c>
      <c r="C171" s="10">
        <v>45226</v>
      </c>
      <c r="D171" s="15">
        <v>1.0042</v>
      </c>
      <c r="E171" s="15">
        <v>1.0042</v>
      </c>
      <c r="F171" s="15">
        <v>1.0042</v>
      </c>
      <c r="G171" s="11">
        <v>0.0024</v>
      </c>
      <c r="H171" s="9">
        <f>MAX($F$116:F171)</f>
        <v>1.0055</v>
      </c>
      <c r="I171" s="11">
        <f t="shared" si="3"/>
        <v>0.00129288910989567</v>
      </c>
      <c r="J171" s="9"/>
      <c r="K171" s="11"/>
      <c r="L171" s="9">
        <f>MAX($F$164:F171)</f>
        <v>1.0055</v>
      </c>
      <c r="M171" s="11">
        <f t="shared" si="4"/>
        <v>0.00129288910989567</v>
      </c>
      <c r="N171" s="9" t="s">
        <v>813</v>
      </c>
    </row>
    <row r="172" ht="25" customHeight="1" spans="1:14">
      <c r="A172" s="9" t="s">
        <v>388</v>
      </c>
      <c r="B172" s="9" t="s">
        <v>387</v>
      </c>
      <c r="C172" s="10">
        <v>45230</v>
      </c>
      <c r="D172" s="15">
        <v>1.003</v>
      </c>
      <c r="E172" s="15">
        <v>1.003</v>
      </c>
      <c r="F172" s="15">
        <v>1.003</v>
      </c>
      <c r="G172" s="11">
        <v>-0.0012</v>
      </c>
      <c r="H172" s="9">
        <f>MAX($F$116:F172)</f>
        <v>1.0055</v>
      </c>
      <c r="I172" s="11">
        <f t="shared" si="3"/>
        <v>0.00248632521133785</v>
      </c>
      <c r="J172" s="9"/>
      <c r="K172" s="11"/>
      <c r="L172" s="9">
        <f>MAX($F$164:F172)</f>
        <v>1.0055</v>
      </c>
      <c r="M172" s="11">
        <f t="shared" si="4"/>
        <v>0.00248632521133785</v>
      </c>
      <c r="N172" s="9" t="s">
        <v>813</v>
      </c>
    </row>
    <row r="173" ht="25" customHeight="1" spans="1:14">
      <c r="A173" s="9" t="s">
        <v>388</v>
      </c>
      <c r="B173" s="9" t="s">
        <v>387</v>
      </c>
      <c r="C173" s="10">
        <v>45233</v>
      </c>
      <c r="D173" s="15">
        <v>1.0056</v>
      </c>
      <c r="E173" s="15">
        <v>1.0056</v>
      </c>
      <c r="F173" s="15">
        <v>1.0056</v>
      </c>
      <c r="G173" s="11">
        <v>0.0026</v>
      </c>
      <c r="H173" s="9">
        <f>MAX($F$116:F173)</f>
        <v>1.0056</v>
      </c>
      <c r="I173" s="11">
        <f t="shared" si="3"/>
        <v>0</v>
      </c>
      <c r="J173" s="9"/>
      <c r="K173" s="11"/>
      <c r="L173" s="9">
        <f>MAX($F$164:F173)</f>
        <v>1.0056</v>
      </c>
      <c r="M173" s="11">
        <f t="shared" si="4"/>
        <v>0</v>
      </c>
      <c r="N173" s="9" t="s">
        <v>813</v>
      </c>
    </row>
    <row r="174" ht="25" customHeight="1" spans="1:14">
      <c r="A174" s="9" t="s">
        <v>388</v>
      </c>
      <c r="B174" s="9" t="s">
        <v>387</v>
      </c>
      <c r="C174" s="10">
        <v>45240</v>
      </c>
      <c r="D174" s="15">
        <v>1.0077</v>
      </c>
      <c r="E174" s="15">
        <v>1.0077</v>
      </c>
      <c r="F174" s="15">
        <v>1.0077</v>
      </c>
      <c r="G174" s="11">
        <v>0.0021</v>
      </c>
      <c r="H174" s="9">
        <f>MAX($F$116:F174)</f>
        <v>1.0077</v>
      </c>
      <c r="I174" s="11">
        <f t="shared" si="3"/>
        <v>0</v>
      </c>
      <c r="J174" s="9"/>
      <c r="K174" s="11"/>
      <c r="L174" s="9">
        <f>MAX($F$164:F174)</f>
        <v>1.0077</v>
      </c>
      <c r="M174" s="11">
        <f t="shared" si="4"/>
        <v>0</v>
      </c>
      <c r="N174" s="9" t="s">
        <v>813</v>
      </c>
    </row>
    <row r="175" ht="25" customHeight="1" spans="1:14">
      <c r="A175" s="9" t="s">
        <v>388</v>
      </c>
      <c r="B175" s="9" t="s">
        <v>387</v>
      </c>
      <c r="C175" s="10">
        <v>45247</v>
      </c>
      <c r="D175" s="15">
        <v>1.0069</v>
      </c>
      <c r="E175" s="15">
        <v>1.0069</v>
      </c>
      <c r="F175" s="15">
        <v>1.0069</v>
      </c>
      <c r="G175" s="11">
        <v>-0.0008</v>
      </c>
      <c r="H175" s="9">
        <f>MAX($F$116:F175)</f>
        <v>1.0077</v>
      </c>
      <c r="I175" s="11">
        <f t="shared" si="3"/>
        <v>0.000793887069564514</v>
      </c>
      <c r="J175" s="9"/>
      <c r="K175" s="11"/>
      <c r="L175" s="9">
        <f>MAX($F$164:F175)</f>
        <v>1.0077</v>
      </c>
      <c r="M175" s="11">
        <f t="shared" si="4"/>
        <v>0.000793887069564514</v>
      </c>
      <c r="N175" s="9" t="s">
        <v>813</v>
      </c>
    </row>
    <row r="176" ht="25" customHeight="1" spans="1:14">
      <c r="A176" s="9" t="s">
        <v>388</v>
      </c>
      <c r="B176" s="9" t="s">
        <v>387</v>
      </c>
      <c r="C176" s="10">
        <v>45254</v>
      </c>
      <c r="D176" s="15">
        <v>1.0099</v>
      </c>
      <c r="E176" s="15">
        <v>1.0099</v>
      </c>
      <c r="F176" s="15">
        <v>1.0099</v>
      </c>
      <c r="G176" s="11">
        <v>0.003</v>
      </c>
      <c r="H176" s="9">
        <f>MAX($F$116:F176)</f>
        <v>1.0099</v>
      </c>
      <c r="I176" s="11">
        <f t="shared" si="3"/>
        <v>0</v>
      </c>
      <c r="J176" s="9"/>
      <c r="K176" s="11"/>
      <c r="L176" s="9">
        <f>MAX($F$164:F176)</f>
        <v>1.0099</v>
      </c>
      <c r="M176" s="11">
        <f t="shared" si="4"/>
        <v>0</v>
      </c>
      <c r="N176" s="9" t="s">
        <v>813</v>
      </c>
    </row>
    <row r="177" ht="25" customHeight="1" spans="1:14">
      <c r="A177" s="9" t="s">
        <v>388</v>
      </c>
      <c r="B177" s="9" t="s">
        <v>387</v>
      </c>
      <c r="C177" s="10">
        <v>45260</v>
      </c>
      <c r="D177" s="15">
        <v>1.013</v>
      </c>
      <c r="E177" s="15">
        <v>1.013</v>
      </c>
      <c r="F177" s="15">
        <v>1.013</v>
      </c>
      <c r="G177" s="11">
        <v>0.0031</v>
      </c>
      <c r="H177" s="9">
        <f>MAX($F$116:F177)</f>
        <v>1.013</v>
      </c>
      <c r="I177" s="11">
        <f t="shared" si="3"/>
        <v>0</v>
      </c>
      <c r="J177" s="9"/>
      <c r="K177" s="11"/>
      <c r="L177" s="9">
        <f>MAX($F$164:F177)</f>
        <v>1.013</v>
      </c>
      <c r="M177" s="11">
        <f t="shared" si="4"/>
        <v>0</v>
      </c>
      <c r="N177" s="9" t="s">
        <v>813</v>
      </c>
    </row>
    <row r="178" ht="25" customHeight="1" spans="1:14">
      <c r="A178" s="9" t="s">
        <v>388</v>
      </c>
      <c r="B178" s="9" t="s">
        <v>387</v>
      </c>
      <c r="C178" s="10">
        <v>45261</v>
      </c>
      <c r="D178" s="15">
        <v>1.0137</v>
      </c>
      <c r="E178" s="15">
        <v>1.0137</v>
      </c>
      <c r="F178" s="15">
        <v>1.0137</v>
      </c>
      <c r="G178" s="11">
        <v>0.0007</v>
      </c>
      <c r="H178" s="9">
        <f>MAX($F$116:F178)</f>
        <v>1.0137</v>
      </c>
      <c r="I178" s="11">
        <f t="shared" si="3"/>
        <v>0</v>
      </c>
      <c r="J178" s="9"/>
      <c r="K178" s="11"/>
      <c r="L178" s="9">
        <f>MAX($F$164:F178)</f>
        <v>1.0137</v>
      </c>
      <c r="M178" s="11">
        <f t="shared" si="4"/>
        <v>0</v>
      </c>
      <c r="N178" s="9" t="s">
        <v>813</v>
      </c>
    </row>
    <row r="179" ht="25" customHeight="1" spans="1:14">
      <c r="A179" s="9" t="s">
        <v>388</v>
      </c>
      <c r="B179" s="9" t="s">
        <v>387</v>
      </c>
      <c r="C179" s="10">
        <v>45268</v>
      </c>
      <c r="D179" s="15">
        <v>1.0114</v>
      </c>
      <c r="E179" s="15">
        <v>1.0114</v>
      </c>
      <c r="F179" s="15">
        <v>1.0114</v>
      </c>
      <c r="G179" s="11">
        <v>-0.0023</v>
      </c>
      <c r="H179" s="9">
        <f>MAX($F$116:F179)</f>
        <v>1.0137</v>
      </c>
      <c r="I179" s="11">
        <f t="shared" si="3"/>
        <v>0.00226891585281641</v>
      </c>
      <c r="J179" s="9"/>
      <c r="K179" s="11"/>
      <c r="L179" s="9">
        <f>MAX($F$164:F179)</f>
        <v>1.0137</v>
      </c>
      <c r="M179" s="11">
        <f t="shared" si="4"/>
        <v>0.00226891585281641</v>
      </c>
      <c r="N179" s="9" t="s">
        <v>813</v>
      </c>
    </row>
    <row r="180" ht="25" customHeight="1" spans="1:14">
      <c r="A180" s="9" t="s">
        <v>388</v>
      </c>
      <c r="B180" s="9" t="s">
        <v>387</v>
      </c>
      <c r="C180" s="10">
        <v>45275</v>
      </c>
      <c r="D180" s="15">
        <v>1.0105</v>
      </c>
      <c r="E180" s="15">
        <v>1.0105</v>
      </c>
      <c r="F180" s="15">
        <v>1.0105</v>
      </c>
      <c r="G180" s="11">
        <v>-0.0009</v>
      </c>
      <c r="H180" s="9">
        <f>MAX($F$116:F180)</f>
        <v>1.0137</v>
      </c>
      <c r="I180" s="11">
        <f t="shared" si="3"/>
        <v>0.0031567524908751</v>
      </c>
      <c r="J180" s="9"/>
      <c r="K180" s="11"/>
      <c r="L180" s="9">
        <f>MAX($F$164:F180)</f>
        <v>1.0137</v>
      </c>
      <c r="M180" s="11">
        <f t="shared" si="4"/>
        <v>0.0031567524908751</v>
      </c>
      <c r="N180" s="9" t="s">
        <v>813</v>
      </c>
    </row>
    <row r="181" ht="25" customHeight="1" spans="1:14">
      <c r="A181" s="9" t="s">
        <v>388</v>
      </c>
      <c r="B181" s="9" t="s">
        <v>387</v>
      </c>
      <c r="C181" s="10">
        <v>45282</v>
      </c>
      <c r="D181" s="15">
        <v>1.0178</v>
      </c>
      <c r="E181" s="15">
        <v>1.0178</v>
      </c>
      <c r="F181" s="15">
        <v>1.0178</v>
      </c>
      <c r="G181" s="11">
        <v>0.0072</v>
      </c>
      <c r="H181" s="9">
        <f>MAX($F$116:F181)</f>
        <v>1.0178</v>
      </c>
      <c r="I181" s="11">
        <f t="shared" si="3"/>
        <v>0</v>
      </c>
      <c r="J181" s="9"/>
      <c r="K181" s="11"/>
      <c r="L181" s="9">
        <f>MAX($F$164:F181)</f>
        <v>1.0178</v>
      </c>
      <c r="M181" s="11">
        <f t="shared" si="4"/>
        <v>0</v>
      </c>
      <c r="N181" s="9" t="s">
        <v>813</v>
      </c>
    </row>
    <row r="182" ht="25" customHeight="1" spans="1:14">
      <c r="A182" s="9" t="s">
        <v>388</v>
      </c>
      <c r="B182" s="9" t="s">
        <v>387</v>
      </c>
      <c r="C182" s="10">
        <v>45289</v>
      </c>
      <c r="D182" s="15">
        <v>1.0165</v>
      </c>
      <c r="E182" s="15">
        <v>1.0165</v>
      </c>
      <c r="F182" s="15">
        <v>1.0165</v>
      </c>
      <c r="G182" s="11">
        <v>-0.0013</v>
      </c>
      <c r="H182" s="9">
        <f>MAX($F$116:F182)</f>
        <v>1.0178</v>
      </c>
      <c r="I182" s="11">
        <f t="shared" si="3"/>
        <v>0.00127726468854394</v>
      </c>
      <c r="J182" s="9"/>
      <c r="K182" s="11"/>
      <c r="L182" s="9">
        <f>MAX($F$164:F182)</f>
        <v>1.0178</v>
      </c>
      <c r="M182" s="11">
        <f t="shared" si="4"/>
        <v>0.00127726468854394</v>
      </c>
      <c r="N182" s="9" t="s">
        <v>813</v>
      </c>
    </row>
    <row r="183" ht="25" customHeight="1" spans="1:14">
      <c r="A183" s="9" t="s">
        <v>388</v>
      </c>
      <c r="B183" s="9" t="s">
        <v>387</v>
      </c>
      <c r="C183" s="10">
        <v>45296</v>
      </c>
      <c r="D183" s="15">
        <v>1.0136</v>
      </c>
      <c r="E183" s="15">
        <v>1.0136</v>
      </c>
      <c r="F183" s="15">
        <v>1.0136</v>
      </c>
      <c r="G183" s="11">
        <v>-0.0029</v>
      </c>
      <c r="H183" s="9">
        <f>MAX($F$116:F183)</f>
        <v>1.0178</v>
      </c>
      <c r="I183" s="11">
        <f t="shared" si="3"/>
        <v>0.00412654745529573</v>
      </c>
      <c r="J183" s="9"/>
      <c r="K183" s="11"/>
      <c r="L183" s="9">
        <f>MAX($F$164:F183)</f>
        <v>1.0178</v>
      </c>
      <c r="M183" s="11">
        <f t="shared" si="4"/>
        <v>0.00412654745529573</v>
      </c>
      <c r="N183" s="9" t="s">
        <v>813</v>
      </c>
    </row>
    <row r="184" ht="25" customHeight="1" spans="1:14">
      <c r="A184" s="9" t="s">
        <v>388</v>
      </c>
      <c r="B184" s="9" t="s">
        <v>387</v>
      </c>
      <c r="C184" s="10">
        <v>45303</v>
      </c>
      <c r="D184" s="15">
        <v>1.0068</v>
      </c>
      <c r="E184" s="15">
        <v>1.0068</v>
      </c>
      <c r="F184" s="15">
        <v>1.0068</v>
      </c>
      <c r="G184" s="11">
        <v>-0.0067</v>
      </c>
      <c r="H184" s="9">
        <f>MAX($F$116:F184)</f>
        <v>1.0178</v>
      </c>
      <c r="I184" s="11">
        <f t="shared" si="3"/>
        <v>0.0108076242876795</v>
      </c>
      <c r="J184" s="9"/>
      <c r="K184" s="11"/>
      <c r="L184" s="9">
        <f>MAX($F$164:F184)</f>
        <v>1.0178</v>
      </c>
      <c r="M184" s="11">
        <f t="shared" si="4"/>
        <v>0.0108076242876795</v>
      </c>
      <c r="N184" s="9" t="s">
        <v>813</v>
      </c>
    </row>
    <row r="185" ht="25" customHeight="1" spans="1:14">
      <c r="A185" s="9" t="s">
        <v>388</v>
      </c>
      <c r="B185" s="9" t="s">
        <v>387</v>
      </c>
      <c r="C185" s="10">
        <v>45310</v>
      </c>
      <c r="D185" s="15">
        <v>1.0092</v>
      </c>
      <c r="E185" s="15">
        <v>1.0092</v>
      </c>
      <c r="F185" s="15">
        <v>1.0092</v>
      </c>
      <c r="G185" s="11">
        <v>0.0024</v>
      </c>
      <c r="H185" s="9">
        <f>MAX($F$116:F185)</f>
        <v>1.0178</v>
      </c>
      <c r="I185" s="11">
        <f t="shared" si="3"/>
        <v>0.00844959717036742</v>
      </c>
      <c r="J185" s="9"/>
      <c r="K185" s="11"/>
      <c r="L185" s="9">
        <f>MAX($F$164:F185)</f>
        <v>1.0178</v>
      </c>
      <c r="M185" s="11">
        <f t="shared" si="4"/>
        <v>0.00844959717036742</v>
      </c>
      <c r="N185" s="9" t="s">
        <v>813</v>
      </c>
    </row>
    <row r="186" ht="25" customHeight="1" spans="1:14">
      <c r="A186" s="9" t="s">
        <v>388</v>
      </c>
      <c r="B186" s="9" t="s">
        <v>387</v>
      </c>
      <c r="C186" s="10">
        <v>45317</v>
      </c>
      <c r="D186" s="15">
        <v>1.0105</v>
      </c>
      <c r="E186" s="15">
        <v>1.0105</v>
      </c>
      <c r="F186" s="15">
        <v>1.0105</v>
      </c>
      <c r="G186" s="11">
        <v>0.0013</v>
      </c>
      <c r="H186" s="9">
        <f>MAX($F$116:F186)</f>
        <v>1.0178</v>
      </c>
      <c r="I186" s="11">
        <f t="shared" si="3"/>
        <v>0.00717233248182358</v>
      </c>
      <c r="J186" s="9"/>
      <c r="K186" s="11"/>
      <c r="L186" s="9">
        <f>MAX($F$164:F186)</f>
        <v>1.0178</v>
      </c>
      <c r="M186" s="11">
        <f t="shared" si="4"/>
        <v>0.00717233248182358</v>
      </c>
      <c r="N186" s="9" t="s">
        <v>813</v>
      </c>
    </row>
    <row r="187" ht="25" customHeight="1" spans="1:14">
      <c r="A187" s="9" t="s">
        <v>388</v>
      </c>
      <c r="B187" s="9" t="s">
        <v>387</v>
      </c>
      <c r="C187" s="10">
        <v>45322</v>
      </c>
      <c r="D187" s="15">
        <v>1.0152</v>
      </c>
      <c r="E187" s="15">
        <v>1.0152</v>
      </c>
      <c r="F187" s="15">
        <v>1.0152</v>
      </c>
      <c r="G187" s="11">
        <v>0.0047</v>
      </c>
      <c r="H187" s="9">
        <f>MAX($F$116:F187)</f>
        <v>1.0178</v>
      </c>
      <c r="I187" s="11">
        <f t="shared" si="3"/>
        <v>0.00255452937708778</v>
      </c>
      <c r="J187" s="9"/>
      <c r="K187" s="11"/>
      <c r="L187" s="9">
        <f>MAX($F$164:F187)</f>
        <v>1.0178</v>
      </c>
      <c r="M187" s="11">
        <f t="shared" si="4"/>
        <v>0.00255452937708778</v>
      </c>
      <c r="N187" s="9" t="s">
        <v>813</v>
      </c>
    </row>
    <row r="188" ht="25" customHeight="1" spans="1:14">
      <c r="A188" s="9" t="s">
        <v>388</v>
      </c>
      <c r="B188" s="9" t="s">
        <v>387</v>
      </c>
      <c r="C188" s="10">
        <v>45324</v>
      </c>
      <c r="D188" s="15">
        <v>1.0196</v>
      </c>
      <c r="E188" s="15">
        <v>1.0196</v>
      </c>
      <c r="F188" s="15">
        <v>1.0196</v>
      </c>
      <c r="G188" s="11">
        <v>0.0043</v>
      </c>
      <c r="H188" s="9">
        <f>MAX($F$116:F188)</f>
        <v>1.0196</v>
      </c>
      <c r="I188" s="11">
        <f t="shared" si="3"/>
        <v>0</v>
      </c>
      <c r="J188" s="9"/>
      <c r="K188" s="11"/>
      <c r="L188" s="9">
        <f>MAX($F$164:F188)</f>
        <v>1.0196</v>
      </c>
      <c r="M188" s="11">
        <f t="shared" si="4"/>
        <v>0</v>
      </c>
      <c r="N188" s="9" t="s">
        <v>813</v>
      </c>
    </row>
    <row r="189" ht="25" customHeight="1" spans="1:14">
      <c r="A189" s="9" t="s">
        <v>388</v>
      </c>
      <c r="B189" s="9" t="s">
        <v>387</v>
      </c>
      <c r="C189" s="10">
        <v>45330</v>
      </c>
      <c r="D189" s="15">
        <v>1.0574</v>
      </c>
      <c r="E189" s="15">
        <v>1.0574</v>
      </c>
      <c r="F189" s="15">
        <v>1.0574</v>
      </c>
      <c r="G189" s="11">
        <v>0.0371</v>
      </c>
      <c r="H189" s="9">
        <f>MAX($F$116:F189)</f>
        <v>1.0574</v>
      </c>
      <c r="I189" s="11">
        <f t="shared" si="3"/>
        <v>0</v>
      </c>
      <c r="J189" s="9"/>
      <c r="K189" s="11"/>
      <c r="L189" s="9">
        <f>MAX($F$164:F189)</f>
        <v>1.0574</v>
      </c>
      <c r="M189" s="11">
        <f t="shared" si="4"/>
        <v>0</v>
      </c>
      <c r="N189" s="9" t="s">
        <v>813</v>
      </c>
    </row>
    <row r="190" ht="25" customHeight="1" spans="1:14">
      <c r="A190" s="9" t="s">
        <v>388</v>
      </c>
      <c r="B190" s="9" t="s">
        <v>387</v>
      </c>
      <c r="C190" s="10">
        <v>45342</v>
      </c>
      <c r="D190" s="15">
        <v>1.001</v>
      </c>
      <c r="E190" s="15">
        <v>1.0603</v>
      </c>
      <c r="F190" s="15">
        <v>1.0603</v>
      </c>
      <c r="G190" s="11">
        <v>0.0027</v>
      </c>
      <c r="H190" s="9">
        <f>MAX($F$116:F190)</f>
        <v>1.0603</v>
      </c>
      <c r="I190" s="11">
        <f t="shared" si="3"/>
        <v>0</v>
      </c>
      <c r="J190" s="9"/>
      <c r="K190" s="11"/>
      <c r="L190" s="9">
        <f>MAX($F$164:F190)</f>
        <v>1.0603</v>
      </c>
      <c r="M190" s="11">
        <f t="shared" si="4"/>
        <v>0</v>
      </c>
      <c r="N190" s="9" t="s">
        <v>813</v>
      </c>
    </row>
    <row r="191" ht="25" customHeight="1" spans="1:14">
      <c r="A191" s="9" t="s">
        <v>388</v>
      </c>
      <c r="B191" s="9" t="s">
        <v>387</v>
      </c>
      <c r="C191" s="10">
        <v>45345</v>
      </c>
      <c r="D191" s="15">
        <v>1.0035</v>
      </c>
      <c r="E191" s="15">
        <v>1.0628</v>
      </c>
      <c r="F191" s="15">
        <v>1.0629</v>
      </c>
      <c r="G191" s="11">
        <v>0.0025</v>
      </c>
      <c r="H191" s="9">
        <f>MAX($F$116:F191)</f>
        <v>1.0629</v>
      </c>
      <c r="I191" s="11">
        <f t="shared" si="3"/>
        <v>0</v>
      </c>
      <c r="J191" s="9"/>
      <c r="K191" s="11"/>
      <c r="L191" s="9">
        <f>MAX($F$164:F191)</f>
        <v>1.0629</v>
      </c>
      <c r="M191" s="11">
        <f t="shared" si="4"/>
        <v>0</v>
      </c>
      <c r="N191" s="9" t="s">
        <v>813</v>
      </c>
    </row>
    <row r="192" ht="25" customHeight="1" spans="1:14">
      <c r="A192" s="9" t="s">
        <v>388</v>
      </c>
      <c r="B192" s="9" t="s">
        <v>387</v>
      </c>
      <c r="C192" s="10">
        <v>45351</v>
      </c>
      <c r="D192" s="15">
        <v>1.0047</v>
      </c>
      <c r="E192" s="15">
        <v>1.064</v>
      </c>
      <c r="F192" s="15">
        <v>1.0642</v>
      </c>
      <c r="G192" s="11">
        <v>0.0012</v>
      </c>
      <c r="H192" s="9">
        <f>MAX($F$116:F192)</f>
        <v>1.0642</v>
      </c>
      <c r="I192" s="11">
        <f t="shared" si="3"/>
        <v>0</v>
      </c>
      <c r="J192" s="9"/>
      <c r="K192" s="11"/>
      <c r="L192" s="9">
        <f>MAX($F$164:F192)</f>
        <v>1.0642</v>
      </c>
      <c r="M192" s="11">
        <f t="shared" si="4"/>
        <v>0</v>
      </c>
      <c r="N192" s="9" t="s">
        <v>813</v>
      </c>
    </row>
    <row r="193" ht="25" customHeight="1" spans="1:14">
      <c r="A193" s="9" t="s">
        <v>388</v>
      </c>
      <c r="B193" s="9" t="s">
        <v>387</v>
      </c>
      <c r="C193" s="10">
        <v>45352</v>
      </c>
      <c r="D193" s="15">
        <v>1.0071</v>
      </c>
      <c r="E193" s="15">
        <v>1.0664</v>
      </c>
      <c r="F193" s="15">
        <v>1.0668</v>
      </c>
      <c r="G193" s="11">
        <v>0.0024</v>
      </c>
      <c r="H193" s="9">
        <f>MAX($F$116:F193)</f>
        <v>1.0668</v>
      </c>
      <c r="I193" s="11">
        <f t="shared" si="3"/>
        <v>0</v>
      </c>
      <c r="J193" s="9"/>
      <c r="K193" s="11"/>
      <c r="L193" s="9">
        <f>MAX($F$164:F193)</f>
        <v>1.0668</v>
      </c>
      <c r="M193" s="11">
        <f t="shared" si="4"/>
        <v>0</v>
      </c>
      <c r="N193" s="9" t="s">
        <v>813</v>
      </c>
    </row>
    <row r="194" ht="25" customHeight="1" spans="1:14">
      <c r="A194" s="9" t="s">
        <v>388</v>
      </c>
      <c r="B194" s="9" t="s">
        <v>387</v>
      </c>
      <c r="C194" s="10">
        <v>45359</v>
      </c>
      <c r="D194" s="15">
        <v>1.0069</v>
      </c>
      <c r="E194" s="15">
        <v>1.0662</v>
      </c>
      <c r="F194" s="15">
        <v>1.0665</v>
      </c>
      <c r="G194" s="11">
        <v>-0.0002</v>
      </c>
      <c r="H194" s="9">
        <f>MAX($F$116:F194)</f>
        <v>1.0668</v>
      </c>
      <c r="I194" s="11">
        <f t="shared" ref="I194:I257" si="5">1-F194/H194</f>
        <v>0.000281214848143918</v>
      </c>
      <c r="J194" s="9"/>
      <c r="K194" s="11"/>
      <c r="L194" s="9">
        <f>MAX($F$164:F194)</f>
        <v>1.0668</v>
      </c>
      <c r="M194" s="11">
        <f t="shared" si="4"/>
        <v>0.000281214848143918</v>
      </c>
      <c r="N194" s="9" t="s">
        <v>813</v>
      </c>
    </row>
    <row r="195" ht="25" customHeight="1" spans="1:14">
      <c r="A195" s="9" t="s">
        <v>388</v>
      </c>
      <c r="B195" s="9" t="s">
        <v>387</v>
      </c>
      <c r="C195" s="10">
        <v>45366</v>
      </c>
      <c r="D195" s="15">
        <v>1.0156</v>
      </c>
      <c r="E195" s="15">
        <v>1.0749</v>
      </c>
      <c r="F195" s="15">
        <v>1.0758</v>
      </c>
      <c r="G195" s="11">
        <v>0.0086</v>
      </c>
      <c r="H195" s="9">
        <f>MAX($F$116:F195)</f>
        <v>1.0758</v>
      </c>
      <c r="I195" s="11">
        <f t="shared" si="5"/>
        <v>0</v>
      </c>
      <c r="J195" s="9"/>
      <c r="K195" s="11"/>
      <c r="L195" s="9">
        <f>MAX($F$164:F195)</f>
        <v>1.0758</v>
      </c>
      <c r="M195" s="11">
        <f t="shared" si="4"/>
        <v>0</v>
      </c>
      <c r="N195" s="9" t="s">
        <v>813</v>
      </c>
    </row>
    <row r="196" ht="25" customHeight="1" spans="1:14">
      <c r="A196" s="9" t="s">
        <v>388</v>
      </c>
      <c r="B196" s="9" t="s">
        <v>387</v>
      </c>
      <c r="C196" s="10">
        <v>45373</v>
      </c>
      <c r="D196" s="15">
        <v>1.0142</v>
      </c>
      <c r="E196" s="15">
        <v>1.0735</v>
      </c>
      <c r="F196" s="15">
        <v>1.0743</v>
      </c>
      <c r="G196" s="11">
        <v>-0.0014</v>
      </c>
      <c r="H196" s="9">
        <f>MAX($F$116:F196)</f>
        <v>1.0758</v>
      </c>
      <c r="I196" s="11">
        <f t="shared" si="5"/>
        <v>0.00139431121026223</v>
      </c>
      <c r="J196" s="9"/>
      <c r="K196" s="11"/>
      <c r="L196" s="9">
        <f>MAX($F$164:F196)</f>
        <v>1.0758</v>
      </c>
      <c r="M196" s="11">
        <f t="shared" si="4"/>
        <v>0.00139431121026223</v>
      </c>
      <c r="N196" s="9" t="s">
        <v>813</v>
      </c>
    </row>
    <row r="197" ht="25" customHeight="1" spans="1:14">
      <c r="A197" s="9" t="s">
        <v>388</v>
      </c>
      <c r="B197" s="9" t="s">
        <v>387</v>
      </c>
      <c r="C197" s="10">
        <v>45380</v>
      </c>
      <c r="D197" s="15">
        <v>1.0131</v>
      </c>
      <c r="E197" s="15">
        <v>1.0724</v>
      </c>
      <c r="F197" s="15">
        <v>1.0731</v>
      </c>
      <c r="G197" s="11">
        <v>-0.0011</v>
      </c>
      <c r="H197" s="9">
        <f>MAX($F$116:F197)</f>
        <v>1.0758</v>
      </c>
      <c r="I197" s="11">
        <f t="shared" si="5"/>
        <v>0.00250976017847193</v>
      </c>
      <c r="J197" s="9"/>
      <c r="K197" s="11"/>
      <c r="L197" s="9">
        <f>MAX($F$164:F197)</f>
        <v>1.0758</v>
      </c>
      <c r="M197" s="11">
        <f t="shared" si="4"/>
        <v>0.00250976017847193</v>
      </c>
      <c r="N197" s="9" t="s">
        <v>813</v>
      </c>
    </row>
    <row r="198" ht="25" customHeight="1" spans="1:14">
      <c r="A198" s="9" t="s">
        <v>388</v>
      </c>
      <c r="B198" s="9" t="s">
        <v>387</v>
      </c>
      <c r="C198" s="10">
        <v>45385</v>
      </c>
      <c r="D198" s="15">
        <v>1.0103</v>
      </c>
      <c r="E198" s="15">
        <v>1.0696</v>
      </c>
      <c r="F198" s="15">
        <v>1.0702</v>
      </c>
      <c r="G198" s="11">
        <v>-0.0028</v>
      </c>
      <c r="H198" s="9">
        <f>MAX($F$116:F198)</f>
        <v>1.0758</v>
      </c>
      <c r="I198" s="11">
        <f t="shared" si="5"/>
        <v>0.00520542851831196</v>
      </c>
      <c r="J198" s="9"/>
      <c r="K198" s="11"/>
      <c r="L198" s="9">
        <f>MAX($F$164:F198)</f>
        <v>1.0758</v>
      </c>
      <c r="M198" s="11">
        <f t="shared" si="4"/>
        <v>0.00520542851831196</v>
      </c>
      <c r="N198" s="9" t="s">
        <v>813</v>
      </c>
    </row>
    <row r="199" ht="25" customHeight="1" spans="1:14">
      <c r="A199" s="9" t="s">
        <v>388</v>
      </c>
      <c r="B199" s="9" t="s">
        <v>387</v>
      </c>
      <c r="C199" s="10">
        <v>45394</v>
      </c>
      <c r="D199" s="15">
        <v>1.0121</v>
      </c>
      <c r="E199" s="15">
        <v>1.0714</v>
      </c>
      <c r="F199" s="15">
        <v>1.0721</v>
      </c>
      <c r="G199" s="11">
        <v>0.0018</v>
      </c>
      <c r="H199" s="9">
        <f>MAX($F$116:F199)</f>
        <v>1.0758</v>
      </c>
      <c r="I199" s="11">
        <f t="shared" si="5"/>
        <v>0.00343930098531331</v>
      </c>
      <c r="J199" s="9"/>
      <c r="K199" s="11"/>
      <c r="L199" s="9">
        <f>MAX($F$164:F199)</f>
        <v>1.0758</v>
      </c>
      <c r="M199" s="11">
        <f t="shared" si="4"/>
        <v>0.00343930098531331</v>
      </c>
      <c r="N199" s="9" t="s">
        <v>813</v>
      </c>
    </row>
    <row r="200" ht="25" customHeight="1" spans="1:14">
      <c r="A200" s="9" t="s">
        <v>388</v>
      </c>
      <c r="B200" s="9" t="s">
        <v>387</v>
      </c>
      <c r="C200" s="10">
        <v>45401</v>
      </c>
      <c r="D200" s="15">
        <v>1.0257</v>
      </c>
      <c r="E200" s="15">
        <v>1.085</v>
      </c>
      <c r="F200" s="15">
        <v>1.0865</v>
      </c>
      <c r="G200" s="11">
        <v>0.0134</v>
      </c>
      <c r="H200" s="9">
        <f>MAX($F$116:F200)</f>
        <v>1.0865</v>
      </c>
      <c r="I200" s="11">
        <f t="shared" si="5"/>
        <v>0</v>
      </c>
      <c r="J200" s="9"/>
      <c r="K200" s="11"/>
      <c r="L200" s="9">
        <f>MAX($F$164:F200)</f>
        <v>1.0865</v>
      </c>
      <c r="M200" s="11">
        <f t="shared" si="4"/>
        <v>0</v>
      </c>
      <c r="N200" s="9" t="s">
        <v>813</v>
      </c>
    </row>
    <row r="201" ht="25" customHeight="1" spans="1:14">
      <c r="A201" s="9" t="s">
        <v>388</v>
      </c>
      <c r="B201" s="9" t="s">
        <v>387</v>
      </c>
      <c r="C201" s="10">
        <v>45408</v>
      </c>
      <c r="D201" s="15">
        <v>1.0258</v>
      </c>
      <c r="E201" s="15">
        <v>1.0851</v>
      </c>
      <c r="F201" s="15">
        <v>1.0866</v>
      </c>
      <c r="G201" s="11">
        <v>0.0001</v>
      </c>
      <c r="H201" s="9">
        <f>MAX($F$116:F201)</f>
        <v>1.0866</v>
      </c>
      <c r="I201" s="11">
        <f t="shared" si="5"/>
        <v>0</v>
      </c>
      <c r="J201" s="9"/>
      <c r="K201" s="11"/>
      <c r="L201" s="9">
        <f>MAX($F$164:F201)</f>
        <v>1.0866</v>
      </c>
      <c r="M201" s="11">
        <f t="shared" si="4"/>
        <v>0</v>
      </c>
      <c r="N201" s="9" t="s">
        <v>813</v>
      </c>
    </row>
    <row r="202" ht="25" customHeight="1" spans="1:14">
      <c r="A202" s="9" t="s">
        <v>388</v>
      </c>
      <c r="B202" s="9" t="s">
        <v>387</v>
      </c>
      <c r="C202" s="10">
        <v>45412</v>
      </c>
      <c r="D202" s="15">
        <v>1.0253</v>
      </c>
      <c r="E202" s="15">
        <v>1.0846</v>
      </c>
      <c r="F202" s="15">
        <v>1.086</v>
      </c>
      <c r="G202" s="11">
        <v>-0.0005</v>
      </c>
      <c r="H202" s="9">
        <f>MAX($F$116:F202)</f>
        <v>1.0866</v>
      </c>
      <c r="I202" s="11">
        <f t="shared" si="5"/>
        <v>0.000552181115405781</v>
      </c>
      <c r="J202" s="9"/>
      <c r="K202" s="11"/>
      <c r="L202" s="9">
        <f>MAX($F$164:F202)</f>
        <v>1.0866</v>
      </c>
      <c r="M202" s="11">
        <f t="shared" si="4"/>
        <v>0.000552181115405781</v>
      </c>
      <c r="N202" s="9" t="s">
        <v>813</v>
      </c>
    </row>
    <row r="203" ht="25" customHeight="1" spans="1:14">
      <c r="A203" s="9" t="s">
        <v>388</v>
      </c>
      <c r="B203" s="9" t="s">
        <v>387</v>
      </c>
      <c r="C203" s="10">
        <v>45422</v>
      </c>
      <c r="D203" s="15">
        <v>1.0246</v>
      </c>
      <c r="E203" s="15">
        <v>1.0839</v>
      </c>
      <c r="F203" s="15">
        <v>1.0853</v>
      </c>
      <c r="G203" s="11">
        <v>-0.0007</v>
      </c>
      <c r="H203" s="9">
        <f>MAX($F$116:F203)</f>
        <v>1.0866</v>
      </c>
      <c r="I203" s="11">
        <f t="shared" si="5"/>
        <v>0.00119639241671277</v>
      </c>
      <c r="J203" s="9"/>
      <c r="K203" s="11"/>
      <c r="L203" s="9">
        <f>MAX($F$164:F203)</f>
        <v>1.0866</v>
      </c>
      <c r="M203" s="11">
        <f t="shared" si="4"/>
        <v>0.00119639241671277</v>
      </c>
      <c r="N203" s="9" t="s">
        <v>813</v>
      </c>
    </row>
    <row r="204" ht="25" customHeight="1" spans="1:14">
      <c r="A204" s="9" t="s">
        <v>388</v>
      </c>
      <c r="B204" s="9" t="s">
        <v>387</v>
      </c>
      <c r="C204" s="10">
        <v>45429</v>
      </c>
      <c r="D204" s="15">
        <v>1.0256</v>
      </c>
      <c r="E204" s="15">
        <v>1.0849</v>
      </c>
      <c r="F204" s="15">
        <v>1.0864</v>
      </c>
      <c r="G204" s="11">
        <v>0.001</v>
      </c>
      <c r="H204" s="9">
        <f>MAX($F$116:F204)</f>
        <v>1.0866</v>
      </c>
      <c r="I204" s="11">
        <f t="shared" si="5"/>
        <v>0.000184060371801964</v>
      </c>
      <c r="J204" s="9"/>
      <c r="K204" s="11"/>
      <c r="L204" s="9">
        <f>MAX($F$164:F204)</f>
        <v>1.0866</v>
      </c>
      <c r="M204" s="11">
        <f t="shared" si="4"/>
        <v>0.000184060371801964</v>
      </c>
      <c r="N204" s="9" t="s">
        <v>813</v>
      </c>
    </row>
    <row r="205" ht="25" customHeight="1" spans="1:14">
      <c r="A205" s="9" t="s">
        <v>388</v>
      </c>
      <c r="B205" s="9" t="s">
        <v>387</v>
      </c>
      <c r="C205" s="10">
        <v>45436</v>
      </c>
      <c r="D205" s="15">
        <v>1.0213</v>
      </c>
      <c r="E205" s="15">
        <v>1.0806</v>
      </c>
      <c r="F205" s="15">
        <v>1.0818</v>
      </c>
      <c r="G205" s="11">
        <v>-0.0042</v>
      </c>
      <c r="H205" s="9">
        <f>MAX($F$116:F205)</f>
        <v>1.0866</v>
      </c>
      <c r="I205" s="11">
        <f t="shared" si="5"/>
        <v>0.00441744892324669</v>
      </c>
      <c r="J205" s="9"/>
      <c r="K205" s="11"/>
      <c r="L205" s="9">
        <f>MAX($F$164:F205)</f>
        <v>1.0866</v>
      </c>
      <c r="M205" s="11">
        <f t="shared" si="4"/>
        <v>0.00441744892324669</v>
      </c>
      <c r="N205" s="9" t="s">
        <v>813</v>
      </c>
    </row>
    <row r="206" ht="25" customHeight="1" spans="1:14">
      <c r="A206" s="9" t="s">
        <v>388</v>
      </c>
      <c r="B206" s="9" t="s">
        <v>387</v>
      </c>
      <c r="C206" s="10">
        <v>45443</v>
      </c>
      <c r="D206" s="15">
        <v>1.0211</v>
      </c>
      <c r="E206" s="15">
        <v>1.0804</v>
      </c>
      <c r="F206" s="15">
        <v>1.0816</v>
      </c>
      <c r="G206" s="11">
        <v>-0.0002</v>
      </c>
      <c r="H206" s="9">
        <f>MAX($F$116:F206)</f>
        <v>1.0866</v>
      </c>
      <c r="I206" s="11">
        <f t="shared" si="5"/>
        <v>0.00460150929504888</v>
      </c>
      <c r="J206" s="9"/>
      <c r="K206" s="11"/>
      <c r="L206" s="9">
        <f>MAX($F$164:F206)</f>
        <v>1.0866</v>
      </c>
      <c r="M206" s="11">
        <f t="shared" si="4"/>
        <v>0.00460150929504888</v>
      </c>
      <c r="N206" s="9" t="s">
        <v>813</v>
      </c>
    </row>
    <row r="207" ht="25" customHeight="1" spans="1:14">
      <c r="A207" s="9" t="s">
        <v>388</v>
      </c>
      <c r="B207" s="9" t="s">
        <v>387</v>
      </c>
      <c r="C207" s="10">
        <v>45450</v>
      </c>
      <c r="D207" s="15">
        <v>1.0263</v>
      </c>
      <c r="E207" s="15">
        <v>1.0856</v>
      </c>
      <c r="F207" s="15">
        <v>1.0871</v>
      </c>
      <c r="G207" s="11">
        <v>0.0051</v>
      </c>
      <c r="H207" s="9">
        <f>MAX($F$116:F207)</f>
        <v>1.0871</v>
      </c>
      <c r="I207" s="11">
        <f t="shared" si="5"/>
        <v>0</v>
      </c>
      <c r="J207" s="9"/>
      <c r="K207" s="11"/>
      <c r="L207" s="9">
        <f>MAX($F$164:F207)</f>
        <v>1.0871</v>
      </c>
      <c r="M207" s="11">
        <f t="shared" si="4"/>
        <v>0</v>
      </c>
      <c r="N207" s="9" t="s">
        <v>813</v>
      </c>
    </row>
    <row r="208" ht="25" customHeight="1" spans="1:14">
      <c r="A208" s="9" t="s">
        <v>388</v>
      </c>
      <c r="B208" s="9" t="s">
        <v>387</v>
      </c>
      <c r="C208" s="10">
        <v>45457</v>
      </c>
      <c r="D208" s="15">
        <v>1.0244</v>
      </c>
      <c r="E208" s="15">
        <v>1.0837</v>
      </c>
      <c r="F208" s="15">
        <v>1.0851</v>
      </c>
      <c r="G208" s="11">
        <v>-0.0019</v>
      </c>
      <c r="H208" s="9">
        <f>MAX($F$116:F208)</f>
        <v>1.0871</v>
      </c>
      <c r="I208" s="11">
        <f t="shared" si="5"/>
        <v>0.00183975715205598</v>
      </c>
      <c r="J208" s="9"/>
      <c r="K208" s="11"/>
      <c r="L208" s="9">
        <f>MAX($F$164:F208)</f>
        <v>1.0871</v>
      </c>
      <c r="M208" s="11">
        <f t="shared" si="4"/>
        <v>0.00183975715205598</v>
      </c>
      <c r="N208" s="9" t="s">
        <v>813</v>
      </c>
    </row>
    <row r="209" ht="25" customHeight="1" spans="1:14">
      <c r="A209" s="9" t="s">
        <v>388</v>
      </c>
      <c r="B209" s="9" t="s">
        <v>387</v>
      </c>
      <c r="C209" s="10">
        <v>45464</v>
      </c>
      <c r="D209" s="15">
        <v>1.0285</v>
      </c>
      <c r="E209" s="15">
        <v>1.0878</v>
      </c>
      <c r="F209" s="15">
        <v>1.0894</v>
      </c>
      <c r="G209" s="11">
        <v>0.004</v>
      </c>
      <c r="H209" s="9">
        <f>MAX($F$116:F209)</f>
        <v>1.0894</v>
      </c>
      <c r="I209" s="11">
        <f t="shared" si="5"/>
        <v>0</v>
      </c>
      <c r="J209" s="9"/>
      <c r="K209" s="11"/>
      <c r="L209" s="9">
        <f>MAX($F$164:F209)</f>
        <v>1.0894</v>
      </c>
      <c r="M209" s="11">
        <f t="shared" si="4"/>
        <v>0</v>
      </c>
      <c r="N209" s="9" t="s">
        <v>813</v>
      </c>
    </row>
    <row r="210" ht="25" customHeight="1" spans="1:14">
      <c r="A210" s="9" t="s">
        <v>388</v>
      </c>
      <c r="B210" s="9" t="s">
        <v>387</v>
      </c>
      <c r="C210" s="10">
        <v>45471</v>
      </c>
      <c r="D210" s="15">
        <v>1.0316</v>
      </c>
      <c r="E210" s="15">
        <v>1.0909</v>
      </c>
      <c r="F210" s="15">
        <v>1.0927</v>
      </c>
      <c r="G210" s="11">
        <v>0.003</v>
      </c>
      <c r="H210" s="9">
        <f>MAX($F$116:F210)</f>
        <v>1.0927</v>
      </c>
      <c r="I210" s="11">
        <f t="shared" si="5"/>
        <v>0</v>
      </c>
      <c r="J210" s="9"/>
      <c r="K210" s="11"/>
      <c r="L210" s="9">
        <f>MAX($F$164:F210)</f>
        <v>1.0927</v>
      </c>
      <c r="M210" s="11">
        <f t="shared" si="4"/>
        <v>0</v>
      </c>
      <c r="N210" s="9" t="s">
        <v>813</v>
      </c>
    </row>
    <row r="211" ht="25" customHeight="1" spans="1:14">
      <c r="A211" s="9" t="s">
        <v>388</v>
      </c>
      <c r="B211" s="9" t="s">
        <v>387</v>
      </c>
      <c r="C211" s="10">
        <v>45478</v>
      </c>
      <c r="D211" s="15">
        <v>1.0363</v>
      </c>
      <c r="E211" s="15">
        <v>1.0956</v>
      </c>
      <c r="F211" s="15">
        <v>1.0977</v>
      </c>
      <c r="G211" s="11">
        <v>0.0046</v>
      </c>
      <c r="H211" s="9">
        <f>MAX($F$116:F211)</f>
        <v>1.0977</v>
      </c>
      <c r="I211" s="11">
        <f t="shared" si="5"/>
        <v>0</v>
      </c>
      <c r="J211" s="9"/>
      <c r="K211" s="11"/>
      <c r="L211" s="9">
        <f>MAX($F$164:F211)</f>
        <v>1.0977</v>
      </c>
      <c r="M211" s="11">
        <f t="shared" si="4"/>
        <v>0</v>
      </c>
      <c r="N211" s="9" t="s">
        <v>813</v>
      </c>
    </row>
    <row r="212" ht="25" customHeight="1" spans="1:14">
      <c r="A212" s="9" t="s">
        <v>388</v>
      </c>
      <c r="B212" s="9" t="s">
        <v>387</v>
      </c>
      <c r="C212" s="10">
        <v>45485</v>
      </c>
      <c r="D212" s="15">
        <v>1.036</v>
      </c>
      <c r="E212" s="15">
        <v>1.0953</v>
      </c>
      <c r="F212" s="15">
        <v>1.0974</v>
      </c>
      <c r="G212" s="11">
        <v>-0.0003</v>
      </c>
      <c r="H212" s="9">
        <f>MAX($F$116:F212)</f>
        <v>1.0977</v>
      </c>
      <c r="I212" s="11">
        <f t="shared" si="5"/>
        <v>0.000273298715495973</v>
      </c>
      <c r="J212" s="9"/>
      <c r="K212" s="11"/>
      <c r="L212" s="9">
        <f>MAX($F$164:F212)</f>
        <v>1.0977</v>
      </c>
      <c r="M212" s="11">
        <f t="shared" si="4"/>
        <v>0.000273298715495973</v>
      </c>
      <c r="N212" s="9" t="s">
        <v>813</v>
      </c>
    </row>
    <row r="213" ht="25" customHeight="1" spans="1:14">
      <c r="A213" s="9" t="s">
        <v>388</v>
      </c>
      <c r="B213" s="9" t="s">
        <v>387</v>
      </c>
      <c r="C213" s="10">
        <v>45492</v>
      </c>
      <c r="D213" s="15">
        <v>1.0366</v>
      </c>
      <c r="E213" s="15">
        <v>1.0959</v>
      </c>
      <c r="F213" s="15">
        <v>1.098</v>
      </c>
      <c r="G213" s="11">
        <v>0.0006</v>
      </c>
      <c r="H213" s="9">
        <f>MAX($F$116:F213)</f>
        <v>1.098</v>
      </c>
      <c r="I213" s="11">
        <f t="shared" si="5"/>
        <v>0</v>
      </c>
      <c r="J213" s="9"/>
      <c r="K213" s="11"/>
      <c r="L213" s="9">
        <f>MAX($F$164:F213)</f>
        <v>1.098</v>
      </c>
      <c r="M213" s="11">
        <f t="shared" si="4"/>
        <v>0</v>
      </c>
      <c r="N213" s="9" t="s">
        <v>813</v>
      </c>
    </row>
    <row r="214" ht="25" customHeight="1" spans="1:14">
      <c r="A214" s="9" t="s">
        <v>388</v>
      </c>
      <c r="B214" s="9" t="s">
        <v>387</v>
      </c>
      <c r="C214" s="10">
        <v>45499</v>
      </c>
      <c r="D214" s="15">
        <v>1.0383</v>
      </c>
      <c r="E214" s="15">
        <v>1.0976</v>
      </c>
      <c r="F214" s="15">
        <v>1.0998</v>
      </c>
      <c r="G214" s="11">
        <v>0.0016</v>
      </c>
      <c r="H214" s="9">
        <f>MAX($F$116:F214)</f>
        <v>1.0998</v>
      </c>
      <c r="I214" s="11">
        <f t="shared" si="5"/>
        <v>0</v>
      </c>
      <c r="J214" s="9"/>
      <c r="K214" s="11"/>
      <c r="L214" s="9">
        <f>MAX($F$164:F214)</f>
        <v>1.0998</v>
      </c>
      <c r="M214" s="11">
        <f t="shared" si="4"/>
        <v>0</v>
      </c>
      <c r="N214" s="9" t="s">
        <v>813</v>
      </c>
    </row>
    <row r="215" ht="25" customHeight="1" spans="1:14">
      <c r="A215" s="9" t="s">
        <v>388</v>
      </c>
      <c r="B215" s="9" t="s">
        <v>387</v>
      </c>
      <c r="C215" s="10">
        <v>45504</v>
      </c>
      <c r="D215" s="15">
        <v>1.0368</v>
      </c>
      <c r="E215" s="15">
        <v>1.0961</v>
      </c>
      <c r="F215" s="15">
        <v>1.0982</v>
      </c>
      <c r="G215" s="11">
        <v>-0.0014</v>
      </c>
      <c r="H215" s="9">
        <f>MAX($F$116:F215)</f>
        <v>1.0998</v>
      </c>
      <c r="I215" s="11">
        <f t="shared" si="5"/>
        <v>0.00145480996544833</v>
      </c>
      <c r="J215" s="9"/>
      <c r="K215" s="11"/>
      <c r="L215" s="9">
        <f>MAX($F$164:F215)</f>
        <v>1.0998</v>
      </c>
      <c r="M215" s="11">
        <f t="shared" si="4"/>
        <v>0.00145480996544833</v>
      </c>
      <c r="N215" s="9" t="s">
        <v>813</v>
      </c>
    </row>
    <row r="216" ht="25" customHeight="1" spans="1:14">
      <c r="A216" s="9" t="s">
        <v>388</v>
      </c>
      <c r="B216" s="9" t="s">
        <v>387</v>
      </c>
      <c r="C216" s="10">
        <v>45506</v>
      </c>
      <c r="D216" s="15">
        <v>1.0365</v>
      </c>
      <c r="E216" s="15">
        <v>1.0958</v>
      </c>
      <c r="F216" s="15">
        <v>1.0979</v>
      </c>
      <c r="G216" s="11">
        <v>-0.0003</v>
      </c>
      <c r="H216" s="9">
        <f>MAX($F$116:F216)</f>
        <v>1.0998</v>
      </c>
      <c r="I216" s="11">
        <f t="shared" si="5"/>
        <v>0.00172758683396979</v>
      </c>
      <c r="J216" s="9"/>
      <c r="K216" s="11"/>
      <c r="L216" s="9">
        <f>MAX($F$164:F216)</f>
        <v>1.0998</v>
      </c>
      <c r="M216" s="11">
        <f t="shared" si="4"/>
        <v>0.00172758683396979</v>
      </c>
      <c r="N216" s="9" t="s">
        <v>813</v>
      </c>
    </row>
    <row r="217" ht="25" customHeight="1" spans="1:14">
      <c r="A217" s="9" t="s">
        <v>388</v>
      </c>
      <c r="B217" s="9" t="s">
        <v>387</v>
      </c>
      <c r="C217" s="10">
        <v>45513</v>
      </c>
      <c r="D217" s="15">
        <v>1.0431</v>
      </c>
      <c r="E217" s="15">
        <v>1.1024</v>
      </c>
      <c r="F217" s="15">
        <v>1.1049</v>
      </c>
      <c r="G217" s="11">
        <v>0.0064</v>
      </c>
      <c r="H217" s="9">
        <f>MAX($F$116:F217)</f>
        <v>1.1049</v>
      </c>
      <c r="I217" s="11">
        <f t="shared" si="5"/>
        <v>0</v>
      </c>
      <c r="J217" s="9"/>
      <c r="K217" s="11"/>
      <c r="L217" s="9">
        <f>MAX($F$164:F217)</f>
        <v>1.1049</v>
      </c>
      <c r="M217" s="11">
        <f t="shared" si="4"/>
        <v>0</v>
      </c>
      <c r="N217" s="9" t="s">
        <v>813</v>
      </c>
    </row>
    <row r="218" ht="25" customHeight="1" spans="1:14">
      <c r="A218" s="9" t="s">
        <v>388</v>
      </c>
      <c r="B218" s="9" t="s">
        <v>387</v>
      </c>
      <c r="C218" s="10">
        <v>45520</v>
      </c>
      <c r="D218" s="15">
        <v>1.0432</v>
      </c>
      <c r="E218" s="15">
        <v>1.1025</v>
      </c>
      <c r="F218" s="15">
        <v>1.105</v>
      </c>
      <c r="G218" s="11">
        <v>0.0001</v>
      </c>
      <c r="H218" s="9">
        <f>MAX($F$116:F218)</f>
        <v>1.105</v>
      </c>
      <c r="I218" s="11">
        <f t="shared" si="5"/>
        <v>0</v>
      </c>
      <c r="J218" s="9"/>
      <c r="K218" s="11"/>
      <c r="L218" s="9">
        <f>MAX($F$164:F218)</f>
        <v>1.105</v>
      </c>
      <c r="M218" s="11">
        <f t="shared" si="4"/>
        <v>0</v>
      </c>
      <c r="N218" s="9" t="s">
        <v>813</v>
      </c>
    </row>
    <row r="219" ht="25" customHeight="1" spans="1:14">
      <c r="A219" s="9" t="s">
        <v>388</v>
      </c>
      <c r="B219" s="9" t="s">
        <v>387</v>
      </c>
      <c r="C219" s="10">
        <v>45527</v>
      </c>
      <c r="D219" s="15">
        <v>1.0489</v>
      </c>
      <c r="E219" s="15">
        <v>1.1082</v>
      </c>
      <c r="F219" s="15">
        <v>1.111</v>
      </c>
      <c r="G219" s="11">
        <v>0.0055</v>
      </c>
      <c r="H219" s="9">
        <f>MAX($F$116:F219)</f>
        <v>1.111</v>
      </c>
      <c r="I219" s="11">
        <f t="shared" si="5"/>
        <v>0</v>
      </c>
      <c r="J219" s="9"/>
      <c r="K219" s="11"/>
      <c r="L219" s="9">
        <f>MAX($F$164:F219)</f>
        <v>1.111</v>
      </c>
      <c r="M219" s="11">
        <f t="shared" si="4"/>
        <v>0</v>
      </c>
      <c r="N219" s="9" t="s">
        <v>813</v>
      </c>
    </row>
    <row r="220" ht="25" customHeight="1" spans="1:14">
      <c r="A220" s="9" t="s">
        <v>388</v>
      </c>
      <c r="B220" s="9" t="s">
        <v>387</v>
      </c>
      <c r="C220" s="10">
        <v>45534</v>
      </c>
      <c r="D220" s="15">
        <v>1.0523</v>
      </c>
      <c r="E220" s="15">
        <v>1.1116</v>
      </c>
      <c r="F220" s="15">
        <v>1.1146</v>
      </c>
      <c r="G220" s="11">
        <v>0.0032</v>
      </c>
      <c r="H220" s="9">
        <f>MAX($F$116:F220)</f>
        <v>1.1146</v>
      </c>
      <c r="I220" s="11">
        <f t="shared" si="5"/>
        <v>0</v>
      </c>
      <c r="J220" s="9"/>
      <c r="K220" s="11"/>
      <c r="L220" s="9">
        <f>MAX($F$164:F220)</f>
        <v>1.1146</v>
      </c>
      <c r="M220" s="11">
        <f t="shared" si="4"/>
        <v>0</v>
      </c>
      <c r="N220" s="9" t="s">
        <v>813</v>
      </c>
    </row>
    <row r="221" ht="25" customHeight="1" spans="1:14">
      <c r="A221" s="9" t="s">
        <v>388</v>
      </c>
      <c r="B221" s="9" t="s">
        <v>387</v>
      </c>
      <c r="C221" s="10">
        <v>45541</v>
      </c>
      <c r="D221" s="15">
        <v>1.0559</v>
      </c>
      <c r="E221" s="15">
        <v>1.1152</v>
      </c>
      <c r="F221" s="15">
        <v>1.1185</v>
      </c>
      <c r="G221" s="11">
        <v>0.0034</v>
      </c>
      <c r="H221" s="9">
        <f>MAX($F$116:F221)</f>
        <v>1.1185</v>
      </c>
      <c r="I221" s="11">
        <f t="shared" si="5"/>
        <v>0</v>
      </c>
      <c r="J221" s="9"/>
      <c r="K221" s="11"/>
      <c r="L221" s="9">
        <f>MAX($F$164:F221)</f>
        <v>1.1185</v>
      </c>
      <c r="M221" s="11">
        <f t="shared" si="4"/>
        <v>0</v>
      </c>
      <c r="N221" s="9" t="s">
        <v>813</v>
      </c>
    </row>
    <row r="222" ht="25" customHeight="1" spans="1:14">
      <c r="A222" s="9" t="s">
        <v>388</v>
      </c>
      <c r="B222" s="9" t="s">
        <v>387</v>
      </c>
      <c r="C222" s="10">
        <v>45548</v>
      </c>
      <c r="D222" s="15">
        <v>1.0594</v>
      </c>
      <c r="E222" s="15">
        <v>1.1187</v>
      </c>
      <c r="F222" s="15">
        <v>1.1222</v>
      </c>
      <c r="G222" s="11">
        <v>0.0033</v>
      </c>
      <c r="H222" s="9">
        <f>MAX($F$116:F222)</f>
        <v>1.1222</v>
      </c>
      <c r="I222" s="11">
        <f t="shared" si="5"/>
        <v>0</v>
      </c>
      <c r="J222" s="9"/>
      <c r="K222" s="11"/>
      <c r="L222" s="9">
        <f>MAX($F$164:F222)</f>
        <v>1.1222</v>
      </c>
      <c r="M222" s="11">
        <f t="shared" si="4"/>
        <v>0</v>
      </c>
      <c r="N222" s="9" t="s">
        <v>813</v>
      </c>
    </row>
    <row r="223" ht="25" customHeight="1" spans="1:14">
      <c r="A223" s="9" t="s">
        <v>388</v>
      </c>
      <c r="B223" s="9" t="s">
        <v>387</v>
      </c>
      <c r="C223" s="10">
        <v>45555</v>
      </c>
      <c r="D223" s="15">
        <v>1.0614</v>
      </c>
      <c r="E223" s="15">
        <v>1.1207</v>
      </c>
      <c r="F223" s="15">
        <v>1.1243</v>
      </c>
      <c r="G223" s="11">
        <v>0.0019</v>
      </c>
      <c r="H223" s="9">
        <f>MAX($F$116:F223)</f>
        <v>1.1243</v>
      </c>
      <c r="I223" s="11">
        <f t="shared" si="5"/>
        <v>0</v>
      </c>
      <c r="J223" s="9"/>
      <c r="K223" s="11"/>
      <c r="L223" s="9">
        <f>MAX($F$164:F223)</f>
        <v>1.1243</v>
      </c>
      <c r="M223" s="11">
        <f t="shared" si="4"/>
        <v>0</v>
      </c>
      <c r="N223" s="9" t="s">
        <v>813</v>
      </c>
    </row>
    <row r="224" ht="25" customHeight="1" spans="1:14">
      <c r="A224" s="9" t="s">
        <v>388</v>
      </c>
      <c r="B224" s="9" t="s">
        <v>387</v>
      </c>
      <c r="C224" s="10">
        <v>45562</v>
      </c>
      <c r="D224" s="15">
        <v>1.0689</v>
      </c>
      <c r="E224" s="15">
        <v>1.1282</v>
      </c>
      <c r="F224" s="15">
        <v>1.1322</v>
      </c>
      <c r="G224" s="11">
        <v>0.0071</v>
      </c>
      <c r="H224" s="9">
        <f>MAX($F$116:F224)</f>
        <v>1.1322</v>
      </c>
      <c r="I224" s="11">
        <f t="shared" si="5"/>
        <v>0</v>
      </c>
      <c r="J224" s="9"/>
      <c r="K224" s="11"/>
      <c r="L224" s="9">
        <f>MAX($F$164:F224)</f>
        <v>1.1322</v>
      </c>
      <c r="M224" s="11">
        <f t="shared" si="4"/>
        <v>0</v>
      </c>
      <c r="N224" s="9" t="s">
        <v>813</v>
      </c>
    </row>
    <row r="225" ht="25" customHeight="1" spans="1:14">
      <c r="A225" s="9" t="s">
        <v>388</v>
      </c>
      <c r="B225" s="9" t="s">
        <v>387</v>
      </c>
      <c r="C225" s="10">
        <v>45565</v>
      </c>
      <c r="D225" s="15">
        <v>1.0669</v>
      </c>
      <c r="E225" s="15">
        <v>1.1262</v>
      </c>
      <c r="F225" s="15">
        <v>1.1301</v>
      </c>
      <c r="G225" s="11">
        <v>-0.0019</v>
      </c>
      <c r="H225" s="9">
        <f>MAX($F$116:F225)</f>
        <v>1.1322</v>
      </c>
      <c r="I225" s="11">
        <f t="shared" si="5"/>
        <v>0.00185479597244298</v>
      </c>
      <c r="J225" s="9"/>
      <c r="K225" s="11"/>
      <c r="L225" s="9">
        <f>MAX($F$164:F225)</f>
        <v>1.1322</v>
      </c>
      <c r="M225" s="11">
        <f t="shared" si="4"/>
        <v>0.00185479597244298</v>
      </c>
      <c r="N225" s="9" t="s">
        <v>813</v>
      </c>
    </row>
    <row r="226" ht="25" customHeight="1" spans="1:14">
      <c r="A226" s="9" t="s">
        <v>388</v>
      </c>
      <c r="B226" s="9" t="s">
        <v>387</v>
      </c>
      <c r="C226" s="10">
        <v>45576</v>
      </c>
      <c r="D226" s="15">
        <v>1.0928</v>
      </c>
      <c r="E226" s="15">
        <v>1.1521</v>
      </c>
      <c r="F226" s="15">
        <v>1.1575</v>
      </c>
      <c r="G226" s="11">
        <v>0.0243</v>
      </c>
      <c r="H226" s="9">
        <f>MAX($F$116:F226)</f>
        <v>1.1575</v>
      </c>
      <c r="I226" s="11">
        <f t="shared" si="5"/>
        <v>0</v>
      </c>
      <c r="J226" s="9"/>
      <c r="K226" s="11"/>
      <c r="L226" s="9">
        <f>MAX($F$164:F226)</f>
        <v>1.1575</v>
      </c>
      <c r="M226" s="11">
        <f t="shared" si="4"/>
        <v>0</v>
      </c>
      <c r="N226" s="9" t="s">
        <v>813</v>
      </c>
    </row>
    <row r="227" ht="25" customHeight="1" spans="1:14">
      <c r="A227" s="9" t="s">
        <v>388</v>
      </c>
      <c r="B227" s="9" t="s">
        <v>387</v>
      </c>
      <c r="C227" s="10">
        <v>45583</v>
      </c>
      <c r="D227" s="15">
        <v>1.1062</v>
      </c>
      <c r="E227" s="15">
        <v>1.1655</v>
      </c>
      <c r="F227" s="15">
        <v>1.1717</v>
      </c>
      <c r="G227" s="11">
        <v>0.0123</v>
      </c>
      <c r="H227" s="9">
        <f>MAX($F$116:F227)</f>
        <v>1.1717</v>
      </c>
      <c r="I227" s="11">
        <f t="shared" si="5"/>
        <v>0</v>
      </c>
      <c r="J227" s="9"/>
      <c r="K227" s="11"/>
      <c r="L227" s="9">
        <f>MAX($F$164:F227)</f>
        <v>1.1717</v>
      </c>
      <c r="M227" s="11">
        <f t="shared" si="4"/>
        <v>0</v>
      </c>
      <c r="N227" s="9" t="s">
        <v>813</v>
      </c>
    </row>
    <row r="228" ht="25" customHeight="1" spans="1:14">
      <c r="A228" s="9" t="s">
        <v>388</v>
      </c>
      <c r="B228" s="9" t="s">
        <v>387</v>
      </c>
      <c r="C228" s="10">
        <v>45590</v>
      </c>
      <c r="D228" s="15">
        <v>1.1129</v>
      </c>
      <c r="E228" s="15">
        <v>1.1722</v>
      </c>
      <c r="F228" s="15">
        <v>1.1788</v>
      </c>
      <c r="G228" s="11">
        <v>0.0061</v>
      </c>
      <c r="H228" s="9">
        <f>MAX($F$116:F228)</f>
        <v>1.1788</v>
      </c>
      <c r="I228" s="11">
        <f t="shared" si="5"/>
        <v>0</v>
      </c>
      <c r="J228" s="9"/>
      <c r="K228" s="11"/>
      <c r="L228" s="9">
        <f>MAX($F$164:F228)</f>
        <v>1.1788</v>
      </c>
      <c r="M228" s="11">
        <f t="shared" ref="M228:M291" si="6">1-F228/L228</f>
        <v>0</v>
      </c>
      <c r="N228" s="9" t="s">
        <v>813</v>
      </c>
    </row>
    <row r="229" ht="25" customHeight="1" spans="1:14">
      <c r="A229" s="9" t="s">
        <v>388</v>
      </c>
      <c r="B229" s="9" t="s">
        <v>387</v>
      </c>
      <c r="C229" s="10">
        <v>45596</v>
      </c>
      <c r="D229" s="15">
        <v>1.1213</v>
      </c>
      <c r="E229" s="15">
        <v>1.1806</v>
      </c>
      <c r="F229" s="15">
        <v>1.1877</v>
      </c>
      <c r="G229" s="11">
        <v>0.0075</v>
      </c>
      <c r="H229" s="9">
        <f>MAX($F$116:F229)</f>
        <v>1.1877</v>
      </c>
      <c r="I229" s="11">
        <f t="shared" si="5"/>
        <v>0</v>
      </c>
      <c r="J229" s="9"/>
      <c r="K229" s="11"/>
      <c r="L229" s="9">
        <f>MAX($F$164:F229)</f>
        <v>1.1877</v>
      </c>
      <c r="M229" s="11">
        <f t="shared" si="6"/>
        <v>0</v>
      </c>
      <c r="N229" s="9" t="s">
        <v>813</v>
      </c>
    </row>
    <row r="230" ht="25" customHeight="1" spans="1:14">
      <c r="A230" s="9" t="s">
        <v>388</v>
      </c>
      <c r="B230" s="9" t="s">
        <v>387</v>
      </c>
      <c r="C230" s="10">
        <v>45597</v>
      </c>
      <c r="D230" s="15">
        <v>1.1247</v>
      </c>
      <c r="E230" s="15">
        <v>1.184</v>
      </c>
      <c r="F230" s="15">
        <v>1.1913</v>
      </c>
      <c r="G230" s="11">
        <v>0.003</v>
      </c>
      <c r="H230" s="9">
        <f>MAX($F$116:F230)</f>
        <v>1.1913</v>
      </c>
      <c r="I230" s="11">
        <f t="shared" si="5"/>
        <v>0</v>
      </c>
      <c r="J230" s="9"/>
      <c r="K230" s="11"/>
      <c r="L230" s="9">
        <f>MAX($F$164:F230)</f>
        <v>1.1913</v>
      </c>
      <c r="M230" s="11">
        <f t="shared" si="6"/>
        <v>0</v>
      </c>
      <c r="N230" s="9" t="s">
        <v>813</v>
      </c>
    </row>
    <row r="231" ht="25" customHeight="1" spans="1:14">
      <c r="A231" s="9" t="s">
        <v>388</v>
      </c>
      <c r="B231" s="9" t="s">
        <v>387</v>
      </c>
      <c r="C231" s="10">
        <v>45604</v>
      </c>
      <c r="D231" s="15">
        <v>1.1408</v>
      </c>
      <c r="E231" s="15">
        <v>1.2001</v>
      </c>
      <c r="F231" s="15">
        <v>1.2084</v>
      </c>
      <c r="G231" s="11">
        <v>0.0143</v>
      </c>
      <c r="H231" s="9">
        <f>MAX($F$116:F231)</f>
        <v>1.2084</v>
      </c>
      <c r="I231" s="11">
        <f t="shared" si="5"/>
        <v>0</v>
      </c>
      <c r="J231" s="9"/>
      <c r="K231" s="11"/>
      <c r="L231" s="9">
        <f>MAX($F$164:F231)</f>
        <v>1.2084</v>
      </c>
      <c r="M231" s="11">
        <f t="shared" si="6"/>
        <v>0</v>
      </c>
      <c r="N231" s="9" t="s">
        <v>813</v>
      </c>
    </row>
    <row r="232" ht="25" customHeight="1" spans="1:14">
      <c r="A232" s="9" t="s">
        <v>388</v>
      </c>
      <c r="B232" s="9" t="s">
        <v>387</v>
      </c>
      <c r="C232" s="10">
        <v>45611</v>
      </c>
      <c r="D232" s="15">
        <v>1.1485</v>
      </c>
      <c r="E232" s="15">
        <v>1.2078</v>
      </c>
      <c r="F232" s="15">
        <v>1.2165</v>
      </c>
      <c r="G232" s="11">
        <v>0.0067</v>
      </c>
      <c r="H232" s="9">
        <f>MAX($F$116:F232)</f>
        <v>1.2165</v>
      </c>
      <c r="I232" s="11">
        <f t="shared" si="5"/>
        <v>0</v>
      </c>
      <c r="J232" s="9"/>
      <c r="K232" s="11"/>
      <c r="L232" s="9">
        <f>MAX($F$164:F232)</f>
        <v>1.2165</v>
      </c>
      <c r="M232" s="11">
        <f t="shared" si="6"/>
        <v>0</v>
      </c>
      <c r="N232" s="9" t="s">
        <v>813</v>
      </c>
    </row>
    <row r="233" ht="25" customHeight="1" spans="1:14">
      <c r="A233" s="9" t="s">
        <v>388</v>
      </c>
      <c r="B233" s="9" t="s">
        <v>387</v>
      </c>
      <c r="C233" s="10">
        <v>45618</v>
      </c>
      <c r="D233" s="15">
        <v>1.1534</v>
      </c>
      <c r="E233" s="15">
        <v>1.2127</v>
      </c>
      <c r="F233" s="15">
        <v>1.2217</v>
      </c>
      <c r="G233" s="11">
        <v>0.0043</v>
      </c>
      <c r="H233" s="9">
        <f>MAX($F$116:F233)</f>
        <v>1.2217</v>
      </c>
      <c r="I233" s="11">
        <f t="shared" si="5"/>
        <v>0</v>
      </c>
      <c r="J233" s="9"/>
      <c r="K233" s="11"/>
      <c r="L233" s="9">
        <f>MAX($F$164:F233)</f>
        <v>1.2217</v>
      </c>
      <c r="M233" s="11">
        <f t="shared" si="6"/>
        <v>0</v>
      </c>
      <c r="N233" s="9" t="s">
        <v>813</v>
      </c>
    </row>
    <row r="234" ht="25" customHeight="1" spans="1:14">
      <c r="A234" s="9" t="s">
        <v>388</v>
      </c>
      <c r="B234" s="9" t="s">
        <v>387</v>
      </c>
      <c r="C234" s="10">
        <v>45625</v>
      </c>
      <c r="D234" s="15">
        <v>1.1635</v>
      </c>
      <c r="E234" s="15">
        <v>1.2228</v>
      </c>
      <c r="F234" s="15">
        <v>1.2324</v>
      </c>
      <c r="G234" s="11">
        <v>0.0088</v>
      </c>
      <c r="H234" s="9">
        <f>MAX($F$116:F234)</f>
        <v>1.2324</v>
      </c>
      <c r="I234" s="11">
        <f t="shared" si="5"/>
        <v>0</v>
      </c>
      <c r="J234" s="9"/>
      <c r="K234" s="11"/>
      <c r="L234" s="9">
        <f>MAX($F$164:F234)</f>
        <v>1.2324</v>
      </c>
      <c r="M234" s="11">
        <f t="shared" si="6"/>
        <v>0</v>
      </c>
      <c r="N234" s="9" t="s">
        <v>813</v>
      </c>
    </row>
    <row r="235" ht="25" customHeight="1" spans="1:14">
      <c r="A235" s="9" t="s">
        <v>388</v>
      </c>
      <c r="B235" s="9" t="s">
        <v>387</v>
      </c>
      <c r="C235" s="10">
        <v>45632</v>
      </c>
      <c r="D235" s="15">
        <v>1.1667</v>
      </c>
      <c r="E235" s="15">
        <v>1.226</v>
      </c>
      <c r="F235" s="15">
        <v>1.2358</v>
      </c>
      <c r="G235" s="11">
        <v>0.0028</v>
      </c>
      <c r="H235" s="9">
        <f>MAX($F$116:F235)</f>
        <v>1.2358</v>
      </c>
      <c r="I235" s="11">
        <f t="shared" si="5"/>
        <v>0</v>
      </c>
      <c r="J235" s="9"/>
      <c r="K235" s="11"/>
      <c r="L235" s="9">
        <f>MAX($F$164:F235)</f>
        <v>1.2358</v>
      </c>
      <c r="M235" s="11">
        <f t="shared" si="6"/>
        <v>0</v>
      </c>
      <c r="N235" s="9" t="s">
        <v>813</v>
      </c>
    </row>
    <row r="236" ht="25" customHeight="1" spans="1:14">
      <c r="A236" s="9" t="s">
        <v>388</v>
      </c>
      <c r="B236" s="9" t="s">
        <v>387</v>
      </c>
      <c r="C236" s="10">
        <v>45639</v>
      </c>
      <c r="D236" s="15">
        <v>1.1719</v>
      </c>
      <c r="E236" s="15">
        <v>1.2312</v>
      </c>
      <c r="F236" s="15">
        <v>1.2413</v>
      </c>
      <c r="G236" s="11">
        <v>0.0045</v>
      </c>
      <c r="H236" s="9">
        <f>MAX($F$116:F236)</f>
        <v>1.2413</v>
      </c>
      <c r="I236" s="11">
        <f t="shared" si="5"/>
        <v>0</v>
      </c>
      <c r="J236" s="9"/>
      <c r="K236" s="11"/>
      <c r="L236" s="9">
        <f>MAX($F$164:F236)</f>
        <v>1.2413</v>
      </c>
      <c r="M236" s="11">
        <f t="shared" si="6"/>
        <v>0</v>
      </c>
      <c r="N236" s="9" t="s">
        <v>813</v>
      </c>
    </row>
    <row r="237" ht="25" customHeight="1" spans="1:14">
      <c r="A237" s="9" t="s">
        <v>388</v>
      </c>
      <c r="B237" s="9" t="s">
        <v>387</v>
      </c>
      <c r="C237" s="10">
        <v>45646</v>
      </c>
      <c r="D237" s="15">
        <v>1.1754</v>
      </c>
      <c r="E237" s="15">
        <v>1.2347</v>
      </c>
      <c r="F237" s="15">
        <v>1.245</v>
      </c>
      <c r="G237" s="11">
        <v>0.003</v>
      </c>
      <c r="H237" s="9">
        <f>MAX($F$116:F237)</f>
        <v>1.245</v>
      </c>
      <c r="I237" s="11">
        <f t="shared" si="5"/>
        <v>0</v>
      </c>
      <c r="J237" s="9"/>
      <c r="K237" s="11"/>
      <c r="L237" s="9">
        <f>MAX($F$164:F237)</f>
        <v>1.245</v>
      </c>
      <c r="M237" s="11">
        <f t="shared" si="6"/>
        <v>0</v>
      </c>
      <c r="N237" s="9" t="s">
        <v>813</v>
      </c>
    </row>
    <row r="238" ht="25" customHeight="1" spans="1:14">
      <c r="A238" s="9" t="s">
        <v>388</v>
      </c>
      <c r="B238" s="9" t="s">
        <v>387</v>
      </c>
      <c r="C238" s="10">
        <v>45653</v>
      </c>
      <c r="D238" s="15">
        <v>1.1732</v>
      </c>
      <c r="E238" s="15">
        <v>1.2325</v>
      </c>
      <c r="F238" s="15">
        <v>1.2427</v>
      </c>
      <c r="G238" s="11">
        <v>-0.0019</v>
      </c>
      <c r="H238" s="9">
        <f>MAX($F$116:F238)</f>
        <v>1.245</v>
      </c>
      <c r="I238" s="11">
        <f t="shared" si="5"/>
        <v>0.00184738955823305</v>
      </c>
      <c r="J238" s="9"/>
      <c r="K238" s="11"/>
      <c r="L238" s="9">
        <f>MAX($F$164:F238)</f>
        <v>1.245</v>
      </c>
      <c r="M238" s="11">
        <f t="shared" si="6"/>
        <v>0.00184738955823305</v>
      </c>
      <c r="N238" s="9" t="s">
        <v>813</v>
      </c>
    </row>
    <row r="239" ht="25" customHeight="1" spans="1:14">
      <c r="A239" s="9" t="s">
        <v>388</v>
      </c>
      <c r="B239" s="9" t="s">
        <v>387</v>
      </c>
      <c r="C239" s="10">
        <v>45657</v>
      </c>
      <c r="D239" s="15">
        <v>1.1734</v>
      </c>
      <c r="E239" s="15">
        <v>1.2327</v>
      </c>
      <c r="F239" s="15">
        <v>1.2429</v>
      </c>
      <c r="G239" s="11">
        <v>0.0002</v>
      </c>
      <c r="H239" s="9">
        <f>MAX($F$116:F239)</f>
        <v>1.245</v>
      </c>
      <c r="I239" s="11">
        <f t="shared" si="5"/>
        <v>0.00168674698795201</v>
      </c>
      <c r="J239" s="9"/>
      <c r="K239" s="11"/>
      <c r="L239" s="9">
        <f>MAX($F$164:F239)</f>
        <v>1.245</v>
      </c>
      <c r="M239" s="11">
        <f t="shared" si="6"/>
        <v>0.00168674698795201</v>
      </c>
      <c r="N239" s="9" t="s">
        <v>813</v>
      </c>
    </row>
    <row r="240" ht="25" customHeight="1" spans="1:14">
      <c r="A240" s="9" t="s">
        <v>388</v>
      </c>
      <c r="B240" s="9" t="s">
        <v>387</v>
      </c>
      <c r="C240" s="10">
        <v>45660</v>
      </c>
      <c r="D240" s="15">
        <v>1.1689</v>
      </c>
      <c r="E240" s="15">
        <v>1.2282</v>
      </c>
      <c r="F240" s="15">
        <v>1.2381</v>
      </c>
      <c r="G240" s="11">
        <v>-0.0038</v>
      </c>
      <c r="H240" s="9">
        <f>MAX($F$116:F240)</f>
        <v>1.245</v>
      </c>
      <c r="I240" s="11">
        <f t="shared" si="5"/>
        <v>0.00554216867469892</v>
      </c>
      <c r="J240" s="9"/>
      <c r="K240" s="11"/>
      <c r="L240" s="9">
        <f>MAX($F$164:F240)</f>
        <v>1.245</v>
      </c>
      <c r="M240" s="11">
        <f t="shared" si="6"/>
        <v>0.00554216867469892</v>
      </c>
      <c r="N240" s="9" t="s">
        <v>813</v>
      </c>
    </row>
    <row r="241" ht="25" customHeight="1" spans="1:14">
      <c r="A241" s="9" t="s">
        <v>388</v>
      </c>
      <c r="B241" s="9" t="s">
        <v>387</v>
      </c>
      <c r="C241" s="10">
        <v>45667</v>
      </c>
      <c r="D241" s="15">
        <v>1.1691</v>
      </c>
      <c r="E241" s="15">
        <v>1.2284</v>
      </c>
      <c r="F241" s="15">
        <v>1.2384</v>
      </c>
      <c r="G241" s="11">
        <v>0.0002</v>
      </c>
      <c r="H241" s="9">
        <f>MAX($F$116:F241)</f>
        <v>1.245</v>
      </c>
      <c r="I241" s="11">
        <f t="shared" si="5"/>
        <v>0.00530120481927721</v>
      </c>
      <c r="J241" s="9"/>
      <c r="K241" s="11"/>
      <c r="L241" s="9">
        <f>MAX($F$164:F241)</f>
        <v>1.245</v>
      </c>
      <c r="M241" s="11">
        <f t="shared" si="6"/>
        <v>0.00530120481927721</v>
      </c>
      <c r="N241" s="9" t="s">
        <v>813</v>
      </c>
    </row>
    <row r="242" ht="25" customHeight="1" spans="1:14">
      <c r="A242" s="9" t="s">
        <v>388</v>
      </c>
      <c r="B242" s="9" t="s">
        <v>387</v>
      </c>
      <c r="C242" s="10">
        <v>45674</v>
      </c>
      <c r="D242" s="15">
        <v>1.1695</v>
      </c>
      <c r="E242" s="15">
        <v>1.2288</v>
      </c>
      <c r="F242" s="15">
        <v>1.2388</v>
      </c>
      <c r="G242" s="11">
        <v>0.0003</v>
      </c>
      <c r="H242" s="9">
        <f>MAX($F$116:F242)</f>
        <v>1.245</v>
      </c>
      <c r="I242" s="11">
        <f t="shared" si="5"/>
        <v>0.00497991967871503</v>
      </c>
      <c r="J242" s="9"/>
      <c r="K242" s="11"/>
      <c r="L242" s="9">
        <f>MAX($F$164:F242)</f>
        <v>1.245</v>
      </c>
      <c r="M242" s="11">
        <f t="shared" si="6"/>
        <v>0.00497991967871503</v>
      </c>
      <c r="N242" s="9" t="s">
        <v>813</v>
      </c>
    </row>
    <row r="243" ht="25" customHeight="1" spans="1:14">
      <c r="A243" s="9" t="s">
        <v>388</v>
      </c>
      <c r="B243" s="9" t="s">
        <v>387</v>
      </c>
      <c r="C243" s="10">
        <v>45681</v>
      </c>
      <c r="D243" s="15">
        <v>1.1701</v>
      </c>
      <c r="E243" s="15">
        <v>1.2294</v>
      </c>
      <c r="F243" s="15">
        <v>1.2394</v>
      </c>
      <c r="G243" s="11">
        <v>0.0005</v>
      </c>
      <c r="H243" s="9">
        <f>MAX($F$116:F243)</f>
        <v>1.245</v>
      </c>
      <c r="I243" s="11">
        <f t="shared" si="5"/>
        <v>0.00449799196787148</v>
      </c>
      <c r="J243" s="9"/>
      <c r="K243" s="11"/>
      <c r="L243" s="9">
        <f>MAX($F$164:F243)</f>
        <v>1.245</v>
      </c>
      <c r="M243" s="11">
        <f t="shared" si="6"/>
        <v>0.00449799196787148</v>
      </c>
      <c r="N243" s="9" t="s">
        <v>813</v>
      </c>
    </row>
    <row r="244" ht="25" customHeight="1" spans="1:14">
      <c r="A244" s="9" t="s">
        <v>388</v>
      </c>
      <c r="B244" s="9" t="s">
        <v>387</v>
      </c>
      <c r="C244" s="10">
        <v>45684</v>
      </c>
      <c r="D244" s="15">
        <v>1.1679</v>
      </c>
      <c r="E244" s="15">
        <v>1.2272</v>
      </c>
      <c r="F244" s="15">
        <v>1.2371</v>
      </c>
      <c r="G244" s="11">
        <v>-0.0019</v>
      </c>
      <c r="H244" s="9">
        <f>MAX($F$116:F244)</f>
        <v>1.245</v>
      </c>
      <c r="I244" s="11">
        <f t="shared" si="5"/>
        <v>0.00634538152610442</v>
      </c>
      <c r="J244" s="9"/>
      <c r="K244" s="11"/>
      <c r="L244" s="9">
        <f>MAX($F$164:F244)</f>
        <v>1.245</v>
      </c>
      <c r="M244" s="11">
        <f t="shared" si="6"/>
        <v>0.00634538152610442</v>
      </c>
      <c r="N244" s="9" t="s">
        <v>813</v>
      </c>
    </row>
    <row r="245" ht="25" customHeight="1" spans="1:14">
      <c r="A245" s="9" t="s">
        <v>388</v>
      </c>
      <c r="B245" s="9" t="s">
        <v>387</v>
      </c>
      <c r="C245" s="10">
        <v>45695</v>
      </c>
      <c r="D245" s="15">
        <v>1.1628</v>
      </c>
      <c r="E245" s="15">
        <v>1.2221</v>
      </c>
      <c r="F245" s="15">
        <v>1.2317</v>
      </c>
      <c r="G245" s="11">
        <v>-0.0044</v>
      </c>
      <c r="H245" s="9">
        <f>MAX($F$116:F245)</f>
        <v>1.245</v>
      </c>
      <c r="I245" s="11">
        <f t="shared" si="5"/>
        <v>0.0106827309236949</v>
      </c>
      <c r="J245" s="9"/>
      <c r="K245" s="11"/>
      <c r="L245" s="9">
        <f>MAX($F$164:F245)</f>
        <v>1.245</v>
      </c>
      <c r="M245" s="11">
        <f t="shared" si="6"/>
        <v>0.0106827309236949</v>
      </c>
      <c r="N245" s="9" t="s">
        <v>813</v>
      </c>
    </row>
    <row r="246" ht="25" customHeight="1" spans="1:14">
      <c r="A246" s="9" t="s">
        <v>388</v>
      </c>
      <c r="B246" s="9" t="s">
        <v>387</v>
      </c>
      <c r="C246" s="10">
        <v>45702</v>
      </c>
      <c r="D246" s="15">
        <v>1.1655</v>
      </c>
      <c r="E246" s="15">
        <v>1.2248</v>
      </c>
      <c r="F246" s="15">
        <v>1.2345</v>
      </c>
      <c r="G246" s="11">
        <v>0.0023</v>
      </c>
      <c r="H246" s="9">
        <f>MAX($F$116:F246)</f>
        <v>1.245</v>
      </c>
      <c r="I246" s="11">
        <f t="shared" si="5"/>
        <v>0.00843373493975919</v>
      </c>
      <c r="J246" s="9"/>
      <c r="K246" s="11"/>
      <c r="L246" s="9">
        <f>MAX($F$164:F246)</f>
        <v>1.245</v>
      </c>
      <c r="M246" s="11">
        <f t="shared" si="6"/>
        <v>0.00843373493975919</v>
      </c>
      <c r="N246" s="9" t="s">
        <v>813</v>
      </c>
    </row>
    <row r="247" ht="25" customHeight="1" spans="1:14">
      <c r="A247" s="9" t="s">
        <v>388</v>
      </c>
      <c r="B247" s="9" t="s">
        <v>387</v>
      </c>
      <c r="C247" s="10">
        <v>45709</v>
      </c>
      <c r="D247" s="15">
        <v>1.1738</v>
      </c>
      <c r="E247" s="15">
        <v>1.2331</v>
      </c>
      <c r="F247" s="15">
        <v>1.2433</v>
      </c>
      <c r="G247" s="11">
        <v>0.0071</v>
      </c>
      <c r="H247" s="9">
        <f>MAX($F$116:F247)</f>
        <v>1.245</v>
      </c>
      <c r="I247" s="11">
        <f t="shared" si="5"/>
        <v>0.00136546184738962</v>
      </c>
      <c r="J247" s="9"/>
      <c r="K247" s="11"/>
      <c r="L247" s="9">
        <f>MAX($F$164:F247)</f>
        <v>1.245</v>
      </c>
      <c r="M247" s="11">
        <f t="shared" si="6"/>
        <v>0.00136546184738962</v>
      </c>
      <c r="N247" s="9" t="s">
        <v>813</v>
      </c>
    </row>
    <row r="248" ht="25" customHeight="1" spans="1:14">
      <c r="A248" s="9" t="s">
        <v>388</v>
      </c>
      <c r="B248" s="9" t="s">
        <v>387</v>
      </c>
      <c r="C248" s="10">
        <v>45715</v>
      </c>
      <c r="D248" s="15">
        <v>1</v>
      </c>
      <c r="E248" s="15">
        <v>1.2358</v>
      </c>
      <c r="F248" s="15">
        <v>1.2462</v>
      </c>
      <c r="G248" s="11">
        <v>0.0023</v>
      </c>
      <c r="H248" s="9">
        <f>MAX($F$116:F248)</f>
        <v>1.2462</v>
      </c>
      <c r="I248" s="11">
        <f t="shared" si="5"/>
        <v>0</v>
      </c>
      <c r="J248" s="9"/>
      <c r="K248" s="11"/>
      <c r="L248" s="9">
        <f>MAX($F$164:F248)</f>
        <v>1.2462</v>
      </c>
      <c r="M248" s="11">
        <f t="shared" si="6"/>
        <v>0</v>
      </c>
      <c r="N248" s="9" t="s">
        <v>813</v>
      </c>
    </row>
    <row r="249" ht="25" customHeight="1" spans="1:14">
      <c r="A249" s="9" t="s">
        <v>388</v>
      </c>
      <c r="B249" s="9" t="s">
        <v>387</v>
      </c>
      <c r="C249" s="10">
        <v>45716</v>
      </c>
      <c r="D249" s="15">
        <v>0.9988</v>
      </c>
      <c r="E249" s="15">
        <v>1.2346</v>
      </c>
      <c r="F249" s="15">
        <v>1.2447</v>
      </c>
      <c r="G249" s="11">
        <v>-0.0012</v>
      </c>
      <c r="H249" s="9">
        <f>MAX($F$116:F249)</f>
        <v>1.2462</v>
      </c>
      <c r="I249" s="11">
        <f t="shared" si="5"/>
        <v>0.00120365912373621</v>
      </c>
      <c r="J249" s="9"/>
      <c r="K249" s="11"/>
      <c r="L249" s="9">
        <f>MAX($F$164:F249)</f>
        <v>1.2462</v>
      </c>
      <c r="M249" s="11">
        <f t="shared" si="6"/>
        <v>0.00120365912373621</v>
      </c>
      <c r="N249" s="9" t="s">
        <v>813</v>
      </c>
    </row>
    <row r="250" ht="25" customHeight="1" spans="1:14">
      <c r="A250" s="9" t="s">
        <v>388</v>
      </c>
      <c r="B250" s="9" t="s">
        <v>387</v>
      </c>
      <c r="C250" s="10">
        <v>45723</v>
      </c>
      <c r="D250" s="15">
        <v>0.999</v>
      </c>
      <c r="E250" s="15">
        <v>1.2348</v>
      </c>
      <c r="F250" s="15">
        <v>1.245</v>
      </c>
      <c r="G250" s="11">
        <v>0.0002</v>
      </c>
      <c r="H250" s="9">
        <f>MAX($F$116:F250)</f>
        <v>1.2462</v>
      </c>
      <c r="I250" s="11">
        <f t="shared" si="5"/>
        <v>0.000962927298988836</v>
      </c>
      <c r="J250" s="9"/>
      <c r="K250" s="11"/>
      <c r="L250" s="9">
        <f>MAX($F$164:F250)</f>
        <v>1.2462</v>
      </c>
      <c r="M250" s="11">
        <f t="shared" si="6"/>
        <v>0.000962927298988836</v>
      </c>
      <c r="N250" s="9" t="s">
        <v>813</v>
      </c>
    </row>
    <row r="251" ht="25" customHeight="1" spans="1:14">
      <c r="A251" s="9" t="s">
        <v>388</v>
      </c>
      <c r="B251" s="9" t="s">
        <v>387</v>
      </c>
      <c r="C251" s="10">
        <v>45730</v>
      </c>
      <c r="D251" s="15">
        <v>0.9959</v>
      </c>
      <c r="E251" s="15">
        <v>1.2317</v>
      </c>
      <c r="F251" s="15">
        <v>1.2411</v>
      </c>
      <c r="G251" s="11">
        <v>-0.0031</v>
      </c>
      <c r="H251" s="9">
        <f>MAX($F$116:F251)</f>
        <v>1.2462</v>
      </c>
      <c r="I251" s="11">
        <f t="shared" si="5"/>
        <v>0.00409244102070283</v>
      </c>
      <c r="J251" s="9"/>
      <c r="K251" s="11"/>
      <c r="L251" s="9">
        <f>MAX($F$164:F251)</f>
        <v>1.2462</v>
      </c>
      <c r="M251" s="11">
        <f t="shared" si="6"/>
        <v>0.00409244102070283</v>
      </c>
      <c r="N251" s="9" t="s">
        <v>813</v>
      </c>
    </row>
    <row r="252" ht="25" customHeight="1" spans="1:14">
      <c r="A252" s="9" t="s">
        <v>388</v>
      </c>
      <c r="B252" s="9" t="s">
        <v>387</v>
      </c>
      <c r="C252" s="10">
        <v>45737</v>
      </c>
      <c r="D252" s="15">
        <v>1.0014</v>
      </c>
      <c r="E252" s="15">
        <v>1.2372</v>
      </c>
      <c r="F252" s="15">
        <v>1.2479</v>
      </c>
      <c r="G252" s="11">
        <v>0.0055</v>
      </c>
      <c r="H252" s="9">
        <f>MAX($F$116:F252)</f>
        <v>1.2479</v>
      </c>
      <c r="I252" s="11">
        <f t="shared" si="5"/>
        <v>0</v>
      </c>
      <c r="J252" s="9"/>
      <c r="K252" s="11"/>
      <c r="L252" s="9">
        <f>MAX($F$164:F252)</f>
        <v>1.2479</v>
      </c>
      <c r="M252" s="11">
        <f t="shared" si="6"/>
        <v>0</v>
      </c>
      <c r="N252" s="9" t="s">
        <v>813</v>
      </c>
    </row>
    <row r="253" ht="25" customHeight="1" spans="1:14">
      <c r="A253" s="9" t="s">
        <v>388</v>
      </c>
      <c r="B253" s="9" t="s">
        <v>387</v>
      </c>
      <c r="C253" s="10">
        <v>45744</v>
      </c>
      <c r="D253" s="15">
        <v>1.0006</v>
      </c>
      <c r="E253" s="15">
        <v>1.2364</v>
      </c>
      <c r="F253" s="15">
        <v>1.2469</v>
      </c>
      <c r="G253" s="11">
        <v>-0.0008</v>
      </c>
      <c r="H253" s="9">
        <f>MAX($F$116:F253)</f>
        <v>1.2479</v>
      </c>
      <c r="I253" s="11">
        <f t="shared" si="5"/>
        <v>0.000801346261719793</v>
      </c>
      <c r="J253" s="9"/>
      <c r="K253" s="11"/>
      <c r="L253" s="9">
        <f>MAX($F$164:F253)</f>
        <v>1.2479</v>
      </c>
      <c r="M253" s="11">
        <f t="shared" si="6"/>
        <v>0.000801346261719793</v>
      </c>
      <c r="N253" s="9" t="s">
        <v>813</v>
      </c>
    </row>
    <row r="254" ht="25" customHeight="1" spans="1:14">
      <c r="A254" s="9" t="s">
        <v>388</v>
      </c>
      <c r="B254" s="9" t="s">
        <v>387</v>
      </c>
      <c r="C254" s="10">
        <v>45747</v>
      </c>
      <c r="D254" s="15">
        <v>1.0019</v>
      </c>
      <c r="E254" s="15">
        <v>1.2377</v>
      </c>
      <c r="F254" s="15">
        <v>1.2486</v>
      </c>
      <c r="G254" s="11">
        <v>0.0013</v>
      </c>
      <c r="H254" s="9">
        <f>MAX($F$116:F254)</f>
        <v>1.2486</v>
      </c>
      <c r="I254" s="11">
        <f t="shared" si="5"/>
        <v>0</v>
      </c>
      <c r="J254" s="9"/>
      <c r="K254" s="11"/>
      <c r="L254" s="9">
        <f>MAX($F$164:F254)</f>
        <v>1.2486</v>
      </c>
      <c r="M254" s="11">
        <f t="shared" si="6"/>
        <v>0</v>
      </c>
      <c r="N254" s="9" t="s">
        <v>813</v>
      </c>
    </row>
    <row r="255" ht="25" customHeight="1" spans="1:14">
      <c r="A255" s="9" t="s">
        <v>388</v>
      </c>
      <c r="B255" s="9" t="s">
        <v>387</v>
      </c>
      <c r="C255" s="10">
        <v>45750</v>
      </c>
      <c r="D255" s="15">
        <v>1.0004</v>
      </c>
      <c r="E255" s="15">
        <v>1.2362</v>
      </c>
      <c r="F255" s="15">
        <v>1.2467</v>
      </c>
      <c r="G255" s="11">
        <v>-0.0015</v>
      </c>
      <c r="H255" s="9">
        <f>MAX($F$116:F255)</f>
        <v>1.2486</v>
      </c>
      <c r="I255" s="11">
        <f t="shared" si="5"/>
        <v>0.00152170430882592</v>
      </c>
      <c r="J255" s="9"/>
      <c r="K255" s="11"/>
      <c r="L255" s="9">
        <f>MAX($F$164:F255)</f>
        <v>1.2486</v>
      </c>
      <c r="M255" s="11">
        <f t="shared" si="6"/>
        <v>0.00152170430882592</v>
      </c>
      <c r="N255" s="9" t="s">
        <v>813</v>
      </c>
    </row>
    <row r="256" ht="25" customHeight="1" spans="1:14">
      <c r="A256" s="9" t="s">
        <v>388</v>
      </c>
      <c r="B256" s="9" t="s">
        <v>387</v>
      </c>
      <c r="C256" s="10">
        <v>45758</v>
      </c>
      <c r="D256" s="15">
        <v>1.0006</v>
      </c>
      <c r="E256" s="15">
        <v>1.2364</v>
      </c>
      <c r="F256" s="15">
        <v>1.2469</v>
      </c>
      <c r="G256" s="11">
        <v>0.0002</v>
      </c>
      <c r="H256" s="9">
        <f>MAX($F$116:F256)</f>
        <v>1.2486</v>
      </c>
      <c r="I256" s="11">
        <f t="shared" si="5"/>
        <v>0.00136152490789687</v>
      </c>
      <c r="J256" s="9"/>
      <c r="K256" s="11"/>
      <c r="L256" s="9">
        <f>MAX($F$164:F256)</f>
        <v>1.2486</v>
      </c>
      <c r="M256" s="11">
        <f t="shared" si="6"/>
        <v>0.00136152490789687</v>
      </c>
      <c r="N256" s="9" t="s">
        <v>813</v>
      </c>
    </row>
    <row r="257" ht="25" customHeight="1" spans="1:14">
      <c r="A257" s="9" t="s">
        <v>388</v>
      </c>
      <c r="B257" s="9" t="s">
        <v>387</v>
      </c>
      <c r="C257" s="10">
        <v>45765</v>
      </c>
      <c r="D257" s="15">
        <v>1.0019</v>
      </c>
      <c r="E257" s="15">
        <v>1.2377</v>
      </c>
      <c r="F257" s="15">
        <v>1.2486</v>
      </c>
      <c r="G257" s="11">
        <v>0.0013</v>
      </c>
      <c r="H257" s="9">
        <f>MAX($F$116:F257)</f>
        <v>1.2486</v>
      </c>
      <c r="I257" s="11">
        <f t="shared" si="5"/>
        <v>0</v>
      </c>
      <c r="J257" s="9"/>
      <c r="K257" s="11"/>
      <c r="L257" s="9">
        <f>MAX($F$164:F257)</f>
        <v>1.2486</v>
      </c>
      <c r="M257" s="11">
        <f t="shared" si="6"/>
        <v>0</v>
      </c>
      <c r="N257" s="9" t="s">
        <v>813</v>
      </c>
    </row>
    <row r="258" ht="25" customHeight="1" spans="1:14">
      <c r="A258" s="9" t="s">
        <v>388</v>
      </c>
      <c r="B258" s="9" t="s">
        <v>387</v>
      </c>
      <c r="C258" s="10">
        <v>45772</v>
      </c>
      <c r="D258" s="15">
        <v>1.0011</v>
      </c>
      <c r="E258" s="15">
        <v>1.2369</v>
      </c>
      <c r="F258" s="15">
        <v>1.2476</v>
      </c>
      <c r="G258" s="11">
        <v>-0.0008</v>
      </c>
      <c r="H258" s="9">
        <f>MAX($F$116:F258)</f>
        <v>1.2486</v>
      </c>
      <c r="I258" s="11">
        <f t="shared" ref="I258:I321" si="7">1-F258/H258</f>
        <v>0.00080089700464514</v>
      </c>
      <c r="J258" s="9"/>
      <c r="K258" s="11"/>
      <c r="L258" s="9">
        <f>MAX($F$164:F258)</f>
        <v>1.2486</v>
      </c>
      <c r="M258" s="11">
        <f t="shared" si="6"/>
        <v>0.00080089700464514</v>
      </c>
      <c r="N258" s="9" t="s">
        <v>813</v>
      </c>
    </row>
    <row r="259" ht="25" customHeight="1" spans="1:14">
      <c r="A259" s="9" t="s">
        <v>388</v>
      </c>
      <c r="B259" s="9" t="s">
        <v>387</v>
      </c>
      <c r="C259" s="10">
        <v>45777</v>
      </c>
      <c r="D259" s="15">
        <v>1.0001</v>
      </c>
      <c r="E259" s="15">
        <v>1.2359</v>
      </c>
      <c r="F259" s="15">
        <v>1.2463</v>
      </c>
      <c r="G259" s="11">
        <v>-0.001</v>
      </c>
      <c r="H259" s="9">
        <f>MAX($F$116:F259)</f>
        <v>1.2486</v>
      </c>
      <c r="I259" s="11">
        <f t="shared" si="7"/>
        <v>0.00184206311068391</v>
      </c>
      <c r="J259" s="9"/>
      <c r="K259" s="11"/>
      <c r="L259" s="9">
        <f>MAX($F$164:F259)</f>
        <v>1.2486</v>
      </c>
      <c r="M259" s="11">
        <f t="shared" si="6"/>
        <v>0.00184206311068391</v>
      </c>
      <c r="N259" s="9" t="s">
        <v>813</v>
      </c>
    </row>
    <row r="260" ht="25" customHeight="1" spans="1:14">
      <c r="A260" s="9" t="s">
        <v>388</v>
      </c>
      <c r="B260" s="9" t="s">
        <v>387</v>
      </c>
      <c r="C260" s="10">
        <v>45786</v>
      </c>
      <c r="D260" s="15">
        <v>0.9995</v>
      </c>
      <c r="E260" s="15">
        <v>1.2353</v>
      </c>
      <c r="F260" s="15">
        <v>1.2456</v>
      </c>
      <c r="G260" s="11">
        <v>-0.0006</v>
      </c>
      <c r="H260" s="9">
        <f>MAX($F$116:F260)</f>
        <v>1.2486</v>
      </c>
      <c r="I260" s="11">
        <f t="shared" si="7"/>
        <v>0.00240269101393553</v>
      </c>
      <c r="J260" s="9"/>
      <c r="K260" s="11"/>
      <c r="L260" s="9">
        <f>MAX($F$164:F260)</f>
        <v>1.2486</v>
      </c>
      <c r="M260" s="11">
        <f t="shared" si="6"/>
        <v>0.00240269101393553</v>
      </c>
      <c r="N260" s="9" t="s">
        <v>813</v>
      </c>
    </row>
    <row r="261" ht="25" customHeight="1" spans="1:14">
      <c r="A261" s="9" t="s">
        <v>388</v>
      </c>
      <c r="B261" s="9" t="s">
        <v>387</v>
      </c>
      <c r="C261" s="10">
        <v>45793</v>
      </c>
      <c r="D261" s="15">
        <v>0.9971</v>
      </c>
      <c r="E261" s="15">
        <v>1.2329</v>
      </c>
      <c r="F261" s="15">
        <v>1.2426</v>
      </c>
      <c r="G261" s="11">
        <v>-0.0024</v>
      </c>
      <c r="H261" s="9">
        <f>MAX($F$116:F261)</f>
        <v>1.2486</v>
      </c>
      <c r="I261" s="11">
        <f t="shared" si="7"/>
        <v>0.00480538202787117</v>
      </c>
      <c r="J261" s="9"/>
      <c r="K261" s="11"/>
      <c r="L261" s="9">
        <f>MAX($F$164:F261)</f>
        <v>1.2486</v>
      </c>
      <c r="M261" s="11">
        <f t="shared" si="6"/>
        <v>0.00480538202787117</v>
      </c>
      <c r="N261" s="9" t="s">
        <v>813</v>
      </c>
    </row>
    <row r="262" ht="25" customHeight="1" spans="1:14">
      <c r="A262" s="9" t="s">
        <v>388</v>
      </c>
      <c r="B262" s="9" t="s">
        <v>387</v>
      </c>
      <c r="C262" s="10">
        <v>45800</v>
      </c>
      <c r="D262" s="15">
        <v>0.9963</v>
      </c>
      <c r="E262" s="15">
        <v>1.2321</v>
      </c>
      <c r="F262" s="15">
        <v>1.2416</v>
      </c>
      <c r="G262" s="11">
        <v>-0.0008</v>
      </c>
      <c r="H262" s="9">
        <f>MAX($F$116:F262)</f>
        <v>1.2486</v>
      </c>
      <c r="I262" s="11">
        <f t="shared" si="7"/>
        <v>0.00560627903251631</v>
      </c>
      <c r="J262" s="9"/>
      <c r="K262" s="11"/>
      <c r="L262" s="9">
        <f>MAX($F$164:F262)</f>
        <v>1.2486</v>
      </c>
      <c r="M262" s="11">
        <f t="shared" si="6"/>
        <v>0.00560627903251631</v>
      </c>
      <c r="N262" s="9" t="s">
        <v>813</v>
      </c>
    </row>
    <row r="263" ht="25" customHeight="1" spans="1:14">
      <c r="A263" s="9" t="s">
        <v>388</v>
      </c>
      <c r="B263" s="9" t="s">
        <v>387</v>
      </c>
      <c r="C263" s="10">
        <v>45807</v>
      </c>
      <c r="D263" s="15">
        <v>0.9976</v>
      </c>
      <c r="E263" s="15">
        <v>1.2334</v>
      </c>
      <c r="F263" s="15">
        <v>1.2432</v>
      </c>
      <c r="G263" s="11">
        <v>0.0013</v>
      </c>
      <c r="H263" s="9">
        <f>MAX($F$116:F263)</f>
        <v>1.2486</v>
      </c>
      <c r="I263" s="11">
        <f t="shared" si="7"/>
        <v>0.00432484382508402</v>
      </c>
      <c r="J263" s="9"/>
      <c r="K263" s="11"/>
      <c r="L263" s="9">
        <f>MAX($F$164:F263)</f>
        <v>1.2486</v>
      </c>
      <c r="M263" s="11">
        <f t="shared" si="6"/>
        <v>0.00432484382508402</v>
      </c>
      <c r="N263" s="9" t="s">
        <v>813</v>
      </c>
    </row>
    <row r="264" ht="25" customHeight="1" spans="1:14">
      <c r="A264" s="9" t="s">
        <v>388</v>
      </c>
      <c r="B264" s="9" t="s">
        <v>387</v>
      </c>
      <c r="C264" s="10">
        <v>45814</v>
      </c>
      <c r="D264" s="15">
        <v>0.9987</v>
      </c>
      <c r="E264" s="15">
        <v>1.2345</v>
      </c>
      <c r="F264" s="15">
        <v>1.2446</v>
      </c>
      <c r="G264" s="11">
        <v>0.0011</v>
      </c>
      <c r="H264" s="9">
        <f>MAX($F$116:F264)</f>
        <v>1.2486</v>
      </c>
      <c r="I264" s="11">
        <f t="shared" si="7"/>
        <v>0.00320358801858078</v>
      </c>
      <c r="J264" s="9"/>
      <c r="K264" s="11"/>
      <c r="L264" s="9">
        <f>MAX($F$164:F264)</f>
        <v>1.2486</v>
      </c>
      <c r="M264" s="11">
        <f t="shared" si="6"/>
        <v>0.00320358801858078</v>
      </c>
      <c r="N264" s="9" t="s">
        <v>813</v>
      </c>
    </row>
    <row r="265" ht="25" customHeight="1" spans="1:14">
      <c r="A265" s="9" t="s">
        <v>388</v>
      </c>
      <c r="B265" s="9" t="s">
        <v>387</v>
      </c>
      <c r="C265" s="10">
        <v>45821</v>
      </c>
      <c r="D265" s="15">
        <v>0.999</v>
      </c>
      <c r="E265" s="15">
        <v>1.2348</v>
      </c>
      <c r="F265" s="15">
        <v>1.245</v>
      </c>
      <c r="G265" s="11">
        <v>0.0003</v>
      </c>
      <c r="H265" s="9">
        <f>MAX($F$116:F265)</f>
        <v>1.2486</v>
      </c>
      <c r="I265" s="11">
        <f t="shared" si="7"/>
        <v>0.00288322921672257</v>
      </c>
      <c r="J265" s="9"/>
      <c r="K265" s="11"/>
      <c r="L265" s="9">
        <f>MAX($F$164:F265)</f>
        <v>1.2486</v>
      </c>
      <c r="M265" s="11">
        <f t="shared" si="6"/>
        <v>0.00288322921672257</v>
      </c>
      <c r="N265" s="9" t="s">
        <v>813</v>
      </c>
    </row>
    <row r="266" ht="25" customHeight="1" spans="1:14">
      <c r="A266" s="9" t="s">
        <v>388</v>
      </c>
      <c r="B266" s="9" t="s">
        <v>387</v>
      </c>
      <c r="C266" s="10">
        <v>45828</v>
      </c>
      <c r="D266" s="15">
        <v>0.9984</v>
      </c>
      <c r="E266" s="15">
        <v>1.2342</v>
      </c>
      <c r="F266" s="15">
        <v>1.2442</v>
      </c>
      <c r="G266" s="11">
        <v>-0.0006</v>
      </c>
      <c r="H266" s="9">
        <f>MAX($F$116:F266)</f>
        <v>1.2486</v>
      </c>
      <c r="I266" s="11">
        <f t="shared" si="7"/>
        <v>0.00352394682043888</v>
      </c>
      <c r="J266" s="9"/>
      <c r="K266" s="11"/>
      <c r="L266" s="9">
        <f>MAX($F$164:F266)</f>
        <v>1.2486</v>
      </c>
      <c r="M266" s="11">
        <f t="shared" si="6"/>
        <v>0.00352394682043888</v>
      </c>
      <c r="N266" s="9" t="s">
        <v>813</v>
      </c>
    </row>
    <row r="267" ht="25" customHeight="1" spans="1:14">
      <c r="A267" s="9" t="s">
        <v>388</v>
      </c>
      <c r="B267" s="9" t="s">
        <v>387</v>
      </c>
      <c r="C267" s="10">
        <v>45835</v>
      </c>
      <c r="D267" s="15">
        <v>1.0015</v>
      </c>
      <c r="E267" s="15">
        <v>1.2373</v>
      </c>
      <c r="F267" s="15">
        <v>1.2481</v>
      </c>
      <c r="G267" s="11">
        <v>0.0031</v>
      </c>
      <c r="H267" s="9">
        <f>MAX($F$116:F267)</f>
        <v>1.2486</v>
      </c>
      <c r="I267" s="11">
        <f t="shared" si="7"/>
        <v>0.00040044850232257</v>
      </c>
      <c r="J267" s="9"/>
      <c r="K267" s="11"/>
      <c r="L267" s="9">
        <f>MAX($F$164:F267)</f>
        <v>1.2486</v>
      </c>
      <c r="M267" s="11">
        <f t="shared" si="6"/>
        <v>0.00040044850232257</v>
      </c>
      <c r="N267" s="9" t="s">
        <v>813</v>
      </c>
    </row>
    <row r="268" ht="25" customHeight="1" spans="1:14">
      <c r="A268" s="9" t="s">
        <v>388</v>
      </c>
      <c r="B268" s="9" t="s">
        <v>387</v>
      </c>
      <c r="C268" s="10">
        <v>45838</v>
      </c>
      <c r="D268" s="15">
        <v>1.0026</v>
      </c>
      <c r="E268" s="15">
        <v>1.2384</v>
      </c>
      <c r="F268" s="15">
        <v>1.2494</v>
      </c>
      <c r="G268" s="11">
        <v>0.0011</v>
      </c>
      <c r="H268" s="9">
        <f>MAX($F$116:F268)</f>
        <v>1.2494</v>
      </c>
      <c r="I268" s="11">
        <f t="shared" si="7"/>
        <v>0</v>
      </c>
      <c r="J268" s="9"/>
      <c r="K268" s="11"/>
      <c r="L268" s="9">
        <f>MAX($F$164:F268)</f>
        <v>1.2494</v>
      </c>
      <c r="M268" s="11">
        <f t="shared" si="6"/>
        <v>0</v>
      </c>
      <c r="N268" s="9" t="s">
        <v>813</v>
      </c>
    </row>
    <row r="269" ht="25" customHeight="1" spans="1:14">
      <c r="A269" s="9" t="s">
        <v>388</v>
      </c>
      <c r="B269" s="9" t="s">
        <v>387</v>
      </c>
      <c r="C269" s="10">
        <v>45842</v>
      </c>
      <c r="D269" s="15">
        <v>1.0044</v>
      </c>
      <c r="E269" s="15">
        <v>1.2402</v>
      </c>
      <c r="F269" s="15">
        <v>1.2517</v>
      </c>
      <c r="G269" s="11">
        <v>0.0018</v>
      </c>
      <c r="H269" s="9">
        <f>MAX($F$116:F269)</f>
        <v>1.2517</v>
      </c>
      <c r="I269" s="11">
        <f t="shared" si="7"/>
        <v>0</v>
      </c>
      <c r="J269" s="9"/>
      <c r="K269" s="11"/>
      <c r="L269" s="9">
        <f>MAX($F$164:F269)</f>
        <v>1.2517</v>
      </c>
      <c r="M269" s="11">
        <f t="shared" si="6"/>
        <v>0</v>
      </c>
      <c r="N269" s="9" t="s">
        <v>813</v>
      </c>
    </row>
    <row r="270" ht="25" customHeight="1" spans="1:14">
      <c r="A270" s="9" t="s">
        <v>388</v>
      </c>
      <c r="B270" s="9" t="s">
        <v>387</v>
      </c>
      <c r="C270" s="10">
        <v>45849</v>
      </c>
      <c r="D270" s="15">
        <v>1.007</v>
      </c>
      <c r="E270" s="15">
        <v>1.2428</v>
      </c>
      <c r="F270" s="15">
        <v>1.2549</v>
      </c>
      <c r="G270" s="11">
        <v>0.0026</v>
      </c>
      <c r="H270" s="9">
        <f>MAX($F$116:F270)</f>
        <v>1.2549</v>
      </c>
      <c r="I270" s="11">
        <f t="shared" si="7"/>
        <v>0</v>
      </c>
      <c r="J270" s="9"/>
      <c r="K270" s="11"/>
      <c r="L270" s="9">
        <f>MAX($F$164:F270)</f>
        <v>1.2549</v>
      </c>
      <c r="M270" s="11">
        <f t="shared" si="6"/>
        <v>0</v>
      </c>
      <c r="N270" s="9" t="s">
        <v>813</v>
      </c>
    </row>
    <row r="271" ht="25" customHeight="1" spans="1:14">
      <c r="A271" s="9" t="s">
        <v>388</v>
      </c>
      <c r="B271" s="9" t="s">
        <v>387</v>
      </c>
      <c r="C271" s="10">
        <v>45856</v>
      </c>
      <c r="D271" s="15">
        <v>1.0048</v>
      </c>
      <c r="E271" s="15">
        <v>1.2406</v>
      </c>
      <c r="F271" s="15">
        <v>1.2522</v>
      </c>
      <c r="G271" s="11">
        <v>-0.0022</v>
      </c>
      <c r="H271" s="9">
        <f>MAX($F$116:F271)</f>
        <v>1.2549</v>
      </c>
      <c r="I271" s="11">
        <f t="shared" si="7"/>
        <v>0.00215156586182164</v>
      </c>
      <c r="J271" s="9"/>
      <c r="K271" s="11"/>
      <c r="L271" s="9">
        <f>MAX($F$164:F271)</f>
        <v>1.2549</v>
      </c>
      <c r="M271" s="11">
        <f t="shared" si="6"/>
        <v>0.00215156586182164</v>
      </c>
      <c r="N271" s="9" t="s">
        <v>813</v>
      </c>
    </row>
    <row r="272" ht="25" customHeight="1" spans="1:14">
      <c r="A272" s="9" t="s">
        <v>388</v>
      </c>
      <c r="B272" s="9" t="s">
        <v>387</v>
      </c>
      <c r="C272" s="10">
        <v>45863</v>
      </c>
      <c r="D272" s="15">
        <v>1.0022</v>
      </c>
      <c r="E272" s="15">
        <v>1.238</v>
      </c>
      <c r="F272" s="15">
        <v>1.2489</v>
      </c>
      <c r="G272" s="11">
        <v>-0.0026</v>
      </c>
      <c r="H272" s="9">
        <f>MAX($F$116:F272)</f>
        <v>1.2549</v>
      </c>
      <c r="I272" s="11">
        <f t="shared" si="7"/>
        <v>0.00478125747071478</v>
      </c>
      <c r="J272" s="9"/>
      <c r="K272" s="11"/>
      <c r="L272" s="9">
        <f>MAX($F$164:F272)</f>
        <v>1.2549</v>
      </c>
      <c r="M272" s="11">
        <f t="shared" si="6"/>
        <v>0.00478125747071478</v>
      </c>
      <c r="N272" s="9" t="s">
        <v>813</v>
      </c>
    </row>
    <row r="273" ht="25" customHeight="1" spans="1:14">
      <c r="A273" s="9" t="s">
        <v>388</v>
      </c>
      <c r="B273" s="9" t="s">
        <v>387</v>
      </c>
      <c r="C273" s="10">
        <v>45869</v>
      </c>
      <c r="D273" s="15">
        <v>0.9985</v>
      </c>
      <c r="E273" s="15">
        <v>1.2343</v>
      </c>
      <c r="F273" s="15">
        <v>1.2443</v>
      </c>
      <c r="G273" s="11">
        <v>-0.0037</v>
      </c>
      <c r="H273" s="9">
        <f>MAX($F$116:F273)</f>
        <v>1.2549</v>
      </c>
      <c r="I273" s="11">
        <f t="shared" si="7"/>
        <v>0.00844688819826278</v>
      </c>
      <c r="J273" s="9"/>
      <c r="K273" s="11"/>
      <c r="L273" s="9">
        <f>MAX($F$164:F273)</f>
        <v>1.2549</v>
      </c>
      <c r="M273" s="11">
        <f t="shared" si="6"/>
        <v>0.00844688819826278</v>
      </c>
      <c r="N273" s="9" t="s">
        <v>813</v>
      </c>
    </row>
    <row r="274" ht="25" customHeight="1" spans="1:14">
      <c r="A274" s="9" t="s">
        <v>388</v>
      </c>
      <c r="B274" s="9" t="s">
        <v>387</v>
      </c>
      <c r="C274" s="10">
        <v>45870</v>
      </c>
      <c r="D274" s="15">
        <v>0.9997</v>
      </c>
      <c r="E274" s="15">
        <v>1.2355</v>
      </c>
      <c r="F274" s="15">
        <v>1.2458</v>
      </c>
      <c r="G274" s="11">
        <v>0.0012</v>
      </c>
      <c r="H274" s="9">
        <f>MAX($F$116:F274)</f>
        <v>1.2549</v>
      </c>
      <c r="I274" s="11">
        <f t="shared" si="7"/>
        <v>0.00725157383058406</v>
      </c>
      <c r="J274" s="9"/>
      <c r="K274" s="11"/>
      <c r="L274" s="9">
        <f>MAX($F$164:F274)</f>
        <v>1.2549</v>
      </c>
      <c r="M274" s="11">
        <f t="shared" si="6"/>
        <v>0.00725157383058406</v>
      </c>
      <c r="N274" s="9" t="s">
        <v>813</v>
      </c>
    </row>
    <row r="275" ht="25" customHeight="1" spans="1:14">
      <c r="A275" s="9" t="s">
        <v>388</v>
      </c>
      <c r="B275" s="9" t="s">
        <v>387</v>
      </c>
      <c r="C275" s="10">
        <v>45877</v>
      </c>
      <c r="D275" s="15">
        <v>0.998</v>
      </c>
      <c r="E275" s="15">
        <v>1.2338</v>
      </c>
      <c r="F275" s="15">
        <v>1.2437</v>
      </c>
      <c r="G275" s="11">
        <v>-0.0017</v>
      </c>
      <c r="H275" s="9">
        <f>MAX($F$116:F275)</f>
        <v>1.2549</v>
      </c>
      <c r="I275" s="11">
        <f t="shared" si="7"/>
        <v>0.00892501394533418</v>
      </c>
      <c r="J275" s="9"/>
      <c r="K275" s="11"/>
      <c r="L275" s="9">
        <f>MAX($F$164:F275)</f>
        <v>1.2549</v>
      </c>
      <c r="M275" s="11">
        <f t="shared" si="6"/>
        <v>0.00892501394533418</v>
      </c>
      <c r="N275" s="9" t="s">
        <v>813</v>
      </c>
    </row>
    <row r="276" ht="25" customHeight="1" spans="1:14">
      <c r="A276" s="9" t="s">
        <v>388</v>
      </c>
      <c r="B276" s="9" t="s">
        <v>387</v>
      </c>
      <c r="C276" s="10">
        <v>45884</v>
      </c>
      <c r="D276" s="15">
        <v>1.0046</v>
      </c>
      <c r="E276" s="15">
        <v>1.2404</v>
      </c>
      <c r="F276" s="15">
        <v>1.2519</v>
      </c>
      <c r="G276" s="11">
        <v>0.0066</v>
      </c>
      <c r="H276" s="9">
        <f>MAX($F$116:F276)</f>
        <v>1.2549</v>
      </c>
      <c r="I276" s="11">
        <f t="shared" si="7"/>
        <v>0.00239062873535734</v>
      </c>
      <c r="J276" s="9"/>
      <c r="K276" s="11"/>
      <c r="L276" s="9">
        <f>MAX($F$164:F276)</f>
        <v>1.2549</v>
      </c>
      <c r="M276" s="11">
        <f t="shared" si="6"/>
        <v>0.00239062873535734</v>
      </c>
      <c r="N276" s="9" t="s">
        <v>813</v>
      </c>
    </row>
    <row r="277" ht="25" customHeight="1" spans="1:14">
      <c r="A277" s="9" t="s">
        <v>388</v>
      </c>
      <c r="B277" s="9" t="s">
        <v>387</v>
      </c>
      <c r="C277" s="10">
        <v>45891</v>
      </c>
      <c r="D277" s="15">
        <v>1.0068</v>
      </c>
      <c r="E277" s="15">
        <v>1.2426</v>
      </c>
      <c r="F277" s="15">
        <v>1.2547</v>
      </c>
      <c r="G277" s="11">
        <v>0.0022</v>
      </c>
      <c r="H277" s="9">
        <f>MAX($F$116:F277)</f>
        <v>1.2549</v>
      </c>
      <c r="I277" s="11">
        <f t="shared" si="7"/>
        <v>0.000159375249023763</v>
      </c>
      <c r="J277" s="9"/>
      <c r="K277" s="11"/>
      <c r="L277" s="9">
        <f>MAX($F$164:F277)</f>
        <v>1.2549</v>
      </c>
      <c r="M277" s="11">
        <f t="shared" si="6"/>
        <v>0.000159375249023763</v>
      </c>
      <c r="N277" s="9" t="s">
        <v>813</v>
      </c>
    </row>
    <row r="278" ht="25" customHeight="1" spans="1:14">
      <c r="A278" s="9" t="s">
        <v>388</v>
      </c>
      <c r="B278" s="9" t="s">
        <v>387</v>
      </c>
      <c r="C278" s="10">
        <v>45898</v>
      </c>
      <c r="D278" s="15">
        <v>1.0208</v>
      </c>
      <c r="E278" s="15">
        <v>1.2566</v>
      </c>
      <c r="F278" s="15">
        <v>1.2721</v>
      </c>
      <c r="G278" s="11">
        <v>0.0139</v>
      </c>
      <c r="H278" s="9">
        <f>MAX($F$116:F278)</f>
        <v>1.2721</v>
      </c>
      <c r="I278" s="11">
        <f t="shared" si="7"/>
        <v>0</v>
      </c>
      <c r="J278" s="9">
        <f>MAX($F$278:F278)</f>
        <v>1.2721</v>
      </c>
      <c r="K278" s="11">
        <f t="shared" ref="K278:K341" si="8">1-F278/J278</f>
        <v>0</v>
      </c>
      <c r="L278" s="9">
        <f>MAX($F$164:F278)</f>
        <v>1.2721</v>
      </c>
      <c r="M278" s="11">
        <f t="shared" si="6"/>
        <v>0</v>
      </c>
      <c r="N278" s="9" t="s">
        <v>813</v>
      </c>
    </row>
    <row r="279" ht="25" customHeight="1" spans="1:14">
      <c r="A279" s="9" t="s">
        <v>388</v>
      </c>
      <c r="B279" s="9" t="s">
        <v>387</v>
      </c>
      <c r="C279" s="10">
        <v>45905</v>
      </c>
      <c r="D279" s="15">
        <v>1.0337</v>
      </c>
      <c r="E279" s="15">
        <v>1.2695</v>
      </c>
      <c r="F279" s="15">
        <v>1.2882</v>
      </c>
      <c r="G279" s="11">
        <v>0.0126</v>
      </c>
      <c r="H279" s="9">
        <f>MAX($F$116:F279)</f>
        <v>1.2882</v>
      </c>
      <c r="I279" s="11">
        <f t="shared" si="7"/>
        <v>0</v>
      </c>
      <c r="J279" s="9">
        <f>MAX($F$278:F279)</f>
        <v>1.2882</v>
      </c>
      <c r="K279" s="11">
        <f t="shared" si="8"/>
        <v>0</v>
      </c>
      <c r="L279" s="9">
        <f>MAX($F$164:F279)</f>
        <v>1.2882</v>
      </c>
      <c r="M279" s="11">
        <f t="shared" si="6"/>
        <v>0</v>
      </c>
      <c r="N279" s="9" t="s">
        <v>813</v>
      </c>
    </row>
    <row r="280" ht="25" customHeight="1" spans="1:14">
      <c r="A280" s="9" t="s">
        <v>388</v>
      </c>
      <c r="B280" s="9" t="s">
        <v>387</v>
      </c>
      <c r="C280" s="10">
        <v>45912</v>
      </c>
      <c r="D280" s="15">
        <v>1.0407</v>
      </c>
      <c r="E280" s="15">
        <v>1.2765</v>
      </c>
      <c r="F280" s="15">
        <v>1.2969</v>
      </c>
      <c r="G280" s="11">
        <v>0.0068</v>
      </c>
      <c r="H280" s="9">
        <f>MAX($F$116:F280)</f>
        <v>1.2969</v>
      </c>
      <c r="I280" s="11">
        <f t="shared" si="7"/>
        <v>0</v>
      </c>
      <c r="J280" s="9">
        <f>MAX($F$278:F280)</f>
        <v>1.2969</v>
      </c>
      <c r="K280" s="11">
        <f t="shared" si="8"/>
        <v>0</v>
      </c>
      <c r="L280" s="9">
        <f>MAX($F$164:F280)</f>
        <v>1.2969</v>
      </c>
      <c r="M280" s="11">
        <f t="shared" si="6"/>
        <v>0</v>
      </c>
      <c r="N280" s="9" t="s">
        <v>813</v>
      </c>
    </row>
    <row r="281" ht="25" customHeight="1" spans="1:14">
      <c r="A281" s="9" t="s">
        <v>388</v>
      </c>
      <c r="B281" s="9" t="s">
        <v>387</v>
      </c>
      <c r="C281" s="10">
        <v>45919</v>
      </c>
      <c r="D281" s="15">
        <v>1.0525</v>
      </c>
      <c r="E281" s="15">
        <v>1.2883</v>
      </c>
      <c r="F281" s="15">
        <v>1.3116</v>
      </c>
      <c r="G281" s="11">
        <v>0.0113</v>
      </c>
      <c r="H281" s="9">
        <f>MAX($F$116:F281)</f>
        <v>1.3116</v>
      </c>
      <c r="I281" s="11">
        <f t="shared" si="7"/>
        <v>0</v>
      </c>
      <c r="J281" s="9">
        <f>MAX($F$278:F281)</f>
        <v>1.3116</v>
      </c>
      <c r="K281" s="11">
        <f t="shared" si="8"/>
        <v>0</v>
      </c>
      <c r="L281" s="9">
        <f>MAX($F$164:F281)</f>
        <v>1.3116</v>
      </c>
      <c r="M281" s="11">
        <f t="shared" si="6"/>
        <v>0</v>
      </c>
      <c r="N281" s="9" t="s">
        <v>813</v>
      </c>
    </row>
    <row r="282" ht="25" customHeight="1" spans="1:14">
      <c r="A282" s="9" t="s">
        <v>388</v>
      </c>
      <c r="B282" s="9" t="s">
        <v>387</v>
      </c>
      <c r="C282" s="10">
        <v>45926</v>
      </c>
      <c r="D282" s="15">
        <v>1.0504</v>
      </c>
      <c r="E282" s="15">
        <v>1.2862</v>
      </c>
      <c r="F282" s="15">
        <v>1.309</v>
      </c>
      <c r="G282" s="11">
        <v>-0.002</v>
      </c>
      <c r="H282" s="9">
        <f>MAX($F$116:F282)</f>
        <v>1.3116</v>
      </c>
      <c r="I282" s="11">
        <f t="shared" si="7"/>
        <v>0.00198231168039054</v>
      </c>
      <c r="J282" s="9">
        <f>MAX($F$278:F282)</f>
        <v>1.3116</v>
      </c>
      <c r="K282" s="11">
        <f t="shared" si="8"/>
        <v>0.00198231168039054</v>
      </c>
      <c r="L282" s="9">
        <f>MAX($F$164:F282)</f>
        <v>1.3116</v>
      </c>
      <c r="M282" s="11">
        <f t="shared" si="6"/>
        <v>0.00198231168039054</v>
      </c>
      <c r="N282" s="9" t="s">
        <v>813</v>
      </c>
    </row>
    <row r="283" ht="25" customHeight="1" spans="1:14">
      <c r="A283" s="9" t="s">
        <v>388</v>
      </c>
      <c r="B283" s="9" t="s">
        <v>387</v>
      </c>
      <c r="C283" s="10">
        <v>45930</v>
      </c>
      <c r="D283" s="15">
        <v>1.0537</v>
      </c>
      <c r="E283" s="15">
        <v>1.2895</v>
      </c>
      <c r="F283" s="15">
        <v>1.3131</v>
      </c>
      <c r="G283" s="11">
        <v>0.0031</v>
      </c>
      <c r="H283" s="9">
        <f>MAX($F$116:F283)</f>
        <v>1.3131</v>
      </c>
      <c r="I283" s="11">
        <f t="shared" si="7"/>
        <v>0</v>
      </c>
      <c r="J283" s="9">
        <f>MAX($F$278:F283)</f>
        <v>1.3131</v>
      </c>
      <c r="K283" s="11">
        <f t="shared" si="8"/>
        <v>0</v>
      </c>
      <c r="L283" s="9">
        <f>MAX($F$164:F283)</f>
        <v>1.3131</v>
      </c>
      <c r="M283" s="11">
        <f t="shared" si="6"/>
        <v>0</v>
      </c>
      <c r="N283" s="9" t="s">
        <v>813</v>
      </c>
    </row>
    <row r="284" ht="25" customHeight="1" spans="1:14">
      <c r="A284" s="9" t="s">
        <v>388</v>
      </c>
      <c r="B284" s="9" t="s">
        <v>387</v>
      </c>
      <c r="C284" s="10">
        <v>45940</v>
      </c>
      <c r="D284" s="15">
        <v>1.0523</v>
      </c>
      <c r="E284" s="15">
        <v>1.2881</v>
      </c>
      <c r="F284" s="15">
        <v>1.3114</v>
      </c>
      <c r="G284" s="11">
        <v>-0.0013</v>
      </c>
      <c r="H284" s="9">
        <f>MAX($F$116:F284)</f>
        <v>1.3131</v>
      </c>
      <c r="I284" s="11">
        <f t="shared" si="7"/>
        <v>0.00129464625694919</v>
      </c>
      <c r="J284" s="9">
        <f>MAX($F$278:F284)</f>
        <v>1.3131</v>
      </c>
      <c r="K284" s="11">
        <f t="shared" si="8"/>
        <v>0.00129464625694919</v>
      </c>
      <c r="L284" s="9">
        <f>MAX($F$164:F284)</f>
        <v>1.3131</v>
      </c>
      <c r="M284" s="11">
        <f t="shared" si="6"/>
        <v>0.00129464625694919</v>
      </c>
      <c r="N284" s="9" t="s">
        <v>813</v>
      </c>
    </row>
    <row r="285" ht="25" customHeight="1" spans="1:14">
      <c r="A285" s="9" t="s">
        <v>388</v>
      </c>
      <c r="B285" s="9" t="s">
        <v>387</v>
      </c>
      <c r="C285" s="10">
        <v>45947</v>
      </c>
      <c r="D285" s="15">
        <v>1.0633</v>
      </c>
      <c r="E285" s="15">
        <v>1.2991</v>
      </c>
      <c r="F285" s="15">
        <v>1.3251</v>
      </c>
      <c r="G285" s="11">
        <v>0.0105</v>
      </c>
      <c r="H285" s="9">
        <f>MAX($F$116:F285)</f>
        <v>1.3251</v>
      </c>
      <c r="I285" s="11">
        <f t="shared" si="7"/>
        <v>0</v>
      </c>
      <c r="J285" s="9">
        <f>MAX($F$278:F285)</f>
        <v>1.3251</v>
      </c>
      <c r="K285" s="11">
        <f t="shared" si="8"/>
        <v>0</v>
      </c>
      <c r="L285" s="9">
        <f>MAX($F$164:F285)</f>
        <v>1.3251</v>
      </c>
      <c r="M285" s="11">
        <f t="shared" si="6"/>
        <v>0</v>
      </c>
      <c r="N285" s="9" t="s">
        <v>813</v>
      </c>
    </row>
    <row r="286" ht="25" customHeight="1" spans="1:14">
      <c r="A286" s="9" t="s">
        <v>388</v>
      </c>
      <c r="B286" s="9" t="s">
        <v>387</v>
      </c>
      <c r="C286" s="10">
        <v>45954</v>
      </c>
      <c r="D286" s="15">
        <v>1</v>
      </c>
      <c r="E286" s="15">
        <v>1.302</v>
      </c>
      <c r="F286" s="15">
        <v>1.3287</v>
      </c>
      <c r="G286" s="11">
        <v>0.0027</v>
      </c>
      <c r="H286" s="9">
        <f>MAX($F$116:F286)</f>
        <v>1.3287</v>
      </c>
      <c r="I286" s="11">
        <f t="shared" si="7"/>
        <v>0</v>
      </c>
      <c r="J286" s="9">
        <f>MAX($F$278:F286)</f>
        <v>1.3287</v>
      </c>
      <c r="K286" s="11">
        <f t="shared" si="8"/>
        <v>0</v>
      </c>
      <c r="L286" s="9">
        <f>MAX($F$164:F286)</f>
        <v>1.3287</v>
      </c>
      <c r="M286" s="11">
        <f t="shared" si="6"/>
        <v>0</v>
      </c>
      <c r="N286" s="9" t="s">
        <v>813</v>
      </c>
    </row>
    <row r="287" ht="25" customHeight="1" spans="1:14">
      <c r="A287" s="9" t="s">
        <v>388</v>
      </c>
      <c r="B287" s="9" t="s">
        <v>387</v>
      </c>
      <c r="C287" s="10">
        <v>45961</v>
      </c>
      <c r="D287" s="15">
        <v>1.0079</v>
      </c>
      <c r="E287" s="15">
        <v>1.3099</v>
      </c>
      <c r="F287" s="15">
        <v>1.3392</v>
      </c>
      <c r="G287" s="11">
        <v>0.0079</v>
      </c>
      <c r="H287" s="9">
        <f>MAX($F$116:F287)</f>
        <v>1.3392</v>
      </c>
      <c r="I287" s="11">
        <f t="shared" si="7"/>
        <v>0</v>
      </c>
      <c r="J287" s="9">
        <f>MAX($F$278:F287)</f>
        <v>1.3392</v>
      </c>
      <c r="K287" s="11">
        <f t="shared" si="8"/>
        <v>0</v>
      </c>
      <c r="L287" s="9">
        <f>MAX($F$164:F287)</f>
        <v>1.3392</v>
      </c>
      <c r="M287" s="11">
        <f t="shared" si="6"/>
        <v>0</v>
      </c>
      <c r="N287" s="9" t="s">
        <v>813</v>
      </c>
    </row>
    <row r="288" ht="25" customHeight="1" spans="1:14">
      <c r="A288" s="9" t="s">
        <v>388</v>
      </c>
      <c r="B288" s="9" t="s">
        <v>387</v>
      </c>
      <c r="C288" s="10">
        <v>45968</v>
      </c>
      <c r="D288" s="15">
        <v>1.0076</v>
      </c>
      <c r="E288" s="15">
        <v>1.3096</v>
      </c>
      <c r="F288" s="15">
        <v>1.3388</v>
      </c>
      <c r="G288" s="11">
        <v>-0.0003</v>
      </c>
      <c r="H288" s="9">
        <f>MAX($F$116:F288)</f>
        <v>1.3392</v>
      </c>
      <c r="I288" s="11">
        <f t="shared" si="7"/>
        <v>0.000298685782556762</v>
      </c>
      <c r="J288" s="9">
        <f>MAX($F$278:F288)</f>
        <v>1.3392</v>
      </c>
      <c r="K288" s="11">
        <f t="shared" si="8"/>
        <v>0.000298685782556762</v>
      </c>
      <c r="L288" s="9">
        <f>MAX($F$164:F288)</f>
        <v>1.3392</v>
      </c>
      <c r="M288" s="11">
        <f t="shared" si="6"/>
        <v>0.000298685782556762</v>
      </c>
      <c r="N288" s="9" t="s">
        <v>813</v>
      </c>
    </row>
    <row r="289" ht="25" customHeight="1" spans="1:14">
      <c r="A289" s="9" t="s">
        <v>388</v>
      </c>
      <c r="B289" s="9" t="s">
        <v>387</v>
      </c>
      <c r="C289" s="10">
        <v>45975</v>
      </c>
      <c r="D289" s="15">
        <v>1.0134</v>
      </c>
      <c r="E289" s="15">
        <v>1.3154</v>
      </c>
      <c r="F289" s="15">
        <v>1.3465</v>
      </c>
      <c r="G289" s="11">
        <v>0.0058</v>
      </c>
      <c r="H289" s="9">
        <f>MAX($F$116:F289)</f>
        <v>1.3465</v>
      </c>
      <c r="I289" s="11">
        <f t="shared" si="7"/>
        <v>0</v>
      </c>
      <c r="J289" s="9">
        <f>MAX($F$278:F289)</f>
        <v>1.3465</v>
      </c>
      <c r="K289" s="11">
        <f t="shared" si="8"/>
        <v>0</v>
      </c>
      <c r="L289" s="9">
        <f>MAX($F$164:F289)</f>
        <v>1.3465</v>
      </c>
      <c r="M289" s="11">
        <f t="shared" si="6"/>
        <v>0</v>
      </c>
      <c r="N289" s="9" t="s">
        <v>813</v>
      </c>
    </row>
    <row r="290" ht="25" customHeight="1" spans="1:14">
      <c r="A290" s="9" t="s">
        <v>388</v>
      </c>
      <c r="B290" s="9" t="s">
        <v>387</v>
      </c>
      <c r="C290" s="10">
        <v>45982</v>
      </c>
      <c r="D290" s="15">
        <v>1.0188</v>
      </c>
      <c r="E290" s="15">
        <v>1.3208</v>
      </c>
      <c r="F290" s="15">
        <v>1.3537</v>
      </c>
      <c r="G290" s="11">
        <v>0.0053</v>
      </c>
      <c r="H290" s="9">
        <f>MAX($F$116:F290)</f>
        <v>1.3537</v>
      </c>
      <c r="I290" s="11">
        <f t="shared" si="7"/>
        <v>0</v>
      </c>
      <c r="J290" s="9">
        <f>MAX($F$278:F290)</f>
        <v>1.3537</v>
      </c>
      <c r="K290" s="11">
        <f t="shared" si="8"/>
        <v>0</v>
      </c>
      <c r="L290" s="9">
        <f>MAX($F$164:F290)</f>
        <v>1.3537</v>
      </c>
      <c r="M290" s="11">
        <f t="shared" si="6"/>
        <v>0</v>
      </c>
      <c r="N290" s="9" t="s">
        <v>813</v>
      </c>
    </row>
    <row r="291" ht="25" customHeight="1" spans="1:14">
      <c r="A291" s="9" t="s">
        <v>388</v>
      </c>
      <c r="B291" s="9" t="s">
        <v>387</v>
      </c>
      <c r="C291" s="10">
        <v>45989</v>
      </c>
      <c r="D291" s="15">
        <v>1.0275</v>
      </c>
      <c r="E291" s="15">
        <v>1.3295</v>
      </c>
      <c r="F291" s="15">
        <v>1.3652</v>
      </c>
      <c r="G291" s="11">
        <v>0.0085</v>
      </c>
      <c r="H291" s="9">
        <f>MAX($F$116:F291)</f>
        <v>1.3652</v>
      </c>
      <c r="I291" s="11">
        <f t="shared" si="7"/>
        <v>0</v>
      </c>
      <c r="J291" s="9">
        <f>MAX($F$278:F291)</f>
        <v>1.3652</v>
      </c>
      <c r="K291" s="11">
        <f t="shared" si="8"/>
        <v>0</v>
      </c>
      <c r="L291" s="9">
        <f>MAX($F$164:F291)</f>
        <v>1.3652</v>
      </c>
      <c r="M291" s="11">
        <f t="shared" si="6"/>
        <v>0</v>
      </c>
      <c r="N291" s="9" t="s">
        <v>813</v>
      </c>
    </row>
    <row r="292" ht="25" customHeight="1" spans="1:14">
      <c r="A292" s="9" t="s">
        <v>388</v>
      </c>
      <c r="B292" s="9" t="s">
        <v>387</v>
      </c>
      <c r="C292" s="10">
        <v>45996</v>
      </c>
      <c r="D292" s="15">
        <v>1.0295</v>
      </c>
      <c r="E292" s="15">
        <v>1.3315</v>
      </c>
      <c r="F292" s="15">
        <v>1.3679</v>
      </c>
      <c r="G292" s="11">
        <v>0.0019</v>
      </c>
      <c r="H292" s="9">
        <f>MAX($F$116:F292)</f>
        <v>1.3679</v>
      </c>
      <c r="I292" s="11">
        <f t="shared" si="7"/>
        <v>0</v>
      </c>
      <c r="J292" s="9">
        <f>MAX($F$278:F292)</f>
        <v>1.3679</v>
      </c>
      <c r="K292" s="11">
        <f t="shared" si="8"/>
        <v>0</v>
      </c>
      <c r="L292" s="9">
        <f>MAX($F$164:F292)</f>
        <v>1.3679</v>
      </c>
      <c r="M292" s="11">
        <f t="shared" ref="M292:M355" si="9">1-F292/L292</f>
        <v>0</v>
      </c>
      <c r="N292" s="9" t="s">
        <v>813</v>
      </c>
    </row>
    <row r="293" ht="25" customHeight="1" spans="1:14">
      <c r="A293" s="9" t="s">
        <v>388</v>
      </c>
      <c r="B293" s="9" t="s">
        <v>387</v>
      </c>
      <c r="C293" s="10">
        <v>46003</v>
      </c>
      <c r="D293" s="15">
        <v>1.0317</v>
      </c>
      <c r="E293" s="15">
        <v>1.3337</v>
      </c>
      <c r="F293" s="15">
        <v>1.3708</v>
      </c>
      <c r="G293" s="11">
        <v>0.0021</v>
      </c>
      <c r="H293" s="9">
        <f>MAX($F$116:F293)</f>
        <v>1.3708</v>
      </c>
      <c r="I293" s="11">
        <f t="shared" si="7"/>
        <v>0</v>
      </c>
      <c r="J293" s="9">
        <f>MAX($F$278:F293)</f>
        <v>1.3708</v>
      </c>
      <c r="K293" s="11">
        <f t="shared" si="8"/>
        <v>0</v>
      </c>
      <c r="L293" s="9">
        <f>MAX($F$164:F293)</f>
        <v>1.3708</v>
      </c>
      <c r="M293" s="11">
        <f t="shared" si="9"/>
        <v>0</v>
      </c>
      <c r="N293" s="9" t="s">
        <v>813</v>
      </c>
    </row>
    <row r="294" ht="25" customHeight="1" spans="1:14">
      <c r="A294" s="9" t="s">
        <v>388</v>
      </c>
      <c r="B294" s="9" t="s">
        <v>387</v>
      </c>
      <c r="C294" s="10">
        <v>46010</v>
      </c>
      <c r="D294" s="15">
        <v>1.0315</v>
      </c>
      <c r="E294" s="15">
        <v>1.3335</v>
      </c>
      <c r="F294" s="15">
        <v>1.3705</v>
      </c>
      <c r="G294" s="11">
        <v>-0.0002</v>
      </c>
      <c r="H294" s="9">
        <f>MAX($F$116:F294)</f>
        <v>1.3708</v>
      </c>
      <c r="I294" s="11">
        <f t="shared" si="7"/>
        <v>0.00021885030639035</v>
      </c>
      <c r="J294" s="9">
        <f>MAX($F$278:F294)</f>
        <v>1.3708</v>
      </c>
      <c r="K294" s="11">
        <f t="shared" si="8"/>
        <v>0.00021885030639035</v>
      </c>
      <c r="L294" s="9">
        <f>MAX($F$164:F294)</f>
        <v>1.3708</v>
      </c>
      <c r="M294" s="11">
        <f t="shared" si="9"/>
        <v>0.00021885030639035</v>
      </c>
      <c r="N294" s="9" t="s">
        <v>813</v>
      </c>
    </row>
    <row r="295" ht="25" customHeight="1" spans="1:14">
      <c r="A295" s="9" t="s">
        <v>388</v>
      </c>
      <c r="B295" s="9" t="s">
        <v>387</v>
      </c>
      <c r="C295" s="10">
        <v>46017</v>
      </c>
      <c r="D295" s="15">
        <v>1.0385</v>
      </c>
      <c r="E295" s="15">
        <v>1.3405</v>
      </c>
      <c r="F295" s="15">
        <v>1.3798</v>
      </c>
      <c r="G295" s="11">
        <v>0.0068</v>
      </c>
      <c r="H295" s="9">
        <f>MAX($F$116:F295)</f>
        <v>1.3798</v>
      </c>
      <c r="I295" s="11">
        <f t="shared" si="7"/>
        <v>0</v>
      </c>
      <c r="J295" s="9">
        <f>MAX($F$278:F295)</f>
        <v>1.3798</v>
      </c>
      <c r="K295" s="11">
        <f t="shared" si="8"/>
        <v>0</v>
      </c>
      <c r="L295" s="9">
        <f>MAX($F$164:F295)</f>
        <v>1.3798</v>
      </c>
      <c r="M295" s="11">
        <f t="shared" si="9"/>
        <v>0</v>
      </c>
      <c r="N295" s="9" t="s">
        <v>813</v>
      </c>
    </row>
    <row r="296" ht="25" customHeight="1" spans="1:14">
      <c r="A296" s="9" t="s">
        <v>388</v>
      </c>
      <c r="B296" s="9" t="s">
        <v>387</v>
      </c>
      <c r="C296" s="10">
        <v>46022</v>
      </c>
      <c r="D296" s="15">
        <v>1.042</v>
      </c>
      <c r="E296" s="15">
        <v>1.344</v>
      </c>
      <c r="F296" s="15">
        <v>1.3845</v>
      </c>
      <c r="G296" s="11">
        <v>0.0034</v>
      </c>
      <c r="H296" s="9">
        <f>MAX($F$116:F296)</f>
        <v>1.3845</v>
      </c>
      <c r="I296" s="11">
        <f t="shared" si="7"/>
        <v>0</v>
      </c>
      <c r="J296" s="9">
        <f>MAX($F$278:F296)</f>
        <v>1.3845</v>
      </c>
      <c r="K296" s="11">
        <f t="shared" si="8"/>
        <v>0</v>
      </c>
      <c r="L296" s="9">
        <f>MAX($F$164:F296)</f>
        <v>1.3845</v>
      </c>
      <c r="M296" s="11">
        <f t="shared" si="9"/>
        <v>0</v>
      </c>
      <c r="N296" s="9" t="s">
        <v>813</v>
      </c>
    </row>
    <row r="297" ht="25" customHeight="1" spans="1:14">
      <c r="A297" s="9" t="s">
        <v>388</v>
      </c>
      <c r="B297" s="9" t="s">
        <v>387</v>
      </c>
      <c r="C297" s="10">
        <v>46031</v>
      </c>
      <c r="D297" s="15">
        <v>1.0534</v>
      </c>
      <c r="E297" s="15">
        <v>1.3554</v>
      </c>
      <c r="F297" s="15">
        <v>1.3996</v>
      </c>
      <c r="G297" s="11">
        <v>0.0109</v>
      </c>
      <c r="H297" s="9">
        <f>MAX($F$116:F297)</f>
        <v>1.3996</v>
      </c>
      <c r="I297" s="11">
        <f t="shared" si="7"/>
        <v>0</v>
      </c>
      <c r="J297" s="9">
        <f>MAX($F$278:F297)</f>
        <v>1.3996</v>
      </c>
      <c r="K297" s="11">
        <f t="shared" si="8"/>
        <v>0</v>
      </c>
      <c r="L297" s="9">
        <f>MAX($F$164:F297)</f>
        <v>1.3996</v>
      </c>
      <c r="M297" s="11">
        <f t="shared" si="9"/>
        <v>0</v>
      </c>
      <c r="N297" s="9" t="s">
        <v>813</v>
      </c>
    </row>
    <row r="298" ht="25" customHeight="1" spans="1:14">
      <c r="A298" s="9" t="s">
        <v>388</v>
      </c>
      <c r="B298" s="9" t="s">
        <v>387</v>
      </c>
      <c r="C298" s="10">
        <v>46038</v>
      </c>
      <c r="D298" s="15">
        <v>1.0527</v>
      </c>
      <c r="E298" s="15">
        <v>1.3547</v>
      </c>
      <c r="F298" s="15">
        <v>1.3987</v>
      </c>
      <c r="G298" s="11">
        <v>-0.0007</v>
      </c>
      <c r="H298" s="9">
        <f>MAX($F$116:F298)</f>
        <v>1.3996</v>
      </c>
      <c r="I298" s="11">
        <f t="shared" si="7"/>
        <v>0.000643040868819611</v>
      </c>
      <c r="J298" s="9">
        <f>MAX($F$278:F298)</f>
        <v>1.3996</v>
      </c>
      <c r="K298" s="11">
        <f t="shared" si="8"/>
        <v>0.000643040868819611</v>
      </c>
      <c r="L298" s="9">
        <f>MAX($F$164:F298)</f>
        <v>1.3996</v>
      </c>
      <c r="M298" s="11">
        <f t="shared" si="9"/>
        <v>0.000643040868819611</v>
      </c>
      <c r="N298" s="9" t="s">
        <v>813</v>
      </c>
    </row>
    <row r="299" ht="25" customHeight="1" spans="1:14">
      <c r="A299" s="9" t="s">
        <v>388</v>
      </c>
      <c r="B299" s="9" t="s">
        <v>387</v>
      </c>
      <c r="C299" s="10">
        <v>46045</v>
      </c>
      <c r="D299" s="15">
        <v>1.0519</v>
      </c>
      <c r="E299" s="15">
        <v>1.3539</v>
      </c>
      <c r="F299" s="15">
        <v>1.3977</v>
      </c>
      <c r="G299" s="11">
        <v>-0.0008</v>
      </c>
      <c r="H299" s="9">
        <f>MAX($F$116:F299)</f>
        <v>1.3996</v>
      </c>
      <c r="I299" s="11">
        <f t="shared" si="7"/>
        <v>0.00135753072306377</v>
      </c>
      <c r="J299" s="9">
        <f>MAX($F$278:F299)</f>
        <v>1.3996</v>
      </c>
      <c r="K299" s="11">
        <f t="shared" si="8"/>
        <v>0.00135753072306377</v>
      </c>
      <c r="L299" s="9">
        <f>MAX($F$164:F299)</f>
        <v>1.3996</v>
      </c>
      <c r="M299" s="11">
        <f t="shared" si="9"/>
        <v>0.00135753072306377</v>
      </c>
      <c r="N299" s="9" t="s">
        <v>813</v>
      </c>
    </row>
    <row r="300" ht="25" customHeight="1" spans="1:14">
      <c r="A300" s="9" t="s">
        <v>388</v>
      </c>
      <c r="B300" s="9" t="s">
        <v>387</v>
      </c>
      <c r="C300" s="10">
        <v>46052</v>
      </c>
      <c r="D300" s="15">
        <v>1.0703</v>
      </c>
      <c r="E300" s="15">
        <v>1.3723</v>
      </c>
      <c r="F300" s="15">
        <v>1.4221</v>
      </c>
      <c r="G300" s="11">
        <v>0.0175</v>
      </c>
      <c r="H300" s="9">
        <f>MAX($F$116:F300)</f>
        <v>1.4221</v>
      </c>
      <c r="I300" s="11">
        <f t="shared" si="7"/>
        <v>0</v>
      </c>
      <c r="J300" s="9">
        <f>MAX($F$278:F300)</f>
        <v>1.4221</v>
      </c>
      <c r="K300" s="11">
        <f t="shared" si="8"/>
        <v>0</v>
      </c>
      <c r="L300" s="9">
        <f>MAX($F$164:F300)</f>
        <v>1.4221</v>
      </c>
      <c r="M300" s="11">
        <f t="shared" si="9"/>
        <v>0</v>
      </c>
      <c r="N300" s="9" t="s">
        <v>813</v>
      </c>
    </row>
    <row r="301" ht="25" customHeight="1" spans="1:14">
      <c r="A301" s="9" t="s">
        <v>388</v>
      </c>
      <c r="B301" s="9" t="s">
        <v>387</v>
      </c>
      <c r="C301" s="10">
        <v>46059</v>
      </c>
      <c r="D301" s="15">
        <v>1.0709</v>
      </c>
      <c r="E301" s="15">
        <v>1.3729</v>
      </c>
      <c r="F301" s="15">
        <v>1.4229</v>
      </c>
      <c r="G301" s="11">
        <v>0.0006</v>
      </c>
      <c r="H301" s="9">
        <f>MAX($F$116:F301)</f>
        <v>1.4229</v>
      </c>
      <c r="I301" s="11">
        <f t="shared" si="7"/>
        <v>0</v>
      </c>
      <c r="J301" s="9">
        <f>MAX($F$278:F301)</f>
        <v>1.4229</v>
      </c>
      <c r="K301" s="11">
        <f t="shared" si="8"/>
        <v>0</v>
      </c>
      <c r="L301" s="9">
        <f>MAX($F$164:F301)</f>
        <v>1.4229</v>
      </c>
      <c r="M301" s="11">
        <f t="shared" si="9"/>
        <v>0</v>
      </c>
      <c r="N301" s="9" t="s">
        <v>813</v>
      </c>
    </row>
    <row r="302" ht="25" customHeight="1" spans="1:14">
      <c r="A302" s="9" t="s">
        <v>388</v>
      </c>
      <c r="B302" s="9" t="s">
        <v>387</v>
      </c>
      <c r="C302" s="10">
        <v>46066</v>
      </c>
      <c r="D302" s="15">
        <v>1.0752</v>
      </c>
      <c r="E302" s="15">
        <v>1.3772</v>
      </c>
      <c r="F302" s="15">
        <v>1.4286</v>
      </c>
      <c r="G302" s="11">
        <v>0.004</v>
      </c>
      <c r="H302" s="9">
        <f>MAX($F$116:F302)</f>
        <v>1.4286</v>
      </c>
      <c r="I302" s="11">
        <f t="shared" si="7"/>
        <v>0</v>
      </c>
      <c r="J302" s="9">
        <f>MAX($F$278:F302)</f>
        <v>1.4286</v>
      </c>
      <c r="K302" s="11">
        <f t="shared" si="8"/>
        <v>0</v>
      </c>
      <c r="L302" s="9">
        <f>MAX($F$164:F302)</f>
        <v>1.4286</v>
      </c>
      <c r="M302" s="11">
        <f t="shared" si="9"/>
        <v>0</v>
      </c>
      <c r="N302" s="9" t="s">
        <v>813</v>
      </c>
    </row>
    <row r="303" ht="25" customHeight="1" spans="1:14">
      <c r="A303" s="9" t="s">
        <v>388</v>
      </c>
      <c r="B303" s="9" t="s">
        <v>387</v>
      </c>
      <c r="C303" s="10">
        <v>46080</v>
      </c>
      <c r="D303" s="15">
        <v>1.0786</v>
      </c>
      <c r="E303" s="15">
        <v>1.3806</v>
      </c>
      <c r="F303" s="15">
        <v>1.4331</v>
      </c>
      <c r="G303" s="11">
        <v>0.0032</v>
      </c>
      <c r="H303" s="9">
        <f>MAX($F$116:F303)</f>
        <v>1.4331</v>
      </c>
      <c r="I303" s="11">
        <f t="shared" si="7"/>
        <v>0</v>
      </c>
      <c r="J303" s="9">
        <f>MAX($F$278:F303)</f>
        <v>1.4331</v>
      </c>
      <c r="K303" s="11">
        <f t="shared" si="8"/>
        <v>0</v>
      </c>
      <c r="L303" s="9">
        <f>MAX($F$164:F303)</f>
        <v>1.4331</v>
      </c>
      <c r="M303" s="11">
        <f t="shared" si="9"/>
        <v>0</v>
      </c>
      <c r="N303" s="9" t="s">
        <v>813</v>
      </c>
    </row>
    <row r="304" ht="25" customHeight="1" spans="1:14">
      <c r="A304" s="9" t="s">
        <v>388</v>
      </c>
      <c r="B304" s="9" t="s">
        <v>387</v>
      </c>
      <c r="C304" s="10">
        <v>46087</v>
      </c>
      <c r="D304" s="15">
        <v>1.0767</v>
      </c>
      <c r="E304" s="15">
        <v>1.3787</v>
      </c>
      <c r="F304" s="15">
        <v>1.4306</v>
      </c>
      <c r="G304" s="11">
        <v>-0.0018</v>
      </c>
      <c r="H304" s="9">
        <f>MAX($F$116:F304)</f>
        <v>1.4331</v>
      </c>
      <c r="I304" s="11">
        <f t="shared" si="7"/>
        <v>0.00174447003000489</v>
      </c>
      <c r="J304" s="9">
        <f>MAX($F$278:F304)</f>
        <v>1.4331</v>
      </c>
      <c r="K304" s="11">
        <f t="shared" si="8"/>
        <v>0.00174447003000489</v>
      </c>
      <c r="L304" s="9">
        <f>MAX($F$164:F304)</f>
        <v>1.4331</v>
      </c>
      <c r="M304" s="11">
        <f t="shared" si="9"/>
        <v>0.00174447003000489</v>
      </c>
      <c r="N304" s="9" t="s">
        <v>813</v>
      </c>
    </row>
    <row r="305" ht="25" customHeight="1" spans="1:14">
      <c r="A305" s="9" t="s">
        <v>388</v>
      </c>
      <c r="B305" s="9" t="s">
        <v>387</v>
      </c>
      <c r="C305" s="10">
        <v>46094</v>
      </c>
      <c r="D305" s="15">
        <v>1.0802</v>
      </c>
      <c r="E305" s="15">
        <v>1.3822</v>
      </c>
      <c r="F305" s="15">
        <v>1.4353</v>
      </c>
      <c r="G305" s="11">
        <v>0.0033</v>
      </c>
      <c r="H305" s="9">
        <f>MAX($F$116:F305)</f>
        <v>1.4353</v>
      </c>
      <c r="I305" s="11">
        <f t="shared" si="7"/>
        <v>0</v>
      </c>
      <c r="J305" s="9">
        <f>MAX($F$278:F305)</f>
        <v>1.4353</v>
      </c>
      <c r="K305" s="11">
        <f t="shared" si="8"/>
        <v>0</v>
      </c>
      <c r="L305" s="9">
        <f>MAX($F$164:F305)</f>
        <v>1.4353</v>
      </c>
      <c r="M305" s="11">
        <f t="shared" si="9"/>
        <v>0</v>
      </c>
      <c r="N305" s="9" t="s">
        <v>813</v>
      </c>
    </row>
    <row r="306" ht="25" customHeight="1" spans="1:14">
      <c r="A306" s="9" t="s">
        <v>388</v>
      </c>
      <c r="B306" s="9" t="s">
        <v>387</v>
      </c>
      <c r="C306" s="10">
        <v>46101</v>
      </c>
      <c r="D306" s="15">
        <v>1.0759</v>
      </c>
      <c r="E306" s="15">
        <v>1.3779</v>
      </c>
      <c r="F306" s="15">
        <v>1.4295</v>
      </c>
      <c r="G306" s="11">
        <v>-0.004</v>
      </c>
      <c r="H306" s="9">
        <f>MAX($F$116:F306)</f>
        <v>1.4353</v>
      </c>
      <c r="I306" s="11">
        <f t="shared" si="7"/>
        <v>0.00404096704521706</v>
      </c>
      <c r="J306" s="9">
        <f>MAX($F$278:F306)</f>
        <v>1.4353</v>
      </c>
      <c r="K306" s="11">
        <f t="shared" si="8"/>
        <v>0.00404096704521706</v>
      </c>
      <c r="L306" s="9">
        <f>MAX($F$164:F306)</f>
        <v>1.4353</v>
      </c>
      <c r="M306" s="11">
        <f t="shared" si="9"/>
        <v>0.00404096704521706</v>
      </c>
      <c r="N306" s="9" t="s">
        <v>813</v>
      </c>
    </row>
    <row r="307" ht="25" customHeight="1" spans="1:14">
      <c r="A307" s="9" t="s">
        <v>388</v>
      </c>
      <c r="B307" s="9" t="s">
        <v>387</v>
      </c>
      <c r="C307" s="10">
        <v>46108</v>
      </c>
      <c r="D307" s="15">
        <v>1.0702</v>
      </c>
      <c r="E307" s="15">
        <v>1.3722</v>
      </c>
      <c r="F307" s="15">
        <v>1.422</v>
      </c>
      <c r="G307" s="11">
        <v>-0.0053</v>
      </c>
      <c r="H307" s="9">
        <f>MAX($F$116:F307)</f>
        <v>1.4353</v>
      </c>
      <c r="I307" s="11">
        <f t="shared" si="7"/>
        <v>0.00926635546575638</v>
      </c>
      <c r="J307" s="9">
        <f>MAX($F$278:F307)</f>
        <v>1.4353</v>
      </c>
      <c r="K307" s="11">
        <f t="shared" si="8"/>
        <v>0.00926635546575638</v>
      </c>
      <c r="L307" s="9">
        <f>MAX($F$164:F307)</f>
        <v>1.4353</v>
      </c>
      <c r="M307" s="11">
        <f t="shared" si="9"/>
        <v>0.00926635546575638</v>
      </c>
      <c r="N307" s="9" t="s">
        <v>813</v>
      </c>
    </row>
    <row r="308" ht="25" customHeight="1" spans="1:14">
      <c r="A308" s="9" t="s">
        <v>388</v>
      </c>
      <c r="B308" s="9" t="s">
        <v>387</v>
      </c>
      <c r="C308" s="10">
        <v>46115</v>
      </c>
      <c r="D308" s="15">
        <v>1.0739</v>
      </c>
      <c r="E308" s="15">
        <v>1.3759</v>
      </c>
      <c r="F308" s="15">
        <v>1.4269</v>
      </c>
      <c r="G308" s="11">
        <v>0.0035</v>
      </c>
      <c r="H308" s="9">
        <f>MAX($F$116:F308)</f>
        <v>1.4353</v>
      </c>
      <c r="I308" s="11">
        <f t="shared" si="7"/>
        <v>0.00585243503100397</v>
      </c>
      <c r="J308" s="9">
        <f>MAX($F$278:F308)</f>
        <v>1.4353</v>
      </c>
      <c r="K308" s="11">
        <f t="shared" si="8"/>
        <v>0.00585243503100397</v>
      </c>
      <c r="L308" s="9">
        <f>MAX($F$164:F308)</f>
        <v>1.4353</v>
      </c>
      <c r="M308" s="11">
        <f t="shared" si="9"/>
        <v>0.00585243503100397</v>
      </c>
      <c r="N308" s="9" t="s">
        <v>813</v>
      </c>
    </row>
    <row r="309" ht="25" customHeight="1" spans="1:14">
      <c r="A309" s="9" t="s">
        <v>388</v>
      </c>
      <c r="B309" s="9" t="s">
        <v>387</v>
      </c>
      <c r="C309" s="10">
        <v>46122</v>
      </c>
      <c r="D309" s="15">
        <v>1.0798</v>
      </c>
      <c r="E309" s="15">
        <v>1.3818</v>
      </c>
      <c r="F309" s="15">
        <v>1.4347</v>
      </c>
      <c r="G309" s="11">
        <v>0.0055</v>
      </c>
      <c r="H309" s="9">
        <f>MAX($F$116:F309)</f>
        <v>1.4353</v>
      </c>
      <c r="I309" s="11">
        <f t="shared" si="7"/>
        <v>0.000418031073643133</v>
      </c>
      <c r="J309" s="9">
        <f>MAX($F$278:F309)</f>
        <v>1.4353</v>
      </c>
      <c r="K309" s="11">
        <f t="shared" si="8"/>
        <v>0.000418031073643133</v>
      </c>
      <c r="L309" s="9">
        <f>MAX($F$164:F309)</f>
        <v>1.4353</v>
      </c>
      <c r="M309" s="11">
        <f t="shared" si="9"/>
        <v>0.000418031073643133</v>
      </c>
      <c r="N309" s="9" t="s">
        <v>813</v>
      </c>
    </row>
    <row r="310" ht="25" customHeight="1" spans="1:14">
      <c r="A310" s="9" t="s">
        <v>388</v>
      </c>
      <c r="B310" s="9" t="s">
        <v>387</v>
      </c>
      <c r="C310" s="10">
        <v>46129</v>
      </c>
      <c r="D310" s="15">
        <v>1.0824</v>
      </c>
      <c r="E310" s="15">
        <v>1.3844</v>
      </c>
      <c r="F310" s="15">
        <v>1.4382</v>
      </c>
      <c r="G310" s="11">
        <v>0.0024</v>
      </c>
      <c r="H310" s="9">
        <f>MAX($F$116:F310)</f>
        <v>1.4382</v>
      </c>
      <c r="I310" s="11">
        <f t="shared" si="7"/>
        <v>0</v>
      </c>
      <c r="J310" s="9">
        <f>MAX($F$278:F310)</f>
        <v>1.4382</v>
      </c>
      <c r="K310" s="11">
        <f t="shared" si="8"/>
        <v>0</v>
      </c>
      <c r="L310" s="9">
        <f>MAX($F$164:F310)</f>
        <v>1.4382</v>
      </c>
      <c r="M310" s="11">
        <f t="shared" si="9"/>
        <v>0</v>
      </c>
      <c r="N310" s="9" t="s">
        <v>813</v>
      </c>
    </row>
    <row r="311" ht="25" customHeight="1" spans="1:14">
      <c r="A311" s="9" t="s">
        <v>388</v>
      </c>
      <c r="B311" s="9" t="s">
        <v>387</v>
      </c>
      <c r="C311" s="10">
        <v>46136</v>
      </c>
      <c r="D311" s="15">
        <v>1.0943</v>
      </c>
      <c r="E311" s="15">
        <v>1.3963</v>
      </c>
      <c r="F311" s="15">
        <v>1.454</v>
      </c>
      <c r="G311" s="11">
        <v>0.011</v>
      </c>
      <c r="H311" s="9">
        <f>MAX($F$116:F311)</f>
        <v>1.454</v>
      </c>
      <c r="I311" s="11">
        <f t="shared" si="7"/>
        <v>0</v>
      </c>
      <c r="J311" s="9">
        <f>MAX($F$278:F311)</f>
        <v>1.454</v>
      </c>
      <c r="K311" s="11">
        <f t="shared" si="8"/>
        <v>0</v>
      </c>
      <c r="L311" s="9">
        <f>MAX($F$164:F311)</f>
        <v>1.454</v>
      </c>
      <c r="M311" s="11">
        <f t="shared" si="9"/>
        <v>0</v>
      </c>
      <c r="N311" s="9" t="s">
        <v>813</v>
      </c>
    </row>
    <row r="312" ht="25" customHeight="1" spans="1:14">
      <c r="A312" s="9" t="s">
        <v>388</v>
      </c>
      <c r="B312" s="9" t="s">
        <v>387</v>
      </c>
      <c r="C312" s="10">
        <v>46142</v>
      </c>
      <c r="D312" s="15">
        <v>1.0979</v>
      </c>
      <c r="E312" s="15">
        <v>1.3999</v>
      </c>
      <c r="F312" s="15">
        <v>1.4588</v>
      </c>
      <c r="G312" s="11">
        <v>0.0033</v>
      </c>
      <c r="H312" s="9">
        <f>MAX($F$116:F312)</f>
        <v>1.4588</v>
      </c>
      <c r="I312" s="11">
        <f t="shared" si="7"/>
        <v>0</v>
      </c>
      <c r="J312" s="9">
        <f>MAX($F$278:F312)</f>
        <v>1.4588</v>
      </c>
      <c r="K312" s="11">
        <f t="shared" si="8"/>
        <v>0</v>
      </c>
      <c r="L312" s="9">
        <f>MAX($F$164:F312)</f>
        <v>1.4588</v>
      </c>
      <c r="M312" s="11">
        <f t="shared" si="9"/>
        <v>0</v>
      </c>
      <c r="N312" s="9" t="s">
        <v>813</v>
      </c>
    </row>
    <row r="313" ht="25" customHeight="1" spans="1:14">
      <c r="A313" s="9" t="s">
        <v>388</v>
      </c>
      <c r="B313" s="9" t="s">
        <v>387</v>
      </c>
      <c r="C313" s="10">
        <v>46150</v>
      </c>
      <c r="D313" s="15">
        <v>1.0981</v>
      </c>
      <c r="E313" s="15">
        <v>1.4001</v>
      </c>
      <c r="F313" s="15">
        <v>1.459</v>
      </c>
      <c r="G313" s="11">
        <v>0.0002</v>
      </c>
      <c r="H313" s="9">
        <f>MAX($F$116:F313)</f>
        <v>1.459</v>
      </c>
      <c r="I313" s="11">
        <f t="shared" si="7"/>
        <v>0</v>
      </c>
      <c r="J313" s="9">
        <f>MAX($F$278:F313)</f>
        <v>1.459</v>
      </c>
      <c r="K313" s="11">
        <f t="shared" si="8"/>
        <v>0</v>
      </c>
      <c r="L313" s="9">
        <f>MAX($F$164:F313)</f>
        <v>1.459</v>
      </c>
      <c r="M313" s="11">
        <f t="shared" si="9"/>
        <v>0</v>
      </c>
      <c r="N313" s="9" t="s">
        <v>813</v>
      </c>
    </row>
    <row r="314" ht="25" customHeight="1" spans="1:14">
      <c r="A314" s="9" t="s">
        <v>388</v>
      </c>
      <c r="B314" s="9" t="s">
        <v>387</v>
      </c>
      <c r="C314" s="10">
        <v>46157</v>
      </c>
      <c r="D314" s="15">
        <v>1</v>
      </c>
      <c r="E314" s="15">
        <v>1.4011</v>
      </c>
      <c r="F314" s="15">
        <v>1.4604</v>
      </c>
      <c r="G314" s="11">
        <v>0.0009</v>
      </c>
      <c r="H314" s="9">
        <f>MAX($F$116:F314)</f>
        <v>1.4604</v>
      </c>
      <c r="I314" s="11">
        <f t="shared" si="7"/>
        <v>0</v>
      </c>
      <c r="J314" s="9">
        <f>MAX($F$278:F314)</f>
        <v>1.4604</v>
      </c>
      <c r="K314" s="11">
        <f t="shared" si="8"/>
        <v>0</v>
      </c>
      <c r="L314" s="9">
        <f>MAX($F$164:F314)</f>
        <v>1.4604</v>
      </c>
      <c r="M314" s="11">
        <f t="shared" si="9"/>
        <v>0</v>
      </c>
      <c r="N314" s="9" t="s">
        <v>813</v>
      </c>
    </row>
    <row r="315" ht="25" customHeight="1" spans="1:14">
      <c r="A315" s="9" t="s">
        <v>388</v>
      </c>
      <c r="B315" s="9" t="s">
        <v>387</v>
      </c>
      <c r="C315" s="10">
        <v>46164</v>
      </c>
      <c r="D315" s="15">
        <v>1.0033</v>
      </c>
      <c r="E315" s="15">
        <v>1.4044</v>
      </c>
      <c r="F315" s="15">
        <v>1.4652</v>
      </c>
      <c r="G315" s="11">
        <v>0.0033</v>
      </c>
      <c r="H315" s="9">
        <f>MAX($F$116:F315)</f>
        <v>1.4652</v>
      </c>
      <c r="I315" s="11">
        <f t="shared" si="7"/>
        <v>0</v>
      </c>
      <c r="J315" s="9">
        <f>MAX($F$278:F315)</f>
        <v>1.4652</v>
      </c>
      <c r="K315" s="11">
        <f t="shared" si="8"/>
        <v>0</v>
      </c>
      <c r="L315" s="9">
        <f>MAX($F$164:F315)</f>
        <v>1.4652</v>
      </c>
      <c r="M315" s="11">
        <f t="shared" si="9"/>
        <v>0</v>
      </c>
      <c r="N315" s="9" t="s">
        <v>813</v>
      </c>
    </row>
    <row r="316" ht="25" customHeight="1" spans="1:14">
      <c r="A316" s="9" t="s">
        <v>388</v>
      </c>
      <c r="B316" s="9" t="s">
        <v>387</v>
      </c>
      <c r="C316" s="10">
        <v>46171</v>
      </c>
      <c r="D316" s="15">
        <v>1.0057</v>
      </c>
      <c r="E316" s="15">
        <v>1.4068</v>
      </c>
      <c r="F316" s="15">
        <v>1.4687</v>
      </c>
      <c r="G316" s="11">
        <v>0.0024</v>
      </c>
      <c r="H316" s="9">
        <f>MAX($F$116:F316)</f>
        <v>1.4687</v>
      </c>
      <c r="I316" s="11">
        <f t="shared" si="7"/>
        <v>0</v>
      </c>
      <c r="J316" s="9">
        <f>MAX($F$278:F316)</f>
        <v>1.4687</v>
      </c>
      <c r="K316" s="11">
        <f t="shared" si="8"/>
        <v>0</v>
      </c>
      <c r="L316" s="9">
        <f>MAX($F$164:F316)</f>
        <v>1.4687</v>
      </c>
      <c r="M316" s="11">
        <f t="shared" si="9"/>
        <v>0</v>
      </c>
      <c r="N316" s="9" t="s">
        <v>813</v>
      </c>
    </row>
    <row r="317" ht="25" customHeight="1" spans="1:14">
      <c r="A317" s="9" t="s">
        <v>388</v>
      </c>
      <c r="B317" s="9" t="s">
        <v>387</v>
      </c>
      <c r="C317" s="10">
        <v>46178</v>
      </c>
      <c r="D317" s="15">
        <v>1.0137</v>
      </c>
      <c r="E317" s="15">
        <v>1.4148</v>
      </c>
      <c r="F317" s="15">
        <v>1.4804</v>
      </c>
      <c r="G317" s="11">
        <v>0.008</v>
      </c>
      <c r="H317" s="9">
        <f>MAX($F$116:F317)</f>
        <v>1.4804</v>
      </c>
      <c r="I317" s="11">
        <f t="shared" si="7"/>
        <v>0</v>
      </c>
      <c r="J317" s="9">
        <f>MAX($F$278:F317)</f>
        <v>1.4804</v>
      </c>
      <c r="K317" s="11">
        <f t="shared" si="8"/>
        <v>0</v>
      </c>
      <c r="L317" s="9">
        <f>MAX($F$164:F317)</f>
        <v>1.4804</v>
      </c>
      <c r="M317" s="11">
        <f t="shared" si="9"/>
        <v>0</v>
      </c>
      <c r="N317" s="9" t="s">
        <v>813</v>
      </c>
    </row>
    <row r="318" ht="25" customHeight="1" spans="1:14">
      <c r="A318" s="9" t="s">
        <v>388</v>
      </c>
      <c r="B318" s="9" t="s">
        <v>387</v>
      </c>
      <c r="C318" s="10">
        <v>46185</v>
      </c>
      <c r="D318" s="15">
        <v>1.0193</v>
      </c>
      <c r="E318" s="15">
        <v>1.4204</v>
      </c>
      <c r="F318" s="15">
        <v>1.4886</v>
      </c>
      <c r="G318" s="11">
        <v>0.0055</v>
      </c>
      <c r="H318" s="9">
        <f>MAX($F$116:F318)</f>
        <v>1.4886</v>
      </c>
      <c r="I318" s="11">
        <f t="shared" si="7"/>
        <v>0</v>
      </c>
      <c r="J318" s="9">
        <f>MAX($F$278:F318)</f>
        <v>1.4886</v>
      </c>
      <c r="K318" s="11">
        <f t="shared" si="8"/>
        <v>0</v>
      </c>
      <c r="L318" s="9">
        <f>MAX($F$164:F318)</f>
        <v>1.4886</v>
      </c>
      <c r="M318" s="11">
        <f t="shared" si="9"/>
        <v>0</v>
      </c>
      <c r="N318" s="9" t="s">
        <v>813</v>
      </c>
    </row>
    <row r="319" ht="25" customHeight="1" spans="1:14">
      <c r="A319" s="9" t="s">
        <v>388</v>
      </c>
      <c r="B319" s="9" t="s">
        <v>387</v>
      </c>
      <c r="C319" s="10">
        <v>46191</v>
      </c>
      <c r="D319" s="15">
        <v>1.0241</v>
      </c>
      <c r="E319" s="15">
        <v>1.4252</v>
      </c>
      <c r="F319" s="15">
        <v>1.4956</v>
      </c>
      <c r="G319" s="11">
        <v>0.0047</v>
      </c>
      <c r="H319" s="9">
        <f>MAX($F$116:F319)</f>
        <v>1.4956</v>
      </c>
      <c r="I319" s="11">
        <f t="shared" si="7"/>
        <v>0</v>
      </c>
      <c r="J319" s="9">
        <f>MAX($F$278:F319)</f>
        <v>1.4956</v>
      </c>
      <c r="K319" s="11">
        <f t="shared" si="8"/>
        <v>0</v>
      </c>
      <c r="L319" s="9">
        <f>MAX($F$164:F319)</f>
        <v>1.4956</v>
      </c>
      <c r="M319" s="11">
        <f t="shared" si="9"/>
        <v>0</v>
      </c>
      <c r="N319" s="9" t="s">
        <v>813</v>
      </c>
    </row>
    <row r="320" ht="25" customHeight="1" spans="1:14">
      <c r="A320" s="9" t="s">
        <v>388</v>
      </c>
      <c r="B320" s="9" t="s">
        <v>387</v>
      </c>
      <c r="C320" s="10">
        <v>46199</v>
      </c>
      <c r="D320" s="15">
        <v>1.0324</v>
      </c>
      <c r="E320" s="15">
        <v>1.4335</v>
      </c>
      <c r="F320" s="15">
        <v>1.5077</v>
      </c>
      <c r="G320" s="11">
        <v>0.0081</v>
      </c>
      <c r="H320" s="9">
        <f>MAX($F$116:F320)</f>
        <v>1.5077</v>
      </c>
      <c r="I320" s="11">
        <f t="shared" si="7"/>
        <v>0</v>
      </c>
      <c r="J320" s="9">
        <f>MAX($F$278:F320)</f>
        <v>1.5077</v>
      </c>
      <c r="K320" s="11">
        <f t="shared" si="8"/>
        <v>0</v>
      </c>
      <c r="L320" s="9">
        <f>MAX($F$164:F320)</f>
        <v>1.5077</v>
      </c>
      <c r="M320" s="11">
        <f t="shared" si="9"/>
        <v>0</v>
      </c>
      <c r="N320" s="9" t="s">
        <v>813</v>
      </c>
    </row>
    <row r="321" ht="25" customHeight="1" spans="1:14">
      <c r="A321" s="9" t="s">
        <v>388</v>
      </c>
      <c r="B321" s="9" t="s">
        <v>387</v>
      </c>
      <c r="C321" s="10">
        <v>46203</v>
      </c>
      <c r="D321" s="15">
        <v>1.0309</v>
      </c>
      <c r="E321" s="15">
        <v>1.432</v>
      </c>
      <c r="F321" s="15">
        <v>1.5055</v>
      </c>
      <c r="G321" s="11">
        <v>-0.0015</v>
      </c>
      <c r="H321" s="9">
        <f>MAX($F$116:F321)</f>
        <v>1.5077</v>
      </c>
      <c r="I321" s="11">
        <f t="shared" si="7"/>
        <v>0.00145917622869274</v>
      </c>
      <c r="J321" s="9">
        <f>MAX($F$278:F321)</f>
        <v>1.5077</v>
      </c>
      <c r="K321" s="11">
        <f t="shared" si="8"/>
        <v>0.00145917622869274</v>
      </c>
      <c r="L321" s="9">
        <f>MAX($F$164:F321)</f>
        <v>1.5077</v>
      </c>
      <c r="M321" s="11">
        <f t="shared" si="9"/>
        <v>0.00145917622869274</v>
      </c>
      <c r="N321" s="9" t="s">
        <v>813</v>
      </c>
    </row>
    <row r="322" ht="25" customHeight="1" spans="1:14">
      <c r="A322" s="9" t="s">
        <v>388</v>
      </c>
      <c r="B322" s="9" t="s">
        <v>387</v>
      </c>
      <c r="C322" s="10">
        <v>46206</v>
      </c>
      <c r="D322" s="15">
        <v>1.0334</v>
      </c>
      <c r="E322" s="15">
        <v>1.4345</v>
      </c>
      <c r="F322" s="15">
        <v>1.5091</v>
      </c>
      <c r="G322" s="11">
        <v>0.0024</v>
      </c>
      <c r="H322" s="9">
        <f>MAX($F$116:F322)</f>
        <v>1.5091</v>
      </c>
      <c r="I322" s="11">
        <f t="shared" ref="I322:I385" si="10">1-F322/H322</f>
        <v>0</v>
      </c>
      <c r="J322" s="9">
        <f>MAX($F$278:F322)</f>
        <v>1.5091</v>
      </c>
      <c r="K322" s="11">
        <f t="shared" si="8"/>
        <v>0</v>
      </c>
      <c r="L322" s="9">
        <f>MAX($F$164:F322)</f>
        <v>1.5091</v>
      </c>
      <c r="M322" s="11">
        <f t="shared" si="9"/>
        <v>0</v>
      </c>
      <c r="N322" s="9" t="s">
        <v>813</v>
      </c>
    </row>
    <row r="323" ht="25" customHeight="1" spans="1:14">
      <c r="A323" s="9" t="s">
        <v>388</v>
      </c>
      <c r="B323" s="9" t="s">
        <v>387</v>
      </c>
      <c r="C323" s="10">
        <v>46213</v>
      </c>
      <c r="D323" s="15">
        <v>1.0372</v>
      </c>
      <c r="E323" s="15">
        <v>1.4383</v>
      </c>
      <c r="F323" s="15">
        <v>1.5147</v>
      </c>
      <c r="G323" s="11">
        <v>0.0037</v>
      </c>
      <c r="H323" s="9">
        <f>MAX($F$116:F323)</f>
        <v>1.5147</v>
      </c>
      <c r="I323" s="11">
        <f t="shared" si="10"/>
        <v>0</v>
      </c>
      <c r="J323" s="9">
        <f>MAX($F$278:F323)</f>
        <v>1.5147</v>
      </c>
      <c r="K323" s="11">
        <f t="shared" si="8"/>
        <v>0</v>
      </c>
      <c r="L323" s="9">
        <f>MAX($F$164:F323)</f>
        <v>1.5147</v>
      </c>
      <c r="M323" s="11">
        <f t="shared" si="9"/>
        <v>0</v>
      </c>
      <c r="N323" s="9" t="s">
        <v>813</v>
      </c>
    </row>
    <row r="324" ht="25" customHeight="1" spans="1:14">
      <c r="A324" s="9" t="s">
        <v>388</v>
      </c>
      <c r="B324" s="9" t="s">
        <v>387</v>
      </c>
      <c r="C324" s="10">
        <v>46220</v>
      </c>
      <c r="D324" s="15">
        <v>1.0416</v>
      </c>
      <c r="E324" s="15">
        <v>1.4427</v>
      </c>
      <c r="F324" s="15">
        <v>1.5211</v>
      </c>
      <c r="G324" s="11">
        <v>0.0042</v>
      </c>
      <c r="H324" s="9">
        <f>MAX($F$116:F324)</f>
        <v>1.5211</v>
      </c>
      <c r="I324" s="11">
        <f t="shared" si="10"/>
        <v>0</v>
      </c>
      <c r="J324" s="9">
        <f>MAX($F$278:F324)</f>
        <v>1.5211</v>
      </c>
      <c r="K324" s="11">
        <f t="shared" si="8"/>
        <v>0</v>
      </c>
      <c r="L324" s="9">
        <f>MAX($F$164:F324)</f>
        <v>1.5211</v>
      </c>
      <c r="M324" s="11">
        <f t="shared" si="9"/>
        <v>0</v>
      </c>
      <c r="N324" s="9" t="s">
        <v>813</v>
      </c>
    </row>
    <row r="325" ht="25" customHeight="1" spans="1:14">
      <c r="A325" s="9" t="s">
        <v>388</v>
      </c>
      <c r="B325" s="9" t="s">
        <v>387</v>
      </c>
      <c r="C325" s="10">
        <v>46223</v>
      </c>
      <c r="D325" s="15">
        <v>1.0498</v>
      </c>
      <c r="E325" s="15">
        <v>1.4509</v>
      </c>
      <c r="F325" s="15">
        <v>1.5331</v>
      </c>
      <c r="G325" s="11">
        <v>0.0079</v>
      </c>
      <c r="H325" s="9">
        <f>MAX($F$116:F325)</f>
        <v>1.5331</v>
      </c>
      <c r="I325" s="11">
        <f t="shared" si="10"/>
        <v>0</v>
      </c>
      <c r="J325" s="9">
        <f>MAX($F$278:F325)</f>
        <v>1.5331</v>
      </c>
      <c r="K325" s="11">
        <f t="shared" si="8"/>
        <v>0</v>
      </c>
      <c r="L325" s="9">
        <f>MAX($F$164:F325)</f>
        <v>1.5331</v>
      </c>
      <c r="M325" s="11">
        <f t="shared" si="9"/>
        <v>0</v>
      </c>
      <c r="N325" s="9" t="s">
        <v>813</v>
      </c>
    </row>
    <row r="326" ht="25" customHeight="1" spans="1:14">
      <c r="A326" s="9" t="s">
        <v>388</v>
      </c>
      <c r="B326" s="9" t="s">
        <v>387</v>
      </c>
      <c r="C326" s="10">
        <v>46224</v>
      </c>
      <c r="D326" s="15">
        <v>1.048</v>
      </c>
      <c r="E326" s="15">
        <v>1.4491</v>
      </c>
      <c r="F326" s="15">
        <v>1.5305</v>
      </c>
      <c r="G326" s="11">
        <v>-0.0017</v>
      </c>
      <c r="H326" s="9">
        <f>MAX($F$116:F326)</f>
        <v>1.5331</v>
      </c>
      <c r="I326" s="11">
        <f t="shared" si="10"/>
        <v>0.0016959102472115</v>
      </c>
      <c r="J326" s="9">
        <f>MAX($F$278:F326)</f>
        <v>1.5331</v>
      </c>
      <c r="K326" s="11">
        <f t="shared" si="8"/>
        <v>0.0016959102472115</v>
      </c>
      <c r="L326" s="9">
        <f>MAX($F$164:F326)</f>
        <v>1.5331</v>
      </c>
      <c r="M326" s="11">
        <f t="shared" si="9"/>
        <v>0.0016959102472115</v>
      </c>
      <c r="N326" s="9" t="s">
        <v>813</v>
      </c>
    </row>
    <row r="327" ht="25" customHeight="1" spans="1:14">
      <c r="A327" s="9" t="s">
        <v>388</v>
      </c>
      <c r="B327" s="9" t="s">
        <v>387</v>
      </c>
      <c r="C327" s="10">
        <v>46225</v>
      </c>
      <c r="D327" s="15">
        <v>1.047</v>
      </c>
      <c r="E327" s="15">
        <v>1.4481</v>
      </c>
      <c r="F327" s="15">
        <v>1.529</v>
      </c>
      <c r="G327" s="11">
        <v>-0.001</v>
      </c>
      <c r="H327" s="9">
        <f>MAX($F$116:F327)</f>
        <v>1.5331</v>
      </c>
      <c r="I327" s="11">
        <f t="shared" si="10"/>
        <v>0.00267432000521817</v>
      </c>
      <c r="J327" s="9">
        <f>MAX($F$278:F327)</f>
        <v>1.5331</v>
      </c>
      <c r="K327" s="11">
        <f t="shared" si="8"/>
        <v>0.00267432000521817</v>
      </c>
      <c r="L327" s="9">
        <f>MAX($F$164:F327)</f>
        <v>1.5331</v>
      </c>
      <c r="M327" s="11">
        <f t="shared" si="9"/>
        <v>0.00267432000521817</v>
      </c>
      <c r="N327" s="9" t="s">
        <v>813</v>
      </c>
    </row>
    <row r="328" ht="25" customHeight="1" spans="1:14">
      <c r="A328" s="9" t="s">
        <v>388</v>
      </c>
      <c r="B328" s="9" t="s">
        <v>387</v>
      </c>
      <c r="C328" s="10">
        <v>46226</v>
      </c>
      <c r="D328" s="15">
        <v>1.048</v>
      </c>
      <c r="E328" s="15">
        <v>1.4491</v>
      </c>
      <c r="F328" s="15">
        <v>1.5305</v>
      </c>
      <c r="G328" s="11">
        <v>0.001</v>
      </c>
      <c r="H328" s="9">
        <f>MAX($F$116:F328)</f>
        <v>1.5331</v>
      </c>
      <c r="I328" s="11">
        <f t="shared" si="10"/>
        <v>0.0016959102472115</v>
      </c>
      <c r="J328" s="9">
        <f>MAX($F$278:F328)</f>
        <v>1.5331</v>
      </c>
      <c r="K328" s="11">
        <f t="shared" si="8"/>
        <v>0.0016959102472115</v>
      </c>
      <c r="L328" s="9">
        <f>MAX($F$164:F328)</f>
        <v>1.5331</v>
      </c>
      <c r="M328" s="11">
        <f t="shared" si="9"/>
        <v>0.0016959102472115</v>
      </c>
      <c r="N328" s="9" t="s">
        <v>813</v>
      </c>
    </row>
    <row r="329" ht="25" customHeight="1" spans="1:14">
      <c r="A329" s="9" t="s">
        <v>388</v>
      </c>
      <c r="B329" s="9" t="s">
        <v>387</v>
      </c>
      <c r="C329" s="10">
        <v>46227</v>
      </c>
      <c r="D329" s="15">
        <v>1.0516</v>
      </c>
      <c r="E329" s="15">
        <v>1.4527</v>
      </c>
      <c r="F329" s="15">
        <v>1.5357</v>
      </c>
      <c r="G329" s="11">
        <v>0.0034</v>
      </c>
      <c r="H329" s="9">
        <f>MAX($F$116:F329)</f>
        <v>1.5357</v>
      </c>
      <c r="I329" s="11">
        <f t="shared" si="10"/>
        <v>0</v>
      </c>
      <c r="J329" s="9">
        <f>MAX($F$278:F329)</f>
        <v>1.5357</v>
      </c>
      <c r="K329" s="11">
        <f t="shared" si="8"/>
        <v>0</v>
      </c>
      <c r="L329" s="9">
        <f>MAX($F$164:F329)</f>
        <v>1.5357</v>
      </c>
      <c r="M329" s="11">
        <f t="shared" si="9"/>
        <v>0</v>
      </c>
      <c r="N329" s="9" t="s">
        <v>813</v>
      </c>
    </row>
    <row r="330" ht="25" customHeight="1" spans="1:14">
      <c r="A330" s="9" t="s">
        <v>388</v>
      </c>
      <c r="B330" s="9" t="s">
        <v>387</v>
      </c>
      <c r="C330" s="10">
        <v>46230</v>
      </c>
      <c r="D330" s="15">
        <v>1.0525</v>
      </c>
      <c r="E330" s="15">
        <v>1.4536</v>
      </c>
      <c r="F330" s="15">
        <v>1.537</v>
      </c>
      <c r="G330" s="11">
        <v>0.0009</v>
      </c>
      <c r="H330" s="9">
        <f>MAX($F$116:F330)</f>
        <v>1.537</v>
      </c>
      <c r="I330" s="11">
        <f t="shared" si="10"/>
        <v>0</v>
      </c>
      <c r="J330" s="9">
        <f>MAX($F$278:F330)</f>
        <v>1.537</v>
      </c>
      <c r="K330" s="11">
        <f t="shared" si="8"/>
        <v>0</v>
      </c>
      <c r="L330" s="9">
        <f>MAX($F$164:F330)</f>
        <v>1.537</v>
      </c>
      <c r="M330" s="11">
        <f t="shared" si="9"/>
        <v>0</v>
      </c>
      <c r="N330" s="9" t="s">
        <v>813</v>
      </c>
    </row>
    <row r="331" ht="25" customHeight="1" spans="1:14">
      <c r="A331" s="9" t="s">
        <v>388</v>
      </c>
      <c r="B331" s="9" t="s">
        <v>387</v>
      </c>
      <c r="C331" s="10">
        <v>46231</v>
      </c>
      <c r="D331" s="15">
        <v>1.0504</v>
      </c>
      <c r="E331" s="15">
        <v>1.4515</v>
      </c>
      <c r="F331" s="15">
        <v>1.534</v>
      </c>
      <c r="G331" s="11">
        <v>-0.002</v>
      </c>
      <c r="H331" s="9">
        <f>MAX($F$116:F331)</f>
        <v>1.537</v>
      </c>
      <c r="I331" s="11">
        <f t="shared" si="10"/>
        <v>0.00195185426154842</v>
      </c>
      <c r="J331" s="9">
        <f>MAX($F$278:F331)</f>
        <v>1.537</v>
      </c>
      <c r="K331" s="11">
        <f t="shared" si="8"/>
        <v>0.00195185426154842</v>
      </c>
      <c r="L331" s="9">
        <f>MAX($F$164:F331)</f>
        <v>1.537</v>
      </c>
      <c r="M331" s="11">
        <f t="shared" si="9"/>
        <v>0.00195185426154842</v>
      </c>
      <c r="N331" s="9" t="s">
        <v>813</v>
      </c>
    </row>
    <row r="332" ht="25" customHeight="1" spans="1:14">
      <c r="A332" s="9" t="s">
        <v>388</v>
      </c>
      <c r="B332" s="9" t="s">
        <v>387</v>
      </c>
      <c r="C332" s="10">
        <v>46232</v>
      </c>
      <c r="D332" s="15">
        <v>1.0504</v>
      </c>
      <c r="E332" s="15">
        <v>1.4515</v>
      </c>
      <c r="F332" s="15">
        <v>1.534</v>
      </c>
      <c r="G332" s="11">
        <v>0</v>
      </c>
      <c r="H332" s="9">
        <f>MAX($F$116:F332)</f>
        <v>1.537</v>
      </c>
      <c r="I332" s="11">
        <f t="shared" si="10"/>
        <v>0.00195185426154842</v>
      </c>
      <c r="J332" s="9">
        <f>MAX($F$278:F332)</f>
        <v>1.537</v>
      </c>
      <c r="K332" s="11">
        <f t="shared" si="8"/>
        <v>0.00195185426154842</v>
      </c>
      <c r="L332" s="9">
        <f>MAX($F$164:F332)</f>
        <v>1.537</v>
      </c>
      <c r="M332" s="11">
        <f t="shared" si="9"/>
        <v>0.00195185426154842</v>
      </c>
      <c r="N332" s="9" t="s">
        <v>813</v>
      </c>
    </row>
    <row r="333" ht="25" customHeight="1" spans="1:14">
      <c r="A333" s="9" t="s">
        <v>388</v>
      </c>
      <c r="B333" s="9" t="s">
        <v>387</v>
      </c>
      <c r="C333" s="10">
        <v>46233</v>
      </c>
      <c r="D333" s="15">
        <v>1.0544</v>
      </c>
      <c r="E333" s="15">
        <v>1.4555</v>
      </c>
      <c r="F333" s="15">
        <v>1.5398</v>
      </c>
      <c r="G333" s="11">
        <v>0.0038</v>
      </c>
      <c r="H333" s="9">
        <f>MAX($F$116:F333)</f>
        <v>1.5398</v>
      </c>
      <c r="I333" s="11">
        <f t="shared" si="10"/>
        <v>0</v>
      </c>
      <c r="J333" s="9">
        <f>MAX($F$278:F333)</f>
        <v>1.5398</v>
      </c>
      <c r="K333" s="11">
        <f t="shared" si="8"/>
        <v>0</v>
      </c>
      <c r="L333" s="9">
        <f>MAX($F$164:F333)</f>
        <v>1.5398</v>
      </c>
      <c r="M333" s="11">
        <f t="shared" si="9"/>
        <v>0</v>
      </c>
      <c r="N333" s="9" t="s">
        <v>813</v>
      </c>
    </row>
    <row r="334" ht="25" customHeight="1" spans="1:14">
      <c r="A334" s="9" t="s">
        <v>388</v>
      </c>
      <c r="B334" s="9" t="s">
        <v>387</v>
      </c>
      <c r="C334" s="10">
        <v>46234</v>
      </c>
      <c r="D334" s="15">
        <v>1.0578</v>
      </c>
      <c r="E334" s="15">
        <v>1.4589</v>
      </c>
      <c r="F334" s="15">
        <v>1.5448</v>
      </c>
      <c r="G334" s="11">
        <v>0.0032</v>
      </c>
      <c r="H334" s="9">
        <f>MAX($F$116:F334)</f>
        <v>1.5448</v>
      </c>
      <c r="I334" s="11">
        <f t="shared" si="10"/>
        <v>0</v>
      </c>
      <c r="J334" s="9">
        <f>MAX($F$278:F334)</f>
        <v>1.5448</v>
      </c>
      <c r="K334" s="11">
        <f t="shared" si="8"/>
        <v>0</v>
      </c>
      <c r="L334" s="9">
        <f>MAX($F$164:F334)</f>
        <v>1.5448</v>
      </c>
      <c r="M334" s="11">
        <f t="shared" si="9"/>
        <v>0</v>
      </c>
      <c r="N334" s="9" t="s">
        <v>813</v>
      </c>
    </row>
    <row r="335" ht="25" customHeight="1" spans="1:14">
      <c r="A335" s="9" t="s">
        <v>388</v>
      </c>
      <c r="B335" s="9" t="s">
        <v>387</v>
      </c>
      <c r="C335" s="10">
        <v>46237</v>
      </c>
      <c r="D335" s="15">
        <v>1.0572</v>
      </c>
      <c r="E335" s="15">
        <v>1.4583</v>
      </c>
      <c r="F335" s="15">
        <v>1.5439</v>
      </c>
      <c r="G335" s="11">
        <v>-0.0006</v>
      </c>
      <c r="H335" s="9">
        <f>MAX($F$116:F335)</f>
        <v>1.5448</v>
      </c>
      <c r="I335" s="11">
        <f t="shared" si="10"/>
        <v>0.000582599689280094</v>
      </c>
      <c r="J335" s="9">
        <f>MAX($F$278:F335)</f>
        <v>1.5448</v>
      </c>
      <c r="K335" s="11">
        <f t="shared" si="8"/>
        <v>0.000582599689280094</v>
      </c>
      <c r="L335" s="9">
        <f>MAX($F$164:F335)</f>
        <v>1.5448</v>
      </c>
      <c r="M335" s="11">
        <f t="shared" si="9"/>
        <v>0.000582599689280094</v>
      </c>
      <c r="N335" s="9" t="s">
        <v>813</v>
      </c>
    </row>
    <row r="336" ht="25" customHeight="1" spans="1:14">
      <c r="A336" s="9" t="s">
        <v>388</v>
      </c>
      <c r="B336" s="9" t="s">
        <v>387</v>
      </c>
      <c r="C336" s="10">
        <v>46238</v>
      </c>
      <c r="D336" s="15">
        <v>1.0577</v>
      </c>
      <c r="E336" s="15">
        <v>1.4588</v>
      </c>
      <c r="F336" s="15">
        <v>1.5446</v>
      </c>
      <c r="G336" s="11">
        <v>0.0005</v>
      </c>
      <c r="H336" s="9">
        <f>MAX($F$116:F336)</f>
        <v>1.5448</v>
      </c>
      <c r="I336" s="11">
        <f t="shared" si="10"/>
        <v>0.000129466597617811</v>
      </c>
      <c r="J336" s="9">
        <f>MAX($F$278:F336)</f>
        <v>1.5448</v>
      </c>
      <c r="K336" s="11">
        <f t="shared" si="8"/>
        <v>0.000129466597617811</v>
      </c>
      <c r="L336" s="9">
        <f>MAX($F$164:F336)</f>
        <v>1.5448</v>
      </c>
      <c r="M336" s="11">
        <f t="shared" si="9"/>
        <v>0.000129466597617811</v>
      </c>
      <c r="N336" s="9" t="s">
        <v>813</v>
      </c>
    </row>
    <row r="337" ht="25" customHeight="1" spans="1:14">
      <c r="A337" s="9" t="s">
        <v>388</v>
      </c>
      <c r="B337" s="9" t="s">
        <v>387</v>
      </c>
      <c r="C337" s="10">
        <v>46239</v>
      </c>
      <c r="D337" s="15">
        <v>1.0536</v>
      </c>
      <c r="E337" s="15">
        <v>1.4547</v>
      </c>
      <c r="F337" s="15">
        <v>1.5386</v>
      </c>
      <c r="G337" s="11">
        <v>-0.0039</v>
      </c>
      <c r="H337" s="9">
        <f>MAX($F$116:F337)</f>
        <v>1.5448</v>
      </c>
      <c r="I337" s="11">
        <f t="shared" si="10"/>
        <v>0.00401346452615226</v>
      </c>
      <c r="J337" s="9">
        <f>MAX($F$278:F337)</f>
        <v>1.5448</v>
      </c>
      <c r="K337" s="11">
        <f t="shared" si="8"/>
        <v>0.00401346452615226</v>
      </c>
      <c r="L337" s="9">
        <f>MAX($F$164:F337)</f>
        <v>1.5448</v>
      </c>
      <c r="M337" s="11">
        <f t="shared" si="9"/>
        <v>0.00401346452615226</v>
      </c>
      <c r="N337" s="9" t="s">
        <v>813</v>
      </c>
    </row>
    <row r="338" ht="25" customHeight="1" spans="1:14">
      <c r="A338" s="9" t="s">
        <v>388</v>
      </c>
      <c r="B338" s="9" t="s">
        <v>387</v>
      </c>
      <c r="C338" s="10">
        <v>46240</v>
      </c>
      <c r="D338" s="15">
        <v>1.0572</v>
      </c>
      <c r="E338" s="15">
        <v>1.4583</v>
      </c>
      <c r="F338" s="15">
        <v>1.5439</v>
      </c>
      <c r="G338" s="11">
        <v>0.0034</v>
      </c>
      <c r="H338" s="9">
        <f>MAX($F$116:F338)</f>
        <v>1.5448</v>
      </c>
      <c r="I338" s="11">
        <f t="shared" si="10"/>
        <v>0.000582599689280094</v>
      </c>
      <c r="J338" s="9">
        <f>MAX($F$278:F338)</f>
        <v>1.5448</v>
      </c>
      <c r="K338" s="11">
        <f t="shared" si="8"/>
        <v>0.000582599689280094</v>
      </c>
      <c r="L338" s="9">
        <f>MAX($F$164:F338)</f>
        <v>1.5448</v>
      </c>
      <c r="M338" s="11">
        <f t="shared" si="9"/>
        <v>0.000582599689280094</v>
      </c>
      <c r="N338" s="9" t="s">
        <v>813</v>
      </c>
    </row>
    <row r="339" ht="25" customHeight="1" spans="1:14">
      <c r="A339" s="9" t="s">
        <v>388</v>
      </c>
      <c r="B339" s="9" t="s">
        <v>387</v>
      </c>
      <c r="C339" s="10">
        <v>46241</v>
      </c>
      <c r="D339" s="15">
        <v>1.0538</v>
      </c>
      <c r="E339" s="15">
        <v>1.4549</v>
      </c>
      <c r="F339" s="15">
        <v>1.5389</v>
      </c>
      <c r="G339" s="11">
        <v>-0.0032</v>
      </c>
      <c r="H339" s="9">
        <f>MAX($F$116:F339)</f>
        <v>1.5448</v>
      </c>
      <c r="I339" s="11">
        <f t="shared" si="10"/>
        <v>0.00381926462972559</v>
      </c>
      <c r="J339" s="9">
        <f>MAX($F$278:F339)</f>
        <v>1.5448</v>
      </c>
      <c r="K339" s="11">
        <f t="shared" si="8"/>
        <v>0.00381926462972559</v>
      </c>
      <c r="L339" s="9">
        <f>MAX($F$164:F339)</f>
        <v>1.5448</v>
      </c>
      <c r="M339" s="11">
        <f t="shared" si="9"/>
        <v>0.00381926462972559</v>
      </c>
      <c r="N339" s="9" t="s">
        <v>813</v>
      </c>
    </row>
    <row r="340" ht="25" customHeight="1" spans="1:14">
      <c r="A340" s="9" t="s">
        <v>388</v>
      </c>
      <c r="B340" s="9" t="s">
        <v>387</v>
      </c>
      <c r="C340" s="10">
        <v>46244</v>
      </c>
      <c r="D340" s="15">
        <v>1.0513</v>
      </c>
      <c r="E340" s="15">
        <v>1.4524</v>
      </c>
      <c r="F340" s="15">
        <v>1.5353</v>
      </c>
      <c r="G340" s="11">
        <v>-0.0024</v>
      </c>
      <c r="H340" s="9">
        <f>MAX($F$116:F340)</f>
        <v>1.5448</v>
      </c>
      <c r="I340" s="11">
        <f t="shared" si="10"/>
        <v>0.00614966338684608</v>
      </c>
      <c r="J340" s="9">
        <f>MAX($F$278:F340)</f>
        <v>1.5448</v>
      </c>
      <c r="K340" s="11">
        <f t="shared" si="8"/>
        <v>0.00614966338684608</v>
      </c>
      <c r="L340" s="9">
        <f>MAX($F$164:F340)</f>
        <v>1.5448</v>
      </c>
      <c r="M340" s="11">
        <f t="shared" si="9"/>
        <v>0.00614966338684608</v>
      </c>
      <c r="N340" s="9" t="s">
        <v>813</v>
      </c>
    </row>
    <row r="341" ht="25" customHeight="1" spans="1:14">
      <c r="A341" s="9" t="s">
        <v>388</v>
      </c>
      <c r="B341" s="9" t="s">
        <v>387</v>
      </c>
      <c r="C341" s="10">
        <v>46245</v>
      </c>
      <c r="D341" s="15">
        <v>1.0529</v>
      </c>
      <c r="E341" s="15">
        <v>1.454</v>
      </c>
      <c r="F341" s="15">
        <v>1.5376</v>
      </c>
      <c r="G341" s="11">
        <v>0.0015</v>
      </c>
      <c r="H341" s="9">
        <f>MAX($F$116:F341)</f>
        <v>1.5448</v>
      </c>
      <c r="I341" s="11">
        <f t="shared" si="10"/>
        <v>0.0046607975142412</v>
      </c>
      <c r="J341" s="9">
        <f>MAX($F$278:F341)</f>
        <v>1.5448</v>
      </c>
      <c r="K341" s="11">
        <f t="shared" si="8"/>
        <v>0.0046607975142412</v>
      </c>
      <c r="L341" s="9">
        <f>MAX($F$164:F341)</f>
        <v>1.5448</v>
      </c>
      <c r="M341" s="11">
        <f t="shared" si="9"/>
        <v>0.0046607975142412</v>
      </c>
      <c r="N341" s="9" t="s">
        <v>813</v>
      </c>
    </row>
    <row r="342" ht="25" customHeight="1" spans="1:14">
      <c r="A342" s="9" t="s">
        <v>388</v>
      </c>
      <c r="B342" s="9" t="s">
        <v>387</v>
      </c>
      <c r="C342" s="10">
        <v>46246</v>
      </c>
      <c r="D342" s="15">
        <v>1.0527</v>
      </c>
      <c r="E342" s="15">
        <v>1.4538</v>
      </c>
      <c r="F342" s="15">
        <v>1.5373</v>
      </c>
      <c r="G342" s="11">
        <v>-0.0002</v>
      </c>
      <c r="H342" s="9">
        <f>MAX($F$116:F342)</f>
        <v>1.5448</v>
      </c>
      <c r="I342" s="11">
        <f t="shared" si="10"/>
        <v>0.00485499741066797</v>
      </c>
      <c r="J342" s="9">
        <f>MAX($F$278:F342)</f>
        <v>1.5448</v>
      </c>
      <c r="K342" s="11">
        <f t="shared" ref="K342:K355" si="11">1-F342/J342</f>
        <v>0.00485499741066797</v>
      </c>
      <c r="L342" s="9">
        <f>MAX($F$164:F342)</f>
        <v>1.5448</v>
      </c>
      <c r="M342" s="11">
        <f t="shared" si="9"/>
        <v>0.00485499741066797</v>
      </c>
      <c r="N342" s="9" t="s">
        <v>813</v>
      </c>
    </row>
    <row r="343" ht="25" customHeight="1" spans="1:14">
      <c r="A343" s="9" t="s">
        <v>388</v>
      </c>
      <c r="B343" s="9" t="s">
        <v>387</v>
      </c>
      <c r="C343" s="10">
        <v>46247</v>
      </c>
      <c r="D343" s="15">
        <v>1.0544</v>
      </c>
      <c r="E343" s="15">
        <v>1.4555</v>
      </c>
      <c r="F343" s="15">
        <v>1.5398</v>
      </c>
      <c r="G343" s="11">
        <v>0.0016</v>
      </c>
      <c r="H343" s="9">
        <f>MAX($F$116:F343)</f>
        <v>1.5448</v>
      </c>
      <c r="I343" s="11">
        <f t="shared" si="10"/>
        <v>0.00323666494044528</v>
      </c>
      <c r="J343" s="9">
        <f>MAX($F$278:F343)</f>
        <v>1.5448</v>
      </c>
      <c r="K343" s="11">
        <f t="shared" si="11"/>
        <v>0.00323666494044528</v>
      </c>
      <c r="L343" s="9">
        <f>MAX($F$164:F343)</f>
        <v>1.5448</v>
      </c>
      <c r="M343" s="11">
        <f t="shared" si="9"/>
        <v>0.00323666494044528</v>
      </c>
      <c r="N343" s="9" t="s">
        <v>813</v>
      </c>
    </row>
    <row r="344" ht="25" customHeight="1" spans="1:14">
      <c r="A344" s="9" t="s">
        <v>388</v>
      </c>
      <c r="B344" s="9" t="s">
        <v>387</v>
      </c>
      <c r="C344" s="10">
        <v>46248</v>
      </c>
      <c r="D344" s="15">
        <v>1.0563</v>
      </c>
      <c r="E344" s="15">
        <v>1.4574</v>
      </c>
      <c r="F344" s="15">
        <v>1.5426</v>
      </c>
      <c r="G344" s="11">
        <v>0.0018</v>
      </c>
      <c r="H344" s="9">
        <f>MAX($F$116:F344)</f>
        <v>1.5448</v>
      </c>
      <c r="I344" s="11">
        <f t="shared" si="10"/>
        <v>0.00142413257379592</v>
      </c>
      <c r="J344" s="9">
        <f>MAX($F$278:F344)</f>
        <v>1.5448</v>
      </c>
      <c r="K344" s="11">
        <f t="shared" si="11"/>
        <v>0.00142413257379592</v>
      </c>
      <c r="L344" s="9">
        <f>MAX($F$164:F344)</f>
        <v>1.5448</v>
      </c>
      <c r="M344" s="11">
        <f t="shared" si="9"/>
        <v>0.00142413257379592</v>
      </c>
      <c r="N344" s="9" t="s">
        <v>813</v>
      </c>
    </row>
    <row r="345" ht="25" customHeight="1" spans="1:14">
      <c r="A345" s="9" t="s">
        <v>388</v>
      </c>
      <c r="B345" s="9" t="s">
        <v>387</v>
      </c>
      <c r="C345" s="10">
        <v>46251</v>
      </c>
      <c r="D345" s="15">
        <v>1.0583</v>
      </c>
      <c r="E345" s="15">
        <v>1.4594</v>
      </c>
      <c r="F345" s="15">
        <v>1.5455</v>
      </c>
      <c r="G345" s="11">
        <v>0.0019</v>
      </c>
      <c r="H345" s="9">
        <f>MAX($F$116:F345)</f>
        <v>1.5455</v>
      </c>
      <c r="I345" s="11">
        <f t="shared" si="10"/>
        <v>0</v>
      </c>
      <c r="J345" s="9">
        <f>MAX($F$278:F345)</f>
        <v>1.5455</v>
      </c>
      <c r="K345" s="11">
        <f t="shared" si="11"/>
        <v>0</v>
      </c>
      <c r="L345" s="9">
        <f>MAX($F$164:F345)</f>
        <v>1.5455</v>
      </c>
      <c r="M345" s="11">
        <f t="shared" si="9"/>
        <v>0</v>
      </c>
      <c r="N345" s="9" t="s">
        <v>813</v>
      </c>
    </row>
    <row r="346" ht="25" customHeight="1" spans="1:14">
      <c r="A346" s="9" t="s">
        <v>388</v>
      </c>
      <c r="B346" s="9" t="s">
        <v>387</v>
      </c>
      <c r="C346" s="10">
        <v>46252</v>
      </c>
      <c r="D346" s="15">
        <v>1.0571</v>
      </c>
      <c r="E346" s="15">
        <v>1.4582</v>
      </c>
      <c r="F346" s="15">
        <v>1.5438</v>
      </c>
      <c r="G346" s="11">
        <v>-0.0011</v>
      </c>
      <c r="H346" s="9">
        <f>MAX($F$116:F346)</f>
        <v>1.5455</v>
      </c>
      <c r="I346" s="11">
        <f t="shared" si="10"/>
        <v>0.00109996764801035</v>
      </c>
      <c r="J346" s="9">
        <f>MAX($F$278:F346)</f>
        <v>1.5455</v>
      </c>
      <c r="K346" s="11">
        <f t="shared" si="11"/>
        <v>0.00109996764801035</v>
      </c>
      <c r="L346" s="9">
        <f>MAX($F$164:F346)</f>
        <v>1.5455</v>
      </c>
      <c r="M346" s="11">
        <f t="shared" si="9"/>
        <v>0.00109996764801035</v>
      </c>
      <c r="N346" s="9" t="s">
        <v>813</v>
      </c>
    </row>
    <row r="347" ht="25" customHeight="1" spans="1:14">
      <c r="A347" s="9" t="s">
        <v>388</v>
      </c>
      <c r="B347" s="9" t="s">
        <v>387</v>
      </c>
      <c r="C347" s="10">
        <v>46253</v>
      </c>
      <c r="D347" s="15">
        <v>1.06</v>
      </c>
      <c r="E347" s="15">
        <v>1.4611</v>
      </c>
      <c r="F347" s="15">
        <v>1.548</v>
      </c>
      <c r="G347" s="11">
        <v>0.0027</v>
      </c>
      <c r="H347" s="9">
        <f>MAX($F$116:F347)</f>
        <v>1.548</v>
      </c>
      <c r="I347" s="11">
        <f t="shared" si="10"/>
        <v>0</v>
      </c>
      <c r="J347" s="9">
        <f>MAX($F$278:F347)</f>
        <v>1.548</v>
      </c>
      <c r="K347" s="11">
        <f t="shared" si="11"/>
        <v>0</v>
      </c>
      <c r="L347" s="9">
        <f>MAX($F$164:F347)</f>
        <v>1.548</v>
      </c>
      <c r="M347" s="11">
        <f t="shared" si="9"/>
        <v>0</v>
      </c>
      <c r="N347" s="9" t="s">
        <v>813</v>
      </c>
    </row>
    <row r="348" ht="25" customHeight="1" spans="1:14">
      <c r="A348" s="9" t="s">
        <v>388</v>
      </c>
      <c r="B348" s="9" t="s">
        <v>387</v>
      </c>
      <c r="C348" s="10">
        <v>46254</v>
      </c>
      <c r="D348" s="15">
        <v>1.0585</v>
      </c>
      <c r="E348" s="15">
        <v>1.4596</v>
      </c>
      <c r="F348" s="15">
        <v>1.5458</v>
      </c>
      <c r="G348" s="11">
        <v>-0.0014</v>
      </c>
      <c r="H348" s="9">
        <f>MAX($F$116:F348)</f>
        <v>1.548</v>
      </c>
      <c r="I348" s="11">
        <f t="shared" si="10"/>
        <v>0.0014211886304909</v>
      </c>
      <c r="J348" s="9">
        <f>MAX($F$278:F348)</f>
        <v>1.548</v>
      </c>
      <c r="K348" s="11">
        <f t="shared" si="11"/>
        <v>0.0014211886304909</v>
      </c>
      <c r="L348" s="9">
        <f>MAX($F$164:F348)</f>
        <v>1.548</v>
      </c>
      <c r="M348" s="11">
        <f t="shared" si="9"/>
        <v>0.0014211886304909</v>
      </c>
      <c r="N348" s="9" t="s">
        <v>813</v>
      </c>
    </row>
    <row r="349" ht="25" customHeight="1" spans="1:14">
      <c r="A349" s="9" t="s">
        <v>388</v>
      </c>
      <c r="B349" s="9" t="s">
        <v>387</v>
      </c>
      <c r="C349" s="10">
        <v>46255</v>
      </c>
      <c r="D349" s="15">
        <v>1.0567</v>
      </c>
      <c r="E349" s="15">
        <v>1.4578</v>
      </c>
      <c r="F349" s="15">
        <v>1.5432</v>
      </c>
      <c r="G349" s="11">
        <v>-0.0017</v>
      </c>
      <c r="H349" s="9">
        <f>MAX($F$116:F349)</f>
        <v>1.548</v>
      </c>
      <c r="I349" s="11">
        <f t="shared" si="10"/>
        <v>0.00310077519379859</v>
      </c>
      <c r="J349" s="9">
        <f>MAX($F$278:F349)</f>
        <v>1.548</v>
      </c>
      <c r="K349" s="11">
        <f t="shared" si="11"/>
        <v>0.00310077519379859</v>
      </c>
      <c r="L349" s="9">
        <f>MAX($F$164:F349)</f>
        <v>1.548</v>
      </c>
      <c r="M349" s="11">
        <f t="shared" si="9"/>
        <v>0.00310077519379859</v>
      </c>
      <c r="N349" s="9" t="s">
        <v>813</v>
      </c>
    </row>
    <row r="350" ht="25" customHeight="1" spans="1:14">
      <c r="A350" s="9" t="s">
        <v>388</v>
      </c>
      <c r="B350" s="9" t="s">
        <v>387</v>
      </c>
      <c r="C350" s="10">
        <v>46258</v>
      </c>
      <c r="D350" s="15">
        <v>1.0575</v>
      </c>
      <c r="E350" s="15">
        <v>1.4586</v>
      </c>
      <c r="F350" s="15">
        <v>1.5443</v>
      </c>
      <c r="G350" s="11">
        <v>0.0008</v>
      </c>
      <c r="H350" s="9">
        <f>MAX($F$116:F350)</f>
        <v>1.548</v>
      </c>
      <c r="I350" s="11">
        <f t="shared" si="10"/>
        <v>0.00239018087855303</v>
      </c>
      <c r="J350" s="9">
        <f>MAX($F$278:F350)</f>
        <v>1.548</v>
      </c>
      <c r="K350" s="11">
        <f t="shared" si="11"/>
        <v>0.00239018087855303</v>
      </c>
      <c r="L350" s="9">
        <f>MAX($F$164:F350)</f>
        <v>1.548</v>
      </c>
      <c r="M350" s="11">
        <f t="shared" si="9"/>
        <v>0.00239018087855303</v>
      </c>
      <c r="N350" s="9" t="s">
        <v>813</v>
      </c>
    </row>
    <row r="351" ht="25" customHeight="1" spans="1:14">
      <c r="A351" s="9" t="s">
        <v>388</v>
      </c>
      <c r="B351" s="9" t="s">
        <v>387</v>
      </c>
      <c r="C351" s="10">
        <v>46259</v>
      </c>
      <c r="D351" s="15">
        <v>1.0557</v>
      </c>
      <c r="E351" s="15">
        <v>1.4568</v>
      </c>
      <c r="F351" s="15">
        <v>1.5417</v>
      </c>
      <c r="G351" s="11">
        <v>-0.0017</v>
      </c>
      <c r="H351" s="9">
        <f>MAX($F$116:F351)</f>
        <v>1.548</v>
      </c>
      <c r="I351" s="11">
        <f t="shared" si="10"/>
        <v>0.00406976744186049</v>
      </c>
      <c r="J351" s="9">
        <f>MAX($F$278:F351)</f>
        <v>1.548</v>
      </c>
      <c r="K351" s="11">
        <f t="shared" si="11"/>
        <v>0.00406976744186049</v>
      </c>
      <c r="L351" s="9">
        <f>MAX($F$164:F351)</f>
        <v>1.548</v>
      </c>
      <c r="M351" s="11">
        <f t="shared" si="9"/>
        <v>0.00406976744186049</v>
      </c>
      <c r="N351" s="9" t="s">
        <v>813</v>
      </c>
    </row>
    <row r="352" ht="25" customHeight="1" spans="1:14">
      <c r="A352" s="9" t="s">
        <v>388</v>
      </c>
      <c r="B352" s="9" t="s">
        <v>387</v>
      </c>
      <c r="C352" s="10">
        <v>46260</v>
      </c>
      <c r="D352" s="15">
        <v>1.0531</v>
      </c>
      <c r="E352" s="15">
        <v>1.4542</v>
      </c>
      <c r="F352" s="15">
        <v>1.5379</v>
      </c>
      <c r="G352" s="11">
        <v>-0.0025</v>
      </c>
      <c r="H352" s="9">
        <f>MAX($F$116:F352)</f>
        <v>1.548</v>
      </c>
      <c r="I352" s="11">
        <f t="shared" si="10"/>
        <v>0.00652454780361755</v>
      </c>
      <c r="J352" s="9">
        <f>MAX($F$278:F352)</f>
        <v>1.548</v>
      </c>
      <c r="K352" s="11">
        <f t="shared" si="11"/>
        <v>0.00652454780361755</v>
      </c>
      <c r="L352" s="9">
        <f>MAX($F$164:F352)</f>
        <v>1.548</v>
      </c>
      <c r="M352" s="11">
        <f t="shared" si="9"/>
        <v>0.00652454780361755</v>
      </c>
      <c r="N352" s="9" t="s">
        <v>813</v>
      </c>
    </row>
    <row r="353" ht="25" customHeight="1" spans="1:14">
      <c r="A353" s="9" t="s">
        <v>388</v>
      </c>
      <c r="B353" s="9" t="s">
        <v>387</v>
      </c>
      <c r="C353" s="10">
        <v>46261</v>
      </c>
      <c r="D353" s="15">
        <v>1.0515</v>
      </c>
      <c r="E353" s="15">
        <v>1.4526</v>
      </c>
      <c r="F353" s="15">
        <v>1.5356</v>
      </c>
      <c r="G353" s="11">
        <v>-0.0015</v>
      </c>
      <c r="H353" s="9">
        <f>MAX($F$116:F353)</f>
        <v>1.548</v>
      </c>
      <c r="I353" s="11">
        <f t="shared" si="10"/>
        <v>0.00801033591731259</v>
      </c>
      <c r="J353" s="9">
        <f>MAX($F$278:F353)</f>
        <v>1.548</v>
      </c>
      <c r="K353" s="11">
        <f t="shared" si="11"/>
        <v>0.00801033591731259</v>
      </c>
      <c r="L353" s="9">
        <f>MAX($F$164:F353)</f>
        <v>1.548</v>
      </c>
      <c r="M353" s="11">
        <f t="shared" si="9"/>
        <v>0.00801033591731259</v>
      </c>
      <c r="N353" s="9" t="s">
        <v>813</v>
      </c>
    </row>
    <row r="354" ht="25" customHeight="1" spans="1:14">
      <c r="A354" s="9" t="s">
        <v>388</v>
      </c>
      <c r="B354" s="9" t="s">
        <v>387</v>
      </c>
      <c r="C354" s="10">
        <v>46262</v>
      </c>
      <c r="D354" s="15">
        <v>1.0509</v>
      </c>
      <c r="E354" s="15">
        <v>1.452</v>
      </c>
      <c r="F354" s="15">
        <v>1.5347</v>
      </c>
      <c r="G354" s="11">
        <v>-0.0006</v>
      </c>
      <c r="H354" s="9">
        <f>MAX($F$116:F354)</f>
        <v>1.548</v>
      </c>
      <c r="I354" s="11">
        <f t="shared" si="10"/>
        <v>0.00859173126614998</v>
      </c>
      <c r="J354" s="9">
        <f>MAX($F$278:F354)</f>
        <v>1.548</v>
      </c>
      <c r="K354" s="11">
        <f t="shared" si="11"/>
        <v>0.00859173126614998</v>
      </c>
      <c r="L354" s="9">
        <f>MAX($F$164:F354)</f>
        <v>1.548</v>
      </c>
      <c r="M354" s="11">
        <f t="shared" si="9"/>
        <v>0.00859173126614998</v>
      </c>
      <c r="N354" s="9" t="s">
        <v>813</v>
      </c>
    </row>
    <row r="355" ht="25" customHeight="1" spans="1:14">
      <c r="A355" s="9" t="s">
        <v>388</v>
      </c>
      <c r="B355" s="9" t="s">
        <v>387</v>
      </c>
      <c r="C355" s="10">
        <v>46265</v>
      </c>
      <c r="D355" s="15">
        <v>1.0506</v>
      </c>
      <c r="E355" s="15">
        <v>1.4517</v>
      </c>
      <c r="F355" s="15">
        <v>1.5343</v>
      </c>
      <c r="G355" s="11">
        <v>-0.0003</v>
      </c>
      <c r="H355" s="9">
        <f>MAX($F$116:F355)</f>
        <v>1.548</v>
      </c>
      <c r="I355" s="11">
        <f t="shared" si="10"/>
        <v>0.00885012919896644</v>
      </c>
      <c r="J355" s="9">
        <f>MAX($F$278:F355)</f>
        <v>1.548</v>
      </c>
      <c r="K355" s="11">
        <f t="shared" si="11"/>
        <v>0.00885012919896644</v>
      </c>
      <c r="L355" s="9">
        <f>MAX($F$164:F355)</f>
        <v>1.548</v>
      </c>
      <c r="M355" s="11">
        <f t="shared" si="9"/>
        <v>0.00885012919896644</v>
      </c>
      <c r="N355" s="9" t="s">
        <v>813</v>
      </c>
    </row>
    <row r="356" ht="25" customHeight="1" spans="1:14">
      <c r="A356" s="9" t="s">
        <v>139</v>
      </c>
      <c r="B356" s="9" t="s">
        <v>135</v>
      </c>
      <c r="C356" s="10">
        <v>46036</v>
      </c>
      <c r="D356" s="15">
        <v>0.9986</v>
      </c>
      <c r="E356" s="15">
        <v>0.9986</v>
      </c>
      <c r="F356" s="15">
        <v>0.9986</v>
      </c>
      <c r="G356" s="11"/>
      <c r="H356" s="9">
        <f>MAX($F$356:F356)</f>
        <v>0.9986</v>
      </c>
      <c r="I356" s="11">
        <f t="shared" si="10"/>
        <v>0</v>
      </c>
      <c r="J356" s="9"/>
      <c r="K356" s="11"/>
      <c r="L356" s="9"/>
      <c r="M356" s="11"/>
      <c r="N356" s="9" t="s">
        <v>1011</v>
      </c>
    </row>
    <row r="357" ht="25" customHeight="1" spans="1:14">
      <c r="A357" s="9" t="s">
        <v>139</v>
      </c>
      <c r="B357" s="9" t="s">
        <v>135</v>
      </c>
      <c r="C357" s="10">
        <v>46042</v>
      </c>
      <c r="D357" s="15">
        <v>1.0083</v>
      </c>
      <c r="E357" s="15">
        <v>1.0083</v>
      </c>
      <c r="F357" s="15">
        <v>1.0083</v>
      </c>
      <c r="G357" s="11">
        <v>0.0097</v>
      </c>
      <c r="H357" s="9">
        <f>MAX($F$356:F357)</f>
        <v>1.0083</v>
      </c>
      <c r="I357" s="11">
        <f t="shared" si="10"/>
        <v>0</v>
      </c>
      <c r="J357" s="9"/>
      <c r="K357" s="11"/>
      <c r="L357" s="9"/>
      <c r="M357" s="11"/>
      <c r="N357" s="9" t="s">
        <v>1011</v>
      </c>
    </row>
    <row r="358" ht="25" customHeight="1" spans="1:14">
      <c r="A358" s="9" t="s">
        <v>139</v>
      </c>
      <c r="B358" s="9" t="s">
        <v>135</v>
      </c>
      <c r="C358" s="10">
        <v>46043</v>
      </c>
      <c r="D358" s="15">
        <v>1.0083</v>
      </c>
      <c r="E358" s="15">
        <v>1.0083</v>
      </c>
      <c r="F358" s="15">
        <v>1.0083</v>
      </c>
      <c r="G358" s="11">
        <v>0</v>
      </c>
      <c r="H358" s="9">
        <f>MAX($F$356:F358)</f>
        <v>1.0083</v>
      </c>
      <c r="I358" s="11">
        <f t="shared" si="10"/>
        <v>0</v>
      </c>
      <c r="J358" s="9"/>
      <c r="K358" s="11"/>
      <c r="L358" s="9"/>
      <c r="M358" s="11"/>
      <c r="N358" s="9" t="s">
        <v>1011</v>
      </c>
    </row>
    <row r="359" ht="25" customHeight="1" spans="1:14">
      <c r="A359" s="9" t="s">
        <v>139</v>
      </c>
      <c r="B359" s="9" t="s">
        <v>135</v>
      </c>
      <c r="C359" s="10">
        <v>46044</v>
      </c>
      <c r="D359" s="15">
        <v>1.0089</v>
      </c>
      <c r="E359" s="15">
        <v>1.0089</v>
      </c>
      <c r="F359" s="15">
        <v>1.0089</v>
      </c>
      <c r="G359" s="11">
        <v>0.0006</v>
      </c>
      <c r="H359" s="9">
        <f>MAX($F$356:F359)</f>
        <v>1.0089</v>
      </c>
      <c r="I359" s="11">
        <f t="shared" si="10"/>
        <v>0</v>
      </c>
      <c r="J359" s="9"/>
      <c r="K359" s="11"/>
      <c r="L359" s="9"/>
      <c r="M359" s="11"/>
      <c r="N359" s="9" t="s">
        <v>1011</v>
      </c>
    </row>
    <row r="360" ht="25" customHeight="1" spans="1:14">
      <c r="A360" s="9" t="s">
        <v>139</v>
      </c>
      <c r="B360" s="9" t="s">
        <v>135</v>
      </c>
      <c r="C360" s="10">
        <v>46045</v>
      </c>
      <c r="D360" s="15">
        <v>1.0114</v>
      </c>
      <c r="E360" s="15">
        <v>1.0114</v>
      </c>
      <c r="F360" s="15">
        <v>1.0114</v>
      </c>
      <c r="G360" s="11">
        <v>0.0025</v>
      </c>
      <c r="H360" s="9">
        <f>MAX($F$356:F360)</f>
        <v>1.0114</v>
      </c>
      <c r="I360" s="11">
        <f t="shared" si="10"/>
        <v>0</v>
      </c>
      <c r="J360" s="9"/>
      <c r="K360" s="11"/>
      <c r="L360" s="9"/>
      <c r="M360" s="11"/>
      <c r="N360" s="9" t="s">
        <v>1011</v>
      </c>
    </row>
    <row r="361" ht="25" customHeight="1" spans="1:14">
      <c r="A361" s="9" t="s">
        <v>139</v>
      </c>
      <c r="B361" s="9" t="s">
        <v>135</v>
      </c>
      <c r="C361" s="10">
        <v>46048</v>
      </c>
      <c r="D361" s="15">
        <v>1.0131</v>
      </c>
      <c r="E361" s="15">
        <v>1.0131</v>
      </c>
      <c r="F361" s="15">
        <v>1.0131</v>
      </c>
      <c r="G361" s="11">
        <v>0.0017</v>
      </c>
      <c r="H361" s="9">
        <f>MAX($F$356:F361)</f>
        <v>1.0131</v>
      </c>
      <c r="I361" s="11">
        <f t="shared" si="10"/>
        <v>0</v>
      </c>
      <c r="J361" s="9"/>
      <c r="K361" s="11"/>
      <c r="L361" s="9"/>
      <c r="M361" s="11"/>
      <c r="N361" s="9" t="s">
        <v>1011</v>
      </c>
    </row>
    <row r="362" ht="25" customHeight="1" spans="1:14">
      <c r="A362" s="9" t="s">
        <v>139</v>
      </c>
      <c r="B362" s="9" t="s">
        <v>135</v>
      </c>
      <c r="C362" s="10">
        <v>46049</v>
      </c>
      <c r="D362" s="15">
        <v>1.0134</v>
      </c>
      <c r="E362" s="15">
        <v>1.0134</v>
      </c>
      <c r="F362" s="15">
        <v>1.0134</v>
      </c>
      <c r="G362" s="11">
        <v>0.0003</v>
      </c>
      <c r="H362" s="9">
        <f>MAX($F$356:F362)</f>
        <v>1.0134</v>
      </c>
      <c r="I362" s="11">
        <f t="shared" si="10"/>
        <v>0</v>
      </c>
      <c r="J362" s="9"/>
      <c r="K362" s="11"/>
      <c r="L362" s="9"/>
      <c r="M362" s="11"/>
      <c r="N362" s="9" t="s">
        <v>1011</v>
      </c>
    </row>
    <row r="363" ht="25" customHeight="1" spans="1:14">
      <c r="A363" s="9" t="s">
        <v>139</v>
      </c>
      <c r="B363" s="9" t="s">
        <v>135</v>
      </c>
      <c r="C363" s="10">
        <v>46050</v>
      </c>
      <c r="D363" s="15">
        <v>1.0138</v>
      </c>
      <c r="E363" s="15">
        <v>1.0138</v>
      </c>
      <c r="F363" s="15">
        <v>1.0138</v>
      </c>
      <c r="G363" s="11">
        <v>0.0004</v>
      </c>
      <c r="H363" s="9">
        <f>MAX($F$356:F363)</f>
        <v>1.0138</v>
      </c>
      <c r="I363" s="11">
        <f t="shared" si="10"/>
        <v>0</v>
      </c>
      <c r="J363" s="9"/>
      <c r="K363" s="11"/>
      <c r="L363" s="9"/>
      <c r="M363" s="11"/>
      <c r="N363" s="9" t="s">
        <v>1011</v>
      </c>
    </row>
    <row r="364" ht="25" customHeight="1" spans="1:14">
      <c r="A364" s="9" t="s">
        <v>139</v>
      </c>
      <c r="B364" s="9" t="s">
        <v>135</v>
      </c>
      <c r="C364" s="10">
        <v>46051</v>
      </c>
      <c r="D364" s="15">
        <v>1.0145</v>
      </c>
      <c r="E364" s="15">
        <v>1.0145</v>
      </c>
      <c r="F364" s="15">
        <v>1.0145</v>
      </c>
      <c r="G364" s="11">
        <v>0.0007</v>
      </c>
      <c r="H364" s="9">
        <f>MAX($F$356:F364)</f>
        <v>1.0145</v>
      </c>
      <c r="I364" s="11">
        <f t="shared" si="10"/>
        <v>0</v>
      </c>
      <c r="J364" s="9"/>
      <c r="K364" s="11"/>
      <c r="L364" s="9"/>
      <c r="M364" s="11"/>
      <c r="N364" s="9" t="s">
        <v>1011</v>
      </c>
    </row>
    <row r="365" ht="25" customHeight="1" spans="1:14">
      <c r="A365" s="9" t="s">
        <v>139</v>
      </c>
      <c r="B365" s="9" t="s">
        <v>135</v>
      </c>
      <c r="C365" s="10">
        <v>46052</v>
      </c>
      <c r="D365" s="15">
        <v>1.0156</v>
      </c>
      <c r="E365" s="15">
        <v>1.0156</v>
      </c>
      <c r="F365" s="15">
        <v>1.0156</v>
      </c>
      <c r="G365" s="11">
        <v>0.0011</v>
      </c>
      <c r="H365" s="9">
        <f>MAX($F$356:F365)</f>
        <v>1.0156</v>
      </c>
      <c r="I365" s="11">
        <f t="shared" si="10"/>
        <v>0</v>
      </c>
      <c r="J365" s="9"/>
      <c r="K365" s="11"/>
      <c r="L365" s="9"/>
      <c r="M365" s="11"/>
      <c r="N365" s="9" t="s">
        <v>1011</v>
      </c>
    </row>
    <row r="366" ht="25" customHeight="1" spans="1:14">
      <c r="A366" s="9" t="s">
        <v>139</v>
      </c>
      <c r="B366" s="9" t="s">
        <v>135</v>
      </c>
      <c r="C366" s="10">
        <v>46055</v>
      </c>
      <c r="D366" s="15">
        <v>1.0117</v>
      </c>
      <c r="E366" s="15">
        <v>1.0117</v>
      </c>
      <c r="F366" s="15">
        <v>1.0117</v>
      </c>
      <c r="G366" s="11">
        <v>-0.0038</v>
      </c>
      <c r="H366" s="9">
        <f>MAX($F$356:F366)</f>
        <v>1.0156</v>
      </c>
      <c r="I366" s="11">
        <f t="shared" si="10"/>
        <v>0.00384009452540368</v>
      </c>
      <c r="J366" s="9"/>
      <c r="K366" s="11"/>
      <c r="L366" s="9"/>
      <c r="M366" s="11"/>
      <c r="N366" s="9" t="s">
        <v>1011</v>
      </c>
    </row>
    <row r="367" ht="25" customHeight="1" spans="1:14">
      <c r="A367" s="9" t="s">
        <v>139</v>
      </c>
      <c r="B367" s="9" t="s">
        <v>135</v>
      </c>
      <c r="C367" s="10">
        <v>46056</v>
      </c>
      <c r="D367" s="15">
        <v>1.0146</v>
      </c>
      <c r="E367" s="15">
        <v>1.0146</v>
      </c>
      <c r="F367" s="15">
        <v>1.0146</v>
      </c>
      <c r="G367" s="11">
        <v>0.0029</v>
      </c>
      <c r="H367" s="9">
        <f>MAX($F$356:F367)</f>
        <v>1.0156</v>
      </c>
      <c r="I367" s="11">
        <f t="shared" si="10"/>
        <v>0.000984639621898542</v>
      </c>
      <c r="J367" s="9"/>
      <c r="K367" s="11"/>
      <c r="L367" s="9"/>
      <c r="M367" s="11"/>
      <c r="N367" s="9" t="s">
        <v>1011</v>
      </c>
    </row>
    <row r="368" ht="25" customHeight="1" spans="1:14">
      <c r="A368" s="9" t="s">
        <v>139</v>
      </c>
      <c r="B368" s="9" t="s">
        <v>135</v>
      </c>
      <c r="C368" s="10">
        <v>46057</v>
      </c>
      <c r="D368" s="15">
        <v>1.0217</v>
      </c>
      <c r="E368" s="15">
        <v>1.0217</v>
      </c>
      <c r="F368" s="15">
        <v>1.0217</v>
      </c>
      <c r="G368" s="11">
        <v>0.007</v>
      </c>
      <c r="H368" s="9">
        <f>MAX($F$356:F368)</f>
        <v>1.0217</v>
      </c>
      <c r="I368" s="11">
        <f t="shared" si="10"/>
        <v>0</v>
      </c>
      <c r="J368" s="9"/>
      <c r="K368" s="11"/>
      <c r="L368" s="9"/>
      <c r="M368" s="11"/>
      <c r="N368" s="9" t="s">
        <v>1011</v>
      </c>
    </row>
    <row r="369" ht="25" customHeight="1" spans="1:14">
      <c r="A369" s="9" t="s">
        <v>139</v>
      </c>
      <c r="B369" s="9" t="s">
        <v>135</v>
      </c>
      <c r="C369" s="10">
        <v>46058</v>
      </c>
      <c r="D369" s="15">
        <v>1.0264</v>
      </c>
      <c r="E369" s="15">
        <v>1.0264</v>
      </c>
      <c r="F369" s="15">
        <v>1.0264</v>
      </c>
      <c r="G369" s="11">
        <v>0.0046</v>
      </c>
      <c r="H369" s="9">
        <f>MAX($F$356:F369)</f>
        <v>1.0264</v>
      </c>
      <c r="I369" s="11">
        <f t="shared" si="10"/>
        <v>0</v>
      </c>
      <c r="J369" s="9"/>
      <c r="K369" s="11"/>
      <c r="L369" s="9"/>
      <c r="M369" s="11"/>
      <c r="N369" s="9" t="s">
        <v>1011</v>
      </c>
    </row>
    <row r="370" ht="25" customHeight="1" spans="1:14">
      <c r="A370" s="9" t="s">
        <v>139</v>
      </c>
      <c r="B370" s="9" t="s">
        <v>135</v>
      </c>
      <c r="C370" s="10">
        <v>46059</v>
      </c>
      <c r="D370" s="15">
        <v>1.0253</v>
      </c>
      <c r="E370" s="15">
        <v>1.0253</v>
      </c>
      <c r="F370" s="15">
        <v>1.0253</v>
      </c>
      <c r="G370" s="11">
        <v>-0.0011</v>
      </c>
      <c r="H370" s="9">
        <f>MAX($F$356:F370)</f>
        <v>1.0264</v>
      </c>
      <c r="I370" s="11">
        <f t="shared" si="10"/>
        <v>0.00107170693686665</v>
      </c>
      <c r="J370" s="9"/>
      <c r="K370" s="11"/>
      <c r="L370" s="9"/>
      <c r="M370" s="11"/>
      <c r="N370" s="9" t="s">
        <v>1011</v>
      </c>
    </row>
    <row r="371" ht="25" customHeight="1" spans="1:14">
      <c r="A371" s="9" t="s">
        <v>139</v>
      </c>
      <c r="B371" s="9" t="s">
        <v>135</v>
      </c>
      <c r="C371" s="10">
        <v>46062</v>
      </c>
      <c r="D371" s="15">
        <v>1.0251</v>
      </c>
      <c r="E371" s="15">
        <v>1.0251</v>
      </c>
      <c r="F371" s="15">
        <v>1.0251</v>
      </c>
      <c r="G371" s="11">
        <v>-0.0002</v>
      </c>
      <c r="H371" s="9">
        <f>MAX($F$356:F371)</f>
        <v>1.0264</v>
      </c>
      <c r="I371" s="11">
        <f t="shared" si="10"/>
        <v>0.00126656274356984</v>
      </c>
      <c r="J371" s="9"/>
      <c r="K371" s="11"/>
      <c r="L371" s="9"/>
      <c r="M371" s="11"/>
      <c r="N371" s="9" t="s">
        <v>1011</v>
      </c>
    </row>
    <row r="372" ht="25" customHeight="1" spans="1:14">
      <c r="A372" s="9" t="s">
        <v>139</v>
      </c>
      <c r="B372" s="9" t="s">
        <v>135</v>
      </c>
      <c r="C372" s="10">
        <v>46063</v>
      </c>
      <c r="D372" s="15">
        <v>1.0261</v>
      </c>
      <c r="E372" s="15">
        <v>1.0261</v>
      </c>
      <c r="F372" s="15">
        <v>1.0261</v>
      </c>
      <c r="G372" s="11">
        <v>0.001</v>
      </c>
      <c r="H372" s="9">
        <f>MAX($F$356:F372)</f>
        <v>1.0264</v>
      </c>
      <c r="I372" s="11">
        <f t="shared" si="10"/>
        <v>0.000292283710054519</v>
      </c>
      <c r="J372" s="9"/>
      <c r="K372" s="11"/>
      <c r="L372" s="9"/>
      <c r="M372" s="11"/>
      <c r="N372" s="9" t="s">
        <v>1011</v>
      </c>
    </row>
    <row r="373" ht="25" customHeight="1" spans="1:14">
      <c r="A373" s="9" t="s">
        <v>139</v>
      </c>
      <c r="B373" s="9" t="s">
        <v>135</v>
      </c>
      <c r="C373" s="10">
        <v>46064</v>
      </c>
      <c r="D373" s="15">
        <v>1.0264</v>
      </c>
      <c r="E373" s="15">
        <v>1.0264</v>
      </c>
      <c r="F373" s="15">
        <v>1.0264</v>
      </c>
      <c r="G373" s="11">
        <v>0.0003</v>
      </c>
      <c r="H373" s="9">
        <f>MAX($F$356:F373)</f>
        <v>1.0264</v>
      </c>
      <c r="I373" s="11">
        <f t="shared" si="10"/>
        <v>0</v>
      </c>
      <c r="J373" s="9"/>
      <c r="K373" s="11"/>
      <c r="L373" s="9"/>
      <c r="M373" s="11"/>
      <c r="N373" s="9" t="s">
        <v>1011</v>
      </c>
    </row>
    <row r="374" ht="25" customHeight="1" spans="1:14">
      <c r="A374" s="9" t="s">
        <v>139</v>
      </c>
      <c r="B374" s="9" t="s">
        <v>135</v>
      </c>
      <c r="C374" s="10">
        <v>46065</v>
      </c>
      <c r="D374" s="15">
        <v>1.0263</v>
      </c>
      <c r="E374" s="15">
        <v>1.0263</v>
      </c>
      <c r="F374" s="15">
        <v>1.0263</v>
      </c>
      <c r="G374" s="11">
        <v>-0.0001</v>
      </c>
      <c r="H374" s="9">
        <f>MAX($F$356:F374)</f>
        <v>1.0264</v>
      </c>
      <c r="I374" s="11">
        <f t="shared" si="10"/>
        <v>9.74279033515435e-5</v>
      </c>
      <c r="J374" s="9"/>
      <c r="K374" s="11"/>
      <c r="L374" s="9"/>
      <c r="M374" s="11"/>
      <c r="N374" s="9" t="s">
        <v>1011</v>
      </c>
    </row>
    <row r="375" ht="25" customHeight="1" spans="1:14">
      <c r="A375" s="9" t="s">
        <v>139</v>
      </c>
      <c r="B375" s="9" t="s">
        <v>135</v>
      </c>
      <c r="C375" s="10">
        <v>46066</v>
      </c>
      <c r="D375" s="15">
        <v>1.027</v>
      </c>
      <c r="E375" s="15">
        <v>1.027</v>
      </c>
      <c r="F375" s="15">
        <v>1.027</v>
      </c>
      <c r="G375" s="11">
        <v>0.0007</v>
      </c>
      <c r="H375" s="9">
        <f>MAX($F$356:F375)</f>
        <v>1.027</v>
      </c>
      <c r="I375" s="11">
        <f t="shared" si="10"/>
        <v>0</v>
      </c>
      <c r="J375" s="9"/>
      <c r="K375" s="11"/>
      <c r="L375" s="9"/>
      <c r="M375" s="11"/>
      <c r="N375" s="9" t="s">
        <v>1011</v>
      </c>
    </row>
    <row r="376" ht="25" customHeight="1" spans="1:14">
      <c r="A376" s="9" t="s">
        <v>139</v>
      </c>
      <c r="B376" s="9" t="s">
        <v>135</v>
      </c>
      <c r="C376" s="10">
        <v>46077</v>
      </c>
      <c r="D376" s="15">
        <v>1.0267</v>
      </c>
      <c r="E376" s="15">
        <v>1.0267</v>
      </c>
      <c r="F376" s="15">
        <v>1.0267</v>
      </c>
      <c r="G376" s="11">
        <v>-0.0003</v>
      </c>
      <c r="H376" s="9">
        <f>MAX($F$356:F376)</f>
        <v>1.027</v>
      </c>
      <c r="I376" s="11">
        <f t="shared" si="10"/>
        <v>0.000292112950340817</v>
      </c>
      <c r="J376" s="9"/>
      <c r="K376" s="11"/>
      <c r="L376" s="9"/>
      <c r="M376" s="11"/>
      <c r="N376" s="9" t="s">
        <v>1011</v>
      </c>
    </row>
    <row r="377" ht="25" customHeight="1" spans="1:14">
      <c r="A377" s="9" t="s">
        <v>139</v>
      </c>
      <c r="B377" s="9" t="s">
        <v>135</v>
      </c>
      <c r="C377" s="10">
        <v>46078</v>
      </c>
      <c r="D377" s="15">
        <v>1.0274</v>
      </c>
      <c r="E377" s="15">
        <v>1.0274</v>
      </c>
      <c r="F377" s="15">
        <v>1.0274</v>
      </c>
      <c r="G377" s="11">
        <v>0.0007</v>
      </c>
      <c r="H377" s="9">
        <f>MAX($F$356:F377)</f>
        <v>1.0274</v>
      </c>
      <c r="I377" s="11">
        <f t="shared" si="10"/>
        <v>0</v>
      </c>
      <c r="J377" s="9"/>
      <c r="K377" s="11"/>
      <c r="L377" s="9"/>
      <c r="M377" s="11"/>
      <c r="N377" s="9" t="s">
        <v>1011</v>
      </c>
    </row>
    <row r="378" ht="25" customHeight="1" spans="1:14">
      <c r="A378" s="9" t="s">
        <v>139</v>
      </c>
      <c r="B378" s="9" t="s">
        <v>135</v>
      </c>
      <c r="C378" s="10">
        <v>46079</v>
      </c>
      <c r="D378" s="15">
        <v>1.0287</v>
      </c>
      <c r="E378" s="15">
        <v>1.0287</v>
      </c>
      <c r="F378" s="15">
        <v>1.0287</v>
      </c>
      <c r="G378" s="11">
        <v>0.0013</v>
      </c>
      <c r="H378" s="9">
        <f>MAX($F$356:F378)</f>
        <v>1.0287</v>
      </c>
      <c r="I378" s="11">
        <f t="shared" si="10"/>
        <v>0</v>
      </c>
      <c r="J378" s="9"/>
      <c r="K378" s="11"/>
      <c r="L378" s="9"/>
      <c r="M378" s="11"/>
      <c r="N378" s="9" t="s">
        <v>1011</v>
      </c>
    </row>
    <row r="379" ht="25" customHeight="1" spans="1:14">
      <c r="A379" s="9" t="s">
        <v>139</v>
      </c>
      <c r="B379" s="9" t="s">
        <v>135</v>
      </c>
      <c r="C379" s="10">
        <v>46080</v>
      </c>
      <c r="D379" s="15">
        <v>1.0294</v>
      </c>
      <c r="E379" s="15">
        <v>1.0294</v>
      </c>
      <c r="F379" s="15">
        <v>1.0294</v>
      </c>
      <c r="G379" s="11">
        <v>0.0007</v>
      </c>
      <c r="H379" s="9">
        <f>MAX($F$356:F379)</f>
        <v>1.0294</v>
      </c>
      <c r="I379" s="11">
        <f t="shared" si="10"/>
        <v>0</v>
      </c>
      <c r="J379" s="9"/>
      <c r="K379" s="11"/>
      <c r="L379" s="9"/>
      <c r="M379" s="11"/>
      <c r="N379" s="9" t="s">
        <v>1011</v>
      </c>
    </row>
    <row r="380" ht="25" customHeight="1" spans="1:14">
      <c r="A380" s="9" t="s">
        <v>139</v>
      </c>
      <c r="B380" s="9" t="s">
        <v>135</v>
      </c>
      <c r="C380" s="10">
        <v>46083</v>
      </c>
      <c r="D380" s="15">
        <v>1.0286</v>
      </c>
      <c r="E380" s="15">
        <v>1.0286</v>
      </c>
      <c r="F380" s="15">
        <v>1.0286</v>
      </c>
      <c r="G380" s="11">
        <v>-0.0008</v>
      </c>
      <c r="H380" s="9">
        <f>MAX($F$356:F380)</f>
        <v>1.0294</v>
      </c>
      <c r="I380" s="11">
        <f t="shared" si="10"/>
        <v>0.000777151738877158</v>
      </c>
      <c r="J380" s="9"/>
      <c r="K380" s="11"/>
      <c r="L380" s="9"/>
      <c r="M380" s="11"/>
      <c r="N380" s="9" t="s">
        <v>1011</v>
      </c>
    </row>
    <row r="381" ht="25" customHeight="1" spans="1:14">
      <c r="A381" s="9" t="s">
        <v>139</v>
      </c>
      <c r="B381" s="9" t="s">
        <v>135</v>
      </c>
      <c r="C381" s="10">
        <v>46084</v>
      </c>
      <c r="D381" s="15">
        <v>1.0288</v>
      </c>
      <c r="E381" s="15">
        <v>1.0288</v>
      </c>
      <c r="F381" s="15">
        <v>1.0288</v>
      </c>
      <c r="G381" s="11">
        <v>0.0002</v>
      </c>
      <c r="H381" s="9">
        <f>MAX($F$356:F381)</f>
        <v>1.0294</v>
      </c>
      <c r="I381" s="11">
        <f t="shared" si="10"/>
        <v>0.000582863804157951</v>
      </c>
      <c r="J381" s="9"/>
      <c r="K381" s="11"/>
      <c r="L381" s="9"/>
      <c r="M381" s="11"/>
      <c r="N381" s="9" t="s">
        <v>1011</v>
      </c>
    </row>
    <row r="382" ht="25" customHeight="1" spans="1:14">
      <c r="A382" s="9" t="s">
        <v>139</v>
      </c>
      <c r="B382" s="9" t="s">
        <v>135</v>
      </c>
      <c r="C382" s="10">
        <v>46085</v>
      </c>
      <c r="D382" s="15">
        <v>1.0289</v>
      </c>
      <c r="E382" s="15">
        <v>1.0289</v>
      </c>
      <c r="F382" s="15">
        <v>1.0289</v>
      </c>
      <c r="G382" s="11">
        <v>0.0001</v>
      </c>
      <c r="H382" s="9">
        <f>MAX($F$356:F382)</f>
        <v>1.0294</v>
      </c>
      <c r="I382" s="11">
        <f t="shared" si="10"/>
        <v>0.000485719836798348</v>
      </c>
      <c r="J382" s="9"/>
      <c r="K382" s="11"/>
      <c r="L382" s="9"/>
      <c r="M382" s="11"/>
      <c r="N382" s="9" t="s">
        <v>1011</v>
      </c>
    </row>
    <row r="383" ht="25" customHeight="1" spans="1:14">
      <c r="A383" s="9" t="s">
        <v>139</v>
      </c>
      <c r="B383" s="9" t="s">
        <v>135</v>
      </c>
      <c r="C383" s="10">
        <v>46086</v>
      </c>
      <c r="D383" s="15">
        <v>1.031</v>
      </c>
      <c r="E383" s="15">
        <v>1.031</v>
      </c>
      <c r="F383" s="15">
        <v>1.031</v>
      </c>
      <c r="G383" s="11">
        <v>0.002</v>
      </c>
      <c r="H383" s="9">
        <f>MAX($F$356:F383)</f>
        <v>1.031</v>
      </c>
      <c r="I383" s="11">
        <f t="shared" si="10"/>
        <v>0</v>
      </c>
      <c r="J383" s="9"/>
      <c r="K383" s="11"/>
      <c r="L383" s="9"/>
      <c r="M383" s="11"/>
      <c r="N383" s="9" t="s">
        <v>1011</v>
      </c>
    </row>
    <row r="384" ht="25" customHeight="1" spans="1:14">
      <c r="A384" s="9" t="s">
        <v>139</v>
      </c>
      <c r="B384" s="9" t="s">
        <v>135</v>
      </c>
      <c r="C384" s="10">
        <v>46087</v>
      </c>
      <c r="D384" s="15">
        <v>1.0326</v>
      </c>
      <c r="E384" s="15">
        <v>1.0326</v>
      </c>
      <c r="F384" s="15">
        <v>1.0326</v>
      </c>
      <c r="G384" s="11">
        <v>0.0016</v>
      </c>
      <c r="H384" s="9">
        <f>MAX($F$356:F384)</f>
        <v>1.0326</v>
      </c>
      <c r="I384" s="11">
        <f t="shared" si="10"/>
        <v>0</v>
      </c>
      <c r="J384" s="9"/>
      <c r="K384" s="11"/>
      <c r="L384" s="9"/>
      <c r="M384" s="11"/>
      <c r="N384" s="9" t="s">
        <v>1011</v>
      </c>
    </row>
    <row r="385" ht="25" customHeight="1" spans="1:14">
      <c r="A385" s="9" t="s">
        <v>139</v>
      </c>
      <c r="B385" s="9" t="s">
        <v>135</v>
      </c>
      <c r="C385" s="10">
        <v>46090</v>
      </c>
      <c r="D385" s="15">
        <v>1.0282</v>
      </c>
      <c r="E385" s="15">
        <v>1.0282</v>
      </c>
      <c r="F385" s="15">
        <v>1.0282</v>
      </c>
      <c r="G385" s="11">
        <v>-0.0043</v>
      </c>
      <c r="H385" s="9">
        <f>MAX($F$356:F385)</f>
        <v>1.0326</v>
      </c>
      <c r="I385" s="11">
        <f t="shared" si="10"/>
        <v>0.00426108851442952</v>
      </c>
      <c r="J385" s="9"/>
      <c r="K385" s="11"/>
      <c r="L385" s="9"/>
      <c r="M385" s="11"/>
      <c r="N385" s="9" t="s">
        <v>1011</v>
      </c>
    </row>
    <row r="386" ht="25" customHeight="1" spans="1:14">
      <c r="A386" s="9" t="s">
        <v>139</v>
      </c>
      <c r="B386" s="9" t="s">
        <v>135</v>
      </c>
      <c r="C386" s="10">
        <v>46091</v>
      </c>
      <c r="D386" s="15">
        <v>1.0319</v>
      </c>
      <c r="E386" s="15">
        <v>1.0319</v>
      </c>
      <c r="F386" s="15">
        <v>1.0319</v>
      </c>
      <c r="G386" s="11">
        <v>0.0036</v>
      </c>
      <c r="H386" s="9">
        <f>MAX($F$356:F386)</f>
        <v>1.0326</v>
      </c>
      <c r="I386" s="11">
        <f t="shared" ref="I386:I449" si="12">1-F386/H386</f>
        <v>0.000677900445477331</v>
      </c>
      <c r="J386" s="9"/>
      <c r="K386" s="11"/>
      <c r="L386" s="9"/>
      <c r="M386" s="11"/>
      <c r="N386" s="9" t="s">
        <v>1011</v>
      </c>
    </row>
    <row r="387" ht="25" customHeight="1" spans="1:14">
      <c r="A387" s="9" t="s">
        <v>139</v>
      </c>
      <c r="B387" s="9" t="s">
        <v>135</v>
      </c>
      <c r="C387" s="10">
        <v>46092</v>
      </c>
      <c r="D387" s="15">
        <v>1.0326</v>
      </c>
      <c r="E387" s="15">
        <v>1.0326</v>
      </c>
      <c r="F387" s="15">
        <v>1.0326</v>
      </c>
      <c r="G387" s="11">
        <v>0.0007</v>
      </c>
      <c r="H387" s="9">
        <f>MAX($F$356:F387)</f>
        <v>1.0326</v>
      </c>
      <c r="I387" s="11">
        <f t="shared" si="12"/>
        <v>0</v>
      </c>
      <c r="J387" s="9"/>
      <c r="K387" s="11"/>
      <c r="L387" s="9"/>
      <c r="M387" s="11"/>
      <c r="N387" s="9" t="s">
        <v>1011</v>
      </c>
    </row>
    <row r="388" ht="25" customHeight="1" spans="1:14">
      <c r="A388" s="9" t="s">
        <v>139</v>
      </c>
      <c r="B388" s="9" t="s">
        <v>135</v>
      </c>
      <c r="C388" s="10">
        <v>46093</v>
      </c>
      <c r="D388" s="15">
        <v>1.0339</v>
      </c>
      <c r="E388" s="15">
        <v>1.0339</v>
      </c>
      <c r="F388" s="15">
        <v>1.0339</v>
      </c>
      <c r="G388" s="11">
        <v>0.0013</v>
      </c>
      <c r="H388" s="9">
        <f>MAX($F$356:F388)</f>
        <v>1.0339</v>
      </c>
      <c r="I388" s="11">
        <f t="shared" si="12"/>
        <v>0</v>
      </c>
      <c r="J388" s="9"/>
      <c r="K388" s="11"/>
      <c r="L388" s="9"/>
      <c r="M388" s="11"/>
      <c r="N388" s="9" t="s">
        <v>1011</v>
      </c>
    </row>
    <row r="389" ht="25" customHeight="1" spans="1:14">
      <c r="A389" s="9" t="s">
        <v>139</v>
      </c>
      <c r="B389" s="9" t="s">
        <v>135</v>
      </c>
      <c r="C389" s="10">
        <v>46094</v>
      </c>
      <c r="D389" s="15">
        <v>1.0329</v>
      </c>
      <c r="E389" s="15">
        <v>1.0329</v>
      </c>
      <c r="F389" s="15">
        <v>1.0329</v>
      </c>
      <c r="G389" s="11">
        <v>-0.001</v>
      </c>
      <c r="H389" s="9">
        <f>MAX($F$356:F389)</f>
        <v>1.0339</v>
      </c>
      <c r="I389" s="11">
        <f t="shared" si="12"/>
        <v>0.000967211529161571</v>
      </c>
      <c r="J389" s="9"/>
      <c r="K389" s="11"/>
      <c r="L389" s="9"/>
      <c r="M389" s="11"/>
      <c r="N389" s="9" t="s">
        <v>1011</v>
      </c>
    </row>
    <row r="390" ht="25" customHeight="1" spans="1:14">
      <c r="A390" s="9" t="s">
        <v>139</v>
      </c>
      <c r="B390" s="9" t="s">
        <v>135</v>
      </c>
      <c r="C390" s="10">
        <v>46097</v>
      </c>
      <c r="D390" s="15">
        <v>1.0364</v>
      </c>
      <c r="E390" s="15">
        <v>1.0364</v>
      </c>
      <c r="F390" s="15">
        <v>1.0364</v>
      </c>
      <c r="G390" s="11">
        <v>0.0034</v>
      </c>
      <c r="H390" s="9">
        <f>MAX($F$356:F390)</f>
        <v>1.0364</v>
      </c>
      <c r="I390" s="11">
        <f t="shared" si="12"/>
        <v>0</v>
      </c>
      <c r="J390" s="9"/>
      <c r="K390" s="11"/>
      <c r="L390" s="9"/>
      <c r="M390" s="11"/>
      <c r="N390" s="9" t="s">
        <v>1011</v>
      </c>
    </row>
    <row r="391" ht="25" customHeight="1" spans="1:14">
      <c r="A391" s="9" t="s">
        <v>139</v>
      </c>
      <c r="B391" s="9" t="s">
        <v>135</v>
      </c>
      <c r="C391" s="10">
        <v>46098</v>
      </c>
      <c r="D391" s="15">
        <v>1.0358</v>
      </c>
      <c r="E391" s="15">
        <v>1.0358</v>
      </c>
      <c r="F391" s="15">
        <v>1.0358</v>
      </c>
      <c r="G391" s="11">
        <v>-0.0006</v>
      </c>
      <c r="H391" s="9">
        <f>MAX($F$356:F391)</f>
        <v>1.0364</v>
      </c>
      <c r="I391" s="11">
        <f t="shared" si="12"/>
        <v>0.000578927055191025</v>
      </c>
      <c r="J391" s="9"/>
      <c r="K391" s="11"/>
      <c r="L391" s="9"/>
      <c r="M391" s="11"/>
      <c r="N391" s="9" t="s">
        <v>1011</v>
      </c>
    </row>
    <row r="392" ht="25" customHeight="1" spans="1:14">
      <c r="A392" s="9" t="s">
        <v>139</v>
      </c>
      <c r="B392" s="9" t="s">
        <v>135</v>
      </c>
      <c r="C392" s="10">
        <v>46099</v>
      </c>
      <c r="D392" s="15">
        <v>1.0367</v>
      </c>
      <c r="E392" s="15">
        <v>1.0367</v>
      </c>
      <c r="F392" s="15">
        <v>1.0367</v>
      </c>
      <c r="G392" s="11">
        <v>0.0009</v>
      </c>
      <c r="H392" s="9">
        <f>MAX($F$356:F392)</f>
        <v>1.0367</v>
      </c>
      <c r="I392" s="11">
        <f t="shared" si="12"/>
        <v>0</v>
      </c>
      <c r="J392" s="9"/>
      <c r="K392" s="11"/>
      <c r="L392" s="9"/>
      <c r="M392" s="11"/>
      <c r="N392" s="9" t="s">
        <v>1011</v>
      </c>
    </row>
    <row r="393" ht="25" customHeight="1" spans="1:14">
      <c r="A393" s="9" t="s">
        <v>139</v>
      </c>
      <c r="B393" s="9" t="s">
        <v>135</v>
      </c>
      <c r="C393" s="10">
        <v>46100</v>
      </c>
      <c r="D393" s="15">
        <v>1.0367</v>
      </c>
      <c r="E393" s="15">
        <v>1.0367</v>
      </c>
      <c r="F393" s="15">
        <v>1.0367</v>
      </c>
      <c r="G393" s="11">
        <v>0</v>
      </c>
      <c r="H393" s="9">
        <f>MAX($F$356:F393)</f>
        <v>1.0367</v>
      </c>
      <c r="I393" s="11">
        <f t="shared" si="12"/>
        <v>0</v>
      </c>
      <c r="J393" s="9"/>
      <c r="K393" s="11"/>
      <c r="L393" s="9"/>
      <c r="M393" s="11"/>
      <c r="N393" s="9" t="s">
        <v>1011</v>
      </c>
    </row>
    <row r="394" ht="25" customHeight="1" spans="1:14">
      <c r="A394" s="9" t="s">
        <v>139</v>
      </c>
      <c r="B394" s="9" t="s">
        <v>135</v>
      </c>
      <c r="C394" s="10">
        <v>46101</v>
      </c>
      <c r="D394" s="15">
        <v>1.0374</v>
      </c>
      <c r="E394" s="15">
        <v>1.0374</v>
      </c>
      <c r="F394" s="15">
        <v>1.0374</v>
      </c>
      <c r="G394" s="11">
        <v>0.0007</v>
      </c>
      <c r="H394" s="9">
        <f>MAX($F$356:F394)</f>
        <v>1.0374</v>
      </c>
      <c r="I394" s="11">
        <f t="shared" si="12"/>
        <v>0</v>
      </c>
      <c r="J394" s="9"/>
      <c r="K394" s="11"/>
      <c r="L394" s="9"/>
      <c r="M394" s="11"/>
      <c r="N394" s="9" t="s">
        <v>1011</v>
      </c>
    </row>
    <row r="395" ht="25" customHeight="1" spans="1:14">
      <c r="A395" s="9" t="s">
        <v>139</v>
      </c>
      <c r="B395" s="9" t="s">
        <v>135</v>
      </c>
      <c r="C395" s="10">
        <v>46104</v>
      </c>
      <c r="D395" s="15">
        <v>1.0364</v>
      </c>
      <c r="E395" s="15">
        <v>1.0364</v>
      </c>
      <c r="F395" s="15">
        <v>1.0364</v>
      </c>
      <c r="G395" s="11">
        <v>-0.001</v>
      </c>
      <c r="H395" s="9">
        <f>MAX($F$356:F395)</f>
        <v>1.0374</v>
      </c>
      <c r="I395" s="11">
        <f t="shared" si="12"/>
        <v>0.000963948332369458</v>
      </c>
      <c r="J395" s="9"/>
      <c r="K395" s="11"/>
      <c r="L395" s="9"/>
      <c r="M395" s="11"/>
      <c r="N395" s="9" t="s">
        <v>1011</v>
      </c>
    </row>
    <row r="396" ht="25" customHeight="1" spans="1:14">
      <c r="A396" s="9" t="s">
        <v>139</v>
      </c>
      <c r="B396" s="9" t="s">
        <v>135</v>
      </c>
      <c r="C396" s="10">
        <v>46105</v>
      </c>
      <c r="D396" s="15">
        <v>1.0448</v>
      </c>
      <c r="E396" s="15">
        <v>1.0448</v>
      </c>
      <c r="F396" s="15">
        <v>1.0448</v>
      </c>
      <c r="G396" s="11">
        <v>0.0081</v>
      </c>
      <c r="H396" s="9">
        <f>MAX($F$356:F396)</f>
        <v>1.0448</v>
      </c>
      <c r="I396" s="11">
        <f t="shared" si="12"/>
        <v>0</v>
      </c>
      <c r="J396" s="9"/>
      <c r="K396" s="11"/>
      <c r="L396" s="9"/>
      <c r="M396" s="11"/>
      <c r="N396" s="9" t="s">
        <v>1011</v>
      </c>
    </row>
    <row r="397" ht="25" customHeight="1" spans="1:14">
      <c r="A397" s="9" t="s">
        <v>139</v>
      </c>
      <c r="B397" s="9" t="s">
        <v>135</v>
      </c>
      <c r="C397" s="10">
        <v>46107</v>
      </c>
      <c r="D397" s="15">
        <v>1.0498</v>
      </c>
      <c r="E397" s="15">
        <v>1.0498</v>
      </c>
      <c r="F397" s="15">
        <v>1.0498</v>
      </c>
      <c r="G397" s="11">
        <v>0.0048</v>
      </c>
      <c r="H397" s="9">
        <f>MAX($F$356:F397)</f>
        <v>1.0498</v>
      </c>
      <c r="I397" s="11">
        <f t="shared" si="12"/>
        <v>0</v>
      </c>
      <c r="J397" s="9"/>
      <c r="K397" s="11"/>
      <c r="L397" s="9"/>
      <c r="M397" s="11"/>
      <c r="N397" s="9" t="s">
        <v>1011</v>
      </c>
    </row>
    <row r="398" ht="25" customHeight="1" spans="1:14">
      <c r="A398" s="9" t="s">
        <v>139</v>
      </c>
      <c r="B398" s="9" t="s">
        <v>135</v>
      </c>
      <c r="C398" s="10">
        <v>46108</v>
      </c>
      <c r="D398" s="15">
        <v>1.0496</v>
      </c>
      <c r="E398" s="15">
        <v>1.0496</v>
      </c>
      <c r="F398" s="15">
        <v>1.0496</v>
      </c>
      <c r="G398" s="11">
        <v>-0.0002</v>
      </c>
      <c r="H398" s="9">
        <f>MAX($F$356:F398)</f>
        <v>1.0498</v>
      </c>
      <c r="I398" s="11">
        <f t="shared" si="12"/>
        <v>0.000190512478567273</v>
      </c>
      <c r="J398" s="9"/>
      <c r="K398" s="11"/>
      <c r="L398" s="9"/>
      <c r="M398" s="11"/>
      <c r="N398" s="9" t="s">
        <v>1011</v>
      </c>
    </row>
    <row r="399" ht="25" customHeight="1" spans="1:14">
      <c r="A399" s="9" t="s">
        <v>139</v>
      </c>
      <c r="B399" s="9" t="s">
        <v>135</v>
      </c>
      <c r="C399" s="10">
        <v>46111</v>
      </c>
      <c r="D399" s="15">
        <v>1.0504</v>
      </c>
      <c r="E399" s="15">
        <v>1.0504</v>
      </c>
      <c r="F399" s="15">
        <v>1.0504</v>
      </c>
      <c r="G399" s="11">
        <v>0.0008</v>
      </c>
      <c r="H399" s="9">
        <f>MAX($F$356:F399)</f>
        <v>1.0504</v>
      </c>
      <c r="I399" s="11">
        <f t="shared" si="12"/>
        <v>0</v>
      </c>
      <c r="J399" s="9"/>
      <c r="K399" s="11"/>
      <c r="L399" s="9"/>
      <c r="M399" s="11"/>
      <c r="N399" s="9" t="s">
        <v>1011</v>
      </c>
    </row>
    <row r="400" ht="25" customHeight="1" spans="1:14">
      <c r="A400" s="9" t="s">
        <v>139</v>
      </c>
      <c r="B400" s="9" t="s">
        <v>135</v>
      </c>
      <c r="C400" s="10">
        <v>46112</v>
      </c>
      <c r="D400" s="15">
        <v>1.0498</v>
      </c>
      <c r="E400" s="15">
        <v>1.0498</v>
      </c>
      <c r="F400" s="15">
        <v>1.0498</v>
      </c>
      <c r="G400" s="11">
        <v>-0.0006</v>
      </c>
      <c r="H400" s="9">
        <f>MAX($F$356:F400)</f>
        <v>1.0504</v>
      </c>
      <c r="I400" s="11">
        <f t="shared" si="12"/>
        <v>0.000571210967250546</v>
      </c>
      <c r="J400" s="9"/>
      <c r="K400" s="11"/>
      <c r="L400" s="9"/>
      <c r="M400" s="11"/>
      <c r="N400" s="9" t="s">
        <v>1011</v>
      </c>
    </row>
    <row r="401" ht="25" customHeight="1" spans="1:14">
      <c r="A401" s="9" t="s">
        <v>139</v>
      </c>
      <c r="B401" s="9" t="s">
        <v>135</v>
      </c>
      <c r="C401" s="10">
        <v>46113</v>
      </c>
      <c r="D401" s="15">
        <v>1.0501</v>
      </c>
      <c r="E401" s="15">
        <v>1.0501</v>
      </c>
      <c r="F401" s="15">
        <v>1.0501</v>
      </c>
      <c r="G401" s="11">
        <v>0.0003</v>
      </c>
      <c r="H401" s="9">
        <f>MAX($F$356:F401)</f>
        <v>1.0504</v>
      </c>
      <c r="I401" s="11">
        <f t="shared" si="12"/>
        <v>0.000285605483625218</v>
      </c>
      <c r="J401" s="9"/>
      <c r="K401" s="11"/>
      <c r="L401" s="9"/>
      <c r="M401" s="11"/>
      <c r="N401" s="9" t="s">
        <v>1011</v>
      </c>
    </row>
    <row r="402" ht="25" customHeight="1" spans="1:14">
      <c r="A402" s="9" t="s">
        <v>139</v>
      </c>
      <c r="B402" s="9" t="s">
        <v>135</v>
      </c>
      <c r="C402" s="10">
        <v>46114</v>
      </c>
      <c r="D402" s="15">
        <v>1.0496</v>
      </c>
      <c r="E402" s="15">
        <v>1.0496</v>
      </c>
      <c r="F402" s="15">
        <v>1.0496</v>
      </c>
      <c r="G402" s="11">
        <v>-0.0005</v>
      </c>
      <c r="H402" s="9">
        <f>MAX($F$356:F402)</f>
        <v>1.0504</v>
      </c>
      <c r="I402" s="11">
        <f t="shared" si="12"/>
        <v>0.000761614623000728</v>
      </c>
      <c r="J402" s="9"/>
      <c r="K402" s="11"/>
      <c r="L402" s="9"/>
      <c r="M402" s="11"/>
      <c r="N402" s="9" t="s">
        <v>1011</v>
      </c>
    </row>
    <row r="403" ht="25" customHeight="1" spans="1:14">
      <c r="A403" s="9" t="s">
        <v>139</v>
      </c>
      <c r="B403" s="9" t="s">
        <v>135</v>
      </c>
      <c r="C403" s="10">
        <v>46115</v>
      </c>
      <c r="D403" s="15">
        <v>1.0493</v>
      </c>
      <c r="E403" s="15">
        <v>1.0493</v>
      </c>
      <c r="F403" s="15">
        <v>1.0493</v>
      </c>
      <c r="G403" s="11">
        <v>-0.0003</v>
      </c>
      <c r="H403" s="9">
        <f>MAX($F$356:F403)</f>
        <v>1.0504</v>
      </c>
      <c r="I403" s="11">
        <f t="shared" si="12"/>
        <v>0.00104722010662617</v>
      </c>
      <c r="J403" s="9"/>
      <c r="K403" s="11"/>
      <c r="L403" s="9"/>
      <c r="M403" s="11"/>
      <c r="N403" s="9" t="s">
        <v>1011</v>
      </c>
    </row>
    <row r="404" ht="25" customHeight="1" spans="1:14">
      <c r="A404" s="9" t="s">
        <v>139</v>
      </c>
      <c r="B404" s="9" t="s">
        <v>135</v>
      </c>
      <c r="C404" s="10">
        <v>46119</v>
      </c>
      <c r="D404" s="15">
        <v>1.0495</v>
      </c>
      <c r="E404" s="15">
        <v>1.0495</v>
      </c>
      <c r="F404" s="15">
        <v>1.0495</v>
      </c>
      <c r="G404" s="11">
        <v>0.0002</v>
      </c>
      <c r="H404" s="9">
        <f>MAX($F$356:F404)</f>
        <v>1.0504</v>
      </c>
      <c r="I404" s="11">
        <f t="shared" si="12"/>
        <v>0.000856816450875764</v>
      </c>
      <c r="J404" s="9"/>
      <c r="K404" s="11"/>
      <c r="L404" s="9"/>
      <c r="M404" s="11"/>
      <c r="N404" s="9" t="s">
        <v>1011</v>
      </c>
    </row>
    <row r="405" ht="25" customHeight="1" spans="1:14">
      <c r="A405" s="9" t="s">
        <v>139</v>
      </c>
      <c r="B405" s="9" t="s">
        <v>135</v>
      </c>
      <c r="C405" s="10">
        <v>46120</v>
      </c>
      <c r="D405" s="15">
        <v>1.0526</v>
      </c>
      <c r="E405" s="15">
        <v>1.0526</v>
      </c>
      <c r="F405" s="15">
        <v>1.0526</v>
      </c>
      <c r="G405" s="11">
        <v>0.003</v>
      </c>
      <c r="H405" s="9">
        <f>MAX($F$356:F405)</f>
        <v>1.0526</v>
      </c>
      <c r="I405" s="11">
        <f t="shared" si="12"/>
        <v>0</v>
      </c>
      <c r="J405" s="9"/>
      <c r="K405" s="11"/>
      <c r="L405" s="9"/>
      <c r="M405" s="11"/>
      <c r="N405" s="9" t="s">
        <v>1011</v>
      </c>
    </row>
    <row r="406" ht="25" customHeight="1" spans="1:14">
      <c r="A406" s="9" t="s">
        <v>139</v>
      </c>
      <c r="B406" s="9" t="s">
        <v>135</v>
      </c>
      <c r="C406" s="10">
        <v>46121</v>
      </c>
      <c r="D406" s="15">
        <v>1.0543</v>
      </c>
      <c r="E406" s="15">
        <v>1.0543</v>
      </c>
      <c r="F406" s="15">
        <v>1.0543</v>
      </c>
      <c r="G406" s="11">
        <v>0.0016</v>
      </c>
      <c r="H406" s="9">
        <f>MAX($F$356:F406)</f>
        <v>1.0543</v>
      </c>
      <c r="I406" s="11">
        <f t="shared" si="12"/>
        <v>0</v>
      </c>
      <c r="J406" s="9"/>
      <c r="K406" s="11"/>
      <c r="L406" s="9"/>
      <c r="M406" s="11"/>
      <c r="N406" s="9" t="s">
        <v>1011</v>
      </c>
    </row>
    <row r="407" ht="25" customHeight="1" spans="1:14">
      <c r="A407" s="9" t="s">
        <v>139</v>
      </c>
      <c r="B407" s="9" t="s">
        <v>135</v>
      </c>
      <c r="C407" s="10">
        <v>46122</v>
      </c>
      <c r="D407" s="15">
        <v>1.0536</v>
      </c>
      <c r="E407" s="15">
        <v>1.0536</v>
      </c>
      <c r="F407" s="15">
        <v>1.0536</v>
      </c>
      <c r="G407" s="11">
        <v>-0.0007</v>
      </c>
      <c r="H407" s="9">
        <f>MAX($F$356:F407)</f>
        <v>1.0543</v>
      </c>
      <c r="I407" s="11">
        <f t="shared" si="12"/>
        <v>0.000663947642985829</v>
      </c>
      <c r="J407" s="9"/>
      <c r="K407" s="11"/>
      <c r="L407" s="9"/>
      <c r="M407" s="11"/>
      <c r="N407" s="9" t="s">
        <v>1011</v>
      </c>
    </row>
    <row r="408" ht="25" customHeight="1" spans="1:14">
      <c r="A408" s="9" t="s">
        <v>139</v>
      </c>
      <c r="B408" s="9" t="s">
        <v>135</v>
      </c>
      <c r="C408" s="10">
        <v>46125</v>
      </c>
      <c r="D408" s="15">
        <v>1.0542</v>
      </c>
      <c r="E408" s="15">
        <v>1.0542</v>
      </c>
      <c r="F408" s="15">
        <v>1.0542</v>
      </c>
      <c r="G408" s="11">
        <v>0.0006</v>
      </c>
      <c r="H408" s="9">
        <f>MAX($F$356:F408)</f>
        <v>1.0543</v>
      </c>
      <c r="I408" s="11">
        <f t="shared" si="12"/>
        <v>9.48496632836582e-5</v>
      </c>
      <c r="J408" s="9"/>
      <c r="K408" s="11"/>
      <c r="L408" s="9"/>
      <c r="M408" s="11"/>
      <c r="N408" s="9" t="s">
        <v>1011</v>
      </c>
    </row>
    <row r="409" ht="25" customHeight="1" spans="1:14">
      <c r="A409" s="9" t="s">
        <v>139</v>
      </c>
      <c r="B409" s="9" t="s">
        <v>135</v>
      </c>
      <c r="C409" s="10">
        <v>46126</v>
      </c>
      <c r="D409" s="15">
        <v>1.0537</v>
      </c>
      <c r="E409" s="15">
        <v>1.0537</v>
      </c>
      <c r="F409" s="15">
        <v>1.0537</v>
      </c>
      <c r="G409" s="11">
        <v>-0.0005</v>
      </c>
      <c r="H409" s="9">
        <f>MAX($F$356:F409)</f>
        <v>1.0543</v>
      </c>
      <c r="I409" s="11">
        <f t="shared" si="12"/>
        <v>0.00056909797970206</v>
      </c>
      <c r="J409" s="9"/>
      <c r="K409" s="11"/>
      <c r="L409" s="9"/>
      <c r="M409" s="11"/>
      <c r="N409" s="9" t="s">
        <v>1011</v>
      </c>
    </row>
    <row r="410" ht="25" customHeight="1" spans="1:14">
      <c r="A410" s="9" t="s">
        <v>139</v>
      </c>
      <c r="B410" s="9" t="s">
        <v>135</v>
      </c>
      <c r="C410" s="10">
        <v>46127</v>
      </c>
      <c r="D410" s="15">
        <v>1.0538</v>
      </c>
      <c r="E410" s="15">
        <v>1.0538</v>
      </c>
      <c r="F410" s="15">
        <v>1.0538</v>
      </c>
      <c r="G410" s="11">
        <v>0.0001</v>
      </c>
      <c r="H410" s="9">
        <f>MAX($F$356:F410)</f>
        <v>1.0543</v>
      </c>
      <c r="I410" s="11">
        <f t="shared" si="12"/>
        <v>0.000474248316418402</v>
      </c>
      <c r="J410" s="9"/>
      <c r="K410" s="11"/>
      <c r="L410" s="9"/>
      <c r="M410" s="11"/>
      <c r="N410" s="9" t="s">
        <v>1011</v>
      </c>
    </row>
    <row r="411" ht="25" customHeight="1" spans="1:14">
      <c r="A411" s="9" t="s">
        <v>139</v>
      </c>
      <c r="B411" s="9" t="s">
        <v>135</v>
      </c>
      <c r="C411" s="10">
        <v>46128</v>
      </c>
      <c r="D411" s="15">
        <v>1.0539</v>
      </c>
      <c r="E411" s="15">
        <v>1.0539</v>
      </c>
      <c r="F411" s="15">
        <v>1.0539</v>
      </c>
      <c r="G411" s="11">
        <v>0.0001</v>
      </c>
      <c r="H411" s="9">
        <f>MAX($F$356:F411)</f>
        <v>1.0543</v>
      </c>
      <c r="I411" s="11">
        <f t="shared" si="12"/>
        <v>0.000379398653134744</v>
      </c>
      <c r="J411" s="9"/>
      <c r="K411" s="11"/>
      <c r="L411" s="9"/>
      <c r="M411" s="11"/>
      <c r="N411" s="9" t="s">
        <v>1011</v>
      </c>
    </row>
    <row r="412" ht="25" customHeight="1" spans="1:14">
      <c r="A412" s="9" t="s">
        <v>139</v>
      </c>
      <c r="B412" s="9" t="s">
        <v>135</v>
      </c>
      <c r="C412" s="10">
        <v>46129</v>
      </c>
      <c r="D412" s="15">
        <v>1.0537</v>
      </c>
      <c r="E412" s="15">
        <v>1.0537</v>
      </c>
      <c r="F412" s="15">
        <v>1.0537</v>
      </c>
      <c r="G412" s="11">
        <v>-0.0002</v>
      </c>
      <c r="H412" s="9">
        <f>MAX($F$356:F412)</f>
        <v>1.0543</v>
      </c>
      <c r="I412" s="11">
        <f t="shared" si="12"/>
        <v>0.00056909797970206</v>
      </c>
      <c r="J412" s="9"/>
      <c r="K412" s="11"/>
      <c r="L412" s="9"/>
      <c r="M412" s="11"/>
      <c r="N412" s="9" t="s">
        <v>1011</v>
      </c>
    </row>
    <row r="413" ht="25" customHeight="1" spans="1:14">
      <c r="A413" s="9" t="s">
        <v>139</v>
      </c>
      <c r="B413" s="9" t="s">
        <v>135</v>
      </c>
      <c r="C413" s="10">
        <v>46132</v>
      </c>
      <c r="D413" s="15">
        <v>1.0552</v>
      </c>
      <c r="E413" s="15">
        <v>1.0552</v>
      </c>
      <c r="F413" s="15">
        <v>1.0552</v>
      </c>
      <c r="G413" s="11">
        <v>0.0014</v>
      </c>
      <c r="H413" s="9">
        <f>MAX($F$356:F413)</f>
        <v>1.0552</v>
      </c>
      <c r="I413" s="11">
        <f t="shared" si="12"/>
        <v>0</v>
      </c>
      <c r="J413" s="9"/>
      <c r="K413" s="11"/>
      <c r="L413" s="9"/>
      <c r="M413" s="11"/>
      <c r="N413" s="9" t="s">
        <v>1011</v>
      </c>
    </row>
    <row r="414" ht="25" customHeight="1" spans="1:14">
      <c r="A414" s="9" t="s">
        <v>139</v>
      </c>
      <c r="B414" s="9" t="s">
        <v>135</v>
      </c>
      <c r="C414" s="10">
        <v>46133</v>
      </c>
      <c r="D414" s="15">
        <v>1.0556</v>
      </c>
      <c r="E414" s="15">
        <v>1.0556</v>
      </c>
      <c r="F414" s="15">
        <v>1.0556</v>
      </c>
      <c r="G414" s="11">
        <v>0.0004</v>
      </c>
      <c r="H414" s="9">
        <f>MAX($F$356:F414)</f>
        <v>1.0556</v>
      </c>
      <c r="I414" s="11">
        <f t="shared" si="12"/>
        <v>0</v>
      </c>
      <c r="J414" s="9"/>
      <c r="K414" s="11"/>
      <c r="L414" s="9"/>
      <c r="M414" s="11"/>
      <c r="N414" s="9" t="s">
        <v>1011</v>
      </c>
    </row>
    <row r="415" ht="25" customHeight="1" spans="1:14">
      <c r="A415" s="9" t="s">
        <v>139</v>
      </c>
      <c r="B415" s="9" t="s">
        <v>135</v>
      </c>
      <c r="C415" s="10">
        <v>46134</v>
      </c>
      <c r="D415" s="15">
        <v>1.0554</v>
      </c>
      <c r="E415" s="15">
        <v>1.0554</v>
      </c>
      <c r="F415" s="15">
        <v>1.0554</v>
      </c>
      <c r="G415" s="11">
        <v>-0.0002</v>
      </c>
      <c r="H415" s="9">
        <f>MAX($F$356:F415)</f>
        <v>1.0556</v>
      </c>
      <c r="I415" s="11">
        <f t="shared" si="12"/>
        <v>0.000189465706707304</v>
      </c>
      <c r="J415" s="9"/>
      <c r="K415" s="11"/>
      <c r="L415" s="9"/>
      <c r="M415" s="11"/>
      <c r="N415" s="9" t="s">
        <v>1011</v>
      </c>
    </row>
    <row r="416" ht="25" customHeight="1" spans="1:14">
      <c r="A416" s="9" t="s">
        <v>139</v>
      </c>
      <c r="B416" s="9" t="s">
        <v>135</v>
      </c>
      <c r="C416" s="10">
        <v>46135</v>
      </c>
      <c r="D416" s="15">
        <v>1.058</v>
      </c>
      <c r="E416" s="15">
        <v>1.058</v>
      </c>
      <c r="F416" s="15">
        <v>1.058</v>
      </c>
      <c r="G416" s="11">
        <v>0.0025</v>
      </c>
      <c r="H416" s="9">
        <f>MAX($F$356:F416)</f>
        <v>1.058</v>
      </c>
      <c r="I416" s="11">
        <f t="shared" si="12"/>
        <v>0</v>
      </c>
      <c r="J416" s="9"/>
      <c r="K416" s="11"/>
      <c r="L416" s="9"/>
      <c r="M416" s="11"/>
      <c r="N416" s="9" t="s">
        <v>1011</v>
      </c>
    </row>
    <row r="417" ht="25" customHeight="1" spans="1:14">
      <c r="A417" s="9" t="s">
        <v>139</v>
      </c>
      <c r="B417" s="9" t="s">
        <v>135</v>
      </c>
      <c r="C417" s="10">
        <v>46136</v>
      </c>
      <c r="D417" s="15">
        <v>1.0595</v>
      </c>
      <c r="E417" s="15">
        <v>1.0595</v>
      </c>
      <c r="F417" s="15">
        <v>1.0595</v>
      </c>
      <c r="G417" s="11">
        <v>0.0014</v>
      </c>
      <c r="H417" s="9">
        <f>MAX($F$356:F417)</f>
        <v>1.0595</v>
      </c>
      <c r="I417" s="11">
        <f t="shared" si="12"/>
        <v>0</v>
      </c>
      <c r="J417" s="9"/>
      <c r="K417" s="11"/>
      <c r="L417" s="9"/>
      <c r="M417" s="11"/>
      <c r="N417" s="9" t="s">
        <v>1011</v>
      </c>
    </row>
    <row r="418" ht="25" customHeight="1" spans="1:14">
      <c r="A418" s="9" t="s">
        <v>139</v>
      </c>
      <c r="B418" s="9" t="s">
        <v>135</v>
      </c>
      <c r="C418" s="10">
        <v>46139</v>
      </c>
      <c r="D418" s="15">
        <v>1.0602</v>
      </c>
      <c r="E418" s="15">
        <v>1.0602</v>
      </c>
      <c r="F418" s="15">
        <v>1.0602</v>
      </c>
      <c r="G418" s="11">
        <v>0.0007</v>
      </c>
      <c r="H418" s="9">
        <f>MAX($F$356:F418)</f>
        <v>1.0602</v>
      </c>
      <c r="I418" s="11">
        <f t="shared" si="12"/>
        <v>0</v>
      </c>
      <c r="J418" s="9"/>
      <c r="K418" s="11"/>
      <c r="L418" s="9"/>
      <c r="M418" s="11"/>
      <c r="N418" s="9" t="s">
        <v>1011</v>
      </c>
    </row>
    <row r="419" ht="25" customHeight="1" spans="1:14">
      <c r="A419" s="9" t="s">
        <v>139</v>
      </c>
      <c r="B419" s="9" t="s">
        <v>135</v>
      </c>
      <c r="C419" s="10">
        <v>46140</v>
      </c>
      <c r="D419" s="15">
        <v>1.0602</v>
      </c>
      <c r="E419" s="15">
        <v>1.0602</v>
      </c>
      <c r="F419" s="15">
        <v>1.0602</v>
      </c>
      <c r="G419" s="11">
        <v>0</v>
      </c>
      <c r="H419" s="9">
        <f>MAX($F$356:F419)</f>
        <v>1.0602</v>
      </c>
      <c r="I419" s="11">
        <f t="shared" si="12"/>
        <v>0</v>
      </c>
      <c r="J419" s="9"/>
      <c r="K419" s="11"/>
      <c r="L419" s="9"/>
      <c r="M419" s="11"/>
      <c r="N419" s="9" t="s">
        <v>1011</v>
      </c>
    </row>
    <row r="420" ht="25" customHeight="1" spans="1:14">
      <c r="A420" s="9" t="s">
        <v>139</v>
      </c>
      <c r="B420" s="9" t="s">
        <v>135</v>
      </c>
      <c r="C420" s="10">
        <v>46141</v>
      </c>
      <c r="D420" s="15">
        <v>1.0602</v>
      </c>
      <c r="E420" s="15">
        <v>1.0602</v>
      </c>
      <c r="F420" s="15">
        <v>1.0602</v>
      </c>
      <c r="G420" s="11">
        <v>0</v>
      </c>
      <c r="H420" s="9">
        <f>MAX($F$356:F420)</f>
        <v>1.0602</v>
      </c>
      <c r="I420" s="11">
        <f t="shared" si="12"/>
        <v>0</v>
      </c>
      <c r="J420" s="9"/>
      <c r="K420" s="11"/>
      <c r="L420" s="9"/>
      <c r="M420" s="11"/>
      <c r="N420" s="9" t="s">
        <v>1011</v>
      </c>
    </row>
    <row r="421" ht="25" customHeight="1" spans="1:14">
      <c r="A421" s="9" t="s">
        <v>139</v>
      </c>
      <c r="B421" s="9" t="s">
        <v>135</v>
      </c>
      <c r="C421" s="10">
        <v>46142</v>
      </c>
      <c r="D421" s="15">
        <v>1.0601</v>
      </c>
      <c r="E421" s="15">
        <v>1.0601</v>
      </c>
      <c r="F421" s="15">
        <v>1.0601</v>
      </c>
      <c r="G421" s="11">
        <v>-0.0001</v>
      </c>
      <c r="H421" s="9">
        <f>MAX($F$356:F421)</f>
        <v>1.0602</v>
      </c>
      <c r="I421" s="11">
        <f t="shared" si="12"/>
        <v>9.43218260704981e-5</v>
      </c>
      <c r="J421" s="9"/>
      <c r="K421" s="11"/>
      <c r="L421" s="9"/>
      <c r="M421" s="11"/>
      <c r="N421" s="9" t="s">
        <v>1011</v>
      </c>
    </row>
    <row r="422" ht="25" customHeight="1" spans="1:14">
      <c r="A422" s="9" t="s">
        <v>139</v>
      </c>
      <c r="B422" s="9" t="s">
        <v>135</v>
      </c>
      <c r="C422" s="10">
        <v>46148</v>
      </c>
      <c r="D422" s="15">
        <v>1.0604</v>
      </c>
      <c r="E422" s="15">
        <v>1.0604</v>
      </c>
      <c r="F422" s="15">
        <v>1.0604</v>
      </c>
      <c r="G422" s="11">
        <v>0.0003</v>
      </c>
      <c r="H422" s="9">
        <f>MAX($F$356:F422)</f>
        <v>1.0604</v>
      </c>
      <c r="I422" s="11">
        <f t="shared" si="12"/>
        <v>0</v>
      </c>
      <c r="J422" s="9"/>
      <c r="K422" s="11"/>
      <c r="L422" s="9"/>
      <c r="M422" s="11"/>
      <c r="N422" s="9" t="s">
        <v>1011</v>
      </c>
    </row>
    <row r="423" ht="25" customHeight="1" spans="1:14">
      <c r="A423" s="9" t="s">
        <v>139</v>
      </c>
      <c r="B423" s="9" t="s">
        <v>135</v>
      </c>
      <c r="C423" s="10">
        <v>46149</v>
      </c>
      <c r="D423" s="15">
        <v>1.0606</v>
      </c>
      <c r="E423" s="15">
        <v>1.0606</v>
      </c>
      <c r="F423" s="15">
        <v>1.0606</v>
      </c>
      <c r="G423" s="11">
        <v>0.0002</v>
      </c>
      <c r="H423" s="9">
        <f>MAX($F$356:F423)</f>
        <v>1.0606</v>
      </c>
      <c r="I423" s="11">
        <f t="shared" si="12"/>
        <v>0</v>
      </c>
      <c r="J423" s="9"/>
      <c r="K423" s="11"/>
      <c r="L423" s="9"/>
      <c r="M423" s="11"/>
      <c r="N423" s="9" t="s">
        <v>1011</v>
      </c>
    </row>
    <row r="424" ht="25" customHeight="1" spans="1:14">
      <c r="A424" s="9" t="s">
        <v>139</v>
      </c>
      <c r="B424" s="9" t="s">
        <v>135</v>
      </c>
      <c r="C424" s="10">
        <v>46150</v>
      </c>
      <c r="D424" s="15">
        <v>1.0606</v>
      </c>
      <c r="E424" s="15">
        <v>1.0606</v>
      </c>
      <c r="F424" s="15">
        <v>1.0606</v>
      </c>
      <c r="G424" s="11">
        <v>0</v>
      </c>
      <c r="H424" s="9">
        <f>MAX($F$356:F424)</f>
        <v>1.0606</v>
      </c>
      <c r="I424" s="11">
        <f t="shared" si="12"/>
        <v>0</v>
      </c>
      <c r="J424" s="9"/>
      <c r="K424" s="11"/>
      <c r="L424" s="9"/>
      <c r="M424" s="11"/>
      <c r="N424" s="9" t="s">
        <v>1011</v>
      </c>
    </row>
    <row r="425" ht="25" customHeight="1" spans="1:14">
      <c r="A425" s="9" t="s">
        <v>139</v>
      </c>
      <c r="B425" s="9" t="s">
        <v>135</v>
      </c>
      <c r="C425" s="10">
        <v>46153</v>
      </c>
      <c r="D425" s="15">
        <v>1.0609</v>
      </c>
      <c r="E425" s="15">
        <v>1.0609</v>
      </c>
      <c r="F425" s="15">
        <v>1.0609</v>
      </c>
      <c r="G425" s="11">
        <v>0.0003</v>
      </c>
      <c r="H425" s="9">
        <f>MAX($F$356:F425)</f>
        <v>1.0609</v>
      </c>
      <c r="I425" s="11">
        <f t="shared" si="12"/>
        <v>0</v>
      </c>
      <c r="J425" s="9"/>
      <c r="K425" s="11"/>
      <c r="L425" s="9"/>
      <c r="M425" s="11"/>
      <c r="N425" s="9" t="s">
        <v>1011</v>
      </c>
    </row>
    <row r="426" ht="25" customHeight="1" spans="1:14">
      <c r="A426" s="9" t="s">
        <v>139</v>
      </c>
      <c r="B426" s="9" t="s">
        <v>135</v>
      </c>
      <c r="C426" s="10">
        <v>46154</v>
      </c>
      <c r="D426" s="15">
        <v>1.0598</v>
      </c>
      <c r="E426" s="15">
        <v>1.0598</v>
      </c>
      <c r="F426" s="15">
        <v>1.0598</v>
      </c>
      <c r="G426" s="11">
        <v>-0.001</v>
      </c>
      <c r="H426" s="9">
        <f>MAX($F$356:F426)</f>
        <v>1.0609</v>
      </c>
      <c r="I426" s="11">
        <f t="shared" si="12"/>
        <v>0.00103685550004706</v>
      </c>
      <c r="J426" s="9"/>
      <c r="K426" s="11"/>
      <c r="L426" s="9"/>
      <c r="M426" s="11"/>
      <c r="N426" s="9" t="s">
        <v>1011</v>
      </c>
    </row>
    <row r="427" ht="25" customHeight="1" spans="1:14">
      <c r="A427" s="9" t="s">
        <v>139</v>
      </c>
      <c r="B427" s="9" t="s">
        <v>135</v>
      </c>
      <c r="C427" s="10">
        <v>46155</v>
      </c>
      <c r="D427" s="15">
        <v>1.0597</v>
      </c>
      <c r="E427" s="15">
        <v>1.0597</v>
      </c>
      <c r="F427" s="15">
        <v>1.0597</v>
      </c>
      <c r="G427" s="11">
        <v>-0.0001</v>
      </c>
      <c r="H427" s="9">
        <f>MAX($F$356:F427)</f>
        <v>1.0609</v>
      </c>
      <c r="I427" s="11">
        <f t="shared" si="12"/>
        <v>0.00113111509096042</v>
      </c>
      <c r="J427" s="9"/>
      <c r="K427" s="11"/>
      <c r="L427" s="9"/>
      <c r="M427" s="11"/>
      <c r="N427" s="9" t="s">
        <v>1011</v>
      </c>
    </row>
    <row r="428" ht="25" customHeight="1" spans="1:14">
      <c r="A428" s="9" t="s">
        <v>139</v>
      </c>
      <c r="B428" s="9" t="s">
        <v>135</v>
      </c>
      <c r="C428" s="10">
        <v>46156</v>
      </c>
      <c r="D428" s="15">
        <v>1.0597</v>
      </c>
      <c r="E428" s="15">
        <v>1.0597</v>
      </c>
      <c r="F428" s="15">
        <v>1.0597</v>
      </c>
      <c r="G428" s="11">
        <v>0</v>
      </c>
      <c r="H428" s="9">
        <f>MAX($F$356:F428)</f>
        <v>1.0609</v>
      </c>
      <c r="I428" s="11">
        <f t="shared" si="12"/>
        <v>0.00113111509096042</v>
      </c>
      <c r="J428" s="9"/>
      <c r="K428" s="11"/>
      <c r="L428" s="9"/>
      <c r="M428" s="11"/>
      <c r="N428" s="9" t="s">
        <v>1011</v>
      </c>
    </row>
    <row r="429" ht="25" customHeight="1" spans="1:14">
      <c r="A429" s="9" t="s">
        <v>139</v>
      </c>
      <c r="B429" s="9" t="s">
        <v>135</v>
      </c>
      <c r="C429" s="10">
        <v>46157</v>
      </c>
      <c r="D429" s="15">
        <v>1.0597</v>
      </c>
      <c r="E429" s="15">
        <v>1.0597</v>
      </c>
      <c r="F429" s="15">
        <v>1.0597</v>
      </c>
      <c r="G429" s="11">
        <v>0</v>
      </c>
      <c r="H429" s="9">
        <f>MAX($F$356:F429)</f>
        <v>1.0609</v>
      </c>
      <c r="I429" s="11">
        <f t="shared" si="12"/>
        <v>0.00113111509096042</v>
      </c>
      <c r="J429" s="9"/>
      <c r="K429" s="11"/>
      <c r="L429" s="9"/>
      <c r="M429" s="11"/>
      <c r="N429" s="9" t="s">
        <v>1011</v>
      </c>
    </row>
    <row r="430" ht="25" customHeight="1" spans="1:14">
      <c r="A430" s="9" t="s">
        <v>139</v>
      </c>
      <c r="B430" s="9" t="s">
        <v>135</v>
      </c>
      <c r="C430" s="10">
        <v>46160</v>
      </c>
      <c r="D430" s="15">
        <v>1.0604</v>
      </c>
      <c r="E430" s="15">
        <v>1.0604</v>
      </c>
      <c r="F430" s="15">
        <v>1.0604</v>
      </c>
      <c r="G430" s="11">
        <v>0.0007</v>
      </c>
      <c r="H430" s="9">
        <f>MAX($F$356:F430)</f>
        <v>1.0609</v>
      </c>
      <c r="I430" s="11">
        <f t="shared" si="12"/>
        <v>0.000471297954566796</v>
      </c>
      <c r="J430" s="9"/>
      <c r="K430" s="11"/>
      <c r="L430" s="9"/>
      <c r="M430" s="11"/>
      <c r="N430" s="9" t="s">
        <v>1011</v>
      </c>
    </row>
    <row r="431" ht="25" customHeight="1" spans="1:14">
      <c r="A431" s="9" t="s">
        <v>139</v>
      </c>
      <c r="B431" s="9" t="s">
        <v>135</v>
      </c>
      <c r="C431" s="10">
        <v>46161</v>
      </c>
      <c r="D431" s="15">
        <v>1.0607</v>
      </c>
      <c r="E431" s="15">
        <v>1.0607</v>
      </c>
      <c r="F431" s="15">
        <v>1.0607</v>
      </c>
      <c r="G431" s="11">
        <v>0.0003</v>
      </c>
      <c r="H431" s="9">
        <f>MAX($F$356:F431)</f>
        <v>1.0609</v>
      </c>
      <c r="I431" s="11">
        <f t="shared" si="12"/>
        <v>0.000188519181826718</v>
      </c>
      <c r="J431" s="9"/>
      <c r="K431" s="11"/>
      <c r="L431" s="9"/>
      <c r="M431" s="11"/>
      <c r="N431" s="9" t="s">
        <v>1011</v>
      </c>
    </row>
    <row r="432" ht="25" customHeight="1" spans="1:14">
      <c r="A432" s="9" t="s">
        <v>139</v>
      </c>
      <c r="B432" s="9" t="s">
        <v>135</v>
      </c>
      <c r="C432" s="10">
        <v>46162</v>
      </c>
      <c r="D432" s="15">
        <v>1.0635</v>
      </c>
      <c r="E432" s="15">
        <v>1.0635</v>
      </c>
      <c r="F432" s="15">
        <v>1.0635</v>
      </c>
      <c r="G432" s="11">
        <v>0.0026</v>
      </c>
      <c r="H432" s="9">
        <f>MAX($F$356:F432)</f>
        <v>1.0635</v>
      </c>
      <c r="I432" s="11">
        <f t="shared" si="12"/>
        <v>0</v>
      </c>
      <c r="J432" s="9"/>
      <c r="K432" s="11"/>
      <c r="L432" s="9"/>
      <c r="M432" s="11"/>
      <c r="N432" s="9" t="s">
        <v>1011</v>
      </c>
    </row>
    <row r="433" ht="25" customHeight="1" spans="1:14">
      <c r="A433" s="9" t="s">
        <v>139</v>
      </c>
      <c r="B433" s="9" t="s">
        <v>135</v>
      </c>
      <c r="C433" s="10">
        <v>46163</v>
      </c>
      <c r="D433" s="15">
        <v>1.0636</v>
      </c>
      <c r="E433" s="15">
        <v>1.0636</v>
      </c>
      <c r="F433" s="15">
        <v>1.0636</v>
      </c>
      <c r="G433" s="11">
        <v>0.0001</v>
      </c>
      <c r="H433" s="9">
        <f>MAX($F$356:F433)</f>
        <v>1.0636</v>
      </c>
      <c r="I433" s="11">
        <f t="shared" si="12"/>
        <v>0</v>
      </c>
      <c r="J433" s="9"/>
      <c r="K433" s="11"/>
      <c r="L433" s="9"/>
      <c r="M433" s="11"/>
      <c r="N433" s="9" t="s">
        <v>1011</v>
      </c>
    </row>
    <row r="434" ht="25" customHeight="1" spans="1:14">
      <c r="A434" s="9" t="s">
        <v>139</v>
      </c>
      <c r="B434" s="9" t="s">
        <v>135</v>
      </c>
      <c r="C434" s="10">
        <v>46164</v>
      </c>
      <c r="D434" s="15">
        <v>1.064</v>
      </c>
      <c r="E434" s="15">
        <v>1.064</v>
      </c>
      <c r="F434" s="15">
        <v>1.064</v>
      </c>
      <c r="G434" s="11">
        <v>0.0004</v>
      </c>
      <c r="H434" s="9">
        <f>MAX($F$356:F434)</f>
        <v>1.064</v>
      </c>
      <c r="I434" s="11">
        <f t="shared" si="12"/>
        <v>0</v>
      </c>
      <c r="J434" s="9"/>
      <c r="K434" s="11"/>
      <c r="L434" s="9"/>
      <c r="M434" s="11"/>
      <c r="N434" s="9" t="s">
        <v>1011</v>
      </c>
    </row>
    <row r="435" ht="25" customHeight="1" spans="1:14">
      <c r="A435" s="9" t="s">
        <v>139</v>
      </c>
      <c r="B435" s="9" t="s">
        <v>135</v>
      </c>
      <c r="C435" s="10">
        <v>46167</v>
      </c>
      <c r="D435" s="15">
        <v>1.0644</v>
      </c>
      <c r="E435" s="15">
        <v>1.0644</v>
      </c>
      <c r="F435" s="15">
        <v>1.0644</v>
      </c>
      <c r="G435" s="11">
        <v>0.0004</v>
      </c>
      <c r="H435" s="9">
        <f>MAX($F$356:F435)</f>
        <v>1.0644</v>
      </c>
      <c r="I435" s="11">
        <f t="shared" si="12"/>
        <v>0</v>
      </c>
      <c r="J435" s="9"/>
      <c r="K435" s="11"/>
      <c r="L435" s="9"/>
      <c r="M435" s="11"/>
      <c r="N435" s="9" t="s">
        <v>1011</v>
      </c>
    </row>
    <row r="436" ht="25" customHeight="1" spans="1:14">
      <c r="A436" s="9" t="s">
        <v>139</v>
      </c>
      <c r="B436" s="9" t="s">
        <v>135</v>
      </c>
      <c r="C436" s="10">
        <v>46168</v>
      </c>
      <c r="D436" s="15">
        <v>1.0644</v>
      </c>
      <c r="E436" s="15">
        <v>1.0644</v>
      </c>
      <c r="F436" s="15">
        <v>1.0644</v>
      </c>
      <c r="G436" s="11">
        <v>0</v>
      </c>
      <c r="H436" s="9">
        <f>MAX($F$356:F436)</f>
        <v>1.0644</v>
      </c>
      <c r="I436" s="11">
        <f t="shared" si="12"/>
        <v>0</v>
      </c>
      <c r="J436" s="9"/>
      <c r="K436" s="11"/>
      <c r="L436" s="9"/>
      <c r="M436" s="11"/>
      <c r="N436" s="9" t="s">
        <v>1011</v>
      </c>
    </row>
    <row r="437" ht="25" customHeight="1" spans="1:14">
      <c r="A437" s="9" t="s">
        <v>139</v>
      </c>
      <c r="B437" s="9" t="s">
        <v>135</v>
      </c>
      <c r="C437" s="10">
        <v>46169</v>
      </c>
      <c r="D437" s="15">
        <v>1.0644</v>
      </c>
      <c r="E437" s="15">
        <v>1.0644</v>
      </c>
      <c r="F437" s="15">
        <v>1.0644</v>
      </c>
      <c r="G437" s="11">
        <v>0</v>
      </c>
      <c r="H437" s="9">
        <f>MAX($F$356:F437)</f>
        <v>1.0644</v>
      </c>
      <c r="I437" s="11">
        <f t="shared" si="12"/>
        <v>0</v>
      </c>
      <c r="J437" s="9"/>
      <c r="K437" s="11"/>
      <c r="L437" s="9"/>
      <c r="M437" s="11"/>
      <c r="N437" s="9" t="s">
        <v>1011</v>
      </c>
    </row>
    <row r="438" ht="25" customHeight="1" spans="1:14">
      <c r="A438" s="9" t="s">
        <v>139</v>
      </c>
      <c r="B438" s="9" t="s">
        <v>135</v>
      </c>
      <c r="C438" s="10">
        <v>46170</v>
      </c>
      <c r="D438" s="15">
        <v>1.0643</v>
      </c>
      <c r="E438" s="15">
        <v>1.0643</v>
      </c>
      <c r="F438" s="15">
        <v>1.0643</v>
      </c>
      <c r="G438" s="11">
        <v>-0.0001</v>
      </c>
      <c r="H438" s="9">
        <f>MAX($F$356:F438)</f>
        <v>1.0644</v>
      </c>
      <c r="I438" s="11">
        <f t="shared" si="12"/>
        <v>9.39496429913644e-5</v>
      </c>
      <c r="J438" s="9"/>
      <c r="K438" s="11"/>
      <c r="L438" s="9"/>
      <c r="M438" s="11"/>
      <c r="N438" s="9" t="s">
        <v>1011</v>
      </c>
    </row>
    <row r="439" ht="25" customHeight="1" spans="1:14">
      <c r="A439" s="9" t="s">
        <v>139</v>
      </c>
      <c r="B439" s="9" t="s">
        <v>135</v>
      </c>
      <c r="C439" s="10">
        <v>46171</v>
      </c>
      <c r="D439" s="15">
        <v>1.064</v>
      </c>
      <c r="E439" s="15">
        <v>1.064</v>
      </c>
      <c r="F439" s="15">
        <v>1.064</v>
      </c>
      <c r="G439" s="11">
        <v>-0.0003</v>
      </c>
      <c r="H439" s="9">
        <f>MAX($F$356:F439)</f>
        <v>1.0644</v>
      </c>
      <c r="I439" s="11">
        <f t="shared" si="12"/>
        <v>0.000375798571965347</v>
      </c>
      <c r="J439" s="9"/>
      <c r="K439" s="11"/>
      <c r="L439" s="9"/>
      <c r="M439" s="11"/>
      <c r="N439" s="9" t="s">
        <v>1011</v>
      </c>
    </row>
    <row r="440" ht="25" customHeight="1" spans="1:14">
      <c r="A440" s="9" t="s">
        <v>139</v>
      </c>
      <c r="B440" s="9" t="s">
        <v>135</v>
      </c>
      <c r="C440" s="10">
        <v>46174</v>
      </c>
      <c r="D440" s="15">
        <v>1.0642</v>
      </c>
      <c r="E440" s="15">
        <v>1.0642</v>
      </c>
      <c r="F440" s="15">
        <v>1.0642</v>
      </c>
      <c r="G440" s="11">
        <v>0.0002</v>
      </c>
      <c r="H440" s="9">
        <f>MAX($F$356:F440)</f>
        <v>1.0644</v>
      </c>
      <c r="I440" s="11">
        <f t="shared" si="12"/>
        <v>0.000187899285982729</v>
      </c>
      <c r="J440" s="9"/>
      <c r="K440" s="11"/>
      <c r="L440" s="9"/>
      <c r="M440" s="11"/>
      <c r="N440" s="9" t="s">
        <v>1011</v>
      </c>
    </row>
    <row r="441" ht="25" customHeight="1" spans="1:14">
      <c r="A441" s="9" t="s">
        <v>139</v>
      </c>
      <c r="B441" s="9" t="s">
        <v>135</v>
      </c>
      <c r="C441" s="10">
        <v>46175</v>
      </c>
      <c r="D441" s="15">
        <v>1.0637</v>
      </c>
      <c r="E441" s="15">
        <v>1.0637</v>
      </c>
      <c r="F441" s="15">
        <v>1.0637</v>
      </c>
      <c r="G441" s="11">
        <v>-0.0005</v>
      </c>
      <c r="H441" s="9">
        <f>MAX($F$356:F441)</f>
        <v>1.0644</v>
      </c>
      <c r="I441" s="11">
        <f t="shared" si="12"/>
        <v>0.00065764750093944</v>
      </c>
      <c r="J441" s="9"/>
      <c r="K441" s="11"/>
      <c r="L441" s="9"/>
      <c r="M441" s="11"/>
      <c r="N441" s="9" t="s">
        <v>1011</v>
      </c>
    </row>
    <row r="442" ht="25" customHeight="1" spans="1:14">
      <c r="A442" s="9" t="s">
        <v>139</v>
      </c>
      <c r="B442" s="9" t="s">
        <v>135</v>
      </c>
      <c r="C442" s="10">
        <v>46176</v>
      </c>
      <c r="D442" s="15">
        <v>1.0638</v>
      </c>
      <c r="E442" s="15">
        <v>1.0638</v>
      </c>
      <c r="F442" s="15">
        <v>1.0638</v>
      </c>
      <c r="G442" s="11">
        <v>0.0001</v>
      </c>
      <c r="H442" s="9">
        <f>MAX($F$356:F442)</f>
        <v>1.0644</v>
      </c>
      <c r="I442" s="11">
        <f t="shared" si="12"/>
        <v>0.000563697857948076</v>
      </c>
      <c r="J442" s="9"/>
      <c r="K442" s="11"/>
      <c r="L442" s="9"/>
      <c r="M442" s="11"/>
      <c r="N442" s="9" t="s">
        <v>1011</v>
      </c>
    </row>
    <row r="443" ht="25" customHeight="1" spans="1:14">
      <c r="A443" s="9" t="s">
        <v>139</v>
      </c>
      <c r="B443" s="9" t="s">
        <v>135</v>
      </c>
      <c r="C443" s="10">
        <v>46177</v>
      </c>
      <c r="D443" s="15">
        <v>1.0643</v>
      </c>
      <c r="E443" s="15">
        <v>1.0643</v>
      </c>
      <c r="F443" s="15">
        <v>1.0643</v>
      </c>
      <c r="G443" s="11">
        <v>0.0005</v>
      </c>
      <c r="H443" s="9">
        <f>MAX($F$356:F443)</f>
        <v>1.0644</v>
      </c>
      <c r="I443" s="11">
        <f t="shared" si="12"/>
        <v>9.39496429913644e-5</v>
      </c>
      <c r="J443" s="9"/>
      <c r="K443" s="11"/>
      <c r="L443" s="9"/>
      <c r="M443" s="11"/>
      <c r="N443" s="9" t="s">
        <v>1011</v>
      </c>
    </row>
    <row r="444" ht="25" customHeight="1" spans="1:14">
      <c r="A444" s="9" t="s">
        <v>139</v>
      </c>
      <c r="B444" s="9" t="s">
        <v>135</v>
      </c>
      <c r="C444" s="10">
        <v>46178</v>
      </c>
      <c r="D444" s="15">
        <v>1.0641</v>
      </c>
      <c r="E444" s="15">
        <v>1.0641</v>
      </c>
      <c r="F444" s="15">
        <v>1.0641</v>
      </c>
      <c r="G444" s="11">
        <v>-0.0002</v>
      </c>
      <c r="H444" s="9">
        <f>MAX($F$356:F444)</f>
        <v>1.0644</v>
      </c>
      <c r="I444" s="11">
        <f t="shared" si="12"/>
        <v>0.000281848928974093</v>
      </c>
      <c r="J444" s="9"/>
      <c r="K444" s="11"/>
      <c r="L444" s="9"/>
      <c r="M444" s="11"/>
      <c r="N444" s="9" t="s">
        <v>1011</v>
      </c>
    </row>
    <row r="445" ht="25" customHeight="1" spans="1:14">
      <c r="A445" s="9" t="s">
        <v>139</v>
      </c>
      <c r="B445" s="9" t="s">
        <v>135</v>
      </c>
      <c r="C445" s="10">
        <v>46181</v>
      </c>
      <c r="D445" s="15">
        <v>1.0658</v>
      </c>
      <c r="E445" s="15">
        <v>1.0658</v>
      </c>
      <c r="F445" s="15">
        <v>1.0658</v>
      </c>
      <c r="G445" s="11">
        <v>0.0016</v>
      </c>
      <c r="H445" s="9">
        <f>MAX($F$356:F445)</f>
        <v>1.0658</v>
      </c>
      <c r="I445" s="11">
        <f t="shared" si="12"/>
        <v>0</v>
      </c>
      <c r="J445" s="9"/>
      <c r="K445" s="11"/>
      <c r="L445" s="9"/>
      <c r="M445" s="11"/>
      <c r="N445" s="9" t="s">
        <v>1011</v>
      </c>
    </row>
    <row r="446" ht="25" customHeight="1" spans="1:14">
      <c r="A446" s="9" t="s">
        <v>139</v>
      </c>
      <c r="B446" s="9" t="s">
        <v>135</v>
      </c>
      <c r="C446" s="10">
        <v>46182</v>
      </c>
      <c r="D446" s="15">
        <v>1.0629</v>
      </c>
      <c r="E446" s="15">
        <v>1.0629</v>
      </c>
      <c r="F446" s="15">
        <v>1.0629</v>
      </c>
      <c r="G446" s="11">
        <v>-0.0027</v>
      </c>
      <c r="H446" s="9">
        <f>MAX($F$356:F446)</f>
        <v>1.0658</v>
      </c>
      <c r="I446" s="11">
        <f t="shared" si="12"/>
        <v>0.00272096078063433</v>
      </c>
      <c r="J446" s="9"/>
      <c r="K446" s="11"/>
      <c r="L446" s="9"/>
      <c r="M446" s="11"/>
      <c r="N446" s="9" t="s">
        <v>1011</v>
      </c>
    </row>
    <row r="447" ht="25" customHeight="1" spans="1:14">
      <c r="A447" s="9" t="s">
        <v>139</v>
      </c>
      <c r="B447" s="9" t="s">
        <v>135</v>
      </c>
      <c r="C447" s="10">
        <v>46183</v>
      </c>
      <c r="D447" s="15">
        <v>1.0643</v>
      </c>
      <c r="E447" s="15">
        <v>1.0643</v>
      </c>
      <c r="F447" s="15">
        <v>1.0643</v>
      </c>
      <c r="G447" s="11">
        <v>0.0013</v>
      </c>
      <c r="H447" s="9">
        <f>MAX($F$356:F447)</f>
        <v>1.0658</v>
      </c>
      <c r="I447" s="11">
        <f t="shared" si="12"/>
        <v>0.00140739350722463</v>
      </c>
      <c r="J447" s="9"/>
      <c r="K447" s="11"/>
      <c r="L447" s="9"/>
      <c r="M447" s="11"/>
      <c r="N447" s="9" t="s">
        <v>1011</v>
      </c>
    </row>
    <row r="448" ht="25" customHeight="1" spans="1:14">
      <c r="A448" s="9" t="s">
        <v>139</v>
      </c>
      <c r="B448" s="9" t="s">
        <v>135</v>
      </c>
      <c r="C448" s="10">
        <v>46184</v>
      </c>
      <c r="D448" s="15">
        <v>1.0654</v>
      </c>
      <c r="E448" s="15">
        <v>1.0654</v>
      </c>
      <c r="F448" s="15">
        <v>1.0654</v>
      </c>
      <c r="G448" s="11">
        <v>0.001</v>
      </c>
      <c r="H448" s="9">
        <f>MAX($F$356:F448)</f>
        <v>1.0658</v>
      </c>
      <c r="I448" s="11">
        <f t="shared" si="12"/>
        <v>0.000375304935260057</v>
      </c>
      <c r="J448" s="9"/>
      <c r="K448" s="11"/>
      <c r="L448" s="9"/>
      <c r="M448" s="11"/>
      <c r="N448" s="9" t="s">
        <v>1011</v>
      </c>
    </row>
    <row r="449" ht="25" customHeight="1" spans="1:14">
      <c r="A449" s="9" t="s">
        <v>139</v>
      </c>
      <c r="B449" s="9" t="s">
        <v>135</v>
      </c>
      <c r="C449" s="10">
        <v>46185</v>
      </c>
      <c r="D449" s="15">
        <v>1.0658</v>
      </c>
      <c r="E449" s="15">
        <v>1.0658</v>
      </c>
      <c r="F449" s="15">
        <v>1.0658</v>
      </c>
      <c r="G449" s="11">
        <v>0.0004</v>
      </c>
      <c r="H449" s="9">
        <f>MAX($F$356:F449)</f>
        <v>1.0658</v>
      </c>
      <c r="I449" s="11">
        <f t="shared" si="12"/>
        <v>0</v>
      </c>
      <c r="J449" s="9"/>
      <c r="K449" s="11"/>
      <c r="L449" s="9"/>
      <c r="M449" s="11"/>
      <c r="N449" s="9" t="s">
        <v>1011</v>
      </c>
    </row>
    <row r="450" ht="25" customHeight="1" spans="1:14">
      <c r="A450" s="9" t="s">
        <v>139</v>
      </c>
      <c r="B450" s="9" t="s">
        <v>135</v>
      </c>
      <c r="C450" s="10">
        <v>46188</v>
      </c>
      <c r="D450" s="15">
        <v>1.0639</v>
      </c>
      <c r="E450" s="15">
        <v>1.0639</v>
      </c>
      <c r="F450" s="15">
        <v>1.0639</v>
      </c>
      <c r="G450" s="11">
        <v>-0.0018</v>
      </c>
      <c r="H450" s="9">
        <f>MAX($F$356:F450)</f>
        <v>1.0658</v>
      </c>
      <c r="I450" s="11">
        <f t="shared" ref="I450:I513" si="13">1-F450/H450</f>
        <v>0.00178269844248458</v>
      </c>
      <c r="J450" s="9"/>
      <c r="K450" s="11"/>
      <c r="L450" s="9"/>
      <c r="M450" s="11"/>
      <c r="N450" s="9" t="s">
        <v>1011</v>
      </c>
    </row>
    <row r="451" ht="25" customHeight="1" spans="1:14">
      <c r="A451" s="9" t="s">
        <v>139</v>
      </c>
      <c r="B451" s="9" t="s">
        <v>135</v>
      </c>
      <c r="C451" s="10">
        <v>46189</v>
      </c>
      <c r="D451" s="15">
        <v>1.0642</v>
      </c>
      <c r="E451" s="15">
        <v>1.0642</v>
      </c>
      <c r="F451" s="15">
        <v>1.0642</v>
      </c>
      <c r="G451" s="11">
        <v>0.0003</v>
      </c>
      <c r="H451" s="9">
        <f>MAX($F$356:F451)</f>
        <v>1.0658</v>
      </c>
      <c r="I451" s="11">
        <f t="shared" si="13"/>
        <v>0.00150121974103967</v>
      </c>
      <c r="J451" s="9"/>
      <c r="K451" s="11"/>
      <c r="L451" s="9"/>
      <c r="M451" s="11"/>
      <c r="N451" s="9" t="s">
        <v>1011</v>
      </c>
    </row>
    <row r="452" ht="25" customHeight="1" spans="1:14">
      <c r="A452" s="9" t="s">
        <v>139</v>
      </c>
      <c r="B452" s="9" t="s">
        <v>135</v>
      </c>
      <c r="C452" s="10">
        <v>46190</v>
      </c>
      <c r="D452" s="15">
        <v>1.0632</v>
      </c>
      <c r="E452" s="15">
        <v>1.0632</v>
      </c>
      <c r="F452" s="15">
        <v>1.0632</v>
      </c>
      <c r="G452" s="11">
        <v>-0.0009</v>
      </c>
      <c r="H452" s="9">
        <f>MAX($F$356:F452)</f>
        <v>1.0658</v>
      </c>
      <c r="I452" s="11">
        <f t="shared" si="13"/>
        <v>0.00243948207918954</v>
      </c>
      <c r="J452" s="9"/>
      <c r="K452" s="11"/>
      <c r="L452" s="9"/>
      <c r="M452" s="11"/>
      <c r="N452" s="9" t="s">
        <v>1011</v>
      </c>
    </row>
    <row r="453" ht="25" customHeight="1" spans="1:14">
      <c r="A453" s="9" t="s">
        <v>139</v>
      </c>
      <c r="B453" s="9" t="s">
        <v>135</v>
      </c>
      <c r="C453" s="10">
        <v>46191</v>
      </c>
      <c r="D453" s="15">
        <v>1.062</v>
      </c>
      <c r="E453" s="15">
        <v>1.062</v>
      </c>
      <c r="F453" s="15">
        <v>1.062</v>
      </c>
      <c r="G453" s="11">
        <v>-0.0011</v>
      </c>
      <c r="H453" s="9">
        <f>MAX($F$356:F453)</f>
        <v>1.0658</v>
      </c>
      <c r="I453" s="11">
        <f t="shared" si="13"/>
        <v>0.00356539688496904</v>
      </c>
      <c r="J453" s="9"/>
      <c r="K453" s="11"/>
      <c r="L453" s="9"/>
      <c r="M453" s="11"/>
      <c r="N453" s="9" t="s">
        <v>1011</v>
      </c>
    </row>
    <row r="454" ht="25" customHeight="1" spans="1:14">
      <c r="A454" s="9" t="s">
        <v>139</v>
      </c>
      <c r="B454" s="9" t="s">
        <v>135</v>
      </c>
      <c r="C454" s="10">
        <v>46195</v>
      </c>
      <c r="D454" s="15">
        <v>1.0635</v>
      </c>
      <c r="E454" s="15">
        <v>1.0635</v>
      </c>
      <c r="F454" s="15">
        <v>1.0635</v>
      </c>
      <c r="G454" s="11">
        <v>0.0014</v>
      </c>
      <c r="H454" s="9">
        <f>MAX($F$356:F454)</f>
        <v>1.0658</v>
      </c>
      <c r="I454" s="11">
        <f t="shared" si="13"/>
        <v>0.00215800337774463</v>
      </c>
      <c r="J454" s="9"/>
      <c r="K454" s="11"/>
      <c r="L454" s="9"/>
      <c r="M454" s="11"/>
      <c r="N454" s="9" t="s">
        <v>1011</v>
      </c>
    </row>
    <row r="455" ht="25" customHeight="1" spans="1:14">
      <c r="A455" s="9" t="s">
        <v>139</v>
      </c>
      <c r="B455" s="9" t="s">
        <v>135</v>
      </c>
      <c r="C455" s="10">
        <v>46196</v>
      </c>
      <c r="D455" s="15">
        <v>1.0628</v>
      </c>
      <c r="E455" s="15">
        <v>1.0628</v>
      </c>
      <c r="F455" s="15">
        <v>1.0628</v>
      </c>
      <c r="G455" s="11">
        <v>-0.0007</v>
      </c>
      <c r="H455" s="9">
        <f>MAX($F$356:F455)</f>
        <v>1.0658</v>
      </c>
      <c r="I455" s="11">
        <f t="shared" si="13"/>
        <v>0.00281478701444937</v>
      </c>
      <c r="J455" s="9"/>
      <c r="K455" s="11"/>
      <c r="L455" s="9"/>
      <c r="M455" s="11"/>
      <c r="N455" s="9" t="s">
        <v>1011</v>
      </c>
    </row>
    <row r="456" ht="25" customHeight="1" spans="1:14">
      <c r="A456" s="9" t="s">
        <v>139</v>
      </c>
      <c r="B456" s="9" t="s">
        <v>135</v>
      </c>
      <c r="C456" s="10">
        <v>46197</v>
      </c>
      <c r="D456" s="15">
        <v>1.0657</v>
      </c>
      <c r="E456" s="15">
        <v>1.0657</v>
      </c>
      <c r="F456" s="15">
        <v>1.0657</v>
      </c>
      <c r="G456" s="11">
        <v>0.0027</v>
      </c>
      <c r="H456" s="9">
        <f>MAX($F$356:F456)</f>
        <v>1.0658</v>
      </c>
      <c r="I456" s="11">
        <f t="shared" si="13"/>
        <v>9.38262338149309e-5</v>
      </c>
      <c r="J456" s="9"/>
      <c r="K456" s="11"/>
      <c r="L456" s="9"/>
      <c r="M456" s="11"/>
      <c r="N456" s="9" t="s">
        <v>1011</v>
      </c>
    </row>
    <row r="457" ht="25" customHeight="1" spans="1:14">
      <c r="A457" s="9" t="s">
        <v>139</v>
      </c>
      <c r="B457" s="9" t="s">
        <v>135</v>
      </c>
      <c r="C457" s="10">
        <v>46198</v>
      </c>
      <c r="D457" s="15">
        <v>1.0654</v>
      </c>
      <c r="E457" s="15">
        <v>1.0654</v>
      </c>
      <c r="F457" s="15">
        <v>1.0654</v>
      </c>
      <c r="G457" s="11">
        <v>-0.0003</v>
      </c>
      <c r="H457" s="9">
        <f>MAX($F$356:F457)</f>
        <v>1.0658</v>
      </c>
      <c r="I457" s="11">
        <f t="shared" si="13"/>
        <v>0.000375304935260057</v>
      </c>
      <c r="J457" s="9"/>
      <c r="K457" s="11"/>
      <c r="L457" s="9"/>
      <c r="M457" s="11"/>
      <c r="N457" s="9" t="s">
        <v>1011</v>
      </c>
    </row>
    <row r="458" ht="25" customHeight="1" spans="1:14">
      <c r="A458" s="9" t="s">
        <v>139</v>
      </c>
      <c r="B458" s="9" t="s">
        <v>135</v>
      </c>
      <c r="C458" s="10">
        <v>46199</v>
      </c>
      <c r="D458" s="15">
        <v>1.0655</v>
      </c>
      <c r="E458" s="15">
        <v>1.0655</v>
      </c>
      <c r="F458" s="15">
        <v>1.0655</v>
      </c>
      <c r="G458" s="11">
        <v>0.0001</v>
      </c>
      <c r="H458" s="9">
        <f>MAX($F$356:F458)</f>
        <v>1.0658</v>
      </c>
      <c r="I458" s="11">
        <f t="shared" si="13"/>
        <v>0.000281478701445126</v>
      </c>
      <c r="J458" s="9"/>
      <c r="K458" s="11"/>
      <c r="L458" s="9"/>
      <c r="M458" s="11"/>
      <c r="N458" s="9" t="s">
        <v>1011</v>
      </c>
    </row>
    <row r="459" ht="25" customHeight="1" spans="1:14">
      <c r="A459" s="9" t="s">
        <v>139</v>
      </c>
      <c r="B459" s="9" t="s">
        <v>135</v>
      </c>
      <c r="C459" s="10">
        <v>46202</v>
      </c>
      <c r="D459" s="15">
        <v>1.0651</v>
      </c>
      <c r="E459" s="15">
        <v>1.0651</v>
      </c>
      <c r="F459" s="15">
        <v>1.0651</v>
      </c>
      <c r="G459" s="11">
        <v>-0.0004</v>
      </c>
      <c r="H459" s="9">
        <f>MAX($F$356:F459)</f>
        <v>1.0658</v>
      </c>
      <c r="I459" s="11">
        <f t="shared" si="13"/>
        <v>0.000656783636704961</v>
      </c>
      <c r="J459" s="9"/>
      <c r="K459" s="11"/>
      <c r="L459" s="9"/>
      <c r="M459" s="11"/>
      <c r="N459" s="9" t="s">
        <v>1011</v>
      </c>
    </row>
    <row r="460" ht="25" customHeight="1" spans="1:14">
      <c r="A460" s="9" t="s">
        <v>139</v>
      </c>
      <c r="B460" s="9" t="s">
        <v>135</v>
      </c>
      <c r="C460" s="10">
        <v>46203</v>
      </c>
      <c r="D460" s="15">
        <v>1.065</v>
      </c>
      <c r="E460" s="15">
        <v>1.065</v>
      </c>
      <c r="F460" s="15">
        <v>1.065</v>
      </c>
      <c r="G460" s="11">
        <v>-0.0001</v>
      </c>
      <c r="H460" s="9">
        <f>MAX($F$356:F460)</f>
        <v>1.0658</v>
      </c>
      <c r="I460" s="11">
        <f t="shared" si="13"/>
        <v>0.000750609870519892</v>
      </c>
      <c r="J460" s="9"/>
      <c r="K460" s="11"/>
      <c r="L460" s="9"/>
      <c r="M460" s="11"/>
      <c r="N460" s="9" t="s">
        <v>1011</v>
      </c>
    </row>
    <row r="461" ht="25" customHeight="1" spans="1:14">
      <c r="A461" s="9" t="s">
        <v>139</v>
      </c>
      <c r="B461" s="9" t="s">
        <v>135</v>
      </c>
      <c r="C461" s="10">
        <v>46204</v>
      </c>
      <c r="D461" s="15">
        <v>1.0651</v>
      </c>
      <c r="E461" s="15">
        <v>1.0651</v>
      </c>
      <c r="F461" s="15">
        <v>1.0651</v>
      </c>
      <c r="G461" s="11">
        <v>0.0001</v>
      </c>
      <c r="H461" s="9">
        <f>MAX($F$356:F461)</f>
        <v>1.0658</v>
      </c>
      <c r="I461" s="11">
        <f t="shared" si="13"/>
        <v>0.000656783636704961</v>
      </c>
      <c r="J461" s="9"/>
      <c r="K461" s="11"/>
      <c r="L461" s="9"/>
      <c r="M461" s="11"/>
      <c r="N461" s="9" t="s">
        <v>1011</v>
      </c>
    </row>
    <row r="462" ht="25" customHeight="1" spans="1:14">
      <c r="A462" s="9" t="s">
        <v>139</v>
      </c>
      <c r="B462" s="9" t="s">
        <v>135</v>
      </c>
      <c r="C462" s="10">
        <v>46205</v>
      </c>
      <c r="D462" s="15">
        <v>1.0667</v>
      </c>
      <c r="E462" s="15">
        <v>1.0667</v>
      </c>
      <c r="F462" s="15">
        <v>1.0667</v>
      </c>
      <c r="G462" s="11">
        <v>0.0015</v>
      </c>
      <c r="H462" s="9">
        <f>MAX($F$356:F462)</f>
        <v>1.0667</v>
      </c>
      <c r="I462" s="11">
        <f t="shared" si="13"/>
        <v>0</v>
      </c>
      <c r="J462" s="9"/>
      <c r="K462" s="11"/>
      <c r="L462" s="9"/>
      <c r="M462" s="11"/>
      <c r="N462" s="9" t="s">
        <v>1011</v>
      </c>
    </row>
    <row r="463" ht="25" customHeight="1" spans="1:14">
      <c r="A463" s="9" t="s">
        <v>139</v>
      </c>
      <c r="B463" s="9" t="s">
        <v>135</v>
      </c>
      <c r="C463" s="10">
        <v>46206</v>
      </c>
      <c r="D463" s="15">
        <v>1.0664</v>
      </c>
      <c r="E463" s="15">
        <v>1.0664</v>
      </c>
      <c r="F463" s="15">
        <v>1.0664</v>
      </c>
      <c r="G463" s="11">
        <v>-0.0003</v>
      </c>
      <c r="H463" s="9">
        <f>MAX($F$356:F463)</f>
        <v>1.0667</v>
      </c>
      <c r="I463" s="11">
        <f t="shared" si="13"/>
        <v>0.000281241211212091</v>
      </c>
      <c r="J463" s="9"/>
      <c r="K463" s="11"/>
      <c r="L463" s="9"/>
      <c r="M463" s="11"/>
      <c r="N463" s="9" t="s">
        <v>1011</v>
      </c>
    </row>
    <row r="464" ht="25" customHeight="1" spans="1:14">
      <c r="A464" s="9" t="s">
        <v>139</v>
      </c>
      <c r="B464" s="9" t="s">
        <v>135</v>
      </c>
      <c r="C464" s="10">
        <v>46209</v>
      </c>
      <c r="D464" s="15">
        <v>1.0673</v>
      </c>
      <c r="E464" s="15">
        <v>1.0673</v>
      </c>
      <c r="F464" s="15">
        <v>1.0673</v>
      </c>
      <c r="G464" s="11">
        <v>0.0008</v>
      </c>
      <c r="H464" s="9">
        <f>MAX($F$356:F464)</f>
        <v>1.0673</v>
      </c>
      <c r="I464" s="11">
        <f t="shared" si="13"/>
        <v>0</v>
      </c>
      <c r="J464" s="9"/>
      <c r="K464" s="11"/>
      <c r="L464" s="9"/>
      <c r="M464" s="11"/>
      <c r="N464" s="9" t="s">
        <v>1011</v>
      </c>
    </row>
    <row r="465" ht="25" customHeight="1" spans="1:14">
      <c r="A465" s="9" t="s">
        <v>139</v>
      </c>
      <c r="B465" s="9" t="s">
        <v>135</v>
      </c>
      <c r="C465" s="10">
        <v>46210</v>
      </c>
      <c r="D465" s="15">
        <v>1.0672</v>
      </c>
      <c r="E465" s="15">
        <v>1.0672</v>
      </c>
      <c r="F465" s="15">
        <v>1.0672</v>
      </c>
      <c r="G465" s="11">
        <v>-0.0001</v>
      </c>
      <c r="H465" s="9">
        <f>MAX($F$356:F465)</f>
        <v>1.0673</v>
      </c>
      <c r="I465" s="11">
        <f t="shared" si="13"/>
        <v>9.36943689684444e-5</v>
      </c>
      <c r="J465" s="9"/>
      <c r="K465" s="11"/>
      <c r="L465" s="9"/>
      <c r="M465" s="11"/>
      <c r="N465" s="9" t="s">
        <v>1011</v>
      </c>
    </row>
    <row r="466" ht="25" customHeight="1" spans="1:14">
      <c r="A466" s="9" t="s">
        <v>139</v>
      </c>
      <c r="B466" s="9" t="s">
        <v>135</v>
      </c>
      <c r="C466" s="10">
        <v>46211</v>
      </c>
      <c r="D466" s="15">
        <v>1.0677</v>
      </c>
      <c r="E466" s="15">
        <v>1.0677</v>
      </c>
      <c r="F466" s="15">
        <v>1.0677</v>
      </c>
      <c r="G466" s="11">
        <v>0.0005</v>
      </c>
      <c r="H466" s="9">
        <f>MAX($F$356:F466)</f>
        <v>1.0677</v>
      </c>
      <c r="I466" s="11">
        <f t="shared" si="13"/>
        <v>0</v>
      </c>
      <c r="J466" s="9"/>
      <c r="K466" s="11"/>
      <c r="L466" s="9"/>
      <c r="M466" s="11"/>
      <c r="N466" s="9" t="s">
        <v>1011</v>
      </c>
    </row>
    <row r="467" ht="25" customHeight="1" spans="1:14">
      <c r="A467" s="9" t="s">
        <v>139</v>
      </c>
      <c r="B467" s="9" t="s">
        <v>135</v>
      </c>
      <c r="C467" s="10">
        <v>46212</v>
      </c>
      <c r="D467" s="15">
        <v>1.0682</v>
      </c>
      <c r="E467" s="15">
        <v>1.0682</v>
      </c>
      <c r="F467" s="15">
        <v>1.0682</v>
      </c>
      <c r="G467" s="11">
        <v>0.0005</v>
      </c>
      <c r="H467" s="9">
        <f>MAX($F$356:F467)</f>
        <v>1.0682</v>
      </c>
      <c r="I467" s="11">
        <f t="shared" si="13"/>
        <v>0</v>
      </c>
      <c r="J467" s="9"/>
      <c r="K467" s="11"/>
      <c r="L467" s="9"/>
      <c r="M467" s="11"/>
      <c r="N467" s="9" t="s">
        <v>1011</v>
      </c>
    </row>
    <row r="468" ht="25" customHeight="1" spans="1:14">
      <c r="A468" s="9" t="s">
        <v>139</v>
      </c>
      <c r="B468" s="9" t="s">
        <v>135</v>
      </c>
      <c r="C468" s="10">
        <v>46213</v>
      </c>
      <c r="D468" s="15">
        <v>1.0678</v>
      </c>
      <c r="E468" s="15">
        <v>1.0678</v>
      </c>
      <c r="F468" s="15">
        <v>1.0678</v>
      </c>
      <c r="G468" s="11">
        <v>-0.0004</v>
      </c>
      <c r="H468" s="9">
        <f>MAX($F$356:F468)</f>
        <v>1.0682</v>
      </c>
      <c r="I468" s="11">
        <f t="shared" si="13"/>
        <v>0.000374461711289964</v>
      </c>
      <c r="J468" s="9"/>
      <c r="K468" s="11"/>
      <c r="L468" s="9"/>
      <c r="M468" s="11"/>
      <c r="N468" s="9" t="s">
        <v>1011</v>
      </c>
    </row>
    <row r="469" ht="25" customHeight="1" spans="1:14">
      <c r="A469" s="9" t="s">
        <v>139</v>
      </c>
      <c r="B469" s="9" t="s">
        <v>135</v>
      </c>
      <c r="C469" s="10">
        <v>46216</v>
      </c>
      <c r="D469" s="15">
        <v>1.0669</v>
      </c>
      <c r="E469" s="15">
        <v>1.0669</v>
      </c>
      <c r="F469" s="15">
        <v>1.0669</v>
      </c>
      <c r="G469" s="11">
        <v>-0.0008</v>
      </c>
      <c r="H469" s="9">
        <f>MAX($F$356:F469)</f>
        <v>1.0682</v>
      </c>
      <c r="I469" s="11">
        <f t="shared" si="13"/>
        <v>0.0012170005616926</v>
      </c>
      <c r="J469" s="9"/>
      <c r="K469" s="11"/>
      <c r="L469" s="9"/>
      <c r="M469" s="11"/>
      <c r="N469" s="9" t="s">
        <v>1011</v>
      </c>
    </row>
    <row r="470" ht="25" customHeight="1" spans="1:14">
      <c r="A470" s="9" t="s">
        <v>139</v>
      </c>
      <c r="B470" s="9" t="s">
        <v>135</v>
      </c>
      <c r="C470" s="10">
        <v>46217</v>
      </c>
      <c r="D470" s="15">
        <v>1.068</v>
      </c>
      <c r="E470" s="15">
        <v>1.068</v>
      </c>
      <c r="F470" s="15">
        <v>1.068</v>
      </c>
      <c r="G470" s="11">
        <v>0.001</v>
      </c>
      <c r="H470" s="9">
        <f>MAX($F$356:F470)</f>
        <v>1.0682</v>
      </c>
      <c r="I470" s="11">
        <f t="shared" si="13"/>
        <v>0.000187230855644982</v>
      </c>
      <c r="J470" s="9"/>
      <c r="K470" s="11"/>
      <c r="L470" s="9"/>
      <c r="M470" s="11"/>
      <c r="N470" s="9" t="s">
        <v>1011</v>
      </c>
    </row>
    <row r="471" ht="25" customHeight="1" spans="1:14">
      <c r="A471" s="9" t="s">
        <v>139</v>
      </c>
      <c r="B471" s="9" t="s">
        <v>135</v>
      </c>
      <c r="C471" s="10">
        <v>46218</v>
      </c>
      <c r="D471" s="15">
        <v>1.0675</v>
      </c>
      <c r="E471" s="15">
        <v>1.0675</v>
      </c>
      <c r="F471" s="15">
        <v>1.0675</v>
      </c>
      <c r="G471" s="11">
        <v>-0.0005</v>
      </c>
      <c r="H471" s="9">
        <f>MAX($F$356:F471)</f>
        <v>1.0682</v>
      </c>
      <c r="I471" s="11">
        <f t="shared" si="13"/>
        <v>0.000655307994757659</v>
      </c>
      <c r="J471" s="9"/>
      <c r="K471" s="11"/>
      <c r="L471" s="9"/>
      <c r="M471" s="11"/>
      <c r="N471" s="9" t="s">
        <v>1011</v>
      </c>
    </row>
    <row r="472" ht="25" customHeight="1" spans="1:14">
      <c r="A472" s="9" t="s">
        <v>139</v>
      </c>
      <c r="B472" s="9" t="s">
        <v>135</v>
      </c>
      <c r="C472" s="10">
        <v>46219</v>
      </c>
      <c r="D472" s="15">
        <v>1.0674</v>
      </c>
      <c r="E472" s="15">
        <v>1.0674</v>
      </c>
      <c r="F472" s="15">
        <v>1.0674</v>
      </c>
      <c r="G472" s="11">
        <v>-0.0001</v>
      </c>
      <c r="H472" s="9">
        <f>MAX($F$356:F472)</f>
        <v>1.0682</v>
      </c>
      <c r="I472" s="11">
        <f t="shared" si="13"/>
        <v>0.00074892342258015</v>
      </c>
      <c r="J472" s="9"/>
      <c r="K472" s="11"/>
      <c r="L472" s="9"/>
      <c r="M472" s="11"/>
      <c r="N472" s="9" t="s">
        <v>1011</v>
      </c>
    </row>
    <row r="473" ht="25" customHeight="1" spans="1:14">
      <c r="A473" s="9" t="s">
        <v>139</v>
      </c>
      <c r="B473" s="9" t="s">
        <v>135</v>
      </c>
      <c r="C473" s="10">
        <v>46220</v>
      </c>
      <c r="D473" s="15">
        <v>1.0664</v>
      </c>
      <c r="E473" s="15">
        <v>1.0664</v>
      </c>
      <c r="F473" s="15">
        <v>1.0664</v>
      </c>
      <c r="G473" s="11">
        <v>-0.0009</v>
      </c>
      <c r="H473" s="9">
        <f>MAX($F$356:F473)</f>
        <v>1.0682</v>
      </c>
      <c r="I473" s="11">
        <f t="shared" si="13"/>
        <v>0.00168507770080506</v>
      </c>
      <c r="J473" s="9"/>
      <c r="K473" s="11"/>
      <c r="L473" s="9"/>
      <c r="M473" s="11"/>
      <c r="N473" s="9" t="s">
        <v>1011</v>
      </c>
    </row>
    <row r="474" ht="25" customHeight="1" spans="1:14">
      <c r="A474" s="9" t="s">
        <v>139</v>
      </c>
      <c r="B474" s="9" t="s">
        <v>135</v>
      </c>
      <c r="C474" s="10">
        <v>46223</v>
      </c>
      <c r="D474" s="15">
        <v>1.0668</v>
      </c>
      <c r="E474" s="15">
        <v>1.0668</v>
      </c>
      <c r="F474" s="15">
        <v>1.0668</v>
      </c>
      <c r="G474" s="11">
        <v>0.0004</v>
      </c>
      <c r="H474" s="9">
        <f>MAX($F$356:F474)</f>
        <v>1.0682</v>
      </c>
      <c r="I474" s="11">
        <f t="shared" si="13"/>
        <v>0.0013106159895151</v>
      </c>
      <c r="J474" s="9"/>
      <c r="K474" s="11"/>
      <c r="L474" s="9"/>
      <c r="M474" s="11"/>
      <c r="N474" s="9" t="s">
        <v>1011</v>
      </c>
    </row>
    <row r="475" ht="25" customHeight="1" spans="1:14">
      <c r="A475" s="9" t="s">
        <v>139</v>
      </c>
      <c r="B475" s="9" t="s">
        <v>135</v>
      </c>
      <c r="C475" s="10">
        <v>46224</v>
      </c>
      <c r="D475" s="15">
        <v>1.0681</v>
      </c>
      <c r="E475" s="15">
        <v>1.0681</v>
      </c>
      <c r="F475" s="15">
        <v>1.0681</v>
      </c>
      <c r="G475" s="11">
        <v>0.0012</v>
      </c>
      <c r="H475" s="9">
        <f>MAX($F$356:F475)</f>
        <v>1.0682</v>
      </c>
      <c r="I475" s="11">
        <f t="shared" si="13"/>
        <v>9.3615427822491e-5</v>
      </c>
      <c r="J475" s="9"/>
      <c r="K475" s="11"/>
      <c r="L475" s="9"/>
      <c r="M475" s="11"/>
      <c r="N475" s="9" t="s">
        <v>1011</v>
      </c>
    </row>
    <row r="476" ht="25" customHeight="1" spans="1:14">
      <c r="A476" s="9" t="s">
        <v>139</v>
      </c>
      <c r="B476" s="9" t="s">
        <v>135</v>
      </c>
      <c r="C476" s="10">
        <v>46225</v>
      </c>
      <c r="D476" s="15">
        <v>1.0681</v>
      </c>
      <c r="E476" s="15">
        <v>1.0681</v>
      </c>
      <c r="F476" s="15">
        <v>1.0681</v>
      </c>
      <c r="G476" s="11">
        <v>0</v>
      </c>
      <c r="H476" s="9">
        <f>MAX($F$356:F476)</f>
        <v>1.0682</v>
      </c>
      <c r="I476" s="11">
        <f t="shared" si="13"/>
        <v>9.3615427822491e-5</v>
      </c>
      <c r="J476" s="9"/>
      <c r="K476" s="11"/>
      <c r="L476" s="9"/>
      <c r="M476" s="11"/>
      <c r="N476" s="9" t="s">
        <v>1011</v>
      </c>
    </row>
    <row r="477" ht="25" customHeight="1" spans="1:14">
      <c r="A477" s="9" t="s">
        <v>139</v>
      </c>
      <c r="B477" s="9" t="s">
        <v>135</v>
      </c>
      <c r="C477" s="10">
        <v>46226</v>
      </c>
      <c r="D477" s="15">
        <v>1.0671</v>
      </c>
      <c r="E477" s="15">
        <v>1.0671</v>
      </c>
      <c r="F477" s="15">
        <v>1.0671</v>
      </c>
      <c r="G477" s="11">
        <v>-0.0009</v>
      </c>
      <c r="H477" s="9">
        <f>MAX($F$356:F477)</f>
        <v>1.0682</v>
      </c>
      <c r="I477" s="11">
        <f t="shared" si="13"/>
        <v>0.00102976970604762</v>
      </c>
      <c r="J477" s="9"/>
      <c r="K477" s="11"/>
      <c r="L477" s="9"/>
      <c r="M477" s="11"/>
      <c r="N477" s="9" t="s">
        <v>1011</v>
      </c>
    </row>
    <row r="478" ht="25" customHeight="1" spans="1:14">
      <c r="A478" s="9" t="s">
        <v>139</v>
      </c>
      <c r="B478" s="9" t="s">
        <v>135</v>
      </c>
      <c r="C478" s="10">
        <v>46227</v>
      </c>
      <c r="D478" s="15">
        <v>1.0666</v>
      </c>
      <c r="E478" s="15">
        <v>1.0666</v>
      </c>
      <c r="F478" s="15">
        <v>1.0666</v>
      </c>
      <c r="G478" s="11">
        <v>-0.0005</v>
      </c>
      <c r="H478" s="9">
        <f>MAX($F$356:F478)</f>
        <v>1.0682</v>
      </c>
      <c r="I478" s="11">
        <f t="shared" si="13"/>
        <v>0.00149784684516008</v>
      </c>
      <c r="J478" s="9"/>
      <c r="K478" s="11"/>
      <c r="L478" s="9"/>
      <c r="M478" s="11"/>
      <c r="N478" s="9" t="s">
        <v>1011</v>
      </c>
    </row>
    <row r="479" ht="25" customHeight="1" spans="1:14">
      <c r="A479" s="9" t="s">
        <v>139</v>
      </c>
      <c r="B479" s="9" t="s">
        <v>135</v>
      </c>
      <c r="C479" s="10">
        <v>46230</v>
      </c>
      <c r="D479" s="15">
        <v>1.0684</v>
      </c>
      <c r="E479" s="15">
        <v>1.0684</v>
      </c>
      <c r="F479" s="15">
        <v>1.0684</v>
      </c>
      <c r="G479" s="11">
        <v>0.0017</v>
      </c>
      <c r="H479" s="9">
        <f>MAX($F$356:F479)</f>
        <v>1.0684</v>
      </c>
      <c r="I479" s="11">
        <f t="shared" si="13"/>
        <v>0</v>
      </c>
      <c r="J479" s="9"/>
      <c r="K479" s="11"/>
      <c r="L479" s="9"/>
      <c r="M479" s="11"/>
      <c r="N479" s="9" t="s">
        <v>1011</v>
      </c>
    </row>
    <row r="480" ht="25" customHeight="1" spans="1:14">
      <c r="A480" s="9" t="s">
        <v>139</v>
      </c>
      <c r="B480" s="9" t="s">
        <v>135</v>
      </c>
      <c r="C480" s="10">
        <v>46231</v>
      </c>
      <c r="D480" s="15">
        <v>1.0674</v>
      </c>
      <c r="E480" s="15">
        <v>1.0674</v>
      </c>
      <c r="F480" s="15">
        <v>1.0674</v>
      </c>
      <c r="G480" s="11">
        <v>-0.0009</v>
      </c>
      <c r="H480" s="9">
        <f>MAX($F$356:F480)</f>
        <v>1.0684</v>
      </c>
      <c r="I480" s="11">
        <f t="shared" si="13"/>
        <v>0.000935979034069723</v>
      </c>
      <c r="J480" s="9"/>
      <c r="K480" s="11"/>
      <c r="L480" s="9"/>
      <c r="M480" s="11"/>
      <c r="N480" s="9" t="s">
        <v>1011</v>
      </c>
    </row>
    <row r="481" ht="25" customHeight="1" spans="1:14">
      <c r="A481" s="9" t="s">
        <v>139</v>
      </c>
      <c r="B481" s="9" t="s">
        <v>135</v>
      </c>
      <c r="C481" s="10">
        <v>46232</v>
      </c>
      <c r="D481" s="15">
        <v>1.0688</v>
      </c>
      <c r="E481" s="15">
        <v>1.0688</v>
      </c>
      <c r="F481" s="15">
        <v>1.0688</v>
      </c>
      <c r="G481" s="11">
        <v>0.0013</v>
      </c>
      <c r="H481" s="9">
        <f>MAX($F$356:F481)</f>
        <v>1.0688</v>
      </c>
      <c r="I481" s="11">
        <f t="shared" si="13"/>
        <v>0</v>
      </c>
      <c r="J481" s="9"/>
      <c r="K481" s="11"/>
      <c r="L481" s="9"/>
      <c r="M481" s="11"/>
      <c r="N481" s="9" t="s">
        <v>1011</v>
      </c>
    </row>
    <row r="482" ht="25" customHeight="1" spans="1:14">
      <c r="A482" s="9" t="s">
        <v>139</v>
      </c>
      <c r="B482" s="9" t="s">
        <v>135</v>
      </c>
      <c r="C482" s="10">
        <v>46233</v>
      </c>
      <c r="D482" s="15">
        <v>1.0665</v>
      </c>
      <c r="E482" s="15">
        <v>1.0665</v>
      </c>
      <c r="F482" s="15">
        <v>1.0665</v>
      </c>
      <c r="G482" s="11">
        <v>-0.0022</v>
      </c>
      <c r="H482" s="9">
        <f>MAX($F$356:F482)</f>
        <v>1.0688</v>
      </c>
      <c r="I482" s="11">
        <f t="shared" si="13"/>
        <v>0.00215194610778435</v>
      </c>
      <c r="J482" s="9"/>
      <c r="K482" s="11"/>
      <c r="L482" s="9"/>
      <c r="M482" s="11"/>
      <c r="N482" s="9" t="s">
        <v>1011</v>
      </c>
    </row>
    <row r="483" ht="25" customHeight="1" spans="1:14">
      <c r="A483" s="9" t="s">
        <v>139</v>
      </c>
      <c r="B483" s="9" t="s">
        <v>135</v>
      </c>
      <c r="C483" s="10">
        <v>46234</v>
      </c>
      <c r="D483" s="15">
        <v>1.0678</v>
      </c>
      <c r="E483" s="15">
        <v>1.0678</v>
      </c>
      <c r="F483" s="15">
        <v>1.0678</v>
      </c>
      <c r="G483" s="11">
        <v>0.0012</v>
      </c>
      <c r="H483" s="9">
        <f>MAX($F$356:F483)</f>
        <v>1.0688</v>
      </c>
      <c r="I483" s="11">
        <f t="shared" si="13"/>
        <v>0.000935628742514849</v>
      </c>
      <c r="J483" s="9"/>
      <c r="K483" s="11"/>
      <c r="L483" s="9"/>
      <c r="M483" s="11"/>
      <c r="N483" s="9" t="s">
        <v>1011</v>
      </c>
    </row>
    <row r="484" ht="25" customHeight="1" spans="1:14">
      <c r="A484" s="9" t="s">
        <v>139</v>
      </c>
      <c r="B484" s="9" t="s">
        <v>135</v>
      </c>
      <c r="C484" s="10">
        <v>46237</v>
      </c>
      <c r="D484" s="15">
        <v>1.0682</v>
      </c>
      <c r="E484" s="15">
        <v>1.0682</v>
      </c>
      <c r="F484" s="15">
        <v>1.0682</v>
      </c>
      <c r="G484" s="11">
        <v>0.0004</v>
      </c>
      <c r="H484" s="9">
        <f>MAX($F$356:F484)</f>
        <v>1.0688</v>
      </c>
      <c r="I484" s="11">
        <f t="shared" si="13"/>
        <v>0.000561377245508865</v>
      </c>
      <c r="J484" s="9"/>
      <c r="K484" s="11"/>
      <c r="L484" s="9"/>
      <c r="M484" s="11"/>
      <c r="N484" s="9" t="s">
        <v>1011</v>
      </c>
    </row>
    <row r="485" ht="25" customHeight="1" spans="1:14">
      <c r="A485" s="9" t="s">
        <v>139</v>
      </c>
      <c r="B485" s="9" t="s">
        <v>135</v>
      </c>
      <c r="C485" s="10">
        <v>46238</v>
      </c>
      <c r="D485" s="15">
        <v>1.0714</v>
      </c>
      <c r="E485" s="15">
        <v>1.0714</v>
      </c>
      <c r="F485" s="15">
        <v>1.0714</v>
      </c>
      <c r="G485" s="11">
        <v>0.003</v>
      </c>
      <c r="H485" s="9">
        <f>MAX($F$356:F485)</f>
        <v>1.0714</v>
      </c>
      <c r="I485" s="11">
        <f t="shared" si="13"/>
        <v>0</v>
      </c>
      <c r="J485" s="9"/>
      <c r="K485" s="11"/>
      <c r="L485" s="9"/>
      <c r="M485" s="11"/>
      <c r="N485" s="9" t="s">
        <v>1011</v>
      </c>
    </row>
    <row r="486" ht="25" customHeight="1" spans="1:14">
      <c r="A486" s="9" t="s">
        <v>139</v>
      </c>
      <c r="B486" s="9" t="s">
        <v>135</v>
      </c>
      <c r="C486" s="10">
        <v>46239</v>
      </c>
      <c r="D486" s="15">
        <v>1.0751</v>
      </c>
      <c r="E486" s="15">
        <v>1.0751</v>
      </c>
      <c r="F486" s="15">
        <v>1.0751</v>
      </c>
      <c r="G486" s="11">
        <v>0.0035</v>
      </c>
      <c r="H486" s="9">
        <f>MAX($F$356:F486)</f>
        <v>1.0751</v>
      </c>
      <c r="I486" s="11">
        <f t="shared" si="13"/>
        <v>0</v>
      </c>
      <c r="J486" s="9"/>
      <c r="K486" s="11"/>
      <c r="L486" s="9"/>
      <c r="M486" s="11"/>
      <c r="N486" s="9" t="s">
        <v>1011</v>
      </c>
    </row>
    <row r="487" ht="25" customHeight="1" spans="1:14">
      <c r="A487" s="9" t="s">
        <v>139</v>
      </c>
      <c r="B487" s="9" t="s">
        <v>135</v>
      </c>
      <c r="C487" s="10">
        <v>46240</v>
      </c>
      <c r="D487" s="15">
        <v>1.0756</v>
      </c>
      <c r="E487" s="15">
        <v>1.0756</v>
      </c>
      <c r="F487" s="15">
        <v>1.0756</v>
      </c>
      <c r="G487" s="11">
        <v>0.0005</v>
      </c>
      <c r="H487" s="9">
        <f>MAX($F$356:F487)</f>
        <v>1.0756</v>
      </c>
      <c r="I487" s="11">
        <f t="shared" si="13"/>
        <v>0</v>
      </c>
      <c r="J487" s="9"/>
      <c r="K487" s="11"/>
      <c r="L487" s="9"/>
      <c r="M487" s="11"/>
      <c r="N487" s="9" t="s">
        <v>1011</v>
      </c>
    </row>
    <row r="488" ht="25" customHeight="1" spans="1:14">
      <c r="A488" s="9" t="s">
        <v>139</v>
      </c>
      <c r="B488" s="9" t="s">
        <v>135</v>
      </c>
      <c r="C488" s="10">
        <v>46241</v>
      </c>
      <c r="D488" s="15">
        <v>1.077</v>
      </c>
      <c r="E488" s="15">
        <v>1.077</v>
      </c>
      <c r="F488" s="15">
        <v>1.077</v>
      </c>
      <c r="G488" s="11">
        <v>0.0013</v>
      </c>
      <c r="H488" s="9">
        <f>MAX($F$356:F488)</f>
        <v>1.077</v>
      </c>
      <c r="I488" s="11">
        <f t="shared" si="13"/>
        <v>0</v>
      </c>
      <c r="J488" s="9"/>
      <c r="K488" s="11"/>
      <c r="L488" s="9"/>
      <c r="M488" s="11"/>
      <c r="N488" s="9" t="s">
        <v>1011</v>
      </c>
    </row>
    <row r="489" ht="25" customHeight="1" spans="1:14">
      <c r="A489" s="9" t="s">
        <v>139</v>
      </c>
      <c r="B489" s="9" t="s">
        <v>135</v>
      </c>
      <c r="C489" s="10">
        <v>46244</v>
      </c>
      <c r="D489" s="15">
        <v>1.0778</v>
      </c>
      <c r="E489" s="15">
        <v>1.0778</v>
      </c>
      <c r="F489" s="15">
        <v>1.0778</v>
      </c>
      <c r="G489" s="11">
        <v>0.0007</v>
      </c>
      <c r="H489" s="9">
        <f>MAX($F$356:F489)</f>
        <v>1.0778</v>
      </c>
      <c r="I489" s="11">
        <f t="shared" si="13"/>
        <v>0</v>
      </c>
      <c r="J489" s="9"/>
      <c r="K489" s="11"/>
      <c r="L489" s="9"/>
      <c r="M489" s="11"/>
      <c r="N489" s="9" t="s">
        <v>1011</v>
      </c>
    </row>
    <row r="490" ht="25" customHeight="1" spans="1:14">
      <c r="A490" s="9" t="s">
        <v>139</v>
      </c>
      <c r="B490" s="9" t="s">
        <v>135</v>
      </c>
      <c r="C490" s="10">
        <v>46245</v>
      </c>
      <c r="D490" s="15">
        <v>1.0781</v>
      </c>
      <c r="E490" s="15">
        <v>1.0781</v>
      </c>
      <c r="F490" s="15">
        <v>1.0781</v>
      </c>
      <c r="G490" s="11">
        <v>0.0003</v>
      </c>
      <c r="H490" s="9">
        <f>MAX($F$356:F490)</f>
        <v>1.0781</v>
      </c>
      <c r="I490" s="11">
        <f t="shared" si="13"/>
        <v>0</v>
      </c>
      <c r="J490" s="9"/>
      <c r="K490" s="11"/>
      <c r="L490" s="9"/>
      <c r="M490" s="11"/>
      <c r="N490" s="9" t="s">
        <v>1011</v>
      </c>
    </row>
    <row r="491" ht="25" customHeight="1" spans="1:14">
      <c r="A491" s="9" t="s">
        <v>139</v>
      </c>
      <c r="B491" s="9" t="s">
        <v>135</v>
      </c>
      <c r="C491" s="10">
        <v>46246</v>
      </c>
      <c r="D491" s="15">
        <v>1.0807</v>
      </c>
      <c r="E491" s="15">
        <v>1.0807</v>
      </c>
      <c r="F491" s="15">
        <v>1.0807</v>
      </c>
      <c r="G491" s="11">
        <v>0.0024</v>
      </c>
      <c r="H491" s="9">
        <f>MAX($F$356:F491)</f>
        <v>1.0807</v>
      </c>
      <c r="I491" s="11">
        <f t="shared" si="13"/>
        <v>0</v>
      </c>
      <c r="J491" s="9"/>
      <c r="K491" s="11"/>
      <c r="L491" s="9"/>
      <c r="M491" s="11"/>
      <c r="N491" s="9" t="s">
        <v>1011</v>
      </c>
    </row>
    <row r="492" ht="25" customHeight="1" spans="1:14">
      <c r="A492" s="9" t="s">
        <v>139</v>
      </c>
      <c r="B492" s="9" t="s">
        <v>135</v>
      </c>
      <c r="C492" s="10">
        <v>46247</v>
      </c>
      <c r="D492" s="15">
        <v>1.0802</v>
      </c>
      <c r="E492" s="15">
        <v>1.0802</v>
      </c>
      <c r="F492" s="15">
        <v>1.0802</v>
      </c>
      <c r="G492" s="11">
        <v>-0.0005</v>
      </c>
      <c r="H492" s="9">
        <f>MAX($F$356:F492)</f>
        <v>1.0807</v>
      </c>
      <c r="I492" s="11">
        <f t="shared" si="13"/>
        <v>0.000462663088738768</v>
      </c>
      <c r="J492" s="9"/>
      <c r="K492" s="11"/>
      <c r="L492" s="9"/>
      <c r="M492" s="11"/>
      <c r="N492" s="9" t="s">
        <v>1011</v>
      </c>
    </row>
    <row r="493" ht="25" customHeight="1" spans="1:14">
      <c r="A493" s="9" t="s">
        <v>139</v>
      </c>
      <c r="B493" s="9" t="s">
        <v>135</v>
      </c>
      <c r="C493" s="10">
        <v>46248</v>
      </c>
      <c r="D493" s="15">
        <v>1.0808</v>
      </c>
      <c r="E493" s="15">
        <v>1.0808</v>
      </c>
      <c r="F493" s="15">
        <v>1.0808</v>
      </c>
      <c r="G493" s="11">
        <v>0.0006</v>
      </c>
      <c r="H493" s="9">
        <f>MAX($F$356:F493)</f>
        <v>1.0808</v>
      </c>
      <c r="I493" s="11">
        <f t="shared" si="13"/>
        <v>0</v>
      </c>
      <c r="J493" s="9"/>
      <c r="K493" s="11"/>
      <c r="L493" s="9"/>
      <c r="M493" s="11"/>
      <c r="N493" s="9" t="s">
        <v>1011</v>
      </c>
    </row>
    <row r="494" ht="25" customHeight="1" spans="1:14">
      <c r="A494" s="9" t="s">
        <v>139</v>
      </c>
      <c r="B494" s="9" t="s">
        <v>135</v>
      </c>
      <c r="C494" s="10">
        <v>46251</v>
      </c>
      <c r="D494" s="15">
        <v>1.0832</v>
      </c>
      <c r="E494" s="15">
        <v>1.0832</v>
      </c>
      <c r="F494" s="15">
        <v>1.0832</v>
      </c>
      <c r="G494" s="11">
        <v>0.0022</v>
      </c>
      <c r="H494" s="9">
        <f>MAX($F$356:F494)</f>
        <v>1.0832</v>
      </c>
      <c r="I494" s="11">
        <f t="shared" si="13"/>
        <v>0</v>
      </c>
      <c r="J494" s="9"/>
      <c r="K494" s="11"/>
      <c r="L494" s="9"/>
      <c r="M494" s="11"/>
      <c r="N494" s="9" t="s">
        <v>1011</v>
      </c>
    </row>
    <row r="495" ht="25" customHeight="1" spans="1:14">
      <c r="A495" s="9" t="s">
        <v>139</v>
      </c>
      <c r="B495" s="9" t="s">
        <v>135</v>
      </c>
      <c r="C495" s="10">
        <v>46252</v>
      </c>
      <c r="D495" s="15">
        <v>1.083</v>
      </c>
      <c r="E495" s="15">
        <v>1.083</v>
      </c>
      <c r="F495" s="15">
        <v>1.083</v>
      </c>
      <c r="G495" s="11">
        <v>-0.0002</v>
      </c>
      <c r="H495" s="9">
        <f>MAX($F$356:F495)</f>
        <v>1.0832</v>
      </c>
      <c r="I495" s="11">
        <f t="shared" si="13"/>
        <v>0.00018463810930569</v>
      </c>
      <c r="J495" s="9"/>
      <c r="K495" s="11"/>
      <c r="L495" s="9"/>
      <c r="M495" s="11"/>
      <c r="N495" s="9" t="s">
        <v>1011</v>
      </c>
    </row>
    <row r="496" ht="25" customHeight="1" spans="1:14">
      <c r="A496" s="9" t="s">
        <v>139</v>
      </c>
      <c r="B496" s="9" t="s">
        <v>135</v>
      </c>
      <c r="C496" s="10">
        <v>46253</v>
      </c>
      <c r="D496" s="15">
        <v>1.0793</v>
      </c>
      <c r="E496" s="15">
        <v>1.0793</v>
      </c>
      <c r="F496" s="15">
        <v>1.0793</v>
      </c>
      <c r="G496" s="11">
        <v>-0.0034</v>
      </c>
      <c r="H496" s="9">
        <f>MAX($F$356:F496)</f>
        <v>1.0832</v>
      </c>
      <c r="I496" s="11">
        <f t="shared" si="13"/>
        <v>0.00360044313146235</v>
      </c>
      <c r="J496" s="9"/>
      <c r="K496" s="11"/>
      <c r="L496" s="9"/>
      <c r="M496" s="11"/>
      <c r="N496" s="9" t="s">
        <v>1011</v>
      </c>
    </row>
    <row r="497" ht="25" customHeight="1" spans="1:14">
      <c r="A497" s="9" t="s">
        <v>139</v>
      </c>
      <c r="B497" s="9" t="s">
        <v>135</v>
      </c>
      <c r="C497" s="10">
        <v>46254</v>
      </c>
      <c r="D497" s="15">
        <v>1.0792</v>
      </c>
      <c r="E497" s="15">
        <v>1.0792</v>
      </c>
      <c r="F497" s="15">
        <v>1.0792</v>
      </c>
      <c r="G497" s="11">
        <v>-0.0001</v>
      </c>
      <c r="H497" s="9">
        <f>MAX($F$356:F497)</f>
        <v>1.0832</v>
      </c>
      <c r="I497" s="11">
        <f t="shared" si="13"/>
        <v>0.00369276218611525</v>
      </c>
      <c r="J497" s="9"/>
      <c r="K497" s="11"/>
      <c r="L497" s="9"/>
      <c r="M497" s="11"/>
      <c r="N497" s="9" t="s">
        <v>1011</v>
      </c>
    </row>
    <row r="498" ht="25" customHeight="1" spans="1:14">
      <c r="A498" s="9" t="s">
        <v>139</v>
      </c>
      <c r="B498" s="9" t="s">
        <v>135</v>
      </c>
      <c r="C498" s="10">
        <v>46255</v>
      </c>
      <c r="D498" s="15">
        <v>1.0791</v>
      </c>
      <c r="E498" s="15">
        <v>1.0791</v>
      </c>
      <c r="F498" s="15">
        <v>1.0791</v>
      </c>
      <c r="G498" s="11">
        <v>-0.0001</v>
      </c>
      <c r="H498" s="9">
        <f>MAX($F$356:F498)</f>
        <v>1.0832</v>
      </c>
      <c r="I498" s="11">
        <f t="shared" si="13"/>
        <v>0.00378508124076804</v>
      </c>
      <c r="J498" s="9"/>
      <c r="K498" s="11"/>
      <c r="L498" s="9"/>
      <c r="M498" s="11"/>
      <c r="N498" s="9" t="s">
        <v>1011</v>
      </c>
    </row>
    <row r="499" ht="25" customHeight="1" spans="1:14">
      <c r="A499" s="9" t="s">
        <v>139</v>
      </c>
      <c r="B499" s="9" t="s">
        <v>135</v>
      </c>
      <c r="C499" s="10">
        <v>46258</v>
      </c>
      <c r="D499" s="15">
        <v>1.0806</v>
      </c>
      <c r="E499" s="15">
        <v>1.0806</v>
      </c>
      <c r="F499" s="15">
        <v>1.0806</v>
      </c>
      <c r="G499" s="11">
        <v>0.0014</v>
      </c>
      <c r="H499" s="9">
        <f>MAX($F$356:F499)</f>
        <v>1.0832</v>
      </c>
      <c r="I499" s="11">
        <f t="shared" si="13"/>
        <v>0.00240029542097486</v>
      </c>
      <c r="J499" s="9"/>
      <c r="K499" s="11"/>
      <c r="L499" s="9"/>
      <c r="M499" s="11"/>
      <c r="N499" s="9" t="s">
        <v>1011</v>
      </c>
    </row>
    <row r="500" ht="25" customHeight="1" spans="1:14">
      <c r="A500" s="9" t="s">
        <v>139</v>
      </c>
      <c r="B500" s="9" t="s">
        <v>135</v>
      </c>
      <c r="C500" s="10">
        <v>46259</v>
      </c>
      <c r="D500" s="15">
        <v>1.0818</v>
      </c>
      <c r="E500" s="15">
        <v>1.0818</v>
      </c>
      <c r="F500" s="15">
        <v>1.0818</v>
      </c>
      <c r="G500" s="11">
        <v>0.0011</v>
      </c>
      <c r="H500" s="9">
        <f>MAX($F$356:F500)</f>
        <v>1.0832</v>
      </c>
      <c r="I500" s="11">
        <f t="shared" si="13"/>
        <v>0.00129246676514017</v>
      </c>
      <c r="J500" s="9"/>
      <c r="K500" s="11"/>
      <c r="L500" s="9"/>
      <c r="M500" s="11"/>
      <c r="N500" s="9" t="s">
        <v>1011</v>
      </c>
    </row>
    <row r="501" ht="25" customHeight="1" spans="1:14">
      <c r="A501" s="9" t="s">
        <v>139</v>
      </c>
      <c r="B501" s="9" t="s">
        <v>135</v>
      </c>
      <c r="C501" s="10">
        <v>46260</v>
      </c>
      <c r="D501" s="15">
        <v>1.0816</v>
      </c>
      <c r="E501" s="15">
        <v>1.0816</v>
      </c>
      <c r="F501" s="15">
        <v>1.0816</v>
      </c>
      <c r="G501" s="11">
        <v>-0.0002</v>
      </c>
      <c r="H501" s="9">
        <f>MAX($F$356:F501)</f>
        <v>1.0832</v>
      </c>
      <c r="I501" s="11">
        <f t="shared" si="13"/>
        <v>0.00147710487444608</v>
      </c>
      <c r="J501" s="9"/>
      <c r="K501" s="11"/>
      <c r="L501" s="9"/>
      <c r="M501" s="11"/>
      <c r="N501" s="9" t="s">
        <v>1011</v>
      </c>
    </row>
    <row r="502" ht="25" customHeight="1" spans="1:14">
      <c r="A502" s="9" t="s">
        <v>139</v>
      </c>
      <c r="B502" s="9" t="s">
        <v>135</v>
      </c>
      <c r="C502" s="10">
        <v>46261</v>
      </c>
      <c r="D502" s="15">
        <v>1.0832</v>
      </c>
      <c r="E502" s="15">
        <v>1.0832</v>
      </c>
      <c r="F502" s="15">
        <v>1.0832</v>
      </c>
      <c r="G502" s="11">
        <v>0.0015</v>
      </c>
      <c r="H502" s="9">
        <f>MAX($F$356:F502)</f>
        <v>1.0832</v>
      </c>
      <c r="I502" s="11">
        <f t="shared" si="13"/>
        <v>0</v>
      </c>
      <c r="J502" s="9"/>
      <c r="K502" s="11"/>
      <c r="L502" s="9"/>
      <c r="M502" s="11"/>
      <c r="N502" s="9" t="s">
        <v>1011</v>
      </c>
    </row>
    <row r="503" ht="25" customHeight="1" spans="1:14">
      <c r="A503" s="9" t="s">
        <v>139</v>
      </c>
      <c r="B503" s="9" t="s">
        <v>135</v>
      </c>
      <c r="C503" s="10">
        <v>46262</v>
      </c>
      <c r="D503" s="15">
        <v>1.0839</v>
      </c>
      <c r="E503" s="15">
        <v>1.0839</v>
      </c>
      <c r="F503" s="15">
        <v>1.0839</v>
      </c>
      <c r="G503" s="11">
        <v>0.0006</v>
      </c>
      <c r="H503" s="9">
        <f>MAX($F$356:F503)</f>
        <v>1.0839</v>
      </c>
      <c r="I503" s="11">
        <f t="shared" si="13"/>
        <v>0</v>
      </c>
      <c r="J503" s="9"/>
      <c r="K503" s="11"/>
      <c r="L503" s="9"/>
      <c r="M503" s="11"/>
      <c r="N503" s="9" t="s">
        <v>1011</v>
      </c>
    </row>
    <row r="504" ht="25" customHeight="1" spans="1:14">
      <c r="A504" s="9" t="s">
        <v>139</v>
      </c>
      <c r="B504" s="9" t="s">
        <v>135</v>
      </c>
      <c r="C504" s="10">
        <v>46265</v>
      </c>
      <c r="D504" s="15">
        <v>1.0839</v>
      </c>
      <c r="E504" s="15">
        <v>1.0839</v>
      </c>
      <c r="F504" s="15">
        <v>1.0839</v>
      </c>
      <c r="G504" s="11">
        <v>0</v>
      </c>
      <c r="H504" s="9">
        <f>MAX($F$356:F504)</f>
        <v>1.0839</v>
      </c>
      <c r="I504" s="11">
        <f t="shared" si="13"/>
        <v>0</v>
      </c>
      <c r="J504" s="9"/>
      <c r="K504" s="11"/>
      <c r="L504" s="9"/>
      <c r="M504" s="11"/>
      <c r="N504" s="9" t="s">
        <v>1011</v>
      </c>
    </row>
    <row r="505" ht="25" customHeight="1" spans="1:14">
      <c r="A505" s="9" t="s">
        <v>139</v>
      </c>
      <c r="B505" s="9" t="s">
        <v>135</v>
      </c>
      <c r="C505" s="10">
        <v>46266</v>
      </c>
      <c r="D505" s="15">
        <v>1.0841</v>
      </c>
      <c r="E505" s="15">
        <v>1.0841</v>
      </c>
      <c r="F505" s="15">
        <v>1.0841</v>
      </c>
      <c r="G505" s="11">
        <v>0.0002</v>
      </c>
      <c r="H505" s="9">
        <f>MAX($F$356:F505)</f>
        <v>1.0841</v>
      </c>
      <c r="I505" s="11">
        <f t="shared" si="13"/>
        <v>0</v>
      </c>
      <c r="J505" s="9"/>
      <c r="K505" s="11"/>
      <c r="L505" s="9"/>
      <c r="M505" s="11"/>
      <c r="N505" s="9" t="s">
        <v>1011</v>
      </c>
    </row>
    <row r="506" ht="25" customHeight="1" spans="1:14">
      <c r="A506" s="9" t="s">
        <v>139</v>
      </c>
      <c r="B506" s="9" t="s">
        <v>135</v>
      </c>
      <c r="C506" s="10">
        <v>46267</v>
      </c>
      <c r="D506" s="15">
        <v>1.0824</v>
      </c>
      <c r="E506" s="15">
        <v>1.0824</v>
      </c>
      <c r="F506" s="15">
        <v>1.0824</v>
      </c>
      <c r="G506" s="11">
        <v>-0.0016</v>
      </c>
      <c r="H506" s="9">
        <f>MAX($F$356:F506)</f>
        <v>1.0841</v>
      </c>
      <c r="I506" s="11">
        <f t="shared" si="13"/>
        <v>0.00156812102204595</v>
      </c>
      <c r="J506" s="9"/>
      <c r="K506" s="11"/>
      <c r="L506" s="9"/>
      <c r="M506" s="11"/>
      <c r="N506" s="9" t="s">
        <v>1011</v>
      </c>
    </row>
    <row r="507" ht="25" customHeight="1" spans="1:14">
      <c r="A507" s="9" t="s">
        <v>139</v>
      </c>
      <c r="B507" s="9" t="s">
        <v>135</v>
      </c>
      <c r="C507" s="10">
        <v>46268</v>
      </c>
      <c r="D507" s="15">
        <v>1.0835</v>
      </c>
      <c r="E507" s="15">
        <v>1.0835</v>
      </c>
      <c r="F507" s="15">
        <v>1.0835</v>
      </c>
      <c r="G507" s="11">
        <v>0.001</v>
      </c>
      <c r="H507" s="9">
        <f>MAX($F$356:F507)</f>
        <v>1.0841</v>
      </c>
      <c r="I507" s="11">
        <f t="shared" si="13"/>
        <v>0.000553454478369297</v>
      </c>
      <c r="J507" s="9"/>
      <c r="K507" s="11"/>
      <c r="L507" s="9"/>
      <c r="M507" s="11"/>
      <c r="N507" s="9" t="s">
        <v>1011</v>
      </c>
    </row>
    <row r="508" ht="25" customHeight="1" spans="1:14">
      <c r="A508" s="9" t="s">
        <v>139</v>
      </c>
      <c r="B508" s="9" t="s">
        <v>135</v>
      </c>
      <c r="C508" s="10">
        <v>46269</v>
      </c>
      <c r="D508" s="15">
        <v>1.0797</v>
      </c>
      <c r="E508" s="15">
        <v>1.0797</v>
      </c>
      <c r="F508" s="15">
        <v>1.0797</v>
      </c>
      <c r="G508" s="11">
        <v>-0.0035</v>
      </c>
      <c r="H508" s="9">
        <f>MAX($F$356:F508)</f>
        <v>1.0841</v>
      </c>
      <c r="I508" s="11">
        <f t="shared" si="13"/>
        <v>0.00405866617470707</v>
      </c>
      <c r="J508" s="9"/>
      <c r="K508" s="11"/>
      <c r="L508" s="9"/>
      <c r="M508" s="11"/>
      <c r="N508" s="9" t="s">
        <v>1011</v>
      </c>
    </row>
    <row r="509" ht="25" customHeight="1" spans="1:14">
      <c r="A509" s="9" t="s">
        <v>139</v>
      </c>
      <c r="B509" s="9" t="s">
        <v>135</v>
      </c>
      <c r="C509" s="10">
        <v>46272</v>
      </c>
      <c r="D509" s="15">
        <v>1.0845</v>
      </c>
      <c r="E509" s="15">
        <v>1.0845</v>
      </c>
      <c r="F509" s="15">
        <v>1.0845</v>
      </c>
      <c r="G509" s="11">
        <v>0.0044</v>
      </c>
      <c r="H509" s="9">
        <f>MAX($F$356:F509)</f>
        <v>1.0845</v>
      </c>
      <c r="I509" s="11">
        <f t="shared" si="13"/>
        <v>0</v>
      </c>
      <c r="J509" s="9"/>
      <c r="K509" s="11"/>
      <c r="L509" s="9"/>
      <c r="M509" s="11"/>
      <c r="N509" s="9" t="s">
        <v>1011</v>
      </c>
    </row>
    <row r="510" ht="25" customHeight="1" spans="1:14">
      <c r="A510" s="9" t="s">
        <v>139</v>
      </c>
      <c r="B510" s="9" t="s">
        <v>135</v>
      </c>
      <c r="C510" s="10">
        <v>46273</v>
      </c>
      <c r="D510" s="15">
        <v>1.0857</v>
      </c>
      <c r="E510" s="15">
        <v>1.0857</v>
      </c>
      <c r="F510" s="15">
        <v>1.0857</v>
      </c>
      <c r="G510" s="11">
        <v>0.0011</v>
      </c>
      <c r="H510" s="9">
        <f>MAX($F$356:F510)</f>
        <v>1.0857</v>
      </c>
      <c r="I510" s="11">
        <f t="shared" si="13"/>
        <v>0</v>
      </c>
      <c r="J510" s="9"/>
      <c r="K510" s="11"/>
      <c r="L510" s="9"/>
      <c r="M510" s="11"/>
      <c r="N510" s="9" t="s">
        <v>1011</v>
      </c>
    </row>
    <row r="511" ht="25" customHeight="1" spans="1:14">
      <c r="A511" s="9" t="s">
        <v>139</v>
      </c>
      <c r="B511" s="9" t="s">
        <v>135</v>
      </c>
      <c r="C511" s="10">
        <v>46274</v>
      </c>
      <c r="D511" s="15">
        <v>1.0855</v>
      </c>
      <c r="E511" s="15">
        <v>1.0855</v>
      </c>
      <c r="F511" s="15">
        <v>1.0855</v>
      </c>
      <c r="G511" s="11">
        <v>-0.0002</v>
      </c>
      <c r="H511" s="9">
        <f>MAX($F$356:F511)</f>
        <v>1.0857</v>
      </c>
      <c r="I511" s="11">
        <f t="shared" si="13"/>
        <v>0.00018421295017057</v>
      </c>
      <c r="J511" s="9"/>
      <c r="K511" s="11"/>
      <c r="L511" s="9"/>
      <c r="M511" s="11"/>
      <c r="N511" s="9" t="s">
        <v>1011</v>
      </c>
    </row>
    <row r="512" ht="25" customHeight="1" spans="1:14">
      <c r="A512" s="9" t="s">
        <v>139</v>
      </c>
      <c r="B512" s="9" t="s">
        <v>135</v>
      </c>
      <c r="C512" s="10">
        <v>46275</v>
      </c>
      <c r="D512" s="15">
        <v>1.0853</v>
      </c>
      <c r="E512" s="15">
        <v>1.0853</v>
      </c>
      <c r="F512" s="15">
        <v>1.0853</v>
      </c>
      <c r="G512" s="11">
        <v>-0.0002</v>
      </c>
      <c r="H512" s="9">
        <f>MAX($F$356:F512)</f>
        <v>1.0857</v>
      </c>
      <c r="I512" s="11">
        <f t="shared" si="13"/>
        <v>0.000368425900340918</v>
      </c>
      <c r="J512" s="9"/>
      <c r="K512" s="11"/>
      <c r="L512" s="9"/>
      <c r="M512" s="11"/>
      <c r="N512" s="9" t="s">
        <v>1011</v>
      </c>
    </row>
    <row r="513" ht="25" customHeight="1" spans="1:14">
      <c r="A513" s="9" t="s">
        <v>145</v>
      </c>
      <c r="B513" s="9" t="s">
        <v>144</v>
      </c>
      <c r="C513" s="10">
        <v>46066</v>
      </c>
      <c r="D513" s="15">
        <v>1</v>
      </c>
      <c r="E513" s="15">
        <v>1</v>
      </c>
      <c r="F513" s="15">
        <v>1</v>
      </c>
      <c r="G513" s="11"/>
      <c r="H513" s="9">
        <f>MAX($F$513:F513)</f>
        <v>1</v>
      </c>
      <c r="I513" s="11">
        <f t="shared" si="13"/>
        <v>0</v>
      </c>
      <c r="J513" s="9"/>
      <c r="K513" s="11"/>
      <c r="L513" s="9"/>
      <c r="M513" s="11"/>
      <c r="N513" s="9" t="s">
        <v>797</v>
      </c>
    </row>
    <row r="514" ht="25" customHeight="1" spans="1:14">
      <c r="A514" s="9" t="s">
        <v>145</v>
      </c>
      <c r="B514" s="9" t="s">
        <v>144</v>
      </c>
      <c r="C514" s="10">
        <v>46077</v>
      </c>
      <c r="D514" s="15">
        <v>1.0003</v>
      </c>
      <c r="E514" s="15">
        <v>1.0003</v>
      </c>
      <c r="F514" s="15">
        <v>1.0003</v>
      </c>
      <c r="G514" s="11">
        <v>0.0003</v>
      </c>
      <c r="H514" s="9">
        <f>MAX($F$513:F514)</f>
        <v>1.0003</v>
      </c>
      <c r="I514" s="11">
        <f t="shared" ref="I514:I577" si="14">1-F514/H514</f>
        <v>0</v>
      </c>
      <c r="J514" s="9"/>
      <c r="K514" s="11"/>
      <c r="L514" s="9"/>
      <c r="M514" s="11"/>
      <c r="N514" s="9" t="s">
        <v>797</v>
      </c>
    </row>
    <row r="515" ht="25" customHeight="1" spans="1:14">
      <c r="A515" s="9" t="s">
        <v>145</v>
      </c>
      <c r="B515" s="9" t="s">
        <v>144</v>
      </c>
      <c r="C515" s="10">
        <v>46078</v>
      </c>
      <c r="D515" s="15">
        <v>1.0003</v>
      </c>
      <c r="E515" s="15">
        <v>1.0003</v>
      </c>
      <c r="F515" s="15">
        <v>1.0003</v>
      </c>
      <c r="G515" s="11">
        <v>0</v>
      </c>
      <c r="H515" s="9">
        <f>MAX($F$513:F515)</f>
        <v>1.0003</v>
      </c>
      <c r="I515" s="11">
        <f t="shared" si="14"/>
        <v>0</v>
      </c>
      <c r="J515" s="9"/>
      <c r="K515" s="11"/>
      <c r="L515" s="9"/>
      <c r="M515" s="11"/>
      <c r="N515" s="9" t="s">
        <v>797</v>
      </c>
    </row>
    <row r="516" ht="25" customHeight="1" spans="1:14">
      <c r="A516" s="9" t="s">
        <v>145</v>
      </c>
      <c r="B516" s="9" t="s">
        <v>144</v>
      </c>
      <c r="C516" s="10">
        <v>46079</v>
      </c>
      <c r="D516" s="15">
        <v>1.0004</v>
      </c>
      <c r="E516" s="15">
        <v>1.0004</v>
      </c>
      <c r="F516" s="15">
        <v>1.0004</v>
      </c>
      <c r="G516" s="11">
        <v>0.0001</v>
      </c>
      <c r="H516" s="9">
        <f>MAX($F$513:F516)</f>
        <v>1.0004</v>
      </c>
      <c r="I516" s="11">
        <f t="shared" si="14"/>
        <v>0</v>
      </c>
      <c r="J516" s="9"/>
      <c r="K516" s="11"/>
      <c r="L516" s="9"/>
      <c r="M516" s="11"/>
      <c r="N516" s="9" t="s">
        <v>797</v>
      </c>
    </row>
    <row r="517" ht="25" customHeight="1" spans="1:14">
      <c r="A517" s="9" t="s">
        <v>145</v>
      </c>
      <c r="B517" s="9" t="s">
        <v>144</v>
      </c>
      <c r="C517" s="10">
        <v>46080</v>
      </c>
      <c r="D517" s="15">
        <v>1.0004</v>
      </c>
      <c r="E517" s="15">
        <v>1.0004</v>
      </c>
      <c r="F517" s="15">
        <v>1.0004</v>
      </c>
      <c r="G517" s="11">
        <v>0</v>
      </c>
      <c r="H517" s="9">
        <f>MAX($F$513:F517)</f>
        <v>1.0004</v>
      </c>
      <c r="I517" s="11">
        <f t="shared" si="14"/>
        <v>0</v>
      </c>
      <c r="J517" s="9"/>
      <c r="K517" s="11"/>
      <c r="L517" s="9"/>
      <c r="M517" s="11"/>
      <c r="N517" s="9" t="s">
        <v>797</v>
      </c>
    </row>
    <row r="518" ht="25" customHeight="1" spans="1:14">
      <c r="A518" s="9" t="s">
        <v>145</v>
      </c>
      <c r="B518" s="9" t="s">
        <v>144</v>
      </c>
      <c r="C518" s="10">
        <v>46083</v>
      </c>
      <c r="D518" s="15">
        <v>1.0005</v>
      </c>
      <c r="E518" s="15">
        <v>1.0005</v>
      </c>
      <c r="F518" s="15">
        <v>1.0005</v>
      </c>
      <c r="G518" s="11">
        <v>0.0001</v>
      </c>
      <c r="H518" s="9">
        <f>MAX($F$513:F518)</f>
        <v>1.0005</v>
      </c>
      <c r="I518" s="11">
        <f t="shared" si="14"/>
        <v>0</v>
      </c>
      <c r="J518" s="9"/>
      <c r="K518" s="11"/>
      <c r="L518" s="9"/>
      <c r="M518" s="11"/>
      <c r="N518" s="9" t="s">
        <v>797</v>
      </c>
    </row>
    <row r="519" ht="25" customHeight="1" spans="1:14">
      <c r="A519" s="9" t="s">
        <v>145</v>
      </c>
      <c r="B519" s="9" t="s">
        <v>144</v>
      </c>
      <c r="C519" s="10">
        <v>46084</v>
      </c>
      <c r="D519" s="15">
        <v>1.0005</v>
      </c>
      <c r="E519" s="15">
        <v>1.0005</v>
      </c>
      <c r="F519" s="15">
        <v>1.0005</v>
      </c>
      <c r="G519" s="11">
        <v>0</v>
      </c>
      <c r="H519" s="9">
        <f>MAX($F$513:F519)</f>
        <v>1.0005</v>
      </c>
      <c r="I519" s="11">
        <f t="shared" si="14"/>
        <v>0</v>
      </c>
      <c r="J519" s="9"/>
      <c r="K519" s="11"/>
      <c r="L519" s="9"/>
      <c r="M519" s="11"/>
      <c r="N519" s="9" t="s">
        <v>797</v>
      </c>
    </row>
    <row r="520" ht="25" customHeight="1" spans="1:14">
      <c r="A520" s="9" t="s">
        <v>145</v>
      </c>
      <c r="B520" s="9" t="s">
        <v>144</v>
      </c>
      <c r="C520" s="10">
        <v>46085</v>
      </c>
      <c r="D520" s="15">
        <v>1.0005</v>
      </c>
      <c r="E520" s="15">
        <v>1.0005</v>
      </c>
      <c r="F520" s="15">
        <v>1.0005</v>
      </c>
      <c r="G520" s="11">
        <v>0</v>
      </c>
      <c r="H520" s="9">
        <f>MAX($F$513:F520)</f>
        <v>1.0005</v>
      </c>
      <c r="I520" s="11">
        <f t="shared" si="14"/>
        <v>0</v>
      </c>
      <c r="J520" s="9"/>
      <c r="K520" s="11"/>
      <c r="L520" s="9"/>
      <c r="M520" s="11"/>
      <c r="N520" s="9" t="s">
        <v>797</v>
      </c>
    </row>
    <row r="521" ht="25" customHeight="1" spans="1:14">
      <c r="A521" s="9" t="s">
        <v>145</v>
      </c>
      <c r="B521" s="9" t="s">
        <v>144</v>
      </c>
      <c r="C521" s="10">
        <v>46086</v>
      </c>
      <c r="D521" s="15">
        <v>1.0005</v>
      </c>
      <c r="E521" s="15">
        <v>1.0005</v>
      </c>
      <c r="F521" s="15">
        <v>1.0005</v>
      </c>
      <c r="G521" s="11">
        <v>0</v>
      </c>
      <c r="H521" s="9">
        <f>MAX($F$513:F521)</f>
        <v>1.0005</v>
      </c>
      <c r="I521" s="11">
        <f t="shared" si="14"/>
        <v>0</v>
      </c>
      <c r="J521" s="9"/>
      <c r="K521" s="11"/>
      <c r="L521" s="9"/>
      <c r="M521" s="11"/>
      <c r="N521" s="9" t="s">
        <v>797</v>
      </c>
    </row>
    <row r="522" ht="25" customHeight="1" spans="1:14">
      <c r="A522" s="9" t="s">
        <v>145</v>
      </c>
      <c r="B522" s="9" t="s">
        <v>144</v>
      </c>
      <c r="C522" s="10">
        <v>46087</v>
      </c>
      <c r="D522" s="15">
        <v>1.0042</v>
      </c>
      <c r="E522" s="15">
        <v>1.0042</v>
      </c>
      <c r="F522" s="15">
        <v>1.0042</v>
      </c>
      <c r="G522" s="11">
        <v>0.0037</v>
      </c>
      <c r="H522" s="9">
        <f>MAX($F$513:F522)</f>
        <v>1.0042</v>
      </c>
      <c r="I522" s="11">
        <f t="shared" si="14"/>
        <v>0</v>
      </c>
      <c r="J522" s="9"/>
      <c r="K522" s="11"/>
      <c r="L522" s="9"/>
      <c r="M522" s="11"/>
      <c r="N522" s="9" t="s">
        <v>797</v>
      </c>
    </row>
    <row r="523" ht="25" customHeight="1" spans="1:14">
      <c r="A523" s="9" t="s">
        <v>145</v>
      </c>
      <c r="B523" s="9" t="s">
        <v>144</v>
      </c>
      <c r="C523" s="10">
        <v>46090</v>
      </c>
      <c r="D523" s="15">
        <v>1.0058</v>
      </c>
      <c r="E523" s="15">
        <v>1.0058</v>
      </c>
      <c r="F523" s="15">
        <v>1.0058</v>
      </c>
      <c r="G523" s="11">
        <v>0.0016</v>
      </c>
      <c r="H523" s="9">
        <f>MAX($F$513:F523)</f>
        <v>1.0058</v>
      </c>
      <c r="I523" s="11">
        <f t="shared" si="14"/>
        <v>0</v>
      </c>
      <c r="J523" s="9"/>
      <c r="K523" s="11"/>
      <c r="L523" s="9"/>
      <c r="M523" s="11"/>
      <c r="N523" s="9" t="s">
        <v>797</v>
      </c>
    </row>
    <row r="524" ht="25" customHeight="1" spans="1:14">
      <c r="A524" s="9" t="s">
        <v>145</v>
      </c>
      <c r="B524" s="9" t="s">
        <v>144</v>
      </c>
      <c r="C524" s="10">
        <v>46091</v>
      </c>
      <c r="D524" s="15">
        <v>1.0062</v>
      </c>
      <c r="E524" s="15">
        <v>1.0062</v>
      </c>
      <c r="F524" s="15">
        <v>1.0062</v>
      </c>
      <c r="G524" s="11">
        <v>0.0004</v>
      </c>
      <c r="H524" s="9">
        <f>MAX($F$513:F524)</f>
        <v>1.0062</v>
      </c>
      <c r="I524" s="11">
        <f t="shared" si="14"/>
        <v>0</v>
      </c>
      <c r="J524" s="9"/>
      <c r="K524" s="11"/>
      <c r="L524" s="9"/>
      <c r="M524" s="11"/>
      <c r="N524" s="9" t="s">
        <v>797</v>
      </c>
    </row>
    <row r="525" ht="25" customHeight="1" spans="1:14">
      <c r="A525" s="9" t="s">
        <v>145</v>
      </c>
      <c r="B525" s="9" t="s">
        <v>144</v>
      </c>
      <c r="C525" s="10">
        <v>46092</v>
      </c>
      <c r="D525" s="15">
        <v>1.0061</v>
      </c>
      <c r="E525" s="15">
        <v>1.0061</v>
      </c>
      <c r="F525" s="15">
        <v>1.0061</v>
      </c>
      <c r="G525" s="11">
        <v>-0.0001</v>
      </c>
      <c r="H525" s="9">
        <f>MAX($F$513:F525)</f>
        <v>1.0062</v>
      </c>
      <c r="I525" s="11">
        <f t="shared" si="14"/>
        <v>9.93838203140474e-5</v>
      </c>
      <c r="J525" s="9"/>
      <c r="K525" s="11"/>
      <c r="L525" s="9"/>
      <c r="M525" s="11"/>
      <c r="N525" s="9" t="s">
        <v>797</v>
      </c>
    </row>
    <row r="526" ht="25" customHeight="1" spans="1:14">
      <c r="A526" s="9" t="s">
        <v>145</v>
      </c>
      <c r="B526" s="9" t="s">
        <v>144</v>
      </c>
      <c r="C526" s="10">
        <v>46093</v>
      </c>
      <c r="D526" s="15">
        <v>1.009</v>
      </c>
      <c r="E526" s="15">
        <v>1.009</v>
      </c>
      <c r="F526" s="15">
        <v>1.009</v>
      </c>
      <c r="G526" s="11">
        <v>0.0029</v>
      </c>
      <c r="H526" s="9">
        <f>MAX($F$513:F526)</f>
        <v>1.009</v>
      </c>
      <c r="I526" s="11">
        <f t="shared" si="14"/>
        <v>0</v>
      </c>
      <c r="J526" s="9"/>
      <c r="K526" s="11"/>
      <c r="L526" s="9"/>
      <c r="M526" s="11"/>
      <c r="N526" s="9" t="s">
        <v>797</v>
      </c>
    </row>
    <row r="527" ht="25" customHeight="1" spans="1:14">
      <c r="A527" s="9" t="s">
        <v>145</v>
      </c>
      <c r="B527" s="9" t="s">
        <v>144</v>
      </c>
      <c r="C527" s="10">
        <v>46094</v>
      </c>
      <c r="D527" s="15">
        <v>1.0085</v>
      </c>
      <c r="E527" s="15">
        <v>1.0085</v>
      </c>
      <c r="F527" s="15">
        <v>1.0085</v>
      </c>
      <c r="G527" s="11">
        <v>-0.0005</v>
      </c>
      <c r="H527" s="9">
        <f>MAX($F$513:F527)</f>
        <v>1.009</v>
      </c>
      <c r="I527" s="11">
        <f t="shared" si="14"/>
        <v>0.000495540138751194</v>
      </c>
      <c r="J527" s="9"/>
      <c r="K527" s="11"/>
      <c r="L527" s="9"/>
      <c r="M527" s="11"/>
      <c r="N527" s="9" t="s">
        <v>797</v>
      </c>
    </row>
    <row r="528" ht="25" customHeight="1" spans="1:14">
      <c r="A528" s="9" t="s">
        <v>145</v>
      </c>
      <c r="B528" s="9" t="s">
        <v>144</v>
      </c>
      <c r="C528" s="10">
        <v>46097</v>
      </c>
      <c r="D528" s="15">
        <v>1.0107</v>
      </c>
      <c r="E528" s="15">
        <v>1.0107</v>
      </c>
      <c r="F528" s="15">
        <v>1.0107</v>
      </c>
      <c r="G528" s="11">
        <v>0.0022</v>
      </c>
      <c r="H528" s="9">
        <f>MAX($F$513:F528)</f>
        <v>1.0107</v>
      </c>
      <c r="I528" s="11">
        <f t="shared" si="14"/>
        <v>0</v>
      </c>
      <c r="J528" s="9"/>
      <c r="K528" s="11"/>
      <c r="L528" s="9"/>
      <c r="M528" s="11"/>
      <c r="N528" s="9" t="s">
        <v>797</v>
      </c>
    </row>
    <row r="529" ht="25" customHeight="1" spans="1:14">
      <c r="A529" s="9" t="s">
        <v>145</v>
      </c>
      <c r="B529" s="9" t="s">
        <v>144</v>
      </c>
      <c r="C529" s="10">
        <v>46098</v>
      </c>
      <c r="D529" s="15">
        <v>1.0122</v>
      </c>
      <c r="E529" s="15">
        <v>1.0122</v>
      </c>
      <c r="F529" s="15">
        <v>1.0122</v>
      </c>
      <c r="G529" s="11">
        <v>0.0015</v>
      </c>
      <c r="H529" s="9">
        <f>MAX($F$513:F529)</f>
        <v>1.0122</v>
      </c>
      <c r="I529" s="11">
        <f t="shared" si="14"/>
        <v>0</v>
      </c>
      <c r="J529" s="9"/>
      <c r="K529" s="11"/>
      <c r="L529" s="9"/>
      <c r="M529" s="11"/>
      <c r="N529" s="9" t="s">
        <v>797</v>
      </c>
    </row>
    <row r="530" ht="25" customHeight="1" spans="1:14">
      <c r="A530" s="9" t="s">
        <v>145</v>
      </c>
      <c r="B530" s="9" t="s">
        <v>144</v>
      </c>
      <c r="C530" s="10">
        <v>46099</v>
      </c>
      <c r="D530" s="15">
        <v>1.0135</v>
      </c>
      <c r="E530" s="15">
        <v>1.0135</v>
      </c>
      <c r="F530" s="15">
        <v>1.0135</v>
      </c>
      <c r="G530" s="11">
        <v>0.0013</v>
      </c>
      <c r="H530" s="9">
        <f>MAX($F$513:F530)</f>
        <v>1.0135</v>
      </c>
      <c r="I530" s="11">
        <f t="shared" si="14"/>
        <v>0</v>
      </c>
      <c r="J530" s="9"/>
      <c r="K530" s="11"/>
      <c r="L530" s="9"/>
      <c r="M530" s="11"/>
      <c r="N530" s="9" t="s">
        <v>797</v>
      </c>
    </row>
    <row r="531" ht="25" customHeight="1" spans="1:14">
      <c r="A531" s="9" t="s">
        <v>145</v>
      </c>
      <c r="B531" s="9" t="s">
        <v>144</v>
      </c>
      <c r="C531" s="10">
        <v>46100</v>
      </c>
      <c r="D531" s="15">
        <v>1.0153</v>
      </c>
      <c r="E531" s="15">
        <v>1.0153</v>
      </c>
      <c r="F531" s="15">
        <v>1.0153</v>
      </c>
      <c r="G531" s="11">
        <v>0.0018</v>
      </c>
      <c r="H531" s="9">
        <f>MAX($F$513:F531)</f>
        <v>1.0153</v>
      </c>
      <c r="I531" s="11">
        <f t="shared" si="14"/>
        <v>0</v>
      </c>
      <c r="J531" s="9"/>
      <c r="K531" s="11"/>
      <c r="L531" s="9"/>
      <c r="M531" s="11"/>
      <c r="N531" s="9" t="s">
        <v>797</v>
      </c>
    </row>
    <row r="532" ht="25" customHeight="1" spans="1:14">
      <c r="A532" s="9" t="s">
        <v>145</v>
      </c>
      <c r="B532" s="9" t="s">
        <v>144</v>
      </c>
      <c r="C532" s="10">
        <v>46101</v>
      </c>
      <c r="D532" s="15">
        <v>1.0149</v>
      </c>
      <c r="E532" s="15">
        <v>1.0149</v>
      </c>
      <c r="F532" s="15">
        <v>1.0149</v>
      </c>
      <c r="G532" s="11">
        <v>-0.0004</v>
      </c>
      <c r="H532" s="9">
        <f>MAX($F$513:F532)</f>
        <v>1.0153</v>
      </c>
      <c r="I532" s="11">
        <f t="shared" si="14"/>
        <v>0.000393972224958294</v>
      </c>
      <c r="J532" s="9"/>
      <c r="K532" s="11"/>
      <c r="L532" s="9"/>
      <c r="M532" s="11"/>
      <c r="N532" s="9" t="s">
        <v>797</v>
      </c>
    </row>
    <row r="533" ht="25" customHeight="1" spans="1:14">
      <c r="A533" s="9" t="s">
        <v>145</v>
      </c>
      <c r="B533" s="9" t="s">
        <v>144</v>
      </c>
      <c r="C533" s="10">
        <v>46104</v>
      </c>
      <c r="D533" s="15">
        <v>1.0117</v>
      </c>
      <c r="E533" s="15">
        <v>1.0117</v>
      </c>
      <c r="F533" s="15">
        <v>1.0117</v>
      </c>
      <c r="G533" s="11">
        <v>-0.0032</v>
      </c>
      <c r="H533" s="9">
        <f>MAX($F$513:F533)</f>
        <v>1.0153</v>
      </c>
      <c r="I533" s="11">
        <f t="shared" si="14"/>
        <v>0.00354575002462332</v>
      </c>
      <c r="J533" s="9"/>
      <c r="K533" s="11"/>
      <c r="L533" s="9"/>
      <c r="M533" s="11"/>
      <c r="N533" s="9" t="s">
        <v>797</v>
      </c>
    </row>
    <row r="534" ht="25" customHeight="1" spans="1:14">
      <c r="A534" s="9" t="s">
        <v>145</v>
      </c>
      <c r="B534" s="9" t="s">
        <v>144</v>
      </c>
      <c r="C534" s="10">
        <v>46105</v>
      </c>
      <c r="D534" s="15">
        <v>1.0175</v>
      </c>
      <c r="E534" s="15">
        <v>1.0175</v>
      </c>
      <c r="F534" s="15">
        <v>1.0175</v>
      </c>
      <c r="G534" s="11">
        <v>0.0057</v>
      </c>
      <c r="H534" s="9">
        <f>MAX($F$513:F534)</f>
        <v>1.0175</v>
      </c>
      <c r="I534" s="11">
        <f t="shared" si="14"/>
        <v>0</v>
      </c>
      <c r="J534" s="9"/>
      <c r="K534" s="11"/>
      <c r="L534" s="9"/>
      <c r="M534" s="11"/>
      <c r="N534" s="9" t="s">
        <v>797</v>
      </c>
    </row>
    <row r="535" ht="25" customHeight="1" spans="1:14">
      <c r="A535" s="9" t="s">
        <v>145</v>
      </c>
      <c r="B535" s="9" t="s">
        <v>144</v>
      </c>
      <c r="C535" s="10">
        <v>46106</v>
      </c>
      <c r="D535" s="15">
        <v>1.0249</v>
      </c>
      <c r="E535" s="15">
        <v>1.0249</v>
      </c>
      <c r="F535" s="15">
        <v>1.0249</v>
      </c>
      <c r="G535" s="11">
        <v>0.0073</v>
      </c>
      <c r="H535" s="9">
        <f>MAX($F$513:F535)</f>
        <v>1.0249</v>
      </c>
      <c r="I535" s="11">
        <f t="shared" si="14"/>
        <v>0</v>
      </c>
      <c r="J535" s="9"/>
      <c r="K535" s="11"/>
      <c r="L535" s="9"/>
      <c r="M535" s="11"/>
      <c r="N535" s="9" t="s">
        <v>797</v>
      </c>
    </row>
    <row r="536" ht="25" customHeight="1" spans="1:14">
      <c r="A536" s="9" t="s">
        <v>145</v>
      </c>
      <c r="B536" s="9" t="s">
        <v>144</v>
      </c>
      <c r="C536" s="10">
        <v>46107</v>
      </c>
      <c r="D536" s="15">
        <v>1.0247</v>
      </c>
      <c r="E536" s="15">
        <v>1.0247</v>
      </c>
      <c r="F536" s="15">
        <v>1.0247</v>
      </c>
      <c r="G536" s="11">
        <v>-0.0002</v>
      </c>
      <c r="H536" s="9">
        <f>MAX($F$513:F536)</f>
        <v>1.0249</v>
      </c>
      <c r="I536" s="11">
        <f t="shared" si="14"/>
        <v>0.000195140989364795</v>
      </c>
      <c r="J536" s="9"/>
      <c r="K536" s="11"/>
      <c r="L536" s="9"/>
      <c r="M536" s="11"/>
      <c r="N536" s="9" t="s">
        <v>797</v>
      </c>
    </row>
    <row r="537" ht="25" customHeight="1" spans="1:14">
      <c r="A537" s="9" t="s">
        <v>145</v>
      </c>
      <c r="B537" s="9" t="s">
        <v>144</v>
      </c>
      <c r="C537" s="10">
        <v>46108</v>
      </c>
      <c r="D537" s="15">
        <v>1.0253</v>
      </c>
      <c r="E537" s="15">
        <v>1.0253</v>
      </c>
      <c r="F537" s="15">
        <v>1.0253</v>
      </c>
      <c r="G537" s="11">
        <v>0.0006</v>
      </c>
      <c r="H537" s="9">
        <f>MAX($F$513:F537)</f>
        <v>1.0253</v>
      </c>
      <c r="I537" s="11">
        <f t="shared" si="14"/>
        <v>0</v>
      </c>
      <c r="J537" s="9"/>
      <c r="K537" s="11"/>
      <c r="L537" s="9"/>
      <c r="M537" s="11"/>
      <c r="N537" s="9" t="s">
        <v>797</v>
      </c>
    </row>
    <row r="538" ht="25" customHeight="1" spans="1:14">
      <c r="A538" s="9" t="s">
        <v>145</v>
      </c>
      <c r="B538" s="9" t="s">
        <v>144</v>
      </c>
      <c r="C538" s="10">
        <v>46111</v>
      </c>
      <c r="D538" s="15">
        <v>1.0235</v>
      </c>
      <c r="E538" s="15">
        <v>1.0235</v>
      </c>
      <c r="F538" s="15">
        <v>1.0235</v>
      </c>
      <c r="G538" s="11">
        <v>-0.0018</v>
      </c>
      <c r="H538" s="9">
        <f>MAX($F$513:F538)</f>
        <v>1.0253</v>
      </c>
      <c r="I538" s="11">
        <f t="shared" si="14"/>
        <v>0.00175558373159079</v>
      </c>
      <c r="J538" s="9"/>
      <c r="K538" s="11"/>
      <c r="L538" s="9"/>
      <c r="M538" s="11"/>
      <c r="N538" s="9" t="s">
        <v>797</v>
      </c>
    </row>
    <row r="539" ht="25" customHeight="1" spans="1:14">
      <c r="A539" s="9" t="s">
        <v>145</v>
      </c>
      <c r="B539" s="9" t="s">
        <v>144</v>
      </c>
      <c r="C539" s="10">
        <v>46112</v>
      </c>
      <c r="D539" s="15">
        <v>1.0227</v>
      </c>
      <c r="E539" s="15">
        <v>1.0227</v>
      </c>
      <c r="F539" s="15">
        <v>1.0227</v>
      </c>
      <c r="G539" s="11">
        <v>-0.0008</v>
      </c>
      <c r="H539" s="9">
        <f>MAX($F$513:F539)</f>
        <v>1.0253</v>
      </c>
      <c r="I539" s="11">
        <f t="shared" si="14"/>
        <v>0.00253584316785349</v>
      </c>
      <c r="J539" s="9"/>
      <c r="K539" s="11"/>
      <c r="L539" s="9"/>
      <c r="M539" s="11"/>
      <c r="N539" s="9" t="s">
        <v>797</v>
      </c>
    </row>
    <row r="540" ht="25" customHeight="1" spans="1:14">
      <c r="A540" s="9" t="s">
        <v>145</v>
      </c>
      <c r="B540" s="9" t="s">
        <v>144</v>
      </c>
      <c r="C540" s="10">
        <v>46113</v>
      </c>
      <c r="D540" s="15">
        <v>1.0259</v>
      </c>
      <c r="E540" s="15">
        <v>1.0259</v>
      </c>
      <c r="F540" s="15">
        <v>1.0259</v>
      </c>
      <c r="G540" s="11">
        <v>0.0031</v>
      </c>
      <c r="H540" s="9">
        <f>MAX($F$513:F540)</f>
        <v>1.0259</v>
      </c>
      <c r="I540" s="11">
        <f t="shared" si="14"/>
        <v>0</v>
      </c>
      <c r="J540" s="9"/>
      <c r="K540" s="11"/>
      <c r="L540" s="9"/>
      <c r="M540" s="11"/>
      <c r="N540" s="9" t="s">
        <v>797</v>
      </c>
    </row>
    <row r="541" ht="25" customHeight="1" spans="1:14">
      <c r="A541" s="9" t="s">
        <v>145</v>
      </c>
      <c r="B541" s="9" t="s">
        <v>144</v>
      </c>
      <c r="C541" s="10">
        <v>46114</v>
      </c>
      <c r="D541" s="15">
        <v>1.0236</v>
      </c>
      <c r="E541" s="15">
        <v>1.0236</v>
      </c>
      <c r="F541" s="15">
        <v>1.0236</v>
      </c>
      <c r="G541" s="11">
        <v>-0.0022</v>
      </c>
      <c r="H541" s="9">
        <f>MAX($F$513:F541)</f>
        <v>1.0259</v>
      </c>
      <c r="I541" s="11">
        <f t="shared" si="14"/>
        <v>0.00224193391168725</v>
      </c>
      <c r="J541" s="9"/>
      <c r="K541" s="11"/>
      <c r="L541" s="9"/>
      <c r="M541" s="11"/>
      <c r="N541" s="9" t="s">
        <v>797</v>
      </c>
    </row>
    <row r="542" ht="25" customHeight="1" spans="1:14">
      <c r="A542" s="9" t="s">
        <v>145</v>
      </c>
      <c r="B542" s="9" t="s">
        <v>144</v>
      </c>
      <c r="C542" s="10">
        <v>46115</v>
      </c>
      <c r="D542" s="15">
        <v>1.0223</v>
      </c>
      <c r="E542" s="15">
        <v>1.0223</v>
      </c>
      <c r="F542" s="15">
        <v>1.0223</v>
      </c>
      <c r="G542" s="11">
        <v>-0.0013</v>
      </c>
      <c r="H542" s="9">
        <f>MAX($F$513:F542)</f>
        <v>1.0259</v>
      </c>
      <c r="I542" s="11">
        <f t="shared" si="14"/>
        <v>0.00350911394872799</v>
      </c>
      <c r="J542" s="9"/>
      <c r="K542" s="11"/>
      <c r="L542" s="9"/>
      <c r="M542" s="11"/>
      <c r="N542" s="9" t="s">
        <v>797</v>
      </c>
    </row>
    <row r="543" ht="25" customHeight="1" spans="1:14">
      <c r="A543" s="9" t="s">
        <v>145</v>
      </c>
      <c r="B543" s="9" t="s">
        <v>144</v>
      </c>
      <c r="C543" s="10">
        <v>46119</v>
      </c>
      <c r="D543" s="15">
        <v>1.0239</v>
      </c>
      <c r="E543" s="15">
        <v>1.0239</v>
      </c>
      <c r="F543" s="15">
        <v>1.0239</v>
      </c>
      <c r="G543" s="11">
        <v>0.0016</v>
      </c>
      <c r="H543" s="9">
        <f>MAX($F$513:F543)</f>
        <v>1.0259</v>
      </c>
      <c r="I543" s="11">
        <f t="shared" si="14"/>
        <v>0.00194950774929326</v>
      </c>
      <c r="J543" s="9"/>
      <c r="K543" s="11"/>
      <c r="L543" s="9"/>
      <c r="M543" s="11"/>
      <c r="N543" s="9" t="s">
        <v>797</v>
      </c>
    </row>
    <row r="544" ht="25" customHeight="1" spans="1:14">
      <c r="A544" s="9" t="s">
        <v>145</v>
      </c>
      <c r="B544" s="9" t="s">
        <v>144</v>
      </c>
      <c r="C544" s="10">
        <v>46120</v>
      </c>
      <c r="D544" s="15">
        <v>1.0292</v>
      </c>
      <c r="E544" s="15">
        <v>1.0292</v>
      </c>
      <c r="F544" s="15">
        <v>1.0292</v>
      </c>
      <c r="G544" s="11">
        <v>0.0052</v>
      </c>
      <c r="H544" s="9">
        <f>MAX($F$513:F544)</f>
        <v>1.0292</v>
      </c>
      <c r="I544" s="11">
        <f t="shared" si="14"/>
        <v>0</v>
      </c>
      <c r="J544" s="9"/>
      <c r="K544" s="11"/>
      <c r="L544" s="9"/>
      <c r="M544" s="11"/>
      <c r="N544" s="9" t="s">
        <v>797</v>
      </c>
    </row>
    <row r="545" ht="25" customHeight="1" spans="1:14">
      <c r="A545" s="9" t="s">
        <v>145</v>
      </c>
      <c r="B545" s="9" t="s">
        <v>144</v>
      </c>
      <c r="C545" s="10">
        <v>46121</v>
      </c>
      <c r="D545" s="15">
        <v>1.0314</v>
      </c>
      <c r="E545" s="15">
        <v>1.0314</v>
      </c>
      <c r="F545" s="15">
        <v>1.0314</v>
      </c>
      <c r="G545" s="11">
        <v>0.0021</v>
      </c>
      <c r="H545" s="9">
        <f>MAX($F$513:F545)</f>
        <v>1.0314</v>
      </c>
      <c r="I545" s="11">
        <f t="shared" si="14"/>
        <v>0</v>
      </c>
      <c r="J545" s="9"/>
      <c r="K545" s="11"/>
      <c r="L545" s="9"/>
      <c r="M545" s="11"/>
      <c r="N545" s="9" t="s">
        <v>797</v>
      </c>
    </row>
    <row r="546" ht="25" customHeight="1" spans="1:14">
      <c r="A546" s="9" t="s">
        <v>145</v>
      </c>
      <c r="B546" s="9" t="s">
        <v>144</v>
      </c>
      <c r="C546" s="10">
        <v>46122</v>
      </c>
      <c r="D546" s="15">
        <v>1.0312</v>
      </c>
      <c r="E546" s="15">
        <v>1.0312</v>
      </c>
      <c r="F546" s="15">
        <v>1.0312</v>
      </c>
      <c r="G546" s="11">
        <v>-0.0002</v>
      </c>
      <c r="H546" s="9">
        <f>MAX($F$513:F546)</f>
        <v>1.0314</v>
      </c>
      <c r="I546" s="11">
        <f t="shared" si="14"/>
        <v>0.000193911188675733</v>
      </c>
      <c r="J546" s="9"/>
      <c r="K546" s="11"/>
      <c r="L546" s="9"/>
      <c r="M546" s="11"/>
      <c r="N546" s="9" t="s">
        <v>797</v>
      </c>
    </row>
    <row r="547" ht="25" customHeight="1" spans="1:14">
      <c r="A547" s="9" t="s">
        <v>145</v>
      </c>
      <c r="B547" s="9" t="s">
        <v>144</v>
      </c>
      <c r="C547" s="10">
        <v>46125</v>
      </c>
      <c r="D547" s="15">
        <v>1.0325</v>
      </c>
      <c r="E547" s="15">
        <v>1.0325</v>
      </c>
      <c r="F547" s="15">
        <v>1.0325</v>
      </c>
      <c r="G547" s="11">
        <v>0.0013</v>
      </c>
      <c r="H547" s="9">
        <f>MAX($F$513:F547)</f>
        <v>1.0325</v>
      </c>
      <c r="I547" s="11">
        <f t="shared" si="14"/>
        <v>0</v>
      </c>
      <c r="J547" s="9"/>
      <c r="K547" s="11"/>
      <c r="L547" s="9"/>
      <c r="M547" s="11"/>
      <c r="N547" s="9" t="s">
        <v>797</v>
      </c>
    </row>
    <row r="548" ht="25" customHeight="1" spans="1:14">
      <c r="A548" s="9" t="s">
        <v>145</v>
      </c>
      <c r="B548" s="9" t="s">
        <v>144</v>
      </c>
      <c r="C548" s="10">
        <v>46126</v>
      </c>
      <c r="D548" s="15">
        <v>1.032</v>
      </c>
      <c r="E548" s="15">
        <v>1.032</v>
      </c>
      <c r="F548" s="15">
        <v>1.032</v>
      </c>
      <c r="G548" s="11">
        <v>-0.0005</v>
      </c>
      <c r="H548" s="9">
        <f>MAX($F$513:F548)</f>
        <v>1.0325</v>
      </c>
      <c r="I548" s="11">
        <f t="shared" si="14"/>
        <v>0.000484261501210614</v>
      </c>
      <c r="J548" s="9"/>
      <c r="K548" s="11"/>
      <c r="L548" s="9"/>
      <c r="M548" s="11"/>
      <c r="N548" s="9" t="s">
        <v>797</v>
      </c>
    </row>
    <row r="549" ht="25" customHeight="1" spans="1:14">
      <c r="A549" s="9" t="s">
        <v>145</v>
      </c>
      <c r="B549" s="9" t="s">
        <v>144</v>
      </c>
      <c r="C549" s="10">
        <v>46127</v>
      </c>
      <c r="D549" s="15">
        <v>1.0321</v>
      </c>
      <c r="E549" s="15">
        <v>1.0321</v>
      </c>
      <c r="F549" s="15">
        <v>1.0321</v>
      </c>
      <c r="G549" s="11">
        <v>0.0001</v>
      </c>
      <c r="H549" s="9">
        <f>MAX($F$513:F549)</f>
        <v>1.0325</v>
      </c>
      <c r="I549" s="11">
        <f t="shared" si="14"/>
        <v>0.000387409200968469</v>
      </c>
      <c r="J549" s="9"/>
      <c r="K549" s="11"/>
      <c r="L549" s="9"/>
      <c r="M549" s="11"/>
      <c r="N549" s="9" t="s">
        <v>797</v>
      </c>
    </row>
    <row r="550" ht="25" customHeight="1" spans="1:14">
      <c r="A550" s="9" t="s">
        <v>145</v>
      </c>
      <c r="B550" s="9" t="s">
        <v>144</v>
      </c>
      <c r="C550" s="10">
        <v>46128</v>
      </c>
      <c r="D550" s="15">
        <v>1.0323</v>
      </c>
      <c r="E550" s="15">
        <v>1.0323</v>
      </c>
      <c r="F550" s="15">
        <v>1.0323</v>
      </c>
      <c r="G550" s="11">
        <v>0.0002</v>
      </c>
      <c r="H550" s="9">
        <f>MAX($F$513:F550)</f>
        <v>1.0325</v>
      </c>
      <c r="I550" s="11">
        <f t="shared" si="14"/>
        <v>0.00019370460048429</v>
      </c>
      <c r="J550" s="9"/>
      <c r="K550" s="11"/>
      <c r="L550" s="9"/>
      <c r="M550" s="11"/>
      <c r="N550" s="9" t="s">
        <v>797</v>
      </c>
    </row>
    <row r="551" ht="25" customHeight="1" spans="1:14">
      <c r="A551" s="9" t="s">
        <v>145</v>
      </c>
      <c r="B551" s="9" t="s">
        <v>144</v>
      </c>
      <c r="C551" s="10">
        <v>46129</v>
      </c>
      <c r="D551" s="15">
        <v>1.0318</v>
      </c>
      <c r="E551" s="15">
        <v>1.0318</v>
      </c>
      <c r="F551" s="15">
        <v>1.0318</v>
      </c>
      <c r="G551" s="11">
        <v>-0.0005</v>
      </c>
      <c r="H551" s="9">
        <f>MAX($F$513:F551)</f>
        <v>1.0325</v>
      </c>
      <c r="I551" s="11">
        <f t="shared" si="14"/>
        <v>0.000677966101694794</v>
      </c>
      <c r="J551" s="9"/>
      <c r="K551" s="11"/>
      <c r="L551" s="9"/>
      <c r="M551" s="11"/>
      <c r="N551" s="9" t="s">
        <v>797</v>
      </c>
    </row>
    <row r="552" ht="25" customHeight="1" spans="1:14">
      <c r="A552" s="9" t="s">
        <v>145</v>
      </c>
      <c r="B552" s="9" t="s">
        <v>144</v>
      </c>
      <c r="C552" s="10">
        <v>46132</v>
      </c>
      <c r="D552" s="15">
        <v>1.0333</v>
      </c>
      <c r="E552" s="15">
        <v>1.0333</v>
      </c>
      <c r="F552" s="15">
        <v>1.0333</v>
      </c>
      <c r="G552" s="11">
        <v>0.0015</v>
      </c>
      <c r="H552" s="9">
        <f>MAX($F$513:F552)</f>
        <v>1.0333</v>
      </c>
      <c r="I552" s="11">
        <f t="shared" si="14"/>
        <v>0</v>
      </c>
      <c r="J552" s="9"/>
      <c r="K552" s="11"/>
      <c r="L552" s="9"/>
      <c r="M552" s="11"/>
      <c r="N552" s="9" t="s">
        <v>797</v>
      </c>
    </row>
    <row r="553" ht="25" customHeight="1" spans="1:14">
      <c r="A553" s="9" t="s">
        <v>145</v>
      </c>
      <c r="B553" s="9" t="s">
        <v>144</v>
      </c>
      <c r="C553" s="10">
        <v>46133</v>
      </c>
      <c r="D553" s="15">
        <v>1.0341</v>
      </c>
      <c r="E553" s="15">
        <v>1.0341</v>
      </c>
      <c r="F553" s="15">
        <v>1.0341</v>
      </c>
      <c r="G553" s="11">
        <v>0.0008</v>
      </c>
      <c r="H553" s="9">
        <f>MAX($F$513:F553)</f>
        <v>1.0341</v>
      </c>
      <c r="I553" s="11">
        <f t="shared" si="14"/>
        <v>0</v>
      </c>
      <c r="J553" s="9"/>
      <c r="K553" s="11"/>
      <c r="L553" s="9"/>
      <c r="M553" s="11"/>
      <c r="N553" s="9" t="s">
        <v>797</v>
      </c>
    </row>
    <row r="554" ht="25" customHeight="1" spans="1:14">
      <c r="A554" s="9" t="s">
        <v>145</v>
      </c>
      <c r="B554" s="9" t="s">
        <v>144</v>
      </c>
      <c r="C554" s="10">
        <v>46134</v>
      </c>
      <c r="D554" s="15">
        <v>1.0336</v>
      </c>
      <c r="E554" s="15">
        <v>1.0336</v>
      </c>
      <c r="F554" s="15">
        <v>1.0336</v>
      </c>
      <c r="G554" s="11">
        <v>-0.0005</v>
      </c>
      <c r="H554" s="9">
        <f>MAX($F$513:F554)</f>
        <v>1.0341</v>
      </c>
      <c r="I554" s="11">
        <f t="shared" si="14"/>
        <v>0.000483512232859473</v>
      </c>
      <c r="J554" s="9"/>
      <c r="K554" s="11"/>
      <c r="L554" s="9"/>
      <c r="M554" s="11"/>
      <c r="N554" s="9" t="s">
        <v>797</v>
      </c>
    </row>
    <row r="555" ht="25" customHeight="1" spans="1:14">
      <c r="A555" s="9" t="s">
        <v>145</v>
      </c>
      <c r="B555" s="9" t="s">
        <v>144</v>
      </c>
      <c r="C555" s="10">
        <v>46135</v>
      </c>
      <c r="D555" s="15">
        <v>1.0345</v>
      </c>
      <c r="E555" s="15">
        <v>1.0345</v>
      </c>
      <c r="F555" s="15">
        <v>1.0345</v>
      </c>
      <c r="G555" s="11">
        <v>0.0009</v>
      </c>
      <c r="H555" s="9">
        <f>MAX($F$513:F555)</f>
        <v>1.0345</v>
      </c>
      <c r="I555" s="11">
        <f t="shared" si="14"/>
        <v>0</v>
      </c>
      <c r="J555" s="9"/>
      <c r="K555" s="11"/>
      <c r="L555" s="9"/>
      <c r="M555" s="11"/>
      <c r="N555" s="9" t="s">
        <v>797</v>
      </c>
    </row>
    <row r="556" ht="25" customHeight="1" spans="1:14">
      <c r="A556" s="9" t="s">
        <v>145</v>
      </c>
      <c r="B556" s="9" t="s">
        <v>144</v>
      </c>
      <c r="C556" s="10">
        <v>46136</v>
      </c>
      <c r="D556" s="15">
        <v>1.0351</v>
      </c>
      <c r="E556" s="15">
        <v>1.0351</v>
      </c>
      <c r="F556" s="15">
        <v>1.0351</v>
      </c>
      <c r="G556" s="11">
        <v>0.0006</v>
      </c>
      <c r="H556" s="9">
        <f>MAX($F$513:F556)</f>
        <v>1.0351</v>
      </c>
      <c r="I556" s="11">
        <f t="shared" si="14"/>
        <v>0</v>
      </c>
      <c r="J556" s="9"/>
      <c r="K556" s="11"/>
      <c r="L556" s="9"/>
      <c r="M556" s="11"/>
      <c r="N556" s="9" t="s">
        <v>797</v>
      </c>
    </row>
    <row r="557" ht="25" customHeight="1" spans="1:14">
      <c r="A557" s="9" t="s">
        <v>145</v>
      </c>
      <c r="B557" s="9" t="s">
        <v>144</v>
      </c>
      <c r="C557" s="10">
        <v>46139</v>
      </c>
      <c r="D557" s="15">
        <v>1.0355</v>
      </c>
      <c r="E557" s="15">
        <v>1.0355</v>
      </c>
      <c r="F557" s="15">
        <v>1.0355</v>
      </c>
      <c r="G557" s="11">
        <v>0.0004</v>
      </c>
      <c r="H557" s="9">
        <f>MAX($F$513:F557)</f>
        <v>1.0355</v>
      </c>
      <c r="I557" s="11">
        <f t="shared" si="14"/>
        <v>0</v>
      </c>
      <c r="J557" s="9"/>
      <c r="K557" s="11"/>
      <c r="L557" s="9"/>
      <c r="M557" s="11"/>
      <c r="N557" s="9" t="s">
        <v>797</v>
      </c>
    </row>
    <row r="558" ht="25" customHeight="1" spans="1:14">
      <c r="A558" s="9" t="s">
        <v>145</v>
      </c>
      <c r="B558" s="9" t="s">
        <v>144</v>
      </c>
      <c r="C558" s="10">
        <v>46140</v>
      </c>
      <c r="D558" s="15">
        <v>1.036</v>
      </c>
      <c r="E558" s="15">
        <v>1.036</v>
      </c>
      <c r="F558" s="15">
        <v>1.036</v>
      </c>
      <c r="G558" s="11">
        <v>0.0005</v>
      </c>
      <c r="H558" s="9">
        <f>MAX($F$513:F558)</f>
        <v>1.036</v>
      </c>
      <c r="I558" s="11">
        <f t="shared" si="14"/>
        <v>0</v>
      </c>
      <c r="J558" s="9"/>
      <c r="K558" s="11"/>
      <c r="L558" s="9"/>
      <c r="M558" s="11"/>
      <c r="N558" s="9" t="s">
        <v>797</v>
      </c>
    </row>
    <row r="559" ht="25" customHeight="1" spans="1:14">
      <c r="A559" s="9" t="s">
        <v>145</v>
      </c>
      <c r="B559" s="9" t="s">
        <v>144</v>
      </c>
      <c r="C559" s="10">
        <v>46141</v>
      </c>
      <c r="D559" s="15">
        <v>1.0365</v>
      </c>
      <c r="E559" s="15">
        <v>1.0365</v>
      </c>
      <c r="F559" s="15">
        <v>1.0365</v>
      </c>
      <c r="G559" s="11">
        <v>0.0005</v>
      </c>
      <c r="H559" s="9">
        <f>MAX($F$513:F559)</f>
        <v>1.0365</v>
      </c>
      <c r="I559" s="11">
        <f t="shared" si="14"/>
        <v>0</v>
      </c>
      <c r="J559" s="9"/>
      <c r="K559" s="11"/>
      <c r="L559" s="9"/>
      <c r="M559" s="11"/>
      <c r="N559" s="9" t="s">
        <v>797</v>
      </c>
    </row>
    <row r="560" ht="25" customHeight="1" spans="1:14">
      <c r="A560" s="9" t="s">
        <v>145</v>
      </c>
      <c r="B560" s="9" t="s">
        <v>144</v>
      </c>
      <c r="C560" s="10">
        <v>46142</v>
      </c>
      <c r="D560" s="15">
        <v>1.036</v>
      </c>
      <c r="E560" s="15">
        <v>1.036</v>
      </c>
      <c r="F560" s="15">
        <v>1.036</v>
      </c>
      <c r="G560" s="11">
        <v>-0.0005</v>
      </c>
      <c r="H560" s="9">
        <f>MAX($F$513:F560)</f>
        <v>1.0365</v>
      </c>
      <c r="I560" s="11">
        <f t="shared" si="14"/>
        <v>0.000482392667631393</v>
      </c>
      <c r="J560" s="9"/>
      <c r="K560" s="11"/>
      <c r="L560" s="9"/>
      <c r="M560" s="11"/>
      <c r="N560" s="9" t="s">
        <v>797</v>
      </c>
    </row>
    <row r="561" ht="25" customHeight="1" spans="1:14">
      <c r="A561" s="9" t="s">
        <v>145</v>
      </c>
      <c r="B561" s="9" t="s">
        <v>144</v>
      </c>
      <c r="C561" s="10">
        <v>46148</v>
      </c>
      <c r="D561" s="15">
        <v>1.0382</v>
      </c>
      <c r="E561" s="15">
        <v>1.0382</v>
      </c>
      <c r="F561" s="15">
        <v>1.0382</v>
      </c>
      <c r="G561" s="11">
        <v>0.0021</v>
      </c>
      <c r="H561" s="9">
        <f>MAX($F$513:F561)</f>
        <v>1.0382</v>
      </c>
      <c r="I561" s="11">
        <f t="shared" si="14"/>
        <v>0</v>
      </c>
      <c r="J561" s="9"/>
      <c r="K561" s="11"/>
      <c r="L561" s="9"/>
      <c r="M561" s="11"/>
      <c r="N561" s="9" t="s">
        <v>797</v>
      </c>
    </row>
    <row r="562" ht="25" customHeight="1" spans="1:14">
      <c r="A562" s="9" t="s">
        <v>145</v>
      </c>
      <c r="B562" s="9" t="s">
        <v>144</v>
      </c>
      <c r="C562" s="10">
        <v>46149</v>
      </c>
      <c r="D562" s="15">
        <v>1.0382</v>
      </c>
      <c r="E562" s="15">
        <v>1.0382</v>
      </c>
      <c r="F562" s="15">
        <v>1.0382</v>
      </c>
      <c r="G562" s="11">
        <v>0</v>
      </c>
      <c r="H562" s="9">
        <f>MAX($F$513:F562)</f>
        <v>1.0382</v>
      </c>
      <c r="I562" s="11">
        <f t="shared" si="14"/>
        <v>0</v>
      </c>
      <c r="J562" s="9"/>
      <c r="K562" s="11"/>
      <c r="L562" s="9"/>
      <c r="M562" s="11"/>
      <c r="N562" s="9" t="s">
        <v>797</v>
      </c>
    </row>
    <row r="563" ht="25" customHeight="1" spans="1:14">
      <c r="A563" s="9" t="s">
        <v>145</v>
      </c>
      <c r="B563" s="9" t="s">
        <v>144</v>
      </c>
      <c r="C563" s="10">
        <v>46150</v>
      </c>
      <c r="D563" s="15">
        <v>1.0377</v>
      </c>
      <c r="E563" s="15">
        <v>1.0377</v>
      </c>
      <c r="F563" s="15">
        <v>1.0377</v>
      </c>
      <c r="G563" s="11">
        <v>-0.0005</v>
      </c>
      <c r="H563" s="9">
        <f>MAX($F$513:F563)</f>
        <v>1.0382</v>
      </c>
      <c r="I563" s="11">
        <f t="shared" si="14"/>
        <v>0.000481602774031975</v>
      </c>
      <c r="J563" s="9"/>
      <c r="K563" s="11"/>
      <c r="L563" s="9"/>
      <c r="M563" s="11"/>
      <c r="N563" s="9" t="s">
        <v>797</v>
      </c>
    </row>
    <row r="564" ht="25" customHeight="1" spans="1:14">
      <c r="A564" s="9" t="s">
        <v>145</v>
      </c>
      <c r="B564" s="9" t="s">
        <v>144</v>
      </c>
      <c r="C564" s="10">
        <v>46153</v>
      </c>
      <c r="D564" s="15">
        <v>1.0377</v>
      </c>
      <c r="E564" s="15">
        <v>1.0377</v>
      </c>
      <c r="F564" s="15">
        <v>1.0377</v>
      </c>
      <c r="G564" s="11">
        <v>0</v>
      </c>
      <c r="H564" s="9">
        <f>MAX($F$513:F564)</f>
        <v>1.0382</v>
      </c>
      <c r="I564" s="11">
        <f t="shared" si="14"/>
        <v>0.000481602774031975</v>
      </c>
      <c r="J564" s="9"/>
      <c r="K564" s="11"/>
      <c r="L564" s="9"/>
      <c r="M564" s="11"/>
      <c r="N564" s="9" t="s">
        <v>797</v>
      </c>
    </row>
    <row r="565" ht="25" customHeight="1" spans="1:14">
      <c r="A565" s="9" t="s">
        <v>145</v>
      </c>
      <c r="B565" s="9" t="s">
        <v>144</v>
      </c>
      <c r="C565" s="10">
        <v>46154</v>
      </c>
      <c r="D565" s="15">
        <v>1.0375</v>
      </c>
      <c r="E565" s="15">
        <v>1.0375</v>
      </c>
      <c r="F565" s="15">
        <v>1.0375</v>
      </c>
      <c r="G565" s="11">
        <v>-0.0002</v>
      </c>
      <c r="H565" s="9">
        <f>MAX($F$513:F565)</f>
        <v>1.0382</v>
      </c>
      <c r="I565" s="11">
        <f t="shared" si="14"/>
        <v>0.000674243883644676</v>
      </c>
      <c r="J565" s="9"/>
      <c r="K565" s="11"/>
      <c r="L565" s="9"/>
      <c r="M565" s="11"/>
      <c r="N565" s="9" t="s">
        <v>797</v>
      </c>
    </row>
    <row r="566" ht="25" customHeight="1" spans="1:14">
      <c r="A566" s="9" t="s">
        <v>145</v>
      </c>
      <c r="B566" s="9" t="s">
        <v>144</v>
      </c>
      <c r="C566" s="10">
        <v>46155</v>
      </c>
      <c r="D566" s="15">
        <v>1.0383</v>
      </c>
      <c r="E566" s="15">
        <v>1.0383</v>
      </c>
      <c r="F566" s="15">
        <v>1.0383</v>
      </c>
      <c r="G566" s="11">
        <v>0.0008</v>
      </c>
      <c r="H566" s="9">
        <f>MAX($F$513:F566)</f>
        <v>1.0383</v>
      </c>
      <c r="I566" s="11">
        <f t="shared" si="14"/>
        <v>0</v>
      </c>
      <c r="J566" s="9"/>
      <c r="K566" s="11"/>
      <c r="L566" s="9"/>
      <c r="M566" s="11"/>
      <c r="N566" s="9" t="s">
        <v>797</v>
      </c>
    </row>
    <row r="567" ht="25" customHeight="1" spans="1:14">
      <c r="A567" s="9" t="s">
        <v>145</v>
      </c>
      <c r="B567" s="9" t="s">
        <v>144</v>
      </c>
      <c r="C567" s="10">
        <v>46156</v>
      </c>
      <c r="D567" s="15">
        <v>1.0385</v>
      </c>
      <c r="E567" s="15">
        <v>1.0385</v>
      </c>
      <c r="F567" s="15">
        <v>1.0385</v>
      </c>
      <c r="G567" s="11">
        <v>0.0002</v>
      </c>
      <c r="H567" s="9">
        <f>MAX($F$513:F567)</f>
        <v>1.0385</v>
      </c>
      <c r="I567" s="11">
        <f t="shared" si="14"/>
        <v>0</v>
      </c>
      <c r="J567" s="9"/>
      <c r="K567" s="11"/>
      <c r="L567" s="9"/>
      <c r="M567" s="11"/>
      <c r="N567" s="9" t="s">
        <v>797</v>
      </c>
    </row>
    <row r="568" ht="25" customHeight="1" spans="1:14">
      <c r="A568" s="9" t="s">
        <v>145</v>
      </c>
      <c r="B568" s="9" t="s">
        <v>144</v>
      </c>
      <c r="C568" s="10">
        <v>46157</v>
      </c>
      <c r="D568" s="15">
        <v>1.0375</v>
      </c>
      <c r="E568" s="15">
        <v>1.0375</v>
      </c>
      <c r="F568" s="15">
        <v>1.0375</v>
      </c>
      <c r="G568" s="11">
        <v>-0.001</v>
      </c>
      <c r="H568" s="9">
        <f>MAX($F$513:F568)</f>
        <v>1.0385</v>
      </c>
      <c r="I568" s="11">
        <f t="shared" si="14"/>
        <v>0.000962927298988836</v>
      </c>
      <c r="J568" s="9"/>
      <c r="K568" s="11"/>
      <c r="L568" s="9"/>
      <c r="M568" s="11"/>
      <c r="N568" s="9" t="s">
        <v>797</v>
      </c>
    </row>
    <row r="569" ht="25" customHeight="1" spans="1:14">
      <c r="A569" s="9" t="s">
        <v>145</v>
      </c>
      <c r="B569" s="9" t="s">
        <v>144</v>
      </c>
      <c r="C569" s="10">
        <v>46160</v>
      </c>
      <c r="D569" s="15">
        <v>1.0384</v>
      </c>
      <c r="E569" s="15">
        <v>1.0384</v>
      </c>
      <c r="F569" s="15">
        <v>1.0384</v>
      </c>
      <c r="G569" s="11">
        <v>0.0009</v>
      </c>
      <c r="H569" s="9">
        <f>MAX($F$513:F569)</f>
        <v>1.0385</v>
      </c>
      <c r="I569" s="11">
        <f t="shared" si="14"/>
        <v>9.62927298988614e-5</v>
      </c>
      <c r="J569" s="9"/>
      <c r="K569" s="11"/>
      <c r="L569" s="9"/>
      <c r="M569" s="11"/>
      <c r="N569" s="9" t="s">
        <v>797</v>
      </c>
    </row>
    <row r="570" ht="25" customHeight="1" spans="1:14">
      <c r="A570" s="9" t="s">
        <v>145</v>
      </c>
      <c r="B570" s="9" t="s">
        <v>144</v>
      </c>
      <c r="C570" s="10">
        <v>46161</v>
      </c>
      <c r="D570" s="15">
        <v>1.0383</v>
      </c>
      <c r="E570" s="15">
        <v>1.0383</v>
      </c>
      <c r="F570" s="15">
        <v>1.0383</v>
      </c>
      <c r="G570" s="11">
        <v>-0.0001</v>
      </c>
      <c r="H570" s="9">
        <f>MAX($F$513:F570)</f>
        <v>1.0385</v>
      </c>
      <c r="I570" s="11">
        <f t="shared" si="14"/>
        <v>0.000192585459797723</v>
      </c>
      <c r="J570" s="9"/>
      <c r="K570" s="11"/>
      <c r="L570" s="9"/>
      <c r="M570" s="11"/>
      <c r="N570" s="9" t="s">
        <v>797</v>
      </c>
    </row>
    <row r="571" ht="25" customHeight="1" spans="1:14">
      <c r="A571" s="9" t="s">
        <v>145</v>
      </c>
      <c r="B571" s="9" t="s">
        <v>144</v>
      </c>
      <c r="C571" s="10">
        <v>46162</v>
      </c>
      <c r="D571" s="15">
        <v>1.0379</v>
      </c>
      <c r="E571" s="15">
        <v>1.0379</v>
      </c>
      <c r="F571" s="15">
        <v>1.0379</v>
      </c>
      <c r="G571" s="11">
        <v>-0.0004</v>
      </c>
      <c r="H571" s="9">
        <f>MAX($F$513:F571)</f>
        <v>1.0385</v>
      </c>
      <c r="I571" s="11">
        <f t="shared" si="14"/>
        <v>0.000577756379393279</v>
      </c>
      <c r="J571" s="9"/>
      <c r="K571" s="11"/>
      <c r="L571" s="9"/>
      <c r="M571" s="11"/>
      <c r="N571" s="9" t="s">
        <v>797</v>
      </c>
    </row>
    <row r="572" ht="25" customHeight="1" spans="1:14">
      <c r="A572" s="9" t="s">
        <v>145</v>
      </c>
      <c r="B572" s="9" t="s">
        <v>144</v>
      </c>
      <c r="C572" s="10">
        <v>46163</v>
      </c>
      <c r="D572" s="15">
        <v>1.0378</v>
      </c>
      <c r="E572" s="15">
        <v>1.0378</v>
      </c>
      <c r="F572" s="15">
        <v>1.0378</v>
      </c>
      <c r="G572" s="11">
        <v>-0.0001</v>
      </c>
      <c r="H572" s="9">
        <f>MAX($F$513:F572)</f>
        <v>1.0385</v>
      </c>
      <c r="I572" s="11">
        <f t="shared" si="14"/>
        <v>0.000674049109292141</v>
      </c>
      <c r="J572" s="9"/>
      <c r="K572" s="11"/>
      <c r="L572" s="9"/>
      <c r="M572" s="11"/>
      <c r="N572" s="9" t="s">
        <v>797</v>
      </c>
    </row>
    <row r="573" ht="25" customHeight="1" spans="1:14">
      <c r="A573" s="9" t="s">
        <v>145</v>
      </c>
      <c r="B573" s="9" t="s">
        <v>144</v>
      </c>
      <c r="C573" s="10">
        <v>46164</v>
      </c>
      <c r="D573" s="15">
        <v>1.038</v>
      </c>
      <c r="E573" s="15">
        <v>1.038</v>
      </c>
      <c r="F573" s="15">
        <v>1.038</v>
      </c>
      <c r="G573" s="11">
        <v>0.0002</v>
      </c>
      <c r="H573" s="9">
        <f>MAX($F$513:F573)</f>
        <v>1.0385</v>
      </c>
      <c r="I573" s="11">
        <f t="shared" si="14"/>
        <v>0.000481463649494418</v>
      </c>
      <c r="J573" s="9"/>
      <c r="K573" s="11"/>
      <c r="L573" s="9"/>
      <c r="M573" s="11"/>
      <c r="N573" s="9" t="s">
        <v>797</v>
      </c>
    </row>
    <row r="574" ht="25" customHeight="1" spans="1:14">
      <c r="A574" s="9" t="s">
        <v>145</v>
      </c>
      <c r="B574" s="9" t="s">
        <v>144</v>
      </c>
      <c r="C574" s="10">
        <v>46167</v>
      </c>
      <c r="D574" s="15">
        <v>1.0386</v>
      </c>
      <c r="E574" s="15">
        <v>1.0386</v>
      </c>
      <c r="F574" s="15">
        <v>1.0386</v>
      </c>
      <c r="G574" s="11">
        <v>0.0006</v>
      </c>
      <c r="H574" s="9">
        <f>MAX($F$513:F574)</f>
        <v>1.0386</v>
      </c>
      <c r="I574" s="11">
        <f t="shared" si="14"/>
        <v>0</v>
      </c>
      <c r="J574" s="9"/>
      <c r="K574" s="11"/>
      <c r="L574" s="9"/>
      <c r="M574" s="11"/>
      <c r="N574" s="9" t="s">
        <v>797</v>
      </c>
    </row>
    <row r="575" ht="25" customHeight="1" spans="1:14">
      <c r="A575" s="9" t="s">
        <v>145</v>
      </c>
      <c r="B575" s="9" t="s">
        <v>144</v>
      </c>
      <c r="C575" s="10">
        <v>46168</v>
      </c>
      <c r="D575" s="15">
        <v>1.0388</v>
      </c>
      <c r="E575" s="15">
        <v>1.0388</v>
      </c>
      <c r="F575" s="15">
        <v>1.0388</v>
      </c>
      <c r="G575" s="11">
        <v>0.0002</v>
      </c>
      <c r="H575" s="9">
        <f>MAX($F$513:F575)</f>
        <v>1.0388</v>
      </c>
      <c r="I575" s="11">
        <f t="shared" si="14"/>
        <v>0</v>
      </c>
      <c r="J575" s="9"/>
      <c r="K575" s="11"/>
      <c r="L575" s="9"/>
      <c r="M575" s="11"/>
      <c r="N575" s="9" t="s">
        <v>797</v>
      </c>
    </row>
    <row r="576" ht="25" customHeight="1" spans="1:14">
      <c r="A576" s="9" t="s">
        <v>145</v>
      </c>
      <c r="B576" s="9" t="s">
        <v>144</v>
      </c>
      <c r="C576" s="10">
        <v>46169</v>
      </c>
      <c r="D576" s="15">
        <v>1.0386</v>
      </c>
      <c r="E576" s="15">
        <v>1.0386</v>
      </c>
      <c r="F576" s="15">
        <v>1.0386</v>
      </c>
      <c r="G576" s="11">
        <v>-0.0002</v>
      </c>
      <c r="H576" s="9">
        <f>MAX($F$513:F576)</f>
        <v>1.0388</v>
      </c>
      <c r="I576" s="11">
        <f t="shared" si="14"/>
        <v>0.000192529842125477</v>
      </c>
      <c r="J576" s="9"/>
      <c r="K576" s="11"/>
      <c r="L576" s="9"/>
      <c r="M576" s="11"/>
      <c r="N576" s="9" t="s">
        <v>797</v>
      </c>
    </row>
    <row r="577" ht="25" customHeight="1" spans="1:14">
      <c r="A577" s="9" t="s">
        <v>145</v>
      </c>
      <c r="B577" s="9" t="s">
        <v>144</v>
      </c>
      <c r="C577" s="10">
        <v>46170</v>
      </c>
      <c r="D577" s="15">
        <v>1.0408</v>
      </c>
      <c r="E577" s="15">
        <v>1.0408</v>
      </c>
      <c r="F577" s="15">
        <v>1.0408</v>
      </c>
      <c r="G577" s="11">
        <v>0.0021</v>
      </c>
      <c r="H577" s="9">
        <f>MAX($F$513:F577)</f>
        <v>1.0408</v>
      </c>
      <c r="I577" s="11">
        <f t="shared" si="14"/>
        <v>0</v>
      </c>
      <c r="J577" s="9"/>
      <c r="K577" s="11"/>
      <c r="L577" s="9"/>
      <c r="M577" s="11"/>
      <c r="N577" s="9" t="s">
        <v>797</v>
      </c>
    </row>
    <row r="578" ht="25" customHeight="1" spans="1:14">
      <c r="A578" s="9" t="s">
        <v>145</v>
      </c>
      <c r="B578" s="9" t="s">
        <v>144</v>
      </c>
      <c r="C578" s="10">
        <v>46171</v>
      </c>
      <c r="D578" s="15">
        <v>1.0412</v>
      </c>
      <c r="E578" s="15">
        <v>1.0412</v>
      </c>
      <c r="F578" s="15">
        <v>1.0412</v>
      </c>
      <c r="G578" s="11">
        <v>0.0004</v>
      </c>
      <c r="H578" s="9">
        <f>MAX($F$513:F578)</f>
        <v>1.0412</v>
      </c>
      <c r="I578" s="11">
        <f t="shared" ref="I578:I641" si="15">1-F578/H578</f>
        <v>0</v>
      </c>
      <c r="J578" s="9"/>
      <c r="K578" s="11"/>
      <c r="L578" s="9"/>
      <c r="M578" s="11"/>
      <c r="N578" s="9" t="s">
        <v>797</v>
      </c>
    </row>
    <row r="579" ht="25" customHeight="1" spans="1:14">
      <c r="A579" s="9" t="s">
        <v>145</v>
      </c>
      <c r="B579" s="9" t="s">
        <v>144</v>
      </c>
      <c r="C579" s="10">
        <v>46174</v>
      </c>
      <c r="D579" s="15">
        <v>1.042</v>
      </c>
      <c r="E579" s="15">
        <v>1.042</v>
      </c>
      <c r="F579" s="15">
        <v>1.042</v>
      </c>
      <c r="G579" s="11">
        <v>0.0008</v>
      </c>
      <c r="H579" s="9">
        <f>MAX($F$513:F579)</f>
        <v>1.042</v>
      </c>
      <c r="I579" s="11">
        <f t="shared" si="15"/>
        <v>0</v>
      </c>
      <c r="J579" s="9"/>
      <c r="K579" s="11"/>
      <c r="L579" s="9"/>
      <c r="M579" s="11"/>
      <c r="N579" s="9" t="s">
        <v>797</v>
      </c>
    </row>
    <row r="580" ht="25" customHeight="1" spans="1:14">
      <c r="A580" s="9" t="s">
        <v>145</v>
      </c>
      <c r="B580" s="9" t="s">
        <v>144</v>
      </c>
      <c r="C580" s="10">
        <v>46175</v>
      </c>
      <c r="D580" s="15">
        <v>1.0386</v>
      </c>
      <c r="E580" s="15">
        <v>1.0386</v>
      </c>
      <c r="F580" s="15">
        <v>1.0386</v>
      </c>
      <c r="G580" s="11">
        <v>-0.0033</v>
      </c>
      <c r="H580" s="9">
        <f>MAX($F$513:F580)</f>
        <v>1.042</v>
      </c>
      <c r="I580" s="11">
        <f t="shared" si="15"/>
        <v>0.00326295585412673</v>
      </c>
      <c r="J580" s="9"/>
      <c r="K580" s="11"/>
      <c r="L580" s="9"/>
      <c r="M580" s="11"/>
      <c r="N580" s="9" t="s">
        <v>797</v>
      </c>
    </row>
    <row r="581" ht="25" customHeight="1" spans="1:14">
      <c r="A581" s="9" t="s">
        <v>145</v>
      </c>
      <c r="B581" s="9" t="s">
        <v>144</v>
      </c>
      <c r="C581" s="10">
        <v>46176</v>
      </c>
      <c r="D581" s="15">
        <v>1.0402</v>
      </c>
      <c r="E581" s="15">
        <v>1.0402</v>
      </c>
      <c r="F581" s="15">
        <v>1.0402</v>
      </c>
      <c r="G581" s="11">
        <v>0.0015</v>
      </c>
      <c r="H581" s="9">
        <f>MAX($F$513:F581)</f>
        <v>1.042</v>
      </c>
      <c r="I581" s="11">
        <f t="shared" si="15"/>
        <v>0.00172744721689067</v>
      </c>
      <c r="J581" s="9"/>
      <c r="K581" s="11"/>
      <c r="L581" s="9"/>
      <c r="M581" s="11"/>
      <c r="N581" s="9" t="s">
        <v>797</v>
      </c>
    </row>
    <row r="582" ht="25" customHeight="1" spans="1:14">
      <c r="A582" s="9" t="s">
        <v>145</v>
      </c>
      <c r="B582" s="9" t="s">
        <v>144</v>
      </c>
      <c r="C582" s="10">
        <v>46177</v>
      </c>
      <c r="D582" s="15">
        <v>1.038</v>
      </c>
      <c r="E582" s="15">
        <v>1.038</v>
      </c>
      <c r="F582" s="15">
        <v>1.038</v>
      </c>
      <c r="G582" s="11">
        <v>-0.0021</v>
      </c>
      <c r="H582" s="9">
        <f>MAX($F$513:F582)</f>
        <v>1.042</v>
      </c>
      <c r="I582" s="11">
        <f t="shared" si="15"/>
        <v>0.00383877159309021</v>
      </c>
      <c r="J582" s="9"/>
      <c r="K582" s="11"/>
      <c r="L582" s="9"/>
      <c r="M582" s="11"/>
      <c r="N582" s="9" t="s">
        <v>797</v>
      </c>
    </row>
    <row r="583" ht="25" customHeight="1" spans="1:14">
      <c r="A583" s="9" t="s">
        <v>145</v>
      </c>
      <c r="B583" s="9" t="s">
        <v>144</v>
      </c>
      <c r="C583" s="10">
        <v>46178</v>
      </c>
      <c r="D583" s="15">
        <v>1.0377</v>
      </c>
      <c r="E583" s="15">
        <v>1.0377</v>
      </c>
      <c r="F583" s="15">
        <v>1.0377</v>
      </c>
      <c r="G583" s="11">
        <v>-0.0003</v>
      </c>
      <c r="H583" s="9">
        <f>MAX($F$513:F583)</f>
        <v>1.042</v>
      </c>
      <c r="I583" s="11">
        <f t="shared" si="15"/>
        <v>0.00412667946257195</v>
      </c>
      <c r="J583" s="9"/>
      <c r="K583" s="11"/>
      <c r="L583" s="9"/>
      <c r="M583" s="11"/>
      <c r="N583" s="9" t="s">
        <v>797</v>
      </c>
    </row>
    <row r="584" ht="25" customHeight="1" spans="1:14">
      <c r="A584" s="9" t="s">
        <v>145</v>
      </c>
      <c r="B584" s="9" t="s">
        <v>144</v>
      </c>
      <c r="C584" s="10">
        <v>46181</v>
      </c>
      <c r="D584" s="15">
        <v>1.0376</v>
      </c>
      <c r="E584" s="15">
        <v>1.0376</v>
      </c>
      <c r="F584" s="15">
        <v>1.0376</v>
      </c>
      <c r="G584" s="11">
        <v>-0.0001</v>
      </c>
      <c r="H584" s="9">
        <f>MAX($F$513:F584)</f>
        <v>1.042</v>
      </c>
      <c r="I584" s="11">
        <f t="shared" si="15"/>
        <v>0.00422264875239919</v>
      </c>
      <c r="J584" s="9"/>
      <c r="K584" s="11"/>
      <c r="L584" s="9"/>
      <c r="M584" s="11"/>
      <c r="N584" s="9" t="s">
        <v>797</v>
      </c>
    </row>
    <row r="585" ht="25" customHeight="1" spans="1:14">
      <c r="A585" s="9" t="s">
        <v>145</v>
      </c>
      <c r="B585" s="9" t="s">
        <v>144</v>
      </c>
      <c r="C585" s="10">
        <v>46182</v>
      </c>
      <c r="D585" s="15">
        <v>1.0345</v>
      </c>
      <c r="E585" s="15">
        <v>1.0345</v>
      </c>
      <c r="F585" s="15">
        <v>1.0345</v>
      </c>
      <c r="G585" s="11">
        <v>-0.003</v>
      </c>
      <c r="H585" s="9">
        <f>MAX($F$513:F585)</f>
        <v>1.042</v>
      </c>
      <c r="I585" s="11">
        <f t="shared" si="15"/>
        <v>0.00719769673704418</v>
      </c>
      <c r="J585" s="9"/>
      <c r="K585" s="11"/>
      <c r="L585" s="9"/>
      <c r="M585" s="11"/>
      <c r="N585" s="9" t="s">
        <v>797</v>
      </c>
    </row>
    <row r="586" ht="25" customHeight="1" spans="1:14">
      <c r="A586" s="9" t="s">
        <v>145</v>
      </c>
      <c r="B586" s="9" t="s">
        <v>144</v>
      </c>
      <c r="C586" s="10">
        <v>46183</v>
      </c>
      <c r="D586" s="15">
        <v>1.0357</v>
      </c>
      <c r="E586" s="15">
        <v>1.0357</v>
      </c>
      <c r="F586" s="15">
        <v>1.0357</v>
      </c>
      <c r="G586" s="11">
        <v>0.0012</v>
      </c>
      <c r="H586" s="9">
        <f>MAX($F$513:F586)</f>
        <v>1.042</v>
      </c>
      <c r="I586" s="11">
        <f t="shared" si="15"/>
        <v>0.00604606525911711</v>
      </c>
      <c r="J586" s="9"/>
      <c r="K586" s="11"/>
      <c r="L586" s="9"/>
      <c r="M586" s="11"/>
      <c r="N586" s="9" t="s">
        <v>797</v>
      </c>
    </row>
    <row r="587" ht="25" customHeight="1" spans="1:14">
      <c r="A587" s="9" t="s">
        <v>145</v>
      </c>
      <c r="B587" s="9" t="s">
        <v>144</v>
      </c>
      <c r="C587" s="10">
        <v>46184</v>
      </c>
      <c r="D587" s="15">
        <v>1.0368</v>
      </c>
      <c r="E587" s="15">
        <v>1.0368</v>
      </c>
      <c r="F587" s="15">
        <v>1.0368</v>
      </c>
      <c r="G587" s="11">
        <v>0.0011</v>
      </c>
      <c r="H587" s="9">
        <f>MAX($F$513:F587)</f>
        <v>1.042</v>
      </c>
      <c r="I587" s="11">
        <f t="shared" si="15"/>
        <v>0.00499040307101739</v>
      </c>
      <c r="J587" s="9"/>
      <c r="K587" s="11"/>
      <c r="L587" s="9"/>
      <c r="M587" s="11"/>
      <c r="N587" s="9" t="s">
        <v>797</v>
      </c>
    </row>
    <row r="588" ht="25" customHeight="1" spans="1:14">
      <c r="A588" s="9" t="s">
        <v>145</v>
      </c>
      <c r="B588" s="9" t="s">
        <v>144</v>
      </c>
      <c r="C588" s="10">
        <v>46185</v>
      </c>
      <c r="D588" s="15">
        <v>1.0364</v>
      </c>
      <c r="E588" s="15">
        <v>1.0364</v>
      </c>
      <c r="F588" s="15">
        <v>1.0364</v>
      </c>
      <c r="G588" s="11">
        <v>-0.0004</v>
      </c>
      <c r="H588" s="9">
        <f>MAX($F$513:F588)</f>
        <v>1.042</v>
      </c>
      <c r="I588" s="11">
        <f t="shared" si="15"/>
        <v>0.00537428023032638</v>
      </c>
      <c r="J588" s="9"/>
      <c r="K588" s="11"/>
      <c r="L588" s="9"/>
      <c r="M588" s="11"/>
      <c r="N588" s="9" t="s">
        <v>797</v>
      </c>
    </row>
    <row r="589" ht="25" customHeight="1" spans="1:14">
      <c r="A589" s="9" t="s">
        <v>145</v>
      </c>
      <c r="B589" s="9" t="s">
        <v>144</v>
      </c>
      <c r="C589" s="10">
        <v>46188</v>
      </c>
      <c r="D589" s="15">
        <v>1.0377</v>
      </c>
      <c r="E589" s="15">
        <v>1.0377</v>
      </c>
      <c r="F589" s="15">
        <v>1.0377</v>
      </c>
      <c r="G589" s="11">
        <v>0.0013</v>
      </c>
      <c r="H589" s="9">
        <f>MAX($F$513:F589)</f>
        <v>1.042</v>
      </c>
      <c r="I589" s="11">
        <f t="shared" si="15"/>
        <v>0.00412667946257195</v>
      </c>
      <c r="J589" s="9"/>
      <c r="K589" s="11"/>
      <c r="L589" s="9"/>
      <c r="M589" s="11"/>
      <c r="N589" s="9" t="s">
        <v>797</v>
      </c>
    </row>
    <row r="590" ht="25" customHeight="1" spans="1:14">
      <c r="A590" s="9" t="s">
        <v>145</v>
      </c>
      <c r="B590" s="9" t="s">
        <v>144</v>
      </c>
      <c r="C590" s="10">
        <v>46189</v>
      </c>
      <c r="D590" s="15">
        <v>1.0372</v>
      </c>
      <c r="E590" s="15">
        <v>1.0372</v>
      </c>
      <c r="F590" s="15">
        <v>1.0372</v>
      </c>
      <c r="G590" s="11">
        <v>-0.0005</v>
      </c>
      <c r="H590" s="9">
        <f>MAX($F$513:F590)</f>
        <v>1.042</v>
      </c>
      <c r="I590" s="11">
        <f t="shared" si="15"/>
        <v>0.0046065259117084</v>
      </c>
      <c r="J590" s="9"/>
      <c r="K590" s="11"/>
      <c r="L590" s="9"/>
      <c r="M590" s="11"/>
      <c r="N590" s="9" t="s">
        <v>797</v>
      </c>
    </row>
    <row r="591" ht="25" customHeight="1" spans="1:14">
      <c r="A591" s="9" t="s">
        <v>145</v>
      </c>
      <c r="B591" s="9" t="s">
        <v>144</v>
      </c>
      <c r="C591" s="10">
        <v>46190</v>
      </c>
      <c r="D591" s="15">
        <v>1.0397</v>
      </c>
      <c r="E591" s="15">
        <v>1.0397</v>
      </c>
      <c r="F591" s="15">
        <v>1.0397</v>
      </c>
      <c r="G591" s="11">
        <v>0.0024</v>
      </c>
      <c r="H591" s="9">
        <f>MAX($F$513:F591)</f>
        <v>1.042</v>
      </c>
      <c r="I591" s="11">
        <f t="shared" si="15"/>
        <v>0.00220729366602679</v>
      </c>
      <c r="J591" s="9"/>
      <c r="K591" s="11"/>
      <c r="L591" s="9"/>
      <c r="M591" s="11"/>
      <c r="N591" s="9" t="s">
        <v>797</v>
      </c>
    </row>
    <row r="592" ht="25" customHeight="1" spans="1:14">
      <c r="A592" s="9" t="s">
        <v>145</v>
      </c>
      <c r="B592" s="9" t="s">
        <v>144</v>
      </c>
      <c r="C592" s="10">
        <v>46191</v>
      </c>
      <c r="D592" s="15">
        <v>1.0386</v>
      </c>
      <c r="E592" s="15">
        <v>1.0386</v>
      </c>
      <c r="F592" s="15">
        <v>1.0386</v>
      </c>
      <c r="G592" s="11">
        <v>-0.0011</v>
      </c>
      <c r="H592" s="9">
        <f>MAX($F$513:F592)</f>
        <v>1.042</v>
      </c>
      <c r="I592" s="11">
        <f t="shared" si="15"/>
        <v>0.00326295585412673</v>
      </c>
      <c r="J592" s="9"/>
      <c r="K592" s="11"/>
      <c r="L592" s="9"/>
      <c r="M592" s="11"/>
      <c r="N592" s="9" t="s">
        <v>797</v>
      </c>
    </row>
    <row r="593" ht="25" customHeight="1" spans="1:14">
      <c r="A593" s="9" t="s">
        <v>145</v>
      </c>
      <c r="B593" s="9" t="s">
        <v>144</v>
      </c>
      <c r="C593" s="10">
        <v>46195</v>
      </c>
      <c r="D593" s="15">
        <v>1.0396</v>
      </c>
      <c r="E593" s="15">
        <v>1.0396</v>
      </c>
      <c r="F593" s="15">
        <v>1.0396</v>
      </c>
      <c r="G593" s="11">
        <v>0.001</v>
      </c>
      <c r="H593" s="9">
        <f>MAX($F$513:F593)</f>
        <v>1.042</v>
      </c>
      <c r="I593" s="11">
        <f t="shared" si="15"/>
        <v>0.00230326295585404</v>
      </c>
      <c r="J593" s="9"/>
      <c r="K593" s="11"/>
      <c r="L593" s="9"/>
      <c r="M593" s="11"/>
      <c r="N593" s="9" t="s">
        <v>797</v>
      </c>
    </row>
    <row r="594" ht="25" customHeight="1" spans="1:14">
      <c r="A594" s="9" t="s">
        <v>145</v>
      </c>
      <c r="B594" s="9" t="s">
        <v>144</v>
      </c>
      <c r="C594" s="10">
        <v>46196</v>
      </c>
      <c r="D594" s="15">
        <v>1.0387</v>
      </c>
      <c r="E594" s="15">
        <v>1.0387</v>
      </c>
      <c r="F594" s="15">
        <v>1.0387</v>
      </c>
      <c r="G594" s="11">
        <v>-0.0009</v>
      </c>
      <c r="H594" s="9">
        <f>MAX($F$513:F594)</f>
        <v>1.042</v>
      </c>
      <c r="I594" s="11">
        <f t="shared" si="15"/>
        <v>0.00316698656429948</v>
      </c>
      <c r="J594" s="9"/>
      <c r="K594" s="11"/>
      <c r="L594" s="9"/>
      <c r="M594" s="11"/>
      <c r="N594" s="9" t="s">
        <v>797</v>
      </c>
    </row>
    <row r="595" ht="25" customHeight="1" spans="1:14">
      <c r="A595" s="9" t="s">
        <v>145</v>
      </c>
      <c r="B595" s="9" t="s">
        <v>144</v>
      </c>
      <c r="C595" s="10">
        <v>46197</v>
      </c>
      <c r="D595" s="15">
        <v>1.0388</v>
      </c>
      <c r="E595" s="15">
        <v>1.0388</v>
      </c>
      <c r="F595" s="15">
        <v>1.0388</v>
      </c>
      <c r="G595" s="11">
        <v>0.0001</v>
      </c>
      <c r="H595" s="9">
        <f>MAX($F$513:F595)</f>
        <v>1.042</v>
      </c>
      <c r="I595" s="11">
        <f t="shared" si="15"/>
        <v>0.00307101727447223</v>
      </c>
      <c r="J595" s="9"/>
      <c r="K595" s="11"/>
      <c r="L595" s="9"/>
      <c r="M595" s="11"/>
      <c r="N595" s="9" t="s">
        <v>797</v>
      </c>
    </row>
    <row r="596" ht="25" customHeight="1" spans="1:14">
      <c r="A596" s="9" t="s">
        <v>145</v>
      </c>
      <c r="B596" s="9" t="s">
        <v>144</v>
      </c>
      <c r="C596" s="10">
        <v>46198</v>
      </c>
      <c r="D596" s="15">
        <v>1.039</v>
      </c>
      <c r="E596" s="15">
        <v>1.039</v>
      </c>
      <c r="F596" s="15">
        <v>1.039</v>
      </c>
      <c r="G596" s="11">
        <v>0.0002</v>
      </c>
      <c r="H596" s="9">
        <f>MAX($F$513:F596)</f>
        <v>1.042</v>
      </c>
      <c r="I596" s="11">
        <f t="shared" si="15"/>
        <v>0.00287907869481774</v>
      </c>
      <c r="J596" s="9"/>
      <c r="K596" s="11"/>
      <c r="L596" s="9"/>
      <c r="M596" s="11"/>
      <c r="N596" s="9" t="s">
        <v>797</v>
      </c>
    </row>
    <row r="597" ht="25" customHeight="1" spans="1:14">
      <c r="A597" s="9" t="s">
        <v>145</v>
      </c>
      <c r="B597" s="9" t="s">
        <v>144</v>
      </c>
      <c r="C597" s="10">
        <v>46199</v>
      </c>
      <c r="D597" s="15">
        <v>1.0401</v>
      </c>
      <c r="E597" s="15">
        <v>1.0401</v>
      </c>
      <c r="F597" s="15">
        <v>1.0401</v>
      </c>
      <c r="G597" s="11">
        <v>0.0011</v>
      </c>
      <c r="H597" s="9">
        <f>MAX($F$513:F597)</f>
        <v>1.042</v>
      </c>
      <c r="I597" s="11">
        <f t="shared" si="15"/>
        <v>0.00182341650671791</v>
      </c>
      <c r="J597" s="9"/>
      <c r="K597" s="11"/>
      <c r="L597" s="9"/>
      <c r="M597" s="11"/>
      <c r="N597" s="9" t="s">
        <v>797</v>
      </c>
    </row>
    <row r="598" ht="25" customHeight="1" spans="1:14">
      <c r="A598" s="9" t="s">
        <v>145</v>
      </c>
      <c r="B598" s="9" t="s">
        <v>144</v>
      </c>
      <c r="C598" s="10">
        <v>46202</v>
      </c>
      <c r="D598" s="15">
        <v>1.041</v>
      </c>
      <c r="E598" s="15">
        <v>1.041</v>
      </c>
      <c r="F598" s="15">
        <v>1.041</v>
      </c>
      <c r="G598" s="11">
        <v>0.0009</v>
      </c>
      <c r="H598" s="9">
        <f>MAX($F$513:F598)</f>
        <v>1.042</v>
      </c>
      <c r="I598" s="11">
        <f t="shared" si="15"/>
        <v>0.00095969289827269</v>
      </c>
      <c r="J598" s="9"/>
      <c r="K598" s="11"/>
      <c r="L598" s="9"/>
      <c r="M598" s="11"/>
      <c r="N598" s="9" t="s">
        <v>797</v>
      </c>
    </row>
    <row r="599" ht="25" customHeight="1" spans="1:14">
      <c r="A599" s="9" t="s">
        <v>145</v>
      </c>
      <c r="B599" s="9" t="s">
        <v>144</v>
      </c>
      <c r="C599" s="10">
        <v>46203</v>
      </c>
      <c r="D599" s="15">
        <v>1.0413</v>
      </c>
      <c r="E599" s="15">
        <v>1.0413</v>
      </c>
      <c r="F599" s="15">
        <v>1.0413</v>
      </c>
      <c r="G599" s="11">
        <v>0.0003</v>
      </c>
      <c r="H599" s="9">
        <f>MAX($F$513:F599)</f>
        <v>1.042</v>
      </c>
      <c r="I599" s="11">
        <f t="shared" si="15"/>
        <v>0.00067178502879095</v>
      </c>
      <c r="J599" s="9"/>
      <c r="K599" s="11"/>
      <c r="L599" s="9"/>
      <c r="M599" s="11"/>
      <c r="N599" s="9" t="s">
        <v>797</v>
      </c>
    </row>
    <row r="600" ht="25" customHeight="1" spans="1:14">
      <c r="A600" s="9" t="s">
        <v>145</v>
      </c>
      <c r="B600" s="9" t="s">
        <v>144</v>
      </c>
      <c r="C600" s="10">
        <v>46204</v>
      </c>
      <c r="D600" s="15">
        <v>1.0408</v>
      </c>
      <c r="E600" s="15">
        <v>1.0408</v>
      </c>
      <c r="F600" s="15">
        <v>1.0408</v>
      </c>
      <c r="G600" s="11">
        <v>-0.0005</v>
      </c>
      <c r="H600" s="9">
        <f>MAX($F$513:F600)</f>
        <v>1.042</v>
      </c>
      <c r="I600" s="11">
        <f t="shared" si="15"/>
        <v>0.00115163147792718</v>
      </c>
      <c r="J600" s="9"/>
      <c r="K600" s="11"/>
      <c r="L600" s="9"/>
      <c r="M600" s="11"/>
      <c r="N600" s="9" t="s">
        <v>797</v>
      </c>
    </row>
    <row r="601" ht="25" customHeight="1" spans="1:14">
      <c r="A601" s="9" t="s">
        <v>145</v>
      </c>
      <c r="B601" s="9" t="s">
        <v>144</v>
      </c>
      <c r="C601" s="10">
        <v>46205</v>
      </c>
      <c r="D601" s="15">
        <v>1.0415</v>
      </c>
      <c r="E601" s="15">
        <v>1.0415</v>
      </c>
      <c r="F601" s="15">
        <v>1.0415</v>
      </c>
      <c r="G601" s="11">
        <v>0.0007</v>
      </c>
      <c r="H601" s="9">
        <f>MAX($F$513:F601)</f>
        <v>1.042</v>
      </c>
      <c r="I601" s="11">
        <f t="shared" si="15"/>
        <v>0.000479846449136234</v>
      </c>
      <c r="J601" s="9"/>
      <c r="K601" s="11"/>
      <c r="L601" s="9"/>
      <c r="M601" s="11"/>
      <c r="N601" s="9" t="s">
        <v>797</v>
      </c>
    </row>
    <row r="602" ht="25" customHeight="1" spans="1:14">
      <c r="A602" s="9" t="s">
        <v>145</v>
      </c>
      <c r="B602" s="9" t="s">
        <v>144</v>
      </c>
      <c r="C602" s="10">
        <v>46206</v>
      </c>
      <c r="D602" s="15">
        <v>1.0433</v>
      </c>
      <c r="E602" s="15">
        <v>1.0433</v>
      </c>
      <c r="F602" s="15">
        <v>1.0433</v>
      </c>
      <c r="G602" s="11">
        <v>0.0017</v>
      </c>
      <c r="H602" s="9">
        <f>MAX($F$513:F602)</f>
        <v>1.0433</v>
      </c>
      <c r="I602" s="11">
        <f t="shared" si="15"/>
        <v>0</v>
      </c>
      <c r="J602" s="9"/>
      <c r="K602" s="11"/>
      <c r="L602" s="9"/>
      <c r="M602" s="11"/>
      <c r="N602" s="9" t="s">
        <v>797</v>
      </c>
    </row>
    <row r="603" ht="25" customHeight="1" spans="1:14">
      <c r="A603" s="9" t="s">
        <v>145</v>
      </c>
      <c r="B603" s="9" t="s">
        <v>144</v>
      </c>
      <c r="C603" s="10">
        <v>46209</v>
      </c>
      <c r="D603" s="15">
        <v>1.0459</v>
      </c>
      <c r="E603" s="15">
        <v>1.0459</v>
      </c>
      <c r="F603" s="15">
        <v>1.0459</v>
      </c>
      <c r="G603" s="11">
        <v>0.0025</v>
      </c>
      <c r="H603" s="9">
        <f>MAX($F$513:F603)</f>
        <v>1.0459</v>
      </c>
      <c r="I603" s="11">
        <f t="shared" si="15"/>
        <v>0</v>
      </c>
      <c r="J603" s="9"/>
      <c r="K603" s="11"/>
      <c r="L603" s="9"/>
      <c r="M603" s="11"/>
      <c r="N603" s="9" t="s">
        <v>797</v>
      </c>
    </row>
    <row r="604" ht="25" customHeight="1" spans="1:14">
      <c r="A604" s="9" t="s">
        <v>145</v>
      </c>
      <c r="B604" s="9" t="s">
        <v>144</v>
      </c>
      <c r="C604" s="10">
        <v>46210</v>
      </c>
      <c r="D604" s="15">
        <v>1.0464</v>
      </c>
      <c r="E604" s="15">
        <v>1.0464</v>
      </c>
      <c r="F604" s="15">
        <v>1.0464</v>
      </c>
      <c r="G604" s="11">
        <v>0.0005</v>
      </c>
      <c r="H604" s="9">
        <f>MAX($F$513:F604)</f>
        <v>1.0464</v>
      </c>
      <c r="I604" s="11">
        <f t="shared" si="15"/>
        <v>0</v>
      </c>
      <c r="J604" s="9"/>
      <c r="K604" s="11"/>
      <c r="L604" s="9"/>
      <c r="M604" s="11"/>
      <c r="N604" s="9" t="s">
        <v>797</v>
      </c>
    </row>
    <row r="605" ht="25" customHeight="1" spans="1:14">
      <c r="A605" s="9" t="s">
        <v>145</v>
      </c>
      <c r="B605" s="9" t="s">
        <v>144</v>
      </c>
      <c r="C605" s="10">
        <v>46211</v>
      </c>
      <c r="D605" s="15">
        <v>1.0466</v>
      </c>
      <c r="E605" s="15">
        <v>1.0466</v>
      </c>
      <c r="F605" s="15">
        <v>1.0466</v>
      </c>
      <c r="G605" s="11">
        <v>0.0002</v>
      </c>
      <c r="H605" s="9">
        <f>MAX($F$513:F605)</f>
        <v>1.0466</v>
      </c>
      <c r="I605" s="11">
        <f t="shared" si="15"/>
        <v>0</v>
      </c>
      <c r="J605" s="9"/>
      <c r="K605" s="11"/>
      <c r="L605" s="9"/>
      <c r="M605" s="11"/>
      <c r="N605" s="9" t="s">
        <v>797</v>
      </c>
    </row>
    <row r="606" ht="25" customHeight="1" spans="1:14">
      <c r="A606" s="9" t="s">
        <v>145</v>
      </c>
      <c r="B606" s="9" t="s">
        <v>144</v>
      </c>
      <c r="C606" s="10">
        <v>46212</v>
      </c>
      <c r="D606" s="15">
        <v>1.0479</v>
      </c>
      <c r="E606" s="15">
        <v>1.0479</v>
      </c>
      <c r="F606" s="15">
        <v>1.0479</v>
      </c>
      <c r="G606" s="11">
        <v>0.0012</v>
      </c>
      <c r="H606" s="9">
        <f>MAX($F$513:F606)</f>
        <v>1.0479</v>
      </c>
      <c r="I606" s="11">
        <f t="shared" si="15"/>
        <v>0</v>
      </c>
      <c r="J606" s="9"/>
      <c r="K606" s="11"/>
      <c r="L606" s="9"/>
      <c r="M606" s="11"/>
      <c r="N606" s="9" t="s">
        <v>797</v>
      </c>
    </row>
    <row r="607" ht="25" customHeight="1" spans="1:14">
      <c r="A607" s="9" t="s">
        <v>145</v>
      </c>
      <c r="B607" s="9" t="s">
        <v>144</v>
      </c>
      <c r="C607" s="10">
        <v>46213</v>
      </c>
      <c r="D607" s="15">
        <v>1.0475</v>
      </c>
      <c r="E607" s="15">
        <v>1.0475</v>
      </c>
      <c r="F607" s="15">
        <v>1.0475</v>
      </c>
      <c r="G607" s="11">
        <v>-0.0004</v>
      </c>
      <c r="H607" s="9">
        <f>MAX($F$513:F607)</f>
        <v>1.0479</v>
      </c>
      <c r="I607" s="11">
        <f t="shared" si="15"/>
        <v>0.00038171581257751</v>
      </c>
      <c r="J607" s="9"/>
      <c r="K607" s="11"/>
      <c r="L607" s="9"/>
      <c r="M607" s="11"/>
      <c r="N607" s="9" t="s">
        <v>797</v>
      </c>
    </row>
    <row r="608" ht="25" customHeight="1" spans="1:14">
      <c r="A608" s="9" t="s">
        <v>145</v>
      </c>
      <c r="B608" s="9" t="s">
        <v>144</v>
      </c>
      <c r="C608" s="10">
        <v>46216</v>
      </c>
      <c r="D608" s="15">
        <v>1.0496</v>
      </c>
      <c r="E608" s="15">
        <v>1.0496</v>
      </c>
      <c r="F608" s="15">
        <v>1.0496</v>
      </c>
      <c r="G608" s="11">
        <v>0.002</v>
      </c>
      <c r="H608" s="9">
        <f>MAX($F$513:F608)</f>
        <v>1.0496</v>
      </c>
      <c r="I608" s="11">
        <f t="shared" si="15"/>
        <v>0</v>
      </c>
      <c r="J608" s="9"/>
      <c r="K608" s="11"/>
      <c r="L608" s="9"/>
      <c r="M608" s="11"/>
      <c r="N608" s="9" t="s">
        <v>797</v>
      </c>
    </row>
    <row r="609" ht="25" customHeight="1" spans="1:14">
      <c r="A609" s="9" t="s">
        <v>145</v>
      </c>
      <c r="B609" s="9" t="s">
        <v>144</v>
      </c>
      <c r="C609" s="10">
        <v>46217</v>
      </c>
      <c r="D609" s="15">
        <v>1.049</v>
      </c>
      <c r="E609" s="15">
        <v>1.049</v>
      </c>
      <c r="F609" s="15">
        <v>1.049</v>
      </c>
      <c r="G609" s="11">
        <v>-0.0006</v>
      </c>
      <c r="H609" s="9">
        <f>MAX($F$513:F609)</f>
        <v>1.0496</v>
      </c>
      <c r="I609" s="11">
        <f t="shared" si="15"/>
        <v>0.000571646341463561</v>
      </c>
      <c r="J609" s="9"/>
      <c r="K609" s="11"/>
      <c r="L609" s="9"/>
      <c r="M609" s="11"/>
      <c r="N609" s="9" t="s">
        <v>797</v>
      </c>
    </row>
    <row r="610" ht="25" customHeight="1" spans="1:14">
      <c r="A610" s="9" t="s">
        <v>145</v>
      </c>
      <c r="B610" s="9" t="s">
        <v>144</v>
      </c>
      <c r="C610" s="10">
        <v>46218</v>
      </c>
      <c r="D610" s="15">
        <v>1.0501</v>
      </c>
      <c r="E610" s="15">
        <v>1.0501</v>
      </c>
      <c r="F610" s="15">
        <v>1.0501</v>
      </c>
      <c r="G610" s="11">
        <v>0.001</v>
      </c>
      <c r="H610" s="9">
        <f>MAX($F$513:F610)</f>
        <v>1.0501</v>
      </c>
      <c r="I610" s="11">
        <f t="shared" si="15"/>
        <v>0</v>
      </c>
      <c r="J610" s="9"/>
      <c r="K610" s="11"/>
      <c r="L610" s="9"/>
      <c r="M610" s="11"/>
      <c r="N610" s="9" t="s">
        <v>797</v>
      </c>
    </row>
    <row r="611" ht="25" customHeight="1" spans="1:14">
      <c r="A611" s="9" t="s">
        <v>145</v>
      </c>
      <c r="B611" s="9" t="s">
        <v>144</v>
      </c>
      <c r="C611" s="10">
        <v>46219</v>
      </c>
      <c r="D611" s="15">
        <v>1.0503</v>
      </c>
      <c r="E611" s="15">
        <v>1.0503</v>
      </c>
      <c r="F611" s="15">
        <v>1.0503</v>
      </c>
      <c r="G611" s="11">
        <v>0.0002</v>
      </c>
      <c r="H611" s="9">
        <f>MAX($F$513:F611)</f>
        <v>1.0503</v>
      </c>
      <c r="I611" s="11">
        <f t="shared" si="15"/>
        <v>0</v>
      </c>
      <c r="J611" s="9"/>
      <c r="K611" s="11"/>
      <c r="L611" s="9"/>
      <c r="M611" s="11"/>
      <c r="N611" s="9" t="s">
        <v>797</v>
      </c>
    </row>
    <row r="612" ht="25" customHeight="1" spans="1:14">
      <c r="A612" s="9" t="s">
        <v>145</v>
      </c>
      <c r="B612" s="9" t="s">
        <v>144</v>
      </c>
      <c r="C612" s="10">
        <v>46220</v>
      </c>
      <c r="D612" s="15">
        <v>1.0491</v>
      </c>
      <c r="E612" s="15">
        <v>1.0491</v>
      </c>
      <c r="F612" s="15">
        <v>1.0491</v>
      </c>
      <c r="G612" s="11">
        <v>-0.0011</v>
      </c>
      <c r="H612" s="9">
        <f>MAX($F$513:F612)</f>
        <v>1.0503</v>
      </c>
      <c r="I612" s="11">
        <f t="shared" si="15"/>
        <v>0.00114253070551285</v>
      </c>
      <c r="J612" s="9"/>
      <c r="K612" s="11"/>
      <c r="L612" s="9"/>
      <c r="M612" s="11"/>
      <c r="N612" s="9" t="s">
        <v>797</v>
      </c>
    </row>
    <row r="613" ht="25" customHeight="1" spans="1:14">
      <c r="A613" s="9" t="s">
        <v>145</v>
      </c>
      <c r="B613" s="9" t="s">
        <v>144</v>
      </c>
      <c r="C613" s="10">
        <v>46223</v>
      </c>
      <c r="D613" s="15">
        <v>1.0498</v>
      </c>
      <c r="E613" s="15">
        <v>1.0498</v>
      </c>
      <c r="F613" s="15">
        <v>1.0498</v>
      </c>
      <c r="G613" s="11">
        <v>0.0007</v>
      </c>
      <c r="H613" s="9">
        <f>MAX($F$513:F613)</f>
        <v>1.0503</v>
      </c>
      <c r="I613" s="11">
        <f t="shared" si="15"/>
        <v>0.00047605446063026</v>
      </c>
      <c r="J613" s="9"/>
      <c r="K613" s="11"/>
      <c r="L613" s="9"/>
      <c r="M613" s="11"/>
      <c r="N613" s="9" t="s">
        <v>797</v>
      </c>
    </row>
    <row r="614" ht="25" customHeight="1" spans="1:14">
      <c r="A614" s="9" t="s">
        <v>145</v>
      </c>
      <c r="B614" s="9" t="s">
        <v>144</v>
      </c>
      <c r="C614" s="10">
        <v>46224</v>
      </c>
      <c r="D614" s="15">
        <v>1.058</v>
      </c>
      <c r="E614" s="15">
        <v>1.058</v>
      </c>
      <c r="F614" s="15">
        <v>1.058</v>
      </c>
      <c r="G614" s="11">
        <v>0.0078</v>
      </c>
      <c r="H614" s="9">
        <f>MAX($F$513:F614)</f>
        <v>1.058</v>
      </c>
      <c r="I614" s="11">
        <f t="shared" si="15"/>
        <v>0</v>
      </c>
      <c r="J614" s="9"/>
      <c r="K614" s="11"/>
      <c r="L614" s="9"/>
      <c r="M614" s="11"/>
      <c r="N614" s="9" t="s">
        <v>797</v>
      </c>
    </row>
    <row r="615" ht="25" customHeight="1" spans="1:14">
      <c r="A615" s="9" t="s">
        <v>145</v>
      </c>
      <c r="B615" s="9" t="s">
        <v>144</v>
      </c>
      <c r="C615" s="10">
        <v>46225</v>
      </c>
      <c r="D615" s="15">
        <v>1.0604</v>
      </c>
      <c r="E615" s="15">
        <v>1.0604</v>
      </c>
      <c r="F615" s="15">
        <v>1.0604</v>
      </c>
      <c r="G615" s="11">
        <v>0.0023</v>
      </c>
      <c r="H615" s="9">
        <f>MAX($F$513:F615)</f>
        <v>1.0604</v>
      </c>
      <c r="I615" s="11">
        <f t="shared" si="15"/>
        <v>0</v>
      </c>
      <c r="J615" s="9"/>
      <c r="K615" s="11"/>
      <c r="L615" s="9"/>
      <c r="M615" s="11"/>
      <c r="N615" s="9" t="s">
        <v>797</v>
      </c>
    </row>
    <row r="616" ht="25" customHeight="1" spans="1:14">
      <c r="A616" s="9" t="s">
        <v>145</v>
      </c>
      <c r="B616" s="9" t="s">
        <v>144</v>
      </c>
      <c r="C616" s="10">
        <v>46226</v>
      </c>
      <c r="D616" s="15">
        <v>1.0616</v>
      </c>
      <c r="E616" s="15">
        <v>1.0616</v>
      </c>
      <c r="F616" s="15">
        <v>1.0616</v>
      </c>
      <c r="G616" s="11">
        <v>0.0011</v>
      </c>
      <c r="H616" s="9">
        <f>MAX($F$513:F616)</f>
        <v>1.0616</v>
      </c>
      <c r="I616" s="11">
        <f t="shared" si="15"/>
        <v>0</v>
      </c>
      <c r="J616" s="9"/>
      <c r="K616" s="11"/>
      <c r="L616" s="9"/>
      <c r="M616" s="11"/>
      <c r="N616" s="9" t="s">
        <v>797</v>
      </c>
    </row>
    <row r="617" ht="25" customHeight="1" spans="1:14">
      <c r="A617" s="9" t="s">
        <v>145</v>
      </c>
      <c r="B617" s="9" t="s">
        <v>144</v>
      </c>
      <c r="C617" s="10">
        <v>46227</v>
      </c>
      <c r="D617" s="15">
        <v>1.059</v>
      </c>
      <c r="E617" s="15">
        <v>1.059</v>
      </c>
      <c r="F617" s="15">
        <v>1.059</v>
      </c>
      <c r="G617" s="11">
        <v>-0.0024</v>
      </c>
      <c r="H617" s="9">
        <f>MAX($F$513:F617)</f>
        <v>1.0616</v>
      </c>
      <c r="I617" s="11">
        <f t="shared" si="15"/>
        <v>0.00244913338357211</v>
      </c>
      <c r="J617" s="9"/>
      <c r="K617" s="11"/>
      <c r="L617" s="9"/>
      <c r="M617" s="11"/>
      <c r="N617" s="9" t="s">
        <v>797</v>
      </c>
    </row>
    <row r="618" ht="25" customHeight="1" spans="1:14">
      <c r="A618" s="9" t="s">
        <v>145</v>
      </c>
      <c r="B618" s="9" t="s">
        <v>144</v>
      </c>
      <c r="C618" s="10">
        <v>46230</v>
      </c>
      <c r="D618" s="15">
        <v>1.0592</v>
      </c>
      <c r="E618" s="15">
        <v>1.0592</v>
      </c>
      <c r="F618" s="15">
        <v>1.0592</v>
      </c>
      <c r="G618" s="11">
        <v>0.0002</v>
      </c>
      <c r="H618" s="9">
        <f>MAX($F$513:F618)</f>
        <v>1.0616</v>
      </c>
      <c r="I618" s="11">
        <f t="shared" si="15"/>
        <v>0.00226073850791275</v>
      </c>
      <c r="J618" s="9"/>
      <c r="K618" s="11"/>
      <c r="L618" s="9"/>
      <c r="M618" s="11"/>
      <c r="N618" s="9" t="s">
        <v>797</v>
      </c>
    </row>
    <row r="619" ht="25" customHeight="1" spans="1:14">
      <c r="A619" s="9" t="s">
        <v>145</v>
      </c>
      <c r="B619" s="9" t="s">
        <v>144</v>
      </c>
      <c r="C619" s="10">
        <v>46231</v>
      </c>
      <c r="D619" s="15">
        <v>1.0594</v>
      </c>
      <c r="E619" s="15">
        <v>1.0594</v>
      </c>
      <c r="F619" s="15">
        <v>1.0594</v>
      </c>
      <c r="G619" s="11">
        <v>0.0002</v>
      </c>
      <c r="H619" s="9">
        <f>MAX($F$513:F619)</f>
        <v>1.0616</v>
      </c>
      <c r="I619" s="11">
        <f t="shared" si="15"/>
        <v>0.00207234363225339</v>
      </c>
      <c r="J619" s="9"/>
      <c r="K619" s="11"/>
      <c r="L619" s="9"/>
      <c r="M619" s="11"/>
      <c r="N619" s="9" t="s">
        <v>797</v>
      </c>
    </row>
    <row r="620" ht="25" customHeight="1" spans="1:14">
      <c r="A620" s="9" t="s">
        <v>145</v>
      </c>
      <c r="B620" s="9" t="s">
        <v>144</v>
      </c>
      <c r="C620" s="10">
        <v>46232</v>
      </c>
      <c r="D620" s="15">
        <v>1.0602</v>
      </c>
      <c r="E620" s="15">
        <v>1.0602</v>
      </c>
      <c r="F620" s="15">
        <v>1.0602</v>
      </c>
      <c r="G620" s="11">
        <v>0.0008</v>
      </c>
      <c r="H620" s="9">
        <f>MAX($F$513:F620)</f>
        <v>1.0616</v>
      </c>
      <c r="I620" s="11">
        <f t="shared" si="15"/>
        <v>0.00131876412961573</v>
      </c>
      <c r="J620" s="9"/>
      <c r="K620" s="11"/>
      <c r="L620" s="9"/>
      <c r="M620" s="11"/>
      <c r="N620" s="9" t="s">
        <v>797</v>
      </c>
    </row>
    <row r="621" ht="25" customHeight="1" spans="1:14">
      <c r="A621" s="9" t="s">
        <v>145</v>
      </c>
      <c r="B621" s="9" t="s">
        <v>144</v>
      </c>
      <c r="C621" s="10">
        <v>46233</v>
      </c>
      <c r="D621" s="15">
        <v>1.0575</v>
      </c>
      <c r="E621" s="15">
        <v>1.0575</v>
      </c>
      <c r="F621" s="15">
        <v>1.0575</v>
      </c>
      <c r="G621" s="11">
        <v>-0.0025</v>
      </c>
      <c r="H621" s="9">
        <f>MAX($F$513:F621)</f>
        <v>1.0616</v>
      </c>
      <c r="I621" s="11">
        <f t="shared" si="15"/>
        <v>0.0038620949510173</v>
      </c>
      <c r="J621" s="9"/>
      <c r="K621" s="11"/>
      <c r="L621" s="9"/>
      <c r="M621" s="11"/>
      <c r="N621" s="9" t="s">
        <v>797</v>
      </c>
    </row>
    <row r="622" ht="25" customHeight="1" spans="1:14">
      <c r="A622" s="9" t="s">
        <v>145</v>
      </c>
      <c r="B622" s="9" t="s">
        <v>144</v>
      </c>
      <c r="C622" s="10">
        <v>46234</v>
      </c>
      <c r="D622" s="15">
        <v>1.056</v>
      </c>
      <c r="E622" s="15">
        <v>1.056</v>
      </c>
      <c r="F622" s="15">
        <v>1.056</v>
      </c>
      <c r="G622" s="11">
        <v>-0.0014</v>
      </c>
      <c r="H622" s="9">
        <f>MAX($F$513:F622)</f>
        <v>1.0616</v>
      </c>
      <c r="I622" s="11">
        <f t="shared" si="15"/>
        <v>0.00527505651846272</v>
      </c>
      <c r="J622" s="9"/>
      <c r="K622" s="11"/>
      <c r="L622" s="9"/>
      <c r="M622" s="11"/>
      <c r="N622" s="9" t="s">
        <v>797</v>
      </c>
    </row>
    <row r="623" ht="25" customHeight="1" spans="1:14">
      <c r="A623" s="9" t="s">
        <v>145</v>
      </c>
      <c r="B623" s="9" t="s">
        <v>144</v>
      </c>
      <c r="C623" s="10">
        <v>46237</v>
      </c>
      <c r="D623" s="15">
        <v>1.0565</v>
      </c>
      <c r="E623" s="15">
        <v>1.0565</v>
      </c>
      <c r="F623" s="15">
        <v>1.0565</v>
      </c>
      <c r="G623" s="11">
        <v>0.0005</v>
      </c>
      <c r="H623" s="9">
        <f>MAX($F$513:F623)</f>
        <v>1.0616</v>
      </c>
      <c r="I623" s="11">
        <f t="shared" si="15"/>
        <v>0.00480406932931432</v>
      </c>
      <c r="J623" s="9"/>
      <c r="K623" s="11"/>
      <c r="L623" s="9"/>
      <c r="M623" s="11"/>
      <c r="N623" s="9" t="s">
        <v>797</v>
      </c>
    </row>
    <row r="624" ht="25" customHeight="1" spans="1:14">
      <c r="A624" s="9" t="s">
        <v>145</v>
      </c>
      <c r="B624" s="9" t="s">
        <v>144</v>
      </c>
      <c r="C624" s="10">
        <v>46238</v>
      </c>
      <c r="D624" s="15">
        <v>1.0647</v>
      </c>
      <c r="E624" s="15">
        <v>1.0647</v>
      </c>
      <c r="F624" s="15">
        <v>1.0647</v>
      </c>
      <c r="G624" s="11">
        <v>0.0078</v>
      </c>
      <c r="H624" s="9">
        <f>MAX($F$513:F624)</f>
        <v>1.0647</v>
      </c>
      <c r="I624" s="11">
        <f t="shared" si="15"/>
        <v>0</v>
      </c>
      <c r="J624" s="9"/>
      <c r="K624" s="11"/>
      <c r="L624" s="9"/>
      <c r="M624" s="11"/>
      <c r="N624" s="9" t="s">
        <v>797</v>
      </c>
    </row>
    <row r="625" ht="25" customHeight="1" spans="1:14">
      <c r="A625" s="9" t="s">
        <v>145</v>
      </c>
      <c r="B625" s="9" t="s">
        <v>144</v>
      </c>
      <c r="C625" s="10">
        <v>46239</v>
      </c>
      <c r="D625" s="15">
        <v>1.0717</v>
      </c>
      <c r="E625" s="15">
        <v>1.0717</v>
      </c>
      <c r="F625" s="15">
        <v>1.0717</v>
      </c>
      <c r="G625" s="11">
        <v>0.0066</v>
      </c>
      <c r="H625" s="9">
        <f>MAX($F$513:F625)</f>
        <v>1.0717</v>
      </c>
      <c r="I625" s="11">
        <f t="shared" si="15"/>
        <v>0</v>
      </c>
      <c r="J625" s="9"/>
      <c r="K625" s="11"/>
      <c r="L625" s="9"/>
      <c r="M625" s="11"/>
      <c r="N625" s="9" t="s">
        <v>797</v>
      </c>
    </row>
    <row r="626" ht="25" customHeight="1" spans="1:14">
      <c r="A626" s="9" t="s">
        <v>145</v>
      </c>
      <c r="B626" s="9" t="s">
        <v>144</v>
      </c>
      <c r="C626" s="10">
        <v>46240</v>
      </c>
      <c r="D626" s="15">
        <v>1.0731</v>
      </c>
      <c r="E626" s="15">
        <v>1.0731</v>
      </c>
      <c r="F626" s="15">
        <v>1.0731</v>
      </c>
      <c r="G626" s="11">
        <v>0.0013</v>
      </c>
      <c r="H626" s="9">
        <f>MAX($F$513:F626)</f>
        <v>1.0731</v>
      </c>
      <c r="I626" s="11">
        <f t="shared" si="15"/>
        <v>0</v>
      </c>
      <c r="J626" s="9"/>
      <c r="K626" s="11"/>
      <c r="L626" s="9"/>
      <c r="M626" s="11"/>
      <c r="N626" s="9" t="s">
        <v>797</v>
      </c>
    </row>
    <row r="627" ht="25" customHeight="1" spans="1:14">
      <c r="A627" s="9" t="s">
        <v>145</v>
      </c>
      <c r="B627" s="9" t="s">
        <v>144</v>
      </c>
      <c r="C627" s="10">
        <v>46241</v>
      </c>
      <c r="D627" s="15">
        <v>1.0763</v>
      </c>
      <c r="E627" s="15">
        <v>1.0763</v>
      </c>
      <c r="F627" s="15">
        <v>1.0763</v>
      </c>
      <c r="G627" s="11">
        <v>0.003</v>
      </c>
      <c r="H627" s="9">
        <f>MAX($F$513:F627)</f>
        <v>1.0763</v>
      </c>
      <c r="I627" s="11">
        <f t="shared" si="15"/>
        <v>0</v>
      </c>
      <c r="J627" s="9"/>
      <c r="K627" s="11"/>
      <c r="L627" s="9"/>
      <c r="M627" s="11"/>
      <c r="N627" s="9" t="s">
        <v>797</v>
      </c>
    </row>
    <row r="628" ht="25" customHeight="1" spans="1:14">
      <c r="A628" s="9" t="s">
        <v>145</v>
      </c>
      <c r="B628" s="9" t="s">
        <v>144</v>
      </c>
      <c r="C628" s="10">
        <v>46244</v>
      </c>
      <c r="D628" s="15">
        <v>1.0775</v>
      </c>
      <c r="E628" s="15">
        <v>1.0775</v>
      </c>
      <c r="F628" s="15">
        <v>1.0775</v>
      </c>
      <c r="G628" s="11">
        <v>0.0011</v>
      </c>
      <c r="H628" s="9">
        <f>MAX($F$513:F628)</f>
        <v>1.0775</v>
      </c>
      <c r="I628" s="11">
        <f t="shared" si="15"/>
        <v>0</v>
      </c>
      <c r="J628" s="9"/>
      <c r="K628" s="11"/>
      <c r="L628" s="9"/>
      <c r="M628" s="11"/>
      <c r="N628" s="9" t="s">
        <v>797</v>
      </c>
    </row>
    <row r="629" ht="25" customHeight="1" spans="1:14">
      <c r="A629" s="9" t="s">
        <v>145</v>
      </c>
      <c r="B629" s="9" t="s">
        <v>144</v>
      </c>
      <c r="C629" s="10">
        <v>46245</v>
      </c>
      <c r="D629" s="15">
        <v>1.0772</v>
      </c>
      <c r="E629" s="15">
        <v>1.0772</v>
      </c>
      <c r="F629" s="15">
        <v>1.0772</v>
      </c>
      <c r="G629" s="11">
        <v>-0.0003</v>
      </c>
      <c r="H629" s="9">
        <f>MAX($F$513:F629)</f>
        <v>1.0775</v>
      </c>
      <c r="I629" s="11">
        <f t="shared" si="15"/>
        <v>0.000278422273781831</v>
      </c>
      <c r="J629" s="9"/>
      <c r="K629" s="11"/>
      <c r="L629" s="9"/>
      <c r="M629" s="11"/>
      <c r="N629" s="9" t="s">
        <v>797</v>
      </c>
    </row>
    <row r="630" ht="25" customHeight="1" spans="1:14">
      <c r="A630" s="9" t="s">
        <v>145</v>
      </c>
      <c r="B630" s="9" t="s">
        <v>144</v>
      </c>
      <c r="C630" s="10">
        <v>46246</v>
      </c>
      <c r="D630" s="15">
        <v>1.0823</v>
      </c>
      <c r="E630" s="15">
        <v>1.0823</v>
      </c>
      <c r="F630" s="15">
        <v>1.0823</v>
      </c>
      <c r="G630" s="11">
        <v>0.0047</v>
      </c>
      <c r="H630" s="9">
        <f>MAX($F$513:F630)</f>
        <v>1.0823</v>
      </c>
      <c r="I630" s="11">
        <f t="shared" si="15"/>
        <v>0</v>
      </c>
      <c r="J630" s="9"/>
      <c r="K630" s="11"/>
      <c r="L630" s="9"/>
      <c r="M630" s="11"/>
      <c r="N630" s="9" t="s">
        <v>797</v>
      </c>
    </row>
    <row r="631" ht="25" customHeight="1" spans="1:14">
      <c r="A631" s="9" t="s">
        <v>145</v>
      </c>
      <c r="B631" s="9" t="s">
        <v>144</v>
      </c>
      <c r="C631" s="10">
        <v>46247</v>
      </c>
      <c r="D631" s="15">
        <v>1.0813</v>
      </c>
      <c r="E631" s="15">
        <v>1.0813</v>
      </c>
      <c r="F631" s="15">
        <v>1.0813</v>
      </c>
      <c r="G631" s="11">
        <v>-0.0009</v>
      </c>
      <c r="H631" s="9">
        <f>MAX($F$513:F631)</f>
        <v>1.0823</v>
      </c>
      <c r="I631" s="11">
        <f t="shared" si="15"/>
        <v>0.000923958237087796</v>
      </c>
      <c r="J631" s="9"/>
      <c r="K631" s="11"/>
      <c r="L631" s="9"/>
      <c r="M631" s="11"/>
      <c r="N631" s="9" t="s">
        <v>797</v>
      </c>
    </row>
    <row r="632" ht="25" customHeight="1" spans="1:14">
      <c r="A632" s="9" t="s">
        <v>145</v>
      </c>
      <c r="B632" s="9" t="s">
        <v>144</v>
      </c>
      <c r="C632" s="10">
        <v>46248</v>
      </c>
      <c r="D632" s="15">
        <v>1.0829</v>
      </c>
      <c r="E632" s="15">
        <v>1.0829</v>
      </c>
      <c r="F632" s="15">
        <v>1.0829</v>
      </c>
      <c r="G632" s="11">
        <v>0.0015</v>
      </c>
      <c r="H632" s="9">
        <f>MAX($F$513:F632)</f>
        <v>1.0829</v>
      </c>
      <c r="I632" s="11">
        <f t="shared" si="15"/>
        <v>0</v>
      </c>
      <c r="J632" s="9"/>
      <c r="K632" s="11"/>
      <c r="L632" s="9"/>
      <c r="M632" s="11"/>
      <c r="N632" s="9" t="s">
        <v>797</v>
      </c>
    </row>
    <row r="633" ht="25" customHeight="1" spans="1:14">
      <c r="A633" s="9" t="s">
        <v>145</v>
      </c>
      <c r="B633" s="9" t="s">
        <v>144</v>
      </c>
      <c r="C633" s="10">
        <v>46251</v>
      </c>
      <c r="D633" s="15">
        <v>1.0867</v>
      </c>
      <c r="E633" s="15">
        <v>1.0867</v>
      </c>
      <c r="F633" s="15">
        <v>1.0867</v>
      </c>
      <c r="G633" s="11">
        <v>0.0035</v>
      </c>
      <c r="H633" s="9">
        <f>MAX($F$513:F633)</f>
        <v>1.0867</v>
      </c>
      <c r="I633" s="11">
        <f t="shared" si="15"/>
        <v>0</v>
      </c>
      <c r="J633" s="9"/>
      <c r="K633" s="11"/>
      <c r="L633" s="9"/>
      <c r="M633" s="11"/>
      <c r="N633" s="9" t="s">
        <v>797</v>
      </c>
    </row>
    <row r="634" ht="25" customHeight="1" spans="1:14">
      <c r="A634" s="9" t="s">
        <v>145</v>
      </c>
      <c r="B634" s="9" t="s">
        <v>144</v>
      </c>
      <c r="C634" s="10">
        <v>46252</v>
      </c>
      <c r="D634" s="15">
        <v>1.0853</v>
      </c>
      <c r="E634" s="15">
        <v>1.0853</v>
      </c>
      <c r="F634" s="15">
        <v>1.0853</v>
      </c>
      <c r="G634" s="11">
        <v>-0.0013</v>
      </c>
      <c r="H634" s="9">
        <f>MAX($F$513:F634)</f>
        <v>1.0867</v>
      </c>
      <c r="I634" s="11">
        <f t="shared" si="15"/>
        <v>0.00128830403975344</v>
      </c>
      <c r="J634" s="9"/>
      <c r="K634" s="11"/>
      <c r="L634" s="9"/>
      <c r="M634" s="11"/>
      <c r="N634" s="9" t="s">
        <v>797</v>
      </c>
    </row>
    <row r="635" ht="25" customHeight="1" spans="1:14">
      <c r="A635" s="9" t="s">
        <v>145</v>
      </c>
      <c r="B635" s="9" t="s">
        <v>144</v>
      </c>
      <c r="C635" s="10">
        <v>46253</v>
      </c>
      <c r="D635" s="15">
        <v>1.0791</v>
      </c>
      <c r="E635" s="15">
        <v>1.0791</v>
      </c>
      <c r="F635" s="15">
        <v>1.0791</v>
      </c>
      <c r="G635" s="11">
        <v>-0.0057</v>
      </c>
      <c r="H635" s="9">
        <f>MAX($F$513:F635)</f>
        <v>1.0867</v>
      </c>
      <c r="I635" s="11">
        <f t="shared" si="15"/>
        <v>0.00699365050151846</v>
      </c>
      <c r="J635" s="9"/>
      <c r="K635" s="11"/>
      <c r="L635" s="9"/>
      <c r="M635" s="11"/>
      <c r="N635" s="9" t="s">
        <v>797</v>
      </c>
    </row>
    <row r="636" ht="25" customHeight="1" spans="1:14">
      <c r="A636" s="9" t="s">
        <v>145</v>
      </c>
      <c r="B636" s="9" t="s">
        <v>144</v>
      </c>
      <c r="C636" s="10">
        <v>46254</v>
      </c>
      <c r="D636" s="15">
        <v>1.0806</v>
      </c>
      <c r="E636" s="15">
        <v>1.0806</v>
      </c>
      <c r="F636" s="15">
        <v>1.0806</v>
      </c>
      <c r="G636" s="11">
        <v>0.0014</v>
      </c>
      <c r="H636" s="9">
        <f>MAX($F$513:F636)</f>
        <v>1.0867</v>
      </c>
      <c r="I636" s="11">
        <f t="shared" si="15"/>
        <v>0.00561332474463971</v>
      </c>
      <c r="J636" s="9"/>
      <c r="K636" s="11"/>
      <c r="L636" s="9"/>
      <c r="M636" s="11"/>
      <c r="N636" s="9" t="s">
        <v>797</v>
      </c>
    </row>
    <row r="637" ht="25" customHeight="1" spans="1:14">
      <c r="A637" s="9" t="s">
        <v>145</v>
      </c>
      <c r="B637" s="9" t="s">
        <v>144</v>
      </c>
      <c r="C637" s="10">
        <v>46255</v>
      </c>
      <c r="D637" s="15">
        <v>1.0806</v>
      </c>
      <c r="E637" s="15">
        <v>1.0806</v>
      </c>
      <c r="F637" s="15">
        <v>1.0806</v>
      </c>
      <c r="G637" s="11">
        <v>0</v>
      </c>
      <c r="H637" s="9">
        <f>MAX($F$513:F637)</f>
        <v>1.0867</v>
      </c>
      <c r="I637" s="11">
        <f t="shared" si="15"/>
        <v>0.00561332474463971</v>
      </c>
      <c r="J637" s="9"/>
      <c r="K637" s="11"/>
      <c r="L637" s="9"/>
      <c r="M637" s="11"/>
      <c r="N637" s="9" t="s">
        <v>797</v>
      </c>
    </row>
    <row r="638" ht="25" customHeight="1" spans="1:14">
      <c r="A638" s="9" t="s">
        <v>145</v>
      </c>
      <c r="B638" s="9" t="s">
        <v>144</v>
      </c>
      <c r="C638" s="10">
        <v>46258</v>
      </c>
      <c r="D638" s="15">
        <v>1.0822</v>
      </c>
      <c r="E638" s="15">
        <v>1.0822</v>
      </c>
      <c r="F638" s="15">
        <v>1.0822</v>
      </c>
      <c r="G638" s="11">
        <v>0.0015</v>
      </c>
      <c r="H638" s="9">
        <f>MAX($F$513:F638)</f>
        <v>1.0867</v>
      </c>
      <c r="I638" s="11">
        <f t="shared" si="15"/>
        <v>0.00414097727063578</v>
      </c>
      <c r="J638" s="9"/>
      <c r="K638" s="11"/>
      <c r="L638" s="9"/>
      <c r="M638" s="11"/>
      <c r="N638" s="9" t="s">
        <v>797</v>
      </c>
    </row>
    <row r="639" ht="25" customHeight="1" spans="1:14">
      <c r="A639" s="9" t="s">
        <v>145</v>
      </c>
      <c r="B639" s="9" t="s">
        <v>144</v>
      </c>
      <c r="C639" s="10">
        <v>46259</v>
      </c>
      <c r="D639" s="15">
        <v>1.0857</v>
      </c>
      <c r="E639" s="15">
        <v>1.0857</v>
      </c>
      <c r="F639" s="15">
        <v>1.0857</v>
      </c>
      <c r="G639" s="11">
        <v>0.0032</v>
      </c>
      <c r="H639" s="9">
        <f>MAX($F$513:F639)</f>
        <v>1.0867</v>
      </c>
      <c r="I639" s="11">
        <f t="shared" si="15"/>
        <v>0.000920217171252347</v>
      </c>
      <c r="J639" s="9"/>
      <c r="K639" s="11"/>
      <c r="L639" s="9"/>
      <c r="M639" s="11"/>
      <c r="N639" s="9" t="s">
        <v>797</v>
      </c>
    </row>
    <row r="640" ht="25" customHeight="1" spans="1:14">
      <c r="A640" s="9" t="s">
        <v>145</v>
      </c>
      <c r="B640" s="9" t="s">
        <v>144</v>
      </c>
      <c r="C640" s="10">
        <v>46260</v>
      </c>
      <c r="D640" s="15">
        <v>1.0857</v>
      </c>
      <c r="E640" s="15">
        <v>1.0857</v>
      </c>
      <c r="F640" s="15">
        <v>1.0857</v>
      </c>
      <c r="G640" s="11">
        <v>0</v>
      </c>
      <c r="H640" s="9">
        <f>MAX($F$513:F640)</f>
        <v>1.0867</v>
      </c>
      <c r="I640" s="11">
        <f t="shared" si="15"/>
        <v>0.000920217171252347</v>
      </c>
      <c r="J640" s="9"/>
      <c r="K640" s="11"/>
      <c r="L640" s="9"/>
      <c r="M640" s="11"/>
      <c r="N640" s="9" t="s">
        <v>797</v>
      </c>
    </row>
    <row r="641" ht="25" customHeight="1" spans="1:14">
      <c r="A641" s="9" t="s">
        <v>145</v>
      </c>
      <c r="B641" s="9" t="s">
        <v>144</v>
      </c>
      <c r="C641" s="10">
        <v>46261</v>
      </c>
      <c r="D641" s="15">
        <v>1.0854</v>
      </c>
      <c r="E641" s="15">
        <v>1.0854</v>
      </c>
      <c r="F641" s="15">
        <v>1.0854</v>
      </c>
      <c r="G641" s="11">
        <v>-0.0003</v>
      </c>
      <c r="H641" s="9">
        <f>MAX($F$513:F641)</f>
        <v>1.0867</v>
      </c>
      <c r="I641" s="11">
        <f t="shared" si="15"/>
        <v>0.00119628232262825</v>
      </c>
      <c r="J641" s="9"/>
      <c r="K641" s="11"/>
      <c r="L641" s="9"/>
      <c r="M641" s="11"/>
      <c r="N641" s="9" t="s">
        <v>797</v>
      </c>
    </row>
    <row r="642" ht="25" customHeight="1" spans="1:14">
      <c r="A642" s="9" t="s">
        <v>145</v>
      </c>
      <c r="B642" s="9" t="s">
        <v>144</v>
      </c>
      <c r="C642" s="10">
        <v>46262</v>
      </c>
      <c r="D642" s="15">
        <v>1.0865</v>
      </c>
      <c r="E642" s="15">
        <v>1.0865</v>
      </c>
      <c r="F642" s="15">
        <v>1.0865</v>
      </c>
      <c r="G642" s="11">
        <v>0.001</v>
      </c>
      <c r="H642" s="9">
        <f>MAX($F$513:F642)</f>
        <v>1.0867</v>
      </c>
      <c r="I642" s="11">
        <f t="shared" ref="I642:I705" si="16">1-F642/H642</f>
        <v>0.000184043434250492</v>
      </c>
      <c r="J642" s="9"/>
      <c r="K642" s="11"/>
      <c r="L642" s="9"/>
      <c r="M642" s="11"/>
      <c r="N642" s="9" t="s">
        <v>797</v>
      </c>
    </row>
    <row r="643" ht="25" customHeight="1" spans="1:14">
      <c r="A643" s="9" t="s">
        <v>145</v>
      </c>
      <c r="B643" s="9" t="s">
        <v>144</v>
      </c>
      <c r="C643" s="10">
        <v>46265</v>
      </c>
      <c r="D643" s="15">
        <v>1.0837</v>
      </c>
      <c r="E643" s="15">
        <v>1.0837</v>
      </c>
      <c r="F643" s="15">
        <v>1.0837</v>
      </c>
      <c r="G643" s="11">
        <v>-0.0026</v>
      </c>
      <c r="H643" s="9">
        <f>MAX($F$513:F643)</f>
        <v>1.0867</v>
      </c>
      <c r="I643" s="11">
        <f t="shared" si="16"/>
        <v>0.00276065151375715</v>
      </c>
      <c r="J643" s="9"/>
      <c r="K643" s="11"/>
      <c r="L643" s="9"/>
      <c r="M643" s="11"/>
      <c r="N643" s="9" t="s">
        <v>797</v>
      </c>
    </row>
    <row r="644" ht="25" customHeight="1" spans="1:14">
      <c r="A644" s="9" t="s">
        <v>145</v>
      </c>
      <c r="B644" s="9" t="s">
        <v>144</v>
      </c>
      <c r="C644" s="10">
        <v>46266</v>
      </c>
      <c r="D644" s="15">
        <v>1.085</v>
      </c>
      <c r="E644" s="15">
        <v>1.085</v>
      </c>
      <c r="F644" s="15">
        <v>1.085</v>
      </c>
      <c r="G644" s="11">
        <v>0.0012</v>
      </c>
      <c r="H644" s="9">
        <f>MAX($F$513:F644)</f>
        <v>1.0867</v>
      </c>
      <c r="I644" s="11">
        <f t="shared" si="16"/>
        <v>0.00156436919112912</v>
      </c>
      <c r="J644" s="9"/>
      <c r="K644" s="11"/>
      <c r="L644" s="9"/>
      <c r="M644" s="11"/>
      <c r="N644" s="9" t="s">
        <v>797</v>
      </c>
    </row>
    <row r="645" ht="25" customHeight="1" spans="1:14">
      <c r="A645" s="9" t="s">
        <v>145</v>
      </c>
      <c r="B645" s="9" t="s">
        <v>144</v>
      </c>
      <c r="C645" s="10">
        <v>46267</v>
      </c>
      <c r="D645" s="15">
        <v>1.0855</v>
      </c>
      <c r="E645" s="15">
        <v>1.0855</v>
      </c>
      <c r="F645" s="15">
        <v>1.0855</v>
      </c>
      <c r="G645" s="11">
        <v>0.0005</v>
      </c>
      <c r="H645" s="9">
        <f>MAX($F$513:F645)</f>
        <v>1.0867</v>
      </c>
      <c r="I645" s="11">
        <f t="shared" si="16"/>
        <v>0.00110426060550295</v>
      </c>
      <c r="J645" s="9"/>
      <c r="K645" s="11"/>
      <c r="L645" s="9"/>
      <c r="M645" s="11"/>
      <c r="N645" s="9" t="s">
        <v>797</v>
      </c>
    </row>
    <row r="646" ht="25" customHeight="1" spans="1:14">
      <c r="A646" s="9" t="s">
        <v>145</v>
      </c>
      <c r="B646" s="9" t="s">
        <v>144</v>
      </c>
      <c r="C646" s="10">
        <v>46268</v>
      </c>
      <c r="D646" s="15">
        <v>1.0874</v>
      </c>
      <c r="E646" s="15">
        <v>1.0874</v>
      </c>
      <c r="F646" s="15">
        <v>1.0874</v>
      </c>
      <c r="G646" s="11">
        <v>0.0018</v>
      </c>
      <c r="H646" s="9">
        <f>MAX($F$513:F646)</f>
        <v>1.0874</v>
      </c>
      <c r="I646" s="11">
        <f t="shared" si="16"/>
        <v>0</v>
      </c>
      <c r="J646" s="9"/>
      <c r="K646" s="11"/>
      <c r="L646" s="9"/>
      <c r="M646" s="11"/>
      <c r="N646" s="9" t="s">
        <v>797</v>
      </c>
    </row>
    <row r="647" ht="25" customHeight="1" spans="1:14">
      <c r="A647" s="9" t="s">
        <v>145</v>
      </c>
      <c r="B647" s="9" t="s">
        <v>144</v>
      </c>
      <c r="C647" s="10">
        <v>46269</v>
      </c>
      <c r="D647" s="15">
        <v>1.0868</v>
      </c>
      <c r="E647" s="15">
        <v>1.0868</v>
      </c>
      <c r="F647" s="15">
        <v>1.0868</v>
      </c>
      <c r="G647" s="11">
        <v>-0.0006</v>
      </c>
      <c r="H647" s="9">
        <f>MAX($F$513:F647)</f>
        <v>1.0874</v>
      </c>
      <c r="I647" s="11">
        <f t="shared" si="16"/>
        <v>0.000551774875850564</v>
      </c>
      <c r="J647" s="9"/>
      <c r="K647" s="11"/>
      <c r="L647" s="9"/>
      <c r="M647" s="11"/>
      <c r="N647" s="9" t="s">
        <v>797</v>
      </c>
    </row>
    <row r="648" ht="25" customHeight="1" spans="1:14">
      <c r="A648" s="9" t="s">
        <v>145</v>
      </c>
      <c r="B648" s="9" t="s">
        <v>144</v>
      </c>
      <c r="C648" s="10">
        <v>46272</v>
      </c>
      <c r="D648" s="15">
        <v>1.0909</v>
      </c>
      <c r="E648" s="15">
        <v>1.0909</v>
      </c>
      <c r="F648" s="15">
        <v>1.0909</v>
      </c>
      <c r="G648" s="11">
        <v>0.0038</v>
      </c>
      <c r="H648" s="9">
        <f>MAX($F$513:F648)</f>
        <v>1.0909</v>
      </c>
      <c r="I648" s="11">
        <f t="shared" si="16"/>
        <v>0</v>
      </c>
      <c r="J648" s="9"/>
      <c r="K648" s="11"/>
      <c r="L648" s="9"/>
      <c r="M648" s="11"/>
      <c r="N648" s="9" t="s">
        <v>797</v>
      </c>
    </row>
    <row r="649" ht="25" customHeight="1" spans="1:14">
      <c r="A649" s="9" t="s">
        <v>145</v>
      </c>
      <c r="B649" s="9" t="s">
        <v>144</v>
      </c>
      <c r="C649" s="10">
        <v>46273</v>
      </c>
      <c r="D649" s="15">
        <v>1.0899</v>
      </c>
      <c r="E649" s="15">
        <v>1.0899</v>
      </c>
      <c r="F649" s="15">
        <v>1.0899</v>
      </c>
      <c r="G649" s="11">
        <v>-0.0009</v>
      </c>
      <c r="H649" s="9">
        <f>MAX($F$513:F649)</f>
        <v>1.0909</v>
      </c>
      <c r="I649" s="11">
        <f t="shared" si="16"/>
        <v>0.000916674305619147</v>
      </c>
      <c r="J649" s="9"/>
      <c r="K649" s="11"/>
      <c r="L649" s="9"/>
      <c r="M649" s="11"/>
      <c r="N649" s="9" t="s">
        <v>797</v>
      </c>
    </row>
    <row r="650" ht="25" customHeight="1" spans="1:14">
      <c r="A650" s="9" t="s">
        <v>145</v>
      </c>
      <c r="B650" s="9" t="s">
        <v>144</v>
      </c>
      <c r="C650" s="10">
        <v>46274</v>
      </c>
      <c r="D650" s="15">
        <v>1.0903</v>
      </c>
      <c r="E650" s="15">
        <v>1.0903</v>
      </c>
      <c r="F650" s="15">
        <v>1.0903</v>
      </c>
      <c r="G650" s="11">
        <v>0.0004</v>
      </c>
      <c r="H650" s="9">
        <f>MAX($F$513:F650)</f>
        <v>1.0909</v>
      </c>
      <c r="I650" s="11">
        <f t="shared" si="16"/>
        <v>0.000550004583371511</v>
      </c>
      <c r="J650" s="9"/>
      <c r="K650" s="11"/>
      <c r="L650" s="9"/>
      <c r="M650" s="11"/>
      <c r="N650" s="9" t="s">
        <v>797</v>
      </c>
    </row>
    <row r="651" ht="25" customHeight="1" spans="1:14">
      <c r="A651" s="9" t="s">
        <v>145</v>
      </c>
      <c r="B651" s="9" t="s">
        <v>144</v>
      </c>
      <c r="C651" s="10">
        <v>46275</v>
      </c>
      <c r="D651" s="15">
        <v>1.0881</v>
      </c>
      <c r="E651" s="15">
        <v>1.0881</v>
      </c>
      <c r="F651" s="15">
        <v>1.0881</v>
      </c>
      <c r="G651" s="11">
        <v>-0.002</v>
      </c>
      <c r="H651" s="9">
        <f>MAX($F$513:F651)</f>
        <v>1.0909</v>
      </c>
      <c r="I651" s="11">
        <f t="shared" si="16"/>
        <v>0.00256668805573368</v>
      </c>
      <c r="J651" s="9"/>
      <c r="K651" s="11"/>
      <c r="L651" s="9"/>
      <c r="M651" s="11"/>
      <c r="N651" s="9" t="s">
        <v>797</v>
      </c>
    </row>
    <row r="652" ht="25" customHeight="1" spans="1:14">
      <c r="A652" s="9" t="s">
        <v>213</v>
      </c>
      <c r="B652" s="9" t="s">
        <v>211</v>
      </c>
      <c r="C652" s="10">
        <v>46094</v>
      </c>
      <c r="D652" s="15">
        <v>1</v>
      </c>
      <c r="E652" s="15">
        <v>1</v>
      </c>
      <c r="F652" s="15">
        <v>1</v>
      </c>
      <c r="G652" s="11"/>
      <c r="H652" s="9">
        <f>MAX($F$652:F652)</f>
        <v>1</v>
      </c>
      <c r="I652" s="11">
        <f t="shared" si="16"/>
        <v>0</v>
      </c>
      <c r="J652" s="9"/>
      <c r="K652" s="11"/>
      <c r="L652" s="9"/>
      <c r="M652" s="11"/>
      <c r="N652" s="9" t="s">
        <v>802</v>
      </c>
    </row>
    <row r="653" ht="25" customHeight="1" spans="1:14">
      <c r="A653" s="9" t="s">
        <v>213</v>
      </c>
      <c r="B653" s="9" t="s">
        <v>211</v>
      </c>
      <c r="C653" s="10">
        <v>46097</v>
      </c>
      <c r="D653" s="15">
        <v>1</v>
      </c>
      <c r="E653" s="15">
        <v>1</v>
      </c>
      <c r="F653" s="15">
        <v>1</v>
      </c>
      <c r="G653" s="11">
        <v>0</v>
      </c>
      <c r="H653" s="9">
        <f>MAX($F$652:F653)</f>
        <v>1</v>
      </c>
      <c r="I653" s="11">
        <f t="shared" si="16"/>
        <v>0</v>
      </c>
      <c r="J653" s="9"/>
      <c r="K653" s="11"/>
      <c r="L653" s="9"/>
      <c r="M653" s="11"/>
      <c r="N653" s="9" t="s">
        <v>802</v>
      </c>
    </row>
    <row r="654" ht="25" customHeight="1" spans="1:14">
      <c r="A654" s="9" t="s">
        <v>213</v>
      </c>
      <c r="B654" s="9" t="s">
        <v>211</v>
      </c>
      <c r="C654" s="10">
        <v>46098</v>
      </c>
      <c r="D654" s="15">
        <v>1</v>
      </c>
      <c r="E654" s="15">
        <v>1</v>
      </c>
      <c r="F654" s="15">
        <v>1</v>
      </c>
      <c r="G654" s="11">
        <v>0</v>
      </c>
      <c r="H654" s="9">
        <f>MAX($F$652:F654)</f>
        <v>1</v>
      </c>
      <c r="I654" s="11">
        <f t="shared" si="16"/>
        <v>0</v>
      </c>
      <c r="J654" s="9"/>
      <c r="K654" s="11"/>
      <c r="L654" s="9"/>
      <c r="M654" s="11"/>
      <c r="N654" s="9" t="s">
        <v>802</v>
      </c>
    </row>
    <row r="655" ht="25" customHeight="1" spans="1:14">
      <c r="A655" s="9" t="s">
        <v>213</v>
      </c>
      <c r="B655" s="9" t="s">
        <v>211</v>
      </c>
      <c r="C655" s="10">
        <v>46099</v>
      </c>
      <c r="D655" s="15">
        <v>1</v>
      </c>
      <c r="E655" s="15">
        <v>1</v>
      </c>
      <c r="F655" s="15">
        <v>1</v>
      </c>
      <c r="G655" s="11">
        <v>0</v>
      </c>
      <c r="H655" s="9">
        <f>MAX($F$652:F655)</f>
        <v>1</v>
      </c>
      <c r="I655" s="11">
        <f t="shared" si="16"/>
        <v>0</v>
      </c>
      <c r="J655" s="9"/>
      <c r="K655" s="11"/>
      <c r="L655" s="9"/>
      <c r="M655" s="11"/>
      <c r="N655" s="9" t="s">
        <v>802</v>
      </c>
    </row>
    <row r="656" ht="25" customHeight="1" spans="1:14">
      <c r="A656" s="9" t="s">
        <v>213</v>
      </c>
      <c r="B656" s="9" t="s">
        <v>211</v>
      </c>
      <c r="C656" s="10">
        <v>46100</v>
      </c>
      <c r="D656" s="15">
        <v>1</v>
      </c>
      <c r="E656" s="15">
        <v>1</v>
      </c>
      <c r="F656" s="15">
        <v>1</v>
      </c>
      <c r="G656" s="11">
        <v>0</v>
      </c>
      <c r="H656" s="9">
        <f>MAX($F$652:F656)</f>
        <v>1</v>
      </c>
      <c r="I656" s="11">
        <f t="shared" si="16"/>
        <v>0</v>
      </c>
      <c r="J656" s="9"/>
      <c r="K656" s="11"/>
      <c r="L656" s="9"/>
      <c r="M656" s="11"/>
      <c r="N656" s="9" t="s">
        <v>802</v>
      </c>
    </row>
    <row r="657" ht="25" customHeight="1" spans="1:14">
      <c r="A657" s="9" t="s">
        <v>213</v>
      </c>
      <c r="B657" s="9" t="s">
        <v>211</v>
      </c>
      <c r="C657" s="10">
        <v>46101</v>
      </c>
      <c r="D657" s="15">
        <v>1</v>
      </c>
      <c r="E657" s="15">
        <v>1</v>
      </c>
      <c r="F657" s="15">
        <v>1</v>
      </c>
      <c r="G657" s="11">
        <v>0</v>
      </c>
      <c r="H657" s="9">
        <f>MAX($F$652:F657)</f>
        <v>1</v>
      </c>
      <c r="I657" s="11">
        <f t="shared" si="16"/>
        <v>0</v>
      </c>
      <c r="J657" s="9"/>
      <c r="K657" s="11"/>
      <c r="L657" s="9"/>
      <c r="M657" s="11"/>
      <c r="N657" s="9" t="s">
        <v>802</v>
      </c>
    </row>
    <row r="658" ht="25" customHeight="1" spans="1:14">
      <c r="A658" s="9" t="s">
        <v>213</v>
      </c>
      <c r="B658" s="9" t="s">
        <v>211</v>
      </c>
      <c r="C658" s="10">
        <v>46104</v>
      </c>
      <c r="D658" s="15">
        <v>1</v>
      </c>
      <c r="E658" s="15">
        <v>1</v>
      </c>
      <c r="F658" s="15">
        <v>1</v>
      </c>
      <c r="G658" s="11">
        <v>0</v>
      </c>
      <c r="H658" s="9">
        <f>MAX($F$652:F658)</f>
        <v>1</v>
      </c>
      <c r="I658" s="11">
        <f t="shared" si="16"/>
        <v>0</v>
      </c>
      <c r="J658" s="9"/>
      <c r="K658" s="11"/>
      <c r="L658" s="9"/>
      <c r="M658" s="11"/>
      <c r="N658" s="9" t="s">
        <v>802</v>
      </c>
    </row>
    <row r="659" ht="25" customHeight="1" spans="1:14">
      <c r="A659" s="9" t="s">
        <v>213</v>
      </c>
      <c r="B659" s="9" t="s">
        <v>211</v>
      </c>
      <c r="C659" s="10">
        <v>46105</v>
      </c>
      <c r="D659" s="15">
        <v>1.0001</v>
      </c>
      <c r="E659" s="15">
        <v>1.0001</v>
      </c>
      <c r="F659" s="15">
        <v>1.0001</v>
      </c>
      <c r="G659" s="11">
        <v>0.0001</v>
      </c>
      <c r="H659" s="9">
        <f>MAX($F$652:F659)</f>
        <v>1.0001</v>
      </c>
      <c r="I659" s="11">
        <f t="shared" si="16"/>
        <v>0</v>
      </c>
      <c r="J659" s="9"/>
      <c r="K659" s="11"/>
      <c r="L659" s="9"/>
      <c r="M659" s="11"/>
      <c r="N659" s="9" t="s">
        <v>802</v>
      </c>
    </row>
    <row r="660" ht="25" customHeight="1" spans="1:14">
      <c r="A660" s="9" t="s">
        <v>213</v>
      </c>
      <c r="B660" s="9" t="s">
        <v>211</v>
      </c>
      <c r="C660" s="10">
        <v>46106</v>
      </c>
      <c r="D660" s="15">
        <v>1.0001</v>
      </c>
      <c r="E660" s="15">
        <v>1.0001</v>
      </c>
      <c r="F660" s="15">
        <v>1.0001</v>
      </c>
      <c r="G660" s="11">
        <v>0</v>
      </c>
      <c r="H660" s="9">
        <f>MAX($F$652:F660)</f>
        <v>1.0001</v>
      </c>
      <c r="I660" s="11">
        <f t="shared" si="16"/>
        <v>0</v>
      </c>
      <c r="J660" s="9"/>
      <c r="K660" s="11"/>
      <c r="L660" s="9"/>
      <c r="M660" s="11"/>
      <c r="N660" s="9" t="s">
        <v>802</v>
      </c>
    </row>
    <row r="661" ht="25" customHeight="1" spans="1:14">
      <c r="A661" s="9" t="s">
        <v>213</v>
      </c>
      <c r="B661" s="9" t="s">
        <v>211</v>
      </c>
      <c r="C661" s="10">
        <v>46107</v>
      </c>
      <c r="D661" s="15">
        <v>1.0001</v>
      </c>
      <c r="E661" s="15">
        <v>1.0001</v>
      </c>
      <c r="F661" s="15">
        <v>1.0001</v>
      </c>
      <c r="G661" s="11">
        <v>0</v>
      </c>
      <c r="H661" s="9">
        <f>MAX($F$652:F661)</f>
        <v>1.0001</v>
      </c>
      <c r="I661" s="11">
        <f t="shared" si="16"/>
        <v>0</v>
      </c>
      <c r="J661" s="9"/>
      <c r="K661" s="11"/>
      <c r="L661" s="9"/>
      <c r="M661" s="11"/>
      <c r="N661" s="9" t="s">
        <v>802</v>
      </c>
    </row>
    <row r="662" ht="25" customHeight="1" spans="1:14">
      <c r="A662" s="9" t="s">
        <v>213</v>
      </c>
      <c r="B662" s="9" t="s">
        <v>211</v>
      </c>
      <c r="C662" s="10">
        <v>46108</v>
      </c>
      <c r="D662" s="15">
        <v>1.0001</v>
      </c>
      <c r="E662" s="15">
        <v>1.0001</v>
      </c>
      <c r="F662" s="15">
        <v>1.0001</v>
      </c>
      <c r="G662" s="11">
        <v>0</v>
      </c>
      <c r="H662" s="9">
        <f>MAX($F$652:F662)</f>
        <v>1.0001</v>
      </c>
      <c r="I662" s="11">
        <f t="shared" si="16"/>
        <v>0</v>
      </c>
      <c r="J662" s="9"/>
      <c r="K662" s="11"/>
      <c r="L662" s="9"/>
      <c r="M662" s="11"/>
      <c r="N662" s="9" t="s">
        <v>802</v>
      </c>
    </row>
    <row r="663" ht="25" customHeight="1" spans="1:14">
      <c r="A663" s="9" t="s">
        <v>213</v>
      </c>
      <c r="B663" s="9" t="s">
        <v>211</v>
      </c>
      <c r="C663" s="10">
        <v>46111</v>
      </c>
      <c r="D663" s="15">
        <v>1</v>
      </c>
      <c r="E663" s="15">
        <v>1</v>
      </c>
      <c r="F663" s="15">
        <v>1</v>
      </c>
      <c r="G663" s="11">
        <v>-0.0001</v>
      </c>
      <c r="H663" s="9">
        <f>MAX($F$652:F663)</f>
        <v>1.0001</v>
      </c>
      <c r="I663" s="11">
        <f t="shared" si="16"/>
        <v>9.99900009999166e-5</v>
      </c>
      <c r="J663" s="9"/>
      <c r="K663" s="11"/>
      <c r="L663" s="9"/>
      <c r="M663" s="11"/>
      <c r="N663" s="9" t="s">
        <v>802</v>
      </c>
    </row>
    <row r="664" ht="25" customHeight="1" spans="1:14">
      <c r="A664" s="9" t="s">
        <v>213</v>
      </c>
      <c r="B664" s="9" t="s">
        <v>211</v>
      </c>
      <c r="C664" s="10">
        <v>46112</v>
      </c>
      <c r="D664" s="15">
        <v>1</v>
      </c>
      <c r="E664" s="15">
        <v>1</v>
      </c>
      <c r="F664" s="15">
        <v>1</v>
      </c>
      <c r="G664" s="11">
        <v>0</v>
      </c>
      <c r="H664" s="9">
        <f>MAX($F$652:F664)</f>
        <v>1.0001</v>
      </c>
      <c r="I664" s="11">
        <f t="shared" si="16"/>
        <v>9.99900009999166e-5</v>
      </c>
      <c r="J664" s="9"/>
      <c r="K664" s="11"/>
      <c r="L664" s="9"/>
      <c r="M664" s="11"/>
      <c r="N664" s="9" t="s">
        <v>802</v>
      </c>
    </row>
    <row r="665" ht="25" customHeight="1" spans="1:14">
      <c r="A665" s="9" t="s">
        <v>213</v>
      </c>
      <c r="B665" s="9" t="s">
        <v>211</v>
      </c>
      <c r="C665" s="10">
        <v>46113</v>
      </c>
      <c r="D665" s="15">
        <v>1</v>
      </c>
      <c r="E665" s="15">
        <v>1</v>
      </c>
      <c r="F665" s="15">
        <v>1</v>
      </c>
      <c r="G665" s="11">
        <v>0</v>
      </c>
      <c r="H665" s="9">
        <f>MAX($F$652:F665)</f>
        <v>1.0001</v>
      </c>
      <c r="I665" s="11">
        <f t="shared" si="16"/>
        <v>9.99900009999166e-5</v>
      </c>
      <c r="J665" s="9"/>
      <c r="K665" s="11"/>
      <c r="L665" s="9"/>
      <c r="M665" s="11"/>
      <c r="N665" s="9" t="s">
        <v>802</v>
      </c>
    </row>
    <row r="666" ht="25" customHeight="1" spans="1:14">
      <c r="A666" s="9" t="s">
        <v>213</v>
      </c>
      <c r="B666" s="9" t="s">
        <v>211</v>
      </c>
      <c r="C666" s="10">
        <v>46114</v>
      </c>
      <c r="D666" s="15">
        <v>0.9998</v>
      </c>
      <c r="E666" s="15">
        <v>0.9998</v>
      </c>
      <c r="F666" s="15">
        <v>0.9998</v>
      </c>
      <c r="G666" s="11">
        <v>-0.0002</v>
      </c>
      <c r="H666" s="9">
        <f>MAX($F$652:F666)</f>
        <v>1.0001</v>
      </c>
      <c r="I666" s="11">
        <f t="shared" si="16"/>
        <v>0.000299970002999639</v>
      </c>
      <c r="J666" s="9"/>
      <c r="K666" s="11"/>
      <c r="L666" s="9"/>
      <c r="M666" s="11"/>
      <c r="N666" s="9" t="s">
        <v>802</v>
      </c>
    </row>
    <row r="667" ht="25" customHeight="1" spans="1:14">
      <c r="A667" s="9" t="s">
        <v>213</v>
      </c>
      <c r="B667" s="9" t="s">
        <v>211</v>
      </c>
      <c r="C667" s="10">
        <v>46115</v>
      </c>
      <c r="D667" s="15">
        <v>1.0016</v>
      </c>
      <c r="E667" s="15">
        <v>1.0016</v>
      </c>
      <c r="F667" s="15">
        <v>1.0016</v>
      </c>
      <c r="G667" s="11">
        <v>0.0018</v>
      </c>
      <c r="H667" s="9">
        <f>MAX($F$652:F667)</f>
        <v>1.0016</v>
      </c>
      <c r="I667" s="11">
        <f t="shared" si="16"/>
        <v>0</v>
      </c>
      <c r="J667" s="9"/>
      <c r="K667" s="11"/>
      <c r="L667" s="9"/>
      <c r="M667" s="11"/>
      <c r="N667" s="9" t="s">
        <v>802</v>
      </c>
    </row>
    <row r="668" ht="25" customHeight="1" spans="1:14">
      <c r="A668" s="9" t="s">
        <v>213</v>
      </c>
      <c r="B668" s="9" t="s">
        <v>211</v>
      </c>
      <c r="C668" s="10">
        <v>46119</v>
      </c>
      <c r="D668" s="15">
        <v>1.0022</v>
      </c>
      <c r="E668" s="15">
        <v>1.0022</v>
      </c>
      <c r="F668" s="15">
        <v>1.0022</v>
      </c>
      <c r="G668" s="11">
        <v>0.0006</v>
      </c>
      <c r="H668" s="9">
        <f>MAX($F$652:F668)</f>
        <v>1.0022</v>
      </c>
      <c r="I668" s="11">
        <f t="shared" si="16"/>
        <v>0</v>
      </c>
      <c r="J668" s="9"/>
      <c r="K668" s="11"/>
      <c r="L668" s="9"/>
      <c r="M668" s="11"/>
      <c r="N668" s="9" t="s">
        <v>802</v>
      </c>
    </row>
    <row r="669" ht="25" customHeight="1" spans="1:14">
      <c r="A669" s="9" t="s">
        <v>213</v>
      </c>
      <c r="B669" s="9" t="s">
        <v>211</v>
      </c>
      <c r="C669" s="10">
        <v>46120</v>
      </c>
      <c r="D669" s="15">
        <v>0.9998</v>
      </c>
      <c r="E669" s="15">
        <v>0.9998</v>
      </c>
      <c r="F669" s="15">
        <v>0.9998</v>
      </c>
      <c r="G669" s="11">
        <v>-0.0024</v>
      </c>
      <c r="H669" s="9">
        <f>MAX($F$652:F669)</f>
        <v>1.0022</v>
      </c>
      <c r="I669" s="11">
        <f t="shared" si="16"/>
        <v>0.00239473159050085</v>
      </c>
      <c r="J669" s="9"/>
      <c r="K669" s="11"/>
      <c r="L669" s="9"/>
      <c r="M669" s="11"/>
      <c r="N669" s="9" t="s">
        <v>802</v>
      </c>
    </row>
    <row r="670" ht="25" customHeight="1" spans="1:14">
      <c r="A670" s="9" t="s">
        <v>213</v>
      </c>
      <c r="B670" s="9" t="s">
        <v>211</v>
      </c>
      <c r="C670" s="10">
        <v>46121</v>
      </c>
      <c r="D670" s="15">
        <v>1.0032</v>
      </c>
      <c r="E670" s="15">
        <v>1.0032</v>
      </c>
      <c r="F670" s="15">
        <v>1.0032</v>
      </c>
      <c r="G670" s="11">
        <v>0.0034</v>
      </c>
      <c r="H670" s="9">
        <f>MAX($F$652:F670)</f>
        <v>1.0032</v>
      </c>
      <c r="I670" s="11">
        <f t="shared" si="16"/>
        <v>0</v>
      </c>
      <c r="J670" s="9"/>
      <c r="K670" s="11"/>
      <c r="L670" s="9"/>
      <c r="M670" s="11"/>
      <c r="N670" s="9" t="s">
        <v>802</v>
      </c>
    </row>
    <row r="671" ht="25" customHeight="1" spans="1:14">
      <c r="A671" s="9" t="s">
        <v>213</v>
      </c>
      <c r="B671" s="9" t="s">
        <v>211</v>
      </c>
      <c r="C671" s="10">
        <v>46122</v>
      </c>
      <c r="D671" s="15">
        <v>1.0081</v>
      </c>
      <c r="E671" s="15">
        <v>1.0081</v>
      </c>
      <c r="F671" s="15">
        <v>1.0081</v>
      </c>
      <c r="G671" s="11">
        <v>0.0049</v>
      </c>
      <c r="H671" s="9">
        <f>MAX($F$652:F671)</f>
        <v>1.0081</v>
      </c>
      <c r="I671" s="11">
        <f t="shared" si="16"/>
        <v>0</v>
      </c>
      <c r="J671" s="9"/>
      <c r="K671" s="11"/>
      <c r="L671" s="9"/>
      <c r="M671" s="11"/>
      <c r="N671" s="9" t="s">
        <v>802</v>
      </c>
    </row>
    <row r="672" ht="25" customHeight="1" spans="1:14">
      <c r="A672" s="9" t="s">
        <v>213</v>
      </c>
      <c r="B672" s="9" t="s">
        <v>211</v>
      </c>
      <c r="C672" s="10">
        <v>46125</v>
      </c>
      <c r="D672" s="15">
        <v>1.0106</v>
      </c>
      <c r="E672" s="15">
        <v>1.0106</v>
      </c>
      <c r="F672" s="15">
        <v>1.0106</v>
      </c>
      <c r="G672" s="11">
        <v>0.0025</v>
      </c>
      <c r="H672" s="9">
        <f>MAX($F$652:F672)</f>
        <v>1.0106</v>
      </c>
      <c r="I672" s="11">
        <f t="shared" si="16"/>
        <v>0</v>
      </c>
      <c r="J672" s="9"/>
      <c r="K672" s="11"/>
      <c r="L672" s="9"/>
      <c r="M672" s="11"/>
      <c r="N672" s="9" t="s">
        <v>802</v>
      </c>
    </row>
    <row r="673" ht="25" customHeight="1" spans="1:14">
      <c r="A673" s="9" t="s">
        <v>213</v>
      </c>
      <c r="B673" s="9" t="s">
        <v>211</v>
      </c>
      <c r="C673" s="10">
        <v>46126</v>
      </c>
      <c r="D673" s="15">
        <v>1.0121</v>
      </c>
      <c r="E673" s="15">
        <v>1.0121</v>
      </c>
      <c r="F673" s="15">
        <v>1.0121</v>
      </c>
      <c r="G673" s="11">
        <v>0.0015</v>
      </c>
      <c r="H673" s="9">
        <f>MAX($F$652:F673)</f>
        <v>1.0121</v>
      </c>
      <c r="I673" s="11">
        <f t="shared" si="16"/>
        <v>0</v>
      </c>
      <c r="J673" s="9"/>
      <c r="K673" s="11"/>
      <c r="L673" s="9"/>
      <c r="M673" s="11"/>
      <c r="N673" s="9" t="s">
        <v>802</v>
      </c>
    </row>
    <row r="674" ht="25" customHeight="1" spans="1:14">
      <c r="A674" s="9" t="s">
        <v>213</v>
      </c>
      <c r="B674" s="9" t="s">
        <v>211</v>
      </c>
      <c r="C674" s="10">
        <v>46127</v>
      </c>
      <c r="D674" s="15">
        <v>1.0133</v>
      </c>
      <c r="E674" s="15">
        <v>1.0133</v>
      </c>
      <c r="F674" s="15">
        <v>1.0133</v>
      </c>
      <c r="G674" s="11">
        <v>0.0012</v>
      </c>
      <c r="H674" s="9">
        <f>MAX($F$652:F674)</f>
        <v>1.0133</v>
      </c>
      <c r="I674" s="11">
        <f t="shared" si="16"/>
        <v>0</v>
      </c>
      <c r="J674" s="9"/>
      <c r="K674" s="11"/>
      <c r="L674" s="9"/>
      <c r="M674" s="11"/>
      <c r="N674" s="9" t="s">
        <v>802</v>
      </c>
    </row>
    <row r="675" ht="25" customHeight="1" spans="1:14">
      <c r="A675" s="9" t="s">
        <v>213</v>
      </c>
      <c r="B675" s="9" t="s">
        <v>211</v>
      </c>
      <c r="C675" s="10">
        <v>46128</v>
      </c>
      <c r="D675" s="15">
        <v>1.0135</v>
      </c>
      <c r="E675" s="15">
        <v>1.0135</v>
      </c>
      <c r="F675" s="15">
        <v>1.0135</v>
      </c>
      <c r="G675" s="11">
        <v>0.0002</v>
      </c>
      <c r="H675" s="9">
        <f>MAX($F$652:F675)</f>
        <v>1.0135</v>
      </c>
      <c r="I675" s="11">
        <f t="shared" si="16"/>
        <v>0</v>
      </c>
      <c r="J675" s="9"/>
      <c r="K675" s="11"/>
      <c r="L675" s="9"/>
      <c r="M675" s="11"/>
      <c r="N675" s="9" t="s">
        <v>802</v>
      </c>
    </row>
    <row r="676" ht="25" customHeight="1" spans="1:14">
      <c r="A676" s="9" t="s">
        <v>213</v>
      </c>
      <c r="B676" s="9" t="s">
        <v>211</v>
      </c>
      <c r="C676" s="10">
        <v>46129</v>
      </c>
      <c r="D676" s="15">
        <v>1.0147</v>
      </c>
      <c r="E676" s="15">
        <v>1.0147</v>
      </c>
      <c r="F676" s="15">
        <v>1.0147</v>
      </c>
      <c r="G676" s="11">
        <v>0.0012</v>
      </c>
      <c r="H676" s="9">
        <f>MAX($F$652:F676)</f>
        <v>1.0147</v>
      </c>
      <c r="I676" s="11">
        <f t="shared" si="16"/>
        <v>0</v>
      </c>
      <c r="J676" s="9"/>
      <c r="K676" s="11"/>
      <c r="L676" s="9"/>
      <c r="M676" s="11"/>
      <c r="N676" s="9" t="s">
        <v>802</v>
      </c>
    </row>
    <row r="677" ht="25" customHeight="1" spans="1:14">
      <c r="A677" s="9" t="s">
        <v>213</v>
      </c>
      <c r="B677" s="9" t="s">
        <v>211</v>
      </c>
      <c r="C677" s="10">
        <v>46132</v>
      </c>
      <c r="D677" s="15">
        <v>1.012</v>
      </c>
      <c r="E677" s="15">
        <v>1.012</v>
      </c>
      <c r="F677" s="15">
        <v>1.012</v>
      </c>
      <c r="G677" s="11">
        <v>-0.0027</v>
      </c>
      <c r="H677" s="9">
        <f>MAX($F$652:F677)</f>
        <v>1.0147</v>
      </c>
      <c r="I677" s="11">
        <f t="shared" si="16"/>
        <v>0.00266088499063755</v>
      </c>
      <c r="J677" s="9"/>
      <c r="K677" s="11"/>
      <c r="L677" s="9"/>
      <c r="M677" s="11"/>
      <c r="N677" s="9" t="s">
        <v>802</v>
      </c>
    </row>
    <row r="678" ht="25" customHeight="1" spans="1:14">
      <c r="A678" s="9" t="s">
        <v>213</v>
      </c>
      <c r="B678" s="9" t="s">
        <v>211</v>
      </c>
      <c r="C678" s="10">
        <v>46133</v>
      </c>
      <c r="D678" s="15">
        <v>1.008</v>
      </c>
      <c r="E678" s="15">
        <v>1.008</v>
      </c>
      <c r="F678" s="15">
        <v>1.008</v>
      </c>
      <c r="G678" s="11">
        <v>-0.004</v>
      </c>
      <c r="H678" s="9">
        <f>MAX($F$652:F678)</f>
        <v>1.0147</v>
      </c>
      <c r="I678" s="11">
        <f t="shared" si="16"/>
        <v>0.00660293682861923</v>
      </c>
      <c r="J678" s="9"/>
      <c r="K678" s="11"/>
      <c r="L678" s="9"/>
      <c r="M678" s="11"/>
      <c r="N678" s="9" t="s">
        <v>802</v>
      </c>
    </row>
    <row r="679" ht="25" customHeight="1" spans="1:14">
      <c r="A679" s="9" t="s">
        <v>213</v>
      </c>
      <c r="B679" s="9" t="s">
        <v>211</v>
      </c>
      <c r="C679" s="10">
        <v>46134</v>
      </c>
      <c r="D679" s="15">
        <v>1.0092</v>
      </c>
      <c r="E679" s="15">
        <v>1.0092</v>
      </c>
      <c r="F679" s="15">
        <v>1.0092</v>
      </c>
      <c r="G679" s="11">
        <v>0.0012</v>
      </c>
      <c r="H679" s="9">
        <f>MAX($F$652:F679)</f>
        <v>1.0147</v>
      </c>
      <c r="I679" s="11">
        <f t="shared" si="16"/>
        <v>0.00542032127722458</v>
      </c>
      <c r="J679" s="9"/>
      <c r="K679" s="11"/>
      <c r="L679" s="9"/>
      <c r="M679" s="11"/>
      <c r="N679" s="9" t="s">
        <v>802</v>
      </c>
    </row>
    <row r="680" ht="25" customHeight="1" spans="1:14">
      <c r="A680" s="9" t="s">
        <v>213</v>
      </c>
      <c r="B680" s="9" t="s">
        <v>211</v>
      </c>
      <c r="C680" s="10">
        <v>46135</v>
      </c>
      <c r="D680" s="15">
        <v>1.0103</v>
      </c>
      <c r="E680" s="15">
        <v>1.0103</v>
      </c>
      <c r="F680" s="15">
        <v>1.0103</v>
      </c>
      <c r="G680" s="11">
        <v>0.0011</v>
      </c>
      <c r="H680" s="9">
        <f>MAX($F$652:F680)</f>
        <v>1.0147</v>
      </c>
      <c r="I680" s="11">
        <f t="shared" si="16"/>
        <v>0.00433625702177975</v>
      </c>
      <c r="J680" s="9"/>
      <c r="K680" s="11"/>
      <c r="L680" s="9"/>
      <c r="M680" s="11"/>
      <c r="N680" s="9" t="s">
        <v>802</v>
      </c>
    </row>
    <row r="681" ht="25" customHeight="1" spans="1:14">
      <c r="A681" s="9" t="s">
        <v>213</v>
      </c>
      <c r="B681" s="9" t="s">
        <v>211</v>
      </c>
      <c r="C681" s="10">
        <v>46136</v>
      </c>
      <c r="D681" s="15">
        <v>1.0115</v>
      </c>
      <c r="E681" s="15">
        <v>1.0115</v>
      </c>
      <c r="F681" s="15">
        <v>1.0115</v>
      </c>
      <c r="G681" s="11">
        <v>0.0012</v>
      </c>
      <c r="H681" s="9">
        <f>MAX($F$652:F681)</f>
        <v>1.0147</v>
      </c>
      <c r="I681" s="11">
        <f t="shared" si="16"/>
        <v>0.00315364147038522</v>
      </c>
      <c r="J681" s="9"/>
      <c r="K681" s="11"/>
      <c r="L681" s="9"/>
      <c r="M681" s="11"/>
      <c r="N681" s="9" t="s">
        <v>802</v>
      </c>
    </row>
    <row r="682" ht="25" customHeight="1" spans="1:14">
      <c r="A682" s="9" t="s">
        <v>213</v>
      </c>
      <c r="B682" s="9" t="s">
        <v>211</v>
      </c>
      <c r="C682" s="10">
        <v>46139</v>
      </c>
      <c r="D682" s="15">
        <v>1.0126</v>
      </c>
      <c r="E682" s="15">
        <v>1.0126</v>
      </c>
      <c r="F682" s="15">
        <v>1.0126</v>
      </c>
      <c r="G682" s="11">
        <v>0.0011</v>
      </c>
      <c r="H682" s="9">
        <f>MAX($F$652:F682)</f>
        <v>1.0147</v>
      </c>
      <c r="I682" s="11">
        <f t="shared" si="16"/>
        <v>0.00206957721494039</v>
      </c>
      <c r="J682" s="9"/>
      <c r="K682" s="11"/>
      <c r="L682" s="9"/>
      <c r="M682" s="11"/>
      <c r="N682" s="9" t="s">
        <v>802</v>
      </c>
    </row>
    <row r="683" ht="25" customHeight="1" spans="1:14">
      <c r="A683" s="9" t="s">
        <v>213</v>
      </c>
      <c r="B683" s="9" t="s">
        <v>211</v>
      </c>
      <c r="C683" s="10">
        <v>46140</v>
      </c>
      <c r="D683" s="15">
        <v>1.0138</v>
      </c>
      <c r="E683" s="15">
        <v>1.0138</v>
      </c>
      <c r="F683" s="15">
        <v>1.0138</v>
      </c>
      <c r="G683" s="11">
        <v>0.0012</v>
      </c>
      <c r="H683" s="9">
        <f>MAX($F$652:F683)</f>
        <v>1.0147</v>
      </c>
      <c r="I683" s="11">
        <f t="shared" si="16"/>
        <v>0.000886961663545738</v>
      </c>
      <c r="J683" s="9"/>
      <c r="K683" s="11"/>
      <c r="L683" s="9"/>
      <c r="M683" s="11"/>
      <c r="N683" s="9" t="s">
        <v>802</v>
      </c>
    </row>
    <row r="684" ht="25" customHeight="1" spans="1:14">
      <c r="A684" s="9" t="s">
        <v>213</v>
      </c>
      <c r="B684" s="9" t="s">
        <v>211</v>
      </c>
      <c r="C684" s="10">
        <v>46141</v>
      </c>
      <c r="D684" s="15">
        <v>1.0121</v>
      </c>
      <c r="E684" s="15">
        <v>1.0121</v>
      </c>
      <c r="F684" s="15">
        <v>1.0121</v>
      </c>
      <c r="G684" s="11">
        <v>-0.0017</v>
      </c>
      <c r="H684" s="9">
        <f>MAX($F$652:F684)</f>
        <v>1.0147</v>
      </c>
      <c r="I684" s="11">
        <f t="shared" si="16"/>
        <v>0.00256233369468806</v>
      </c>
      <c r="J684" s="9"/>
      <c r="K684" s="11"/>
      <c r="L684" s="9"/>
      <c r="M684" s="11"/>
      <c r="N684" s="9" t="s">
        <v>802</v>
      </c>
    </row>
    <row r="685" ht="25" customHeight="1" spans="1:14">
      <c r="A685" s="9" t="s">
        <v>213</v>
      </c>
      <c r="B685" s="9" t="s">
        <v>211</v>
      </c>
      <c r="C685" s="10">
        <v>46142</v>
      </c>
      <c r="D685" s="15">
        <v>1.0165</v>
      </c>
      <c r="E685" s="15">
        <v>1.0165</v>
      </c>
      <c r="F685" s="15">
        <v>1.0165</v>
      </c>
      <c r="G685" s="11">
        <v>0.0043</v>
      </c>
      <c r="H685" s="9">
        <f>MAX($F$652:F685)</f>
        <v>1.0165</v>
      </c>
      <c r="I685" s="11">
        <f t="shared" si="16"/>
        <v>0</v>
      </c>
      <c r="J685" s="9"/>
      <c r="K685" s="11"/>
      <c r="L685" s="9"/>
      <c r="M685" s="11"/>
      <c r="N685" s="9" t="s">
        <v>802</v>
      </c>
    </row>
    <row r="686" ht="25" customHeight="1" spans="1:14">
      <c r="A686" s="9" t="s">
        <v>213</v>
      </c>
      <c r="B686" s="9" t="s">
        <v>211</v>
      </c>
      <c r="C686" s="10">
        <v>46148</v>
      </c>
      <c r="D686" s="15">
        <v>1.014</v>
      </c>
      <c r="E686" s="15">
        <v>1.014</v>
      </c>
      <c r="F686" s="15">
        <v>1.014</v>
      </c>
      <c r="G686" s="11">
        <v>-0.0025</v>
      </c>
      <c r="H686" s="9">
        <f>MAX($F$652:F686)</f>
        <v>1.0165</v>
      </c>
      <c r="I686" s="11">
        <f t="shared" si="16"/>
        <v>0.00245941957697982</v>
      </c>
      <c r="J686" s="9"/>
      <c r="K686" s="11"/>
      <c r="L686" s="9"/>
      <c r="M686" s="11"/>
      <c r="N686" s="9" t="s">
        <v>802</v>
      </c>
    </row>
    <row r="687" ht="25" customHeight="1" spans="1:14">
      <c r="A687" s="9" t="s">
        <v>213</v>
      </c>
      <c r="B687" s="9" t="s">
        <v>211</v>
      </c>
      <c r="C687" s="10">
        <v>46149</v>
      </c>
      <c r="D687" s="15">
        <v>1.014</v>
      </c>
      <c r="E687" s="15">
        <v>1.014</v>
      </c>
      <c r="F687" s="15">
        <v>1.014</v>
      </c>
      <c r="G687" s="11">
        <v>0</v>
      </c>
      <c r="H687" s="9">
        <f>MAX($F$652:F687)</f>
        <v>1.0165</v>
      </c>
      <c r="I687" s="11">
        <f t="shared" si="16"/>
        <v>0.00245941957697982</v>
      </c>
      <c r="J687" s="9"/>
      <c r="K687" s="11"/>
      <c r="L687" s="9"/>
      <c r="M687" s="11"/>
      <c r="N687" s="9" t="s">
        <v>802</v>
      </c>
    </row>
    <row r="688" ht="25" customHeight="1" spans="1:14">
      <c r="A688" s="9" t="s">
        <v>213</v>
      </c>
      <c r="B688" s="9" t="s">
        <v>211</v>
      </c>
      <c r="C688" s="10">
        <v>46150</v>
      </c>
      <c r="D688" s="15">
        <v>1.0164</v>
      </c>
      <c r="E688" s="15">
        <v>1.0164</v>
      </c>
      <c r="F688" s="15">
        <v>1.0164</v>
      </c>
      <c r="G688" s="11">
        <v>0.0024</v>
      </c>
      <c r="H688" s="9">
        <f>MAX($F$652:F688)</f>
        <v>1.0165</v>
      </c>
      <c r="I688" s="11">
        <f t="shared" si="16"/>
        <v>9.83767830792237e-5</v>
      </c>
      <c r="J688" s="9"/>
      <c r="K688" s="11"/>
      <c r="L688" s="9"/>
      <c r="M688" s="11"/>
      <c r="N688" s="9" t="s">
        <v>802</v>
      </c>
    </row>
    <row r="689" ht="25" customHeight="1" spans="1:14">
      <c r="A689" s="9" t="s">
        <v>213</v>
      </c>
      <c r="B689" s="9" t="s">
        <v>211</v>
      </c>
      <c r="C689" s="10">
        <v>46153</v>
      </c>
      <c r="D689" s="15">
        <v>1.016</v>
      </c>
      <c r="E689" s="15">
        <v>1.016</v>
      </c>
      <c r="F689" s="15">
        <v>1.016</v>
      </c>
      <c r="G689" s="11">
        <v>-0.0004</v>
      </c>
      <c r="H689" s="9">
        <f>MAX($F$652:F689)</f>
        <v>1.0165</v>
      </c>
      <c r="I689" s="11">
        <f t="shared" si="16"/>
        <v>0.000491883915395896</v>
      </c>
      <c r="J689" s="9"/>
      <c r="K689" s="11"/>
      <c r="L689" s="9"/>
      <c r="M689" s="11"/>
      <c r="N689" s="9" t="s">
        <v>802</v>
      </c>
    </row>
    <row r="690" ht="25" customHeight="1" spans="1:14">
      <c r="A690" s="9" t="s">
        <v>213</v>
      </c>
      <c r="B690" s="9" t="s">
        <v>211</v>
      </c>
      <c r="C690" s="10">
        <v>46154</v>
      </c>
      <c r="D690" s="15">
        <v>1.017</v>
      </c>
      <c r="E690" s="15">
        <v>1.017</v>
      </c>
      <c r="F690" s="15">
        <v>1.017</v>
      </c>
      <c r="G690" s="11">
        <v>0.001</v>
      </c>
      <c r="H690" s="9">
        <f>MAX($F$652:F690)</f>
        <v>1.017</v>
      </c>
      <c r="I690" s="11">
        <f t="shared" si="16"/>
        <v>0</v>
      </c>
      <c r="J690" s="9"/>
      <c r="K690" s="11"/>
      <c r="L690" s="9"/>
      <c r="M690" s="11"/>
      <c r="N690" s="9" t="s">
        <v>802</v>
      </c>
    </row>
    <row r="691" ht="25" customHeight="1" spans="1:14">
      <c r="A691" s="9" t="s">
        <v>213</v>
      </c>
      <c r="B691" s="9" t="s">
        <v>211</v>
      </c>
      <c r="C691" s="10">
        <v>46155</v>
      </c>
      <c r="D691" s="15">
        <v>1.0186</v>
      </c>
      <c r="E691" s="15">
        <v>1.0186</v>
      </c>
      <c r="F691" s="15">
        <v>1.0186</v>
      </c>
      <c r="G691" s="11">
        <v>0.0016</v>
      </c>
      <c r="H691" s="9">
        <f>MAX($F$652:F691)</f>
        <v>1.0186</v>
      </c>
      <c r="I691" s="11">
        <f t="shared" si="16"/>
        <v>0</v>
      </c>
      <c r="J691" s="9"/>
      <c r="K691" s="11"/>
      <c r="L691" s="9"/>
      <c r="M691" s="11"/>
      <c r="N691" s="9" t="s">
        <v>802</v>
      </c>
    </row>
    <row r="692" ht="25" customHeight="1" spans="1:14">
      <c r="A692" s="9" t="s">
        <v>213</v>
      </c>
      <c r="B692" s="9" t="s">
        <v>211</v>
      </c>
      <c r="C692" s="10">
        <v>46156</v>
      </c>
      <c r="D692" s="15">
        <v>1.0188</v>
      </c>
      <c r="E692" s="15">
        <v>1.0188</v>
      </c>
      <c r="F692" s="15">
        <v>1.0188</v>
      </c>
      <c r="G692" s="11">
        <v>0.0002</v>
      </c>
      <c r="H692" s="9">
        <f>MAX($F$652:F692)</f>
        <v>1.0188</v>
      </c>
      <c r="I692" s="11">
        <f t="shared" si="16"/>
        <v>0</v>
      </c>
      <c r="J692" s="9"/>
      <c r="K692" s="11"/>
      <c r="L692" s="9"/>
      <c r="M692" s="11"/>
      <c r="N692" s="9" t="s">
        <v>802</v>
      </c>
    </row>
    <row r="693" ht="25" customHeight="1" spans="1:14">
      <c r="A693" s="9" t="s">
        <v>213</v>
      </c>
      <c r="B693" s="9" t="s">
        <v>211</v>
      </c>
      <c r="C693" s="10">
        <v>46157</v>
      </c>
      <c r="D693" s="15">
        <v>1.0186</v>
      </c>
      <c r="E693" s="15">
        <v>1.0186</v>
      </c>
      <c r="F693" s="15">
        <v>1.0186</v>
      </c>
      <c r="G693" s="11">
        <v>-0.0002</v>
      </c>
      <c r="H693" s="9">
        <f>MAX($F$652:F693)</f>
        <v>1.0188</v>
      </c>
      <c r="I693" s="11">
        <f t="shared" si="16"/>
        <v>0.0001963093835885</v>
      </c>
      <c r="J693" s="9"/>
      <c r="K693" s="11"/>
      <c r="L693" s="9"/>
      <c r="M693" s="11"/>
      <c r="N693" s="9" t="s">
        <v>802</v>
      </c>
    </row>
    <row r="694" ht="25" customHeight="1" spans="1:14">
      <c r="A694" s="9" t="s">
        <v>213</v>
      </c>
      <c r="B694" s="9" t="s">
        <v>211</v>
      </c>
      <c r="C694" s="10">
        <v>46160</v>
      </c>
      <c r="D694" s="15">
        <v>1.0196</v>
      </c>
      <c r="E694" s="15">
        <v>1.0196</v>
      </c>
      <c r="F694" s="15">
        <v>1.0196</v>
      </c>
      <c r="G694" s="11">
        <v>0.001</v>
      </c>
      <c r="H694" s="9">
        <f>MAX($F$652:F694)</f>
        <v>1.0196</v>
      </c>
      <c r="I694" s="11">
        <f t="shared" si="16"/>
        <v>0</v>
      </c>
      <c r="J694" s="9"/>
      <c r="K694" s="11"/>
      <c r="L694" s="9"/>
      <c r="M694" s="11"/>
      <c r="N694" s="9" t="s">
        <v>802</v>
      </c>
    </row>
    <row r="695" ht="25" customHeight="1" spans="1:14">
      <c r="A695" s="9" t="s">
        <v>213</v>
      </c>
      <c r="B695" s="9" t="s">
        <v>211</v>
      </c>
      <c r="C695" s="10">
        <v>46161</v>
      </c>
      <c r="D695" s="15">
        <v>1.0214</v>
      </c>
      <c r="E695" s="15">
        <v>1.0214</v>
      </c>
      <c r="F695" s="15">
        <v>1.0214</v>
      </c>
      <c r="G695" s="11">
        <v>0.0018</v>
      </c>
      <c r="H695" s="9">
        <f>MAX($F$652:F695)</f>
        <v>1.0214</v>
      </c>
      <c r="I695" s="11">
        <f t="shared" si="16"/>
        <v>0</v>
      </c>
      <c r="J695" s="9"/>
      <c r="K695" s="11"/>
      <c r="L695" s="9"/>
      <c r="M695" s="11"/>
      <c r="N695" s="9" t="s">
        <v>802</v>
      </c>
    </row>
    <row r="696" ht="25" customHeight="1" spans="1:14">
      <c r="A696" s="9" t="s">
        <v>213</v>
      </c>
      <c r="B696" s="9" t="s">
        <v>211</v>
      </c>
      <c r="C696" s="10">
        <v>46162</v>
      </c>
      <c r="D696" s="15">
        <v>1.0212</v>
      </c>
      <c r="E696" s="15">
        <v>1.0212</v>
      </c>
      <c r="F696" s="15">
        <v>1.0212</v>
      </c>
      <c r="G696" s="11">
        <v>-0.0002</v>
      </c>
      <c r="H696" s="9">
        <f>MAX($F$652:F696)</f>
        <v>1.0214</v>
      </c>
      <c r="I696" s="11">
        <f t="shared" si="16"/>
        <v>0.000195809672997815</v>
      </c>
      <c r="J696" s="9"/>
      <c r="K696" s="11"/>
      <c r="L696" s="9"/>
      <c r="M696" s="11"/>
      <c r="N696" s="9" t="s">
        <v>802</v>
      </c>
    </row>
    <row r="697" ht="25" customHeight="1" spans="1:14">
      <c r="A697" s="9" t="s">
        <v>213</v>
      </c>
      <c r="B697" s="9" t="s">
        <v>211</v>
      </c>
      <c r="C697" s="10">
        <v>46163</v>
      </c>
      <c r="D697" s="15">
        <v>1.017</v>
      </c>
      <c r="E697" s="15">
        <v>1.017</v>
      </c>
      <c r="F697" s="15">
        <v>1.017</v>
      </c>
      <c r="G697" s="11">
        <v>-0.0041</v>
      </c>
      <c r="H697" s="9">
        <f>MAX($F$652:F697)</f>
        <v>1.0214</v>
      </c>
      <c r="I697" s="11">
        <f t="shared" si="16"/>
        <v>0.00430781280595283</v>
      </c>
      <c r="J697" s="9"/>
      <c r="K697" s="11"/>
      <c r="L697" s="9"/>
      <c r="M697" s="11"/>
      <c r="N697" s="9" t="s">
        <v>802</v>
      </c>
    </row>
    <row r="698" ht="25" customHeight="1" spans="1:14">
      <c r="A698" s="9" t="s">
        <v>213</v>
      </c>
      <c r="B698" s="9" t="s">
        <v>211</v>
      </c>
      <c r="C698" s="10">
        <v>46164</v>
      </c>
      <c r="D698" s="15">
        <v>1.0182</v>
      </c>
      <c r="E698" s="15">
        <v>1.0182</v>
      </c>
      <c r="F698" s="15">
        <v>1.0182</v>
      </c>
      <c r="G698" s="11">
        <v>0.0012</v>
      </c>
      <c r="H698" s="9">
        <f>MAX($F$652:F698)</f>
        <v>1.0214</v>
      </c>
      <c r="I698" s="11">
        <f t="shared" si="16"/>
        <v>0.0031329547679656</v>
      </c>
      <c r="J698" s="9"/>
      <c r="K698" s="11"/>
      <c r="L698" s="9"/>
      <c r="M698" s="11"/>
      <c r="N698" s="9" t="s">
        <v>802</v>
      </c>
    </row>
    <row r="699" ht="25" customHeight="1" spans="1:14">
      <c r="A699" s="9" t="s">
        <v>213</v>
      </c>
      <c r="B699" s="9" t="s">
        <v>211</v>
      </c>
      <c r="C699" s="10">
        <v>46167</v>
      </c>
      <c r="D699" s="15">
        <v>1.0207</v>
      </c>
      <c r="E699" s="15">
        <v>1.0207</v>
      </c>
      <c r="F699" s="15">
        <v>1.0207</v>
      </c>
      <c r="G699" s="11">
        <v>0.0025</v>
      </c>
      <c r="H699" s="9">
        <f>MAX($F$652:F699)</f>
        <v>1.0214</v>
      </c>
      <c r="I699" s="11">
        <f t="shared" si="16"/>
        <v>0.000685333855492631</v>
      </c>
      <c r="J699" s="9"/>
      <c r="K699" s="11"/>
      <c r="L699" s="9"/>
      <c r="M699" s="11"/>
      <c r="N699" s="9" t="s">
        <v>802</v>
      </c>
    </row>
    <row r="700" ht="25" customHeight="1" spans="1:14">
      <c r="A700" s="9" t="s">
        <v>213</v>
      </c>
      <c r="B700" s="9" t="s">
        <v>211</v>
      </c>
      <c r="C700" s="10">
        <v>46168</v>
      </c>
      <c r="D700" s="15">
        <v>1.0231</v>
      </c>
      <c r="E700" s="15">
        <v>1.0231</v>
      </c>
      <c r="F700" s="15">
        <v>1.0231</v>
      </c>
      <c r="G700" s="11">
        <v>0.0024</v>
      </c>
      <c r="H700" s="9">
        <f>MAX($F$652:F700)</f>
        <v>1.0231</v>
      </c>
      <c r="I700" s="11">
        <f t="shared" si="16"/>
        <v>0</v>
      </c>
      <c r="J700" s="9"/>
      <c r="K700" s="11"/>
      <c r="L700" s="9"/>
      <c r="M700" s="11"/>
      <c r="N700" s="9" t="s">
        <v>802</v>
      </c>
    </row>
    <row r="701" ht="25" customHeight="1" spans="1:14">
      <c r="A701" s="9" t="s">
        <v>213</v>
      </c>
      <c r="B701" s="9" t="s">
        <v>211</v>
      </c>
      <c r="C701" s="10">
        <v>46169</v>
      </c>
      <c r="D701" s="15">
        <v>1.0233</v>
      </c>
      <c r="E701" s="15">
        <v>1.0233</v>
      </c>
      <c r="F701" s="15">
        <v>1.0233</v>
      </c>
      <c r="G701" s="11">
        <v>0.0002</v>
      </c>
      <c r="H701" s="9">
        <f>MAX($F$652:F701)</f>
        <v>1.0233</v>
      </c>
      <c r="I701" s="11">
        <f t="shared" si="16"/>
        <v>0</v>
      </c>
      <c r="J701" s="9"/>
      <c r="K701" s="11"/>
      <c r="L701" s="9"/>
      <c r="M701" s="11"/>
      <c r="N701" s="9" t="s">
        <v>802</v>
      </c>
    </row>
    <row r="702" ht="25" customHeight="1" spans="1:14">
      <c r="A702" s="9" t="s">
        <v>213</v>
      </c>
      <c r="B702" s="9" t="s">
        <v>211</v>
      </c>
      <c r="C702" s="10">
        <v>46170</v>
      </c>
      <c r="D702" s="15">
        <v>1.0249</v>
      </c>
      <c r="E702" s="15">
        <v>1.0249</v>
      </c>
      <c r="F702" s="15">
        <v>1.0249</v>
      </c>
      <c r="G702" s="11">
        <v>0.0016</v>
      </c>
      <c r="H702" s="9">
        <f>MAX($F$652:F702)</f>
        <v>1.0249</v>
      </c>
      <c r="I702" s="11">
        <f t="shared" si="16"/>
        <v>0</v>
      </c>
      <c r="J702" s="9"/>
      <c r="K702" s="11"/>
      <c r="L702" s="9"/>
      <c r="M702" s="11"/>
      <c r="N702" s="9" t="s">
        <v>802</v>
      </c>
    </row>
    <row r="703" ht="25" customHeight="1" spans="1:14">
      <c r="A703" s="9" t="s">
        <v>213</v>
      </c>
      <c r="B703" s="9" t="s">
        <v>211</v>
      </c>
      <c r="C703" s="10">
        <v>46171</v>
      </c>
      <c r="D703" s="15">
        <v>1.02</v>
      </c>
      <c r="E703" s="15">
        <v>1.02</v>
      </c>
      <c r="F703" s="15">
        <v>1.02</v>
      </c>
      <c r="G703" s="11">
        <v>-0.0048</v>
      </c>
      <c r="H703" s="9">
        <f>MAX($F$652:F703)</f>
        <v>1.0249</v>
      </c>
      <c r="I703" s="11">
        <f t="shared" si="16"/>
        <v>0.00478095423943792</v>
      </c>
      <c r="J703" s="9"/>
      <c r="K703" s="11"/>
      <c r="L703" s="9"/>
      <c r="M703" s="11"/>
      <c r="N703" s="9" t="s">
        <v>802</v>
      </c>
    </row>
    <row r="704" ht="25" customHeight="1" spans="1:14">
      <c r="A704" s="9" t="s">
        <v>213</v>
      </c>
      <c r="B704" s="9" t="s">
        <v>211</v>
      </c>
      <c r="C704" s="10">
        <v>46174</v>
      </c>
      <c r="D704" s="15">
        <v>1.0224</v>
      </c>
      <c r="E704" s="15">
        <v>1.0224</v>
      </c>
      <c r="F704" s="15">
        <v>1.0224</v>
      </c>
      <c r="G704" s="11">
        <v>0.0024</v>
      </c>
      <c r="H704" s="9">
        <f>MAX($F$652:F704)</f>
        <v>1.0249</v>
      </c>
      <c r="I704" s="11">
        <f t="shared" si="16"/>
        <v>0.00243926236706016</v>
      </c>
      <c r="J704" s="9"/>
      <c r="K704" s="11"/>
      <c r="L704" s="9"/>
      <c r="M704" s="11"/>
      <c r="N704" s="9" t="s">
        <v>802</v>
      </c>
    </row>
    <row r="705" ht="25" customHeight="1" spans="1:14">
      <c r="A705" s="9" t="s">
        <v>213</v>
      </c>
      <c r="B705" s="9" t="s">
        <v>211</v>
      </c>
      <c r="C705" s="10">
        <v>46175</v>
      </c>
      <c r="D705" s="15">
        <v>1.023</v>
      </c>
      <c r="E705" s="15">
        <v>1.023</v>
      </c>
      <c r="F705" s="15">
        <v>1.023</v>
      </c>
      <c r="G705" s="11">
        <v>0.0006</v>
      </c>
      <c r="H705" s="9">
        <f>MAX($F$652:F705)</f>
        <v>1.0249</v>
      </c>
      <c r="I705" s="11">
        <f t="shared" si="16"/>
        <v>0.00185383939896577</v>
      </c>
      <c r="J705" s="9"/>
      <c r="K705" s="11"/>
      <c r="L705" s="9"/>
      <c r="M705" s="11"/>
      <c r="N705" s="9" t="s">
        <v>802</v>
      </c>
    </row>
    <row r="706" ht="25" customHeight="1" spans="1:14">
      <c r="A706" s="9" t="s">
        <v>213</v>
      </c>
      <c r="B706" s="9" t="s">
        <v>211</v>
      </c>
      <c r="C706" s="10">
        <v>46176</v>
      </c>
      <c r="D706" s="15">
        <v>1.0241</v>
      </c>
      <c r="E706" s="15">
        <v>1.0241</v>
      </c>
      <c r="F706" s="15">
        <v>1.0241</v>
      </c>
      <c r="G706" s="11">
        <v>0.0011</v>
      </c>
      <c r="H706" s="9">
        <f>MAX($F$652:F706)</f>
        <v>1.0249</v>
      </c>
      <c r="I706" s="11">
        <f t="shared" ref="I706:I769" si="17">1-F706/H706</f>
        <v>0.000780563957459179</v>
      </c>
      <c r="J706" s="9"/>
      <c r="K706" s="11"/>
      <c r="L706" s="9"/>
      <c r="M706" s="11"/>
      <c r="N706" s="9" t="s">
        <v>802</v>
      </c>
    </row>
    <row r="707" ht="25" customHeight="1" spans="1:14">
      <c r="A707" s="9" t="s">
        <v>213</v>
      </c>
      <c r="B707" s="9" t="s">
        <v>211</v>
      </c>
      <c r="C707" s="10">
        <v>46177</v>
      </c>
      <c r="D707" s="15">
        <v>1.0239</v>
      </c>
      <c r="E707" s="15">
        <v>1.0239</v>
      </c>
      <c r="F707" s="15">
        <v>1.0239</v>
      </c>
      <c r="G707" s="11">
        <v>-0.0002</v>
      </c>
      <c r="H707" s="9">
        <f>MAX($F$652:F707)</f>
        <v>1.0249</v>
      </c>
      <c r="I707" s="11">
        <f t="shared" si="17"/>
        <v>0.000975704946823974</v>
      </c>
      <c r="J707" s="9"/>
      <c r="K707" s="11"/>
      <c r="L707" s="9"/>
      <c r="M707" s="11"/>
      <c r="N707" s="9" t="s">
        <v>802</v>
      </c>
    </row>
    <row r="708" ht="25" customHeight="1" spans="1:14">
      <c r="A708" s="9" t="s">
        <v>213</v>
      </c>
      <c r="B708" s="9" t="s">
        <v>211</v>
      </c>
      <c r="C708" s="10">
        <v>46178</v>
      </c>
      <c r="D708" s="15">
        <v>1.0242</v>
      </c>
      <c r="E708" s="15">
        <v>1.0242</v>
      </c>
      <c r="F708" s="15">
        <v>1.0242</v>
      </c>
      <c r="G708" s="11">
        <v>0.0003</v>
      </c>
      <c r="H708" s="9">
        <f>MAX($F$652:F708)</f>
        <v>1.0249</v>
      </c>
      <c r="I708" s="11">
        <f t="shared" si="17"/>
        <v>0.000682993462776782</v>
      </c>
      <c r="J708" s="9"/>
      <c r="K708" s="11"/>
      <c r="L708" s="9"/>
      <c r="M708" s="11"/>
      <c r="N708" s="9" t="s">
        <v>802</v>
      </c>
    </row>
    <row r="709" ht="25" customHeight="1" spans="1:14">
      <c r="A709" s="9" t="s">
        <v>213</v>
      </c>
      <c r="B709" s="9" t="s">
        <v>211</v>
      </c>
      <c r="C709" s="10">
        <v>46181</v>
      </c>
      <c r="D709" s="15">
        <v>1.0175</v>
      </c>
      <c r="E709" s="15">
        <v>1.0175</v>
      </c>
      <c r="F709" s="15">
        <v>1.0175</v>
      </c>
      <c r="G709" s="11">
        <v>-0.0065</v>
      </c>
      <c r="H709" s="9">
        <f>MAX($F$652:F709)</f>
        <v>1.0249</v>
      </c>
      <c r="I709" s="11">
        <f t="shared" si="17"/>
        <v>0.00722021660649808</v>
      </c>
      <c r="J709" s="9"/>
      <c r="K709" s="11"/>
      <c r="L709" s="9"/>
      <c r="M709" s="11"/>
      <c r="N709" s="9" t="s">
        <v>802</v>
      </c>
    </row>
    <row r="710" ht="25" customHeight="1" spans="1:14">
      <c r="A710" s="9" t="s">
        <v>213</v>
      </c>
      <c r="B710" s="9" t="s">
        <v>211</v>
      </c>
      <c r="C710" s="10">
        <v>46182</v>
      </c>
      <c r="D710" s="15">
        <v>1.0167</v>
      </c>
      <c r="E710" s="15">
        <v>1.0167</v>
      </c>
      <c r="F710" s="15">
        <v>1.0167</v>
      </c>
      <c r="G710" s="11">
        <v>-0.0008</v>
      </c>
      <c r="H710" s="9">
        <f>MAX($F$652:F710)</f>
        <v>1.0249</v>
      </c>
      <c r="I710" s="11">
        <f t="shared" si="17"/>
        <v>0.00800078056395748</v>
      </c>
      <c r="J710" s="9"/>
      <c r="K710" s="11"/>
      <c r="L710" s="9"/>
      <c r="M710" s="11"/>
      <c r="N710" s="9" t="s">
        <v>802</v>
      </c>
    </row>
    <row r="711" ht="25" customHeight="1" spans="1:14">
      <c r="A711" s="9" t="s">
        <v>213</v>
      </c>
      <c r="B711" s="9" t="s">
        <v>211</v>
      </c>
      <c r="C711" s="10">
        <v>46183</v>
      </c>
      <c r="D711" s="15">
        <v>1.0156</v>
      </c>
      <c r="E711" s="15">
        <v>1.0156</v>
      </c>
      <c r="F711" s="15">
        <v>1.0156</v>
      </c>
      <c r="G711" s="11">
        <v>-0.0011</v>
      </c>
      <c r="H711" s="9">
        <f>MAX($F$652:F711)</f>
        <v>1.0249</v>
      </c>
      <c r="I711" s="11">
        <f t="shared" si="17"/>
        <v>0.00907405600546385</v>
      </c>
      <c r="J711" s="9"/>
      <c r="K711" s="11"/>
      <c r="L711" s="9"/>
      <c r="M711" s="11"/>
      <c r="N711" s="9" t="s">
        <v>802</v>
      </c>
    </row>
    <row r="712" ht="25" customHeight="1" spans="1:14">
      <c r="A712" s="9" t="s">
        <v>213</v>
      </c>
      <c r="B712" s="9" t="s">
        <v>211</v>
      </c>
      <c r="C712" s="10">
        <v>46184</v>
      </c>
      <c r="D712" s="15">
        <v>1.016</v>
      </c>
      <c r="E712" s="15">
        <v>1.016</v>
      </c>
      <c r="F712" s="15">
        <v>1.016</v>
      </c>
      <c r="G712" s="11">
        <v>0.0004</v>
      </c>
      <c r="H712" s="9">
        <f>MAX($F$652:F712)</f>
        <v>1.0249</v>
      </c>
      <c r="I712" s="11">
        <f t="shared" si="17"/>
        <v>0.00868377402673426</v>
      </c>
      <c r="J712" s="9"/>
      <c r="K712" s="11"/>
      <c r="L712" s="9"/>
      <c r="M712" s="11"/>
      <c r="N712" s="9" t="s">
        <v>802</v>
      </c>
    </row>
    <row r="713" ht="25" customHeight="1" spans="1:14">
      <c r="A713" s="9" t="s">
        <v>213</v>
      </c>
      <c r="B713" s="9" t="s">
        <v>211</v>
      </c>
      <c r="C713" s="10">
        <v>46185</v>
      </c>
      <c r="D713" s="15">
        <v>1.0157</v>
      </c>
      <c r="E713" s="15">
        <v>1.0157</v>
      </c>
      <c r="F713" s="15">
        <v>1.0157</v>
      </c>
      <c r="G713" s="11">
        <v>-0.0003</v>
      </c>
      <c r="H713" s="9">
        <f>MAX($F$652:F713)</f>
        <v>1.0249</v>
      </c>
      <c r="I713" s="11">
        <f t="shared" si="17"/>
        <v>0.00897648551078145</v>
      </c>
      <c r="J713" s="9"/>
      <c r="K713" s="11"/>
      <c r="L713" s="9"/>
      <c r="M713" s="11"/>
      <c r="N713" s="9" t="s">
        <v>802</v>
      </c>
    </row>
    <row r="714" ht="25" customHeight="1" spans="1:14">
      <c r="A714" s="9" t="s">
        <v>213</v>
      </c>
      <c r="B714" s="9" t="s">
        <v>211</v>
      </c>
      <c r="C714" s="10">
        <v>46188</v>
      </c>
      <c r="D714" s="15">
        <v>1.0159</v>
      </c>
      <c r="E714" s="15">
        <v>1.0159</v>
      </c>
      <c r="F714" s="15">
        <v>1.0159</v>
      </c>
      <c r="G714" s="11">
        <v>0.0002</v>
      </c>
      <c r="H714" s="9">
        <f>MAX($F$652:F714)</f>
        <v>1.0249</v>
      </c>
      <c r="I714" s="11">
        <f t="shared" si="17"/>
        <v>0.00878134452141666</v>
      </c>
      <c r="J714" s="9"/>
      <c r="K714" s="11"/>
      <c r="L714" s="9"/>
      <c r="M714" s="11"/>
      <c r="N714" s="9" t="s">
        <v>802</v>
      </c>
    </row>
    <row r="715" ht="25" customHeight="1" spans="1:14">
      <c r="A715" s="9" t="s">
        <v>213</v>
      </c>
      <c r="B715" s="9" t="s">
        <v>211</v>
      </c>
      <c r="C715" s="10">
        <v>46189</v>
      </c>
      <c r="D715" s="15">
        <v>1.0165</v>
      </c>
      <c r="E715" s="15">
        <v>1.0165</v>
      </c>
      <c r="F715" s="15">
        <v>1.0165</v>
      </c>
      <c r="G715" s="11">
        <v>0.0006</v>
      </c>
      <c r="H715" s="9">
        <f>MAX($F$652:F715)</f>
        <v>1.0249</v>
      </c>
      <c r="I715" s="11">
        <f t="shared" si="17"/>
        <v>0.00819592155332227</v>
      </c>
      <c r="J715" s="9"/>
      <c r="K715" s="11"/>
      <c r="L715" s="9"/>
      <c r="M715" s="11"/>
      <c r="N715" s="9" t="s">
        <v>802</v>
      </c>
    </row>
    <row r="716" ht="25" customHeight="1" spans="1:14">
      <c r="A716" s="9" t="s">
        <v>213</v>
      </c>
      <c r="B716" s="9" t="s">
        <v>211</v>
      </c>
      <c r="C716" s="10">
        <v>46190</v>
      </c>
      <c r="D716" s="15">
        <v>1.0175</v>
      </c>
      <c r="E716" s="15">
        <v>1.0175</v>
      </c>
      <c r="F716" s="15">
        <v>1.0175</v>
      </c>
      <c r="G716" s="11">
        <v>0.001</v>
      </c>
      <c r="H716" s="9">
        <f>MAX($F$652:F716)</f>
        <v>1.0249</v>
      </c>
      <c r="I716" s="11">
        <f t="shared" si="17"/>
        <v>0.00722021660649808</v>
      </c>
      <c r="J716" s="9"/>
      <c r="K716" s="11"/>
      <c r="L716" s="9"/>
      <c r="M716" s="11"/>
      <c r="N716" s="9" t="s">
        <v>802</v>
      </c>
    </row>
    <row r="717" ht="25" customHeight="1" spans="1:14">
      <c r="A717" s="9" t="s">
        <v>213</v>
      </c>
      <c r="B717" s="9" t="s">
        <v>211</v>
      </c>
      <c r="C717" s="10">
        <v>46191</v>
      </c>
      <c r="D717" s="15">
        <v>1.0174</v>
      </c>
      <c r="E717" s="15">
        <v>1.0174</v>
      </c>
      <c r="F717" s="15">
        <v>1.0174</v>
      </c>
      <c r="G717" s="11">
        <v>-0.0001</v>
      </c>
      <c r="H717" s="9">
        <f>MAX($F$652:F717)</f>
        <v>1.0249</v>
      </c>
      <c r="I717" s="11">
        <f t="shared" si="17"/>
        <v>0.00731778710118047</v>
      </c>
      <c r="J717" s="9"/>
      <c r="K717" s="11"/>
      <c r="L717" s="9"/>
      <c r="M717" s="11"/>
      <c r="N717" s="9" t="s">
        <v>802</v>
      </c>
    </row>
    <row r="718" ht="25" customHeight="1" spans="1:14">
      <c r="A718" s="9" t="s">
        <v>213</v>
      </c>
      <c r="B718" s="9" t="s">
        <v>211</v>
      </c>
      <c r="C718" s="10">
        <v>46195</v>
      </c>
      <c r="D718" s="15">
        <v>1.0183</v>
      </c>
      <c r="E718" s="15">
        <v>1.0183</v>
      </c>
      <c r="F718" s="15">
        <v>1.0183</v>
      </c>
      <c r="G718" s="11">
        <v>0.0009</v>
      </c>
      <c r="H718" s="9">
        <f>MAX($F$652:F718)</f>
        <v>1.0249</v>
      </c>
      <c r="I718" s="11">
        <f t="shared" si="17"/>
        <v>0.0064396526490389</v>
      </c>
      <c r="J718" s="9"/>
      <c r="K718" s="11"/>
      <c r="L718" s="9"/>
      <c r="M718" s="11"/>
      <c r="N718" s="9" t="s">
        <v>802</v>
      </c>
    </row>
    <row r="719" ht="25" customHeight="1" spans="1:14">
      <c r="A719" s="9" t="s">
        <v>213</v>
      </c>
      <c r="B719" s="9" t="s">
        <v>211</v>
      </c>
      <c r="C719" s="10">
        <v>46196</v>
      </c>
      <c r="D719" s="15">
        <v>1.018</v>
      </c>
      <c r="E719" s="15">
        <v>1.018</v>
      </c>
      <c r="F719" s="15">
        <v>1.018</v>
      </c>
      <c r="G719" s="11">
        <v>-0.0003</v>
      </c>
      <c r="H719" s="9">
        <f>MAX($F$652:F719)</f>
        <v>1.0249</v>
      </c>
      <c r="I719" s="11">
        <f t="shared" si="17"/>
        <v>0.00673236413308609</v>
      </c>
      <c r="J719" s="9"/>
      <c r="K719" s="11"/>
      <c r="L719" s="9"/>
      <c r="M719" s="11"/>
      <c r="N719" s="9" t="s">
        <v>802</v>
      </c>
    </row>
    <row r="720" ht="25" customHeight="1" spans="1:14">
      <c r="A720" s="9" t="s">
        <v>213</v>
      </c>
      <c r="B720" s="9" t="s">
        <v>211</v>
      </c>
      <c r="C720" s="10">
        <v>46197</v>
      </c>
      <c r="D720" s="15">
        <v>1.02</v>
      </c>
      <c r="E720" s="15">
        <v>1.02</v>
      </c>
      <c r="F720" s="15">
        <v>1.02</v>
      </c>
      <c r="G720" s="11">
        <v>0.002</v>
      </c>
      <c r="H720" s="9">
        <f>MAX($F$652:F720)</f>
        <v>1.0249</v>
      </c>
      <c r="I720" s="11">
        <f t="shared" si="17"/>
        <v>0.00478095423943792</v>
      </c>
      <c r="J720" s="9"/>
      <c r="K720" s="11"/>
      <c r="L720" s="9"/>
      <c r="M720" s="11"/>
      <c r="N720" s="9" t="s">
        <v>802</v>
      </c>
    </row>
    <row r="721" ht="25" customHeight="1" spans="1:14">
      <c r="A721" s="9" t="s">
        <v>213</v>
      </c>
      <c r="B721" s="9" t="s">
        <v>211</v>
      </c>
      <c r="C721" s="10">
        <v>46198</v>
      </c>
      <c r="D721" s="15">
        <v>1.0211</v>
      </c>
      <c r="E721" s="15">
        <v>1.0211</v>
      </c>
      <c r="F721" s="15">
        <v>1.0211</v>
      </c>
      <c r="G721" s="11">
        <v>0.0011</v>
      </c>
      <c r="H721" s="9">
        <f>MAX($F$652:F721)</f>
        <v>1.0249</v>
      </c>
      <c r="I721" s="11">
        <f t="shared" si="17"/>
        <v>0.00370767879793155</v>
      </c>
      <c r="J721" s="9"/>
      <c r="K721" s="11"/>
      <c r="L721" s="9"/>
      <c r="M721" s="11"/>
      <c r="N721" s="9" t="s">
        <v>802</v>
      </c>
    </row>
    <row r="722" ht="25" customHeight="1" spans="1:14">
      <c r="A722" s="9" t="s">
        <v>213</v>
      </c>
      <c r="B722" s="9" t="s">
        <v>211</v>
      </c>
      <c r="C722" s="10">
        <v>46199</v>
      </c>
      <c r="D722" s="15">
        <v>1.0196</v>
      </c>
      <c r="E722" s="15">
        <v>1.0196</v>
      </c>
      <c r="F722" s="15">
        <v>1.0196</v>
      </c>
      <c r="G722" s="11">
        <v>-0.0015</v>
      </c>
      <c r="H722" s="9">
        <f>MAX($F$652:F722)</f>
        <v>1.0249</v>
      </c>
      <c r="I722" s="11">
        <f t="shared" si="17"/>
        <v>0.00517123621816751</v>
      </c>
      <c r="J722" s="9"/>
      <c r="K722" s="11"/>
      <c r="L722" s="9"/>
      <c r="M722" s="11"/>
      <c r="N722" s="9" t="s">
        <v>802</v>
      </c>
    </row>
    <row r="723" ht="25" customHeight="1" spans="1:14">
      <c r="A723" s="9" t="s">
        <v>213</v>
      </c>
      <c r="B723" s="9" t="s">
        <v>211</v>
      </c>
      <c r="C723" s="10">
        <v>46202</v>
      </c>
      <c r="D723" s="15">
        <v>1.0205</v>
      </c>
      <c r="E723" s="15">
        <v>1.0205</v>
      </c>
      <c r="F723" s="15">
        <v>1.0205</v>
      </c>
      <c r="G723" s="11">
        <v>0.0009</v>
      </c>
      <c r="H723" s="9">
        <f>MAX($F$652:F723)</f>
        <v>1.0249</v>
      </c>
      <c r="I723" s="11">
        <f t="shared" si="17"/>
        <v>0.00429310176602593</v>
      </c>
      <c r="J723" s="9"/>
      <c r="K723" s="11"/>
      <c r="L723" s="9"/>
      <c r="M723" s="11"/>
      <c r="N723" s="9" t="s">
        <v>802</v>
      </c>
    </row>
    <row r="724" ht="25" customHeight="1" spans="1:14">
      <c r="A724" s="9" t="s">
        <v>213</v>
      </c>
      <c r="B724" s="9" t="s">
        <v>211</v>
      </c>
      <c r="C724" s="10">
        <v>46203</v>
      </c>
      <c r="D724" s="15">
        <v>1.0188</v>
      </c>
      <c r="E724" s="15">
        <v>1.0188</v>
      </c>
      <c r="F724" s="15">
        <v>1.0188</v>
      </c>
      <c r="G724" s="11">
        <v>-0.0017</v>
      </c>
      <c r="H724" s="9">
        <f>MAX($F$652:F724)</f>
        <v>1.0249</v>
      </c>
      <c r="I724" s="11">
        <f t="shared" si="17"/>
        <v>0.00595180017562691</v>
      </c>
      <c r="J724" s="9"/>
      <c r="K724" s="11"/>
      <c r="L724" s="9"/>
      <c r="M724" s="11"/>
      <c r="N724" s="9" t="s">
        <v>802</v>
      </c>
    </row>
    <row r="725" ht="25" customHeight="1" spans="1:14">
      <c r="A725" s="9" t="s">
        <v>213</v>
      </c>
      <c r="B725" s="9" t="s">
        <v>211</v>
      </c>
      <c r="C725" s="10">
        <v>46204</v>
      </c>
      <c r="D725" s="15">
        <v>1.0194</v>
      </c>
      <c r="E725" s="15">
        <v>1.0194</v>
      </c>
      <c r="F725" s="15">
        <v>1.0194</v>
      </c>
      <c r="G725" s="11">
        <v>0.0006</v>
      </c>
      <c r="H725" s="9">
        <f>MAX($F$652:F725)</f>
        <v>1.0249</v>
      </c>
      <c r="I725" s="11">
        <f t="shared" si="17"/>
        <v>0.0053663772075323</v>
      </c>
      <c r="J725" s="9"/>
      <c r="K725" s="11"/>
      <c r="L725" s="9"/>
      <c r="M725" s="11"/>
      <c r="N725" s="9" t="s">
        <v>802</v>
      </c>
    </row>
    <row r="726" ht="25" customHeight="1" spans="1:14">
      <c r="A726" s="9" t="s">
        <v>213</v>
      </c>
      <c r="B726" s="9" t="s">
        <v>211</v>
      </c>
      <c r="C726" s="10">
        <v>46205</v>
      </c>
      <c r="D726" s="15">
        <v>1.0186</v>
      </c>
      <c r="E726" s="15">
        <v>1.0186</v>
      </c>
      <c r="F726" s="15">
        <v>1.0186</v>
      </c>
      <c r="G726" s="11">
        <v>-0.0008</v>
      </c>
      <c r="H726" s="9">
        <f>MAX($F$652:F726)</f>
        <v>1.0249</v>
      </c>
      <c r="I726" s="11">
        <f t="shared" si="17"/>
        <v>0.0061469411649917</v>
      </c>
      <c r="J726" s="9"/>
      <c r="K726" s="11"/>
      <c r="L726" s="9"/>
      <c r="M726" s="11"/>
      <c r="N726" s="9" t="s">
        <v>802</v>
      </c>
    </row>
    <row r="727" ht="25" customHeight="1" spans="1:14">
      <c r="A727" s="9" t="s">
        <v>213</v>
      </c>
      <c r="B727" s="9" t="s">
        <v>211</v>
      </c>
      <c r="C727" s="10">
        <v>46206</v>
      </c>
      <c r="D727" s="15">
        <v>1.0193</v>
      </c>
      <c r="E727" s="15">
        <v>1.0193</v>
      </c>
      <c r="F727" s="15">
        <v>1.0193</v>
      </c>
      <c r="G727" s="11">
        <v>0.0007</v>
      </c>
      <c r="H727" s="9">
        <f>MAX($F$652:F727)</f>
        <v>1.0249</v>
      </c>
      <c r="I727" s="11">
        <f t="shared" si="17"/>
        <v>0.0054639477022147</v>
      </c>
      <c r="J727" s="9"/>
      <c r="K727" s="11"/>
      <c r="L727" s="9"/>
      <c r="M727" s="11"/>
      <c r="N727" s="9" t="s">
        <v>802</v>
      </c>
    </row>
    <row r="728" ht="25" customHeight="1" spans="1:14">
      <c r="A728" s="9" t="s">
        <v>213</v>
      </c>
      <c r="B728" s="9" t="s">
        <v>211</v>
      </c>
      <c r="C728" s="10">
        <v>46209</v>
      </c>
      <c r="D728" s="15">
        <v>1.0214</v>
      </c>
      <c r="E728" s="15">
        <v>1.0214</v>
      </c>
      <c r="F728" s="15">
        <v>1.0214</v>
      </c>
      <c r="G728" s="11">
        <v>0.0021</v>
      </c>
      <c r="H728" s="9">
        <f>MAX($F$652:F728)</f>
        <v>1.0249</v>
      </c>
      <c r="I728" s="11">
        <f t="shared" si="17"/>
        <v>0.00341496731388413</v>
      </c>
      <c r="J728" s="9"/>
      <c r="K728" s="11"/>
      <c r="L728" s="9"/>
      <c r="M728" s="11"/>
      <c r="N728" s="9" t="s">
        <v>802</v>
      </c>
    </row>
    <row r="729" ht="25" customHeight="1" spans="1:14">
      <c r="A729" s="9" t="s">
        <v>213</v>
      </c>
      <c r="B729" s="9" t="s">
        <v>211</v>
      </c>
      <c r="C729" s="10">
        <v>46210</v>
      </c>
      <c r="D729" s="15">
        <v>1.0189</v>
      </c>
      <c r="E729" s="15">
        <v>1.0189</v>
      </c>
      <c r="F729" s="15">
        <v>1.0189</v>
      </c>
      <c r="G729" s="11">
        <v>-0.0024</v>
      </c>
      <c r="H729" s="9">
        <f>MAX($F$652:F729)</f>
        <v>1.0249</v>
      </c>
      <c r="I729" s="11">
        <f t="shared" si="17"/>
        <v>0.00585422968094451</v>
      </c>
      <c r="J729" s="9"/>
      <c r="K729" s="11"/>
      <c r="L729" s="9"/>
      <c r="M729" s="11"/>
      <c r="N729" s="9" t="s">
        <v>802</v>
      </c>
    </row>
    <row r="730" ht="25" customHeight="1" spans="1:14">
      <c r="A730" s="9" t="s">
        <v>213</v>
      </c>
      <c r="B730" s="9" t="s">
        <v>211</v>
      </c>
      <c r="C730" s="10">
        <v>46211</v>
      </c>
      <c r="D730" s="15">
        <v>1.0206</v>
      </c>
      <c r="E730" s="15">
        <v>1.0206</v>
      </c>
      <c r="F730" s="15">
        <v>1.0206</v>
      </c>
      <c r="G730" s="11">
        <v>0.0017</v>
      </c>
      <c r="H730" s="9">
        <f>MAX($F$652:F730)</f>
        <v>1.0249</v>
      </c>
      <c r="I730" s="11">
        <f t="shared" si="17"/>
        <v>0.00419553127134353</v>
      </c>
      <c r="J730" s="9"/>
      <c r="K730" s="11"/>
      <c r="L730" s="9"/>
      <c r="M730" s="11"/>
      <c r="N730" s="9" t="s">
        <v>802</v>
      </c>
    </row>
    <row r="731" ht="25" customHeight="1" spans="1:14">
      <c r="A731" s="9" t="s">
        <v>213</v>
      </c>
      <c r="B731" s="9" t="s">
        <v>211</v>
      </c>
      <c r="C731" s="10">
        <v>46212</v>
      </c>
      <c r="D731" s="15">
        <v>1.0208</v>
      </c>
      <c r="E731" s="15">
        <v>1.0208</v>
      </c>
      <c r="F731" s="15">
        <v>1.0208</v>
      </c>
      <c r="G731" s="11">
        <v>0.0002</v>
      </c>
      <c r="H731" s="9">
        <f>MAX($F$652:F731)</f>
        <v>1.0249</v>
      </c>
      <c r="I731" s="11">
        <f t="shared" si="17"/>
        <v>0.00400039028197874</v>
      </c>
      <c r="J731" s="9"/>
      <c r="K731" s="11"/>
      <c r="L731" s="9"/>
      <c r="M731" s="11"/>
      <c r="N731" s="9" t="s">
        <v>802</v>
      </c>
    </row>
    <row r="732" ht="25" customHeight="1" spans="1:14">
      <c r="A732" s="9" t="s">
        <v>213</v>
      </c>
      <c r="B732" s="9" t="s">
        <v>211</v>
      </c>
      <c r="C732" s="10">
        <v>46213</v>
      </c>
      <c r="D732" s="15">
        <v>1.0158</v>
      </c>
      <c r="E732" s="15">
        <v>1.0158</v>
      </c>
      <c r="F732" s="15">
        <v>1.0158</v>
      </c>
      <c r="G732" s="11">
        <v>-0.0049</v>
      </c>
      <c r="H732" s="9">
        <f>MAX($F$652:F732)</f>
        <v>1.0249</v>
      </c>
      <c r="I732" s="11">
        <f t="shared" si="17"/>
        <v>0.00887891501609905</v>
      </c>
      <c r="J732" s="9"/>
      <c r="K732" s="11"/>
      <c r="L732" s="9"/>
      <c r="M732" s="11"/>
      <c r="N732" s="9" t="s">
        <v>802</v>
      </c>
    </row>
    <row r="733" ht="25" customHeight="1" spans="1:14">
      <c r="A733" s="9" t="s">
        <v>213</v>
      </c>
      <c r="B733" s="9" t="s">
        <v>211</v>
      </c>
      <c r="C733" s="10">
        <v>46216</v>
      </c>
      <c r="D733" s="15">
        <v>1.0113</v>
      </c>
      <c r="E733" s="15">
        <v>1.0113</v>
      </c>
      <c r="F733" s="15">
        <v>1.0113</v>
      </c>
      <c r="G733" s="11">
        <v>-0.0044</v>
      </c>
      <c r="H733" s="9">
        <f>MAX($F$652:F733)</f>
        <v>1.0249</v>
      </c>
      <c r="I733" s="11">
        <f t="shared" si="17"/>
        <v>0.0132695872768074</v>
      </c>
      <c r="J733" s="9"/>
      <c r="K733" s="11"/>
      <c r="L733" s="9"/>
      <c r="M733" s="11"/>
      <c r="N733" s="9" t="s">
        <v>802</v>
      </c>
    </row>
    <row r="734" ht="25" customHeight="1" spans="1:14">
      <c r="A734" s="9" t="s">
        <v>213</v>
      </c>
      <c r="B734" s="9" t="s">
        <v>211</v>
      </c>
      <c r="C734" s="10">
        <v>46217</v>
      </c>
      <c r="D734" s="15">
        <v>1.0101</v>
      </c>
      <c r="E734" s="15">
        <v>1.0101</v>
      </c>
      <c r="F734" s="15">
        <v>1.0101</v>
      </c>
      <c r="G734" s="11">
        <v>-0.0012</v>
      </c>
      <c r="H734" s="9">
        <f>MAX($F$652:F734)</f>
        <v>1.0249</v>
      </c>
      <c r="I734" s="11">
        <f t="shared" si="17"/>
        <v>0.0144404332129963</v>
      </c>
      <c r="J734" s="9"/>
      <c r="K734" s="11"/>
      <c r="L734" s="9"/>
      <c r="M734" s="11"/>
      <c r="N734" s="9" t="s">
        <v>802</v>
      </c>
    </row>
    <row r="735" ht="25" customHeight="1" spans="1:14">
      <c r="A735" s="9" t="s">
        <v>213</v>
      </c>
      <c r="B735" s="9" t="s">
        <v>211</v>
      </c>
      <c r="C735" s="10">
        <v>46218</v>
      </c>
      <c r="D735" s="15">
        <v>1.008</v>
      </c>
      <c r="E735" s="15">
        <v>1.008</v>
      </c>
      <c r="F735" s="15">
        <v>1.008</v>
      </c>
      <c r="G735" s="11">
        <v>-0.0021</v>
      </c>
      <c r="H735" s="9">
        <f>MAX($F$652:F735)</f>
        <v>1.0249</v>
      </c>
      <c r="I735" s="11">
        <f t="shared" si="17"/>
        <v>0.0164894136013268</v>
      </c>
      <c r="J735" s="9"/>
      <c r="K735" s="11"/>
      <c r="L735" s="9"/>
      <c r="M735" s="11"/>
      <c r="N735" s="9" t="s">
        <v>802</v>
      </c>
    </row>
    <row r="736" ht="25" customHeight="1" spans="1:14">
      <c r="A736" s="9" t="s">
        <v>213</v>
      </c>
      <c r="B736" s="9" t="s">
        <v>211</v>
      </c>
      <c r="C736" s="10">
        <v>46219</v>
      </c>
      <c r="D736" s="15">
        <v>1.0075</v>
      </c>
      <c r="E736" s="15">
        <v>1.0075</v>
      </c>
      <c r="F736" s="15">
        <v>1.0075</v>
      </c>
      <c r="G736" s="11">
        <v>-0.0005</v>
      </c>
      <c r="H736" s="9">
        <f>MAX($F$652:F736)</f>
        <v>1.0249</v>
      </c>
      <c r="I736" s="11">
        <f t="shared" si="17"/>
        <v>0.0169772660747388</v>
      </c>
      <c r="J736" s="9"/>
      <c r="K736" s="11"/>
      <c r="L736" s="9"/>
      <c r="M736" s="11"/>
      <c r="N736" s="9" t="s">
        <v>802</v>
      </c>
    </row>
    <row r="737" ht="25" customHeight="1" spans="1:14">
      <c r="A737" s="9" t="s">
        <v>213</v>
      </c>
      <c r="B737" s="9" t="s">
        <v>211</v>
      </c>
      <c r="C737" s="10">
        <v>46220</v>
      </c>
      <c r="D737" s="15">
        <v>1.0073</v>
      </c>
      <c r="E737" s="15">
        <v>1.0073</v>
      </c>
      <c r="F737" s="15">
        <v>1.0073</v>
      </c>
      <c r="G737" s="11">
        <v>-0.0002</v>
      </c>
      <c r="H737" s="9">
        <f>MAX($F$652:F737)</f>
        <v>1.0249</v>
      </c>
      <c r="I737" s="11">
        <f t="shared" si="17"/>
        <v>0.0171724070641036</v>
      </c>
      <c r="J737" s="9"/>
      <c r="K737" s="11"/>
      <c r="L737" s="9"/>
      <c r="M737" s="11"/>
      <c r="N737" s="9" t="s">
        <v>802</v>
      </c>
    </row>
    <row r="738" ht="25" customHeight="1" spans="1:14">
      <c r="A738" s="9" t="s">
        <v>213</v>
      </c>
      <c r="B738" s="9" t="s">
        <v>211</v>
      </c>
      <c r="C738" s="10">
        <v>46223</v>
      </c>
      <c r="D738" s="15">
        <v>1.0096</v>
      </c>
      <c r="E738" s="15">
        <v>1.0096</v>
      </c>
      <c r="F738" s="15">
        <v>1.0096</v>
      </c>
      <c r="G738" s="11">
        <v>0.0023</v>
      </c>
      <c r="H738" s="9">
        <f>MAX($F$652:F738)</f>
        <v>1.0249</v>
      </c>
      <c r="I738" s="11">
        <f t="shared" si="17"/>
        <v>0.0149282856864082</v>
      </c>
      <c r="J738" s="9"/>
      <c r="K738" s="11"/>
      <c r="L738" s="9"/>
      <c r="M738" s="11"/>
      <c r="N738" s="9" t="s">
        <v>802</v>
      </c>
    </row>
    <row r="739" ht="25" customHeight="1" spans="1:14">
      <c r="A739" s="9" t="s">
        <v>213</v>
      </c>
      <c r="B739" s="9" t="s">
        <v>211</v>
      </c>
      <c r="C739" s="10">
        <v>46224</v>
      </c>
      <c r="D739" s="15">
        <v>1.0051</v>
      </c>
      <c r="E739" s="15">
        <v>1.0051</v>
      </c>
      <c r="F739" s="15">
        <v>1.0051</v>
      </c>
      <c r="G739" s="11">
        <v>-0.0045</v>
      </c>
      <c r="H739" s="9">
        <f>MAX($F$652:F739)</f>
        <v>1.0249</v>
      </c>
      <c r="I739" s="11">
        <f t="shared" si="17"/>
        <v>0.0193189579471166</v>
      </c>
      <c r="J739" s="9"/>
      <c r="K739" s="11"/>
      <c r="L739" s="9"/>
      <c r="M739" s="11"/>
      <c r="N739" s="9" t="s">
        <v>802</v>
      </c>
    </row>
    <row r="740" ht="25" customHeight="1" spans="1:14">
      <c r="A740" s="9" t="s">
        <v>213</v>
      </c>
      <c r="B740" s="9" t="s">
        <v>211</v>
      </c>
      <c r="C740" s="10">
        <v>46225</v>
      </c>
      <c r="D740" s="15">
        <v>1.0045</v>
      </c>
      <c r="E740" s="15">
        <v>1.0045</v>
      </c>
      <c r="F740" s="15">
        <v>1.0045</v>
      </c>
      <c r="G740" s="11">
        <v>-0.0006</v>
      </c>
      <c r="H740" s="9">
        <f>MAX($F$652:F740)</f>
        <v>1.0249</v>
      </c>
      <c r="I740" s="11">
        <f t="shared" si="17"/>
        <v>0.0199043809152112</v>
      </c>
      <c r="J740" s="9"/>
      <c r="K740" s="11"/>
      <c r="L740" s="9"/>
      <c r="M740" s="11"/>
      <c r="N740" s="9" t="s">
        <v>802</v>
      </c>
    </row>
    <row r="741" ht="25" customHeight="1" spans="1:14">
      <c r="A741" s="9" t="s">
        <v>213</v>
      </c>
      <c r="B741" s="9" t="s">
        <v>211</v>
      </c>
      <c r="C741" s="10">
        <v>46226</v>
      </c>
      <c r="D741" s="15">
        <v>1.0005</v>
      </c>
      <c r="E741" s="15">
        <v>1.0005</v>
      </c>
      <c r="F741" s="15">
        <v>1.0005</v>
      </c>
      <c r="G741" s="11">
        <v>-0.004</v>
      </c>
      <c r="H741" s="9">
        <f>MAX($F$652:F741)</f>
        <v>1.0249</v>
      </c>
      <c r="I741" s="11">
        <f t="shared" si="17"/>
        <v>0.0238072007025075</v>
      </c>
      <c r="J741" s="9"/>
      <c r="K741" s="11"/>
      <c r="L741" s="9"/>
      <c r="M741" s="11"/>
      <c r="N741" s="9" t="s">
        <v>802</v>
      </c>
    </row>
    <row r="742" ht="25" customHeight="1" spans="1:14">
      <c r="A742" s="9" t="s">
        <v>213</v>
      </c>
      <c r="B742" s="9" t="s">
        <v>211</v>
      </c>
      <c r="C742" s="10">
        <v>46227</v>
      </c>
      <c r="D742" s="15">
        <v>0.9998</v>
      </c>
      <c r="E742" s="15">
        <v>0.9998</v>
      </c>
      <c r="F742" s="15">
        <v>0.9998</v>
      </c>
      <c r="G742" s="11">
        <v>-0.0007</v>
      </c>
      <c r="H742" s="9">
        <f>MAX($F$652:F742)</f>
        <v>1.0249</v>
      </c>
      <c r="I742" s="11">
        <f t="shared" si="17"/>
        <v>0.0244901941652843</v>
      </c>
      <c r="J742" s="9"/>
      <c r="K742" s="11"/>
      <c r="L742" s="9"/>
      <c r="M742" s="11"/>
      <c r="N742" s="9" t="s">
        <v>802</v>
      </c>
    </row>
    <row r="743" ht="25" customHeight="1" spans="1:14">
      <c r="A743" s="9" t="s">
        <v>213</v>
      </c>
      <c r="B743" s="9" t="s">
        <v>211</v>
      </c>
      <c r="C743" s="10">
        <v>46230</v>
      </c>
      <c r="D743" s="15">
        <v>1.0004</v>
      </c>
      <c r="E743" s="15">
        <v>1.0004</v>
      </c>
      <c r="F743" s="15">
        <v>1.0004</v>
      </c>
      <c r="G743" s="11">
        <v>0.0006</v>
      </c>
      <c r="H743" s="9">
        <f>MAX($F$652:F743)</f>
        <v>1.0249</v>
      </c>
      <c r="I743" s="11">
        <f t="shared" si="17"/>
        <v>0.0239047711971899</v>
      </c>
      <c r="J743" s="9"/>
      <c r="K743" s="11"/>
      <c r="L743" s="9"/>
      <c r="M743" s="11"/>
      <c r="N743" s="9" t="s">
        <v>802</v>
      </c>
    </row>
    <row r="744" ht="25" customHeight="1" spans="1:14">
      <c r="A744" s="9" t="s">
        <v>213</v>
      </c>
      <c r="B744" s="9" t="s">
        <v>211</v>
      </c>
      <c r="C744" s="10">
        <v>46231</v>
      </c>
      <c r="D744" s="15">
        <v>0.9987</v>
      </c>
      <c r="E744" s="15">
        <v>0.9987</v>
      </c>
      <c r="F744" s="15">
        <v>0.9987</v>
      </c>
      <c r="G744" s="11">
        <v>-0.0017</v>
      </c>
      <c r="H744" s="9">
        <f>MAX($F$652:F744)</f>
        <v>1.0249</v>
      </c>
      <c r="I744" s="11">
        <f t="shared" si="17"/>
        <v>0.0255634696067908</v>
      </c>
      <c r="J744" s="9"/>
      <c r="K744" s="11"/>
      <c r="L744" s="9"/>
      <c r="M744" s="11"/>
      <c r="N744" s="9" t="s">
        <v>802</v>
      </c>
    </row>
    <row r="745" ht="25" customHeight="1" spans="1:14">
      <c r="A745" s="9" t="s">
        <v>213</v>
      </c>
      <c r="B745" s="9" t="s">
        <v>211</v>
      </c>
      <c r="C745" s="10">
        <v>46232</v>
      </c>
      <c r="D745" s="15">
        <v>0.9973</v>
      </c>
      <c r="E745" s="15">
        <v>0.9973</v>
      </c>
      <c r="F745" s="15">
        <v>0.9973</v>
      </c>
      <c r="G745" s="11">
        <v>-0.0014</v>
      </c>
      <c r="H745" s="9">
        <f>MAX($F$652:F745)</f>
        <v>1.0249</v>
      </c>
      <c r="I745" s="11">
        <f t="shared" si="17"/>
        <v>0.0269294565323446</v>
      </c>
      <c r="J745" s="9"/>
      <c r="K745" s="11"/>
      <c r="L745" s="9"/>
      <c r="M745" s="11"/>
      <c r="N745" s="9" t="s">
        <v>802</v>
      </c>
    </row>
    <row r="746" ht="25" customHeight="1" spans="1:14">
      <c r="A746" s="9" t="s">
        <v>213</v>
      </c>
      <c r="B746" s="9" t="s">
        <v>211</v>
      </c>
      <c r="C746" s="10">
        <v>46233</v>
      </c>
      <c r="D746" s="15">
        <v>0.9971</v>
      </c>
      <c r="E746" s="15">
        <v>0.9971</v>
      </c>
      <c r="F746" s="15">
        <v>0.9971</v>
      </c>
      <c r="G746" s="11">
        <v>-0.0002</v>
      </c>
      <c r="H746" s="9">
        <f>MAX($F$652:F746)</f>
        <v>1.0249</v>
      </c>
      <c r="I746" s="11">
        <f t="shared" si="17"/>
        <v>0.0271245975217094</v>
      </c>
      <c r="J746" s="9"/>
      <c r="K746" s="11"/>
      <c r="L746" s="9"/>
      <c r="M746" s="11"/>
      <c r="N746" s="9" t="s">
        <v>802</v>
      </c>
    </row>
    <row r="747" ht="25" customHeight="1" spans="1:14">
      <c r="A747" s="9" t="s">
        <v>213</v>
      </c>
      <c r="B747" s="9" t="s">
        <v>211</v>
      </c>
      <c r="C747" s="10">
        <v>46234</v>
      </c>
      <c r="D747" s="15">
        <v>0.9968</v>
      </c>
      <c r="E747" s="15">
        <v>0.9968</v>
      </c>
      <c r="F747" s="15">
        <v>0.9968</v>
      </c>
      <c r="G747" s="11">
        <v>-0.0003</v>
      </c>
      <c r="H747" s="9">
        <f>MAX($F$652:F747)</f>
        <v>1.0249</v>
      </c>
      <c r="I747" s="11">
        <f t="shared" si="17"/>
        <v>0.0274173090057566</v>
      </c>
      <c r="J747" s="9"/>
      <c r="K747" s="11"/>
      <c r="L747" s="9"/>
      <c r="M747" s="11"/>
      <c r="N747" s="9" t="s">
        <v>802</v>
      </c>
    </row>
    <row r="748" ht="25" customHeight="1" spans="1:14">
      <c r="A748" s="9" t="s">
        <v>213</v>
      </c>
      <c r="B748" s="9" t="s">
        <v>211</v>
      </c>
      <c r="C748" s="10">
        <v>46237</v>
      </c>
      <c r="D748" s="15">
        <v>0.996</v>
      </c>
      <c r="E748" s="15">
        <v>0.996</v>
      </c>
      <c r="F748" s="15">
        <v>0.996</v>
      </c>
      <c r="G748" s="11">
        <v>-0.0008</v>
      </c>
      <c r="H748" s="9">
        <f>MAX($F$652:F748)</f>
        <v>1.0249</v>
      </c>
      <c r="I748" s="11">
        <f t="shared" si="17"/>
        <v>0.0281978729632159</v>
      </c>
      <c r="J748" s="9"/>
      <c r="K748" s="11"/>
      <c r="L748" s="9"/>
      <c r="M748" s="11"/>
      <c r="N748" s="9" t="s">
        <v>802</v>
      </c>
    </row>
    <row r="749" ht="25" customHeight="1" spans="1:14">
      <c r="A749" s="9" t="s">
        <v>213</v>
      </c>
      <c r="B749" s="9" t="s">
        <v>211</v>
      </c>
      <c r="C749" s="10">
        <v>46238</v>
      </c>
      <c r="D749" s="15">
        <v>0.9963</v>
      </c>
      <c r="E749" s="15">
        <v>0.9963</v>
      </c>
      <c r="F749" s="15">
        <v>0.9963</v>
      </c>
      <c r="G749" s="11">
        <v>0.0003</v>
      </c>
      <c r="H749" s="9">
        <f>MAX($F$652:F749)</f>
        <v>1.0249</v>
      </c>
      <c r="I749" s="11">
        <f t="shared" si="17"/>
        <v>0.0279051614791687</v>
      </c>
      <c r="J749" s="9"/>
      <c r="K749" s="11"/>
      <c r="L749" s="9"/>
      <c r="M749" s="11"/>
      <c r="N749" s="9" t="s">
        <v>802</v>
      </c>
    </row>
    <row r="750" ht="25" customHeight="1" spans="1:14">
      <c r="A750" s="9" t="s">
        <v>213</v>
      </c>
      <c r="B750" s="9" t="s">
        <v>211</v>
      </c>
      <c r="C750" s="10">
        <v>46239</v>
      </c>
      <c r="D750" s="15">
        <v>0.9974</v>
      </c>
      <c r="E750" s="15">
        <v>0.9974</v>
      </c>
      <c r="F750" s="15">
        <v>0.9974</v>
      </c>
      <c r="G750" s="11">
        <v>0.0011</v>
      </c>
      <c r="H750" s="9">
        <f>MAX($F$652:F750)</f>
        <v>1.0249</v>
      </c>
      <c r="I750" s="11">
        <f t="shared" si="17"/>
        <v>0.0268318860376622</v>
      </c>
      <c r="J750" s="9"/>
      <c r="K750" s="11"/>
      <c r="L750" s="9"/>
      <c r="M750" s="11"/>
      <c r="N750" s="9" t="s">
        <v>802</v>
      </c>
    </row>
    <row r="751" ht="25" customHeight="1" spans="1:14">
      <c r="A751" s="9" t="s">
        <v>213</v>
      </c>
      <c r="B751" s="9" t="s">
        <v>211</v>
      </c>
      <c r="C751" s="10">
        <v>46240</v>
      </c>
      <c r="D751" s="15">
        <v>0.998</v>
      </c>
      <c r="E751" s="15">
        <v>0.998</v>
      </c>
      <c r="F751" s="15">
        <v>0.998</v>
      </c>
      <c r="G751" s="11">
        <v>0.0006</v>
      </c>
      <c r="H751" s="9">
        <f>MAX($F$652:F751)</f>
        <v>1.0249</v>
      </c>
      <c r="I751" s="11">
        <f t="shared" si="17"/>
        <v>0.0262464630695677</v>
      </c>
      <c r="J751" s="9"/>
      <c r="K751" s="11"/>
      <c r="L751" s="9"/>
      <c r="M751" s="11"/>
      <c r="N751" s="9" t="s">
        <v>802</v>
      </c>
    </row>
    <row r="752" ht="25" customHeight="1" spans="1:14">
      <c r="A752" s="9" t="s">
        <v>213</v>
      </c>
      <c r="B752" s="9" t="s">
        <v>211</v>
      </c>
      <c r="C752" s="10">
        <v>46241</v>
      </c>
      <c r="D752" s="15">
        <v>0.9989</v>
      </c>
      <c r="E752" s="15">
        <v>0.9989</v>
      </c>
      <c r="F752" s="15">
        <v>0.9989</v>
      </c>
      <c r="G752" s="11">
        <v>0.0009</v>
      </c>
      <c r="H752" s="9">
        <f>MAX($F$652:F752)</f>
        <v>1.0249</v>
      </c>
      <c r="I752" s="11">
        <f t="shared" si="17"/>
        <v>0.025368328617426</v>
      </c>
      <c r="J752" s="9"/>
      <c r="K752" s="11"/>
      <c r="L752" s="9"/>
      <c r="M752" s="11"/>
      <c r="N752" s="9" t="s">
        <v>802</v>
      </c>
    </row>
    <row r="753" ht="25" customHeight="1" spans="1:14">
      <c r="A753" s="9" t="s">
        <v>213</v>
      </c>
      <c r="B753" s="9" t="s">
        <v>211</v>
      </c>
      <c r="C753" s="10">
        <v>46244</v>
      </c>
      <c r="D753" s="15">
        <v>0.9984</v>
      </c>
      <c r="E753" s="15">
        <v>0.9984</v>
      </c>
      <c r="F753" s="15">
        <v>0.9984</v>
      </c>
      <c r="G753" s="11">
        <v>-0.0005</v>
      </c>
      <c r="H753" s="9">
        <f>MAX($F$652:F753)</f>
        <v>1.0249</v>
      </c>
      <c r="I753" s="11">
        <f t="shared" si="17"/>
        <v>0.0258561810908381</v>
      </c>
      <c r="J753" s="9"/>
      <c r="K753" s="11"/>
      <c r="L753" s="9"/>
      <c r="M753" s="11"/>
      <c r="N753" s="9" t="s">
        <v>802</v>
      </c>
    </row>
    <row r="754" ht="25" customHeight="1" spans="1:14">
      <c r="A754" s="9" t="s">
        <v>213</v>
      </c>
      <c r="B754" s="9" t="s">
        <v>211</v>
      </c>
      <c r="C754" s="10">
        <v>46245</v>
      </c>
      <c r="D754" s="15">
        <v>0.9984</v>
      </c>
      <c r="E754" s="15">
        <v>0.9984</v>
      </c>
      <c r="F754" s="15">
        <v>0.9984</v>
      </c>
      <c r="G754" s="11">
        <v>0</v>
      </c>
      <c r="H754" s="9">
        <f>MAX($F$652:F754)</f>
        <v>1.0249</v>
      </c>
      <c r="I754" s="11">
        <f t="shared" si="17"/>
        <v>0.0258561810908381</v>
      </c>
      <c r="J754" s="9"/>
      <c r="K754" s="11"/>
      <c r="L754" s="9"/>
      <c r="M754" s="11"/>
      <c r="N754" s="9" t="s">
        <v>802</v>
      </c>
    </row>
    <row r="755" ht="25" customHeight="1" spans="1:14">
      <c r="A755" s="9" t="s">
        <v>213</v>
      </c>
      <c r="B755" s="9" t="s">
        <v>211</v>
      </c>
      <c r="C755" s="10">
        <v>46246</v>
      </c>
      <c r="D755" s="15">
        <v>0.9985</v>
      </c>
      <c r="E755" s="15">
        <v>0.9985</v>
      </c>
      <c r="F755" s="15">
        <v>0.9985</v>
      </c>
      <c r="G755" s="11">
        <v>0.0001</v>
      </c>
      <c r="H755" s="9">
        <f>MAX($F$652:F755)</f>
        <v>1.0249</v>
      </c>
      <c r="I755" s="11">
        <f t="shared" si="17"/>
        <v>0.0257586105961556</v>
      </c>
      <c r="J755" s="9"/>
      <c r="K755" s="11"/>
      <c r="L755" s="9"/>
      <c r="M755" s="11"/>
      <c r="N755" s="9" t="s">
        <v>802</v>
      </c>
    </row>
    <row r="756" ht="25" customHeight="1" spans="1:14">
      <c r="A756" s="9" t="s">
        <v>213</v>
      </c>
      <c r="B756" s="9" t="s">
        <v>211</v>
      </c>
      <c r="C756" s="10">
        <v>46247</v>
      </c>
      <c r="D756" s="15">
        <v>0.9997</v>
      </c>
      <c r="E756" s="15">
        <v>0.9997</v>
      </c>
      <c r="F756" s="15">
        <v>0.9997</v>
      </c>
      <c r="G756" s="11">
        <v>0.0012</v>
      </c>
      <c r="H756" s="9">
        <f>MAX($F$652:F756)</f>
        <v>1.0249</v>
      </c>
      <c r="I756" s="11">
        <f t="shared" si="17"/>
        <v>0.0245877646599667</v>
      </c>
      <c r="J756" s="9"/>
      <c r="K756" s="11"/>
      <c r="L756" s="9"/>
      <c r="M756" s="11"/>
      <c r="N756" s="9" t="s">
        <v>802</v>
      </c>
    </row>
    <row r="757" ht="25" customHeight="1" spans="1:14">
      <c r="A757" s="9" t="s">
        <v>213</v>
      </c>
      <c r="B757" s="9" t="s">
        <v>211</v>
      </c>
      <c r="C757" s="10">
        <v>46248</v>
      </c>
      <c r="D757" s="15">
        <v>0.9995</v>
      </c>
      <c r="E757" s="15">
        <v>0.9995</v>
      </c>
      <c r="F757" s="15">
        <v>0.9995</v>
      </c>
      <c r="G757" s="11">
        <v>-0.0002</v>
      </c>
      <c r="H757" s="9">
        <f>MAX($F$652:F757)</f>
        <v>1.0249</v>
      </c>
      <c r="I757" s="11">
        <f t="shared" si="17"/>
        <v>0.0247829056493315</v>
      </c>
      <c r="J757" s="9"/>
      <c r="K757" s="11"/>
      <c r="L757" s="9"/>
      <c r="M757" s="11"/>
      <c r="N757" s="9" t="s">
        <v>802</v>
      </c>
    </row>
    <row r="758" ht="25" customHeight="1" spans="1:14">
      <c r="A758" s="9" t="s">
        <v>213</v>
      </c>
      <c r="B758" s="9" t="s">
        <v>211</v>
      </c>
      <c r="C758" s="10">
        <v>46251</v>
      </c>
      <c r="D758" s="15">
        <v>1.0003</v>
      </c>
      <c r="E758" s="15">
        <v>1.0003</v>
      </c>
      <c r="F758" s="15">
        <v>1.0003</v>
      </c>
      <c r="G758" s="11">
        <v>0.0008</v>
      </c>
      <c r="H758" s="9">
        <f>MAX($F$652:F758)</f>
        <v>1.0249</v>
      </c>
      <c r="I758" s="11">
        <f t="shared" si="17"/>
        <v>0.0240023416918723</v>
      </c>
      <c r="J758" s="9"/>
      <c r="K758" s="11"/>
      <c r="L758" s="9"/>
      <c r="M758" s="11"/>
      <c r="N758" s="9" t="s">
        <v>802</v>
      </c>
    </row>
    <row r="759" ht="25" customHeight="1" spans="1:14">
      <c r="A759" s="9" t="s">
        <v>213</v>
      </c>
      <c r="B759" s="9" t="s">
        <v>211</v>
      </c>
      <c r="C759" s="10">
        <v>46252</v>
      </c>
      <c r="D759" s="15">
        <v>1.0006</v>
      </c>
      <c r="E759" s="15">
        <v>1.0006</v>
      </c>
      <c r="F759" s="15">
        <v>1.0006</v>
      </c>
      <c r="G759" s="11">
        <v>0.0003</v>
      </c>
      <c r="H759" s="9">
        <f>MAX($F$652:F759)</f>
        <v>1.0249</v>
      </c>
      <c r="I759" s="11">
        <f t="shared" si="17"/>
        <v>0.0237096302078251</v>
      </c>
      <c r="J759" s="9"/>
      <c r="K759" s="11"/>
      <c r="L759" s="9"/>
      <c r="M759" s="11"/>
      <c r="N759" s="9" t="s">
        <v>802</v>
      </c>
    </row>
    <row r="760" ht="25" customHeight="1" spans="1:14">
      <c r="A760" s="9" t="s">
        <v>213</v>
      </c>
      <c r="B760" s="9" t="s">
        <v>211</v>
      </c>
      <c r="C760" s="10">
        <v>46253</v>
      </c>
      <c r="D760" s="15">
        <v>1.0021</v>
      </c>
      <c r="E760" s="15">
        <v>1.0021</v>
      </c>
      <c r="F760" s="15">
        <v>1.0021</v>
      </c>
      <c r="G760" s="11">
        <v>0.0015</v>
      </c>
      <c r="H760" s="9">
        <f>MAX($F$652:F760)</f>
        <v>1.0249</v>
      </c>
      <c r="I760" s="11">
        <f t="shared" si="17"/>
        <v>0.0222460727875889</v>
      </c>
      <c r="J760" s="9"/>
      <c r="K760" s="11"/>
      <c r="L760" s="9"/>
      <c r="M760" s="11"/>
      <c r="N760" s="9" t="s">
        <v>802</v>
      </c>
    </row>
    <row r="761" ht="25" customHeight="1" spans="1:14">
      <c r="A761" s="9" t="s">
        <v>213</v>
      </c>
      <c r="B761" s="9" t="s">
        <v>211</v>
      </c>
      <c r="C761" s="10">
        <v>46254</v>
      </c>
      <c r="D761" s="15">
        <v>1.0017</v>
      </c>
      <c r="E761" s="15">
        <v>1.0017</v>
      </c>
      <c r="F761" s="15">
        <v>1.0017</v>
      </c>
      <c r="G761" s="11">
        <v>-0.0004</v>
      </c>
      <c r="H761" s="9">
        <f>MAX($F$652:F761)</f>
        <v>1.0249</v>
      </c>
      <c r="I761" s="11">
        <f t="shared" si="17"/>
        <v>0.0226363547663185</v>
      </c>
      <c r="J761" s="9"/>
      <c r="K761" s="11"/>
      <c r="L761" s="9"/>
      <c r="M761" s="11"/>
      <c r="N761" s="9" t="s">
        <v>802</v>
      </c>
    </row>
    <row r="762" ht="25" customHeight="1" spans="1:14">
      <c r="A762" s="9" t="s">
        <v>213</v>
      </c>
      <c r="B762" s="9" t="s">
        <v>211</v>
      </c>
      <c r="C762" s="10">
        <v>46255</v>
      </c>
      <c r="D762" s="15">
        <v>1.0024</v>
      </c>
      <c r="E762" s="15">
        <v>1.0024</v>
      </c>
      <c r="F762" s="15">
        <v>1.0024</v>
      </c>
      <c r="G762" s="11">
        <v>0.0007</v>
      </c>
      <c r="H762" s="9">
        <f>MAX($F$652:F762)</f>
        <v>1.0249</v>
      </c>
      <c r="I762" s="11">
        <f t="shared" si="17"/>
        <v>0.0219533613035418</v>
      </c>
      <c r="J762" s="9"/>
      <c r="K762" s="11"/>
      <c r="L762" s="9"/>
      <c r="M762" s="11"/>
      <c r="N762" s="9" t="s">
        <v>802</v>
      </c>
    </row>
    <row r="763" ht="25" customHeight="1" spans="1:14">
      <c r="A763" s="9" t="s">
        <v>213</v>
      </c>
      <c r="B763" s="9" t="s">
        <v>211</v>
      </c>
      <c r="C763" s="10">
        <v>46258</v>
      </c>
      <c r="D763" s="15">
        <v>1.0006</v>
      </c>
      <c r="E763" s="15">
        <v>1.0006</v>
      </c>
      <c r="F763" s="15">
        <v>1.0006</v>
      </c>
      <c r="G763" s="11">
        <v>-0.0018</v>
      </c>
      <c r="H763" s="9">
        <f>MAX($F$652:F763)</f>
        <v>1.0249</v>
      </c>
      <c r="I763" s="11">
        <f t="shared" si="17"/>
        <v>0.0237096302078251</v>
      </c>
      <c r="J763" s="9"/>
      <c r="K763" s="11"/>
      <c r="L763" s="9"/>
      <c r="M763" s="11"/>
      <c r="N763" s="9" t="s">
        <v>802</v>
      </c>
    </row>
    <row r="764" ht="25" customHeight="1" spans="1:14">
      <c r="A764" s="9" t="s">
        <v>213</v>
      </c>
      <c r="B764" s="9" t="s">
        <v>211</v>
      </c>
      <c r="C764" s="10">
        <v>46259</v>
      </c>
      <c r="D764" s="15">
        <v>1.0006</v>
      </c>
      <c r="E764" s="15">
        <v>1.0006</v>
      </c>
      <c r="F764" s="15">
        <v>1.0006</v>
      </c>
      <c r="G764" s="11">
        <v>0</v>
      </c>
      <c r="H764" s="9">
        <f>MAX($F$652:F764)</f>
        <v>1.0249</v>
      </c>
      <c r="I764" s="11">
        <f t="shared" si="17"/>
        <v>0.0237096302078251</v>
      </c>
      <c r="J764" s="9"/>
      <c r="K764" s="11"/>
      <c r="L764" s="9"/>
      <c r="M764" s="11"/>
      <c r="N764" s="9" t="s">
        <v>802</v>
      </c>
    </row>
    <row r="765" ht="25" customHeight="1" spans="1:14">
      <c r="A765" s="9" t="s">
        <v>213</v>
      </c>
      <c r="B765" s="9" t="s">
        <v>211</v>
      </c>
      <c r="C765" s="10">
        <v>46260</v>
      </c>
      <c r="D765" s="15">
        <v>0.9991</v>
      </c>
      <c r="E765" s="15">
        <v>0.9991</v>
      </c>
      <c r="F765" s="15">
        <v>0.9991</v>
      </c>
      <c r="G765" s="11">
        <v>-0.0015</v>
      </c>
      <c r="H765" s="9">
        <f>MAX($F$652:F765)</f>
        <v>1.0249</v>
      </c>
      <c r="I765" s="11">
        <f t="shared" si="17"/>
        <v>0.0251731876280612</v>
      </c>
      <c r="J765" s="9"/>
      <c r="K765" s="11"/>
      <c r="L765" s="9"/>
      <c r="M765" s="11"/>
      <c r="N765" s="9" t="s">
        <v>802</v>
      </c>
    </row>
    <row r="766" ht="25" customHeight="1" spans="1:14">
      <c r="A766" s="9" t="s">
        <v>213</v>
      </c>
      <c r="B766" s="9" t="s">
        <v>211</v>
      </c>
      <c r="C766" s="10">
        <v>46261</v>
      </c>
      <c r="D766" s="15">
        <v>1.0009</v>
      </c>
      <c r="E766" s="15">
        <v>1.0009</v>
      </c>
      <c r="F766" s="15">
        <v>1.0009</v>
      </c>
      <c r="G766" s="11">
        <v>0.0018</v>
      </c>
      <c r="H766" s="9">
        <f>MAX($F$652:F766)</f>
        <v>1.0249</v>
      </c>
      <c r="I766" s="11">
        <f t="shared" si="17"/>
        <v>0.0234169187237779</v>
      </c>
      <c r="J766" s="9"/>
      <c r="K766" s="11"/>
      <c r="L766" s="9"/>
      <c r="M766" s="11"/>
      <c r="N766" s="9" t="s">
        <v>802</v>
      </c>
    </row>
    <row r="767" ht="25" customHeight="1" spans="1:14">
      <c r="A767" s="9" t="s">
        <v>213</v>
      </c>
      <c r="B767" s="9" t="s">
        <v>211</v>
      </c>
      <c r="C767" s="10">
        <v>46262</v>
      </c>
      <c r="D767" s="15">
        <v>1.001</v>
      </c>
      <c r="E767" s="15">
        <v>1.001</v>
      </c>
      <c r="F767" s="15">
        <v>1.001</v>
      </c>
      <c r="G767" s="11">
        <v>0.0001</v>
      </c>
      <c r="H767" s="9">
        <f>MAX($F$652:F767)</f>
        <v>1.0249</v>
      </c>
      <c r="I767" s="11">
        <f t="shared" si="17"/>
        <v>0.0233193482290955</v>
      </c>
      <c r="J767" s="9"/>
      <c r="K767" s="11"/>
      <c r="L767" s="9"/>
      <c r="M767" s="11"/>
      <c r="N767" s="9" t="s">
        <v>802</v>
      </c>
    </row>
    <row r="768" ht="25" customHeight="1" spans="1:14">
      <c r="A768" s="9" t="s">
        <v>213</v>
      </c>
      <c r="B768" s="9" t="s">
        <v>211</v>
      </c>
      <c r="C768" s="10">
        <v>46265</v>
      </c>
      <c r="D768" s="15">
        <v>1.0028</v>
      </c>
      <c r="E768" s="15">
        <v>1.0028</v>
      </c>
      <c r="F768" s="15">
        <v>1.0028</v>
      </c>
      <c r="G768" s="11">
        <v>0.0018</v>
      </c>
      <c r="H768" s="9">
        <f>MAX($F$652:F768)</f>
        <v>1.0249</v>
      </c>
      <c r="I768" s="11">
        <f t="shared" si="17"/>
        <v>0.0215630793248122</v>
      </c>
      <c r="J768" s="9"/>
      <c r="K768" s="11"/>
      <c r="L768" s="9"/>
      <c r="M768" s="11"/>
      <c r="N768" s="9" t="s">
        <v>802</v>
      </c>
    </row>
    <row r="769" ht="25" customHeight="1" spans="1:14">
      <c r="A769" s="9" t="s">
        <v>213</v>
      </c>
      <c r="B769" s="9" t="s">
        <v>211</v>
      </c>
      <c r="C769" s="10">
        <v>46266</v>
      </c>
      <c r="D769" s="15">
        <v>1.0027</v>
      </c>
      <c r="E769" s="15">
        <v>1.0027</v>
      </c>
      <c r="F769" s="15">
        <v>1.0027</v>
      </c>
      <c r="G769" s="11">
        <v>-0.0001</v>
      </c>
      <c r="H769" s="9">
        <f>MAX($F$652:F769)</f>
        <v>1.0249</v>
      </c>
      <c r="I769" s="11">
        <f t="shared" si="17"/>
        <v>0.0216606498194946</v>
      </c>
      <c r="J769" s="9"/>
      <c r="K769" s="11"/>
      <c r="L769" s="9"/>
      <c r="M769" s="11"/>
      <c r="N769" s="9" t="s">
        <v>802</v>
      </c>
    </row>
    <row r="770" ht="25" customHeight="1" spans="1:14">
      <c r="A770" s="9" t="s">
        <v>213</v>
      </c>
      <c r="B770" s="9" t="s">
        <v>211</v>
      </c>
      <c r="C770" s="10">
        <v>46267</v>
      </c>
      <c r="D770" s="15">
        <v>1.0026</v>
      </c>
      <c r="E770" s="15">
        <v>1.0026</v>
      </c>
      <c r="F770" s="15">
        <v>1.0026</v>
      </c>
      <c r="G770" s="11">
        <v>-0.0001</v>
      </c>
      <c r="H770" s="9">
        <f>MAX($F$652:F770)</f>
        <v>1.0249</v>
      </c>
      <c r="I770" s="11">
        <f t="shared" ref="I770:I833" si="18">1-F770/H770</f>
        <v>0.021758220314177</v>
      </c>
      <c r="J770" s="9"/>
      <c r="K770" s="11"/>
      <c r="L770" s="9"/>
      <c r="M770" s="11"/>
      <c r="N770" s="9" t="s">
        <v>802</v>
      </c>
    </row>
    <row r="771" ht="25" customHeight="1" spans="1:14">
      <c r="A771" s="9" t="s">
        <v>213</v>
      </c>
      <c r="B771" s="9" t="s">
        <v>211</v>
      </c>
      <c r="C771" s="10">
        <v>46268</v>
      </c>
      <c r="D771" s="15">
        <v>1.0031</v>
      </c>
      <c r="E771" s="15">
        <v>1.0031</v>
      </c>
      <c r="F771" s="15">
        <v>1.0031</v>
      </c>
      <c r="G771" s="11">
        <v>0.0005</v>
      </c>
      <c r="H771" s="9">
        <f>MAX($F$652:F771)</f>
        <v>1.0249</v>
      </c>
      <c r="I771" s="11">
        <f t="shared" si="18"/>
        <v>0.0212703678407647</v>
      </c>
      <c r="J771" s="9"/>
      <c r="K771" s="11"/>
      <c r="L771" s="9"/>
      <c r="M771" s="11"/>
      <c r="N771" s="9" t="s">
        <v>802</v>
      </c>
    </row>
    <row r="772" ht="25" customHeight="1" spans="1:14">
      <c r="A772" s="9" t="s">
        <v>213</v>
      </c>
      <c r="B772" s="9" t="s">
        <v>211</v>
      </c>
      <c r="C772" s="10">
        <v>46269</v>
      </c>
      <c r="D772" s="15">
        <v>1.0018</v>
      </c>
      <c r="E772" s="15">
        <v>1.0018</v>
      </c>
      <c r="F772" s="15">
        <v>1.0018</v>
      </c>
      <c r="G772" s="11">
        <v>-0.0013</v>
      </c>
      <c r="H772" s="9">
        <f>MAX($F$652:F772)</f>
        <v>1.0249</v>
      </c>
      <c r="I772" s="11">
        <f t="shared" si="18"/>
        <v>0.0225387842716361</v>
      </c>
      <c r="J772" s="9"/>
      <c r="K772" s="11"/>
      <c r="L772" s="9"/>
      <c r="M772" s="11"/>
      <c r="N772" s="9" t="s">
        <v>802</v>
      </c>
    </row>
    <row r="773" ht="25" customHeight="1" spans="1:14">
      <c r="A773" s="9" t="s">
        <v>213</v>
      </c>
      <c r="B773" s="9" t="s">
        <v>211</v>
      </c>
      <c r="C773" s="10">
        <v>46272</v>
      </c>
      <c r="D773" s="15">
        <v>1.0022</v>
      </c>
      <c r="E773" s="15">
        <v>1.0022</v>
      </c>
      <c r="F773" s="15">
        <v>1.0022</v>
      </c>
      <c r="G773" s="11">
        <v>0.0004</v>
      </c>
      <c r="H773" s="9">
        <f>MAX($F$652:F773)</f>
        <v>1.0249</v>
      </c>
      <c r="I773" s="11">
        <f t="shared" si="18"/>
        <v>0.0221485022929065</v>
      </c>
      <c r="J773" s="9"/>
      <c r="K773" s="11"/>
      <c r="L773" s="9"/>
      <c r="M773" s="11"/>
      <c r="N773" s="9" t="s">
        <v>802</v>
      </c>
    </row>
    <row r="774" ht="25" customHeight="1" spans="1:14">
      <c r="A774" s="9" t="s">
        <v>213</v>
      </c>
      <c r="B774" s="9" t="s">
        <v>211</v>
      </c>
      <c r="C774" s="10">
        <v>46273</v>
      </c>
      <c r="D774" s="15">
        <v>1.002</v>
      </c>
      <c r="E774" s="15">
        <v>1.002</v>
      </c>
      <c r="F774" s="15">
        <v>1.002</v>
      </c>
      <c r="G774" s="11">
        <v>-0.0002</v>
      </c>
      <c r="H774" s="9">
        <f>MAX($F$652:F774)</f>
        <v>1.0249</v>
      </c>
      <c r="I774" s="11">
        <f t="shared" si="18"/>
        <v>0.0223436432822713</v>
      </c>
      <c r="J774" s="9"/>
      <c r="K774" s="11"/>
      <c r="L774" s="9"/>
      <c r="M774" s="11"/>
      <c r="N774" s="9" t="s">
        <v>802</v>
      </c>
    </row>
    <row r="775" ht="25" customHeight="1" spans="1:14">
      <c r="A775" s="9" t="s">
        <v>213</v>
      </c>
      <c r="B775" s="9" t="s">
        <v>211</v>
      </c>
      <c r="C775" s="10">
        <v>46274</v>
      </c>
      <c r="D775" s="15">
        <v>1.0025</v>
      </c>
      <c r="E775" s="15">
        <v>1.0025</v>
      </c>
      <c r="F775" s="15">
        <v>1.0025</v>
      </c>
      <c r="G775" s="11">
        <v>0.0005</v>
      </c>
      <c r="H775" s="9">
        <f>MAX($F$652:F775)</f>
        <v>1.0249</v>
      </c>
      <c r="I775" s="11">
        <f t="shared" si="18"/>
        <v>0.0218557908088594</v>
      </c>
      <c r="J775" s="9"/>
      <c r="K775" s="11"/>
      <c r="L775" s="9"/>
      <c r="M775" s="11"/>
      <c r="N775" s="9" t="s">
        <v>802</v>
      </c>
    </row>
    <row r="776" ht="25" customHeight="1" spans="1:14">
      <c r="A776" s="9" t="s">
        <v>816</v>
      </c>
      <c r="B776" s="9" t="s">
        <v>518</v>
      </c>
      <c r="C776" s="10">
        <v>45667</v>
      </c>
      <c r="D776" s="15">
        <v>1.1827</v>
      </c>
      <c r="E776" s="15">
        <v>1.1827</v>
      </c>
      <c r="F776" s="15">
        <v>1.1827</v>
      </c>
      <c r="G776" s="11"/>
      <c r="H776" s="9">
        <f>MAX($F$776:F776)</f>
        <v>1.1827</v>
      </c>
      <c r="I776" s="11">
        <f t="shared" si="18"/>
        <v>0</v>
      </c>
      <c r="J776" s="9"/>
      <c r="K776" s="11"/>
      <c r="L776" s="9"/>
      <c r="M776" s="11"/>
      <c r="N776" s="9" t="s">
        <v>819</v>
      </c>
    </row>
    <row r="777" ht="25" customHeight="1" spans="1:14">
      <c r="A777" s="9" t="s">
        <v>816</v>
      </c>
      <c r="B777" s="9" t="s">
        <v>518</v>
      </c>
      <c r="C777" s="10">
        <v>45674</v>
      </c>
      <c r="D777" s="15">
        <v>1.1798</v>
      </c>
      <c r="E777" s="15">
        <v>1.1798</v>
      </c>
      <c r="F777" s="15">
        <v>1.1798</v>
      </c>
      <c r="G777" s="11">
        <v>-0.0025</v>
      </c>
      <c r="H777" s="9">
        <f>MAX($F$776:F777)</f>
        <v>1.1827</v>
      </c>
      <c r="I777" s="11">
        <f t="shared" si="18"/>
        <v>0.00245201657225003</v>
      </c>
      <c r="J777" s="9"/>
      <c r="K777" s="11"/>
      <c r="L777" s="9"/>
      <c r="M777" s="11"/>
      <c r="N777" s="9" t="s">
        <v>819</v>
      </c>
    </row>
    <row r="778" ht="25" customHeight="1" spans="1:14">
      <c r="A778" s="9" t="s">
        <v>816</v>
      </c>
      <c r="B778" s="9" t="s">
        <v>518</v>
      </c>
      <c r="C778" s="10">
        <v>45681</v>
      </c>
      <c r="D778" s="15">
        <v>1.1808</v>
      </c>
      <c r="E778" s="15">
        <v>1.1808</v>
      </c>
      <c r="F778" s="15">
        <v>1.1808</v>
      </c>
      <c r="G778" s="11">
        <v>0.0008</v>
      </c>
      <c r="H778" s="9">
        <f>MAX($F$776:F778)</f>
        <v>1.1827</v>
      </c>
      <c r="I778" s="11">
        <f t="shared" si="18"/>
        <v>0.00160649361630172</v>
      </c>
      <c r="J778" s="9"/>
      <c r="K778" s="11"/>
      <c r="L778" s="9"/>
      <c r="M778" s="11"/>
      <c r="N778" s="9" t="s">
        <v>819</v>
      </c>
    </row>
    <row r="779" ht="25" customHeight="1" spans="1:14">
      <c r="A779" s="9" t="s">
        <v>816</v>
      </c>
      <c r="B779" s="9" t="s">
        <v>518</v>
      </c>
      <c r="C779" s="10">
        <v>45684</v>
      </c>
      <c r="D779" s="15">
        <v>1.1878</v>
      </c>
      <c r="E779" s="15">
        <v>1.1878</v>
      </c>
      <c r="F779" s="15">
        <v>1.1878</v>
      </c>
      <c r="G779" s="11">
        <v>0.0059</v>
      </c>
      <c r="H779" s="9">
        <f>MAX($F$776:F779)</f>
        <v>1.1878</v>
      </c>
      <c r="I779" s="11">
        <f t="shared" si="18"/>
        <v>0</v>
      </c>
      <c r="J779" s="9"/>
      <c r="K779" s="11"/>
      <c r="L779" s="9"/>
      <c r="M779" s="11"/>
      <c r="N779" s="9" t="s">
        <v>819</v>
      </c>
    </row>
    <row r="780" ht="25" customHeight="1" spans="1:14">
      <c r="A780" s="9" t="s">
        <v>816</v>
      </c>
      <c r="B780" s="9" t="s">
        <v>518</v>
      </c>
      <c r="C780" s="10">
        <v>45695</v>
      </c>
      <c r="D780" s="15">
        <v>1.1896</v>
      </c>
      <c r="E780" s="15">
        <v>1.1896</v>
      </c>
      <c r="F780" s="15">
        <v>1.1896</v>
      </c>
      <c r="G780" s="11">
        <v>0.0015</v>
      </c>
      <c r="H780" s="9">
        <f>MAX($F$776:F780)</f>
        <v>1.1896</v>
      </c>
      <c r="I780" s="11">
        <f t="shared" si="18"/>
        <v>0</v>
      </c>
      <c r="J780" s="9"/>
      <c r="K780" s="11"/>
      <c r="L780" s="9"/>
      <c r="M780" s="11"/>
      <c r="N780" s="9" t="s">
        <v>819</v>
      </c>
    </row>
    <row r="781" ht="25" customHeight="1" spans="1:14">
      <c r="A781" s="9" t="s">
        <v>816</v>
      </c>
      <c r="B781" s="9" t="s">
        <v>518</v>
      </c>
      <c r="C781" s="10">
        <v>45702</v>
      </c>
      <c r="D781" s="15">
        <v>1.1968</v>
      </c>
      <c r="E781" s="15">
        <v>1.1968</v>
      </c>
      <c r="F781" s="15">
        <v>1.1968</v>
      </c>
      <c r="G781" s="11">
        <v>0.0061</v>
      </c>
      <c r="H781" s="9">
        <f>MAX($F$776:F781)</f>
        <v>1.1968</v>
      </c>
      <c r="I781" s="11">
        <f t="shared" si="18"/>
        <v>0</v>
      </c>
      <c r="J781" s="9"/>
      <c r="K781" s="11"/>
      <c r="L781" s="9"/>
      <c r="M781" s="11"/>
      <c r="N781" s="9" t="s">
        <v>819</v>
      </c>
    </row>
    <row r="782" ht="25" customHeight="1" spans="1:14">
      <c r="A782" s="9" t="s">
        <v>816</v>
      </c>
      <c r="B782" s="9" t="s">
        <v>518</v>
      </c>
      <c r="C782" s="10">
        <v>45709</v>
      </c>
      <c r="D782" s="15">
        <v>1.2039</v>
      </c>
      <c r="E782" s="15">
        <v>1.2039</v>
      </c>
      <c r="F782" s="15">
        <v>1.2039</v>
      </c>
      <c r="G782" s="11">
        <v>0.0059</v>
      </c>
      <c r="H782" s="9">
        <f>MAX($F$776:F782)</f>
        <v>1.2039</v>
      </c>
      <c r="I782" s="11">
        <f t="shared" si="18"/>
        <v>0</v>
      </c>
      <c r="J782" s="9"/>
      <c r="K782" s="11"/>
      <c r="L782" s="9"/>
      <c r="M782" s="11"/>
      <c r="N782" s="9" t="s">
        <v>819</v>
      </c>
    </row>
    <row r="783" ht="25" customHeight="1" spans="1:14">
      <c r="A783" s="9" t="s">
        <v>816</v>
      </c>
      <c r="B783" s="9" t="s">
        <v>518</v>
      </c>
      <c r="C783" s="10">
        <v>45716</v>
      </c>
      <c r="D783" s="15">
        <v>1.2019</v>
      </c>
      <c r="E783" s="15">
        <v>1.2019</v>
      </c>
      <c r="F783" s="15">
        <v>1.2019</v>
      </c>
      <c r="G783" s="11">
        <v>-0.0017</v>
      </c>
      <c r="H783" s="9">
        <f>MAX($F$776:F783)</f>
        <v>1.2039</v>
      </c>
      <c r="I783" s="11">
        <f t="shared" si="18"/>
        <v>0.00166126754713847</v>
      </c>
      <c r="J783" s="9"/>
      <c r="K783" s="11"/>
      <c r="L783" s="9"/>
      <c r="M783" s="11"/>
      <c r="N783" s="9" t="s">
        <v>819</v>
      </c>
    </row>
    <row r="784" ht="25" customHeight="1" spans="1:14">
      <c r="A784" s="9" t="s">
        <v>816</v>
      </c>
      <c r="B784" s="9" t="s">
        <v>518</v>
      </c>
      <c r="C784" s="10">
        <v>45723</v>
      </c>
      <c r="D784" s="15">
        <v>1.2078</v>
      </c>
      <c r="E784" s="15">
        <v>1.2078</v>
      </c>
      <c r="F784" s="15">
        <v>1.2078</v>
      </c>
      <c r="G784" s="11">
        <v>0.0049</v>
      </c>
      <c r="H784" s="9">
        <f>MAX($F$776:F784)</f>
        <v>1.2078</v>
      </c>
      <c r="I784" s="11">
        <f t="shared" si="18"/>
        <v>0</v>
      </c>
      <c r="J784" s="9"/>
      <c r="K784" s="11"/>
      <c r="L784" s="9"/>
      <c r="M784" s="11"/>
      <c r="N784" s="9" t="s">
        <v>819</v>
      </c>
    </row>
    <row r="785" ht="25" customHeight="1" spans="1:14">
      <c r="A785" s="9" t="s">
        <v>816</v>
      </c>
      <c r="B785" s="9" t="s">
        <v>518</v>
      </c>
      <c r="C785" s="10">
        <v>45730</v>
      </c>
      <c r="D785" s="15">
        <v>1.2125</v>
      </c>
      <c r="E785" s="15">
        <v>1.2125</v>
      </c>
      <c r="F785" s="15">
        <v>1.2125</v>
      </c>
      <c r="G785" s="11">
        <v>0.0039</v>
      </c>
      <c r="H785" s="9">
        <f>MAX($F$776:F785)</f>
        <v>1.2125</v>
      </c>
      <c r="I785" s="11">
        <f t="shared" si="18"/>
        <v>0</v>
      </c>
      <c r="J785" s="9"/>
      <c r="K785" s="11"/>
      <c r="L785" s="9"/>
      <c r="M785" s="11"/>
      <c r="N785" s="9" t="s">
        <v>819</v>
      </c>
    </row>
    <row r="786" ht="25" customHeight="1" spans="1:14">
      <c r="A786" s="9" t="s">
        <v>816</v>
      </c>
      <c r="B786" s="9" t="s">
        <v>518</v>
      </c>
      <c r="C786" s="10">
        <v>45737</v>
      </c>
      <c r="D786" s="15">
        <v>1.211</v>
      </c>
      <c r="E786" s="15">
        <v>1.211</v>
      </c>
      <c r="F786" s="15">
        <v>1.211</v>
      </c>
      <c r="G786" s="11">
        <v>-0.0012</v>
      </c>
      <c r="H786" s="9">
        <f>MAX($F$776:F786)</f>
        <v>1.2125</v>
      </c>
      <c r="I786" s="11">
        <f t="shared" si="18"/>
        <v>0.00123711340206167</v>
      </c>
      <c r="J786" s="9"/>
      <c r="K786" s="11"/>
      <c r="L786" s="9"/>
      <c r="M786" s="11"/>
      <c r="N786" s="9" t="s">
        <v>819</v>
      </c>
    </row>
    <row r="787" ht="25" customHeight="1" spans="1:14">
      <c r="A787" s="9" t="s">
        <v>816</v>
      </c>
      <c r="B787" s="9" t="s">
        <v>518</v>
      </c>
      <c r="C787" s="10">
        <v>45744</v>
      </c>
      <c r="D787" s="15">
        <v>1.2136</v>
      </c>
      <c r="E787" s="15">
        <v>1.2136</v>
      </c>
      <c r="F787" s="15">
        <v>1.2136</v>
      </c>
      <c r="G787" s="11">
        <v>0.0021</v>
      </c>
      <c r="H787" s="9">
        <f>MAX($F$776:F787)</f>
        <v>1.2136</v>
      </c>
      <c r="I787" s="11">
        <f t="shared" si="18"/>
        <v>0</v>
      </c>
      <c r="J787" s="9"/>
      <c r="K787" s="11"/>
      <c r="L787" s="9"/>
      <c r="M787" s="11"/>
      <c r="N787" s="9" t="s">
        <v>819</v>
      </c>
    </row>
    <row r="788" ht="25" customHeight="1" spans="1:14">
      <c r="A788" s="9" t="s">
        <v>816</v>
      </c>
      <c r="B788" s="9" t="s">
        <v>518</v>
      </c>
      <c r="C788" s="10">
        <v>45750</v>
      </c>
      <c r="D788" s="15">
        <v>1.2152</v>
      </c>
      <c r="E788" s="15">
        <v>1.2152</v>
      </c>
      <c r="F788" s="15">
        <v>1.2152</v>
      </c>
      <c r="G788" s="11">
        <v>0.0013</v>
      </c>
      <c r="H788" s="9">
        <f>MAX($F$776:F788)</f>
        <v>1.2152</v>
      </c>
      <c r="I788" s="11">
        <f t="shared" si="18"/>
        <v>0</v>
      </c>
      <c r="J788" s="9"/>
      <c r="K788" s="11"/>
      <c r="L788" s="9"/>
      <c r="M788" s="11"/>
      <c r="N788" s="9" t="s">
        <v>819</v>
      </c>
    </row>
    <row r="789" ht="25" customHeight="1" spans="1:14">
      <c r="A789" s="9" t="s">
        <v>816</v>
      </c>
      <c r="B789" s="9" t="s">
        <v>518</v>
      </c>
      <c r="C789" s="10">
        <v>45758</v>
      </c>
      <c r="D789" s="15">
        <v>1.2972</v>
      </c>
      <c r="E789" s="15">
        <v>1.2972</v>
      </c>
      <c r="F789" s="15">
        <v>1.2972</v>
      </c>
      <c r="G789" s="11">
        <v>0.0675</v>
      </c>
      <c r="H789" s="9">
        <f>MAX($F$776:F789)</f>
        <v>1.2972</v>
      </c>
      <c r="I789" s="11">
        <f t="shared" si="18"/>
        <v>0</v>
      </c>
      <c r="J789" s="9"/>
      <c r="K789" s="11"/>
      <c r="L789" s="9"/>
      <c r="M789" s="11"/>
      <c r="N789" s="9" t="s">
        <v>819</v>
      </c>
    </row>
    <row r="790" ht="25" customHeight="1" spans="1:14">
      <c r="A790" s="9" t="s">
        <v>816</v>
      </c>
      <c r="B790" s="9" t="s">
        <v>518</v>
      </c>
      <c r="C790" s="10">
        <v>45765</v>
      </c>
      <c r="D790" s="15">
        <v>1.2976</v>
      </c>
      <c r="E790" s="15">
        <v>1.2976</v>
      </c>
      <c r="F790" s="15">
        <v>1.2976</v>
      </c>
      <c r="G790" s="11">
        <v>0.0003</v>
      </c>
      <c r="H790" s="9">
        <f>MAX($F$776:F790)</f>
        <v>1.2976</v>
      </c>
      <c r="I790" s="11">
        <f t="shared" si="18"/>
        <v>0</v>
      </c>
      <c r="J790" s="9"/>
      <c r="K790" s="11"/>
      <c r="L790" s="9"/>
      <c r="M790" s="11"/>
      <c r="N790" s="9" t="s">
        <v>819</v>
      </c>
    </row>
    <row r="791" ht="25" customHeight="1" spans="1:14">
      <c r="A791" s="9" t="s">
        <v>816</v>
      </c>
      <c r="B791" s="9" t="s">
        <v>518</v>
      </c>
      <c r="C791" s="10">
        <v>45772</v>
      </c>
      <c r="D791" s="15">
        <v>1.2976</v>
      </c>
      <c r="E791" s="15">
        <v>1.2976</v>
      </c>
      <c r="F791" s="15">
        <v>1.2976</v>
      </c>
      <c r="G791" s="11">
        <v>0</v>
      </c>
      <c r="H791" s="9">
        <f>MAX($F$776:F791)</f>
        <v>1.2976</v>
      </c>
      <c r="I791" s="11">
        <f t="shared" si="18"/>
        <v>0</v>
      </c>
      <c r="J791" s="9"/>
      <c r="K791" s="11"/>
      <c r="L791" s="9"/>
      <c r="M791" s="11"/>
      <c r="N791" s="9" t="s">
        <v>819</v>
      </c>
    </row>
    <row r="792" ht="25" customHeight="1" spans="1:14">
      <c r="A792" s="9" t="s">
        <v>816</v>
      </c>
      <c r="B792" s="9" t="s">
        <v>518</v>
      </c>
      <c r="C792" s="10">
        <v>45777</v>
      </c>
      <c r="D792" s="15">
        <v>1.2978</v>
      </c>
      <c r="E792" s="15">
        <v>1.2978</v>
      </c>
      <c r="F792" s="15">
        <v>1.2978</v>
      </c>
      <c r="G792" s="11">
        <v>0.0002</v>
      </c>
      <c r="H792" s="9">
        <f>MAX($F$776:F792)</f>
        <v>1.2978</v>
      </c>
      <c r="I792" s="11">
        <f t="shared" si="18"/>
        <v>0</v>
      </c>
      <c r="J792" s="9"/>
      <c r="K792" s="11"/>
      <c r="L792" s="9"/>
      <c r="M792" s="11"/>
      <c r="N792" s="9" t="s">
        <v>819</v>
      </c>
    </row>
    <row r="793" ht="25" customHeight="1" spans="1:14">
      <c r="A793" s="9" t="s">
        <v>816</v>
      </c>
      <c r="B793" s="9" t="s">
        <v>518</v>
      </c>
      <c r="C793" s="10">
        <v>45786</v>
      </c>
      <c r="D793" s="15">
        <v>1.2978</v>
      </c>
      <c r="E793" s="15">
        <v>1.2978</v>
      </c>
      <c r="F793" s="15">
        <v>1.2978</v>
      </c>
      <c r="G793" s="11">
        <v>0</v>
      </c>
      <c r="H793" s="9">
        <f>MAX($F$776:F793)</f>
        <v>1.2978</v>
      </c>
      <c r="I793" s="11">
        <f t="shared" si="18"/>
        <v>0</v>
      </c>
      <c r="J793" s="9"/>
      <c r="K793" s="11"/>
      <c r="L793" s="9"/>
      <c r="M793" s="11"/>
      <c r="N793" s="9" t="s">
        <v>819</v>
      </c>
    </row>
    <row r="794" ht="25" customHeight="1" spans="1:14">
      <c r="A794" s="9" t="s">
        <v>816</v>
      </c>
      <c r="B794" s="9" t="s">
        <v>518</v>
      </c>
      <c r="C794" s="10">
        <v>45793</v>
      </c>
      <c r="D794" s="15">
        <v>1.3016</v>
      </c>
      <c r="E794" s="15">
        <v>1.3016</v>
      </c>
      <c r="F794" s="15">
        <v>1.3016</v>
      </c>
      <c r="G794" s="11">
        <v>0.0029</v>
      </c>
      <c r="H794" s="9">
        <f>MAX($F$776:F794)</f>
        <v>1.3016</v>
      </c>
      <c r="I794" s="11">
        <f t="shared" si="18"/>
        <v>0</v>
      </c>
      <c r="J794" s="9"/>
      <c r="K794" s="11"/>
      <c r="L794" s="9"/>
      <c r="M794" s="11"/>
      <c r="N794" s="9" t="s">
        <v>819</v>
      </c>
    </row>
    <row r="795" ht="25" customHeight="1" spans="1:14">
      <c r="A795" s="9" t="s">
        <v>816</v>
      </c>
      <c r="B795" s="9" t="s">
        <v>518</v>
      </c>
      <c r="C795" s="10">
        <v>45800</v>
      </c>
      <c r="D795" s="15">
        <v>1.3019</v>
      </c>
      <c r="E795" s="15">
        <v>1.3019</v>
      </c>
      <c r="F795" s="15">
        <v>1.3019</v>
      </c>
      <c r="G795" s="11">
        <v>0.0002</v>
      </c>
      <c r="H795" s="9">
        <f>MAX($F$776:F795)</f>
        <v>1.3019</v>
      </c>
      <c r="I795" s="11">
        <f t="shared" si="18"/>
        <v>0</v>
      </c>
      <c r="J795" s="9"/>
      <c r="K795" s="11"/>
      <c r="L795" s="9"/>
      <c r="M795" s="11"/>
      <c r="N795" s="9" t="s">
        <v>819</v>
      </c>
    </row>
    <row r="796" ht="25" customHeight="1" spans="1:14">
      <c r="A796" s="9" t="s">
        <v>816</v>
      </c>
      <c r="B796" s="9" t="s">
        <v>518</v>
      </c>
      <c r="C796" s="10">
        <v>45807</v>
      </c>
      <c r="D796" s="15">
        <v>1.3058</v>
      </c>
      <c r="E796" s="15">
        <v>1.3058</v>
      </c>
      <c r="F796" s="15">
        <v>1.3058</v>
      </c>
      <c r="G796" s="11">
        <v>0.003</v>
      </c>
      <c r="H796" s="9">
        <f>MAX($F$776:F796)</f>
        <v>1.3058</v>
      </c>
      <c r="I796" s="11">
        <f t="shared" si="18"/>
        <v>0</v>
      </c>
      <c r="J796" s="9"/>
      <c r="K796" s="11"/>
      <c r="L796" s="9"/>
      <c r="M796" s="11"/>
      <c r="N796" s="9" t="s">
        <v>819</v>
      </c>
    </row>
    <row r="797" ht="25" customHeight="1" spans="1:14">
      <c r="A797" s="9" t="s">
        <v>816</v>
      </c>
      <c r="B797" s="9" t="s">
        <v>518</v>
      </c>
      <c r="C797" s="10">
        <v>45814</v>
      </c>
      <c r="D797" s="15">
        <v>1.3048</v>
      </c>
      <c r="E797" s="15">
        <v>1.3048</v>
      </c>
      <c r="F797" s="15">
        <v>1.3048</v>
      </c>
      <c r="G797" s="11">
        <v>-0.0008</v>
      </c>
      <c r="H797" s="9">
        <f>MAX($F$776:F797)</f>
        <v>1.3058</v>
      </c>
      <c r="I797" s="11">
        <f t="shared" si="18"/>
        <v>0.000765814060346259</v>
      </c>
      <c r="J797" s="9"/>
      <c r="K797" s="11"/>
      <c r="L797" s="9"/>
      <c r="M797" s="11"/>
      <c r="N797" s="9" t="s">
        <v>819</v>
      </c>
    </row>
    <row r="798" ht="25" customHeight="1" spans="1:14">
      <c r="A798" s="9" t="s">
        <v>816</v>
      </c>
      <c r="B798" s="9" t="s">
        <v>518</v>
      </c>
      <c r="C798" s="10">
        <v>45821</v>
      </c>
      <c r="D798" s="15">
        <v>1.3057</v>
      </c>
      <c r="E798" s="15">
        <v>1.3057</v>
      </c>
      <c r="F798" s="15">
        <v>1.3057</v>
      </c>
      <c r="G798" s="11">
        <v>0.0007</v>
      </c>
      <c r="H798" s="9">
        <f>MAX($F$776:F798)</f>
        <v>1.3058</v>
      </c>
      <c r="I798" s="11">
        <f t="shared" si="18"/>
        <v>7.65814060346148e-5</v>
      </c>
      <c r="J798" s="9"/>
      <c r="K798" s="11"/>
      <c r="L798" s="9"/>
      <c r="M798" s="11"/>
      <c r="N798" s="9" t="s">
        <v>819</v>
      </c>
    </row>
    <row r="799" ht="25" customHeight="1" spans="1:14">
      <c r="A799" s="9" t="s">
        <v>816</v>
      </c>
      <c r="B799" s="9" t="s">
        <v>518</v>
      </c>
      <c r="C799" s="10">
        <v>45828</v>
      </c>
      <c r="D799" s="15">
        <v>1.3087</v>
      </c>
      <c r="E799" s="15">
        <v>1.3087</v>
      </c>
      <c r="F799" s="15">
        <v>1.3087</v>
      </c>
      <c r="G799" s="11">
        <v>0.0023</v>
      </c>
      <c r="H799" s="9">
        <f>MAX($F$776:F799)</f>
        <v>1.3087</v>
      </c>
      <c r="I799" s="11">
        <f t="shared" si="18"/>
        <v>0</v>
      </c>
      <c r="J799" s="9"/>
      <c r="K799" s="11"/>
      <c r="L799" s="9"/>
      <c r="M799" s="11"/>
      <c r="N799" s="9" t="s">
        <v>819</v>
      </c>
    </row>
    <row r="800" ht="25" customHeight="1" spans="1:14">
      <c r="A800" s="9" t="s">
        <v>816</v>
      </c>
      <c r="B800" s="9" t="s">
        <v>518</v>
      </c>
      <c r="C800" s="10">
        <v>45835</v>
      </c>
      <c r="D800" s="15">
        <v>1.3041</v>
      </c>
      <c r="E800" s="15">
        <v>1.3041</v>
      </c>
      <c r="F800" s="15">
        <v>1.3041</v>
      </c>
      <c r="G800" s="11">
        <v>-0.0035</v>
      </c>
      <c r="H800" s="9">
        <f>MAX($F$776:F800)</f>
        <v>1.3087</v>
      </c>
      <c r="I800" s="11">
        <f t="shared" si="18"/>
        <v>0.00351493848857642</v>
      </c>
      <c r="J800" s="9"/>
      <c r="K800" s="11"/>
      <c r="L800" s="9"/>
      <c r="M800" s="11"/>
      <c r="N800" s="9" t="s">
        <v>819</v>
      </c>
    </row>
    <row r="801" ht="25" customHeight="1" spans="1:14">
      <c r="A801" s="9" t="s">
        <v>816</v>
      </c>
      <c r="B801" s="9" t="s">
        <v>518</v>
      </c>
      <c r="C801" s="10">
        <v>45842</v>
      </c>
      <c r="D801" s="15">
        <v>1.3068</v>
      </c>
      <c r="E801" s="15">
        <v>1.3068</v>
      </c>
      <c r="F801" s="15">
        <v>1.3068</v>
      </c>
      <c r="G801" s="11">
        <v>0.0021</v>
      </c>
      <c r="H801" s="9">
        <f>MAX($F$776:F801)</f>
        <v>1.3087</v>
      </c>
      <c r="I801" s="11">
        <f t="shared" si="18"/>
        <v>0.00145182241919461</v>
      </c>
      <c r="J801" s="9"/>
      <c r="K801" s="11"/>
      <c r="L801" s="9"/>
      <c r="M801" s="11"/>
      <c r="N801" s="9" t="s">
        <v>819</v>
      </c>
    </row>
    <row r="802" ht="25" customHeight="1" spans="1:14">
      <c r="A802" s="9" t="s">
        <v>816</v>
      </c>
      <c r="B802" s="9" t="s">
        <v>518</v>
      </c>
      <c r="C802" s="10">
        <v>45849</v>
      </c>
      <c r="D802" s="15">
        <v>1.3058</v>
      </c>
      <c r="E802" s="15">
        <v>1.3058</v>
      </c>
      <c r="F802" s="15">
        <v>1.3058</v>
      </c>
      <c r="G802" s="11">
        <v>-0.0008</v>
      </c>
      <c r="H802" s="9">
        <f>MAX($F$776:F802)</f>
        <v>1.3087</v>
      </c>
      <c r="I802" s="11">
        <f t="shared" si="18"/>
        <v>0.00221593948192855</v>
      </c>
      <c r="J802" s="9"/>
      <c r="K802" s="11"/>
      <c r="L802" s="9"/>
      <c r="M802" s="11"/>
      <c r="N802" s="9" t="s">
        <v>819</v>
      </c>
    </row>
    <row r="803" ht="25" customHeight="1" spans="1:14">
      <c r="A803" s="9" t="s">
        <v>816</v>
      </c>
      <c r="B803" s="9" t="s">
        <v>518</v>
      </c>
      <c r="C803" s="10">
        <v>45856</v>
      </c>
      <c r="D803" s="15">
        <v>1.3105</v>
      </c>
      <c r="E803" s="15">
        <v>1.3105</v>
      </c>
      <c r="F803" s="15">
        <v>1.3105</v>
      </c>
      <c r="G803" s="11">
        <v>0.0036</v>
      </c>
      <c r="H803" s="9">
        <f>MAX($F$776:F803)</f>
        <v>1.3105</v>
      </c>
      <c r="I803" s="11">
        <f t="shared" si="18"/>
        <v>0</v>
      </c>
      <c r="J803" s="9"/>
      <c r="K803" s="11"/>
      <c r="L803" s="9"/>
      <c r="M803" s="11"/>
      <c r="N803" s="9" t="s">
        <v>819</v>
      </c>
    </row>
    <row r="804" ht="25" customHeight="1" spans="1:14">
      <c r="A804" s="9" t="s">
        <v>816</v>
      </c>
      <c r="B804" s="9" t="s">
        <v>518</v>
      </c>
      <c r="C804" s="10">
        <v>45863</v>
      </c>
      <c r="D804" s="15">
        <v>1.3168</v>
      </c>
      <c r="E804" s="15">
        <v>1.3168</v>
      </c>
      <c r="F804" s="15">
        <v>1.3168</v>
      </c>
      <c r="G804" s="11">
        <v>0.0048</v>
      </c>
      <c r="H804" s="9">
        <f>MAX($F$776:F804)</f>
        <v>1.3168</v>
      </c>
      <c r="I804" s="11">
        <f t="shared" si="18"/>
        <v>0</v>
      </c>
      <c r="J804" s="9"/>
      <c r="K804" s="11"/>
      <c r="L804" s="9"/>
      <c r="M804" s="11"/>
      <c r="N804" s="9" t="s">
        <v>819</v>
      </c>
    </row>
    <row r="805" ht="25" customHeight="1" spans="1:14">
      <c r="A805" s="9" t="s">
        <v>816</v>
      </c>
      <c r="B805" s="9" t="s">
        <v>518</v>
      </c>
      <c r="C805" s="10">
        <v>45870</v>
      </c>
      <c r="D805" s="15">
        <v>1.3203</v>
      </c>
      <c r="E805" s="15">
        <v>1.3203</v>
      </c>
      <c r="F805" s="15">
        <v>1.3203</v>
      </c>
      <c r="G805" s="11">
        <v>0.0027</v>
      </c>
      <c r="H805" s="9">
        <f>MAX($F$776:F805)</f>
        <v>1.3203</v>
      </c>
      <c r="I805" s="11">
        <f t="shared" si="18"/>
        <v>0</v>
      </c>
      <c r="J805" s="9"/>
      <c r="K805" s="11"/>
      <c r="L805" s="9"/>
      <c r="M805" s="11"/>
      <c r="N805" s="9" t="s">
        <v>819</v>
      </c>
    </row>
    <row r="806" ht="25" customHeight="1" spans="1:14">
      <c r="A806" s="9" t="s">
        <v>816</v>
      </c>
      <c r="B806" s="9" t="s">
        <v>518</v>
      </c>
      <c r="C806" s="10">
        <v>45877</v>
      </c>
      <c r="D806" s="15">
        <v>1.3235</v>
      </c>
      <c r="E806" s="15">
        <v>1.3235</v>
      </c>
      <c r="F806" s="15">
        <v>1.3235</v>
      </c>
      <c r="G806" s="11">
        <v>0.0024</v>
      </c>
      <c r="H806" s="9">
        <f>MAX($F$776:F806)</f>
        <v>1.3235</v>
      </c>
      <c r="I806" s="11">
        <f t="shared" si="18"/>
        <v>0</v>
      </c>
      <c r="J806" s="9"/>
      <c r="K806" s="11"/>
      <c r="L806" s="9"/>
      <c r="M806" s="11"/>
      <c r="N806" s="9" t="s">
        <v>819</v>
      </c>
    </row>
    <row r="807" ht="25" customHeight="1" spans="1:14">
      <c r="A807" s="9" t="s">
        <v>816</v>
      </c>
      <c r="B807" s="9" t="s">
        <v>518</v>
      </c>
      <c r="C807" s="10">
        <v>45884</v>
      </c>
      <c r="D807" s="15">
        <v>1.3173</v>
      </c>
      <c r="E807" s="15">
        <v>1.3173</v>
      </c>
      <c r="F807" s="15">
        <v>1.3173</v>
      </c>
      <c r="G807" s="11">
        <v>-0.0047</v>
      </c>
      <c r="H807" s="9">
        <f>MAX($F$776:F807)</f>
        <v>1.3235</v>
      </c>
      <c r="I807" s="11">
        <f t="shared" si="18"/>
        <v>0.00468454854552325</v>
      </c>
      <c r="J807" s="9"/>
      <c r="K807" s="11"/>
      <c r="L807" s="9"/>
      <c r="M807" s="11"/>
      <c r="N807" s="9" t="s">
        <v>819</v>
      </c>
    </row>
    <row r="808" ht="25" customHeight="1" spans="1:14">
      <c r="A808" s="9" t="s">
        <v>816</v>
      </c>
      <c r="B808" s="9" t="s">
        <v>518</v>
      </c>
      <c r="C808" s="10">
        <v>45891</v>
      </c>
      <c r="D808" s="15">
        <v>1.3278</v>
      </c>
      <c r="E808" s="15">
        <v>1.3278</v>
      </c>
      <c r="F808" s="15">
        <v>1.3278</v>
      </c>
      <c r="G808" s="11">
        <v>0.008</v>
      </c>
      <c r="H808" s="9">
        <f>MAX($F$776:F808)</f>
        <v>1.3278</v>
      </c>
      <c r="I808" s="11">
        <f t="shared" si="18"/>
        <v>0</v>
      </c>
      <c r="J808" s="9"/>
      <c r="K808" s="11"/>
      <c r="L808" s="9"/>
      <c r="M808" s="11"/>
      <c r="N808" s="9" t="s">
        <v>819</v>
      </c>
    </row>
    <row r="809" ht="25" customHeight="1" spans="1:14">
      <c r="A809" s="9" t="s">
        <v>816</v>
      </c>
      <c r="B809" s="9" t="s">
        <v>518</v>
      </c>
      <c r="C809" s="10">
        <v>45898</v>
      </c>
      <c r="D809" s="15">
        <v>1.3326</v>
      </c>
      <c r="E809" s="15">
        <v>1.3326</v>
      </c>
      <c r="F809" s="15">
        <v>1.3326</v>
      </c>
      <c r="G809" s="11">
        <v>0.0036</v>
      </c>
      <c r="H809" s="9">
        <f>MAX($F$776:F809)</f>
        <v>1.3326</v>
      </c>
      <c r="I809" s="11">
        <f t="shared" si="18"/>
        <v>0</v>
      </c>
      <c r="J809" s="9">
        <f>MAX($F$809:F809)</f>
        <v>1.3326</v>
      </c>
      <c r="K809" s="11">
        <f t="shared" ref="K809:K861" si="19">1-F809/J809</f>
        <v>0</v>
      </c>
      <c r="L809" s="9"/>
      <c r="M809" s="11"/>
      <c r="N809" s="9" t="s">
        <v>819</v>
      </c>
    </row>
    <row r="810" ht="25" customHeight="1" spans="1:14">
      <c r="A810" s="9" t="s">
        <v>816</v>
      </c>
      <c r="B810" s="9" t="s">
        <v>518</v>
      </c>
      <c r="C810" s="10">
        <v>45905</v>
      </c>
      <c r="D810" s="15">
        <v>1.3439</v>
      </c>
      <c r="E810" s="15">
        <v>1.3439</v>
      </c>
      <c r="F810" s="15">
        <v>1.3439</v>
      </c>
      <c r="G810" s="11">
        <v>0.0085</v>
      </c>
      <c r="H810" s="9">
        <f>MAX($F$776:F810)</f>
        <v>1.3439</v>
      </c>
      <c r="I810" s="11">
        <f t="shared" si="18"/>
        <v>0</v>
      </c>
      <c r="J810" s="9">
        <f>MAX($F$809:F810)</f>
        <v>1.3439</v>
      </c>
      <c r="K810" s="11">
        <f t="shared" si="19"/>
        <v>0</v>
      </c>
      <c r="L810" s="9"/>
      <c r="M810" s="11"/>
      <c r="N810" s="9" t="s">
        <v>819</v>
      </c>
    </row>
    <row r="811" ht="25" customHeight="1" spans="1:14">
      <c r="A811" s="9" t="s">
        <v>816</v>
      </c>
      <c r="B811" s="9" t="s">
        <v>518</v>
      </c>
      <c r="C811" s="10">
        <v>45912</v>
      </c>
      <c r="D811" s="15">
        <v>1.353</v>
      </c>
      <c r="E811" s="15">
        <v>1.353</v>
      </c>
      <c r="F811" s="15">
        <v>1.353</v>
      </c>
      <c r="G811" s="11">
        <v>0.0068</v>
      </c>
      <c r="H811" s="9">
        <f>MAX($F$776:F811)</f>
        <v>1.353</v>
      </c>
      <c r="I811" s="11">
        <f t="shared" si="18"/>
        <v>0</v>
      </c>
      <c r="J811" s="9">
        <f>MAX($F$809:F811)</f>
        <v>1.353</v>
      </c>
      <c r="K811" s="11">
        <f t="shared" si="19"/>
        <v>0</v>
      </c>
      <c r="L811" s="9"/>
      <c r="M811" s="11"/>
      <c r="N811" s="9" t="s">
        <v>819</v>
      </c>
    </row>
    <row r="812" ht="25" customHeight="1" spans="1:14">
      <c r="A812" s="9" t="s">
        <v>816</v>
      </c>
      <c r="B812" s="9" t="s">
        <v>518</v>
      </c>
      <c r="C812" s="10">
        <v>45919</v>
      </c>
      <c r="D812" s="15">
        <v>1.3541</v>
      </c>
      <c r="E812" s="15">
        <v>1.3541</v>
      </c>
      <c r="F812" s="15">
        <v>1.3541</v>
      </c>
      <c r="G812" s="11">
        <v>0.0008</v>
      </c>
      <c r="H812" s="9">
        <f>MAX($F$776:F812)</f>
        <v>1.3541</v>
      </c>
      <c r="I812" s="11">
        <f t="shared" si="18"/>
        <v>0</v>
      </c>
      <c r="J812" s="9">
        <f>MAX($F$809:F812)</f>
        <v>1.3541</v>
      </c>
      <c r="K812" s="11">
        <f t="shared" si="19"/>
        <v>0</v>
      </c>
      <c r="L812" s="9"/>
      <c r="M812" s="11"/>
      <c r="N812" s="9" t="s">
        <v>819</v>
      </c>
    </row>
    <row r="813" ht="25" customHeight="1" spans="1:14">
      <c r="A813" s="9" t="s">
        <v>816</v>
      </c>
      <c r="B813" s="9" t="s">
        <v>518</v>
      </c>
      <c r="C813" s="10">
        <v>45926</v>
      </c>
      <c r="D813" s="15">
        <v>1.3591</v>
      </c>
      <c r="E813" s="15">
        <v>1.3591</v>
      </c>
      <c r="F813" s="15">
        <v>1.3591</v>
      </c>
      <c r="G813" s="11">
        <v>0.0037</v>
      </c>
      <c r="H813" s="9">
        <f>MAX($F$776:F813)</f>
        <v>1.3591</v>
      </c>
      <c r="I813" s="11">
        <f t="shared" si="18"/>
        <v>0</v>
      </c>
      <c r="J813" s="9">
        <f>MAX($F$809:F813)</f>
        <v>1.3591</v>
      </c>
      <c r="K813" s="11">
        <f t="shared" si="19"/>
        <v>0</v>
      </c>
      <c r="L813" s="9"/>
      <c r="M813" s="11"/>
      <c r="N813" s="9" t="s">
        <v>819</v>
      </c>
    </row>
    <row r="814" ht="25" customHeight="1" spans="1:14">
      <c r="A814" s="9" t="s">
        <v>816</v>
      </c>
      <c r="B814" s="9" t="s">
        <v>518</v>
      </c>
      <c r="C814" s="10">
        <v>45930</v>
      </c>
      <c r="D814" s="15">
        <v>1.3634</v>
      </c>
      <c r="E814" s="15">
        <v>1.3634</v>
      </c>
      <c r="F814" s="15">
        <v>1.3634</v>
      </c>
      <c r="G814" s="11">
        <v>0.0032</v>
      </c>
      <c r="H814" s="9">
        <f>MAX($F$776:F814)</f>
        <v>1.3634</v>
      </c>
      <c r="I814" s="11">
        <f t="shared" si="18"/>
        <v>0</v>
      </c>
      <c r="J814" s="9">
        <f>MAX($F$809:F814)</f>
        <v>1.3634</v>
      </c>
      <c r="K814" s="11">
        <f t="shared" si="19"/>
        <v>0</v>
      </c>
      <c r="L814" s="9"/>
      <c r="M814" s="11"/>
      <c r="N814" s="9" t="s">
        <v>819</v>
      </c>
    </row>
    <row r="815" ht="25" customHeight="1" spans="1:14">
      <c r="A815" s="9" t="s">
        <v>816</v>
      </c>
      <c r="B815" s="9" t="s">
        <v>518</v>
      </c>
      <c r="C815" s="10">
        <v>45940</v>
      </c>
      <c r="D815" s="15">
        <v>1.3742</v>
      </c>
      <c r="E815" s="15">
        <v>1.3742</v>
      </c>
      <c r="F815" s="15">
        <v>1.3742</v>
      </c>
      <c r="G815" s="11">
        <v>0.0079</v>
      </c>
      <c r="H815" s="9">
        <f>MAX($F$776:F815)</f>
        <v>1.3742</v>
      </c>
      <c r="I815" s="11">
        <f t="shared" si="18"/>
        <v>0</v>
      </c>
      <c r="J815" s="9">
        <f>MAX($F$809:F815)</f>
        <v>1.3742</v>
      </c>
      <c r="K815" s="11">
        <f t="shared" si="19"/>
        <v>0</v>
      </c>
      <c r="L815" s="9"/>
      <c r="M815" s="11"/>
      <c r="N815" s="9" t="s">
        <v>819</v>
      </c>
    </row>
    <row r="816" ht="25" customHeight="1" spans="1:14">
      <c r="A816" s="9" t="s">
        <v>816</v>
      </c>
      <c r="B816" s="9" t="s">
        <v>518</v>
      </c>
      <c r="C816" s="10">
        <v>45947</v>
      </c>
      <c r="D816" s="15">
        <v>1.3866</v>
      </c>
      <c r="E816" s="15">
        <v>1.3866</v>
      </c>
      <c r="F816" s="15">
        <v>1.3866</v>
      </c>
      <c r="G816" s="11">
        <v>0.009</v>
      </c>
      <c r="H816" s="9">
        <f>MAX($F$776:F816)</f>
        <v>1.3866</v>
      </c>
      <c r="I816" s="11">
        <f t="shared" si="18"/>
        <v>0</v>
      </c>
      <c r="J816" s="9">
        <f>MAX($F$809:F816)</f>
        <v>1.3866</v>
      </c>
      <c r="K816" s="11">
        <f t="shared" si="19"/>
        <v>0</v>
      </c>
      <c r="L816" s="9"/>
      <c r="M816" s="11"/>
      <c r="N816" s="9" t="s">
        <v>819</v>
      </c>
    </row>
    <row r="817" ht="25" customHeight="1" spans="1:14">
      <c r="A817" s="9" t="s">
        <v>816</v>
      </c>
      <c r="B817" s="9" t="s">
        <v>518</v>
      </c>
      <c r="C817" s="10">
        <v>45954</v>
      </c>
      <c r="D817" s="15">
        <v>1.3969</v>
      </c>
      <c r="E817" s="15">
        <v>1.3969</v>
      </c>
      <c r="F817" s="15">
        <v>1.3969</v>
      </c>
      <c r="G817" s="11">
        <v>0.0074</v>
      </c>
      <c r="H817" s="9">
        <f>MAX($F$776:F817)</f>
        <v>1.3969</v>
      </c>
      <c r="I817" s="11">
        <f t="shared" si="18"/>
        <v>0</v>
      </c>
      <c r="J817" s="9">
        <f>MAX($F$809:F817)</f>
        <v>1.3969</v>
      </c>
      <c r="K817" s="11">
        <f t="shared" si="19"/>
        <v>0</v>
      </c>
      <c r="L817" s="9"/>
      <c r="M817" s="11"/>
      <c r="N817" s="9" t="s">
        <v>819</v>
      </c>
    </row>
    <row r="818" ht="25" customHeight="1" spans="1:14">
      <c r="A818" s="9" t="s">
        <v>816</v>
      </c>
      <c r="B818" s="9" t="s">
        <v>518</v>
      </c>
      <c r="C818" s="10">
        <v>45961</v>
      </c>
      <c r="D818" s="15">
        <v>1.3985</v>
      </c>
      <c r="E818" s="15">
        <v>1.3985</v>
      </c>
      <c r="F818" s="15">
        <v>1.3985</v>
      </c>
      <c r="G818" s="11">
        <v>0.0011</v>
      </c>
      <c r="H818" s="9">
        <f>MAX($F$776:F818)</f>
        <v>1.3985</v>
      </c>
      <c r="I818" s="11">
        <f t="shared" si="18"/>
        <v>0</v>
      </c>
      <c r="J818" s="9">
        <f>MAX($F$809:F818)</f>
        <v>1.3985</v>
      </c>
      <c r="K818" s="11">
        <f t="shared" si="19"/>
        <v>0</v>
      </c>
      <c r="L818" s="9"/>
      <c r="M818" s="11"/>
      <c r="N818" s="9" t="s">
        <v>819</v>
      </c>
    </row>
    <row r="819" ht="25" customHeight="1" spans="1:14">
      <c r="A819" s="9" t="s">
        <v>816</v>
      </c>
      <c r="B819" s="9" t="s">
        <v>518</v>
      </c>
      <c r="C819" s="10">
        <v>45968</v>
      </c>
      <c r="D819" s="15">
        <v>1.4087</v>
      </c>
      <c r="E819" s="15">
        <v>1.4087</v>
      </c>
      <c r="F819" s="15">
        <v>1.4087</v>
      </c>
      <c r="G819" s="11">
        <v>0.0073</v>
      </c>
      <c r="H819" s="9">
        <f>MAX($F$776:F819)</f>
        <v>1.4087</v>
      </c>
      <c r="I819" s="11">
        <f t="shared" si="18"/>
        <v>0</v>
      </c>
      <c r="J819" s="9">
        <f>MAX($F$809:F819)</f>
        <v>1.4087</v>
      </c>
      <c r="K819" s="11">
        <f t="shared" si="19"/>
        <v>0</v>
      </c>
      <c r="L819" s="9"/>
      <c r="M819" s="11"/>
      <c r="N819" s="9" t="s">
        <v>819</v>
      </c>
    </row>
    <row r="820" ht="25" customHeight="1" spans="1:14">
      <c r="A820" s="9" t="s">
        <v>816</v>
      </c>
      <c r="B820" s="9" t="s">
        <v>518</v>
      </c>
      <c r="C820" s="10">
        <v>45975</v>
      </c>
      <c r="D820" s="15">
        <v>1.4179</v>
      </c>
      <c r="E820" s="15">
        <v>1.4179</v>
      </c>
      <c r="F820" s="15">
        <v>1.4179</v>
      </c>
      <c r="G820" s="11">
        <v>0.0065</v>
      </c>
      <c r="H820" s="9">
        <f>MAX($F$776:F820)</f>
        <v>1.4179</v>
      </c>
      <c r="I820" s="11">
        <f t="shared" si="18"/>
        <v>0</v>
      </c>
      <c r="J820" s="9">
        <f>MAX($F$809:F820)</f>
        <v>1.4179</v>
      </c>
      <c r="K820" s="11">
        <f t="shared" si="19"/>
        <v>0</v>
      </c>
      <c r="L820" s="9"/>
      <c r="M820" s="11"/>
      <c r="N820" s="9" t="s">
        <v>819</v>
      </c>
    </row>
    <row r="821" ht="25" customHeight="1" spans="1:14">
      <c r="A821" s="9" t="s">
        <v>816</v>
      </c>
      <c r="B821" s="9" t="s">
        <v>518</v>
      </c>
      <c r="C821" s="10">
        <v>45982</v>
      </c>
      <c r="D821" s="15">
        <v>1.4206</v>
      </c>
      <c r="E821" s="15">
        <v>1.4206</v>
      </c>
      <c r="F821" s="15">
        <v>1.4206</v>
      </c>
      <c r="G821" s="11">
        <v>0.0019</v>
      </c>
      <c r="H821" s="9">
        <f>MAX($F$776:F821)</f>
        <v>1.4206</v>
      </c>
      <c r="I821" s="11">
        <f t="shared" si="18"/>
        <v>0</v>
      </c>
      <c r="J821" s="9">
        <f>MAX($F$809:F821)</f>
        <v>1.4206</v>
      </c>
      <c r="K821" s="11">
        <f t="shared" si="19"/>
        <v>0</v>
      </c>
      <c r="L821" s="9"/>
      <c r="M821" s="11"/>
      <c r="N821" s="9" t="s">
        <v>819</v>
      </c>
    </row>
    <row r="822" ht="25" customHeight="1" spans="1:14">
      <c r="A822" s="9" t="s">
        <v>816</v>
      </c>
      <c r="B822" s="9" t="s">
        <v>518</v>
      </c>
      <c r="C822" s="10">
        <v>45989</v>
      </c>
      <c r="D822" s="15">
        <v>1.4258</v>
      </c>
      <c r="E822" s="15">
        <v>1.4258</v>
      </c>
      <c r="F822" s="15">
        <v>1.4258</v>
      </c>
      <c r="G822" s="11">
        <v>0.0037</v>
      </c>
      <c r="H822" s="9">
        <f>MAX($F$776:F822)</f>
        <v>1.4258</v>
      </c>
      <c r="I822" s="11">
        <f t="shared" si="18"/>
        <v>0</v>
      </c>
      <c r="J822" s="9">
        <f>MAX($F$809:F822)</f>
        <v>1.4258</v>
      </c>
      <c r="K822" s="11">
        <f t="shared" si="19"/>
        <v>0</v>
      </c>
      <c r="L822" s="9"/>
      <c r="M822" s="11"/>
      <c r="N822" s="9" t="s">
        <v>819</v>
      </c>
    </row>
    <row r="823" ht="25" customHeight="1" spans="1:14">
      <c r="A823" s="9" t="s">
        <v>816</v>
      </c>
      <c r="B823" s="9" t="s">
        <v>518</v>
      </c>
      <c r="C823" s="10">
        <v>45996</v>
      </c>
      <c r="D823" s="15">
        <v>1.4259</v>
      </c>
      <c r="E823" s="15">
        <v>1.4259</v>
      </c>
      <c r="F823" s="15">
        <v>1.4259</v>
      </c>
      <c r="G823" s="11">
        <v>0.0001</v>
      </c>
      <c r="H823" s="9">
        <f>MAX($F$776:F823)</f>
        <v>1.4259</v>
      </c>
      <c r="I823" s="11">
        <f t="shared" si="18"/>
        <v>0</v>
      </c>
      <c r="J823" s="9">
        <f>MAX($F$809:F823)</f>
        <v>1.4259</v>
      </c>
      <c r="K823" s="11">
        <f t="shared" si="19"/>
        <v>0</v>
      </c>
      <c r="L823" s="9"/>
      <c r="M823" s="11"/>
      <c r="N823" s="9" t="s">
        <v>819</v>
      </c>
    </row>
    <row r="824" ht="25" customHeight="1" spans="1:14">
      <c r="A824" s="9" t="s">
        <v>816</v>
      </c>
      <c r="B824" s="9" t="s">
        <v>518</v>
      </c>
      <c r="C824" s="10">
        <v>46003</v>
      </c>
      <c r="D824" s="15">
        <v>1.4297</v>
      </c>
      <c r="E824" s="15">
        <v>1.4297</v>
      </c>
      <c r="F824" s="15">
        <v>1.4297</v>
      </c>
      <c r="G824" s="11">
        <v>0.0027</v>
      </c>
      <c r="H824" s="9">
        <f>MAX($F$776:F824)</f>
        <v>1.4297</v>
      </c>
      <c r="I824" s="11">
        <f t="shared" si="18"/>
        <v>0</v>
      </c>
      <c r="J824" s="9">
        <f>MAX($F$809:F824)</f>
        <v>1.4297</v>
      </c>
      <c r="K824" s="11">
        <f t="shared" si="19"/>
        <v>0</v>
      </c>
      <c r="L824" s="9"/>
      <c r="M824" s="11"/>
      <c r="N824" s="9" t="s">
        <v>819</v>
      </c>
    </row>
    <row r="825" ht="25" customHeight="1" spans="1:14">
      <c r="A825" s="9" t="s">
        <v>816</v>
      </c>
      <c r="B825" s="9" t="s">
        <v>518</v>
      </c>
      <c r="C825" s="10">
        <v>46010</v>
      </c>
      <c r="D825" s="15">
        <v>1.4358</v>
      </c>
      <c r="E825" s="15">
        <v>1.4358</v>
      </c>
      <c r="F825" s="15">
        <v>1.4358</v>
      </c>
      <c r="G825" s="11">
        <v>0.0043</v>
      </c>
      <c r="H825" s="9">
        <f>MAX($F$776:F825)</f>
        <v>1.4358</v>
      </c>
      <c r="I825" s="11">
        <f t="shared" si="18"/>
        <v>0</v>
      </c>
      <c r="J825" s="9">
        <f>MAX($F$809:F825)</f>
        <v>1.4358</v>
      </c>
      <c r="K825" s="11">
        <f t="shared" si="19"/>
        <v>0</v>
      </c>
      <c r="L825" s="9"/>
      <c r="M825" s="11"/>
      <c r="N825" s="9" t="s">
        <v>819</v>
      </c>
    </row>
    <row r="826" ht="25" customHeight="1" spans="1:14">
      <c r="A826" s="9" t="s">
        <v>816</v>
      </c>
      <c r="B826" s="9" t="s">
        <v>518</v>
      </c>
      <c r="C826" s="10">
        <v>46017</v>
      </c>
      <c r="D826" s="15">
        <v>1.4415</v>
      </c>
      <c r="E826" s="15">
        <v>1.4415</v>
      </c>
      <c r="F826" s="15">
        <v>1.4415</v>
      </c>
      <c r="G826" s="11">
        <v>0.004</v>
      </c>
      <c r="H826" s="9">
        <f>MAX($F$776:F826)</f>
        <v>1.4415</v>
      </c>
      <c r="I826" s="11">
        <f t="shared" si="18"/>
        <v>0</v>
      </c>
      <c r="J826" s="9">
        <f>MAX($F$809:F826)</f>
        <v>1.4415</v>
      </c>
      <c r="K826" s="11">
        <f t="shared" si="19"/>
        <v>0</v>
      </c>
      <c r="L826" s="9"/>
      <c r="M826" s="11"/>
      <c r="N826" s="9" t="s">
        <v>819</v>
      </c>
    </row>
    <row r="827" ht="25" customHeight="1" spans="1:14">
      <c r="A827" s="9" t="s">
        <v>816</v>
      </c>
      <c r="B827" s="9" t="s">
        <v>518</v>
      </c>
      <c r="C827" s="10">
        <v>46022</v>
      </c>
      <c r="D827" s="15">
        <v>1.4413</v>
      </c>
      <c r="E827" s="15">
        <v>1.4413</v>
      </c>
      <c r="F827" s="15">
        <v>1.4413</v>
      </c>
      <c r="G827" s="11">
        <v>-0.0001</v>
      </c>
      <c r="H827" s="9">
        <f>MAX($F$776:F827)</f>
        <v>1.4415</v>
      </c>
      <c r="I827" s="11">
        <f t="shared" si="18"/>
        <v>0.000138744363510246</v>
      </c>
      <c r="J827" s="9">
        <f>MAX($F$809:F827)</f>
        <v>1.4415</v>
      </c>
      <c r="K827" s="11">
        <f t="shared" si="19"/>
        <v>0.000138744363510246</v>
      </c>
      <c r="L827" s="9"/>
      <c r="M827" s="11"/>
      <c r="N827" s="9" t="s">
        <v>819</v>
      </c>
    </row>
    <row r="828" ht="25" customHeight="1" spans="1:14">
      <c r="A828" s="9" t="s">
        <v>816</v>
      </c>
      <c r="B828" s="9" t="s">
        <v>518</v>
      </c>
      <c r="C828" s="10">
        <v>46031</v>
      </c>
      <c r="D828" s="15">
        <v>1.4438</v>
      </c>
      <c r="E828" s="15">
        <v>1.4438</v>
      </c>
      <c r="F828" s="15">
        <v>1.4438</v>
      </c>
      <c r="G828" s="11">
        <v>0.0017</v>
      </c>
      <c r="H828" s="9">
        <f>MAX($F$776:F828)</f>
        <v>1.4438</v>
      </c>
      <c r="I828" s="11">
        <f t="shared" si="18"/>
        <v>0</v>
      </c>
      <c r="J828" s="9">
        <f>MAX($F$809:F828)</f>
        <v>1.4438</v>
      </c>
      <c r="K828" s="11">
        <f t="shared" si="19"/>
        <v>0</v>
      </c>
      <c r="L828" s="9"/>
      <c r="M828" s="11"/>
      <c r="N828" s="9" t="s">
        <v>819</v>
      </c>
    </row>
    <row r="829" ht="25" customHeight="1" spans="1:14">
      <c r="A829" s="9" t="s">
        <v>816</v>
      </c>
      <c r="B829" s="9" t="s">
        <v>518</v>
      </c>
      <c r="C829" s="10">
        <v>46038</v>
      </c>
      <c r="D829" s="15">
        <v>1.4484</v>
      </c>
      <c r="E829" s="15">
        <v>1.4484</v>
      </c>
      <c r="F829" s="15">
        <v>1.4484</v>
      </c>
      <c r="G829" s="11">
        <v>0.0032</v>
      </c>
      <c r="H829" s="9">
        <f>MAX($F$776:F829)</f>
        <v>1.4484</v>
      </c>
      <c r="I829" s="11">
        <f t="shared" si="18"/>
        <v>0</v>
      </c>
      <c r="J829" s="9">
        <f>MAX($F$809:F829)</f>
        <v>1.4484</v>
      </c>
      <c r="K829" s="11">
        <f t="shared" si="19"/>
        <v>0</v>
      </c>
      <c r="L829" s="9"/>
      <c r="M829" s="11"/>
      <c r="N829" s="9" t="s">
        <v>819</v>
      </c>
    </row>
    <row r="830" ht="25" customHeight="1" spans="1:14">
      <c r="A830" s="9" t="s">
        <v>816</v>
      </c>
      <c r="B830" s="9" t="s">
        <v>518</v>
      </c>
      <c r="C830" s="10">
        <v>46045</v>
      </c>
      <c r="D830" s="15">
        <v>1.4495</v>
      </c>
      <c r="E830" s="15">
        <v>1.4495</v>
      </c>
      <c r="F830" s="15">
        <v>1.4495</v>
      </c>
      <c r="G830" s="11">
        <v>0.0008</v>
      </c>
      <c r="H830" s="9">
        <f>MAX($F$776:F830)</f>
        <v>1.4495</v>
      </c>
      <c r="I830" s="11">
        <f t="shared" si="18"/>
        <v>0</v>
      </c>
      <c r="J830" s="9">
        <f>MAX($F$809:F830)</f>
        <v>1.4495</v>
      </c>
      <c r="K830" s="11">
        <f t="shared" si="19"/>
        <v>0</v>
      </c>
      <c r="L830" s="9"/>
      <c r="M830" s="11"/>
      <c r="N830" s="9" t="s">
        <v>819</v>
      </c>
    </row>
    <row r="831" ht="25" customHeight="1" spans="1:14">
      <c r="A831" s="9" t="s">
        <v>816</v>
      </c>
      <c r="B831" s="9" t="s">
        <v>518</v>
      </c>
      <c r="C831" s="10">
        <v>46052</v>
      </c>
      <c r="D831" s="15">
        <v>1.4559</v>
      </c>
      <c r="E831" s="15">
        <v>1.4559</v>
      </c>
      <c r="F831" s="15">
        <v>1.4559</v>
      </c>
      <c r="G831" s="11">
        <v>0.0044</v>
      </c>
      <c r="H831" s="9">
        <f>MAX($F$776:F831)</f>
        <v>1.4559</v>
      </c>
      <c r="I831" s="11">
        <f t="shared" si="18"/>
        <v>0</v>
      </c>
      <c r="J831" s="9">
        <f>MAX($F$809:F831)</f>
        <v>1.4559</v>
      </c>
      <c r="K831" s="11">
        <f t="shared" si="19"/>
        <v>0</v>
      </c>
      <c r="L831" s="9"/>
      <c r="M831" s="11"/>
      <c r="N831" s="9" t="s">
        <v>819</v>
      </c>
    </row>
    <row r="832" ht="25" customHeight="1" spans="1:14">
      <c r="A832" s="9" t="s">
        <v>816</v>
      </c>
      <c r="B832" s="9" t="s">
        <v>518</v>
      </c>
      <c r="C832" s="10">
        <v>46059</v>
      </c>
      <c r="D832" s="15">
        <v>1.4745</v>
      </c>
      <c r="E832" s="15">
        <v>1.4745</v>
      </c>
      <c r="F832" s="15">
        <v>1.4745</v>
      </c>
      <c r="G832" s="11">
        <v>0.0128</v>
      </c>
      <c r="H832" s="9">
        <f>MAX($F$776:F832)</f>
        <v>1.4745</v>
      </c>
      <c r="I832" s="11">
        <f t="shared" si="18"/>
        <v>0</v>
      </c>
      <c r="J832" s="9">
        <f>MAX($F$809:F832)</f>
        <v>1.4745</v>
      </c>
      <c r="K832" s="11">
        <f t="shared" si="19"/>
        <v>0</v>
      </c>
      <c r="L832" s="9"/>
      <c r="M832" s="11"/>
      <c r="N832" s="9" t="s">
        <v>819</v>
      </c>
    </row>
    <row r="833" ht="25" customHeight="1" spans="1:14">
      <c r="A833" s="9" t="s">
        <v>816</v>
      </c>
      <c r="B833" s="9" t="s">
        <v>518</v>
      </c>
      <c r="C833" s="10">
        <v>46066</v>
      </c>
      <c r="D833" s="15">
        <v>1.4843</v>
      </c>
      <c r="E833" s="15">
        <v>1.4843</v>
      </c>
      <c r="F833" s="15">
        <v>1.4843</v>
      </c>
      <c r="G833" s="11">
        <v>0.0066</v>
      </c>
      <c r="H833" s="9">
        <f>MAX($F$776:F833)</f>
        <v>1.4843</v>
      </c>
      <c r="I833" s="11">
        <f t="shared" si="18"/>
        <v>0</v>
      </c>
      <c r="J833" s="9">
        <f>MAX($F$809:F833)</f>
        <v>1.4843</v>
      </c>
      <c r="K833" s="11">
        <f t="shared" si="19"/>
        <v>0</v>
      </c>
      <c r="L833" s="9"/>
      <c r="M833" s="11"/>
      <c r="N833" s="9" t="s">
        <v>819</v>
      </c>
    </row>
    <row r="834" ht="25" customHeight="1" spans="1:14">
      <c r="A834" s="9" t="s">
        <v>816</v>
      </c>
      <c r="B834" s="9" t="s">
        <v>518</v>
      </c>
      <c r="C834" s="10">
        <v>46080</v>
      </c>
      <c r="D834" s="15">
        <v>1.4835</v>
      </c>
      <c r="E834" s="15">
        <v>1.4835</v>
      </c>
      <c r="F834" s="15">
        <v>1.4835</v>
      </c>
      <c r="G834" s="11">
        <v>-0.0005</v>
      </c>
      <c r="H834" s="9">
        <f>MAX($F$776:F834)</f>
        <v>1.4843</v>
      </c>
      <c r="I834" s="11">
        <f t="shared" ref="I834:I897" si="20">1-F834/H834</f>
        <v>0.000538974600821862</v>
      </c>
      <c r="J834" s="9">
        <f>MAX($F$809:F834)</f>
        <v>1.4843</v>
      </c>
      <c r="K834" s="11">
        <f t="shared" si="19"/>
        <v>0.000538974600821862</v>
      </c>
      <c r="L834" s="9"/>
      <c r="M834" s="11"/>
      <c r="N834" s="9" t="s">
        <v>819</v>
      </c>
    </row>
    <row r="835" ht="25" customHeight="1" spans="1:14">
      <c r="A835" s="9" t="s">
        <v>816</v>
      </c>
      <c r="B835" s="9" t="s">
        <v>518</v>
      </c>
      <c r="C835" s="10">
        <v>46087</v>
      </c>
      <c r="D835" s="15">
        <v>1.4956</v>
      </c>
      <c r="E835" s="15">
        <v>1.4956</v>
      </c>
      <c r="F835" s="15">
        <v>1.4956</v>
      </c>
      <c r="G835" s="11">
        <v>0.0082</v>
      </c>
      <c r="H835" s="9">
        <f>MAX($F$776:F835)</f>
        <v>1.4956</v>
      </c>
      <c r="I835" s="11">
        <f t="shared" si="20"/>
        <v>0</v>
      </c>
      <c r="J835" s="9">
        <f>MAX($F$809:F835)</f>
        <v>1.4956</v>
      </c>
      <c r="K835" s="11">
        <f t="shared" si="19"/>
        <v>0</v>
      </c>
      <c r="L835" s="9"/>
      <c r="M835" s="11"/>
      <c r="N835" s="9" t="s">
        <v>819</v>
      </c>
    </row>
    <row r="836" ht="25" customHeight="1" spans="1:14">
      <c r="A836" s="9" t="s">
        <v>816</v>
      </c>
      <c r="B836" s="9" t="s">
        <v>518</v>
      </c>
      <c r="C836" s="10">
        <v>46094</v>
      </c>
      <c r="D836" s="15">
        <v>1.5135</v>
      </c>
      <c r="E836" s="15">
        <v>1.5135</v>
      </c>
      <c r="F836" s="15">
        <v>1.5135</v>
      </c>
      <c r="G836" s="11">
        <v>0.012</v>
      </c>
      <c r="H836" s="9">
        <f>MAX($F$776:F836)</f>
        <v>1.5135</v>
      </c>
      <c r="I836" s="11">
        <f t="shared" si="20"/>
        <v>0</v>
      </c>
      <c r="J836" s="9">
        <f>MAX($F$809:F836)</f>
        <v>1.5135</v>
      </c>
      <c r="K836" s="11">
        <f t="shared" si="19"/>
        <v>0</v>
      </c>
      <c r="L836" s="9"/>
      <c r="M836" s="11"/>
      <c r="N836" s="9" t="s">
        <v>819</v>
      </c>
    </row>
    <row r="837" ht="25" customHeight="1" spans="1:14">
      <c r="A837" s="9" t="s">
        <v>816</v>
      </c>
      <c r="B837" s="9" t="s">
        <v>518</v>
      </c>
      <c r="C837" s="10">
        <v>46101</v>
      </c>
      <c r="D837" s="15">
        <v>1.3771</v>
      </c>
      <c r="E837" s="15">
        <v>1.5271</v>
      </c>
      <c r="F837" s="15">
        <v>1.5271</v>
      </c>
      <c r="G837" s="11">
        <v>0.009</v>
      </c>
      <c r="H837" s="9">
        <f>MAX($F$776:F837)</f>
        <v>1.5271</v>
      </c>
      <c r="I837" s="11">
        <f t="shared" si="20"/>
        <v>0</v>
      </c>
      <c r="J837" s="9">
        <f>MAX($F$809:F837)</f>
        <v>1.5271</v>
      </c>
      <c r="K837" s="11">
        <f t="shared" si="19"/>
        <v>0</v>
      </c>
      <c r="L837" s="9"/>
      <c r="M837" s="11"/>
      <c r="N837" s="9" t="s">
        <v>819</v>
      </c>
    </row>
    <row r="838" ht="25" customHeight="1" spans="1:14">
      <c r="A838" s="9" t="s">
        <v>816</v>
      </c>
      <c r="B838" s="9" t="s">
        <v>518</v>
      </c>
      <c r="C838" s="10">
        <v>46108</v>
      </c>
      <c r="D838" s="15">
        <v>1.3866</v>
      </c>
      <c r="E838" s="15">
        <v>1.5366</v>
      </c>
      <c r="F838" s="15">
        <v>1.5376</v>
      </c>
      <c r="G838" s="11">
        <v>0.0069</v>
      </c>
      <c r="H838" s="9">
        <f>MAX($F$776:F838)</f>
        <v>1.5376</v>
      </c>
      <c r="I838" s="11">
        <f t="shared" si="20"/>
        <v>0</v>
      </c>
      <c r="J838" s="9">
        <f>MAX($F$809:F838)</f>
        <v>1.5376</v>
      </c>
      <c r="K838" s="11">
        <f t="shared" si="19"/>
        <v>0</v>
      </c>
      <c r="L838" s="9"/>
      <c r="M838" s="11"/>
      <c r="N838" s="9" t="s">
        <v>819</v>
      </c>
    </row>
    <row r="839" ht="25" customHeight="1" spans="1:14">
      <c r="A839" s="9" t="s">
        <v>816</v>
      </c>
      <c r="B839" s="9" t="s">
        <v>518</v>
      </c>
      <c r="C839" s="10">
        <v>46115</v>
      </c>
      <c r="D839" s="15">
        <v>1.3912</v>
      </c>
      <c r="E839" s="15">
        <v>1.5412</v>
      </c>
      <c r="F839" s="15">
        <v>1.5427</v>
      </c>
      <c r="G839" s="11">
        <v>0.0033</v>
      </c>
      <c r="H839" s="9">
        <f>MAX($F$776:F839)</f>
        <v>1.5427</v>
      </c>
      <c r="I839" s="11">
        <f t="shared" si="20"/>
        <v>0</v>
      </c>
      <c r="J839" s="9">
        <f>MAX($F$809:F839)</f>
        <v>1.5427</v>
      </c>
      <c r="K839" s="11">
        <f t="shared" si="19"/>
        <v>0</v>
      </c>
      <c r="L839" s="9"/>
      <c r="M839" s="11"/>
      <c r="N839" s="9" t="s">
        <v>819</v>
      </c>
    </row>
    <row r="840" ht="25" customHeight="1" spans="1:14">
      <c r="A840" s="9" t="s">
        <v>816</v>
      </c>
      <c r="B840" s="9" t="s">
        <v>518</v>
      </c>
      <c r="C840" s="10">
        <v>46122</v>
      </c>
      <c r="D840" s="15">
        <v>1.3987</v>
      </c>
      <c r="E840" s="15">
        <v>1.5487</v>
      </c>
      <c r="F840" s="15">
        <v>1.5511</v>
      </c>
      <c r="G840" s="11">
        <v>0.0054</v>
      </c>
      <c r="H840" s="9">
        <f>MAX($F$776:F840)</f>
        <v>1.5511</v>
      </c>
      <c r="I840" s="11">
        <f t="shared" si="20"/>
        <v>0</v>
      </c>
      <c r="J840" s="9">
        <f>MAX($F$809:F840)</f>
        <v>1.5511</v>
      </c>
      <c r="K840" s="11">
        <f t="shared" si="19"/>
        <v>0</v>
      </c>
      <c r="L840" s="9"/>
      <c r="M840" s="11"/>
      <c r="N840" s="9" t="s">
        <v>819</v>
      </c>
    </row>
    <row r="841" ht="25" customHeight="1" spans="1:14">
      <c r="A841" s="9" t="s">
        <v>816</v>
      </c>
      <c r="B841" s="9" t="s">
        <v>518</v>
      </c>
      <c r="C841" s="10">
        <v>46129</v>
      </c>
      <c r="D841" s="15">
        <v>1.4064</v>
      </c>
      <c r="E841" s="15">
        <v>1.5564</v>
      </c>
      <c r="F841" s="15">
        <v>1.5596</v>
      </c>
      <c r="G841" s="11">
        <v>0.0055</v>
      </c>
      <c r="H841" s="9">
        <f>MAX($F$776:F841)</f>
        <v>1.5596</v>
      </c>
      <c r="I841" s="11">
        <f t="shared" si="20"/>
        <v>0</v>
      </c>
      <c r="J841" s="9">
        <f>MAX($F$809:F841)</f>
        <v>1.5596</v>
      </c>
      <c r="K841" s="11">
        <f t="shared" si="19"/>
        <v>0</v>
      </c>
      <c r="L841" s="9"/>
      <c r="M841" s="11"/>
      <c r="N841" s="9" t="s">
        <v>819</v>
      </c>
    </row>
    <row r="842" ht="25" customHeight="1" spans="1:14">
      <c r="A842" s="9" t="s">
        <v>816</v>
      </c>
      <c r="B842" s="9" t="s">
        <v>518</v>
      </c>
      <c r="C842" s="10">
        <v>46136</v>
      </c>
      <c r="D842" s="15">
        <v>1.4124</v>
      </c>
      <c r="E842" s="15">
        <v>1.5624</v>
      </c>
      <c r="F842" s="15">
        <v>1.5662</v>
      </c>
      <c r="G842" s="11">
        <v>0.0043</v>
      </c>
      <c r="H842" s="9">
        <f>MAX($F$776:F842)</f>
        <v>1.5662</v>
      </c>
      <c r="I842" s="11">
        <f t="shared" si="20"/>
        <v>0</v>
      </c>
      <c r="J842" s="9">
        <f>MAX($F$809:F842)</f>
        <v>1.5662</v>
      </c>
      <c r="K842" s="11">
        <f t="shared" si="19"/>
        <v>0</v>
      </c>
      <c r="L842" s="9"/>
      <c r="M842" s="11"/>
      <c r="N842" s="9" t="s">
        <v>819</v>
      </c>
    </row>
    <row r="843" ht="25" customHeight="1" spans="1:14">
      <c r="A843" s="9" t="s">
        <v>816</v>
      </c>
      <c r="B843" s="9" t="s">
        <v>518</v>
      </c>
      <c r="C843" s="10">
        <v>46142</v>
      </c>
      <c r="D843" s="15">
        <v>1.417</v>
      </c>
      <c r="E843" s="15">
        <v>1.567</v>
      </c>
      <c r="F843" s="15">
        <v>1.5713</v>
      </c>
      <c r="G843" s="11">
        <v>0.0033</v>
      </c>
      <c r="H843" s="9">
        <f>MAX($F$776:F843)</f>
        <v>1.5713</v>
      </c>
      <c r="I843" s="11">
        <f t="shared" si="20"/>
        <v>0</v>
      </c>
      <c r="J843" s="9">
        <f>MAX($F$809:F843)</f>
        <v>1.5713</v>
      </c>
      <c r="K843" s="11">
        <f t="shared" si="19"/>
        <v>0</v>
      </c>
      <c r="L843" s="9"/>
      <c r="M843" s="11"/>
      <c r="N843" s="9" t="s">
        <v>819</v>
      </c>
    </row>
    <row r="844" ht="25" customHeight="1" spans="1:14">
      <c r="A844" s="9" t="s">
        <v>816</v>
      </c>
      <c r="B844" s="9" t="s">
        <v>518</v>
      </c>
      <c r="C844" s="10">
        <v>46150</v>
      </c>
      <c r="D844" s="15">
        <v>1.4158</v>
      </c>
      <c r="E844" s="15">
        <v>1.5658</v>
      </c>
      <c r="F844" s="15">
        <v>1.57</v>
      </c>
      <c r="G844" s="11">
        <v>-0.0008</v>
      </c>
      <c r="H844" s="9">
        <f>MAX($F$776:F844)</f>
        <v>1.5713</v>
      </c>
      <c r="I844" s="11">
        <f t="shared" si="20"/>
        <v>0.000827340418761424</v>
      </c>
      <c r="J844" s="9">
        <f>MAX($F$809:F844)</f>
        <v>1.5713</v>
      </c>
      <c r="K844" s="11">
        <f t="shared" si="19"/>
        <v>0.000827340418761424</v>
      </c>
      <c r="L844" s="9"/>
      <c r="M844" s="11"/>
      <c r="N844" s="9" t="s">
        <v>819</v>
      </c>
    </row>
    <row r="845" ht="25" customHeight="1" spans="1:14">
      <c r="A845" s="9" t="s">
        <v>816</v>
      </c>
      <c r="B845" s="9" t="s">
        <v>518</v>
      </c>
      <c r="C845" s="10">
        <v>46157</v>
      </c>
      <c r="D845" s="15">
        <v>1.4249</v>
      </c>
      <c r="E845" s="15">
        <v>1.5749</v>
      </c>
      <c r="F845" s="15">
        <v>1.5801</v>
      </c>
      <c r="G845" s="11">
        <v>0.0064</v>
      </c>
      <c r="H845" s="9">
        <f>MAX($F$776:F845)</f>
        <v>1.5801</v>
      </c>
      <c r="I845" s="11">
        <f t="shared" si="20"/>
        <v>0</v>
      </c>
      <c r="J845" s="9">
        <f>MAX($F$809:F845)</f>
        <v>1.5801</v>
      </c>
      <c r="K845" s="11">
        <f t="shared" si="19"/>
        <v>0</v>
      </c>
      <c r="L845" s="9"/>
      <c r="M845" s="11"/>
      <c r="N845" s="9" t="s">
        <v>819</v>
      </c>
    </row>
    <row r="846" ht="25" customHeight="1" spans="1:14">
      <c r="A846" s="9" t="s">
        <v>816</v>
      </c>
      <c r="B846" s="9" t="s">
        <v>518</v>
      </c>
      <c r="C846" s="10">
        <v>46164</v>
      </c>
      <c r="D846" s="15">
        <v>1.4463</v>
      </c>
      <c r="E846" s="15">
        <v>1.5963</v>
      </c>
      <c r="F846" s="15">
        <v>1.6038</v>
      </c>
      <c r="G846" s="11">
        <v>0.015</v>
      </c>
      <c r="H846" s="9">
        <f>MAX($F$776:F846)</f>
        <v>1.6038</v>
      </c>
      <c r="I846" s="11">
        <f t="shared" si="20"/>
        <v>0</v>
      </c>
      <c r="J846" s="9">
        <f>MAX($F$809:F846)</f>
        <v>1.6038</v>
      </c>
      <c r="K846" s="11">
        <f t="shared" si="19"/>
        <v>0</v>
      </c>
      <c r="L846" s="9"/>
      <c r="M846" s="11"/>
      <c r="N846" s="9" t="s">
        <v>819</v>
      </c>
    </row>
    <row r="847" ht="25" customHeight="1" spans="1:14">
      <c r="A847" s="9" t="s">
        <v>816</v>
      </c>
      <c r="B847" s="9" t="s">
        <v>518</v>
      </c>
      <c r="C847" s="10">
        <v>46171</v>
      </c>
      <c r="D847" s="15">
        <v>1.4457</v>
      </c>
      <c r="E847" s="15">
        <v>1.5957</v>
      </c>
      <c r="F847" s="15">
        <v>1.6032</v>
      </c>
      <c r="G847" s="11">
        <v>-0.0004</v>
      </c>
      <c r="H847" s="9">
        <f>MAX($F$776:F847)</f>
        <v>1.6038</v>
      </c>
      <c r="I847" s="11">
        <f t="shared" si="20"/>
        <v>0.000374111485222595</v>
      </c>
      <c r="J847" s="9">
        <f>MAX($F$809:F847)</f>
        <v>1.6038</v>
      </c>
      <c r="K847" s="11">
        <f t="shared" si="19"/>
        <v>0.000374111485222595</v>
      </c>
      <c r="L847" s="9"/>
      <c r="M847" s="11"/>
      <c r="N847" s="9" t="s">
        <v>819</v>
      </c>
    </row>
    <row r="848" ht="25" customHeight="1" spans="1:14">
      <c r="A848" s="9" t="s">
        <v>816</v>
      </c>
      <c r="B848" s="9" t="s">
        <v>518</v>
      </c>
      <c r="C848" s="10">
        <v>46178</v>
      </c>
      <c r="D848" s="15">
        <v>1.4513</v>
      </c>
      <c r="E848" s="15">
        <v>1.6013</v>
      </c>
      <c r="F848" s="15">
        <v>1.6094</v>
      </c>
      <c r="G848" s="11">
        <v>0.0039</v>
      </c>
      <c r="H848" s="9">
        <f>MAX($F$776:F848)</f>
        <v>1.6094</v>
      </c>
      <c r="I848" s="11">
        <f t="shared" si="20"/>
        <v>0</v>
      </c>
      <c r="J848" s="9">
        <f>MAX($F$809:F848)</f>
        <v>1.6094</v>
      </c>
      <c r="K848" s="11">
        <f t="shared" si="19"/>
        <v>0</v>
      </c>
      <c r="L848" s="9"/>
      <c r="M848" s="11"/>
      <c r="N848" s="9" t="s">
        <v>819</v>
      </c>
    </row>
    <row r="849" ht="25" customHeight="1" spans="1:14">
      <c r="A849" s="9" t="s">
        <v>816</v>
      </c>
      <c r="B849" s="9" t="s">
        <v>518</v>
      </c>
      <c r="C849" s="10">
        <v>46185</v>
      </c>
      <c r="D849" s="15">
        <v>1.4555</v>
      </c>
      <c r="E849" s="15">
        <v>1.6055</v>
      </c>
      <c r="F849" s="15">
        <v>1.614</v>
      </c>
      <c r="G849" s="11">
        <v>0.0029</v>
      </c>
      <c r="H849" s="9">
        <f>MAX($F$776:F849)</f>
        <v>1.614</v>
      </c>
      <c r="I849" s="11">
        <f t="shared" si="20"/>
        <v>0</v>
      </c>
      <c r="J849" s="9">
        <f>MAX($F$809:F849)</f>
        <v>1.614</v>
      </c>
      <c r="K849" s="11">
        <f t="shared" si="19"/>
        <v>0</v>
      </c>
      <c r="L849" s="9"/>
      <c r="M849" s="11"/>
      <c r="N849" s="9" t="s">
        <v>819</v>
      </c>
    </row>
    <row r="850" ht="25" customHeight="1" spans="1:14">
      <c r="A850" s="9" t="s">
        <v>816</v>
      </c>
      <c r="B850" s="9" t="s">
        <v>518</v>
      </c>
      <c r="C850" s="10">
        <v>46191</v>
      </c>
      <c r="D850" s="15">
        <v>1.475</v>
      </c>
      <c r="E850" s="15">
        <v>1.625</v>
      </c>
      <c r="F850" s="15">
        <v>1.6357</v>
      </c>
      <c r="G850" s="11">
        <v>0.0134</v>
      </c>
      <c r="H850" s="9">
        <f>MAX($F$776:F850)</f>
        <v>1.6357</v>
      </c>
      <c r="I850" s="11">
        <f t="shared" si="20"/>
        <v>0</v>
      </c>
      <c r="J850" s="9">
        <f>MAX($F$809:F850)</f>
        <v>1.6357</v>
      </c>
      <c r="K850" s="11">
        <f t="shared" si="19"/>
        <v>0</v>
      </c>
      <c r="L850" s="9"/>
      <c r="M850" s="11"/>
      <c r="N850" s="9" t="s">
        <v>819</v>
      </c>
    </row>
    <row r="851" ht="25" customHeight="1" spans="1:14">
      <c r="A851" s="9" t="s">
        <v>816</v>
      </c>
      <c r="B851" s="9" t="s">
        <v>518</v>
      </c>
      <c r="C851" s="10">
        <v>46199</v>
      </c>
      <c r="D851" s="15">
        <v>1.4871</v>
      </c>
      <c r="E851" s="15">
        <v>1.6371</v>
      </c>
      <c r="F851" s="15">
        <v>1.6491</v>
      </c>
      <c r="G851" s="11">
        <v>0.0082</v>
      </c>
      <c r="H851" s="9">
        <f>MAX($F$776:F851)</f>
        <v>1.6491</v>
      </c>
      <c r="I851" s="11">
        <f t="shared" si="20"/>
        <v>0</v>
      </c>
      <c r="J851" s="9">
        <f>MAX($F$809:F851)</f>
        <v>1.6491</v>
      </c>
      <c r="K851" s="11">
        <f t="shared" si="19"/>
        <v>0</v>
      </c>
      <c r="L851" s="9"/>
      <c r="M851" s="11"/>
      <c r="N851" s="9" t="s">
        <v>819</v>
      </c>
    </row>
    <row r="852" ht="25" customHeight="1" spans="1:14">
      <c r="A852" s="9" t="s">
        <v>816</v>
      </c>
      <c r="B852" s="9" t="s">
        <v>518</v>
      </c>
      <c r="C852" s="10">
        <v>46206</v>
      </c>
      <c r="D852" s="15">
        <v>1.4979</v>
      </c>
      <c r="E852" s="15">
        <v>1.6479</v>
      </c>
      <c r="F852" s="15">
        <v>1.6611</v>
      </c>
      <c r="G852" s="11">
        <v>0.0073</v>
      </c>
      <c r="H852" s="9">
        <f>MAX($F$776:F852)</f>
        <v>1.6611</v>
      </c>
      <c r="I852" s="11">
        <f t="shared" si="20"/>
        <v>0</v>
      </c>
      <c r="J852" s="9">
        <f>MAX($F$809:F852)</f>
        <v>1.6611</v>
      </c>
      <c r="K852" s="11">
        <f t="shared" si="19"/>
        <v>0</v>
      </c>
      <c r="L852" s="9"/>
      <c r="M852" s="11"/>
      <c r="N852" s="9" t="s">
        <v>819</v>
      </c>
    </row>
    <row r="853" ht="25" customHeight="1" spans="1:14">
      <c r="A853" s="9" t="s">
        <v>816</v>
      </c>
      <c r="B853" s="9" t="s">
        <v>518</v>
      </c>
      <c r="C853" s="10">
        <v>46213</v>
      </c>
      <c r="D853" s="15">
        <v>1.49</v>
      </c>
      <c r="E853" s="15">
        <v>1.64</v>
      </c>
      <c r="F853" s="15">
        <v>1.6523</v>
      </c>
      <c r="G853" s="11">
        <v>-0.0053</v>
      </c>
      <c r="H853" s="9">
        <f>MAX($F$776:F853)</f>
        <v>1.6611</v>
      </c>
      <c r="I853" s="11">
        <f t="shared" si="20"/>
        <v>0.00529769429895843</v>
      </c>
      <c r="J853" s="9">
        <f>MAX($F$809:F853)</f>
        <v>1.6611</v>
      </c>
      <c r="K853" s="11">
        <f t="shared" si="19"/>
        <v>0.00529769429895843</v>
      </c>
      <c r="L853" s="9"/>
      <c r="M853" s="11"/>
      <c r="N853" s="9" t="s">
        <v>819</v>
      </c>
    </row>
    <row r="854" ht="25" customHeight="1" spans="1:14">
      <c r="A854" s="9" t="s">
        <v>816</v>
      </c>
      <c r="B854" s="9" t="s">
        <v>518</v>
      </c>
      <c r="C854" s="10">
        <v>46220</v>
      </c>
      <c r="D854" s="15">
        <v>1.4874</v>
      </c>
      <c r="E854" s="15">
        <v>1.6374</v>
      </c>
      <c r="F854" s="15">
        <v>1.6494</v>
      </c>
      <c r="G854" s="11">
        <v>-0.0017</v>
      </c>
      <c r="H854" s="9">
        <f>MAX($F$776:F854)</f>
        <v>1.6611</v>
      </c>
      <c r="I854" s="11">
        <f t="shared" si="20"/>
        <v>0.00704352537475172</v>
      </c>
      <c r="J854" s="9">
        <f>MAX($F$809:F854)</f>
        <v>1.6611</v>
      </c>
      <c r="K854" s="11">
        <f t="shared" si="19"/>
        <v>0.00704352537475172</v>
      </c>
      <c r="L854" s="9"/>
      <c r="M854" s="11"/>
      <c r="N854" s="9" t="s">
        <v>819</v>
      </c>
    </row>
    <row r="855" ht="25" customHeight="1" spans="1:14">
      <c r="A855" s="9" t="s">
        <v>816</v>
      </c>
      <c r="B855" s="9" t="s">
        <v>518</v>
      </c>
      <c r="C855" s="10">
        <v>46227</v>
      </c>
      <c r="D855" s="15">
        <v>1.4813</v>
      </c>
      <c r="E855" s="15">
        <v>1.6313</v>
      </c>
      <c r="F855" s="15">
        <v>1.6426</v>
      </c>
      <c r="G855" s="11">
        <v>-0.0041</v>
      </c>
      <c r="H855" s="9">
        <f>MAX($F$776:F855)</f>
        <v>1.6611</v>
      </c>
      <c r="I855" s="11">
        <f t="shared" si="20"/>
        <v>0.0111371982421287</v>
      </c>
      <c r="J855" s="9">
        <f>MAX($F$809:F855)</f>
        <v>1.6611</v>
      </c>
      <c r="K855" s="11">
        <f t="shared" si="19"/>
        <v>0.0111371982421287</v>
      </c>
      <c r="L855" s="9"/>
      <c r="M855" s="11"/>
      <c r="N855" s="9" t="s">
        <v>819</v>
      </c>
    </row>
    <row r="856" ht="25" customHeight="1" spans="1:14">
      <c r="A856" s="9" t="s">
        <v>816</v>
      </c>
      <c r="B856" s="9" t="s">
        <v>518</v>
      </c>
      <c r="C856" s="10">
        <v>46234</v>
      </c>
      <c r="D856" s="15">
        <v>1.4936</v>
      </c>
      <c r="E856" s="15">
        <v>1.6436</v>
      </c>
      <c r="F856" s="15">
        <v>1.6563</v>
      </c>
      <c r="G856" s="11">
        <v>0.0083</v>
      </c>
      <c r="H856" s="9">
        <f>MAX($F$776:F856)</f>
        <v>1.6611</v>
      </c>
      <c r="I856" s="11">
        <f t="shared" si="20"/>
        <v>0.00288965143579556</v>
      </c>
      <c r="J856" s="9">
        <f>MAX($F$809:F856)</f>
        <v>1.6611</v>
      </c>
      <c r="K856" s="11">
        <f t="shared" si="19"/>
        <v>0.00288965143579556</v>
      </c>
      <c r="L856" s="9"/>
      <c r="M856" s="11"/>
      <c r="N856" s="9" t="s">
        <v>819</v>
      </c>
    </row>
    <row r="857" ht="25" customHeight="1" spans="1:14">
      <c r="A857" s="9" t="s">
        <v>816</v>
      </c>
      <c r="B857" s="9" t="s">
        <v>518</v>
      </c>
      <c r="C857" s="10">
        <v>46241</v>
      </c>
      <c r="D857" s="15">
        <v>1.5102</v>
      </c>
      <c r="E857" s="15">
        <v>1.6602</v>
      </c>
      <c r="F857" s="15">
        <v>1.6747</v>
      </c>
      <c r="G857" s="11">
        <v>0.0111</v>
      </c>
      <c r="H857" s="9">
        <f>MAX($F$776:F857)</f>
        <v>1.6747</v>
      </c>
      <c r="I857" s="11">
        <f t="shared" si="20"/>
        <v>0</v>
      </c>
      <c r="J857" s="9">
        <f>MAX($F$809:F857)</f>
        <v>1.6747</v>
      </c>
      <c r="K857" s="11">
        <f t="shared" si="19"/>
        <v>0</v>
      </c>
      <c r="L857" s="9"/>
      <c r="M857" s="11"/>
      <c r="N857" s="9" t="s">
        <v>819</v>
      </c>
    </row>
    <row r="858" ht="25" customHeight="1" spans="1:14">
      <c r="A858" s="9" t="s">
        <v>816</v>
      </c>
      <c r="B858" s="9" t="s">
        <v>518</v>
      </c>
      <c r="C858" s="10">
        <v>46248</v>
      </c>
      <c r="D858" s="15">
        <v>1.5087</v>
      </c>
      <c r="E858" s="15">
        <v>1.6587</v>
      </c>
      <c r="F858" s="15">
        <v>1.673</v>
      </c>
      <c r="G858" s="11">
        <v>-0.001</v>
      </c>
      <c r="H858" s="9">
        <f>MAX($F$776:F858)</f>
        <v>1.6747</v>
      </c>
      <c r="I858" s="11">
        <f t="shared" si="20"/>
        <v>0.00101510718337616</v>
      </c>
      <c r="J858" s="9">
        <f>MAX($F$809:F858)</f>
        <v>1.6747</v>
      </c>
      <c r="K858" s="11">
        <f t="shared" si="19"/>
        <v>0.00101510718337616</v>
      </c>
      <c r="L858" s="9"/>
      <c r="M858" s="11"/>
      <c r="N858" s="9" t="s">
        <v>819</v>
      </c>
    </row>
    <row r="859" ht="25" customHeight="1" spans="1:14">
      <c r="A859" s="9" t="s">
        <v>816</v>
      </c>
      <c r="B859" s="9" t="s">
        <v>518</v>
      </c>
      <c r="C859" s="10">
        <v>46255</v>
      </c>
      <c r="D859" s="15">
        <v>1.5024</v>
      </c>
      <c r="E859" s="15">
        <v>1.6524</v>
      </c>
      <c r="F859" s="15">
        <v>1.666</v>
      </c>
      <c r="G859" s="11">
        <v>-0.0042</v>
      </c>
      <c r="H859" s="9">
        <f>MAX($F$776:F859)</f>
        <v>1.6747</v>
      </c>
      <c r="I859" s="11">
        <f t="shared" si="20"/>
        <v>0.00519496029139555</v>
      </c>
      <c r="J859" s="9">
        <f>MAX($F$809:F859)</f>
        <v>1.6747</v>
      </c>
      <c r="K859" s="11">
        <f t="shared" si="19"/>
        <v>0.00519496029139555</v>
      </c>
      <c r="L859" s="9"/>
      <c r="M859" s="11"/>
      <c r="N859" s="9" t="s">
        <v>819</v>
      </c>
    </row>
    <row r="860" ht="25" customHeight="1" spans="1:14">
      <c r="A860" s="9" t="s">
        <v>816</v>
      </c>
      <c r="B860" s="9" t="s">
        <v>518</v>
      </c>
      <c r="C860" s="10">
        <v>46262</v>
      </c>
      <c r="D860" s="15">
        <v>1.5106</v>
      </c>
      <c r="E860" s="15">
        <v>1.6606</v>
      </c>
      <c r="F860" s="15">
        <v>1.6751</v>
      </c>
      <c r="G860" s="11">
        <v>0.0055</v>
      </c>
      <c r="H860" s="9">
        <f>MAX($F$776:F860)</f>
        <v>1.6751</v>
      </c>
      <c r="I860" s="11">
        <f t="shared" si="20"/>
        <v>0</v>
      </c>
      <c r="J860" s="9">
        <f>MAX($F$809:F860)</f>
        <v>1.6751</v>
      </c>
      <c r="K860" s="11">
        <f t="shared" si="19"/>
        <v>0</v>
      </c>
      <c r="L860" s="9"/>
      <c r="M860" s="11"/>
      <c r="N860" s="9" t="s">
        <v>819</v>
      </c>
    </row>
    <row r="861" ht="25" customHeight="1" spans="1:14">
      <c r="A861" s="9" t="s">
        <v>816</v>
      </c>
      <c r="B861" s="9" t="s">
        <v>518</v>
      </c>
      <c r="C861" s="10">
        <v>46269</v>
      </c>
      <c r="D861" s="15">
        <v>1.5128</v>
      </c>
      <c r="E861" s="15">
        <v>1.6628</v>
      </c>
      <c r="F861" s="15">
        <v>1.6776</v>
      </c>
      <c r="G861" s="11">
        <v>0.0015</v>
      </c>
      <c r="H861" s="9">
        <f>MAX($F$776:F861)</f>
        <v>1.6776</v>
      </c>
      <c r="I861" s="11">
        <f t="shared" si="20"/>
        <v>0</v>
      </c>
      <c r="J861" s="9">
        <f>MAX($F$809:F861)</f>
        <v>1.6776</v>
      </c>
      <c r="K861" s="11">
        <f t="shared" si="19"/>
        <v>0</v>
      </c>
      <c r="L861" s="9"/>
      <c r="M861" s="11"/>
      <c r="N861" s="9" t="s">
        <v>819</v>
      </c>
    </row>
    <row r="862" ht="25" customHeight="1" spans="1:14">
      <c r="A862" s="9" t="s">
        <v>477</v>
      </c>
      <c r="B862" s="9" t="s">
        <v>476</v>
      </c>
      <c r="C862" s="10">
        <v>45952</v>
      </c>
      <c r="D862" s="15">
        <v>1.0271</v>
      </c>
      <c r="E862" s="15">
        <v>1.0271</v>
      </c>
      <c r="F862" s="15">
        <v>1.0271</v>
      </c>
      <c r="G862" s="11"/>
      <c r="H862" s="9">
        <f>MAX($F$862:F862)</f>
        <v>1.0271</v>
      </c>
      <c r="I862" s="11">
        <f t="shared" si="20"/>
        <v>0</v>
      </c>
      <c r="J862" s="9"/>
      <c r="K862" s="11"/>
      <c r="L862" s="9"/>
      <c r="M862" s="11"/>
      <c r="N862" s="9" t="s">
        <v>1012</v>
      </c>
    </row>
    <row r="863" ht="25" customHeight="1" spans="1:14">
      <c r="A863" s="9" t="s">
        <v>477</v>
      </c>
      <c r="B863" s="9" t="s">
        <v>476</v>
      </c>
      <c r="C863" s="10">
        <v>45953</v>
      </c>
      <c r="D863" s="15">
        <v>1.028</v>
      </c>
      <c r="E863" s="15">
        <v>1.028</v>
      </c>
      <c r="F863" s="15">
        <v>1.028</v>
      </c>
      <c r="G863" s="11">
        <v>0.0009</v>
      </c>
      <c r="H863" s="9">
        <f>MAX($F$862:F863)</f>
        <v>1.028</v>
      </c>
      <c r="I863" s="11">
        <f t="shared" si="20"/>
        <v>0</v>
      </c>
      <c r="J863" s="9"/>
      <c r="K863" s="11"/>
      <c r="L863" s="9"/>
      <c r="M863" s="11"/>
      <c r="N863" s="9" t="s">
        <v>1012</v>
      </c>
    </row>
    <row r="864" ht="25" customHeight="1" spans="1:14">
      <c r="A864" s="9" t="s">
        <v>477</v>
      </c>
      <c r="B864" s="9" t="s">
        <v>476</v>
      </c>
      <c r="C864" s="10">
        <v>45954</v>
      </c>
      <c r="D864" s="15">
        <v>1.0284</v>
      </c>
      <c r="E864" s="15">
        <v>1.0284</v>
      </c>
      <c r="F864" s="15">
        <v>1.0284</v>
      </c>
      <c r="G864" s="11">
        <v>0.0004</v>
      </c>
      <c r="H864" s="9">
        <f>MAX($F$862:F864)</f>
        <v>1.0284</v>
      </c>
      <c r="I864" s="11">
        <f t="shared" si="20"/>
        <v>0</v>
      </c>
      <c r="J864" s="9"/>
      <c r="K864" s="11"/>
      <c r="L864" s="9"/>
      <c r="M864" s="11"/>
      <c r="N864" s="9" t="s">
        <v>1012</v>
      </c>
    </row>
    <row r="865" ht="25" customHeight="1" spans="1:14">
      <c r="A865" s="9" t="s">
        <v>477</v>
      </c>
      <c r="B865" s="9" t="s">
        <v>476</v>
      </c>
      <c r="C865" s="10">
        <v>45957</v>
      </c>
      <c r="D865" s="15">
        <v>1.0299</v>
      </c>
      <c r="E865" s="15">
        <v>1.0299</v>
      </c>
      <c r="F865" s="15">
        <v>1.0299</v>
      </c>
      <c r="G865" s="11">
        <v>0.0015</v>
      </c>
      <c r="H865" s="9">
        <f>MAX($F$862:F865)</f>
        <v>1.0299</v>
      </c>
      <c r="I865" s="11">
        <f t="shared" si="20"/>
        <v>0</v>
      </c>
      <c r="J865" s="9"/>
      <c r="K865" s="11"/>
      <c r="L865" s="9"/>
      <c r="M865" s="11"/>
      <c r="N865" s="9" t="s">
        <v>1012</v>
      </c>
    </row>
    <row r="866" ht="25" customHeight="1" spans="1:14">
      <c r="A866" s="9" t="s">
        <v>477</v>
      </c>
      <c r="B866" s="9" t="s">
        <v>476</v>
      </c>
      <c r="C866" s="10">
        <v>45958</v>
      </c>
      <c r="D866" s="15">
        <v>1.0301</v>
      </c>
      <c r="E866" s="15">
        <v>1.0301</v>
      </c>
      <c r="F866" s="15">
        <v>1.0301</v>
      </c>
      <c r="G866" s="11">
        <v>0.0002</v>
      </c>
      <c r="H866" s="9">
        <f>MAX($F$862:F866)</f>
        <v>1.0301</v>
      </c>
      <c r="I866" s="11">
        <f t="shared" si="20"/>
        <v>0</v>
      </c>
      <c r="J866" s="9"/>
      <c r="K866" s="11"/>
      <c r="L866" s="9"/>
      <c r="M866" s="11"/>
      <c r="N866" s="9" t="s">
        <v>1012</v>
      </c>
    </row>
    <row r="867" ht="25" customHeight="1" spans="1:14">
      <c r="A867" s="9" t="s">
        <v>477</v>
      </c>
      <c r="B867" s="9" t="s">
        <v>476</v>
      </c>
      <c r="C867" s="10">
        <v>45959</v>
      </c>
      <c r="D867" s="15">
        <v>1.0303</v>
      </c>
      <c r="E867" s="15">
        <v>1.0303</v>
      </c>
      <c r="F867" s="15">
        <v>1.0303</v>
      </c>
      <c r="G867" s="11">
        <v>0.0002</v>
      </c>
      <c r="H867" s="9">
        <f>MAX($F$862:F867)</f>
        <v>1.0303</v>
      </c>
      <c r="I867" s="11">
        <f t="shared" si="20"/>
        <v>0</v>
      </c>
      <c r="J867" s="9"/>
      <c r="K867" s="11"/>
      <c r="L867" s="9"/>
      <c r="M867" s="11"/>
      <c r="N867" s="9" t="s">
        <v>1012</v>
      </c>
    </row>
    <row r="868" ht="25" customHeight="1" spans="1:14">
      <c r="A868" s="9" t="s">
        <v>477</v>
      </c>
      <c r="B868" s="9" t="s">
        <v>476</v>
      </c>
      <c r="C868" s="10">
        <v>45960</v>
      </c>
      <c r="D868" s="15">
        <v>1.0305</v>
      </c>
      <c r="E868" s="15">
        <v>1.0305</v>
      </c>
      <c r="F868" s="15">
        <v>1.0305</v>
      </c>
      <c r="G868" s="11">
        <v>0.0002</v>
      </c>
      <c r="H868" s="9">
        <f>MAX($F$862:F868)</f>
        <v>1.0305</v>
      </c>
      <c r="I868" s="11">
        <f t="shared" si="20"/>
        <v>0</v>
      </c>
      <c r="J868" s="9"/>
      <c r="K868" s="11"/>
      <c r="L868" s="9"/>
      <c r="M868" s="11"/>
      <c r="N868" s="9" t="s">
        <v>1012</v>
      </c>
    </row>
    <row r="869" ht="25" customHeight="1" spans="1:14">
      <c r="A869" s="9" t="s">
        <v>477</v>
      </c>
      <c r="B869" s="9" t="s">
        <v>476</v>
      </c>
      <c r="C869" s="10">
        <v>45961</v>
      </c>
      <c r="D869" s="15">
        <v>1.0312</v>
      </c>
      <c r="E869" s="15">
        <v>1.0312</v>
      </c>
      <c r="F869" s="15">
        <v>1.0312</v>
      </c>
      <c r="G869" s="11">
        <v>0.0007</v>
      </c>
      <c r="H869" s="9">
        <f>MAX($F$862:F869)</f>
        <v>1.0312</v>
      </c>
      <c r="I869" s="11">
        <f t="shared" si="20"/>
        <v>0</v>
      </c>
      <c r="J869" s="9"/>
      <c r="K869" s="11"/>
      <c r="L869" s="9"/>
      <c r="M869" s="11"/>
      <c r="N869" s="9" t="s">
        <v>1012</v>
      </c>
    </row>
    <row r="870" ht="25" customHeight="1" spans="1:14">
      <c r="A870" s="9" t="s">
        <v>477</v>
      </c>
      <c r="B870" s="9" t="s">
        <v>476</v>
      </c>
      <c r="C870" s="10">
        <v>45964</v>
      </c>
      <c r="D870" s="15">
        <v>1.0315</v>
      </c>
      <c r="E870" s="15">
        <v>1.0315</v>
      </c>
      <c r="F870" s="15">
        <v>1.0315</v>
      </c>
      <c r="G870" s="11">
        <v>0.0003</v>
      </c>
      <c r="H870" s="9">
        <f>MAX($F$862:F870)</f>
        <v>1.0315</v>
      </c>
      <c r="I870" s="11">
        <f t="shared" si="20"/>
        <v>0</v>
      </c>
      <c r="J870" s="9"/>
      <c r="K870" s="11"/>
      <c r="L870" s="9"/>
      <c r="M870" s="11"/>
      <c r="N870" s="9" t="s">
        <v>1012</v>
      </c>
    </row>
    <row r="871" ht="25" customHeight="1" spans="1:14">
      <c r="A871" s="9" t="s">
        <v>477</v>
      </c>
      <c r="B871" s="9" t="s">
        <v>476</v>
      </c>
      <c r="C871" s="10">
        <v>45965</v>
      </c>
      <c r="D871" s="15">
        <v>1.0324</v>
      </c>
      <c r="E871" s="15">
        <v>1.0324</v>
      </c>
      <c r="F871" s="15">
        <v>1.0324</v>
      </c>
      <c r="G871" s="11">
        <v>0.0009</v>
      </c>
      <c r="H871" s="9">
        <f>MAX($F$862:F871)</f>
        <v>1.0324</v>
      </c>
      <c r="I871" s="11">
        <f t="shared" si="20"/>
        <v>0</v>
      </c>
      <c r="J871" s="9"/>
      <c r="K871" s="11"/>
      <c r="L871" s="9"/>
      <c r="M871" s="11"/>
      <c r="N871" s="9" t="s">
        <v>1012</v>
      </c>
    </row>
    <row r="872" ht="25" customHeight="1" spans="1:14">
      <c r="A872" s="9" t="s">
        <v>477</v>
      </c>
      <c r="B872" s="9" t="s">
        <v>476</v>
      </c>
      <c r="C872" s="10">
        <v>45966</v>
      </c>
      <c r="D872" s="15">
        <v>1.0325</v>
      </c>
      <c r="E872" s="15">
        <v>1.0325</v>
      </c>
      <c r="F872" s="15">
        <v>1.0325</v>
      </c>
      <c r="G872" s="11">
        <v>0.0001</v>
      </c>
      <c r="H872" s="9">
        <f>MAX($F$862:F872)</f>
        <v>1.0325</v>
      </c>
      <c r="I872" s="11">
        <f t="shared" si="20"/>
        <v>0</v>
      </c>
      <c r="J872" s="9"/>
      <c r="K872" s="11"/>
      <c r="L872" s="9"/>
      <c r="M872" s="11"/>
      <c r="N872" s="9" t="s">
        <v>1012</v>
      </c>
    </row>
    <row r="873" ht="25" customHeight="1" spans="1:14">
      <c r="A873" s="9" t="s">
        <v>477</v>
      </c>
      <c r="B873" s="9" t="s">
        <v>476</v>
      </c>
      <c r="C873" s="10">
        <v>45967</v>
      </c>
      <c r="D873" s="15">
        <v>1.0324</v>
      </c>
      <c r="E873" s="15">
        <v>1.0324</v>
      </c>
      <c r="F873" s="15">
        <v>1.0324</v>
      </c>
      <c r="G873" s="11">
        <v>-0.0001</v>
      </c>
      <c r="H873" s="9">
        <f>MAX($F$862:F873)</f>
        <v>1.0325</v>
      </c>
      <c r="I873" s="11">
        <f t="shared" si="20"/>
        <v>9.68523002421451e-5</v>
      </c>
      <c r="J873" s="9"/>
      <c r="K873" s="11"/>
      <c r="L873" s="9"/>
      <c r="M873" s="11"/>
      <c r="N873" s="9" t="s">
        <v>1012</v>
      </c>
    </row>
    <row r="874" ht="25" customHeight="1" spans="1:14">
      <c r="A874" s="9" t="s">
        <v>477</v>
      </c>
      <c r="B874" s="9" t="s">
        <v>476</v>
      </c>
      <c r="C874" s="10">
        <v>45968</v>
      </c>
      <c r="D874" s="15">
        <v>1.0323</v>
      </c>
      <c r="E874" s="15">
        <v>1.0323</v>
      </c>
      <c r="F874" s="15">
        <v>1.0323</v>
      </c>
      <c r="G874" s="11">
        <v>-0.0001</v>
      </c>
      <c r="H874" s="9">
        <f>MAX($F$862:F874)</f>
        <v>1.0325</v>
      </c>
      <c r="I874" s="11">
        <f t="shared" si="20"/>
        <v>0.00019370460048429</v>
      </c>
      <c r="J874" s="9"/>
      <c r="K874" s="11"/>
      <c r="L874" s="9"/>
      <c r="M874" s="11"/>
      <c r="N874" s="9" t="s">
        <v>1012</v>
      </c>
    </row>
    <row r="875" ht="25" customHeight="1" spans="1:14">
      <c r="A875" s="9" t="s">
        <v>477</v>
      </c>
      <c r="B875" s="9" t="s">
        <v>476</v>
      </c>
      <c r="C875" s="10">
        <v>45971</v>
      </c>
      <c r="D875" s="15">
        <v>1.0329</v>
      </c>
      <c r="E875" s="15">
        <v>1.0329</v>
      </c>
      <c r="F875" s="15">
        <v>1.0329</v>
      </c>
      <c r="G875" s="11">
        <v>0.0006</v>
      </c>
      <c r="H875" s="9">
        <f>MAX($F$862:F875)</f>
        <v>1.0329</v>
      </c>
      <c r="I875" s="11">
        <f t="shared" si="20"/>
        <v>0</v>
      </c>
      <c r="J875" s="9"/>
      <c r="K875" s="11"/>
      <c r="L875" s="9"/>
      <c r="M875" s="11"/>
      <c r="N875" s="9" t="s">
        <v>1012</v>
      </c>
    </row>
    <row r="876" ht="25" customHeight="1" spans="1:14">
      <c r="A876" s="9" t="s">
        <v>477</v>
      </c>
      <c r="B876" s="9" t="s">
        <v>476</v>
      </c>
      <c r="C876" s="10">
        <v>45972</v>
      </c>
      <c r="D876" s="15">
        <v>1.033</v>
      </c>
      <c r="E876" s="15">
        <v>1.033</v>
      </c>
      <c r="F876" s="15">
        <v>1.033</v>
      </c>
      <c r="G876" s="11">
        <v>0.0001</v>
      </c>
      <c r="H876" s="9">
        <f>MAX($F$862:F876)</f>
        <v>1.033</v>
      </c>
      <c r="I876" s="11">
        <f t="shared" si="20"/>
        <v>0</v>
      </c>
      <c r="J876" s="9"/>
      <c r="K876" s="11"/>
      <c r="L876" s="9"/>
      <c r="M876" s="11"/>
      <c r="N876" s="9" t="s">
        <v>1012</v>
      </c>
    </row>
    <row r="877" ht="25" customHeight="1" spans="1:14">
      <c r="A877" s="9" t="s">
        <v>477</v>
      </c>
      <c r="B877" s="9" t="s">
        <v>476</v>
      </c>
      <c r="C877" s="10">
        <v>45973</v>
      </c>
      <c r="D877" s="15">
        <v>1.0331</v>
      </c>
      <c r="E877" s="15">
        <v>1.0331</v>
      </c>
      <c r="F877" s="15">
        <v>1.0331</v>
      </c>
      <c r="G877" s="11">
        <v>0.0001</v>
      </c>
      <c r="H877" s="9">
        <f>MAX($F$862:F877)</f>
        <v>1.0331</v>
      </c>
      <c r="I877" s="11">
        <f t="shared" si="20"/>
        <v>0</v>
      </c>
      <c r="J877" s="9"/>
      <c r="K877" s="11"/>
      <c r="L877" s="9"/>
      <c r="M877" s="11"/>
      <c r="N877" s="9" t="s">
        <v>1012</v>
      </c>
    </row>
    <row r="878" ht="25" customHeight="1" spans="1:14">
      <c r="A878" s="9" t="s">
        <v>477</v>
      </c>
      <c r="B878" s="9" t="s">
        <v>476</v>
      </c>
      <c r="C878" s="10">
        <v>45974</v>
      </c>
      <c r="D878" s="15">
        <v>1.0323</v>
      </c>
      <c r="E878" s="15">
        <v>1.0323</v>
      </c>
      <c r="F878" s="15">
        <v>1.0323</v>
      </c>
      <c r="G878" s="11">
        <v>-0.0008</v>
      </c>
      <c r="H878" s="9">
        <f>MAX($F$862:F878)</f>
        <v>1.0331</v>
      </c>
      <c r="I878" s="11">
        <f t="shared" si="20"/>
        <v>0.000774368405768944</v>
      </c>
      <c r="J878" s="9"/>
      <c r="K878" s="11"/>
      <c r="L878" s="9"/>
      <c r="M878" s="11"/>
      <c r="N878" s="9" t="s">
        <v>1012</v>
      </c>
    </row>
    <row r="879" ht="25" customHeight="1" spans="1:14">
      <c r="A879" s="9" t="s">
        <v>477</v>
      </c>
      <c r="B879" s="9" t="s">
        <v>476</v>
      </c>
      <c r="C879" s="10">
        <v>45975</v>
      </c>
      <c r="D879" s="15">
        <v>1.0331</v>
      </c>
      <c r="E879" s="15">
        <v>1.0331</v>
      </c>
      <c r="F879" s="15">
        <v>1.0331</v>
      </c>
      <c r="G879" s="11">
        <v>0.0008</v>
      </c>
      <c r="H879" s="9">
        <f>MAX($F$862:F879)</f>
        <v>1.0331</v>
      </c>
      <c r="I879" s="11">
        <f t="shared" si="20"/>
        <v>0</v>
      </c>
      <c r="J879" s="9"/>
      <c r="K879" s="11"/>
      <c r="L879" s="9"/>
      <c r="M879" s="11"/>
      <c r="N879" s="9" t="s">
        <v>1012</v>
      </c>
    </row>
    <row r="880" ht="25" customHeight="1" spans="1:14">
      <c r="A880" s="9" t="s">
        <v>477</v>
      </c>
      <c r="B880" s="9" t="s">
        <v>476</v>
      </c>
      <c r="C880" s="10">
        <v>45978</v>
      </c>
      <c r="D880" s="15">
        <v>1.0326</v>
      </c>
      <c r="E880" s="15">
        <v>1.0326</v>
      </c>
      <c r="F880" s="15">
        <v>1.0326</v>
      </c>
      <c r="G880" s="11">
        <v>-0.0005</v>
      </c>
      <c r="H880" s="9">
        <f>MAX($F$862:F880)</f>
        <v>1.0331</v>
      </c>
      <c r="I880" s="11">
        <f t="shared" si="20"/>
        <v>0.000483980253605631</v>
      </c>
      <c r="J880" s="9"/>
      <c r="K880" s="11"/>
      <c r="L880" s="9"/>
      <c r="M880" s="11"/>
      <c r="N880" s="9" t="s">
        <v>1012</v>
      </c>
    </row>
    <row r="881" ht="25" customHeight="1" spans="1:14">
      <c r="A881" s="9" t="s">
        <v>477</v>
      </c>
      <c r="B881" s="9" t="s">
        <v>476</v>
      </c>
      <c r="C881" s="10">
        <v>45979</v>
      </c>
      <c r="D881" s="15">
        <v>1.0325</v>
      </c>
      <c r="E881" s="15">
        <v>1.0325</v>
      </c>
      <c r="F881" s="15">
        <v>1.0325</v>
      </c>
      <c r="G881" s="11">
        <v>-0.0001</v>
      </c>
      <c r="H881" s="9">
        <f>MAX($F$862:F881)</f>
        <v>1.0331</v>
      </c>
      <c r="I881" s="11">
        <f t="shared" si="20"/>
        <v>0.000580776304326736</v>
      </c>
      <c r="J881" s="9"/>
      <c r="K881" s="11"/>
      <c r="L881" s="9"/>
      <c r="M881" s="11"/>
      <c r="N881" s="9" t="s">
        <v>1012</v>
      </c>
    </row>
    <row r="882" ht="25" customHeight="1" spans="1:14">
      <c r="A882" s="9" t="s">
        <v>477</v>
      </c>
      <c r="B882" s="9" t="s">
        <v>476</v>
      </c>
      <c r="C882" s="10">
        <v>45980</v>
      </c>
      <c r="D882" s="15">
        <v>1.033</v>
      </c>
      <c r="E882" s="15">
        <v>1.033</v>
      </c>
      <c r="F882" s="15">
        <v>1.033</v>
      </c>
      <c r="G882" s="11">
        <v>0.0005</v>
      </c>
      <c r="H882" s="9">
        <f>MAX($F$862:F882)</f>
        <v>1.0331</v>
      </c>
      <c r="I882" s="11">
        <f t="shared" si="20"/>
        <v>9.67960507211041e-5</v>
      </c>
      <c r="J882" s="9"/>
      <c r="K882" s="11"/>
      <c r="L882" s="9"/>
      <c r="M882" s="11"/>
      <c r="N882" s="9" t="s">
        <v>1012</v>
      </c>
    </row>
    <row r="883" ht="25" customHeight="1" spans="1:14">
      <c r="A883" s="9" t="s">
        <v>477</v>
      </c>
      <c r="B883" s="9" t="s">
        <v>476</v>
      </c>
      <c r="C883" s="10">
        <v>45981</v>
      </c>
      <c r="D883" s="15">
        <v>1.0327</v>
      </c>
      <c r="E883" s="15">
        <v>1.0327</v>
      </c>
      <c r="F883" s="15">
        <v>1.0327</v>
      </c>
      <c r="G883" s="11">
        <v>-0.0003</v>
      </c>
      <c r="H883" s="9">
        <f>MAX($F$862:F883)</f>
        <v>1.0331</v>
      </c>
      <c r="I883" s="11">
        <f t="shared" si="20"/>
        <v>0.000387184202884527</v>
      </c>
      <c r="J883" s="9"/>
      <c r="K883" s="11"/>
      <c r="L883" s="9"/>
      <c r="M883" s="11"/>
      <c r="N883" s="9" t="s">
        <v>1012</v>
      </c>
    </row>
    <row r="884" ht="25" customHeight="1" spans="1:14">
      <c r="A884" s="9" t="s">
        <v>477</v>
      </c>
      <c r="B884" s="9" t="s">
        <v>476</v>
      </c>
      <c r="C884" s="10">
        <v>45982</v>
      </c>
      <c r="D884" s="15">
        <v>1.0342</v>
      </c>
      <c r="E884" s="15">
        <v>1.0342</v>
      </c>
      <c r="F884" s="15">
        <v>1.0342</v>
      </c>
      <c r="G884" s="11">
        <v>0.0015</v>
      </c>
      <c r="H884" s="9">
        <f>MAX($F$862:F884)</f>
        <v>1.0342</v>
      </c>
      <c r="I884" s="11">
        <f t="shared" si="20"/>
        <v>0</v>
      </c>
      <c r="J884" s="9"/>
      <c r="K884" s="11"/>
      <c r="L884" s="9"/>
      <c r="M884" s="11"/>
      <c r="N884" s="9" t="s">
        <v>1012</v>
      </c>
    </row>
    <row r="885" ht="25" customHeight="1" spans="1:14">
      <c r="A885" s="9" t="s">
        <v>477</v>
      </c>
      <c r="B885" s="9" t="s">
        <v>476</v>
      </c>
      <c r="C885" s="10">
        <v>45985</v>
      </c>
      <c r="D885" s="15">
        <v>1.0363</v>
      </c>
      <c r="E885" s="15">
        <v>1.0363</v>
      </c>
      <c r="F885" s="15">
        <v>1.0363</v>
      </c>
      <c r="G885" s="11">
        <v>0.002</v>
      </c>
      <c r="H885" s="9">
        <f>MAX($F$862:F885)</f>
        <v>1.0363</v>
      </c>
      <c r="I885" s="11">
        <f t="shared" si="20"/>
        <v>0</v>
      </c>
      <c r="J885" s="9"/>
      <c r="K885" s="11"/>
      <c r="L885" s="9"/>
      <c r="M885" s="11"/>
      <c r="N885" s="9" t="s">
        <v>1012</v>
      </c>
    </row>
    <row r="886" ht="25" customHeight="1" spans="1:14">
      <c r="A886" s="9" t="s">
        <v>477</v>
      </c>
      <c r="B886" s="9" t="s">
        <v>476</v>
      </c>
      <c r="C886" s="10">
        <v>45986</v>
      </c>
      <c r="D886" s="15">
        <v>1.0367</v>
      </c>
      <c r="E886" s="15">
        <v>1.0367</v>
      </c>
      <c r="F886" s="15">
        <v>1.0367</v>
      </c>
      <c r="G886" s="11">
        <v>0.0004</v>
      </c>
      <c r="H886" s="9">
        <f>MAX($F$862:F886)</f>
        <v>1.0367</v>
      </c>
      <c r="I886" s="11">
        <f t="shared" si="20"/>
        <v>0</v>
      </c>
      <c r="J886" s="9"/>
      <c r="K886" s="11"/>
      <c r="L886" s="9"/>
      <c r="M886" s="11"/>
      <c r="N886" s="9" t="s">
        <v>1012</v>
      </c>
    </row>
    <row r="887" ht="25" customHeight="1" spans="1:14">
      <c r="A887" s="9" t="s">
        <v>477</v>
      </c>
      <c r="B887" s="9" t="s">
        <v>476</v>
      </c>
      <c r="C887" s="10">
        <v>45987</v>
      </c>
      <c r="D887" s="15">
        <v>1.0372</v>
      </c>
      <c r="E887" s="15">
        <v>1.0372</v>
      </c>
      <c r="F887" s="15">
        <v>1.0372</v>
      </c>
      <c r="G887" s="11">
        <v>0.0005</v>
      </c>
      <c r="H887" s="9">
        <f>MAX($F$862:F887)</f>
        <v>1.0372</v>
      </c>
      <c r="I887" s="11">
        <f t="shared" si="20"/>
        <v>0</v>
      </c>
      <c r="J887" s="9"/>
      <c r="K887" s="11"/>
      <c r="L887" s="9"/>
      <c r="M887" s="11"/>
      <c r="N887" s="9" t="s">
        <v>1012</v>
      </c>
    </row>
    <row r="888" ht="25" customHeight="1" spans="1:14">
      <c r="A888" s="9" t="s">
        <v>477</v>
      </c>
      <c r="B888" s="9" t="s">
        <v>476</v>
      </c>
      <c r="C888" s="10">
        <v>45988</v>
      </c>
      <c r="D888" s="15">
        <v>1.0373</v>
      </c>
      <c r="E888" s="15">
        <v>1.0373</v>
      </c>
      <c r="F888" s="15">
        <v>1.0373</v>
      </c>
      <c r="G888" s="11">
        <v>0.0001</v>
      </c>
      <c r="H888" s="9">
        <f>MAX($F$862:F888)</f>
        <v>1.0373</v>
      </c>
      <c r="I888" s="11">
        <f t="shared" si="20"/>
        <v>0</v>
      </c>
      <c r="J888" s="9"/>
      <c r="K888" s="11"/>
      <c r="L888" s="9"/>
      <c r="M888" s="11"/>
      <c r="N888" s="9" t="s">
        <v>1012</v>
      </c>
    </row>
    <row r="889" ht="25" customHeight="1" spans="1:14">
      <c r="A889" s="9" t="s">
        <v>477</v>
      </c>
      <c r="B889" s="9" t="s">
        <v>476</v>
      </c>
      <c r="C889" s="10">
        <v>45989</v>
      </c>
      <c r="D889" s="15">
        <v>1.0373</v>
      </c>
      <c r="E889" s="15">
        <v>1.0373</v>
      </c>
      <c r="F889" s="15">
        <v>1.0373</v>
      </c>
      <c r="G889" s="11">
        <v>0</v>
      </c>
      <c r="H889" s="9">
        <f>MAX($F$862:F889)</f>
        <v>1.0373</v>
      </c>
      <c r="I889" s="11">
        <f t="shared" si="20"/>
        <v>0</v>
      </c>
      <c r="J889" s="9"/>
      <c r="K889" s="11"/>
      <c r="L889" s="9"/>
      <c r="M889" s="11"/>
      <c r="N889" s="9" t="s">
        <v>1012</v>
      </c>
    </row>
    <row r="890" ht="25" customHeight="1" spans="1:14">
      <c r="A890" s="9" t="s">
        <v>477</v>
      </c>
      <c r="B890" s="9" t="s">
        <v>476</v>
      </c>
      <c r="C890" s="10">
        <v>45992</v>
      </c>
      <c r="D890" s="15">
        <v>1.0375</v>
      </c>
      <c r="E890" s="15">
        <v>1.0375</v>
      </c>
      <c r="F890" s="15">
        <v>1.0375</v>
      </c>
      <c r="G890" s="11">
        <v>0.0002</v>
      </c>
      <c r="H890" s="9">
        <f>MAX($F$862:F890)</f>
        <v>1.0375</v>
      </c>
      <c r="I890" s="11">
        <f t="shared" si="20"/>
        <v>0</v>
      </c>
      <c r="J890" s="9"/>
      <c r="K890" s="11"/>
      <c r="L890" s="9"/>
      <c r="M890" s="11"/>
      <c r="N890" s="9" t="s">
        <v>1012</v>
      </c>
    </row>
    <row r="891" ht="25" customHeight="1" spans="1:14">
      <c r="A891" s="9" t="s">
        <v>477</v>
      </c>
      <c r="B891" s="9" t="s">
        <v>476</v>
      </c>
      <c r="C891" s="10">
        <v>45993</v>
      </c>
      <c r="D891" s="15">
        <v>1.0372</v>
      </c>
      <c r="E891" s="15">
        <v>1.0372</v>
      </c>
      <c r="F891" s="15">
        <v>1.0372</v>
      </c>
      <c r="G891" s="11">
        <v>-0.0003</v>
      </c>
      <c r="H891" s="9">
        <f>MAX($F$862:F891)</f>
        <v>1.0375</v>
      </c>
      <c r="I891" s="11">
        <f t="shared" si="20"/>
        <v>0.000289156626506193</v>
      </c>
      <c r="J891" s="9"/>
      <c r="K891" s="11"/>
      <c r="L891" s="9"/>
      <c r="M891" s="11"/>
      <c r="N891" s="9" t="s">
        <v>1012</v>
      </c>
    </row>
    <row r="892" ht="25" customHeight="1" spans="1:14">
      <c r="A892" s="9" t="s">
        <v>477</v>
      </c>
      <c r="B892" s="9" t="s">
        <v>476</v>
      </c>
      <c r="C892" s="10">
        <v>45994</v>
      </c>
      <c r="D892" s="15">
        <v>1.0369</v>
      </c>
      <c r="E892" s="15">
        <v>1.0369</v>
      </c>
      <c r="F892" s="15">
        <v>1.0369</v>
      </c>
      <c r="G892" s="11">
        <v>-0.0003</v>
      </c>
      <c r="H892" s="9">
        <f>MAX($F$862:F892)</f>
        <v>1.0375</v>
      </c>
      <c r="I892" s="11">
        <f t="shared" si="20"/>
        <v>0.000578313253012164</v>
      </c>
      <c r="J892" s="9"/>
      <c r="K892" s="11"/>
      <c r="L892" s="9"/>
      <c r="M892" s="11"/>
      <c r="N892" s="9" t="s">
        <v>1012</v>
      </c>
    </row>
    <row r="893" ht="25" customHeight="1" spans="1:14">
      <c r="A893" s="9" t="s">
        <v>477</v>
      </c>
      <c r="B893" s="9" t="s">
        <v>476</v>
      </c>
      <c r="C893" s="10">
        <v>45995</v>
      </c>
      <c r="D893" s="15">
        <v>1.0369</v>
      </c>
      <c r="E893" s="15">
        <v>1.0369</v>
      </c>
      <c r="F893" s="15">
        <v>1.0369</v>
      </c>
      <c r="G893" s="11">
        <v>0</v>
      </c>
      <c r="H893" s="9">
        <f>MAX($F$862:F893)</f>
        <v>1.0375</v>
      </c>
      <c r="I893" s="11">
        <f t="shared" si="20"/>
        <v>0.000578313253012164</v>
      </c>
      <c r="J893" s="9"/>
      <c r="K893" s="11"/>
      <c r="L893" s="9"/>
      <c r="M893" s="11"/>
      <c r="N893" s="9" t="s">
        <v>1012</v>
      </c>
    </row>
    <row r="894" ht="25" customHeight="1" spans="1:14">
      <c r="A894" s="9" t="s">
        <v>477</v>
      </c>
      <c r="B894" s="9" t="s">
        <v>476</v>
      </c>
      <c r="C894" s="10">
        <v>45996</v>
      </c>
      <c r="D894" s="15">
        <v>1.0365</v>
      </c>
      <c r="E894" s="15">
        <v>1.0365</v>
      </c>
      <c r="F894" s="15">
        <v>1.0365</v>
      </c>
      <c r="G894" s="11">
        <v>-0.0004</v>
      </c>
      <c r="H894" s="9">
        <f>MAX($F$862:F894)</f>
        <v>1.0375</v>
      </c>
      <c r="I894" s="11">
        <f t="shared" si="20"/>
        <v>0.000963855421686866</v>
      </c>
      <c r="J894" s="9"/>
      <c r="K894" s="11"/>
      <c r="L894" s="9"/>
      <c r="M894" s="11"/>
      <c r="N894" s="9" t="s">
        <v>1012</v>
      </c>
    </row>
    <row r="895" ht="25" customHeight="1" spans="1:14">
      <c r="A895" s="9" t="s">
        <v>477</v>
      </c>
      <c r="B895" s="9" t="s">
        <v>476</v>
      </c>
      <c r="C895" s="10">
        <v>45999</v>
      </c>
      <c r="D895" s="15">
        <v>1.0367</v>
      </c>
      <c r="E895" s="15">
        <v>1.0367</v>
      </c>
      <c r="F895" s="15">
        <v>1.0367</v>
      </c>
      <c r="G895" s="11">
        <v>0.0002</v>
      </c>
      <c r="H895" s="9">
        <f>MAX($F$862:F895)</f>
        <v>1.0375</v>
      </c>
      <c r="I895" s="11">
        <f t="shared" si="20"/>
        <v>0.000771084337349515</v>
      </c>
      <c r="J895" s="9"/>
      <c r="K895" s="11"/>
      <c r="L895" s="9"/>
      <c r="M895" s="11"/>
      <c r="N895" s="9" t="s">
        <v>1012</v>
      </c>
    </row>
    <row r="896" ht="25" customHeight="1" spans="1:14">
      <c r="A896" s="9" t="s">
        <v>477</v>
      </c>
      <c r="B896" s="9" t="s">
        <v>476</v>
      </c>
      <c r="C896" s="10">
        <v>46000</v>
      </c>
      <c r="D896" s="15">
        <v>1.0366</v>
      </c>
      <c r="E896" s="15">
        <v>1.0366</v>
      </c>
      <c r="F896" s="15">
        <v>1.0366</v>
      </c>
      <c r="G896" s="11">
        <v>-0.0001</v>
      </c>
      <c r="H896" s="9">
        <f>MAX($F$862:F896)</f>
        <v>1.0375</v>
      </c>
      <c r="I896" s="11">
        <f t="shared" si="20"/>
        <v>0.000867469879518246</v>
      </c>
      <c r="J896" s="9"/>
      <c r="K896" s="11"/>
      <c r="L896" s="9"/>
      <c r="M896" s="11"/>
      <c r="N896" s="9" t="s">
        <v>1012</v>
      </c>
    </row>
    <row r="897" ht="25" customHeight="1" spans="1:14">
      <c r="A897" s="9" t="s">
        <v>477</v>
      </c>
      <c r="B897" s="9" t="s">
        <v>476</v>
      </c>
      <c r="C897" s="10">
        <v>46001</v>
      </c>
      <c r="D897" s="15">
        <v>1.0361</v>
      </c>
      <c r="E897" s="15">
        <v>1.0361</v>
      </c>
      <c r="F897" s="15">
        <v>1.0361</v>
      </c>
      <c r="G897" s="11">
        <v>-0.0005</v>
      </c>
      <c r="H897" s="9">
        <f>MAX($F$862:F897)</f>
        <v>1.0375</v>
      </c>
      <c r="I897" s="11">
        <f t="shared" si="20"/>
        <v>0.00134939759036146</v>
      </c>
      <c r="J897" s="9"/>
      <c r="K897" s="11"/>
      <c r="L897" s="9"/>
      <c r="M897" s="11"/>
      <c r="N897" s="9" t="s">
        <v>1012</v>
      </c>
    </row>
    <row r="898" ht="25" customHeight="1" spans="1:14">
      <c r="A898" s="9" t="s">
        <v>477</v>
      </c>
      <c r="B898" s="9" t="s">
        <v>476</v>
      </c>
      <c r="C898" s="10">
        <v>46002</v>
      </c>
      <c r="D898" s="15">
        <v>1.0359</v>
      </c>
      <c r="E898" s="15">
        <v>1.0359</v>
      </c>
      <c r="F898" s="15">
        <v>1.0359</v>
      </c>
      <c r="G898" s="11">
        <v>-0.0002</v>
      </c>
      <c r="H898" s="9">
        <f>MAX($F$862:F898)</f>
        <v>1.0375</v>
      </c>
      <c r="I898" s="11">
        <f t="shared" ref="I898:I961" si="21">1-F898/H898</f>
        <v>0.00154216867469881</v>
      </c>
      <c r="J898" s="9"/>
      <c r="K898" s="11"/>
      <c r="L898" s="9"/>
      <c r="M898" s="11"/>
      <c r="N898" s="9" t="s">
        <v>1012</v>
      </c>
    </row>
    <row r="899" ht="25" customHeight="1" spans="1:14">
      <c r="A899" s="9" t="s">
        <v>477</v>
      </c>
      <c r="B899" s="9" t="s">
        <v>476</v>
      </c>
      <c r="C899" s="10">
        <v>46003</v>
      </c>
      <c r="D899" s="15">
        <v>1.0361</v>
      </c>
      <c r="E899" s="15">
        <v>1.0361</v>
      </c>
      <c r="F899" s="15">
        <v>1.0361</v>
      </c>
      <c r="G899" s="11">
        <v>0.0002</v>
      </c>
      <c r="H899" s="9">
        <f>MAX($F$862:F899)</f>
        <v>1.0375</v>
      </c>
      <c r="I899" s="11">
        <f t="shared" si="21"/>
        <v>0.00134939759036146</v>
      </c>
      <c r="J899" s="9"/>
      <c r="K899" s="11"/>
      <c r="L899" s="9"/>
      <c r="M899" s="11"/>
      <c r="N899" s="9" t="s">
        <v>1012</v>
      </c>
    </row>
    <row r="900" ht="25" customHeight="1" spans="1:14">
      <c r="A900" s="9" t="s">
        <v>477</v>
      </c>
      <c r="B900" s="9" t="s">
        <v>476</v>
      </c>
      <c r="C900" s="10">
        <v>46006</v>
      </c>
      <c r="D900" s="15">
        <v>1.0364</v>
      </c>
      <c r="E900" s="15">
        <v>1.0364</v>
      </c>
      <c r="F900" s="15">
        <v>1.0364</v>
      </c>
      <c r="G900" s="11">
        <v>0.0003</v>
      </c>
      <c r="H900" s="9">
        <f>MAX($F$862:F900)</f>
        <v>1.0375</v>
      </c>
      <c r="I900" s="11">
        <f t="shared" si="21"/>
        <v>0.00106024096385549</v>
      </c>
      <c r="J900" s="9"/>
      <c r="K900" s="11"/>
      <c r="L900" s="9"/>
      <c r="M900" s="11"/>
      <c r="N900" s="9" t="s">
        <v>1012</v>
      </c>
    </row>
    <row r="901" ht="25" customHeight="1" spans="1:14">
      <c r="A901" s="9" t="s">
        <v>477</v>
      </c>
      <c r="B901" s="9" t="s">
        <v>476</v>
      </c>
      <c r="C901" s="10">
        <v>46007</v>
      </c>
      <c r="D901" s="15">
        <v>1.0366</v>
      </c>
      <c r="E901" s="15">
        <v>1.0366</v>
      </c>
      <c r="F901" s="15">
        <v>1.0366</v>
      </c>
      <c r="G901" s="11">
        <v>0.0002</v>
      </c>
      <c r="H901" s="9">
        <f>MAX($F$862:F901)</f>
        <v>1.0375</v>
      </c>
      <c r="I901" s="11">
        <f t="shared" si="21"/>
        <v>0.000867469879518246</v>
      </c>
      <c r="J901" s="9"/>
      <c r="K901" s="11"/>
      <c r="L901" s="9"/>
      <c r="M901" s="11"/>
      <c r="N901" s="9" t="s">
        <v>1012</v>
      </c>
    </row>
    <row r="902" ht="25" customHeight="1" spans="1:14">
      <c r="A902" s="9" t="s">
        <v>477</v>
      </c>
      <c r="B902" s="9" t="s">
        <v>476</v>
      </c>
      <c r="C902" s="10">
        <v>46008</v>
      </c>
      <c r="D902" s="15">
        <v>1.0368</v>
      </c>
      <c r="E902" s="15">
        <v>1.0368</v>
      </c>
      <c r="F902" s="15">
        <v>1.0368</v>
      </c>
      <c r="G902" s="11">
        <v>0.0002</v>
      </c>
      <c r="H902" s="9">
        <f>MAX($F$862:F902)</f>
        <v>1.0375</v>
      </c>
      <c r="I902" s="11">
        <f t="shared" si="21"/>
        <v>0.000674698795180895</v>
      </c>
      <c r="J902" s="9"/>
      <c r="K902" s="11"/>
      <c r="L902" s="9"/>
      <c r="M902" s="11"/>
      <c r="N902" s="9" t="s">
        <v>1012</v>
      </c>
    </row>
    <row r="903" ht="25" customHeight="1" spans="1:14">
      <c r="A903" s="9" t="s">
        <v>477</v>
      </c>
      <c r="B903" s="9" t="s">
        <v>476</v>
      </c>
      <c r="C903" s="10">
        <v>46009</v>
      </c>
      <c r="D903" s="15">
        <v>1.0368</v>
      </c>
      <c r="E903" s="15">
        <v>1.0368</v>
      </c>
      <c r="F903" s="15">
        <v>1.0368</v>
      </c>
      <c r="G903" s="11">
        <v>0</v>
      </c>
      <c r="H903" s="9">
        <f>MAX($F$862:F903)</f>
        <v>1.0375</v>
      </c>
      <c r="I903" s="11">
        <f t="shared" si="21"/>
        <v>0.000674698795180895</v>
      </c>
      <c r="J903" s="9"/>
      <c r="K903" s="11"/>
      <c r="L903" s="9"/>
      <c r="M903" s="11"/>
      <c r="N903" s="9" t="s">
        <v>1012</v>
      </c>
    </row>
    <row r="904" ht="25" customHeight="1" spans="1:14">
      <c r="A904" s="9" t="s">
        <v>477</v>
      </c>
      <c r="B904" s="9" t="s">
        <v>476</v>
      </c>
      <c r="C904" s="10">
        <v>46010</v>
      </c>
      <c r="D904" s="15">
        <v>1.0365</v>
      </c>
      <c r="E904" s="15">
        <v>1.0365</v>
      </c>
      <c r="F904" s="15">
        <v>1.0365</v>
      </c>
      <c r="G904" s="11">
        <v>-0.0003</v>
      </c>
      <c r="H904" s="9">
        <f>MAX($F$862:F904)</f>
        <v>1.0375</v>
      </c>
      <c r="I904" s="11">
        <f t="shared" si="21"/>
        <v>0.000963855421686866</v>
      </c>
      <c r="J904" s="9"/>
      <c r="K904" s="11"/>
      <c r="L904" s="9"/>
      <c r="M904" s="11"/>
      <c r="N904" s="9" t="s">
        <v>1012</v>
      </c>
    </row>
    <row r="905" ht="25" customHeight="1" spans="1:14">
      <c r="A905" s="9" t="s">
        <v>477</v>
      </c>
      <c r="B905" s="9" t="s">
        <v>476</v>
      </c>
      <c r="C905" s="10">
        <v>46013</v>
      </c>
      <c r="D905" s="15">
        <v>1.0375</v>
      </c>
      <c r="E905" s="15">
        <v>1.0375</v>
      </c>
      <c r="F905" s="15">
        <v>1.0375</v>
      </c>
      <c r="G905" s="11">
        <v>0.001</v>
      </c>
      <c r="H905" s="9">
        <f>MAX($F$862:F905)</f>
        <v>1.0375</v>
      </c>
      <c r="I905" s="11">
        <f t="shared" si="21"/>
        <v>0</v>
      </c>
      <c r="J905" s="9"/>
      <c r="K905" s="11"/>
      <c r="L905" s="9"/>
      <c r="M905" s="11"/>
      <c r="N905" s="9" t="s">
        <v>1012</v>
      </c>
    </row>
    <row r="906" ht="25" customHeight="1" spans="1:14">
      <c r="A906" s="9" t="s">
        <v>477</v>
      </c>
      <c r="B906" s="9" t="s">
        <v>476</v>
      </c>
      <c r="C906" s="10">
        <v>46014</v>
      </c>
      <c r="D906" s="15">
        <v>1.0372</v>
      </c>
      <c r="E906" s="15">
        <v>1.0372</v>
      </c>
      <c r="F906" s="15">
        <v>1.0372</v>
      </c>
      <c r="G906" s="11">
        <v>-0.0003</v>
      </c>
      <c r="H906" s="9">
        <f>MAX($F$862:F906)</f>
        <v>1.0375</v>
      </c>
      <c r="I906" s="11">
        <f t="shared" si="21"/>
        <v>0.000289156626506193</v>
      </c>
      <c r="J906" s="9"/>
      <c r="K906" s="11"/>
      <c r="L906" s="9"/>
      <c r="M906" s="11"/>
      <c r="N906" s="9" t="s">
        <v>1012</v>
      </c>
    </row>
    <row r="907" ht="25" customHeight="1" spans="1:14">
      <c r="A907" s="9" t="s">
        <v>477</v>
      </c>
      <c r="B907" s="9" t="s">
        <v>476</v>
      </c>
      <c r="C907" s="10">
        <v>46015</v>
      </c>
      <c r="D907" s="15">
        <v>1.0376</v>
      </c>
      <c r="E907" s="15">
        <v>1.0376</v>
      </c>
      <c r="F907" s="15">
        <v>1.0376</v>
      </c>
      <c r="G907" s="11">
        <v>0.0004</v>
      </c>
      <c r="H907" s="9">
        <f>MAX($F$862:F907)</f>
        <v>1.0376</v>
      </c>
      <c r="I907" s="11">
        <f t="shared" si="21"/>
        <v>0</v>
      </c>
      <c r="J907" s="9"/>
      <c r="K907" s="11"/>
      <c r="L907" s="9"/>
      <c r="M907" s="11"/>
      <c r="N907" s="9" t="s">
        <v>1012</v>
      </c>
    </row>
    <row r="908" ht="25" customHeight="1" spans="1:14">
      <c r="A908" s="9" t="s">
        <v>477</v>
      </c>
      <c r="B908" s="9" t="s">
        <v>476</v>
      </c>
      <c r="C908" s="10">
        <v>46016</v>
      </c>
      <c r="D908" s="15">
        <v>1.038</v>
      </c>
      <c r="E908" s="15">
        <v>1.038</v>
      </c>
      <c r="F908" s="15">
        <v>1.038</v>
      </c>
      <c r="G908" s="11">
        <v>0.0004</v>
      </c>
      <c r="H908" s="9">
        <f>MAX($F$862:F908)</f>
        <v>1.038</v>
      </c>
      <c r="I908" s="11">
        <f t="shared" si="21"/>
        <v>0</v>
      </c>
      <c r="J908" s="9"/>
      <c r="K908" s="11"/>
      <c r="L908" s="9"/>
      <c r="M908" s="11"/>
      <c r="N908" s="9" t="s">
        <v>1012</v>
      </c>
    </row>
    <row r="909" ht="25" customHeight="1" spans="1:14">
      <c r="A909" s="9" t="s">
        <v>477</v>
      </c>
      <c r="B909" s="9" t="s">
        <v>476</v>
      </c>
      <c r="C909" s="10">
        <v>46017</v>
      </c>
      <c r="D909" s="15">
        <v>1.0395</v>
      </c>
      <c r="E909" s="15">
        <v>1.0395</v>
      </c>
      <c r="F909" s="15">
        <v>1.0395</v>
      </c>
      <c r="G909" s="11">
        <v>0.0014</v>
      </c>
      <c r="H909" s="9">
        <f>MAX($F$862:F909)</f>
        <v>1.0395</v>
      </c>
      <c r="I909" s="11">
        <f t="shared" si="21"/>
        <v>0</v>
      </c>
      <c r="J909" s="9"/>
      <c r="K909" s="11"/>
      <c r="L909" s="9"/>
      <c r="M909" s="11"/>
      <c r="N909" s="9" t="s">
        <v>1012</v>
      </c>
    </row>
    <row r="910" ht="25" customHeight="1" spans="1:14">
      <c r="A910" s="9" t="s">
        <v>477</v>
      </c>
      <c r="B910" s="9" t="s">
        <v>476</v>
      </c>
      <c r="C910" s="10">
        <v>46020</v>
      </c>
      <c r="D910" s="15">
        <v>1.0395</v>
      </c>
      <c r="E910" s="15">
        <v>1.0395</v>
      </c>
      <c r="F910" s="15">
        <v>1.0395</v>
      </c>
      <c r="G910" s="11">
        <v>0</v>
      </c>
      <c r="H910" s="9">
        <f>MAX($F$862:F910)</f>
        <v>1.0395</v>
      </c>
      <c r="I910" s="11">
        <f t="shared" si="21"/>
        <v>0</v>
      </c>
      <c r="J910" s="9"/>
      <c r="K910" s="11"/>
      <c r="L910" s="9"/>
      <c r="M910" s="11"/>
      <c r="N910" s="9" t="s">
        <v>1012</v>
      </c>
    </row>
    <row r="911" ht="25" customHeight="1" spans="1:14">
      <c r="A911" s="9" t="s">
        <v>477</v>
      </c>
      <c r="B911" s="9" t="s">
        <v>476</v>
      </c>
      <c r="C911" s="10">
        <v>46021</v>
      </c>
      <c r="D911" s="15">
        <v>1.0395</v>
      </c>
      <c r="E911" s="15">
        <v>1.0395</v>
      </c>
      <c r="F911" s="15">
        <v>1.0395</v>
      </c>
      <c r="G911" s="11">
        <v>0</v>
      </c>
      <c r="H911" s="9">
        <f>MAX($F$862:F911)</f>
        <v>1.0395</v>
      </c>
      <c r="I911" s="11">
        <f t="shared" si="21"/>
        <v>0</v>
      </c>
      <c r="J911" s="9"/>
      <c r="K911" s="11"/>
      <c r="L911" s="9"/>
      <c r="M911" s="11"/>
      <c r="N911" s="9" t="s">
        <v>1012</v>
      </c>
    </row>
    <row r="912" ht="25" customHeight="1" spans="1:14">
      <c r="A912" s="9" t="s">
        <v>477</v>
      </c>
      <c r="B912" s="9" t="s">
        <v>476</v>
      </c>
      <c r="C912" s="10">
        <v>46022</v>
      </c>
      <c r="D912" s="15">
        <v>1.0391</v>
      </c>
      <c r="E912" s="15">
        <v>1.0391</v>
      </c>
      <c r="F912" s="15">
        <v>1.0391</v>
      </c>
      <c r="G912" s="11">
        <v>-0.0004</v>
      </c>
      <c r="H912" s="9">
        <f>MAX($F$862:F912)</f>
        <v>1.0395</v>
      </c>
      <c r="I912" s="11">
        <f t="shared" si="21"/>
        <v>0.000384800384800599</v>
      </c>
      <c r="J912" s="9"/>
      <c r="K912" s="11"/>
      <c r="L912" s="9"/>
      <c r="M912" s="11"/>
      <c r="N912" s="9" t="s">
        <v>1012</v>
      </c>
    </row>
    <row r="913" ht="25" customHeight="1" spans="1:14">
      <c r="A913" s="9" t="s">
        <v>477</v>
      </c>
      <c r="B913" s="9" t="s">
        <v>476</v>
      </c>
      <c r="C913" s="10">
        <v>46027</v>
      </c>
      <c r="D913" s="15">
        <v>1.0397</v>
      </c>
      <c r="E913" s="15">
        <v>1.0397</v>
      </c>
      <c r="F913" s="15">
        <v>1.0397</v>
      </c>
      <c r="G913" s="11">
        <v>0.0006</v>
      </c>
      <c r="H913" s="9">
        <f>MAX($F$862:F913)</f>
        <v>1.0397</v>
      </c>
      <c r="I913" s="11">
        <f t="shared" si="21"/>
        <v>0</v>
      </c>
      <c r="J913" s="9"/>
      <c r="K913" s="11"/>
      <c r="L913" s="9"/>
      <c r="M913" s="11"/>
      <c r="N913" s="9" t="s">
        <v>1012</v>
      </c>
    </row>
    <row r="914" ht="25" customHeight="1" spans="1:14">
      <c r="A914" s="9" t="s">
        <v>477</v>
      </c>
      <c r="B914" s="9" t="s">
        <v>476</v>
      </c>
      <c r="C914" s="10">
        <v>46028</v>
      </c>
      <c r="D914" s="15">
        <v>1.0398</v>
      </c>
      <c r="E914" s="15">
        <v>1.0398</v>
      </c>
      <c r="F914" s="15">
        <v>1.0398</v>
      </c>
      <c r="G914" s="11">
        <v>0.0001</v>
      </c>
      <c r="H914" s="9">
        <f>MAX($F$862:F914)</f>
        <v>1.0398</v>
      </c>
      <c r="I914" s="11">
        <f t="shared" si="21"/>
        <v>0</v>
      </c>
      <c r="J914" s="9"/>
      <c r="K914" s="11"/>
      <c r="L914" s="9"/>
      <c r="M914" s="11"/>
      <c r="N914" s="9" t="s">
        <v>1012</v>
      </c>
    </row>
    <row r="915" ht="25" customHeight="1" spans="1:14">
      <c r="A915" s="9" t="s">
        <v>477</v>
      </c>
      <c r="B915" s="9" t="s">
        <v>476</v>
      </c>
      <c r="C915" s="10">
        <v>46029</v>
      </c>
      <c r="D915" s="15">
        <v>1.0399</v>
      </c>
      <c r="E915" s="15">
        <v>1.0399</v>
      </c>
      <c r="F915" s="15">
        <v>1.0399</v>
      </c>
      <c r="G915" s="11">
        <v>0.0001</v>
      </c>
      <c r="H915" s="9">
        <f>MAX($F$862:F915)</f>
        <v>1.0399</v>
      </c>
      <c r="I915" s="11">
        <f t="shared" si="21"/>
        <v>0</v>
      </c>
      <c r="J915" s="9"/>
      <c r="K915" s="11"/>
      <c r="L915" s="9"/>
      <c r="M915" s="11"/>
      <c r="N915" s="9" t="s">
        <v>1012</v>
      </c>
    </row>
    <row r="916" ht="25" customHeight="1" spans="1:14">
      <c r="A916" s="9" t="s">
        <v>477</v>
      </c>
      <c r="B916" s="9" t="s">
        <v>476</v>
      </c>
      <c r="C916" s="10">
        <v>46030</v>
      </c>
      <c r="D916" s="15">
        <v>1.0397</v>
      </c>
      <c r="E916" s="15">
        <v>1.0397</v>
      </c>
      <c r="F916" s="15">
        <v>1.0397</v>
      </c>
      <c r="G916" s="11">
        <v>-0.0002</v>
      </c>
      <c r="H916" s="9">
        <f>MAX($F$862:F916)</f>
        <v>1.0399</v>
      </c>
      <c r="I916" s="11">
        <f t="shared" si="21"/>
        <v>0.000192326185210145</v>
      </c>
      <c r="J916" s="9"/>
      <c r="K916" s="11"/>
      <c r="L916" s="9"/>
      <c r="M916" s="11"/>
      <c r="N916" s="9" t="s">
        <v>1012</v>
      </c>
    </row>
    <row r="917" ht="25" customHeight="1" spans="1:14">
      <c r="A917" s="9" t="s">
        <v>477</v>
      </c>
      <c r="B917" s="9" t="s">
        <v>476</v>
      </c>
      <c r="C917" s="10">
        <v>46031</v>
      </c>
      <c r="D917" s="15">
        <v>1.0398</v>
      </c>
      <c r="E917" s="15">
        <v>1.0398</v>
      </c>
      <c r="F917" s="15">
        <v>1.0398</v>
      </c>
      <c r="G917" s="11">
        <v>0.0001</v>
      </c>
      <c r="H917" s="9">
        <f>MAX($F$862:F917)</f>
        <v>1.0399</v>
      </c>
      <c r="I917" s="11">
        <f t="shared" si="21"/>
        <v>9.61630926050727e-5</v>
      </c>
      <c r="J917" s="9"/>
      <c r="K917" s="11"/>
      <c r="L917" s="9"/>
      <c r="M917" s="11"/>
      <c r="N917" s="9" t="s">
        <v>1012</v>
      </c>
    </row>
    <row r="918" ht="25" customHeight="1" spans="1:14">
      <c r="A918" s="9" t="s">
        <v>477</v>
      </c>
      <c r="B918" s="9" t="s">
        <v>476</v>
      </c>
      <c r="C918" s="10">
        <v>46034</v>
      </c>
      <c r="D918" s="15">
        <v>1.0414</v>
      </c>
      <c r="E918" s="15">
        <v>1.0414</v>
      </c>
      <c r="F918" s="15">
        <v>1.0414</v>
      </c>
      <c r="G918" s="11">
        <v>0.0015</v>
      </c>
      <c r="H918" s="9">
        <f>MAX($F$862:F918)</f>
        <v>1.0414</v>
      </c>
      <c r="I918" s="11">
        <f t="shared" si="21"/>
        <v>0</v>
      </c>
      <c r="J918" s="9"/>
      <c r="K918" s="11"/>
      <c r="L918" s="9"/>
      <c r="M918" s="11"/>
      <c r="N918" s="9" t="s">
        <v>1012</v>
      </c>
    </row>
    <row r="919" ht="25" customHeight="1" spans="1:14">
      <c r="A919" s="9" t="s">
        <v>477</v>
      </c>
      <c r="B919" s="9" t="s">
        <v>476</v>
      </c>
      <c r="C919" s="10">
        <v>46035</v>
      </c>
      <c r="D919" s="15">
        <v>1.0425</v>
      </c>
      <c r="E919" s="15">
        <v>1.0425</v>
      </c>
      <c r="F919" s="15">
        <v>1.0425</v>
      </c>
      <c r="G919" s="11">
        <v>0.0011</v>
      </c>
      <c r="H919" s="9">
        <f>MAX($F$862:F919)</f>
        <v>1.0425</v>
      </c>
      <c r="I919" s="11">
        <f t="shared" si="21"/>
        <v>0</v>
      </c>
      <c r="J919" s="9"/>
      <c r="K919" s="11"/>
      <c r="L919" s="9"/>
      <c r="M919" s="11"/>
      <c r="N919" s="9" t="s">
        <v>1012</v>
      </c>
    </row>
    <row r="920" ht="25" customHeight="1" spans="1:14">
      <c r="A920" s="9" t="s">
        <v>477</v>
      </c>
      <c r="B920" s="9" t="s">
        <v>476</v>
      </c>
      <c r="C920" s="10">
        <v>46036</v>
      </c>
      <c r="D920" s="15">
        <v>1.0431</v>
      </c>
      <c r="E920" s="15">
        <v>1.0431</v>
      </c>
      <c r="F920" s="15">
        <v>1.0431</v>
      </c>
      <c r="G920" s="11">
        <v>0.0006</v>
      </c>
      <c r="H920" s="9">
        <f>MAX($F$862:F920)</f>
        <v>1.0431</v>
      </c>
      <c r="I920" s="11">
        <f t="shared" si="21"/>
        <v>0</v>
      </c>
      <c r="J920" s="9"/>
      <c r="K920" s="11"/>
      <c r="L920" s="9"/>
      <c r="M920" s="11"/>
      <c r="N920" s="9" t="s">
        <v>1012</v>
      </c>
    </row>
    <row r="921" ht="25" customHeight="1" spans="1:14">
      <c r="A921" s="9" t="s">
        <v>477</v>
      </c>
      <c r="B921" s="9" t="s">
        <v>476</v>
      </c>
      <c r="C921" s="10">
        <v>46037</v>
      </c>
      <c r="D921" s="15">
        <v>1.0443</v>
      </c>
      <c r="E921" s="15">
        <v>1.0443</v>
      </c>
      <c r="F921" s="15">
        <v>1.0443</v>
      </c>
      <c r="G921" s="11">
        <v>0.0012</v>
      </c>
      <c r="H921" s="9">
        <f>MAX($F$862:F921)</f>
        <v>1.0443</v>
      </c>
      <c r="I921" s="11">
        <f t="shared" si="21"/>
        <v>0</v>
      </c>
      <c r="J921" s="9"/>
      <c r="K921" s="11"/>
      <c r="L921" s="9"/>
      <c r="M921" s="11"/>
      <c r="N921" s="9" t="s">
        <v>1012</v>
      </c>
    </row>
    <row r="922" ht="25" customHeight="1" spans="1:14">
      <c r="A922" s="9" t="s">
        <v>477</v>
      </c>
      <c r="B922" s="9" t="s">
        <v>476</v>
      </c>
      <c r="C922" s="10">
        <v>46038</v>
      </c>
      <c r="D922" s="15">
        <v>1.0454</v>
      </c>
      <c r="E922" s="15">
        <v>1.0454</v>
      </c>
      <c r="F922" s="15">
        <v>1.0454</v>
      </c>
      <c r="G922" s="11">
        <v>0.0011</v>
      </c>
      <c r="H922" s="9">
        <f>MAX($F$862:F922)</f>
        <v>1.0454</v>
      </c>
      <c r="I922" s="11">
        <f t="shared" si="21"/>
        <v>0</v>
      </c>
      <c r="J922" s="9"/>
      <c r="K922" s="11"/>
      <c r="L922" s="9"/>
      <c r="M922" s="11"/>
      <c r="N922" s="9" t="s">
        <v>1012</v>
      </c>
    </row>
    <row r="923" ht="25" customHeight="1" spans="1:14">
      <c r="A923" s="9" t="s">
        <v>477</v>
      </c>
      <c r="B923" s="9" t="s">
        <v>476</v>
      </c>
      <c r="C923" s="10">
        <v>46041</v>
      </c>
      <c r="D923" s="15">
        <v>1.0462</v>
      </c>
      <c r="E923" s="15">
        <v>1.0462</v>
      </c>
      <c r="F923" s="15">
        <v>1.0462</v>
      </c>
      <c r="G923" s="11">
        <v>0.0008</v>
      </c>
      <c r="H923" s="9">
        <f>MAX($F$862:F923)</f>
        <v>1.0462</v>
      </c>
      <c r="I923" s="11">
        <f t="shared" si="21"/>
        <v>0</v>
      </c>
      <c r="J923" s="9"/>
      <c r="K923" s="11"/>
      <c r="L923" s="9"/>
      <c r="M923" s="11"/>
      <c r="N923" s="9" t="s">
        <v>1012</v>
      </c>
    </row>
    <row r="924" ht="25" customHeight="1" spans="1:14">
      <c r="A924" s="9" t="s">
        <v>477</v>
      </c>
      <c r="B924" s="9" t="s">
        <v>476</v>
      </c>
      <c r="C924" s="10">
        <v>46042</v>
      </c>
      <c r="D924" s="15">
        <v>1.0478</v>
      </c>
      <c r="E924" s="15">
        <v>1.0478</v>
      </c>
      <c r="F924" s="15">
        <v>1.0478</v>
      </c>
      <c r="G924" s="11">
        <v>0.0015</v>
      </c>
      <c r="H924" s="9">
        <f>MAX($F$862:F924)</f>
        <v>1.0478</v>
      </c>
      <c r="I924" s="11">
        <f t="shared" si="21"/>
        <v>0</v>
      </c>
      <c r="J924" s="9"/>
      <c r="K924" s="11"/>
      <c r="L924" s="9"/>
      <c r="M924" s="11"/>
      <c r="N924" s="9" t="s">
        <v>1012</v>
      </c>
    </row>
    <row r="925" ht="25" customHeight="1" spans="1:14">
      <c r="A925" s="9" t="s">
        <v>477</v>
      </c>
      <c r="B925" s="9" t="s">
        <v>476</v>
      </c>
      <c r="C925" s="10">
        <v>46043</v>
      </c>
      <c r="D925" s="15">
        <v>1.0493</v>
      </c>
      <c r="E925" s="15">
        <v>1.0493</v>
      </c>
      <c r="F925" s="15">
        <v>1.0493</v>
      </c>
      <c r="G925" s="11">
        <v>0.0014</v>
      </c>
      <c r="H925" s="9">
        <f>MAX($F$862:F925)</f>
        <v>1.0493</v>
      </c>
      <c r="I925" s="11">
        <f t="shared" si="21"/>
        <v>0</v>
      </c>
      <c r="J925" s="9"/>
      <c r="K925" s="11"/>
      <c r="L925" s="9"/>
      <c r="M925" s="11"/>
      <c r="N925" s="9" t="s">
        <v>1012</v>
      </c>
    </row>
    <row r="926" ht="25" customHeight="1" spans="1:14">
      <c r="A926" s="9" t="s">
        <v>477</v>
      </c>
      <c r="B926" s="9" t="s">
        <v>476</v>
      </c>
      <c r="C926" s="10">
        <v>46044</v>
      </c>
      <c r="D926" s="15">
        <v>1.0522</v>
      </c>
      <c r="E926" s="15">
        <v>1.0522</v>
      </c>
      <c r="F926" s="15">
        <v>1.0522</v>
      </c>
      <c r="G926" s="11">
        <v>0.0028</v>
      </c>
      <c r="H926" s="9">
        <f>MAX($F$862:F926)</f>
        <v>1.0522</v>
      </c>
      <c r="I926" s="11">
        <f t="shared" si="21"/>
        <v>0</v>
      </c>
      <c r="J926" s="9"/>
      <c r="K926" s="11"/>
      <c r="L926" s="9"/>
      <c r="M926" s="11"/>
      <c r="N926" s="9" t="s">
        <v>1012</v>
      </c>
    </row>
    <row r="927" ht="25" customHeight="1" spans="1:14">
      <c r="A927" s="9" t="s">
        <v>477</v>
      </c>
      <c r="B927" s="9" t="s">
        <v>476</v>
      </c>
      <c r="C927" s="10">
        <v>46045</v>
      </c>
      <c r="D927" s="15">
        <v>1.054</v>
      </c>
      <c r="E927" s="15">
        <v>1.054</v>
      </c>
      <c r="F927" s="15">
        <v>1.054</v>
      </c>
      <c r="G927" s="11">
        <v>0.0017</v>
      </c>
      <c r="H927" s="9">
        <f>MAX($F$862:F927)</f>
        <v>1.054</v>
      </c>
      <c r="I927" s="11">
        <f t="shared" si="21"/>
        <v>0</v>
      </c>
      <c r="J927" s="9"/>
      <c r="K927" s="11"/>
      <c r="L927" s="9"/>
      <c r="M927" s="11"/>
      <c r="N927" s="9" t="s">
        <v>1012</v>
      </c>
    </row>
    <row r="928" ht="25" customHeight="1" spans="1:14">
      <c r="A928" s="9" t="s">
        <v>477</v>
      </c>
      <c r="B928" s="9" t="s">
        <v>476</v>
      </c>
      <c r="C928" s="10">
        <v>46048</v>
      </c>
      <c r="D928" s="15">
        <v>1.0551</v>
      </c>
      <c r="E928" s="15">
        <v>1.0551</v>
      </c>
      <c r="F928" s="15">
        <v>1.0551</v>
      </c>
      <c r="G928" s="11">
        <v>0.001</v>
      </c>
      <c r="H928" s="9">
        <f>MAX($F$862:F928)</f>
        <v>1.0551</v>
      </c>
      <c r="I928" s="11">
        <f t="shared" si="21"/>
        <v>0</v>
      </c>
      <c r="J928" s="9"/>
      <c r="K928" s="11"/>
      <c r="L928" s="9"/>
      <c r="M928" s="11"/>
      <c r="N928" s="9" t="s">
        <v>1012</v>
      </c>
    </row>
    <row r="929" ht="25" customHeight="1" spans="1:14">
      <c r="A929" s="9" t="s">
        <v>477</v>
      </c>
      <c r="B929" s="9" t="s">
        <v>476</v>
      </c>
      <c r="C929" s="10">
        <v>46049</v>
      </c>
      <c r="D929" s="15">
        <v>1.0569</v>
      </c>
      <c r="E929" s="15">
        <v>1.0569</v>
      </c>
      <c r="F929" s="15">
        <v>1.0569</v>
      </c>
      <c r="G929" s="11">
        <v>0.0017</v>
      </c>
      <c r="H929" s="9">
        <f>MAX($F$862:F929)</f>
        <v>1.0569</v>
      </c>
      <c r="I929" s="11">
        <f t="shared" si="21"/>
        <v>0</v>
      </c>
      <c r="J929" s="9"/>
      <c r="K929" s="11"/>
      <c r="L929" s="9"/>
      <c r="M929" s="11"/>
      <c r="N929" s="9" t="s">
        <v>1012</v>
      </c>
    </row>
    <row r="930" ht="25" customHeight="1" spans="1:14">
      <c r="A930" s="9" t="s">
        <v>477</v>
      </c>
      <c r="B930" s="9" t="s">
        <v>476</v>
      </c>
      <c r="C930" s="10">
        <v>46050</v>
      </c>
      <c r="D930" s="15">
        <v>1.0571</v>
      </c>
      <c r="E930" s="15">
        <v>1.0571</v>
      </c>
      <c r="F930" s="15">
        <v>1.0571</v>
      </c>
      <c r="G930" s="11">
        <v>0.0002</v>
      </c>
      <c r="H930" s="9">
        <f>MAX($F$862:F930)</f>
        <v>1.0571</v>
      </c>
      <c r="I930" s="11">
        <f t="shared" si="21"/>
        <v>0</v>
      </c>
      <c r="J930" s="9"/>
      <c r="K930" s="11"/>
      <c r="L930" s="9"/>
      <c r="M930" s="11"/>
      <c r="N930" s="9" t="s">
        <v>1012</v>
      </c>
    </row>
    <row r="931" ht="25" customHeight="1" spans="1:14">
      <c r="A931" s="9" t="s">
        <v>477</v>
      </c>
      <c r="B931" s="9" t="s">
        <v>476</v>
      </c>
      <c r="C931" s="10">
        <v>46051</v>
      </c>
      <c r="D931" s="15">
        <v>1.0593</v>
      </c>
      <c r="E931" s="15">
        <v>1.0593</v>
      </c>
      <c r="F931" s="15">
        <v>1.0593</v>
      </c>
      <c r="G931" s="11">
        <v>0.0021</v>
      </c>
      <c r="H931" s="9">
        <f>MAX($F$862:F931)</f>
        <v>1.0593</v>
      </c>
      <c r="I931" s="11">
        <f t="shared" si="21"/>
        <v>0</v>
      </c>
      <c r="J931" s="9"/>
      <c r="K931" s="11"/>
      <c r="L931" s="9"/>
      <c r="M931" s="11"/>
      <c r="N931" s="9" t="s">
        <v>1012</v>
      </c>
    </row>
    <row r="932" ht="25" customHeight="1" spans="1:14">
      <c r="A932" s="9" t="s">
        <v>477</v>
      </c>
      <c r="B932" s="9" t="s">
        <v>476</v>
      </c>
      <c r="C932" s="10">
        <v>46052</v>
      </c>
      <c r="D932" s="15">
        <v>1.0608</v>
      </c>
      <c r="E932" s="15">
        <v>1.0608</v>
      </c>
      <c r="F932" s="15">
        <v>1.0608</v>
      </c>
      <c r="G932" s="11">
        <v>0.0014</v>
      </c>
      <c r="H932" s="9">
        <f>MAX($F$862:F932)</f>
        <v>1.0608</v>
      </c>
      <c r="I932" s="11">
        <f t="shared" si="21"/>
        <v>0</v>
      </c>
      <c r="J932" s="9"/>
      <c r="K932" s="11"/>
      <c r="L932" s="9"/>
      <c r="M932" s="11"/>
      <c r="N932" s="9" t="s">
        <v>1012</v>
      </c>
    </row>
    <row r="933" ht="25" customHeight="1" spans="1:14">
      <c r="A933" s="9" t="s">
        <v>477</v>
      </c>
      <c r="B933" s="9" t="s">
        <v>476</v>
      </c>
      <c r="C933" s="10">
        <v>46055</v>
      </c>
      <c r="D933" s="15">
        <v>1.0589</v>
      </c>
      <c r="E933" s="15">
        <v>1.0589</v>
      </c>
      <c r="F933" s="15">
        <v>1.0589</v>
      </c>
      <c r="G933" s="11">
        <v>-0.0018</v>
      </c>
      <c r="H933" s="9">
        <f>MAX($F$862:F933)</f>
        <v>1.0608</v>
      </c>
      <c r="I933" s="11">
        <f t="shared" si="21"/>
        <v>0.00179110105580693</v>
      </c>
      <c r="J933" s="9"/>
      <c r="K933" s="11"/>
      <c r="L933" s="9"/>
      <c r="M933" s="11"/>
      <c r="N933" s="9" t="s">
        <v>1012</v>
      </c>
    </row>
    <row r="934" ht="25" customHeight="1" spans="1:14">
      <c r="A934" s="9" t="s">
        <v>477</v>
      </c>
      <c r="B934" s="9" t="s">
        <v>476</v>
      </c>
      <c r="C934" s="10">
        <v>46056</v>
      </c>
      <c r="D934" s="15">
        <v>1.0597</v>
      </c>
      <c r="E934" s="15">
        <v>1.0597</v>
      </c>
      <c r="F934" s="15">
        <v>1.0597</v>
      </c>
      <c r="G934" s="11">
        <v>0.0008</v>
      </c>
      <c r="H934" s="9">
        <f>MAX($F$862:F934)</f>
        <v>1.0608</v>
      </c>
      <c r="I934" s="11">
        <f t="shared" si="21"/>
        <v>0.00103695324283548</v>
      </c>
      <c r="J934" s="9"/>
      <c r="K934" s="11"/>
      <c r="L934" s="9"/>
      <c r="M934" s="11"/>
      <c r="N934" s="9" t="s">
        <v>1012</v>
      </c>
    </row>
    <row r="935" ht="25" customHeight="1" spans="1:14">
      <c r="A935" s="9" t="s">
        <v>477</v>
      </c>
      <c r="B935" s="9" t="s">
        <v>476</v>
      </c>
      <c r="C935" s="10">
        <v>46057</v>
      </c>
      <c r="D935" s="15">
        <v>1.0606</v>
      </c>
      <c r="E935" s="15">
        <v>1.0606</v>
      </c>
      <c r="F935" s="15">
        <v>1.0606</v>
      </c>
      <c r="G935" s="11">
        <v>0.0008</v>
      </c>
      <c r="H935" s="9">
        <f>MAX($F$862:F935)</f>
        <v>1.0608</v>
      </c>
      <c r="I935" s="11">
        <f t="shared" si="21"/>
        <v>0.000188536953242835</v>
      </c>
      <c r="J935" s="9"/>
      <c r="K935" s="11"/>
      <c r="L935" s="9"/>
      <c r="M935" s="11"/>
      <c r="N935" s="9" t="s">
        <v>1012</v>
      </c>
    </row>
    <row r="936" ht="25" customHeight="1" spans="1:14">
      <c r="A936" s="9" t="s">
        <v>477</v>
      </c>
      <c r="B936" s="9" t="s">
        <v>476</v>
      </c>
      <c r="C936" s="10">
        <v>46058</v>
      </c>
      <c r="D936" s="15">
        <v>1.0672</v>
      </c>
      <c r="E936" s="15">
        <v>1.0672</v>
      </c>
      <c r="F936" s="15">
        <v>1.0672</v>
      </c>
      <c r="G936" s="11">
        <v>0.0062</v>
      </c>
      <c r="H936" s="9">
        <f>MAX($F$862:F936)</f>
        <v>1.0672</v>
      </c>
      <c r="I936" s="11">
        <f t="shared" si="21"/>
        <v>0</v>
      </c>
      <c r="J936" s="9"/>
      <c r="K936" s="11"/>
      <c r="L936" s="9"/>
      <c r="M936" s="11"/>
      <c r="N936" s="9" t="s">
        <v>1012</v>
      </c>
    </row>
    <row r="937" ht="25" customHeight="1" spans="1:14">
      <c r="A937" s="9" t="s">
        <v>477</v>
      </c>
      <c r="B937" s="9" t="s">
        <v>476</v>
      </c>
      <c r="C937" s="10">
        <v>46059</v>
      </c>
      <c r="D937" s="15">
        <v>1.0668</v>
      </c>
      <c r="E937" s="15">
        <v>1.0668</v>
      </c>
      <c r="F937" s="15">
        <v>1.0668</v>
      </c>
      <c r="G937" s="11">
        <v>-0.0004</v>
      </c>
      <c r="H937" s="9">
        <f>MAX($F$862:F937)</f>
        <v>1.0672</v>
      </c>
      <c r="I937" s="11">
        <f t="shared" si="21"/>
        <v>0.000374812593703089</v>
      </c>
      <c r="J937" s="9"/>
      <c r="K937" s="11"/>
      <c r="L937" s="9"/>
      <c r="M937" s="11"/>
      <c r="N937" s="9" t="s">
        <v>1012</v>
      </c>
    </row>
    <row r="938" ht="25" customHeight="1" spans="1:14">
      <c r="A938" s="9" t="s">
        <v>477</v>
      </c>
      <c r="B938" s="9" t="s">
        <v>476</v>
      </c>
      <c r="C938" s="10">
        <v>46062</v>
      </c>
      <c r="D938" s="15">
        <v>1.0676</v>
      </c>
      <c r="E938" s="15">
        <v>1.0676</v>
      </c>
      <c r="F938" s="15">
        <v>1.0676</v>
      </c>
      <c r="G938" s="11">
        <v>0.0007</v>
      </c>
      <c r="H938" s="9">
        <f>MAX($F$862:F938)</f>
        <v>1.0676</v>
      </c>
      <c r="I938" s="11">
        <f t="shared" si="21"/>
        <v>0</v>
      </c>
      <c r="J938" s="9"/>
      <c r="K938" s="11"/>
      <c r="L938" s="9"/>
      <c r="M938" s="11"/>
      <c r="N938" s="9" t="s">
        <v>1012</v>
      </c>
    </row>
    <row r="939" ht="25" customHeight="1" spans="1:14">
      <c r="A939" s="9" t="s">
        <v>477</v>
      </c>
      <c r="B939" s="9" t="s">
        <v>476</v>
      </c>
      <c r="C939" s="10">
        <v>46063</v>
      </c>
      <c r="D939" s="15">
        <v>1.0674</v>
      </c>
      <c r="E939" s="15">
        <v>1.0674</v>
      </c>
      <c r="F939" s="15">
        <v>1.0674</v>
      </c>
      <c r="G939" s="11">
        <v>-0.0002</v>
      </c>
      <c r="H939" s="9">
        <f>MAX($F$862:F939)</f>
        <v>1.0676</v>
      </c>
      <c r="I939" s="11">
        <f t="shared" si="21"/>
        <v>0.000187336080929357</v>
      </c>
      <c r="J939" s="9"/>
      <c r="K939" s="11"/>
      <c r="L939" s="9"/>
      <c r="M939" s="11"/>
      <c r="N939" s="9" t="s">
        <v>1012</v>
      </c>
    </row>
    <row r="940" ht="25" customHeight="1" spans="1:14">
      <c r="A940" s="9" t="s">
        <v>477</v>
      </c>
      <c r="B940" s="9" t="s">
        <v>476</v>
      </c>
      <c r="C940" s="10">
        <v>46064</v>
      </c>
      <c r="D940" s="15">
        <v>1.0681</v>
      </c>
      <c r="E940" s="15">
        <v>1.0681</v>
      </c>
      <c r="F940" s="15">
        <v>1.0681</v>
      </c>
      <c r="G940" s="11">
        <v>0.0007</v>
      </c>
      <c r="H940" s="9">
        <f>MAX($F$862:F940)</f>
        <v>1.0681</v>
      </c>
      <c r="I940" s="11">
        <f t="shared" si="21"/>
        <v>0</v>
      </c>
      <c r="J940" s="9"/>
      <c r="K940" s="11"/>
      <c r="L940" s="9"/>
      <c r="M940" s="11"/>
      <c r="N940" s="9" t="s">
        <v>1012</v>
      </c>
    </row>
    <row r="941" ht="25" customHeight="1" spans="1:14">
      <c r="A941" s="9" t="s">
        <v>477</v>
      </c>
      <c r="B941" s="9" t="s">
        <v>476</v>
      </c>
      <c r="C941" s="10">
        <v>46065</v>
      </c>
      <c r="D941" s="15">
        <v>1.0684</v>
      </c>
      <c r="E941" s="15">
        <v>1.0684</v>
      </c>
      <c r="F941" s="15">
        <v>1.0684</v>
      </c>
      <c r="G941" s="11">
        <v>0.0003</v>
      </c>
      <c r="H941" s="9">
        <f>MAX($F$862:F941)</f>
        <v>1.0684</v>
      </c>
      <c r="I941" s="11">
        <f t="shared" si="21"/>
        <v>0</v>
      </c>
      <c r="J941" s="9"/>
      <c r="K941" s="11"/>
      <c r="L941" s="9"/>
      <c r="M941" s="11"/>
      <c r="N941" s="9" t="s">
        <v>1012</v>
      </c>
    </row>
    <row r="942" ht="25" customHeight="1" spans="1:14">
      <c r="A942" s="9" t="s">
        <v>477</v>
      </c>
      <c r="B942" s="9" t="s">
        <v>476</v>
      </c>
      <c r="C942" s="10">
        <v>46066</v>
      </c>
      <c r="D942" s="15">
        <v>1.0684</v>
      </c>
      <c r="E942" s="15">
        <v>1.0684</v>
      </c>
      <c r="F942" s="15">
        <v>1.0684</v>
      </c>
      <c r="G942" s="11">
        <v>0</v>
      </c>
      <c r="H942" s="9">
        <f>MAX($F$862:F942)</f>
        <v>1.0684</v>
      </c>
      <c r="I942" s="11">
        <f t="shared" si="21"/>
        <v>0</v>
      </c>
      <c r="J942" s="9"/>
      <c r="K942" s="11"/>
      <c r="L942" s="9"/>
      <c r="M942" s="11"/>
      <c r="N942" s="9" t="s">
        <v>1012</v>
      </c>
    </row>
    <row r="943" ht="25" customHeight="1" spans="1:14">
      <c r="A943" s="9" t="s">
        <v>477</v>
      </c>
      <c r="B943" s="9" t="s">
        <v>476</v>
      </c>
      <c r="C943" s="10">
        <v>46077</v>
      </c>
      <c r="D943" s="15">
        <v>1.0678</v>
      </c>
      <c r="E943" s="15">
        <v>1.0678</v>
      </c>
      <c r="F943" s="15">
        <v>1.0678</v>
      </c>
      <c r="G943" s="11">
        <v>-0.0006</v>
      </c>
      <c r="H943" s="9">
        <f>MAX($F$862:F943)</f>
        <v>1.0684</v>
      </c>
      <c r="I943" s="11">
        <f t="shared" si="21"/>
        <v>0.000561587420441767</v>
      </c>
      <c r="J943" s="9"/>
      <c r="K943" s="11"/>
      <c r="L943" s="9"/>
      <c r="M943" s="11"/>
      <c r="N943" s="9" t="s">
        <v>1012</v>
      </c>
    </row>
    <row r="944" ht="25" customHeight="1" spans="1:14">
      <c r="A944" s="9" t="s">
        <v>477</v>
      </c>
      <c r="B944" s="9" t="s">
        <v>476</v>
      </c>
      <c r="C944" s="10">
        <v>46078</v>
      </c>
      <c r="D944" s="15">
        <v>1.068</v>
      </c>
      <c r="E944" s="15">
        <v>1.068</v>
      </c>
      <c r="F944" s="15">
        <v>1.068</v>
      </c>
      <c r="G944" s="11">
        <v>0.0002</v>
      </c>
      <c r="H944" s="9">
        <f>MAX($F$862:F944)</f>
        <v>1.0684</v>
      </c>
      <c r="I944" s="11">
        <f t="shared" si="21"/>
        <v>0.000374391613627845</v>
      </c>
      <c r="J944" s="9"/>
      <c r="K944" s="11"/>
      <c r="L944" s="9"/>
      <c r="M944" s="11"/>
      <c r="N944" s="9" t="s">
        <v>1012</v>
      </c>
    </row>
    <row r="945" ht="25" customHeight="1" spans="1:14">
      <c r="A945" s="9" t="s">
        <v>477</v>
      </c>
      <c r="B945" s="9" t="s">
        <v>476</v>
      </c>
      <c r="C945" s="10">
        <v>46079</v>
      </c>
      <c r="D945" s="15">
        <v>1.0689</v>
      </c>
      <c r="E945" s="15">
        <v>1.0689</v>
      </c>
      <c r="F945" s="15">
        <v>1.0689</v>
      </c>
      <c r="G945" s="11">
        <v>0.0008</v>
      </c>
      <c r="H945" s="9">
        <f>MAX($F$862:F945)</f>
        <v>1.0689</v>
      </c>
      <c r="I945" s="11">
        <f t="shared" si="21"/>
        <v>0</v>
      </c>
      <c r="J945" s="9"/>
      <c r="K945" s="11"/>
      <c r="L945" s="9"/>
      <c r="M945" s="11"/>
      <c r="N945" s="9" t="s">
        <v>1012</v>
      </c>
    </row>
    <row r="946" ht="25" customHeight="1" spans="1:14">
      <c r="A946" s="9" t="s">
        <v>477</v>
      </c>
      <c r="B946" s="9" t="s">
        <v>476</v>
      </c>
      <c r="C946" s="10">
        <v>46080</v>
      </c>
      <c r="D946" s="15">
        <v>1.0719</v>
      </c>
      <c r="E946" s="15">
        <v>1.0719</v>
      </c>
      <c r="F946" s="15">
        <v>1.0719</v>
      </c>
      <c r="G946" s="11">
        <v>0.0028</v>
      </c>
      <c r="H946" s="9">
        <f>MAX($F$862:F946)</f>
        <v>1.0719</v>
      </c>
      <c r="I946" s="11">
        <f t="shared" si="21"/>
        <v>0</v>
      </c>
      <c r="J946" s="9"/>
      <c r="K946" s="11"/>
      <c r="L946" s="9"/>
      <c r="M946" s="11"/>
      <c r="N946" s="9" t="s">
        <v>1012</v>
      </c>
    </row>
    <row r="947" ht="25" customHeight="1" spans="1:14">
      <c r="A947" s="9" t="s">
        <v>477</v>
      </c>
      <c r="B947" s="9" t="s">
        <v>476</v>
      </c>
      <c r="C947" s="10">
        <v>46083</v>
      </c>
      <c r="D947" s="15">
        <v>1.0724</v>
      </c>
      <c r="E947" s="15">
        <v>1.0724</v>
      </c>
      <c r="F947" s="15">
        <v>1.0724</v>
      </c>
      <c r="G947" s="11">
        <v>0.0005</v>
      </c>
      <c r="H947" s="9">
        <f>MAX($F$862:F947)</f>
        <v>1.0724</v>
      </c>
      <c r="I947" s="11">
        <f t="shared" si="21"/>
        <v>0</v>
      </c>
      <c r="J947" s="9"/>
      <c r="K947" s="11"/>
      <c r="L947" s="9"/>
      <c r="M947" s="11"/>
      <c r="N947" s="9" t="s">
        <v>1012</v>
      </c>
    </row>
    <row r="948" ht="25" customHeight="1" spans="1:14">
      <c r="A948" s="9" t="s">
        <v>477</v>
      </c>
      <c r="B948" s="9" t="s">
        <v>476</v>
      </c>
      <c r="C948" s="10">
        <v>46084</v>
      </c>
      <c r="D948" s="15">
        <v>1.0792</v>
      </c>
      <c r="E948" s="15">
        <v>1.0792</v>
      </c>
      <c r="F948" s="15">
        <v>1.0792</v>
      </c>
      <c r="G948" s="11">
        <v>0.0063</v>
      </c>
      <c r="H948" s="9">
        <f>MAX($F$862:F948)</f>
        <v>1.0792</v>
      </c>
      <c r="I948" s="11">
        <f t="shared" si="21"/>
        <v>0</v>
      </c>
      <c r="J948" s="9"/>
      <c r="K948" s="11"/>
      <c r="L948" s="9"/>
      <c r="M948" s="11"/>
      <c r="N948" s="9" t="s">
        <v>1012</v>
      </c>
    </row>
    <row r="949" ht="25" customHeight="1" spans="1:14">
      <c r="A949" s="9" t="s">
        <v>477</v>
      </c>
      <c r="B949" s="9" t="s">
        <v>476</v>
      </c>
      <c r="C949" s="10">
        <v>46085</v>
      </c>
      <c r="D949" s="15">
        <v>1.0779</v>
      </c>
      <c r="E949" s="15">
        <v>1.0779</v>
      </c>
      <c r="F949" s="15">
        <v>1.0779</v>
      </c>
      <c r="G949" s="11">
        <v>-0.0012</v>
      </c>
      <c r="H949" s="9">
        <f>MAX($F$862:F949)</f>
        <v>1.0792</v>
      </c>
      <c r="I949" s="11">
        <f t="shared" si="21"/>
        <v>0.00120459599703471</v>
      </c>
      <c r="J949" s="9"/>
      <c r="K949" s="11"/>
      <c r="L949" s="9"/>
      <c r="M949" s="11"/>
      <c r="N949" s="9" t="s">
        <v>1012</v>
      </c>
    </row>
    <row r="950" ht="25" customHeight="1" spans="1:14">
      <c r="A950" s="9" t="s">
        <v>477</v>
      </c>
      <c r="B950" s="9" t="s">
        <v>476</v>
      </c>
      <c r="C950" s="10">
        <v>46086</v>
      </c>
      <c r="D950" s="15">
        <v>1.0792</v>
      </c>
      <c r="E950" s="15">
        <v>1.0792</v>
      </c>
      <c r="F950" s="15">
        <v>1.0792</v>
      </c>
      <c r="G950" s="11">
        <v>0.0012</v>
      </c>
      <c r="H950" s="9">
        <f>MAX($F$862:F950)</f>
        <v>1.0792</v>
      </c>
      <c r="I950" s="11">
        <f t="shared" si="21"/>
        <v>0</v>
      </c>
      <c r="J950" s="9"/>
      <c r="K950" s="11"/>
      <c r="L950" s="9"/>
      <c r="M950" s="11"/>
      <c r="N950" s="9" t="s">
        <v>1012</v>
      </c>
    </row>
    <row r="951" ht="25" customHeight="1" spans="1:14">
      <c r="A951" s="9" t="s">
        <v>477</v>
      </c>
      <c r="B951" s="9" t="s">
        <v>476</v>
      </c>
      <c r="C951" s="10">
        <v>46087</v>
      </c>
      <c r="D951" s="15">
        <v>1.079</v>
      </c>
      <c r="E951" s="15">
        <v>1.079</v>
      </c>
      <c r="F951" s="15">
        <v>1.079</v>
      </c>
      <c r="G951" s="11">
        <v>-0.0002</v>
      </c>
      <c r="H951" s="9">
        <f>MAX($F$862:F951)</f>
        <v>1.0792</v>
      </c>
      <c r="I951" s="11">
        <f t="shared" si="21"/>
        <v>0.000185322461082271</v>
      </c>
      <c r="J951" s="9"/>
      <c r="K951" s="11"/>
      <c r="L951" s="9"/>
      <c r="M951" s="11"/>
      <c r="N951" s="9" t="s">
        <v>1012</v>
      </c>
    </row>
    <row r="952" ht="25" customHeight="1" spans="1:14">
      <c r="A952" s="9" t="s">
        <v>477</v>
      </c>
      <c r="B952" s="9" t="s">
        <v>476</v>
      </c>
      <c r="C952" s="10">
        <v>46090</v>
      </c>
      <c r="D952" s="15">
        <v>1.0823</v>
      </c>
      <c r="E952" s="15">
        <v>1.0823</v>
      </c>
      <c r="F952" s="15">
        <v>1.0823</v>
      </c>
      <c r="G952" s="11">
        <v>0.0031</v>
      </c>
      <c r="H952" s="9">
        <f>MAX($F$862:F952)</f>
        <v>1.0823</v>
      </c>
      <c r="I952" s="11">
        <f t="shared" si="21"/>
        <v>0</v>
      </c>
      <c r="J952" s="9"/>
      <c r="K952" s="11"/>
      <c r="L952" s="9"/>
      <c r="M952" s="11"/>
      <c r="N952" s="9" t="s">
        <v>1012</v>
      </c>
    </row>
    <row r="953" ht="25" customHeight="1" spans="1:14">
      <c r="A953" s="9" t="s">
        <v>477</v>
      </c>
      <c r="B953" s="9" t="s">
        <v>476</v>
      </c>
      <c r="C953" s="10">
        <v>46091</v>
      </c>
      <c r="D953" s="15">
        <v>1.0831</v>
      </c>
      <c r="E953" s="15">
        <v>1.0831</v>
      </c>
      <c r="F953" s="15">
        <v>1.0831</v>
      </c>
      <c r="G953" s="11">
        <v>0.0007</v>
      </c>
      <c r="H953" s="9">
        <f>MAX($F$862:F953)</f>
        <v>1.0831</v>
      </c>
      <c r="I953" s="11">
        <f t="shared" si="21"/>
        <v>0</v>
      </c>
      <c r="J953" s="9"/>
      <c r="K953" s="11"/>
      <c r="L953" s="9"/>
      <c r="M953" s="11"/>
      <c r="N953" s="9" t="s">
        <v>1012</v>
      </c>
    </row>
    <row r="954" ht="25" customHeight="1" spans="1:14">
      <c r="A954" s="9" t="s">
        <v>477</v>
      </c>
      <c r="B954" s="9" t="s">
        <v>476</v>
      </c>
      <c r="C954" s="10">
        <v>46092</v>
      </c>
      <c r="D954" s="15">
        <v>1.0827</v>
      </c>
      <c r="E954" s="15">
        <v>1.0827</v>
      </c>
      <c r="F954" s="15">
        <v>1.0827</v>
      </c>
      <c r="G954" s="11">
        <v>-0.0004</v>
      </c>
      <c r="H954" s="9">
        <f>MAX($F$862:F954)</f>
        <v>1.0831</v>
      </c>
      <c r="I954" s="11">
        <f t="shared" si="21"/>
        <v>0.000369310312990478</v>
      </c>
      <c r="J954" s="9"/>
      <c r="K954" s="11"/>
      <c r="L954" s="9"/>
      <c r="M954" s="11"/>
      <c r="N954" s="9" t="s">
        <v>1012</v>
      </c>
    </row>
    <row r="955" ht="25" customHeight="1" spans="1:14">
      <c r="A955" s="9" t="s">
        <v>477</v>
      </c>
      <c r="B955" s="9" t="s">
        <v>476</v>
      </c>
      <c r="C955" s="10">
        <v>46093</v>
      </c>
      <c r="D955" s="15">
        <v>1.0831</v>
      </c>
      <c r="E955" s="15">
        <v>1.0831</v>
      </c>
      <c r="F955" s="15">
        <v>1.0831</v>
      </c>
      <c r="G955" s="11">
        <v>0.0004</v>
      </c>
      <c r="H955" s="9">
        <f>MAX($F$862:F955)</f>
        <v>1.0831</v>
      </c>
      <c r="I955" s="11">
        <f t="shared" si="21"/>
        <v>0</v>
      </c>
      <c r="J955" s="9"/>
      <c r="K955" s="11"/>
      <c r="L955" s="9"/>
      <c r="M955" s="11"/>
      <c r="N955" s="9" t="s">
        <v>1012</v>
      </c>
    </row>
    <row r="956" ht="25" customHeight="1" spans="1:14">
      <c r="A956" s="9" t="s">
        <v>477</v>
      </c>
      <c r="B956" s="9" t="s">
        <v>476</v>
      </c>
      <c r="C956" s="10">
        <v>46094</v>
      </c>
      <c r="D956" s="15">
        <v>1.0838</v>
      </c>
      <c r="E956" s="15">
        <v>1.0838</v>
      </c>
      <c r="F956" s="15">
        <v>1.0838</v>
      </c>
      <c r="G956" s="11">
        <v>0.0006</v>
      </c>
      <c r="H956" s="9">
        <f>MAX($F$862:F956)</f>
        <v>1.0838</v>
      </c>
      <c r="I956" s="11">
        <f t="shared" si="21"/>
        <v>0</v>
      </c>
      <c r="J956" s="9"/>
      <c r="K956" s="11"/>
      <c r="L956" s="9"/>
      <c r="M956" s="11"/>
      <c r="N956" s="9" t="s">
        <v>1012</v>
      </c>
    </row>
    <row r="957" ht="25" customHeight="1" spans="1:14">
      <c r="A957" s="9" t="s">
        <v>477</v>
      </c>
      <c r="B957" s="9" t="s">
        <v>476</v>
      </c>
      <c r="C957" s="10">
        <v>46097</v>
      </c>
      <c r="D957" s="15">
        <v>1.0846</v>
      </c>
      <c r="E957" s="15">
        <v>1.0846</v>
      </c>
      <c r="F957" s="15">
        <v>1.0846</v>
      </c>
      <c r="G957" s="11">
        <v>0.0007</v>
      </c>
      <c r="H957" s="9">
        <f>MAX($F$862:F957)</f>
        <v>1.0846</v>
      </c>
      <c r="I957" s="11">
        <f t="shared" si="21"/>
        <v>0</v>
      </c>
      <c r="J957" s="9"/>
      <c r="K957" s="11"/>
      <c r="L957" s="9"/>
      <c r="M957" s="11"/>
      <c r="N957" s="9" t="s">
        <v>1012</v>
      </c>
    </row>
    <row r="958" ht="25" customHeight="1" spans="1:14">
      <c r="A958" s="9" t="s">
        <v>477</v>
      </c>
      <c r="B958" s="9" t="s">
        <v>476</v>
      </c>
      <c r="C958" s="10">
        <v>46098</v>
      </c>
      <c r="D958" s="15">
        <v>1.0865</v>
      </c>
      <c r="E958" s="15">
        <v>1.0865</v>
      </c>
      <c r="F958" s="15">
        <v>1.0865</v>
      </c>
      <c r="G958" s="11">
        <v>0.0018</v>
      </c>
      <c r="H958" s="9">
        <f>MAX($F$862:F958)</f>
        <v>1.0865</v>
      </c>
      <c r="I958" s="11">
        <f t="shared" si="21"/>
        <v>0</v>
      </c>
      <c r="J958" s="9"/>
      <c r="K958" s="11"/>
      <c r="L958" s="9"/>
      <c r="M958" s="11"/>
      <c r="N958" s="9" t="s">
        <v>1012</v>
      </c>
    </row>
    <row r="959" ht="25" customHeight="1" spans="1:14">
      <c r="A959" s="9" t="s">
        <v>477</v>
      </c>
      <c r="B959" s="9" t="s">
        <v>476</v>
      </c>
      <c r="C959" s="10">
        <v>46099</v>
      </c>
      <c r="D959" s="15">
        <v>1.0877</v>
      </c>
      <c r="E959" s="15">
        <v>1.0877</v>
      </c>
      <c r="F959" s="15">
        <v>1.0877</v>
      </c>
      <c r="G959" s="11">
        <v>0.0011</v>
      </c>
      <c r="H959" s="9">
        <f>MAX($F$862:F959)</f>
        <v>1.0877</v>
      </c>
      <c r="I959" s="11">
        <f t="shared" si="21"/>
        <v>0</v>
      </c>
      <c r="J959" s="9"/>
      <c r="K959" s="11"/>
      <c r="L959" s="9"/>
      <c r="M959" s="11"/>
      <c r="N959" s="9" t="s">
        <v>1012</v>
      </c>
    </row>
    <row r="960" ht="25" customHeight="1" spans="1:14">
      <c r="A960" s="9" t="s">
        <v>477</v>
      </c>
      <c r="B960" s="9" t="s">
        <v>476</v>
      </c>
      <c r="C960" s="10">
        <v>46100</v>
      </c>
      <c r="D960" s="15">
        <v>1.089</v>
      </c>
      <c r="E960" s="15">
        <v>1.089</v>
      </c>
      <c r="F960" s="15">
        <v>1.089</v>
      </c>
      <c r="G960" s="11">
        <v>0.0012</v>
      </c>
      <c r="H960" s="9">
        <f>MAX($F$862:F960)</f>
        <v>1.089</v>
      </c>
      <c r="I960" s="11">
        <f t="shared" si="21"/>
        <v>0</v>
      </c>
      <c r="J960" s="9"/>
      <c r="K960" s="11"/>
      <c r="L960" s="9"/>
      <c r="M960" s="11"/>
      <c r="N960" s="9" t="s">
        <v>1012</v>
      </c>
    </row>
    <row r="961" ht="25" customHeight="1" spans="1:14">
      <c r="A961" s="9" t="s">
        <v>477</v>
      </c>
      <c r="B961" s="9" t="s">
        <v>476</v>
      </c>
      <c r="C961" s="10">
        <v>46101</v>
      </c>
      <c r="D961" s="15">
        <v>1.0899</v>
      </c>
      <c r="E961" s="15">
        <v>1.0899</v>
      </c>
      <c r="F961" s="15">
        <v>1.0899</v>
      </c>
      <c r="G961" s="11">
        <v>0.0008</v>
      </c>
      <c r="H961" s="9">
        <f>MAX($F$862:F961)</f>
        <v>1.0899</v>
      </c>
      <c r="I961" s="11">
        <f t="shared" si="21"/>
        <v>0</v>
      </c>
      <c r="J961" s="9"/>
      <c r="K961" s="11"/>
      <c r="L961" s="9"/>
      <c r="M961" s="11"/>
      <c r="N961" s="9" t="s">
        <v>1012</v>
      </c>
    </row>
    <row r="962" ht="25" customHeight="1" spans="1:14">
      <c r="A962" s="9" t="s">
        <v>477</v>
      </c>
      <c r="B962" s="9" t="s">
        <v>476</v>
      </c>
      <c r="C962" s="10">
        <v>46104</v>
      </c>
      <c r="D962" s="15">
        <v>1.0907</v>
      </c>
      <c r="E962" s="15">
        <v>1.0907</v>
      </c>
      <c r="F962" s="15">
        <v>1.0907</v>
      </c>
      <c r="G962" s="11">
        <v>0.0007</v>
      </c>
      <c r="H962" s="9">
        <f>MAX($F$862:F962)</f>
        <v>1.0907</v>
      </c>
      <c r="I962" s="11">
        <f t="shared" ref="I962:I1025" si="22">1-F962/H962</f>
        <v>0</v>
      </c>
      <c r="J962" s="9"/>
      <c r="K962" s="11"/>
      <c r="L962" s="9"/>
      <c r="M962" s="11"/>
      <c r="N962" s="9" t="s">
        <v>1012</v>
      </c>
    </row>
    <row r="963" ht="25" customHeight="1" spans="1:14">
      <c r="A963" s="9" t="s">
        <v>477</v>
      </c>
      <c r="B963" s="9" t="s">
        <v>476</v>
      </c>
      <c r="C963" s="10">
        <v>46105</v>
      </c>
      <c r="D963" s="15">
        <v>1.0908</v>
      </c>
      <c r="E963" s="15">
        <v>1.0908</v>
      </c>
      <c r="F963" s="15">
        <v>1.0908</v>
      </c>
      <c r="G963" s="11">
        <v>0.0001</v>
      </c>
      <c r="H963" s="9">
        <f>MAX($F$862:F963)</f>
        <v>1.0908</v>
      </c>
      <c r="I963" s="11">
        <f t="shared" si="22"/>
        <v>0</v>
      </c>
      <c r="J963" s="9"/>
      <c r="K963" s="11"/>
      <c r="L963" s="9"/>
      <c r="M963" s="11"/>
      <c r="N963" s="9" t="s">
        <v>1012</v>
      </c>
    </row>
    <row r="964" ht="25" customHeight="1" spans="1:14">
      <c r="A964" s="9" t="s">
        <v>477</v>
      </c>
      <c r="B964" s="9" t="s">
        <v>476</v>
      </c>
      <c r="C964" s="10">
        <v>46106</v>
      </c>
      <c r="D964" s="15">
        <v>1.0909</v>
      </c>
      <c r="E964" s="15">
        <v>1.0909</v>
      </c>
      <c r="F964" s="15">
        <v>1.0909</v>
      </c>
      <c r="G964" s="11">
        <v>0.0001</v>
      </c>
      <c r="H964" s="9">
        <f>MAX($F$862:F964)</f>
        <v>1.0909</v>
      </c>
      <c r="I964" s="11">
        <f t="shared" si="22"/>
        <v>0</v>
      </c>
      <c r="J964" s="9"/>
      <c r="K964" s="11"/>
      <c r="L964" s="9"/>
      <c r="M964" s="11"/>
      <c r="N964" s="9" t="s">
        <v>1012</v>
      </c>
    </row>
    <row r="965" ht="25" customHeight="1" spans="1:14">
      <c r="A965" s="9" t="s">
        <v>477</v>
      </c>
      <c r="B965" s="9" t="s">
        <v>476</v>
      </c>
      <c r="C965" s="10">
        <v>46107</v>
      </c>
      <c r="D965" s="15">
        <v>1.0913</v>
      </c>
      <c r="E965" s="15">
        <v>1.0913</v>
      </c>
      <c r="F965" s="15">
        <v>1.0913</v>
      </c>
      <c r="G965" s="11">
        <v>0.0004</v>
      </c>
      <c r="H965" s="9">
        <f>MAX($F$862:F965)</f>
        <v>1.0913</v>
      </c>
      <c r="I965" s="11">
        <f t="shared" si="22"/>
        <v>0</v>
      </c>
      <c r="J965" s="9"/>
      <c r="K965" s="11"/>
      <c r="L965" s="9"/>
      <c r="M965" s="11"/>
      <c r="N965" s="9" t="s">
        <v>1012</v>
      </c>
    </row>
    <row r="966" ht="25" customHeight="1" spans="1:14">
      <c r="A966" s="9" t="s">
        <v>477</v>
      </c>
      <c r="B966" s="9" t="s">
        <v>476</v>
      </c>
      <c r="C966" s="10">
        <v>46108</v>
      </c>
      <c r="D966" s="15">
        <v>1.093</v>
      </c>
      <c r="E966" s="15">
        <v>1.093</v>
      </c>
      <c r="F966" s="15">
        <v>1.093</v>
      </c>
      <c r="G966" s="11">
        <v>0.0016</v>
      </c>
      <c r="H966" s="9">
        <f>MAX($F$862:F966)</f>
        <v>1.093</v>
      </c>
      <c r="I966" s="11">
        <f t="shared" si="22"/>
        <v>0</v>
      </c>
      <c r="J966" s="9"/>
      <c r="K966" s="11"/>
      <c r="L966" s="9"/>
      <c r="M966" s="11"/>
      <c r="N966" s="9" t="s">
        <v>1012</v>
      </c>
    </row>
    <row r="967" ht="25" customHeight="1" spans="1:14">
      <c r="A967" s="9" t="s">
        <v>477</v>
      </c>
      <c r="B967" s="9" t="s">
        <v>476</v>
      </c>
      <c r="C967" s="10">
        <v>46111</v>
      </c>
      <c r="D967" s="15">
        <v>1.0931</v>
      </c>
      <c r="E967" s="15">
        <v>1.0931</v>
      </c>
      <c r="F967" s="15">
        <v>1.0931</v>
      </c>
      <c r="G967" s="11">
        <v>0.0001</v>
      </c>
      <c r="H967" s="9">
        <f>MAX($F$862:F967)</f>
        <v>1.0931</v>
      </c>
      <c r="I967" s="11">
        <f t="shared" si="22"/>
        <v>0</v>
      </c>
      <c r="J967" s="9"/>
      <c r="K967" s="11"/>
      <c r="L967" s="9"/>
      <c r="M967" s="11"/>
      <c r="N967" s="9" t="s">
        <v>1012</v>
      </c>
    </row>
    <row r="968" ht="25" customHeight="1" spans="1:14">
      <c r="A968" s="9" t="s">
        <v>477</v>
      </c>
      <c r="B968" s="9" t="s">
        <v>476</v>
      </c>
      <c r="C968" s="10">
        <v>46112</v>
      </c>
      <c r="D968" s="15">
        <v>1.0934</v>
      </c>
      <c r="E968" s="15">
        <v>1.0934</v>
      </c>
      <c r="F968" s="15">
        <v>1.0934</v>
      </c>
      <c r="G968" s="11">
        <v>0.0003</v>
      </c>
      <c r="H968" s="9">
        <f>MAX($F$862:F968)</f>
        <v>1.0934</v>
      </c>
      <c r="I968" s="11">
        <f t="shared" si="22"/>
        <v>0</v>
      </c>
      <c r="J968" s="9"/>
      <c r="K968" s="11"/>
      <c r="L968" s="9"/>
      <c r="M968" s="11"/>
      <c r="N968" s="9" t="s">
        <v>1012</v>
      </c>
    </row>
    <row r="969" ht="25" customHeight="1" spans="1:14">
      <c r="A969" s="9" t="s">
        <v>477</v>
      </c>
      <c r="B969" s="9" t="s">
        <v>476</v>
      </c>
      <c r="C969" s="10">
        <v>46113</v>
      </c>
      <c r="D969" s="15">
        <v>1.093</v>
      </c>
      <c r="E969" s="15">
        <v>1.093</v>
      </c>
      <c r="F969" s="15">
        <v>1.093</v>
      </c>
      <c r="G969" s="11">
        <v>-0.0004</v>
      </c>
      <c r="H969" s="9">
        <f>MAX($F$862:F969)</f>
        <v>1.0934</v>
      </c>
      <c r="I969" s="11">
        <f t="shared" si="22"/>
        <v>0.000365831351746837</v>
      </c>
      <c r="J969" s="9"/>
      <c r="K969" s="11"/>
      <c r="L969" s="9"/>
      <c r="M969" s="11"/>
      <c r="N969" s="9" t="s">
        <v>1012</v>
      </c>
    </row>
    <row r="970" ht="25" customHeight="1" spans="1:14">
      <c r="A970" s="9" t="s">
        <v>477</v>
      </c>
      <c r="B970" s="9" t="s">
        <v>476</v>
      </c>
      <c r="C970" s="10">
        <v>46114</v>
      </c>
      <c r="D970" s="15">
        <v>1.0922</v>
      </c>
      <c r="E970" s="15">
        <v>1.0922</v>
      </c>
      <c r="F970" s="15">
        <v>1.0922</v>
      </c>
      <c r="G970" s="11">
        <v>-0.0007</v>
      </c>
      <c r="H970" s="9">
        <f>MAX($F$862:F970)</f>
        <v>1.0934</v>
      </c>
      <c r="I970" s="11">
        <f t="shared" si="22"/>
        <v>0.0010974940552404</v>
      </c>
      <c r="J970" s="9"/>
      <c r="K970" s="11"/>
      <c r="L970" s="9"/>
      <c r="M970" s="11"/>
      <c r="N970" s="9" t="s">
        <v>1012</v>
      </c>
    </row>
    <row r="971" ht="25" customHeight="1" spans="1:14">
      <c r="A971" s="9" t="s">
        <v>477</v>
      </c>
      <c r="B971" s="9" t="s">
        <v>476</v>
      </c>
      <c r="C971" s="10">
        <v>46115</v>
      </c>
      <c r="D971" s="15">
        <v>1.0924</v>
      </c>
      <c r="E971" s="15">
        <v>1.0924</v>
      </c>
      <c r="F971" s="15">
        <v>1.0924</v>
      </c>
      <c r="G971" s="11">
        <v>0.0002</v>
      </c>
      <c r="H971" s="9">
        <f>MAX($F$862:F971)</f>
        <v>1.0934</v>
      </c>
      <c r="I971" s="11">
        <f t="shared" si="22"/>
        <v>0.000914578379367037</v>
      </c>
      <c r="J971" s="9"/>
      <c r="K971" s="11"/>
      <c r="L971" s="9"/>
      <c r="M971" s="11"/>
      <c r="N971" s="9" t="s">
        <v>1012</v>
      </c>
    </row>
    <row r="972" ht="25" customHeight="1" spans="1:14">
      <c r="A972" s="9" t="s">
        <v>477</v>
      </c>
      <c r="B972" s="9" t="s">
        <v>476</v>
      </c>
      <c r="C972" s="10">
        <v>46119</v>
      </c>
      <c r="D972" s="15">
        <v>1.0925</v>
      </c>
      <c r="E972" s="15">
        <v>1.0925</v>
      </c>
      <c r="F972" s="15">
        <v>1.0925</v>
      </c>
      <c r="G972" s="11">
        <v>0.0001</v>
      </c>
      <c r="H972" s="9">
        <f>MAX($F$862:F972)</f>
        <v>1.0934</v>
      </c>
      <c r="I972" s="11">
        <f t="shared" si="22"/>
        <v>0.0008231205414303</v>
      </c>
      <c r="J972" s="9"/>
      <c r="K972" s="11"/>
      <c r="L972" s="9"/>
      <c r="M972" s="11"/>
      <c r="N972" s="9" t="s">
        <v>1012</v>
      </c>
    </row>
    <row r="973" ht="25" customHeight="1" spans="1:14">
      <c r="A973" s="9" t="s">
        <v>477</v>
      </c>
      <c r="B973" s="9" t="s">
        <v>476</v>
      </c>
      <c r="C973" s="10">
        <v>46120</v>
      </c>
      <c r="D973" s="15">
        <v>1.0927</v>
      </c>
      <c r="E973" s="15">
        <v>1.0927</v>
      </c>
      <c r="F973" s="15">
        <v>1.0927</v>
      </c>
      <c r="G973" s="11">
        <v>0.0002</v>
      </c>
      <c r="H973" s="9">
        <f>MAX($F$862:F973)</f>
        <v>1.0934</v>
      </c>
      <c r="I973" s="11">
        <f t="shared" si="22"/>
        <v>0.000640204865556937</v>
      </c>
      <c r="J973" s="9"/>
      <c r="K973" s="11"/>
      <c r="L973" s="9"/>
      <c r="M973" s="11"/>
      <c r="N973" s="9" t="s">
        <v>1012</v>
      </c>
    </row>
    <row r="974" ht="25" customHeight="1" spans="1:14">
      <c r="A974" s="9" t="s">
        <v>477</v>
      </c>
      <c r="B974" s="9" t="s">
        <v>476</v>
      </c>
      <c r="C974" s="10">
        <v>46121</v>
      </c>
      <c r="D974" s="15">
        <v>1.0928</v>
      </c>
      <c r="E974" s="15">
        <v>1.0928</v>
      </c>
      <c r="F974" s="15">
        <v>1.0928</v>
      </c>
      <c r="G974" s="11">
        <v>0.0001</v>
      </c>
      <c r="H974" s="9">
        <f>MAX($F$862:F974)</f>
        <v>1.0934</v>
      </c>
      <c r="I974" s="11">
        <f t="shared" si="22"/>
        <v>0.0005487470276202</v>
      </c>
      <c r="J974" s="9"/>
      <c r="K974" s="11"/>
      <c r="L974" s="9"/>
      <c r="M974" s="11"/>
      <c r="N974" s="9" t="s">
        <v>1012</v>
      </c>
    </row>
    <row r="975" ht="25" customHeight="1" spans="1:14">
      <c r="A975" s="9" t="s">
        <v>477</v>
      </c>
      <c r="B975" s="9" t="s">
        <v>476</v>
      </c>
      <c r="C975" s="10">
        <v>46122</v>
      </c>
      <c r="D975" s="15">
        <v>1.0936</v>
      </c>
      <c r="E975" s="15">
        <v>1.0936</v>
      </c>
      <c r="F975" s="15">
        <v>1.0936</v>
      </c>
      <c r="G975" s="11">
        <v>0.0007</v>
      </c>
      <c r="H975" s="9">
        <f>MAX($F$862:F975)</f>
        <v>1.0936</v>
      </c>
      <c r="I975" s="11">
        <f t="shared" si="22"/>
        <v>0</v>
      </c>
      <c r="J975" s="9"/>
      <c r="K975" s="11"/>
      <c r="L975" s="9"/>
      <c r="M975" s="11"/>
      <c r="N975" s="9" t="s">
        <v>1012</v>
      </c>
    </row>
    <row r="976" ht="25" customHeight="1" spans="1:14">
      <c r="A976" s="9" t="s">
        <v>477</v>
      </c>
      <c r="B976" s="9" t="s">
        <v>476</v>
      </c>
      <c r="C976" s="10">
        <v>46125</v>
      </c>
      <c r="D976" s="15">
        <v>1.0932</v>
      </c>
      <c r="E976" s="15">
        <v>1.0932</v>
      </c>
      <c r="F976" s="15">
        <v>1.0932</v>
      </c>
      <c r="G976" s="11">
        <v>-0.0004</v>
      </c>
      <c r="H976" s="9">
        <f>MAX($F$862:F976)</f>
        <v>1.0936</v>
      </c>
      <c r="I976" s="11">
        <f t="shared" si="22"/>
        <v>0.000365764447695649</v>
      </c>
      <c r="J976" s="9"/>
      <c r="K976" s="11"/>
      <c r="L976" s="9"/>
      <c r="M976" s="11"/>
      <c r="N976" s="9" t="s">
        <v>1012</v>
      </c>
    </row>
    <row r="977" ht="25" customHeight="1" spans="1:14">
      <c r="A977" s="9" t="s">
        <v>477</v>
      </c>
      <c r="B977" s="9" t="s">
        <v>476</v>
      </c>
      <c r="C977" s="10">
        <v>46126</v>
      </c>
      <c r="D977" s="15">
        <v>1.0933</v>
      </c>
      <c r="E977" s="15">
        <v>1.0933</v>
      </c>
      <c r="F977" s="15">
        <v>1.0933</v>
      </c>
      <c r="G977" s="11">
        <v>0.0001</v>
      </c>
      <c r="H977" s="9">
        <f>MAX($F$862:F977)</f>
        <v>1.0936</v>
      </c>
      <c r="I977" s="11">
        <f t="shared" si="22"/>
        <v>0.000274323335771709</v>
      </c>
      <c r="J977" s="9"/>
      <c r="K977" s="11"/>
      <c r="L977" s="9"/>
      <c r="M977" s="11"/>
      <c r="N977" s="9" t="s">
        <v>1012</v>
      </c>
    </row>
    <row r="978" ht="25" customHeight="1" spans="1:14">
      <c r="A978" s="9" t="s">
        <v>477</v>
      </c>
      <c r="B978" s="9" t="s">
        <v>476</v>
      </c>
      <c r="C978" s="10">
        <v>46127</v>
      </c>
      <c r="D978" s="15">
        <v>1.0929</v>
      </c>
      <c r="E978" s="15">
        <v>1.0929</v>
      </c>
      <c r="F978" s="15">
        <v>1.0929</v>
      </c>
      <c r="G978" s="11">
        <v>-0.0004</v>
      </c>
      <c r="H978" s="9">
        <f>MAX($F$862:F978)</f>
        <v>1.0936</v>
      </c>
      <c r="I978" s="11">
        <f t="shared" si="22"/>
        <v>0.000640087783467358</v>
      </c>
      <c r="J978" s="9"/>
      <c r="K978" s="11"/>
      <c r="L978" s="9"/>
      <c r="M978" s="11"/>
      <c r="N978" s="9" t="s">
        <v>1012</v>
      </c>
    </row>
    <row r="979" ht="25" customHeight="1" spans="1:14">
      <c r="A979" s="9" t="s">
        <v>477</v>
      </c>
      <c r="B979" s="9" t="s">
        <v>476</v>
      </c>
      <c r="C979" s="10">
        <v>46128</v>
      </c>
      <c r="D979" s="15">
        <v>1.0934</v>
      </c>
      <c r="E979" s="15">
        <v>1.0934</v>
      </c>
      <c r="F979" s="15">
        <v>1.0934</v>
      </c>
      <c r="G979" s="11">
        <v>0.0005</v>
      </c>
      <c r="H979" s="9">
        <f>MAX($F$862:F979)</f>
        <v>1.0936</v>
      </c>
      <c r="I979" s="11">
        <f t="shared" si="22"/>
        <v>0.000182882223847769</v>
      </c>
      <c r="J979" s="9"/>
      <c r="K979" s="11"/>
      <c r="L979" s="9"/>
      <c r="M979" s="11"/>
      <c r="N979" s="9" t="s">
        <v>1012</v>
      </c>
    </row>
    <row r="980" ht="25" customHeight="1" spans="1:14">
      <c r="A980" s="9" t="s">
        <v>477</v>
      </c>
      <c r="B980" s="9" t="s">
        <v>476</v>
      </c>
      <c r="C980" s="10">
        <v>46129</v>
      </c>
      <c r="D980" s="15">
        <v>1.0933</v>
      </c>
      <c r="E980" s="15">
        <v>1.0933</v>
      </c>
      <c r="F980" s="15">
        <v>1.0933</v>
      </c>
      <c r="G980" s="11">
        <v>-0.0001</v>
      </c>
      <c r="H980" s="9">
        <f>MAX($F$862:F980)</f>
        <v>1.0936</v>
      </c>
      <c r="I980" s="11">
        <f t="shared" si="22"/>
        <v>0.000274323335771709</v>
      </c>
      <c r="J980" s="9"/>
      <c r="K980" s="11"/>
      <c r="L980" s="9"/>
      <c r="M980" s="11"/>
      <c r="N980" s="9" t="s">
        <v>1012</v>
      </c>
    </row>
    <row r="981" ht="25" customHeight="1" spans="1:14">
      <c r="A981" s="9" t="s">
        <v>477</v>
      </c>
      <c r="B981" s="9" t="s">
        <v>476</v>
      </c>
      <c r="C981" s="10">
        <v>46132</v>
      </c>
      <c r="D981" s="15">
        <v>1.0936</v>
      </c>
      <c r="E981" s="15">
        <v>1.0936</v>
      </c>
      <c r="F981" s="15">
        <v>1.0936</v>
      </c>
      <c r="G981" s="11">
        <v>0.0003</v>
      </c>
      <c r="H981" s="9">
        <f>MAX($F$862:F981)</f>
        <v>1.0936</v>
      </c>
      <c r="I981" s="11">
        <f t="shared" si="22"/>
        <v>0</v>
      </c>
      <c r="J981" s="9"/>
      <c r="K981" s="11"/>
      <c r="L981" s="9"/>
      <c r="M981" s="11"/>
      <c r="N981" s="9" t="s">
        <v>1012</v>
      </c>
    </row>
    <row r="982" ht="25" customHeight="1" spans="1:14">
      <c r="A982" s="9" t="s">
        <v>477</v>
      </c>
      <c r="B982" s="9" t="s">
        <v>476</v>
      </c>
      <c r="C982" s="10">
        <v>46133</v>
      </c>
      <c r="D982" s="15">
        <v>1</v>
      </c>
      <c r="E982" s="15">
        <v>1.0938</v>
      </c>
      <c r="F982" s="15">
        <v>1.0938</v>
      </c>
      <c r="G982" s="11">
        <v>0.0002</v>
      </c>
      <c r="H982" s="9">
        <f>MAX($F$862:F982)</f>
        <v>1.0938</v>
      </c>
      <c r="I982" s="11">
        <f t="shared" si="22"/>
        <v>0</v>
      </c>
      <c r="J982" s="9"/>
      <c r="K982" s="11"/>
      <c r="L982" s="9"/>
      <c r="M982" s="11"/>
      <c r="N982" s="9" t="s">
        <v>1012</v>
      </c>
    </row>
    <row r="983" ht="25" customHeight="1" spans="1:14">
      <c r="A983" s="9" t="s">
        <v>477</v>
      </c>
      <c r="B983" s="9" t="s">
        <v>476</v>
      </c>
      <c r="C983" s="10">
        <v>46134</v>
      </c>
      <c r="D983" s="15">
        <v>1.0001</v>
      </c>
      <c r="E983" s="15">
        <v>1.0939</v>
      </c>
      <c r="F983" s="15">
        <v>1.0939</v>
      </c>
      <c r="G983" s="11">
        <v>0.0001</v>
      </c>
      <c r="H983" s="9">
        <f>MAX($F$862:F983)</f>
        <v>1.0939</v>
      </c>
      <c r="I983" s="11">
        <f t="shared" si="22"/>
        <v>0</v>
      </c>
      <c r="J983" s="9"/>
      <c r="K983" s="11"/>
      <c r="L983" s="9"/>
      <c r="M983" s="11"/>
      <c r="N983" s="9" t="s">
        <v>1012</v>
      </c>
    </row>
    <row r="984" ht="25" customHeight="1" spans="1:14">
      <c r="A984" s="9" t="s">
        <v>477</v>
      </c>
      <c r="B984" s="9" t="s">
        <v>476</v>
      </c>
      <c r="C984" s="10">
        <v>46135</v>
      </c>
      <c r="D984" s="15">
        <v>0.9996</v>
      </c>
      <c r="E984" s="15">
        <v>1.0934</v>
      </c>
      <c r="F984" s="15">
        <v>1.0934</v>
      </c>
      <c r="G984" s="11">
        <v>-0.0005</v>
      </c>
      <c r="H984" s="9">
        <f>MAX($F$862:F984)</f>
        <v>1.0939</v>
      </c>
      <c r="I984" s="11">
        <f t="shared" si="22"/>
        <v>0.000457080171862301</v>
      </c>
      <c r="J984" s="9"/>
      <c r="K984" s="11"/>
      <c r="L984" s="9"/>
      <c r="M984" s="11"/>
      <c r="N984" s="9" t="s">
        <v>1012</v>
      </c>
    </row>
    <row r="985" ht="25" customHeight="1" spans="1:14">
      <c r="A985" s="9" t="s">
        <v>477</v>
      </c>
      <c r="B985" s="9" t="s">
        <v>476</v>
      </c>
      <c r="C985" s="10">
        <v>46136</v>
      </c>
      <c r="D985" s="15">
        <v>1.0011</v>
      </c>
      <c r="E985" s="15">
        <v>1.0949</v>
      </c>
      <c r="F985" s="15">
        <v>1.095</v>
      </c>
      <c r="G985" s="11">
        <v>0.0015</v>
      </c>
      <c r="H985" s="9">
        <f>MAX($F$862:F985)</f>
        <v>1.095</v>
      </c>
      <c r="I985" s="11">
        <f t="shared" si="22"/>
        <v>0</v>
      </c>
      <c r="J985" s="9"/>
      <c r="K985" s="11"/>
      <c r="L985" s="9"/>
      <c r="M985" s="11"/>
      <c r="N985" s="9" t="s">
        <v>1012</v>
      </c>
    </row>
    <row r="986" ht="25" customHeight="1" spans="1:14">
      <c r="A986" s="9" t="s">
        <v>477</v>
      </c>
      <c r="B986" s="9" t="s">
        <v>476</v>
      </c>
      <c r="C986" s="10">
        <v>46139</v>
      </c>
      <c r="D986" s="15">
        <v>1.001</v>
      </c>
      <c r="E986" s="15">
        <v>1.0948</v>
      </c>
      <c r="F986" s="15">
        <v>1.0949</v>
      </c>
      <c r="G986" s="11">
        <v>-0.0001</v>
      </c>
      <c r="H986" s="9">
        <f>MAX($F$862:F986)</f>
        <v>1.095</v>
      </c>
      <c r="I986" s="11">
        <f t="shared" si="22"/>
        <v>9.13242009131787e-5</v>
      </c>
      <c r="J986" s="9"/>
      <c r="K986" s="11"/>
      <c r="L986" s="9"/>
      <c r="M986" s="11"/>
      <c r="N986" s="9" t="s">
        <v>1012</v>
      </c>
    </row>
    <row r="987" ht="25" customHeight="1" spans="1:14">
      <c r="A987" s="9" t="s">
        <v>477</v>
      </c>
      <c r="B987" s="9" t="s">
        <v>476</v>
      </c>
      <c r="C987" s="10">
        <v>46140</v>
      </c>
      <c r="D987" s="15">
        <v>1.0002</v>
      </c>
      <c r="E987" s="15">
        <v>1.094</v>
      </c>
      <c r="F987" s="15">
        <v>1.094</v>
      </c>
      <c r="G987" s="11">
        <v>-0.0008</v>
      </c>
      <c r="H987" s="9">
        <f>MAX($F$862:F987)</f>
        <v>1.095</v>
      </c>
      <c r="I987" s="11">
        <f t="shared" si="22"/>
        <v>0.000913242009132342</v>
      </c>
      <c r="J987" s="9"/>
      <c r="K987" s="11"/>
      <c r="L987" s="9"/>
      <c r="M987" s="11"/>
      <c r="N987" s="9" t="s">
        <v>1012</v>
      </c>
    </row>
    <row r="988" ht="25" customHeight="1" spans="1:14">
      <c r="A988" s="9" t="s">
        <v>477</v>
      </c>
      <c r="B988" s="9" t="s">
        <v>476</v>
      </c>
      <c r="C988" s="10">
        <v>46141</v>
      </c>
      <c r="D988" s="15">
        <v>1.0008</v>
      </c>
      <c r="E988" s="15">
        <v>1.0946</v>
      </c>
      <c r="F988" s="15">
        <v>1.0947</v>
      </c>
      <c r="G988" s="11">
        <v>0.0006</v>
      </c>
      <c r="H988" s="9">
        <f>MAX($F$862:F988)</f>
        <v>1.095</v>
      </c>
      <c r="I988" s="11">
        <f t="shared" si="22"/>
        <v>0.000273972602739647</v>
      </c>
      <c r="J988" s="9"/>
      <c r="K988" s="11"/>
      <c r="L988" s="9"/>
      <c r="M988" s="11"/>
      <c r="N988" s="9" t="s">
        <v>1012</v>
      </c>
    </row>
    <row r="989" ht="25" customHeight="1" spans="1:14">
      <c r="A989" s="9" t="s">
        <v>477</v>
      </c>
      <c r="B989" s="9" t="s">
        <v>476</v>
      </c>
      <c r="C989" s="10">
        <v>46142</v>
      </c>
      <c r="D989" s="15">
        <v>1.001</v>
      </c>
      <c r="E989" s="15">
        <v>1.0948</v>
      </c>
      <c r="F989" s="15">
        <v>1.0949</v>
      </c>
      <c r="G989" s="11">
        <v>0.0002</v>
      </c>
      <c r="H989" s="9">
        <f>MAX($F$862:F989)</f>
        <v>1.095</v>
      </c>
      <c r="I989" s="11">
        <f t="shared" si="22"/>
        <v>9.13242009131787e-5</v>
      </c>
      <c r="J989" s="9"/>
      <c r="K989" s="11"/>
      <c r="L989" s="9"/>
      <c r="M989" s="11"/>
      <c r="N989" s="9" t="s">
        <v>1012</v>
      </c>
    </row>
    <row r="990" ht="25" customHeight="1" spans="1:14">
      <c r="A990" s="9" t="s">
        <v>477</v>
      </c>
      <c r="B990" s="9" t="s">
        <v>476</v>
      </c>
      <c r="C990" s="10">
        <v>46148</v>
      </c>
      <c r="D990" s="15">
        <v>1.0003</v>
      </c>
      <c r="E990" s="15">
        <v>1.0941</v>
      </c>
      <c r="F990" s="15">
        <v>1.0941</v>
      </c>
      <c r="G990" s="11">
        <v>-0.0007</v>
      </c>
      <c r="H990" s="9">
        <f>MAX($F$862:F990)</f>
        <v>1.095</v>
      </c>
      <c r="I990" s="11">
        <f t="shared" si="22"/>
        <v>0.000821917808219053</v>
      </c>
      <c r="J990" s="9"/>
      <c r="K990" s="11"/>
      <c r="L990" s="9"/>
      <c r="M990" s="11"/>
      <c r="N990" s="9" t="s">
        <v>1012</v>
      </c>
    </row>
    <row r="991" ht="25" customHeight="1" spans="1:14">
      <c r="A991" s="9" t="s">
        <v>477</v>
      </c>
      <c r="B991" s="9" t="s">
        <v>476</v>
      </c>
      <c r="C991" s="10">
        <v>46149</v>
      </c>
      <c r="D991" s="15">
        <v>1.0008</v>
      </c>
      <c r="E991" s="15">
        <v>1.0946</v>
      </c>
      <c r="F991" s="15">
        <v>1.0947</v>
      </c>
      <c r="G991" s="11">
        <v>0.0005</v>
      </c>
      <c r="H991" s="9">
        <f>MAX($F$862:F991)</f>
        <v>1.095</v>
      </c>
      <c r="I991" s="11">
        <f t="shared" si="22"/>
        <v>0.000273972602739647</v>
      </c>
      <c r="J991" s="9"/>
      <c r="K991" s="11"/>
      <c r="L991" s="9"/>
      <c r="M991" s="11"/>
      <c r="N991" s="9" t="s">
        <v>1012</v>
      </c>
    </row>
    <row r="992" ht="25" customHeight="1" spans="1:14">
      <c r="A992" s="9" t="s">
        <v>477</v>
      </c>
      <c r="B992" s="9" t="s">
        <v>476</v>
      </c>
      <c r="C992" s="10">
        <v>46150</v>
      </c>
      <c r="D992" s="15">
        <v>1.0006</v>
      </c>
      <c r="E992" s="15">
        <v>1.0944</v>
      </c>
      <c r="F992" s="15">
        <v>1.0945</v>
      </c>
      <c r="G992" s="11">
        <v>-0.0002</v>
      </c>
      <c r="H992" s="9">
        <f>MAX($F$862:F992)</f>
        <v>1.095</v>
      </c>
      <c r="I992" s="11">
        <f t="shared" si="22"/>
        <v>0.000456621004566116</v>
      </c>
      <c r="J992" s="9"/>
      <c r="K992" s="11"/>
      <c r="L992" s="9"/>
      <c r="M992" s="11"/>
      <c r="N992" s="9" t="s">
        <v>1012</v>
      </c>
    </row>
    <row r="993" ht="25" customHeight="1" spans="1:14">
      <c r="A993" s="9" t="s">
        <v>477</v>
      </c>
      <c r="B993" s="9" t="s">
        <v>476</v>
      </c>
      <c r="C993" s="10">
        <v>46153</v>
      </c>
      <c r="D993" s="15">
        <v>1.0007</v>
      </c>
      <c r="E993" s="15">
        <v>1.0945</v>
      </c>
      <c r="F993" s="15">
        <v>1.0946</v>
      </c>
      <c r="G993" s="11">
        <v>0.0001</v>
      </c>
      <c r="H993" s="9">
        <f>MAX($F$862:F993)</f>
        <v>1.095</v>
      </c>
      <c r="I993" s="11">
        <f t="shared" si="22"/>
        <v>0.000365296803652937</v>
      </c>
      <c r="J993" s="9"/>
      <c r="K993" s="11"/>
      <c r="L993" s="9"/>
      <c r="M993" s="11"/>
      <c r="N993" s="9" t="s">
        <v>1012</v>
      </c>
    </row>
    <row r="994" ht="25" customHeight="1" spans="1:14">
      <c r="A994" s="9" t="s">
        <v>477</v>
      </c>
      <c r="B994" s="9" t="s">
        <v>476</v>
      </c>
      <c r="C994" s="10">
        <v>46154</v>
      </c>
      <c r="D994" s="15">
        <v>1.0009</v>
      </c>
      <c r="E994" s="15">
        <v>1.0947</v>
      </c>
      <c r="F994" s="15">
        <v>1.0948</v>
      </c>
      <c r="G994" s="11">
        <v>0.0002</v>
      </c>
      <c r="H994" s="9">
        <f>MAX($F$862:F994)</f>
        <v>1.095</v>
      </c>
      <c r="I994" s="11">
        <f t="shared" si="22"/>
        <v>0.000182648401826468</v>
      </c>
      <c r="J994" s="9"/>
      <c r="K994" s="11"/>
      <c r="L994" s="9"/>
      <c r="M994" s="11"/>
      <c r="N994" s="9" t="s">
        <v>1012</v>
      </c>
    </row>
    <row r="995" ht="25" customHeight="1" spans="1:14">
      <c r="A995" s="9" t="s">
        <v>477</v>
      </c>
      <c r="B995" s="9" t="s">
        <v>476</v>
      </c>
      <c r="C995" s="10">
        <v>46155</v>
      </c>
      <c r="D995" s="15">
        <v>1.0007</v>
      </c>
      <c r="E995" s="15">
        <v>1.0945</v>
      </c>
      <c r="F995" s="15">
        <v>1.0946</v>
      </c>
      <c r="G995" s="11">
        <v>-0.0002</v>
      </c>
      <c r="H995" s="9">
        <f>MAX($F$862:F995)</f>
        <v>1.095</v>
      </c>
      <c r="I995" s="11">
        <f t="shared" si="22"/>
        <v>0.000365296803652937</v>
      </c>
      <c r="J995" s="9"/>
      <c r="K995" s="11"/>
      <c r="L995" s="9"/>
      <c r="M995" s="11"/>
      <c r="N995" s="9" t="s">
        <v>1012</v>
      </c>
    </row>
    <row r="996" ht="25" customHeight="1" spans="1:14">
      <c r="A996" s="9" t="s">
        <v>477</v>
      </c>
      <c r="B996" s="9" t="s">
        <v>476</v>
      </c>
      <c r="C996" s="10">
        <v>46156</v>
      </c>
      <c r="D996" s="15">
        <v>1.0009</v>
      </c>
      <c r="E996" s="15">
        <v>1.0947</v>
      </c>
      <c r="F996" s="15">
        <v>1.0948</v>
      </c>
      <c r="G996" s="11">
        <v>0.0002</v>
      </c>
      <c r="H996" s="9">
        <f>MAX($F$862:F996)</f>
        <v>1.095</v>
      </c>
      <c r="I996" s="11">
        <f t="shared" si="22"/>
        <v>0.000182648401826468</v>
      </c>
      <c r="J996" s="9"/>
      <c r="K996" s="11"/>
      <c r="L996" s="9"/>
      <c r="M996" s="11"/>
      <c r="N996" s="9" t="s">
        <v>1012</v>
      </c>
    </row>
    <row r="997" ht="25" customHeight="1" spans="1:14">
      <c r="A997" s="9" t="s">
        <v>477</v>
      </c>
      <c r="B997" s="9" t="s">
        <v>476</v>
      </c>
      <c r="C997" s="10">
        <v>46157</v>
      </c>
      <c r="D997" s="15">
        <v>0.9992</v>
      </c>
      <c r="E997" s="15">
        <v>1.093</v>
      </c>
      <c r="F997" s="15">
        <v>1.0929</v>
      </c>
      <c r="G997" s="11">
        <v>-0.0017</v>
      </c>
      <c r="H997" s="9">
        <f>MAX($F$862:F997)</f>
        <v>1.095</v>
      </c>
      <c r="I997" s="11">
        <f t="shared" si="22"/>
        <v>0.00191780821917809</v>
      </c>
      <c r="J997" s="9"/>
      <c r="K997" s="11"/>
      <c r="L997" s="9"/>
      <c r="M997" s="11"/>
      <c r="N997" s="9" t="s">
        <v>1012</v>
      </c>
    </row>
    <row r="998" ht="25" customHeight="1" spans="1:14">
      <c r="A998" s="9" t="s">
        <v>477</v>
      </c>
      <c r="B998" s="9" t="s">
        <v>476</v>
      </c>
      <c r="C998" s="10">
        <v>46160</v>
      </c>
      <c r="D998" s="15">
        <v>0.9983</v>
      </c>
      <c r="E998" s="15">
        <v>1.0921</v>
      </c>
      <c r="F998" s="15">
        <v>1.0919</v>
      </c>
      <c r="G998" s="11">
        <v>-0.0009</v>
      </c>
      <c r="H998" s="9">
        <f>MAX($F$862:F998)</f>
        <v>1.095</v>
      </c>
      <c r="I998" s="11">
        <f t="shared" si="22"/>
        <v>0.00283105022831043</v>
      </c>
      <c r="J998" s="9"/>
      <c r="K998" s="11"/>
      <c r="L998" s="9"/>
      <c r="M998" s="11"/>
      <c r="N998" s="9" t="s">
        <v>1012</v>
      </c>
    </row>
    <row r="999" ht="25" customHeight="1" spans="1:14">
      <c r="A999" s="9" t="s">
        <v>477</v>
      </c>
      <c r="B999" s="9" t="s">
        <v>476</v>
      </c>
      <c r="C999" s="10">
        <v>46161</v>
      </c>
      <c r="D999" s="15">
        <v>0.9979</v>
      </c>
      <c r="E999" s="15">
        <v>1.0917</v>
      </c>
      <c r="F999" s="15">
        <v>1.0915</v>
      </c>
      <c r="G999" s="11">
        <v>-0.0004</v>
      </c>
      <c r="H999" s="9">
        <f>MAX($F$862:F999)</f>
        <v>1.095</v>
      </c>
      <c r="I999" s="11">
        <f t="shared" si="22"/>
        <v>0.00319634703196348</v>
      </c>
      <c r="J999" s="9"/>
      <c r="K999" s="11"/>
      <c r="L999" s="9"/>
      <c r="M999" s="11"/>
      <c r="N999" s="9" t="s">
        <v>1012</v>
      </c>
    </row>
    <row r="1000" ht="25" customHeight="1" spans="1:14">
      <c r="A1000" s="9" t="s">
        <v>477</v>
      </c>
      <c r="B1000" s="9" t="s">
        <v>476</v>
      </c>
      <c r="C1000" s="10">
        <v>46162</v>
      </c>
      <c r="D1000" s="15">
        <v>0.9964</v>
      </c>
      <c r="E1000" s="15">
        <v>1.0902</v>
      </c>
      <c r="F1000" s="15">
        <v>1.0899</v>
      </c>
      <c r="G1000" s="11">
        <v>-0.0015</v>
      </c>
      <c r="H1000" s="9">
        <f>MAX($F$862:F1000)</f>
        <v>1.095</v>
      </c>
      <c r="I1000" s="11">
        <f t="shared" si="22"/>
        <v>0.00465753424657522</v>
      </c>
      <c r="J1000" s="9"/>
      <c r="K1000" s="11"/>
      <c r="L1000" s="9"/>
      <c r="M1000" s="11"/>
      <c r="N1000" s="9" t="s">
        <v>1012</v>
      </c>
    </row>
    <row r="1001" ht="25" customHeight="1" spans="1:14">
      <c r="A1001" s="9" t="s">
        <v>477</v>
      </c>
      <c r="B1001" s="9" t="s">
        <v>476</v>
      </c>
      <c r="C1001" s="10">
        <v>46163</v>
      </c>
      <c r="D1001" s="15">
        <v>0.9975</v>
      </c>
      <c r="E1001" s="15">
        <v>1.0913</v>
      </c>
      <c r="F1001" s="15">
        <v>1.0911</v>
      </c>
      <c r="G1001" s="11">
        <v>0.0011</v>
      </c>
      <c r="H1001" s="9">
        <f>MAX($F$862:F1001)</f>
        <v>1.095</v>
      </c>
      <c r="I1001" s="11">
        <f t="shared" si="22"/>
        <v>0.00356164383561641</v>
      </c>
      <c r="J1001" s="9"/>
      <c r="K1001" s="11"/>
      <c r="L1001" s="9"/>
      <c r="M1001" s="11"/>
      <c r="N1001" s="9" t="s">
        <v>1012</v>
      </c>
    </row>
    <row r="1002" ht="25" customHeight="1" spans="1:14">
      <c r="A1002" s="9" t="s">
        <v>477</v>
      </c>
      <c r="B1002" s="9" t="s">
        <v>476</v>
      </c>
      <c r="C1002" s="10">
        <v>46164</v>
      </c>
      <c r="D1002" s="15">
        <v>0.9977</v>
      </c>
      <c r="E1002" s="15">
        <v>1.0915</v>
      </c>
      <c r="F1002" s="15">
        <v>1.0913</v>
      </c>
      <c r="G1002" s="11">
        <v>0.0002</v>
      </c>
      <c r="H1002" s="9">
        <f>MAX($F$862:F1002)</f>
        <v>1.095</v>
      </c>
      <c r="I1002" s="11">
        <f t="shared" si="22"/>
        <v>0.00337899543378994</v>
      </c>
      <c r="J1002" s="9"/>
      <c r="K1002" s="11"/>
      <c r="L1002" s="9"/>
      <c r="M1002" s="11"/>
      <c r="N1002" s="9" t="s">
        <v>1012</v>
      </c>
    </row>
    <row r="1003" ht="25" customHeight="1" spans="1:14">
      <c r="A1003" s="9" t="s">
        <v>477</v>
      </c>
      <c r="B1003" s="9" t="s">
        <v>476</v>
      </c>
      <c r="C1003" s="10">
        <v>46167</v>
      </c>
      <c r="D1003" s="15">
        <v>0.9972</v>
      </c>
      <c r="E1003" s="15">
        <v>1.091</v>
      </c>
      <c r="F1003" s="15">
        <v>1.0907</v>
      </c>
      <c r="G1003" s="11">
        <v>-0.0005</v>
      </c>
      <c r="H1003" s="9">
        <f>MAX($F$862:F1003)</f>
        <v>1.095</v>
      </c>
      <c r="I1003" s="11">
        <f t="shared" si="22"/>
        <v>0.00392694063926935</v>
      </c>
      <c r="J1003" s="9"/>
      <c r="K1003" s="11"/>
      <c r="L1003" s="9"/>
      <c r="M1003" s="11"/>
      <c r="N1003" s="9" t="s">
        <v>1012</v>
      </c>
    </row>
    <row r="1004" ht="25" customHeight="1" spans="1:14">
      <c r="A1004" s="9" t="s">
        <v>477</v>
      </c>
      <c r="B1004" s="9" t="s">
        <v>476</v>
      </c>
      <c r="C1004" s="10">
        <v>46168</v>
      </c>
      <c r="D1004" s="15">
        <v>0.9973</v>
      </c>
      <c r="E1004" s="15">
        <v>1.0911</v>
      </c>
      <c r="F1004" s="15">
        <v>1.0908</v>
      </c>
      <c r="G1004" s="11">
        <v>0.0001</v>
      </c>
      <c r="H1004" s="9">
        <f>MAX($F$862:F1004)</f>
        <v>1.095</v>
      </c>
      <c r="I1004" s="11">
        <f t="shared" si="22"/>
        <v>0.00383561643835617</v>
      </c>
      <c r="J1004" s="9"/>
      <c r="K1004" s="11"/>
      <c r="L1004" s="9"/>
      <c r="M1004" s="11"/>
      <c r="N1004" s="9" t="s">
        <v>1012</v>
      </c>
    </row>
    <row r="1005" ht="25" customHeight="1" spans="1:14">
      <c r="A1005" s="9" t="s">
        <v>477</v>
      </c>
      <c r="B1005" s="9" t="s">
        <v>476</v>
      </c>
      <c r="C1005" s="10">
        <v>46169</v>
      </c>
      <c r="D1005" s="15">
        <v>0.9983</v>
      </c>
      <c r="E1005" s="15">
        <v>1.0921</v>
      </c>
      <c r="F1005" s="15">
        <v>1.0919</v>
      </c>
      <c r="G1005" s="11">
        <v>0.001</v>
      </c>
      <c r="H1005" s="9">
        <f>MAX($F$862:F1005)</f>
        <v>1.095</v>
      </c>
      <c r="I1005" s="11">
        <f t="shared" si="22"/>
        <v>0.00283105022831043</v>
      </c>
      <c r="J1005" s="9"/>
      <c r="K1005" s="11"/>
      <c r="L1005" s="9"/>
      <c r="M1005" s="11"/>
      <c r="N1005" s="9" t="s">
        <v>1012</v>
      </c>
    </row>
    <row r="1006" ht="25" customHeight="1" spans="1:14">
      <c r="A1006" s="9" t="s">
        <v>477</v>
      </c>
      <c r="B1006" s="9" t="s">
        <v>476</v>
      </c>
      <c r="C1006" s="10">
        <v>46170</v>
      </c>
      <c r="D1006" s="15">
        <v>0.9982</v>
      </c>
      <c r="E1006" s="15">
        <v>1.092</v>
      </c>
      <c r="F1006" s="15">
        <v>1.0918</v>
      </c>
      <c r="G1006" s="11">
        <v>-0.0001</v>
      </c>
      <c r="H1006" s="9">
        <f>MAX($F$862:F1006)</f>
        <v>1.095</v>
      </c>
      <c r="I1006" s="11">
        <f t="shared" si="22"/>
        <v>0.00292237442922361</v>
      </c>
      <c r="J1006" s="9"/>
      <c r="K1006" s="11"/>
      <c r="L1006" s="9"/>
      <c r="M1006" s="11"/>
      <c r="N1006" s="9" t="s">
        <v>1012</v>
      </c>
    </row>
    <row r="1007" ht="25" customHeight="1" spans="1:14">
      <c r="A1007" s="9" t="s">
        <v>477</v>
      </c>
      <c r="B1007" s="9" t="s">
        <v>476</v>
      </c>
      <c r="C1007" s="10">
        <v>46171</v>
      </c>
      <c r="D1007" s="15">
        <v>0.999</v>
      </c>
      <c r="E1007" s="15">
        <v>1.0928</v>
      </c>
      <c r="F1007" s="15">
        <v>1.0927</v>
      </c>
      <c r="G1007" s="11">
        <v>0.0008</v>
      </c>
      <c r="H1007" s="9">
        <f>MAX($F$862:F1007)</f>
        <v>1.095</v>
      </c>
      <c r="I1007" s="11">
        <f t="shared" si="22"/>
        <v>0.00210045662100455</v>
      </c>
      <c r="J1007" s="9"/>
      <c r="K1007" s="11"/>
      <c r="L1007" s="9"/>
      <c r="M1007" s="11"/>
      <c r="N1007" s="9" t="s">
        <v>1012</v>
      </c>
    </row>
    <row r="1008" ht="25" customHeight="1" spans="1:14">
      <c r="A1008" s="9" t="s">
        <v>477</v>
      </c>
      <c r="B1008" s="9" t="s">
        <v>476</v>
      </c>
      <c r="C1008" s="10">
        <v>46174</v>
      </c>
      <c r="D1008" s="15">
        <v>0.9982</v>
      </c>
      <c r="E1008" s="15">
        <v>1.092</v>
      </c>
      <c r="F1008" s="15">
        <v>1.0918</v>
      </c>
      <c r="G1008" s="11">
        <v>-0.0008</v>
      </c>
      <c r="H1008" s="9">
        <f>MAX($F$862:F1008)</f>
        <v>1.095</v>
      </c>
      <c r="I1008" s="11">
        <f t="shared" si="22"/>
        <v>0.00292237442922361</v>
      </c>
      <c r="J1008" s="9"/>
      <c r="K1008" s="11"/>
      <c r="L1008" s="9"/>
      <c r="M1008" s="11"/>
      <c r="N1008" s="9" t="s">
        <v>1012</v>
      </c>
    </row>
    <row r="1009" ht="25" customHeight="1" spans="1:14">
      <c r="A1009" s="9" t="s">
        <v>477</v>
      </c>
      <c r="B1009" s="9" t="s">
        <v>476</v>
      </c>
      <c r="C1009" s="10">
        <v>46175</v>
      </c>
      <c r="D1009" s="15">
        <v>0.9996</v>
      </c>
      <c r="E1009" s="15">
        <v>1.0934</v>
      </c>
      <c r="F1009" s="15">
        <v>1.0934</v>
      </c>
      <c r="G1009" s="11">
        <v>0.0014</v>
      </c>
      <c r="H1009" s="9">
        <f>MAX($F$862:F1009)</f>
        <v>1.095</v>
      </c>
      <c r="I1009" s="11">
        <f t="shared" si="22"/>
        <v>0.00146118721461186</v>
      </c>
      <c r="J1009" s="9"/>
      <c r="K1009" s="11"/>
      <c r="L1009" s="9"/>
      <c r="M1009" s="11"/>
      <c r="N1009" s="9" t="s">
        <v>1012</v>
      </c>
    </row>
    <row r="1010" ht="25" customHeight="1" spans="1:14">
      <c r="A1010" s="9" t="s">
        <v>477</v>
      </c>
      <c r="B1010" s="9" t="s">
        <v>476</v>
      </c>
      <c r="C1010" s="10">
        <v>46176</v>
      </c>
      <c r="D1010" s="15">
        <v>0.9978</v>
      </c>
      <c r="E1010" s="15">
        <v>1.0916</v>
      </c>
      <c r="F1010" s="15">
        <v>1.0914</v>
      </c>
      <c r="G1010" s="11">
        <v>-0.0018</v>
      </c>
      <c r="H1010" s="9">
        <f>MAX($F$862:F1010)</f>
        <v>1.095</v>
      </c>
      <c r="I1010" s="11">
        <f t="shared" si="22"/>
        <v>0.00328767123287677</v>
      </c>
      <c r="J1010" s="9"/>
      <c r="K1010" s="11"/>
      <c r="L1010" s="9"/>
      <c r="M1010" s="11"/>
      <c r="N1010" s="9" t="s">
        <v>1012</v>
      </c>
    </row>
    <row r="1011" ht="25" customHeight="1" spans="1:14">
      <c r="A1011" s="9" t="s">
        <v>477</v>
      </c>
      <c r="B1011" s="9" t="s">
        <v>476</v>
      </c>
      <c r="C1011" s="10">
        <v>46177</v>
      </c>
      <c r="D1011" s="15">
        <v>0.9977</v>
      </c>
      <c r="E1011" s="15">
        <v>1.0915</v>
      </c>
      <c r="F1011" s="15">
        <v>1.0913</v>
      </c>
      <c r="G1011" s="11">
        <v>-0.0001</v>
      </c>
      <c r="H1011" s="9">
        <f>MAX($F$862:F1011)</f>
        <v>1.095</v>
      </c>
      <c r="I1011" s="11">
        <f t="shared" si="22"/>
        <v>0.00337899543378994</v>
      </c>
      <c r="J1011" s="9"/>
      <c r="K1011" s="11"/>
      <c r="L1011" s="9"/>
      <c r="M1011" s="11"/>
      <c r="N1011" s="9" t="s">
        <v>1012</v>
      </c>
    </row>
    <row r="1012" ht="25" customHeight="1" spans="1:14">
      <c r="A1012" s="9" t="s">
        <v>477</v>
      </c>
      <c r="B1012" s="9" t="s">
        <v>476</v>
      </c>
      <c r="C1012" s="10">
        <v>46178</v>
      </c>
      <c r="D1012" s="15">
        <v>0.9997</v>
      </c>
      <c r="E1012" s="15">
        <v>1.0935</v>
      </c>
      <c r="F1012" s="15">
        <v>1.0935</v>
      </c>
      <c r="G1012" s="11">
        <v>0.002</v>
      </c>
      <c r="H1012" s="9">
        <f>MAX($F$862:F1012)</f>
        <v>1.095</v>
      </c>
      <c r="I1012" s="11">
        <f t="shared" si="22"/>
        <v>0.00136986301369868</v>
      </c>
      <c r="J1012" s="9"/>
      <c r="K1012" s="11"/>
      <c r="L1012" s="9"/>
      <c r="M1012" s="11"/>
      <c r="N1012" s="9" t="s">
        <v>1012</v>
      </c>
    </row>
    <row r="1013" ht="25" customHeight="1" spans="1:14">
      <c r="A1013" s="9" t="s">
        <v>477</v>
      </c>
      <c r="B1013" s="9" t="s">
        <v>476</v>
      </c>
      <c r="C1013" s="10">
        <v>46181</v>
      </c>
      <c r="D1013" s="15">
        <v>1.0004</v>
      </c>
      <c r="E1013" s="15">
        <v>1.0942</v>
      </c>
      <c r="F1013" s="15">
        <v>1.0942</v>
      </c>
      <c r="G1013" s="11">
        <v>0.0007</v>
      </c>
      <c r="H1013" s="9">
        <f>MAX($F$862:F1013)</f>
        <v>1.095</v>
      </c>
      <c r="I1013" s="11">
        <f t="shared" si="22"/>
        <v>0.000730593607305874</v>
      </c>
      <c r="J1013" s="9"/>
      <c r="K1013" s="11"/>
      <c r="L1013" s="9"/>
      <c r="M1013" s="11"/>
      <c r="N1013" s="9" t="s">
        <v>1012</v>
      </c>
    </row>
    <row r="1014" ht="25" customHeight="1" spans="1:14">
      <c r="A1014" s="9" t="s">
        <v>477</v>
      </c>
      <c r="B1014" s="9" t="s">
        <v>476</v>
      </c>
      <c r="C1014" s="10">
        <v>46182</v>
      </c>
      <c r="D1014" s="15">
        <v>1</v>
      </c>
      <c r="E1014" s="15">
        <v>1.0938</v>
      </c>
      <c r="F1014" s="15">
        <v>1.0938</v>
      </c>
      <c r="G1014" s="11">
        <v>-0.0004</v>
      </c>
      <c r="H1014" s="9">
        <f>MAX($F$862:F1014)</f>
        <v>1.095</v>
      </c>
      <c r="I1014" s="11">
        <f t="shared" si="22"/>
        <v>0.00109589041095881</v>
      </c>
      <c r="J1014" s="9"/>
      <c r="K1014" s="11"/>
      <c r="L1014" s="9"/>
      <c r="M1014" s="11"/>
      <c r="N1014" s="9" t="s">
        <v>1012</v>
      </c>
    </row>
    <row r="1015" ht="25" customHeight="1" spans="1:14">
      <c r="A1015" s="9" t="s">
        <v>477</v>
      </c>
      <c r="B1015" s="9" t="s">
        <v>476</v>
      </c>
      <c r="C1015" s="10">
        <v>46183</v>
      </c>
      <c r="D1015" s="15">
        <v>1</v>
      </c>
      <c r="E1015" s="15">
        <v>1.0938</v>
      </c>
      <c r="F1015" s="15">
        <v>1.0938</v>
      </c>
      <c r="G1015" s="11">
        <v>0</v>
      </c>
      <c r="H1015" s="9">
        <f>MAX($F$862:F1015)</f>
        <v>1.095</v>
      </c>
      <c r="I1015" s="11">
        <f t="shared" si="22"/>
        <v>0.00109589041095881</v>
      </c>
      <c r="J1015" s="9"/>
      <c r="K1015" s="11"/>
      <c r="L1015" s="9"/>
      <c r="M1015" s="11"/>
      <c r="N1015" s="9" t="s">
        <v>1012</v>
      </c>
    </row>
    <row r="1016" ht="25" customHeight="1" spans="1:14">
      <c r="A1016" s="9" t="s">
        <v>477</v>
      </c>
      <c r="B1016" s="9" t="s">
        <v>476</v>
      </c>
      <c r="C1016" s="10">
        <v>46184</v>
      </c>
      <c r="D1016" s="15">
        <v>0.9994</v>
      </c>
      <c r="E1016" s="15">
        <v>1.0932</v>
      </c>
      <c r="F1016" s="15">
        <v>1.0931</v>
      </c>
      <c r="G1016" s="11">
        <v>-0.0006</v>
      </c>
      <c r="H1016" s="9">
        <f>MAX($F$862:F1016)</f>
        <v>1.095</v>
      </c>
      <c r="I1016" s="11">
        <f t="shared" si="22"/>
        <v>0.00173515981735162</v>
      </c>
      <c r="J1016" s="9"/>
      <c r="K1016" s="11"/>
      <c r="L1016" s="9"/>
      <c r="M1016" s="11"/>
      <c r="N1016" s="9" t="s">
        <v>1012</v>
      </c>
    </row>
    <row r="1017" ht="25" customHeight="1" spans="1:14">
      <c r="A1017" s="9" t="s">
        <v>477</v>
      </c>
      <c r="B1017" s="9" t="s">
        <v>476</v>
      </c>
      <c r="C1017" s="10">
        <v>46185</v>
      </c>
      <c r="D1017" s="15">
        <v>0.9995</v>
      </c>
      <c r="E1017" s="15">
        <v>1.0933</v>
      </c>
      <c r="F1017" s="15">
        <v>1.0933</v>
      </c>
      <c r="G1017" s="11">
        <v>0.0001</v>
      </c>
      <c r="H1017" s="9">
        <f>MAX($F$862:F1017)</f>
        <v>1.095</v>
      </c>
      <c r="I1017" s="11">
        <f t="shared" si="22"/>
        <v>0.00155251141552515</v>
      </c>
      <c r="J1017" s="9"/>
      <c r="K1017" s="11"/>
      <c r="L1017" s="9"/>
      <c r="M1017" s="11"/>
      <c r="N1017" s="9" t="s">
        <v>1012</v>
      </c>
    </row>
    <row r="1018" ht="25" customHeight="1" spans="1:14">
      <c r="A1018" s="9" t="s">
        <v>477</v>
      </c>
      <c r="B1018" s="9" t="s">
        <v>476</v>
      </c>
      <c r="C1018" s="10">
        <v>46188</v>
      </c>
      <c r="D1018" s="15">
        <v>0.9995</v>
      </c>
      <c r="E1018" s="15">
        <v>1.0933</v>
      </c>
      <c r="F1018" s="15">
        <v>1.0933</v>
      </c>
      <c r="G1018" s="11">
        <v>0</v>
      </c>
      <c r="H1018" s="9">
        <f>MAX($F$862:F1018)</f>
        <v>1.095</v>
      </c>
      <c r="I1018" s="11">
        <f t="shared" si="22"/>
        <v>0.00155251141552515</v>
      </c>
      <c r="J1018" s="9"/>
      <c r="K1018" s="11"/>
      <c r="L1018" s="9"/>
      <c r="M1018" s="11"/>
      <c r="N1018" s="9" t="s">
        <v>1012</v>
      </c>
    </row>
    <row r="1019" ht="25" customHeight="1" spans="1:14">
      <c r="A1019" s="9" t="s">
        <v>477</v>
      </c>
      <c r="B1019" s="9" t="s">
        <v>476</v>
      </c>
      <c r="C1019" s="10">
        <v>46189</v>
      </c>
      <c r="D1019" s="15">
        <v>1.0003</v>
      </c>
      <c r="E1019" s="15">
        <v>1.0941</v>
      </c>
      <c r="F1019" s="15">
        <v>1.0941</v>
      </c>
      <c r="G1019" s="11">
        <v>0.0008</v>
      </c>
      <c r="H1019" s="9">
        <f>MAX($F$862:F1019)</f>
        <v>1.095</v>
      </c>
      <c r="I1019" s="11">
        <f t="shared" si="22"/>
        <v>0.000821917808219053</v>
      </c>
      <c r="J1019" s="9"/>
      <c r="K1019" s="11"/>
      <c r="L1019" s="9"/>
      <c r="M1019" s="11"/>
      <c r="N1019" s="9" t="s">
        <v>1012</v>
      </c>
    </row>
    <row r="1020" ht="25" customHeight="1" spans="1:14">
      <c r="A1020" s="9" t="s">
        <v>477</v>
      </c>
      <c r="B1020" s="9" t="s">
        <v>476</v>
      </c>
      <c r="C1020" s="10">
        <v>46190</v>
      </c>
      <c r="D1020" s="15">
        <v>1.0005</v>
      </c>
      <c r="E1020" s="15">
        <v>1.0943</v>
      </c>
      <c r="F1020" s="15">
        <v>1.0943</v>
      </c>
      <c r="G1020" s="11">
        <v>0.0002</v>
      </c>
      <c r="H1020" s="9">
        <f>MAX($F$862:F1020)</f>
        <v>1.095</v>
      </c>
      <c r="I1020" s="11">
        <f t="shared" si="22"/>
        <v>0.000639269406392584</v>
      </c>
      <c r="J1020" s="9"/>
      <c r="K1020" s="11"/>
      <c r="L1020" s="9"/>
      <c r="M1020" s="11"/>
      <c r="N1020" s="9" t="s">
        <v>1012</v>
      </c>
    </row>
    <row r="1021" ht="25" customHeight="1" spans="1:14">
      <c r="A1021" s="9" t="s">
        <v>477</v>
      </c>
      <c r="B1021" s="9" t="s">
        <v>476</v>
      </c>
      <c r="C1021" s="10">
        <v>46191</v>
      </c>
      <c r="D1021" s="15">
        <v>0.998</v>
      </c>
      <c r="E1021" s="15">
        <v>1.0918</v>
      </c>
      <c r="F1021" s="15">
        <v>1.0916</v>
      </c>
      <c r="G1021" s="11">
        <v>-0.0025</v>
      </c>
      <c r="H1021" s="9">
        <f>MAX($F$862:F1021)</f>
        <v>1.095</v>
      </c>
      <c r="I1021" s="11">
        <f t="shared" si="22"/>
        <v>0.0031050228310503</v>
      </c>
      <c r="J1021" s="9"/>
      <c r="K1021" s="11"/>
      <c r="L1021" s="9"/>
      <c r="M1021" s="11"/>
      <c r="N1021" s="9" t="s">
        <v>1012</v>
      </c>
    </row>
    <row r="1022" ht="25" customHeight="1" spans="1:14">
      <c r="A1022" s="9" t="s">
        <v>477</v>
      </c>
      <c r="B1022" s="9" t="s">
        <v>476</v>
      </c>
      <c r="C1022" s="10">
        <v>46195</v>
      </c>
      <c r="D1022" s="15">
        <v>0.9981</v>
      </c>
      <c r="E1022" s="15">
        <v>1.0919</v>
      </c>
      <c r="F1022" s="15">
        <v>1.0917</v>
      </c>
      <c r="G1022" s="11">
        <v>0.0001</v>
      </c>
      <c r="H1022" s="9">
        <f>MAX($F$862:F1022)</f>
        <v>1.095</v>
      </c>
      <c r="I1022" s="11">
        <f t="shared" si="22"/>
        <v>0.00301369863013701</v>
      </c>
      <c r="J1022" s="9"/>
      <c r="K1022" s="11"/>
      <c r="L1022" s="9"/>
      <c r="M1022" s="11"/>
      <c r="N1022" s="9" t="s">
        <v>1012</v>
      </c>
    </row>
    <row r="1023" ht="25" customHeight="1" spans="1:14">
      <c r="A1023" s="9" t="s">
        <v>477</v>
      </c>
      <c r="B1023" s="9" t="s">
        <v>476</v>
      </c>
      <c r="C1023" s="10">
        <v>46196</v>
      </c>
      <c r="D1023" s="15">
        <v>0.9984</v>
      </c>
      <c r="E1023" s="15">
        <v>1.0922</v>
      </c>
      <c r="F1023" s="15">
        <v>1.092</v>
      </c>
      <c r="G1023" s="11">
        <v>0.0003</v>
      </c>
      <c r="H1023" s="9">
        <f>MAX($F$862:F1023)</f>
        <v>1.095</v>
      </c>
      <c r="I1023" s="11">
        <f t="shared" si="22"/>
        <v>0.00273972602739714</v>
      </c>
      <c r="J1023" s="9"/>
      <c r="K1023" s="11"/>
      <c r="L1023" s="9"/>
      <c r="M1023" s="11"/>
      <c r="N1023" s="9" t="s">
        <v>1012</v>
      </c>
    </row>
    <row r="1024" ht="25" customHeight="1" spans="1:14">
      <c r="A1024" s="9" t="s">
        <v>477</v>
      </c>
      <c r="B1024" s="9" t="s">
        <v>476</v>
      </c>
      <c r="C1024" s="10">
        <v>46197</v>
      </c>
      <c r="D1024" s="15">
        <v>0.9989</v>
      </c>
      <c r="E1024" s="15">
        <v>1.0927</v>
      </c>
      <c r="F1024" s="15">
        <v>1.0926</v>
      </c>
      <c r="G1024" s="11">
        <v>0.0005</v>
      </c>
      <c r="H1024" s="9">
        <f>MAX($F$862:F1024)</f>
        <v>1.095</v>
      </c>
      <c r="I1024" s="11">
        <f t="shared" si="22"/>
        <v>0.00219178082191773</v>
      </c>
      <c r="J1024" s="9"/>
      <c r="K1024" s="11"/>
      <c r="L1024" s="9"/>
      <c r="M1024" s="11"/>
      <c r="N1024" s="9" t="s">
        <v>1012</v>
      </c>
    </row>
    <row r="1025" ht="25" customHeight="1" spans="1:14">
      <c r="A1025" s="9" t="s">
        <v>477</v>
      </c>
      <c r="B1025" s="9" t="s">
        <v>476</v>
      </c>
      <c r="C1025" s="10">
        <v>46198</v>
      </c>
      <c r="D1025" s="15">
        <v>0.9996</v>
      </c>
      <c r="E1025" s="15">
        <v>1.0934</v>
      </c>
      <c r="F1025" s="15">
        <v>1.0934</v>
      </c>
      <c r="G1025" s="11">
        <v>0.0007</v>
      </c>
      <c r="H1025" s="9">
        <f>MAX($F$862:F1025)</f>
        <v>1.095</v>
      </c>
      <c r="I1025" s="11">
        <f t="shared" si="22"/>
        <v>0.00146118721461186</v>
      </c>
      <c r="J1025" s="9"/>
      <c r="K1025" s="11"/>
      <c r="L1025" s="9"/>
      <c r="M1025" s="11"/>
      <c r="N1025" s="9" t="s">
        <v>1012</v>
      </c>
    </row>
    <row r="1026" ht="25" customHeight="1" spans="1:14">
      <c r="A1026" s="9" t="s">
        <v>477</v>
      </c>
      <c r="B1026" s="9" t="s">
        <v>476</v>
      </c>
      <c r="C1026" s="10">
        <v>46199</v>
      </c>
      <c r="D1026" s="15">
        <v>1.0014</v>
      </c>
      <c r="E1026" s="15">
        <v>1.0952</v>
      </c>
      <c r="F1026" s="15">
        <v>1.0953</v>
      </c>
      <c r="G1026" s="11">
        <v>0.0018</v>
      </c>
      <c r="H1026" s="9">
        <f>MAX($F$862:F1026)</f>
        <v>1.0953</v>
      </c>
      <c r="I1026" s="11">
        <f t="shared" ref="I1026:I1089" si="23">1-F1026/H1026</f>
        <v>0</v>
      </c>
      <c r="J1026" s="9"/>
      <c r="K1026" s="11"/>
      <c r="L1026" s="9"/>
      <c r="M1026" s="11"/>
      <c r="N1026" s="9" t="s">
        <v>1012</v>
      </c>
    </row>
    <row r="1027" ht="25" customHeight="1" spans="1:14">
      <c r="A1027" s="9" t="s">
        <v>477</v>
      </c>
      <c r="B1027" s="9" t="s">
        <v>476</v>
      </c>
      <c r="C1027" s="10">
        <v>46202</v>
      </c>
      <c r="D1027" s="15">
        <v>1.0016</v>
      </c>
      <c r="E1027" s="15">
        <v>1.0954</v>
      </c>
      <c r="F1027" s="15">
        <v>1.0956</v>
      </c>
      <c r="G1027" s="11">
        <v>0.0002</v>
      </c>
      <c r="H1027" s="9">
        <f>MAX($F$862:F1027)</f>
        <v>1.0956</v>
      </c>
      <c r="I1027" s="11">
        <f t="shared" si="23"/>
        <v>0</v>
      </c>
      <c r="J1027" s="9"/>
      <c r="K1027" s="11"/>
      <c r="L1027" s="9"/>
      <c r="M1027" s="11"/>
      <c r="N1027" s="9" t="s">
        <v>1012</v>
      </c>
    </row>
    <row r="1028" ht="25" customHeight="1" spans="1:14">
      <c r="A1028" s="9" t="s">
        <v>477</v>
      </c>
      <c r="B1028" s="9" t="s">
        <v>476</v>
      </c>
      <c r="C1028" s="10">
        <v>46203</v>
      </c>
      <c r="D1028" s="15">
        <v>1.0015</v>
      </c>
      <c r="E1028" s="15">
        <v>1.0953</v>
      </c>
      <c r="F1028" s="15">
        <v>1.0954</v>
      </c>
      <c r="G1028" s="11">
        <v>-0.0001</v>
      </c>
      <c r="H1028" s="9">
        <f>MAX($F$862:F1028)</f>
        <v>1.0956</v>
      </c>
      <c r="I1028" s="11">
        <f t="shared" si="23"/>
        <v>0.000182548375319391</v>
      </c>
      <c r="J1028" s="9"/>
      <c r="K1028" s="11"/>
      <c r="L1028" s="9"/>
      <c r="M1028" s="11"/>
      <c r="N1028" s="9" t="s">
        <v>1012</v>
      </c>
    </row>
    <row r="1029" ht="25" customHeight="1" spans="1:14">
      <c r="A1029" s="9" t="s">
        <v>477</v>
      </c>
      <c r="B1029" s="9" t="s">
        <v>476</v>
      </c>
      <c r="C1029" s="10">
        <v>46204</v>
      </c>
      <c r="D1029" s="15">
        <v>1.0022</v>
      </c>
      <c r="E1029" s="15">
        <v>1.096</v>
      </c>
      <c r="F1029" s="15">
        <v>1.0962</v>
      </c>
      <c r="G1029" s="11">
        <v>0.0007</v>
      </c>
      <c r="H1029" s="9">
        <f>MAX($F$862:F1029)</f>
        <v>1.0962</v>
      </c>
      <c r="I1029" s="11">
        <f t="shared" si="23"/>
        <v>0</v>
      </c>
      <c r="J1029" s="9"/>
      <c r="K1029" s="11"/>
      <c r="L1029" s="9"/>
      <c r="M1029" s="11"/>
      <c r="N1029" s="9" t="s">
        <v>1012</v>
      </c>
    </row>
    <row r="1030" ht="25" customHeight="1" spans="1:14">
      <c r="A1030" s="9" t="s">
        <v>477</v>
      </c>
      <c r="B1030" s="9" t="s">
        <v>476</v>
      </c>
      <c r="C1030" s="10">
        <v>46205</v>
      </c>
      <c r="D1030" s="15">
        <v>1.0025</v>
      </c>
      <c r="E1030" s="15">
        <v>1.0963</v>
      </c>
      <c r="F1030" s="15">
        <v>1.0965</v>
      </c>
      <c r="G1030" s="11">
        <v>0.0003</v>
      </c>
      <c r="H1030" s="9">
        <f>MAX($F$862:F1030)</f>
        <v>1.0965</v>
      </c>
      <c r="I1030" s="11">
        <f t="shared" si="23"/>
        <v>0</v>
      </c>
      <c r="J1030" s="9"/>
      <c r="K1030" s="11"/>
      <c r="L1030" s="9"/>
      <c r="M1030" s="11"/>
      <c r="N1030" s="9" t="s">
        <v>1012</v>
      </c>
    </row>
    <row r="1031" ht="25" customHeight="1" spans="1:14">
      <c r="A1031" s="9" t="s">
        <v>477</v>
      </c>
      <c r="B1031" s="9" t="s">
        <v>476</v>
      </c>
      <c r="C1031" s="10">
        <v>46206</v>
      </c>
      <c r="D1031" s="15">
        <v>1.0017</v>
      </c>
      <c r="E1031" s="15">
        <v>1.0955</v>
      </c>
      <c r="F1031" s="15">
        <v>1.0957</v>
      </c>
      <c r="G1031" s="11">
        <v>-0.0008</v>
      </c>
      <c r="H1031" s="9">
        <f>MAX($F$862:F1031)</f>
        <v>1.0965</v>
      </c>
      <c r="I1031" s="11">
        <f t="shared" si="23"/>
        <v>0.000729594163246805</v>
      </c>
      <c r="J1031" s="9"/>
      <c r="K1031" s="11"/>
      <c r="L1031" s="9"/>
      <c r="M1031" s="11"/>
      <c r="N1031" s="9" t="s">
        <v>1012</v>
      </c>
    </row>
    <row r="1032" ht="25" customHeight="1" spans="1:14">
      <c r="A1032" s="9" t="s">
        <v>477</v>
      </c>
      <c r="B1032" s="9" t="s">
        <v>476</v>
      </c>
      <c r="C1032" s="10">
        <v>46209</v>
      </c>
      <c r="D1032" s="15">
        <v>1.0016</v>
      </c>
      <c r="E1032" s="15">
        <v>1.0954</v>
      </c>
      <c r="F1032" s="15">
        <v>1.0956</v>
      </c>
      <c r="G1032" s="11">
        <v>-0.0001</v>
      </c>
      <c r="H1032" s="9">
        <f>MAX($F$862:F1032)</f>
        <v>1.0965</v>
      </c>
      <c r="I1032" s="11">
        <f t="shared" si="23"/>
        <v>0.0008207934336526</v>
      </c>
      <c r="J1032" s="9"/>
      <c r="K1032" s="11"/>
      <c r="L1032" s="9"/>
      <c r="M1032" s="11"/>
      <c r="N1032" s="9" t="s">
        <v>1012</v>
      </c>
    </row>
    <row r="1033" ht="25" customHeight="1" spans="1:14">
      <c r="A1033" s="9" t="s">
        <v>477</v>
      </c>
      <c r="B1033" s="9" t="s">
        <v>476</v>
      </c>
      <c r="C1033" s="10">
        <v>46210</v>
      </c>
      <c r="D1033" s="15">
        <v>1.0021</v>
      </c>
      <c r="E1033" s="15">
        <v>1.0959</v>
      </c>
      <c r="F1033" s="15">
        <v>1.0961</v>
      </c>
      <c r="G1033" s="11">
        <v>0.0005</v>
      </c>
      <c r="H1033" s="9">
        <f>MAX($F$862:F1033)</f>
        <v>1.0965</v>
      </c>
      <c r="I1033" s="11">
        <f t="shared" si="23"/>
        <v>0.000364797081623291</v>
      </c>
      <c r="J1033" s="9"/>
      <c r="K1033" s="11"/>
      <c r="L1033" s="9"/>
      <c r="M1033" s="11"/>
      <c r="N1033" s="9" t="s">
        <v>1012</v>
      </c>
    </row>
    <row r="1034" ht="25" customHeight="1" spans="1:14">
      <c r="A1034" s="9" t="s">
        <v>477</v>
      </c>
      <c r="B1034" s="9" t="s">
        <v>476</v>
      </c>
      <c r="C1034" s="10">
        <v>46211</v>
      </c>
      <c r="D1034" s="15">
        <v>1.0025</v>
      </c>
      <c r="E1034" s="15">
        <v>1.0963</v>
      </c>
      <c r="F1034" s="15">
        <v>1.0965</v>
      </c>
      <c r="G1034" s="11">
        <v>0.0004</v>
      </c>
      <c r="H1034" s="9">
        <f>MAX($F$862:F1034)</f>
        <v>1.0965</v>
      </c>
      <c r="I1034" s="11">
        <f t="shared" si="23"/>
        <v>0</v>
      </c>
      <c r="J1034" s="9"/>
      <c r="K1034" s="11"/>
      <c r="L1034" s="9"/>
      <c r="M1034" s="11"/>
      <c r="N1034" s="9" t="s">
        <v>1012</v>
      </c>
    </row>
    <row r="1035" ht="25" customHeight="1" spans="1:14">
      <c r="A1035" s="9" t="s">
        <v>477</v>
      </c>
      <c r="B1035" s="9" t="s">
        <v>476</v>
      </c>
      <c r="C1035" s="10">
        <v>46212</v>
      </c>
      <c r="D1035" s="15">
        <v>1.0024</v>
      </c>
      <c r="E1035" s="15">
        <v>1.0962</v>
      </c>
      <c r="F1035" s="15">
        <v>1.0964</v>
      </c>
      <c r="G1035" s="11">
        <v>-0.0001</v>
      </c>
      <c r="H1035" s="9">
        <f>MAX($F$862:F1035)</f>
        <v>1.0965</v>
      </c>
      <c r="I1035" s="11">
        <f t="shared" si="23"/>
        <v>9.11992704057951e-5</v>
      </c>
      <c r="J1035" s="9"/>
      <c r="K1035" s="11"/>
      <c r="L1035" s="9"/>
      <c r="M1035" s="11"/>
      <c r="N1035" s="9" t="s">
        <v>1012</v>
      </c>
    </row>
    <row r="1036" ht="25" customHeight="1" spans="1:14">
      <c r="A1036" s="9" t="s">
        <v>477</v>
      </c>
      <c r="B1036" s="9" t="s">
        <v>476</v>
      </c>
      <c r="C1036" s="10">
        <v>46213</v>
      </c>
      <c r="D1036" s="15">
        <v>1.0023</v>
      </c>
      <c r="E1036" s="15">
        <v>1.0961</v>
      </c>
      <c r="F1036" s="15">
        <v>1.0963</v>
      </c>
      <c r="G1036" s="11">
        <v>-0.0001</v>
      </c>
      <c r="H1036" s="9">
        <f>MAX($F$862:F1036)</f>
        <v>1.0965</v>
      </c>
      <c r="I1036" s="11">
        <f t="shared" si="23"/>
        <v>0.000182398540811701</v>
      </c>
      <c r="J1036" s="9"/>
      <c r="K1036" s="11"/>
      <c r="L1036" s="9"/>
      <c r="M1036" s="11"/>
      <c r="N1036" s="9" t="s">
        <v>1012</v>
      </c>
    </row>
    <row r="1037" ht="25" customHeight="1" spans="1:14">
      <c r="A1037" s="9" t="s">
        <v>477</v>
      </c>
      <c r="B1037" s="9" t="s">
        <v>476</v>
      </c>
      <c r="C1037" s="10">
        <v>46216</v>
      </c>
      <c r="D1037" s="15">
        <v>1.0016</v>
      </c>
      <c r="E1037" s="15">
        <v>1.0954</v>
      </c>
      <c r="F1037" s="15">
        <v>1.0956</v>
      </c>
      <c r="G1037" s="11">
        <v>-0.0007</v>
      </c>
      <c r="H1037" s="9">
        <f>MAX($F$862:F1037)</f>
        <v>1.0965</v>
      </c>
      <c r="I1037" s="11">
        <f t="shared" si="23"/>
        <v>0.0008207934336526</v>
      </c>
      <c r="J1037" s="9"/>
      <c r="K1037" s="11"/>
      <c r="L1037" s="9"/>
      <c r="M1037" s="11"/>
      <c r="N1037" s="9" t="s">
        <v>1012</v>
      </c>
    </row>
    <row r="1038" ht="25" customHeight="1" spans="1:14">
      <c r="A1038" s="9" t="s">
        <v>477</v>
      </c>
      <c r="B1038" s="9" t="s">
        <v>476</v>
      </c>
      <c r="C1038" s="10">
        <v>46217</v>
      </c>
      <c r="D1038" s="15">
        <v>1.0014</v>
      </c>
      <c r="E1038" s="15">
        <v>1.0952</v>
      </c>
      <c r="F1038" s="15">
        <v>1.0953</v>
      </c>
      <c r="G1038" s="11">
        <v>-0.0002</v>
      </c>
      <c r="H1038" s="9">
        <f>MAX($F$862:F1038)</f>
        <v>1.0965</v>
      </c>
      <c r="I1038" s="11">
        <f t="shared" si="23"/>
        <v>0.0010943912448701</v>
      </c>
      <c r="J1038" s="9"/>
      <c r="K1038" s="11"/>
      <c r="L1038" s="9"/>
      <c r="M1038" s="11"/>
      <c r="N1038" s="9" t="s">
        <v>1012</v>
      </c>
    </row>
    <row r="1039" ht="25" customHeight="1" spans="1:14">
      <c r="A1039" s="9" t="s">
        <v>477</v>
      </c>
      <c r="B1039" s="9" t="s">
        <v>476</v>
      </c>
      <c r="C1039" s="10">
        <v>46218</v>
      </c>
      <c r="D1039" s="15">
        <v>1.0024</v>
      </c>
      <c r="E1039" s="15">
        <v>1.0962</v>
      </c>
      <c r="F1039" s="15">
        <v>1.0964</v>
      </c>
      <c r="G1039" s="11">
        <v>0.001</v>
      </c>
      <c r="H1039" s="9">
        <f>MAX($F$862:F1039)</f>
        <v>1.0965</v>
      </c>
      <c r="I1039" s="11">
        <f t="shared" si="23"/>
        <v>9.11992704057951e-5</v>
      </c>
      <c r="J1039" s="9"/>
      <c r="K1039" s="11"/>
      <c r="L1039" s="9"/>
      <c r="M1039" s="11"/>
      <c r="N1039" s="9" t="s">
        <v>1012</v>
      </c>
    </row>
    <row r="1040" ht="25" customHeight="1" spans="1:14">
      <c r="A1040" s="9" t="s">
        <v>477</v>
      </c>
      <c r="B1040" s="9" t="s">
        <v>476</v>
      </c>
      <c r="C1040" s="10">
        <v>46219</v>
      </c>
      <c r="D1040" s="15">
        <v>1.0026</v>
      </c>
      <c r="E1040" s="15">
        <v>1.0964</v>
      </c>
      <c r="F1040" s="15">
        <v>1.0966</v>
      </c>
      <c r="G1040" s="11">
        <v>0.0002</v>
      </c>
      <c r="H1040" s="9">
        <f>MAX($F$862:F1040)</f>
        <v>1.0966</v>
      </c>
      <c r="I1040" s="11">
        <f t="shared" si="23"/>
        <v>0</v>
      </c>
      <c r="J1040" s="9"/>
      <c r="K1040" s="11"/>
      <c r="L1040" s="9"/>
      <c r="M1040" s="11"/>
      <c r="N1040" s="9" t="s">
        <v>1012</v>
      </c>
    </row>
    <row r="1041" ht="25" customHeight="1" spans="1:14">
      <c r="A1041" s="9" t="s">
        <v>477</v>
      </c>
      <c r="B1041" s="9" t="s">
        <v>476</v>
      </c>
      <c r="C1041" s="10">
        <v>46220</v>
      </c>
      <c r="D1041" s="15">
        <v>1.0056</v>
      </c>
      <c r="E1041" s="15">
        <v>1.0994</v>
      </c>
      <c r="F1041" s="15">
        <v>1.0999</v>
      </c>
      <c r="G1041" s="11">
        <v>0.003</v>
      </c>
      <c r="H1041" s="9">
        <f>MAX($F$862:F1041)</f>
        <v>1.0999</v>
      </c>
      <c r="I1041" s="11">
        <f t="shared" si="23"/>
        <v>0</v>
      </c>
      <c r="J1041" s="9"/>
      <c r="K1041" s="11"/>
      <c r="L1041" s="9"/>
      <c r="M1041" s="11"/>
      <c r="N1041" s="9" t="s">
        <v>1012</v>
      </c>
    </row>
    <row r="1042" ht="25" customHeight="1" spans="1:14">
      <c r="A1042" s="9" t="s">
        <v>477</v>
      </c>
      <c r="B1042" s="9" t="s">
        <v>476</v>
      </c>
      <c r="C1042" s="10">
        <v>46223</v>
      </c>
      <c r="D1042" s="15">
        <v>1.0089</v>
      </c>
      <c r="E1042" s="15">
        <v>1.1027</v>
      </c>
      <c r="F1042" s="15">
        <v>1.1035</v>
      </c>
      <c r="G1042" s="11">
        <v>0.0033</v>
      </c>
      <c r="H1042" s="9">
        <f>MAX($F$862:F1042)</f>
        <v>1.1035</v>
      </c>
      <c r="I1042" s="11">
        <f t="shared" si="23"/>
        <v>0</v>
      </c>
      <c r="J1042" s="9"/>
      <c r="K1042" s="11"/>
      <c r="L1042" s="9"/>
      <c r="M1042" s="11"/>
      <c r="N1042" s="9" t="s">
        <v>1012</v>
      </c>
    </row>
    <row r="1043" ht="25" customHeight="1" spans="1:14">
      <c r="A1043" s="9" t="s">
        <v>477</v>
      </c>
      <c r="B1043" s="9" t="s">
        <v>476</v>
      </c>
      <c r="C1043" s="10">
        <v>46224</v>
      </c>
      <c r="D1043" s="15">
        <v>1.0095</v>
      </c>
      <c r="E1043" s="15">
        <v>1.1033</v>
      </c>
      <c r="F1043" s="15">
        <v>1.1042</v>
      </c>
      <c r="G1043" s="11">
        <v>0.0006</v>
      </c>
      <c r="H1043" s="9">
        <f>MAX($F$862:F1043)</f>
        <v>1.1042</v>
      </c>
      <c r="I1043" s="11">
        <f t="shared" si="23"/>
        <v>0</v>
      </c>
      <c r="J1043" s="9"/>
      <c r="K1043" s="11"/>
      <c r="L1043" s="9"/>
      <c r="M1043" s="11"/>
      <c r="N1043" s="9" t="s">
        <v>1012</v>
      </c>
    </row>
    <row r="1044" ht="25" customHeight="1" spans="1:14">
      <c r="A1044" s="9" t="s">
        <v>477</v>
      </c>
      <c r="B1044" s="9" t="s">
        <v>476</v>
      </c>
      <c r="C1044" s="10">
        <v>46225</v>
      </c>
      <c r="D1044" s="15">
        <v>1.0098</v>
      </c>
      <c r="E1044" s="15">
        <v>1.1036</v>
      </c>
      <c r="F1044" s="15">
        <v>1.1045</v>
      </c>
      <c r="G1044" s="11">
        <v>0.0003</v>
      </c>
      <c r="H1044" s="9">
        <f>MAX($F$862:F1044)</f>
        <v>1.1045</v>
      </c>
      <c r="I1044" s="11">
        <f t="shared" si="23"/>
        <v>0</v>
      </c>
      <c r="J1044" s="9"/>
      <c r="K1044" s="11"/>
      <c r="L1044" s="9"/>
      <c r="M1044" s="11"/>
      <c r="N1044" s="9" t="s">
        <v>1012</v>
      </c>
    </row>
    <row r="1045" ht="25" customHeight="1" spans="1:14">
      <c r="A1045" s="9" t="s">
        <v>477</v>
      </c>
      <c r="B1045" s="9" t="s">
        <v>476</v>
      </c>
      <c r="C1045" s="10">
        <v>46226</v>
      </c>
      <c r="D1045" s="15">
        <v>1.0106</v>
      </c>
      <c r="E1045" s="15">
        <v>1.1044</v>
      </c>
      <c r="F1045" s="15">
        <v>1.1054</v>
      </c>
      <c r="G1045" s="11">
        <v>0.0008</v>
      </c>
      <c r="H1045" s="9">
        <f>MAX($F$862:F1045)</f>
        <v>1.1054</v>
      </c>
      <c r="I1045" s="11">
        <f t="shared" si="23"/>
        <v>0</v>
      </c>
      <c r="J1045" s="9"/>
      <c r="K1045" s="11"/>
      <c r="L1045" s="9"/>
      <c r="M1045" s="11"/>
      <c r="N1045" s="9" t="s">
        <v>1012</v>
      </c>
    </row>
    <row r="1046" ht="25" customHeight="1" spans="1:14">
      <c r="A1046" s="9" t="s">
        <v>477</v>
      </c>
      <c r="B1046" s="9" t="s">
        <v>476</v>
      </c>
      <c r="C1046" s="10">
        <v>46227</v>
      </c>
      <c r="D1046" s="15">
        <v>1.0134</v>
      </c>
      <c r="E1046" s="15">
        <v>1.1072</v>
      </c>
      <c r="F1046" s="15">
        <v>1.1085</v>
      </c>
      <c r="G1046" s="11">
        <v>0.0028</v>
      </c>
      <c r="H1046" s="9">
        <f>MAX($F$862:F1046)</f>
        <v>1.1085</v>
      </c>
      <c r="I1046" s="11">
        <f t="shared" si="23"/>
        <v>0</v>
      </c>
      <c r="J1046" s="9"/>
      <c r="K1046" s="11"/>
      <c r="L1046" s="9"/>
      <c r="M1046" s="11"/>
      <c r="N1046" s="9" t="s">
        <v>1012</v>
      </c>
    </row>
    <row r="1047" ht="25" customHeight="1" spans="1:14">
      <c r="A1047" s="9" t="s">
        <v>477</v>
      </c>
      <c r="B1047" s="9" t="s">
        <v>476</v>
      </c>
      <c r="C1047" s="10">
        <v>46230</v>
      </c>
      <c r="D1047" s="15">
        <v>1.0136</v>
      </c>
      <c r="E1047" s="15">
        <v>1.1074</v>
      </c>
      <c r="F1047" s="15">
        <v>1.1087</v>
      </c>
      <c r="G1047" s="11">
        <v>0.0002</v>
      </c>
      <c r="H1047" s="9">
        <f>MAX($F$862:F1047)</f>
        <v>1.1087</v>
      </c>
      <c r="I1047" s="11">
        <f t="shared" si="23"/>
        <v>0</v>
      </c>
      <c r="J1047" s="9"/>
      <c r="K1047" s="11"/>
      <c r="L1047" s="9"/>
      <c r="M1047" s="11"/>
      <c r="N1047" s="9" t="s">
        <v>1012</v>
      </c>
    </row>
    <row r="1048" ht="25" customHeight="1" spans="1:14">
      <c r="A1048" s="9" t="s">
        <v>477</v>
      </c>
      <c r="B1048" s="9" t="s">
        <v>476</v>
      </c>
      <c r="C1048" s="10">
        <v>46231</v>
      </c>
      <c r="D1048" s="15">
        <v>1.0134</v>
      </c>
      <c r="E1048" s="15">
        <v>1.1072</v>
      </c>
      <c r="F1048" s="15">
        <v>1.1085</v>
      </c>
      <c r="G1048" s="11">
        <v>-0.0002</v>
      </c>
      <c r="H1048" s="9">
        <f>MAX($F$862:F1048)</f>
        <v>1.1087</v>
      </c>
      <c r="I1048" s="11">
        <f t="shared" si="23"/>
        <v>0.000180391449445261</v>
      </c>
      <c r="J1048" s="9"/>
      <c r="K1048" s="11"/>
      <c r="L1048" s="9"/>
      <c r="M1048" s="11"/>
      <c r="N1048" s="9" t="s">
        <v>1012</v>
      </c>
    </row>
    <row r="1049" ht="25" customHeight="1" spans="1:14">
      <c r="A1049" s="9" t="s">
        <v>477</v>
      </c>
      <c r="B1049" s="9" t="s">
        <v>476</v>
      </c>
      <c r="C1049" s="10">
        <v>46232</v>
      </c>
      <c r="D1049" s="15">
        <v>1.014</v>
      </c>
      <c r="E1049" s="15">
        <v>1.1078</v>
      </c>
      <c r="F1049" s="15">
        <v>1.1091</v>
      </c>
      <c r="G1049" s="11">
        <v>0.0006</v>
      </c>
      <c r="H1049" s="9">
        <f>MAX($F$862:F1049)</f>
        <v>1.1091</v>
      </c>
      <c r="I1049" s="11">
        <f t="shared" si="23"/>
        <v>0</v>
      </c>
      <c r="J1049" s="9"/>
      <c r="K1049" s="11"/>
      <c r="L1049" s="9"/>
      <c r="M1049" s="11"/>
      <c r="N1049" s="9" t="s">
        <v>1012</v>
      </c>
    </row>
    <row r="1050" ht="25" customHeight="1" spans="1:14">
      <c r="A1050" s="9" t="s">
        <v>477</v>
      </c>
      <c r="B1050" s="9" t="s">
        <v>476</v>
      </c>
      <c r="C1050" s="10">
        <v>46233</v>
      </c>
      <c r="D1050" s="15">
        <v>1.0146</v>
      </c>
      <c r="E1050" s="15">
        <v>1.1084</v>
      </c>
      <c r="F1050" s="15">
        <v>1.1098</v>
      </c>
      <c r="G1050" s="11">
        <v>0.0006</v>
      </c>
      <c r="H1050" s="9">
        <f>MAX($F$862:F1050)</f>
        <v>1.1098</v>
      </c>
      <c r="I1050" s="11">
        <f t="shared" si="23"/>
        <v>0</v>
      </c>
      <c r="J1050" s="9"/>
      <c r="K1050" s="11"/>
      <c r="L1050" s="9"/>
      <c r="M1050" s="11"/>
      <c r="N1050" s="9" t="s">
        <v>1012</v>
      </c>
    </row>
    <row r="1051" ht="25" customHeight="1" spans="1:14">
      <c r="A1051" s="9" t="s">
        <v>477</v>
      </c>
      <c r="B1051" s="9" t="s">
        <v>476</v>
      </c>
      <c r="C1051" s="10">
        <v>46234</v>
      </c>
      <c r="D1051" s="15">
        <v>1.0141</v>
      </c>
      <c r="E1051" s="15">
        <v>1.1079</v>
      </c>
      <c r="F1051" s="15">
        <v>1.1092</v>
      </c>
      <c r="G1051" s="11">
        <v>-0.0005</v>
      </c>
      <c r="H1051" s="9">
        <f>MAX($F$862:F1051)</f>
        <v>1.1098</v>
      </c>
      <c r="I1051" s="11">
        <f t="shared" si="23"/>
        <v>0.000540637952784251</v>
      </c>
      <c r="J1051" s="9"/>
      <c r="K1051" s="11"/>
      <c r="L1051" s="9"/>
      <c r="M1051" s="11"/>
      <c r="N1051" s="9" t="s">
        <v>1012</v>
      </c>
    </row>
    <row r="1052" ht="25" customHeight="1" spans="1:14">
      <c r="A1052" s="9" t="s">
        <v>477</v>
      </c>
      <c r="B1052" s="9" t="s">
        <v>476</v>
      </c>
      <c r="C1052" s="10">
        <v>46237</v>
      </c>
      <c r="D1052" s="15">
        <v>1.0149</v>
      </c>
      <c r="E1052" s="15">
        <v>1.1087</v>
      </c>
      <c r="F1052" s="15">
        <v>1.1101</v>
      </c>
      <c r="G1052" s="11">
        <v>0.0008</v>
      </c>
      <c r="H1052" s="9">
        <f>MAX($F$862:F1052)</f>
        <v>1.1101</v>
      </c>
      <c r="I1052" s="11">
        <f t="shared" si="23"/>
        <v>0</v>
      </c>
      <c r="J1052" s="9"/>
      <c r="K1052" s="11"/>
      <c r="L1052" s="9"/>
      <c r="M1052" s="11"/>
      <c r="N1052" s="9" t="s">
        <v>1012</v>
      </c>
    </row>
    <row r="1053" ht="25" customHeight="1" spans="1:14">
      <c r="A1053" s="9" t="s">
        <v>477</v>
      </c>
      <c r="B1053" s="9" t="s">
        <v>476</v>
      </c>
      <c r="C1053" s="10">
        <v>46238</v>
      </c>
      <c r="D1053" s="15">
        <v>1.0145</v>
      </c>
      <c r="E1053" s="15">
        <v>1.1083</v>
      </c>
      <c r="F1053" s="15">
        <v>1.1097</v>
      </c>
      <c r="G1053" s="11">
        <v>-0.0004</v>
      </c>
      <c r="H1053" s="9">
        <f>MAX($F$862:F1053)</f>
        <v>1.1101</v>
      </c>
      <c r="I1053" s="11">
        <f t="shared" si="23"/>
        <v>0.000360327898387691</v>
      </c>
      <c r="J1053" s="9"/>
      <c r="K1053" s="11"/>
      <c r="L1053" s="9"/>
      <c r="M1053" s="11"/>
      <c r="N1053" s="9" t="s">
        <v>1012</v>
      </c>
    </row>
    <row r="1054" ht="25" customHeight="1" spans="1:14">
      <c r="A1054" s="9" t="s">
        <v>477</v>
      </c>
      <c r="B1054" s="9" t="s">
        <v>476</v>
      </c>
      <c r="C1054" s="10">
        <v>46239</v>
      </c>
      <c r="D1054" s="15">
        <v>1.0149</v>
      </c>
      <c r="E1054" s="15">
        <v>1.1087</v>
      </c>
      <c r="F1054" s="15">
        <v>1.1101</v>
      </c>
      <c r="G1054" s="11">
        <v>0.0004</v>
      </c>
      <c r="H1054" s="9">
        <f>MAX($F$862:F1054)</f>
        <v>1.1101</v>
      </c>
      <c r="I1054" s="11">
        <f t="shared" si="23"/>
        <v>0</v>
      </c>
      <c r="J1054" s="9"/>
      <c r="K1054" s="11"/>
      <c r="L1054" s="9"/>
      <c r="M1054" s="11"/>
      <c r="N1054" s="9" t="s">
        <v>1012</v>
      </c>
    </row>
    <row r="1055" ht="25" customHeight="1" spans="1:14">
      <c r="A1055" s="9" t="s">
        <v>477</v>
      </c>
      <c r="B1055" s="9" t="s">
        <v>476</v>
      </c>
      <c r="C1055" s="10">
        <v>46240</v>
      </c>
      <c r="D1055" s="15">
        <v>1.0141</v>
      </c>
      <c r="E1055" s="15">
        <v>1.1079</v>
      </c>
      <c r="F1055" s="15">
        <v>1.1092</v>
      </c>
      <c r="G1055" s="11">
        <v>-0.0008</v>
      </c>
      <c r="H1055" s="9">
        <f>MAX($F$862:F1055)</f>
        <v>1.1101</v>
      </c>
      <c r="I1055" s="11">
        <f t="shared" si="23"/>
        <v>0.000810737771372083</v>
      </c>
      <c r="J1055" s="9"/>
      <c r="K1055" s="11"/>
      <c r="L1055" s="9"/>
      <c r="M1055" s="11"/>
      <c r="N1055" s="9" t="s">
        <v>1012</v>
      </c>
    </row>
    <row r="1056" ht="25" customHeight="1" spans="1:14">
      <c r="A1056" s="9" t="s">
        <v>477</v>
      </c>
      <c r="B1056" s="9" t="s">
        <v>476</v>
      </c>
      <c r="C1056" s="10">
        <v>46241</v>
      </c>
      <c r="D1056" s="15">
        <v>1.0132</v>
      </c>
      <c r="E1056" s="15">
        <v>1.107</v>
      </c>
      <c r="F1056" s="15">
        <v>1.1082</v>
      </c>
      <c r="G1056" s="11">
        <v>-0.0009</v>
      </c>
      <c r="H1056" s="9">
        <f>MAX($F$862:F1056)</f>
        <v>1.1101</v>
      </c>
      <c r="I1056" s="11">
        <f t="shared" si="23"/>
        <v>0.00171155751734076</v>
      </c>
      <c r="J1056" s="9"/>
      <c r="K1056" s="11"/>
      <c r="L1056" s="9"/>
      <c r="M1056" s="11"/>
      <c r="N1056" s="9" t="s">
        <v>1012</v>
      </c>
    </row>
    <row r="1057" ht="25" customHeight="1" spans="1:14">
      <c r="A1057" s="9" t="s">
        <v>477</v>
      </c>
      <c r="B1057" s="9" t="s">
        <v>476</v>
      </c>
      <c r="C1057" s="10">
        <v>46244</v>
      </c>
      <c r="D1057" s="15">
        <v>1.0126</v>
      </c>
      <c r="E1057" s="15">
        <v>1.1064</v>
      </c>
      <c r="F1057" s="15">
        <v>1.1076</v>
      </c>
      <c r="G1057" s="11">
        <v>-0.0006</v>
      </c>
      <c r="H1057" s="9">
        <f>MAX($F$862:F1057)</f>
        <v>1.1101</v>
      </c>
      <c r="I1057" s="11">
        <f t="shared" si="23"/>
        <v>0.00225204936492218</v>
      </c>
      <c r="J1057" s="9"/>
      <c r="K1057" s="11"/>
      <c r="L1057" s="9"/>
      <c r="M1057" s="11"/>
      <c r="N1057" s="9" t="s">
        <v>1012</v>
      </c>
    </row>
    <row r="1058" ht="25" customHeight="1" spans="1:14">
      <c r="A1058" s="9" t="s">
        <v>477</v>
      </c>
      <c r="B1058" s="9" t="s">
        <v>476</v>
      </c>
      <c r="C1058" s="10">
        <v>46245</v>
      </c>
      <c r="D1058" s="15">
        <v>1.013</v>
      </c>
      <c r="E1058" s="15">
        <v>1.1068</v>
      </c>
      <c r="F1058" s="15">
        <v>1.108</v>
      </c>
      <c r="G1058" s="11">
        <v>0.0004</v>
      </c>
      <c r="H1058" s="9">
        <f>MAX($F$862:F1058)</f>
        <v>1.1101</v>
      </c>
      <c r="I1058" s="11">
        <f t="shared" si="23"/>
        <v>0.00189172146653449</v>
      </c>
      <c r="J1058" s="9"/>
      <c r="K1058" s="11"/>
      <c r="L1058" s="9"/>
      <c r="M1058" s="11"/>
      <c r="N1058" s="9" t="s">
        <v>1012</v>
      </c>
    </row>
    <row r="1059" ht="25" customHeight="1" spans="1:14">
      <c r="A1059" s="9" t="s">
        <v>477</v>
      </c>
      <c r="B1059" s="9" t="s">
        <v>476</v>
      </c>
      <c r="C1059" s="10">
        <v>46246</v>
      </c>
      <c r="D1059" s="15">
        <v>1.0136</v>
      </c>
      <c r="E1059" s="15">
        <v>1.1074</v>
      </c>
      <c r="F1059" s="15">
        <v>1.1087</v>
      </c>
      <c r="G1059" s="11">
        <v>0.0006</v>
      </c>
      <c r="H1059" s="9">
        <f>MAX($F$862:F1059)</f>
        <v>1.1101</v>
      </c>
      <c r="I1059" s="11">
        <f t="shared" si="23"/>
        <v>0.00126114764435648</v>
      </c>
      <c r="J1059" s="9"/>
      <c r="K1059" s="11"/>
      <c r="L1059" s="9"/>
      <c r="M1059" s="11"/>
      <c r="N1059" s="9" t="s">
        <v>1012</v>
      </c>
    </row>
    <row r="1060" ht="25" customHeight="1" spans="1:14">
      <c r="A1060" s="9" t="s">
        <v>477</v>
      </c>
      <c r="B1060" s="9" t="s">
        <v>476</v>
      </c>
      <c r="C1060" s="10">
        <v>46247</v>
      </c>
      <c r="D1060" s="15">
        <v>1.0143</v>
      </c>
      <c r="E1060" s="15">
        <v>1.1081</v>
      </c>
      <c r="F1060" s="15">
        <v>1.1094</v>
      </c>
      <c r="G1060" s="11">
        <v>0.0007</v>
      </c>
      <c r="H1060" s="9">
        <f>MAX($F$862:F1060)</f>
        <v>1.1101</v>
      </c>
      <c r="I1060" s="11">
        <f t="shared" si="23"/>
        <v>0.000630573822178349</v>
      </c>
      <c r="J1060" s="9"/>
      <c r="K1060" s="11"/>
      <c r="L1060" s="9"/>
      <c r="M1060" s="11"/>
      <c r="N1060" s="9" t="s">
        <v>1012</v>
      </c>
    </row>
    <row r="1061" ht="25" customHeight="1" spans="1:14">
      <c r="A1061" s="9" t="s">
        <v>477</v>
      </c>
      <c r="B1061" s="9" t="s">
        <v>476</v>
      </c>
      <c r="C1061" s="10">
        <v>46248</v>
      </c>
      <c r="D1061" s="15">
        <v>1.0138</v>
      </c>
      <c r="E1061" s="15">
        <v>1.1076</v>
      </c>
      <c r="F1061" s="15">
        <v>1.1089</v>
      </c>
      <c r="G1061" s="11">
        <v>-0.0005</v>
      </c>
      <c r="H1061" s="9">
        <f>MAX($F$862:F1061)</f>
        <v>1.1101</v>
      </c>
      <c r="I1061" s="11">
        <f t="shared" si="23"/>
        <v>0.00108098369516263</v>
      </c>
      <c r="J1061" s="9"/>
      <c r="K1061" s="11"/>
      <c r="L1061" s="9"/>
      <c r="M1061" s="11"/>
      <c r="N1061" s="9" t="s">
        <v>1012</v>
      </c>
    </row>
    <row r="1062" ht="25" customHeight="1" spans="1:14">
      <c r="A1062" s="9" t="s">
        <v>477</v>
      </c>
      <c r="B1062" s="9" t="s">
        <v>476</v>
      </c>
      <c r="C1062" s="10">
        <v>46251</v>
      </c>
      <c r="D1062" s="15">
        <v>1.0143</v>
      </c>
      <c r="E1062" s="15">
        <v>1.1081</v>
      </c>
      <c r="F1062" s="15">
        <v>1.1094</v>
      </c>
      <c r="G1062" s="11">
        <v>0.0005</v>
      </c>
      <c r="H1062" s="9">
        <f>MAX($F$862:F1062)</f>
        <v>1.1101</v>
      </c>
      <c r="I1062" s="11">
        <f t="shared" si="23"/>
        <v>0.000630573822178349</v>
      </c>
      <c r="J1062" s="9"/>
      <c r="K1062" s="11"/>
      <c r="L1062" s="9"/>
      <c r="M1062" s="11"/>
      <c r="N1062" s="9" t="s">
        <v>1012</v>
      </c>
    </row>
    <row r="1063" ht="25" customHeight="1" spans="1:14">
      <c r="A1063" s="9" t="s">
        <v>477</v>
      </c>
      <c r="B1063" s="9" t="s">
        <v>476</v>
      </c>
      <c r="C1063" s="10">
        <v>46252</v>
      </c>
      <c r="D1063" s="15">
        <v>1.0152</v>
      </c>
      <c r="E1063" s="15">
        <v>1.109</v>
      </c>
      <c r="F1063" s="15">
        <v>1.1104</v>
      </c>
      <c r="G1063" s="11">
        <v>0.0009</v>
      </c>
      <c r="H1063" s="9">
        <f>MAX($F$862:F1063)</f>
        <v>1.1104</v>
      </c>
      <c r="I1063" s="11">
        <f t="shared" si="23"/>
        <v>0</v>
      </c>
      <c r="J1063" s="9"/>
      <c r="K1063" s="11"/>
      <c r="L1063" s="9"/>
      <c r="M1063" s="11"/>
      <c r="N1063" s="9" t="s">
        <v>1012</v>
      </c>
    </row>
    <row r="1064" ht="25" customHeight="1" spans="1:14">
      <c r="A1064" s="9" t="s">
        <v>477</v>
      </c>
      <c r="B1064" s="9" t="s">
        <v>476</v>
      </c>
      <c r="C1064" s="10">
        <v>46253</v>
      </c>
      <c r="D1064" s="15">
        <v>1.0167</v>
      </c>
      <c r="E1064" s="15">
        <v>1.1105</v>
      </c>
      <c r="F1064" s="15">
        <v>1.1121</v>
      </c>
      <c r="G1064" s="11">
        <v>0.0015</v>
      </c>
      <c r="H1064" s="9">
        <f>MAX($F$862:F1064)</f>
        <v>1.1121</v>
      </c>
      <c r="I1064" s="11">
        <f t="shared" si="23"/>
        <v>0</v>
      </c>
      <c r="J1064" s="9"/>
      <c r="K1064" s="11"/>
      <c r="L1064" s="9"/>
      <c r="M1064" s="11"/>
      <c r="N1064" s="9" t="s">
        <v>1012</v>
      </c>
    </row>
    <row r="1065" ht="25" customHeight="1" spans="1:14">
      <c r="A1065" s="9" t="s">
        <v>477</v>
      </c>
      <c r="B1065" s="9" t="s">
        <v>476</v>
      </c>
      <c r="C1065" s="10">
        <v>46254</v>
      </c>
      <c r="D1065" s="15">
        <v>1.0171</v>
      </c>
      <c r="E1065" s="15">
        <v>1.1109</v>
      </c>
      <c r="F1065" s="15">
        <v>1.1125</v>
      </c>
      <c r="G1065" s="11">
        <v>0.0004</v>
      </c>
      <c r="H1065" s="9">
        <f>MAX($F$862:F1065)</f>
        <v>1.1125</v>
      </c>
      <c r="I1065" s="11">
        <f t="shared" si="23"/>
        <v>0</v>
      </c>
      <c r="J1065" s="9"/>
      <c r="K1065" s="11"/>
      <c r="L1065" s="9"/>
      <c r="M1065" s="11"/>
      <c r="N1065" s="9" t="s">
        <v>1012</v>
      </c>
    </row>
    <row r="1066" ht="25" customHeight="1" spans="1:14">
      <c r="A1066" s="9" t="s">
        <v>477</v>
      </c>
      <c r="B1066" s="9" t="s">
        <v>476</v>
      </c>
      <c r="C1066" s="10">
        <v>46255</v>
      </c>
      <c r="D1066" s="15">
        <v>1.0178</v>
      </c>
      <c r="E1066" s="15">
        <v>1.1116</v>
      </c>
      <c r="F1066" s="15">
        <v>1.1133</v>
      </c>
      <c r="G1066" s="11">
        <v>0.0007</v>
      </c>
      <c r="H1066" s="9">
        <f>MAX($F$862:F1066)</f>
        <v>1.1133</v>
      </c>
      <c r="I1066" s="11">
        <f t="shared" si="23"/>
        <v>0</v>
      </c>
      <c r="J1066" s="9"/>
      <c r="K1066" s="11"/>
      <c r="L1066" s="9"/>
      <c r="M1066" s="11"/>
      <c r="N1066" s="9" t="s">
        <v>1012</v>
      </c>
    </row>
    <row r="1067" ht="25" customHeight="1" spans="1:14">
      <c r="A1067" s="9" t="s">
        <v>477</v>
      </c>
      <c r="B1067" s="9" t="s">
        <v>476</v>
      </c>
      <c r="C1067" s="10">
        <v>46258</v>
      </c>
      <c r="D1067" s="15">
        <v>1.018</v>
      </c>
      <c r="E1067" s="15">
        <v>1.1118</v>
      </c>
      <c r="F1067" s="15">
        <v>1.1135</v>
      </c>
      <c r="G1067" s="11">
        <v>0.0002</v>
      </c>
      <c r="H1067" s="9">
        <f>MAX($F$862:F1067)</f>
        <v>1.1135</v>
      </c>
      <c r="I1067" s="11">
        <f t="shared" si="23"/>
        <v>0</v>
      </c>
      <c r="J1067" s="9"/>
      <c r="K1067" s="11"/>
      <c r="L1067" s="9"/>
      <c r="M1067" s="11"/>
      <c r="N1067" s="9" t="s">
        <v>1012</v>
      </c>
    </row>
    <row r="1068" ht="25" customHeight="1" spans="1:14">
      <c r="A1068" s="9" t="s">
        <v>477</v>
      </c>
      <c r="B1068" s="9" t="s">
        <v>476</v>
      </c>
      <c r="C1068" s="10">
        <v>46259</v>
      </c>
      <c r="D1068" s="15">
        <v>1.0189</v>
      </c>
      <c r="E1068" s="15">
        <v>1.1127</v>
      </c>
      <c r="F1068" s="15">
        <v>1.1145</v>
      </c>
      <c r="G1068" s="11">
        <v>0.0009</v>
      </c>
      <c r="H1068" s="9">
        <f>MAX($F$862:F1068)</f>
        <v>1.1145</v>
      </c>
      <c r="I1068" s="11">
        <f t="shared" si="23"/>
        <v>0</v>
      </c>
      <c r="J1068" s="9"/>
      <c r="K1068" s="11"/>
      <c r="L1068" s="9"/>
      <c r="M1068" s="11"/>
      <c r="N1068" s="9" t="s">
        <v>1012</v>
      </c>
    </row>
    <row r="1069" ht="25" customHeight="1" spans="1:14">
      <c r="A1069" s="9" t="s">
        <v>477</v>
      </c>
      <c r="B1069" s="9" t="s">
        <v>476</v>
      </c>
      <c r="C1069" s="10">
        <v>46260</v>
      </c>
      <c r="D1069" s="15">
        <v>1.0199</v>
      </c>
      <c r="E1069" s="15">
        <v>1.1137</v>
      </c>
      <c r="F1069" s="15">
        <v>1.1156</v>
      </c>
      <c r="G1069" s="11">
        <v>0.001</v>
      </c>
      <c r="H1069" s="9">
        <f>MAX($F$862:F1069)</f>
        <v>1.1156</v>
      </c>
      <c r="I1069" s="11">
        <f t="shared" si="23"/>
        <v>0</v>
      </c>
      <c r="J1069" s="9"/>
      <c r="K1069" s="11"/>
      <c r="L1069" s="9"/>
      <c r="M1069" s="11"/>
      <c r="N1069" s="9" t="s">
        <v>1012</v>
      </c>
    </row>
    <row r="1070" ht="25" customHeight="1" spans="1:14">
      <c r="A1070" s="9" t="s">
        <v>477</v>
      </c>
      <c r="B1070" s="9" t="s">
        <v>476</v>
      </c>
      <c r="C1070" s="10">
        <v>46261</v>
      </c>
      <c r="D1070" s="15">
        <v>1.0197</v>
      </c>
      <c r="E1070" s="15">
        <v>1.1135</v>
      </c>
      <c r="F1070" s="15">
        <v>1.1153</v>
      </c>
      <c r="G1070" s="11">
        <v>-0.0002</v>
      </c>
      <c r="H1070" s="9">
        <f>MAX($F$862:F1070)</f>
        <v>1.1156</v>
      </c>
      <c r="I1070" s="11">
        <f t="shared" si="23"/>
        <v>0.000268913589099973</v>
      </c>
      <c r="J1070" s="9"/>
      <c r="K1070" s="11"/>
      <c r="L1070" s="9"/>
      <c r="M1070" s="11"/>
      <c r="N1070" s="9" t="s">
        <v>1012</v>
      </c>
    </row>
    <row r="1071" ht="25" customHeight="1" spans="1:14">
      <c r="A1071" s="9" t="s">
        <v>477</v>
      </c>
      <c r="B1071" s="9" t="s">
        <v>476</v>
      </c>
      <c r="C1071" s="10">
        <v>46262</v>
      </c>
      <c r="D1071" s="15">
        <v>1.0189</v>
      </c>
      <c r="E1071" s="15">
        <v>1.1127</v>
      </c>
      <c r="F1071" s="15">
        <v>1.1145</v>
      </c>
      <c r="G1071" s="11">
        <v>-0.0008</v>
      </c>
      <c r="H1071" s="9">
        <f>MAX($F$862:F1071)</f>
        <v>1.1156</v>
      </c>
      <c r="I1071" s="11">
        <f t="shared" si="23"/>
        <v>0.000986016493366715</v>
      </c>
      <c r="J1071" s="9"/>
      <c r="K1071" s="11"/>
      <c r="L1071" s="9"/>
      <c r="M1071" s="11"/>
      <c r="N1071" s="9" t="s">
        <v>1012</v>
      </c>
    </row>
    <row r="1072" ht="25" customHeight="1" spans="1:14">
      <c r="A1072" s="9" t="s">
        <v>477</v>
      </c>
      <c r="B1072" s="9" t="s">
        <v>476</v>
      </c>
      <c r="C1072" s="10">
        <v>46265</v>
      </c>
      <c r="D1072" s="15">
        <v>1.0195</v>
      </c>
      <c r="E1072" s="15">
        <v>1.1133</v>
      </c>
      <c r="F1072" s="15">
        <v>1.1151</v>
      </c>
      <c r="G1072" s="11">
        <v>0.0006</v>
      </c>
      <c r="H1072" s="9">
        <f>MAX($F$862:F1072)</f>
        <v>1.1156</v>
      </c>
      <c r="I1072" s="11">
        <f t="shared" si="23"/>
        <v>0.000448189315166658</v>
      </c>
      <c r="J1072" s="9"/>
      <c r="K1072" s="11"/>
      <c r="L1072" s="9"/>
      <c r="M1072" s="11"/>
      <c r="N1072" s="9" t="s">
        <v>1012</v>
      </c>
    </row>
    <row r="1073" ht="25" customHeight="1" spans="1:14">
      <c r="A1073" s="9" t="s">
        <v>477</v>
      </c>
      <c r="B1073" s="9" t="s">
        <v>476</v>
      </c>
      <c r="C1073" s="10">
        <v>46266</v>
      </c>
      <c r="D1073" s="15">
        <v>1.0203</v>
      </c>
      <c r="E1073" s="15">
        <v>1.1141</v>
      </c>
      <c r="F1073" s="15">
        <v>1.116</v>
      </c>
      <c r="G1073" s="11">
        <v>0.0008</v>
      </c>
      <c r="H1073" s="9">
        <f>MAX($F$862:F1073)</f>
        <v>1.116</v>
      </c>
      <c r="I1073" s="11">
        <f t="shared" si="23"/>
        <v>0</v>
      </c>
      <c r="J1073" s="9"/>
      <c r="K1073" s="11"/>
      <c r="L1073" s="9"/>
      <c r="M1073" s="11"/>
      <c r="N1073" s="9" t="s">
        <v>1012</v>
      </c>
    </row>
    <row r="1074" ht="25" customHeight="1" spans="1:14">
      <c r="A1074" s="9" t="s">
        <v>477</v>
      </c>
      <c r="B1074" s="9" t="s">
        <v>476</v>
      </c>
      <c r="C1074" s="10">
        <v>46267</v>
      </c>
      <c r="D1074" s="15">
        <v>1.02</v>
      </c>
      <c r="E1074" s="15">
        <v>1.1138</v>
      </c>
      <c r="F1074" s="15">
        <v>1.1157</v>
      </c>
      <c r="G1074" s="11">
        <v>-0.0003</v>
      </c>
      <c r="H1074" s="9">
        <f>MAX($F$862:F1074)</f>
        <v>1.116</v>
      </c>
      <c r="I1074" s="11">
        <f t="shared" si="23"/>
        <v>0.000268817204301275</v>
      </c>
      <c r="J1074" s="9"/>
      <c r="K1074" s="11"/>
      <c r="L1074" s="9"/>
      <c r="M1074" s="11"/>
      <c r="N1074" s="9" t="s">
        <v>1012</v>
      </c>
    </row>
    <row r="1075" ht="25" customHeight="1" spans="1:14">
      <c r="A1075" s="9" t="s">
        <v>477</v>
      </c>
      <c r="B1075" s="9" t="s">
        <v>476</v>
      </c>
      <c r="C1075" s="10">
        <v>46268</v>
      </c>
      <c r="D1075" s="15">
        <v>1.0196</v>
      </c>
      <c r="E1075" s="15">
        <v>1.1134</v>
      </c>
      <c r="F1075" s="15">
        <v>1.1152</v>
      </c>
      <c r="G1075" s="11">
        <v>-0.0004</v>
      </c>
      <c r="H1075" s="9">
        <f>MAX($F$862:F1075)</f>
        <v>1.116</v>
      </c>
      <c r="I1075" s="11">
        <f t="shared" si="23"/>
        <v>0.000716845878136363</v>
      </c>
      <c r="J1075" s="9"/>
      <c r="K1075" s="11"/>
      <c r="L1075" s="9"/>
      <c r="M1075" s="11"/>
      <c r="N1075" s="9" t="s">
        <v>1012</v>
      </c>
    </row>
    <row r="1076" ht="25" customHeight="1" spans="1:14">
      <c r="A1076" s="9" t="s">
        <v>477</v>
      </c>
      <c r="B1076" s="9" t="s">
        <v>476</v>
      </c>
      <c r="C1076" s="10">
        <v>46269</v>
      </c>
      <c r="D1076" s="15">
        <v>1.0193</v>
      </c>
      <c r="E1076" s="15">
        <v>1.1131</v>
      </c>
      <c r="F1076" s="15">
        <v>1.1149</v>
      </c>
      <c r="G1076" s="11">
        <v>-0.0003</v>
      </c>
      <c r="H1076" s="9">
        <f>MAX($F$862:F1076)</f>
        <v>1.116</v>
      </c>
      <c r="I1076" s="11">
        <f t="shared" si="23"/>
        <v>0.000985663082437416</v>
      </c>
      <c r="J1076" s="9"/>
      <c r="K1076" s="11"/>
      <c r="L1076" s="9"/>
      <c r="M1076" s="11"/>
      <c r="N1076" s="9" t="s">
        <v>1012</v>
      </c>
    </row>
    <row r="1077" ht="25" customHeight="1" spans="1:14">
      <c r="A1077" s="9" t="s">
        <v>477</v>
      </c>
      <c r="B1077" s="9" t="s">
        <v>476</v>
      </c>
      <c r="C1077" s="10">
        <v>46272</v>
      </c>
      <c r="D1077" s="15">
        <v>1.0194</v>
      </c>
      <c r="E1077" s="15">
        <v>1.1132</v>
      </c>
      <c r="F1077" s="15">
        <v>1.115</v>
      </c>
      <c r="G1077" s="11">
        <v>0.0001</v>
      </c>
      <c r="H1077" s="9">
        <f>MAX($F$862:F1077)</f>
        <v>1.116</v>
      </c>
      <c r="I1077" s="11">
        <f t="shared" si="23"/>
        <v>0.000896057347670398</v>
      </c>
      <c r="J1077" s="9"/>
      <c r="K1077" s="11"/>
      <c r="L1077" s="9"/>
      <c r="M1077" s="11"/>
      <c r="N1077" s="9" t="s">
        <v>1012</v>
      </c>
    </row>
    <row r="1078" ht="25" customHeight="1" spans="1:14">
      <c r="A1078" s="9" t="s">
        <v>477</v>
      </c>
      <c r="B1078" s="9" t="s">
        <v>476</v>
      </c>
      <c r="C1078" s="10">
        <v>46273</v>
      </c>
      <c r="D1078" s="15">
        <v>1.0193</v>
      </c>
      <c r="E1078" s="15">
        <v>1.1131</v>
      </c>
      <c r="F1078" s="15">
        <v>1.1149</v>
      </c>
      <c r="G1078" s="11">
        <v>-0.0001</v>
      </c>
      <c r="H1078" s="9">
        <f>MAX($F$862:F1078)</f>
        <v>1.116</v>
      </c>
      <c r="I1078" s="11">
        <f t="shared" si="23"/>
        <v>0.000985663082437416</v>
      </c>
      <c r="J1078" s="9"/>
      <c r="K1078" s="11"/>
      <c r="L1078" s="9"/>
      <c r="M1078" s="11"/>
      <c r="N1078" s="9" t="s">
        <v>1012</v>
      </c>
    </row>
    <row r="1079" ht="25" customHeight="1" spans="1:14">
      <c r="A1079" s="9" t="s">
        <v>477</v>
      </c>
      <c r="B1079" s="9" t="s">
        <v>476</v>
      </c>
      <c r="C1079" s="10">
        <v>46274</v>
      </c>
      <c r="D1079" s="15">
        <v>1.0194</v>
      </c>
      <c r="E1079" s="15">
        <v>1.1132</v>
      </c>
      <c r="F1079" s="15">
        <v>1.115</v>
      </c>
      <c r="G1079" s="11">
        <v>0.0001</v>
      </c>
      <c r="H1079" s="9">
        <f>MAX($F$862:F1079)</f>
        <v>1.116</v>
      </c>
      <c r="I1079" s="11">
        <f t="shared" si="23"/>
        <v>0.000896057347670398</v>
      </c>
      <c r="J1079" s="9"/>
      <c r="K1079" s="11"/>
      <c r="L1079" s="9"/>
      <c r="M1079" s="11"/>
      <c r="N1079" s="9" t="s">
        <v>1012</v>
      </c>
    </row>
    <row r="1080" ht="25" customHeight="1" spans="1:14">
      <c r="A1080" s="9" t="s">
        <v>472</v>
      </c>
      <c r="B1080" s="9" t="s">
        <v>471</v>
      </c>
      <c r="C1080" s="10">
        <v>45848</v>
      </c>
      <c r="D1080" s="15">
        <v>1</v>
      </c>
      <c r="E1080" s="15">
        <v>1</v>
      </c>
      <c r="F1080" s="15">
        <v>1</v>
      </c>
      <c r="G1080" s="11"/>
      <c r="H1080" s="9">
        <f>MAX($F$1080:F1080)</f>
        <v>1</v>
      </c>
      <c r="I1080" s="11">
        <f t="shared" si="23"/>
        <v>0</v>
      </c>
      <c r="J1080" s="9"/>
      <c r="K1080" s="11"/>
      <c r="L1080" s="9"/>
      <c r="M1080" s="11"/>
      <c r="N1080" s="9" t="s">
        <v>815</v>
      </c>
    </row>
    <row r="1081" ht="25" customHeight="1" spans="1:14">
      <c r="A1081" s="9" t="s">
        <v>472</v>
      </c>
      <c r="B1081" s="9" t="s">
        <v>471</v>
      </c>
      <c r="C1081" s="10">
        <v>45849</v>
      </c>
      <c r="D1081" s="15">
        <v>1</v>
      </c>
      <c r="E1081" s="15">
        <v>1</v>
      </c>
      <c r="F1081" s="15">
        <v>1</v>
      </c>
      <c r="G1081" s="11">
        <v>0</v>
      </c>
      <c r="H1081" s="9">
        <f>MAX($F$1080:F1081)</f>
        <v>1</v>
      </c>
      <c r="I1081" s="11">
        <f t="shared" si="23"/>
        <v>0</v>
      </c>
      <c r="J1081" s="9"/>
      <c r="K1081" s="11"/>
      <c r="L1081" s="9"/>
      <c r="M1081" s="11"/>
      <c r="N1081" s="9" t="s">
        <v>815</v>
      </c>
    </row>
    <row r="1082" ht="25" customHeight="1" spans="1:14">
      <c r="A1082" s="9" t="s">
        <v>472</v>
      </c>
      <c r="B1082" s="9" t="s">
        <v>471</v>
      </c>
      <c r="C1082" s="10">
        <v>45852</v>
      </c>
      <c r="D1082" s="15">
        <v>1</v>
      </c>
      <c r="E1082" s="15">
        <v>1</v>
      </c>
      <c r="F1082" s="15">
        <v>1</v>
      </c>
      <c r="G1082" s="11">
        <v>0</v>
      </c>
      <c r="H1082" s="9">
        <f>MAX($F$1080:F1082)</f>
        <v>1</v>
      </c>
      <c r="I1082" s="11">
        <f t="shared" si="23"/>
        <v>0</v>
      </c>
      <c r="J1082" s="9"/>
      <c r="K1082" s="11"/>
      <c r="L1082" s="9"/>
      <c r="M1082" s="11"/>
      <c r="N1082" s="9" t="s">
        <v>815</v>
      </c>
    </row>
    <row r="1083" ht="25" customHeight="1" spans="1:14">
      <c r="A1083" s="9" t="s">
        <v>472</v>
      </c>
      <c r="B1083" s="9" t="s">
        <v>471</v>
      </c>
      <c r="C1083" s="10">
        <v>45853</v>
      </c>
      <c r="D1083" s="15">
        <v>1</v>
      </c>
      <c r="E1083" s="15">
        <v>1</v>
      </c>
      <c r="F1083" s="15">
        <v>1</v>
      </c>
      <c r="G1083" s="11">
        <v>0</v>
      </c>
      <c r="H1083" s="9">
        <f>MAX($F$1080:F1083)</f>
        <v>1</v>
      </c>
      <c r="I1083" s="11">
        <f t="shared" si="23"/>
        <v>0</v>
      </c>
      <c r="J1083" s="9"/>
      <c r="K1083" s="11"/>
      <c r="L1083" s="9"/>
      <c r="M1083" s="11"/>
      <c r="N1083" s="9" t="s">
        <v>815</v>
      </c>
    </row>
    <row r="1084" ht="25" customHeight="1" spans="1:14">
      <c r="A1084" s="9" t="s">
        <v>472</v>
      </c>
      <c r="B1084" s="9" t="s">
        <v>471</v>
      </c>
      <c r="C1084" s="10">
        <v>45854</v>
      </c>
      <c r="D1084" s="15">
        <v>0.9999</v>
      </c>
      <c r="E1084" s="15">
        <v>0.9999</v>
      </c>
      <c r="F1084" s="15">
        <v>0.9999</v>
      </c>
      <c r="G1084" s="11">
        <v>-0.0001</v>
      </c>
      <c r="H1084" s="9">
        <f>MAX($F$1080:F1084)</f>
        <v>1</v>
      </c>
      <c r="I1084" s="11">
        <f t="shared" si="23"/>
        <v>9.9999999999989e-5</v>
      </c>
      <c r="J1084" s="9"/>
      <c r="K1084" s="11"/>
      <c r="L1084" s="9"/>
      <c r="M1084" s="11"/>
      <c r="N1084" s="9" t="s">
        <v>815</v>
      </c>
    </row>
    <row r="1085" ht="25" customHeight="1" spans="1:14">
      <c r="A1085" s="9" t="s">
        <v>472</v>
      </c>
      <c r="B1085" s="9" t="s">
        <v>471</v>
      </c>
      <c r="C1085" s="10">
        <v>45855</v>
      </c>
      <c r="D1085" s="15">
        <v>0.9999</v>
      </c>
      <c r="E1085" s="15">
        <v>0.9999</v>
      </c>
      <c r="F1085" s="15">
        <v>0.9999</v>
      </c>
      <c r="G1085" s="11">
        <v>0</v>
      </c>
      <c r="H1085" s="9">
        <f>MAX($F$1080:F1085)</f>
        <v>1</v>
      </c>
      <c r="I1085" s="11">
        <f t="shared" si="23"/>
        <v>9.9999999999989e-5</v>
      </c>
      <c r="J1085" s="9"/>
      <c r="K1085" s="11"/>
      <c r="L1085" s="9"/>
      <c r="M1085" s="11"/>
      <c r="N1085" s="9" t="s">
        <v>815</v>
      </c>
    </row>
    <row r="1086" ht="25" customHeight="1" spans="1:14">
      <c r="A1086" s="9" t="s">
        <v>472</v>
      </c>
      <c r="B1086" s="9" t="s">
        <v>471</v>
      </c>
      <c r="C1086" s="10">
        <v>45856</v>
      </c>
      <c r="D1086" s="15">
        <v>0.9999</v>
      </c>
      <c r="E1086" s="15">
        <v>0.9999</v>
      </c>
      <c r="F1086" s="15">
        <v>0.9999</v>
      </c>
      <c r="G1086" s="11">
        <v>0</v>
      </c>
      <c r="H1086" s="9">
        <f>MAX($F$1080:F1086)</f>
        <v>1</v>
      </c>
      <c r="I1086" s="11">
        <f t="shared" si="23"/>
        <v>9.9999999999989e-5</v>
      </c>
      <c r="J1086" s="9"/>
      <c r="K1086" s="11"/>
      <c r="L1086" s="9"/>
      <c r="M1086" s="11"/>
      <c r="N1086" s="9" t="s">
        <v>815</v>
      </c>
    </row>
    <row r="1087" ht="25" customHeight="1" spans="1:14">
      <c r="A1087" s="9" t="s">
        <v>472</v>
      </c>
      <c r="B1087" s="9" t="s">
        <v>471</v>
      </c>
      <c r="C1087" s="10">
        <v>45859</v>
      </c>
      <c r="D1087" s="15">
        <v>0.9998</v>
      </c>
      <c r="E1087" s="15">
        <v>0.9998</v>
      </c>
      <c r="F1087" s="15">
        <v>0.9998</v>
      </c>
      <c r="G1087" s="11">
        <v>-0.0001</v>
      </c>
      <c r="H1087" s="9">
        <f>MAX($F$1080:F1087)</f>
        <v>1</v>
      </c>
      <c r="I1087" s="11">
        <f t="shared" si="23"/>
        <v>0.000199999999999978</v>
      </c>
      <c r="J1087" s="9"/>
      <c r="K1087" s="11"/>
      <c r="L1087" s="9"/>
      <c r="M1087" s="11"/>
      <c r="N1087" s="9" t="s">
        <v>815</v>
      </c>
    </row>
    <row r="1088" ht="25" customHeight="1" spans="1:14">
      <c r="A1088" s="9" t="s">
        <v>472</v>
      </c>
      <c r="B1088" s="9" t="s">
        <v>471</v>
      </c>
      <c r="C1088" s="10">
        <v>45860</v>
      </c>
      <c r="D1088" s="15">
        <v>0.9998</v>
      </c>
      <c r="E1088" s="15">
        <v>0.9998</v>
      </c>
      <c r="F1088" s="15">
        <v>0.9998</v>
      </c>
      <c r="G1088" s="11">
        <v>0</v>
      </c>
      <c r="H1088" s="9">
        <f>MAX($F$1080:F1088)</f>
        <v>1</v>
      </c>
      <c r="I1088" s="11">
        <f t="shared" si="23"/>
        <v>0.000199999999999978</v>
      </c>
      <c r="J1088" s="9"/>
      <c r="K1088" s="11"/>
      <c r="L1088" s="9"/>
      <c r="M1088" s="11"/>
      <c r="N1088" s="9" t="s">
        <v>815</v>
      </c>
    </row>
    <row r="1089" ht="25" customHeight="1" spans="1:14">
      <c r="A1089" s="9" t="s">
        <v>472</v>
      </c>
      <c r="B1089" s="9" t="s">
        <v>471</v>
      </c>
      <c r="C1089" s="10">
        <v>45861</v>
      </c>
      <c r="D1089" s="15">
        <v>0.9998</v>
      </c>
      <c r="E1089" s="15">
        <v>0.9998</v>
      </c>
      <c r="F1089" s="15">
        <v>0.9998</v>
      </c>
      <c r="G1089" s="11">
        <v>0</v>
      </c>
      <c r="H1089" s="9">
        <f>MAX($F$1080:F1089)</f>
        <v>1</v>
      </c>
      <c r="I1089" s="11">
        <f t="shared" si="23"/>
        <v>0.000199999999999978</v>
      </c>
      <c r="J1089" s="9"/>
      <c r="K1089" s="11"/>
      <c r="L1089" s="9"/>
      <c r="M1089" s="11"/>
      <c r="N1089" s="9" t="s">
        <v>815</v>
      </c>
    </row>
    <row r="1090" ht="25" customHeight="1" spans="1:14">
      <c r="A1090" s="9" t="s">
        <v>472</v>
      </c>
      <c r="B1090" s="9" t="s">
        <v>471</v>
      </c>
      <c r="C1090" s="10">
        <v>45862</v>
      </c>
      <c r="D1090" s="15">
        <v>0.9992</v>
      </c>
      <c r="E1090" s="15">
        <v>0.9992</v>
      </c>
      <c r="F1090" s="15">
        <v>0.9992</v>
      </c>
      <c r="G1090" s="11">
        <v>-0.0006</v>
      </c>
      <c r="H1090" s="9">
        <f>MAX($F$1080:F1090)</f>
        <v>1</v>
      </c>
      <c r="I1090" s="11">
        <f t="shared" ref="I1090:I1153" si="24">1-F1090/H1090</f>
        <v>0.000800000000000023</v>
      </c>
      <c r="J1090" s="9"/>
      <c r="K1090" s="11"/>
      <c r="L1090" s="9"/>
      <c r="M1090" s="11"/>
      <c r="N1090" s="9" t="s">
        <v>815</v>
      </c>
    </row>
    <row r="1091" ht="25" customHeight="1" spans="1:14">
      <c r="A1091" s="9" t="s">
        <v>472</v>
      </c>
      <c r="B1091" s="9" t="s">
        <v>471</v>
      </c>
      <c r="C1091" s="10">
        <v>45863</v>
      </c>
      <c r="D1091" s="15">
        <v>0.9991</v>
      </c>
      <c r="E1091" s="15">
        <v>0.9991</v>
      </c>
      <c r="F1091" s="15">
        <v>0.9991</v>
      </c>
      <c r="G1091" s="11">
        <v>-0.0001</v>
      </c>
      <c r="H1091" s="9">
        <f>MAX($F$1080:F1091)</f>
        <v>1</v>
      </c>
      <c r="I1091" s="11">
        <f t="shared" si="24"/>
        <v>0.000900000000000012</v>
      </c>
      <c r="J1091" s="9"/>
      <c r="K1091" s="11"/>
      <c r="L1091" s="9"/>
      <c r="M1091" s="11"/>
      <c r="N1091" s="9" t="s">
        <v>815</v>
      </c>
    </row>
    <row r="1092" ht="25" customHeight="1" spans="1:14">
      <c r="A1092" s="9" t="s">
        <v>472</v>
      </c>
      <c r="B1092" s="9" t="s">
        <v>471</v>
      </c>
      <c r="C1092" s="10">
        <v>45866</v>
      </c>
      <c r="D1092" s="15">
        <v>0.999</v>
      </c>
      <c r="E1092" s="15">
        <v>0.999</v>
      </c>
      <c r="F1092" s="15">
        <v>0.999</v>
      </c>
      <c r="G1092" s="11">
        <v>-0.0001</v>
      </c>
      <c r="H1092" s="9">
        <f>MAX($F$1080:F1092)</f>
        <v>1</v>
      </c>
      <c r="I1092" s="11">
        <f t="shared" si="24"/>
        <v>0.001</v>
      </c>
      <c r="J1092" s="9"/>
      <c r="K1092" s="11"/>
      <c r="L1092" s="9"/>
      <c r="M1092" s="11"/>
      <c r="N1092" s="9" t="s">
        <v>815</v>
      </c>
    </row>
    <row r="1093" ht="25" customHeight="1" spans="1:14">
      <c r="A1093" s="9" t="s">
        <v>472</v>
      </c>
      <c r="B1093" s="9" t="s">
        <v>471</v>
      </c>
      <c r="C1093" s="10">
        <v>45867</v>
      </c>
      <c r="D1093" s="15">
        <v>0.9989</v>
      </c>
      <c r="E1093" s="15">
        <v>0.9989</v>
      </c>
      <c r="F1093" s="15">
        <v>0.9989</v>
      </c>
      <c r="G1093" s="11">
        <v>-0.0001</v>
      </c>
      <c r="H1093" s="9">
        <f>MAX($F$1080:F1093)</f>
        <v>1</v>
      </c>
      <c r="I1093" s="11">
        <f t="shared" si="24"/>
        <v>0.00109999999999999</v>
      </c>
      <c r="J1093" s="9"/>
      <c r="K1093" s="11"/>
      <c r="L1093" s="9"/>
      <c r="M1093" s="11"/>
      <c r="N1093" s="9" t="s">
        <v>815</v>
      </c>
    </row>
    <row r="1094" ht="25" customHeight="1" spans="1:14">
      <c r="A1094" s="9" t="s">
        <v>472</v>
      </c>
      <c r="B1094" s="9" t="s">
        <v>471</v>
      </c>
      <c r="C1094" s="10">
        <v>45868</v>
      </c>
      <c r="D1094" s="15">
        <v>0.9994</v>
      </c>
      <c r="E1094" s="15">
        <v>0.9994</v>
      </c>
      <c r="F1094" s="15">
        <v>0.9994</v>
      </c>
      <c r="G1094" s="11">
        <v>0.0005</v>
      </c>
      <c r="H1094" s="9">
        <f>MAX($F$1080:F1094)</f>
        <v>1</v>
      </c>
      <c r="I1094" s="11">
        <f t="shared" si="24"/>
        <v>0.000600000000000045</v>
      </c>
      <c r="J1094" s="9"/>
      <c r="K1094" s="11"/>
      <c r="L1094" s="9"/>
      <c r="M1094" s="11"/>
      <c r="N1094" s="9" t="s">
        <v>815</v>
      </c>
    </row>
    <row r="1095" ht="25" customHeight="1" spans="1:14">
      <c r="A1095" s="9" t="s">
        <v>472</v>
      </c>
      <c r="B1095" s="9" t="s">
        <v>471</v>
      </c>
      <c r="C1095" s="10">
        <v>45869</v>
      </c>
      <c r="D1095" s="15">
        <v>0.9995</v>
      </c>
      <c r="E1095" s="15">
        <v>0.9995</v>
      </c>
      <c r="F1095" s="15">
        <v>0.9995</v>
      </c>
      <c r="G1095" s="11">
        <v>0.0001</v>
      </c>
      <c r="H1095" s="9">
        <f>MAX($F$1080:F1095)</f>
        <v>1</v>
      </c>
      <c r="I1095" s="11">
        <f t="shared" si="24"/>
        <v>0.000499999999999945</v>
      </c>
      <c r="J1095" s="9"/>
      <c r="K1095" s="11"/>
      <c r="L1095" s="9"/>
      <c r="M1095" s="11"/>
      <c r="N1095" s="9" t="s">
        <v>815</v>
      </c>
    </row>
    <row r="1096" ht="25" customHeight="1" spans="1:14">
      <c r="A1096" s="9" t="s">
        <v>472</v>
      </c>
      <c r="B1096" s="9" t="s">
        <v>471</v>
      </c>
      <c r="C1096" s="10">
        <v>45870</v>
      </c>
      <c r="D1096" s="15">
        <v>0.9994</v>
      </c>
      <c r="E1096" s="15">
        <v>0.9994</v>
      </c>
      <c r="F1096" s="15">
        <v>0.9994</v>
      </c>
      <c r="G1096" s="11">
        <v>-0.0001</v>
      </c>
      <c r="H1096" s="9">
        <f>MAX($F$1080:F1096)</f>
        <v>1</v>
      </c>
      <c r="I1096" s="11">
        <f t="shared" si="24"/>
        <v>0.000600000000000045</v>
      </c>
      <c r="J1096" s="9"/>
      <c r="K1096" s="11"/>
      <c r="L1096" s="9"/>
      <c r="M1096" s="11"/>
      <c r="N1096" s="9" t="s">
        <v>815</v>
      </c>
    </row>
    <row r="1097" ht="25" customHeight="1" spans="1:14">
      <c r="A1097" s="9" t="s">
        <v>472</v>
      </c>
      <c r="B1097" s="9" t="s">
        <v>471</v>
      </c>
      <c r="C1097" s="10">
        <v>45873</v>
      </c>
      <c r="D1097" s="15">
        <v>0.9989</v>
      </c>
      <c r="E1097" s="15">
        <v>0.9989</v>
      </c>
      <c r="F1097" s="15">
        <v>0.9989</v>
      </c>
      <c r="G1097" s="11">
        <v>-0.0005</v>
      </c>
      <c r="H1097" s="9">
        <f>MAX($F$1080:F1097)</f>
        <v>1</v>
      </c>
      <c r="I1097" s="11">
        <f t="shared" si="24"/>
        <v>0.00109999999999999</v>
      </c>
      <c r="J1097" s="9"/>
      <c r="K1097" s="11"/>
      <c r="L1097" s="9"/>
      <c r="M1097" s="11"/>
      <c r="N1097" s="9" t="s">
        <v>815</v>
      </c>
    </row>
    <row r="1098" ht="25" customHeight="1" spans="1:14">
      <c r="A1098" s="9" t="s">
        <v>472</v>
      </c>
      <c r="B1098" s="9" t="s">
        <v>471</v>
      </c>
      <c r="C1098" s="10">
        <v>45874</v>
      </c>
      <c r="D1098" s="15">
        <v>0.9988</v>
      </c>
      <c r="E1098" s="15">
        <v>0.9988</v>
      </c>
      <c r="F1098" s="15">
        <v>0.9988</v>
      </c>
      <c r="G1098" s="11">
        <v>-0.0001</v>
      </c>
      <c r="H1098" s="9">
        <f>MAX($F$1080:F1098)</f>
        <v>1</v>
      </c>
      <c r="I1098" s="11">
        <f t="shared" si="24"/>
        <v>0.00119999999999998</v>
      </c>
      <c r="J1098" s="9"/>
      <c r="K1098" s="11"/>
      <c r="L1098" s="9"/>
      <c r="M1098" s="11"/>
      <c r="N1098" s="9" t="s">
        <v>815</v>
      </c>
    </row>
    <row r="1099" ht="25" customHeight="1" spans="1:14">
      <c r="A1099" s="9" t="s">
        <v>472</v>
      </c>
      <c r="B1099" s="9" t="s">
        <v>471</v>
      </c>
      <c r="C1099" s="10">
        <v>45875</v>
      </c>
      <c r="D1099" s="15">
        <v>0.9988</v>
      </c>
      <c r="E1099" s="15">
        <v>0.9988</v>
      </c>
      <c r="F1099" s="15">
        <v>0.9988</v>
      </c>
      <c r="G1099" s="11">
        <v>0</v>
      </c>
      <c r="H1099" s="9">
        <f>MAX($F$1080:F1099)</f>
        <v>1</v>
      </c>
      <c r="I1099" s="11">
        <f t="shared" si="24"/>
        <v>0.00119999999999998</v>
      </c>
      <c r="J1099" s="9"/>
      <c r="K1099" s="11"/>
      <c r="L1099" s="9"/>
      <c r="M1099" s="11"/>
      <c r="N1099" s="9" t="s">
        <v>815</v>
      </c>
    </row>
    <row r="1100" ht="25" customHeight="1" spans="1:14">
      <c r="A1100" s="9" t="s">
        <v>472</v>
      </c>
      <c r="B1100" s="9" t="s">
        <v>471</v>
      </c>
      <c r="C1100" s="10">
        <v>45876</v>
      </c>
      <c r="D1100" s="15">
        <v>0.9987</v>
      </c>
      <c r="E1100" s="15">
        <v>0.9987</v>
      </c>
      <c r="F1100" s="15">
        <v>0.9987</v>
      </c>
      <c r="G1100" s="11">
        <v>-0.0001</v>
      </c>
      <c r="H1100" s="9">
        <f>MAX($F$1080:F1100)</f>
        <v>1</v>
      </c>
      <c r="I1100" s="11">
        <f t="shared" si="24"/>
        <v>0.00129999999999997</v>
      </c>
      <c r="J1100" s="9"/>
      <c r="K1100" s="11"/>
      <c r="L1100" s="9"/>
      <c r="M1100" s="11"/>
      <c r="N1100" s="9" t="s">
        <v>815</v>
      </c>
    </row>
    <row r="1101" ht="25" customHeight="1" spans="1:14">
      <c r="A1101" s="9" t="s">
        <v>472</v>
      </c>
      <c r="B1101" s="9" t="s">
        <v>471</v>
      </c>
      <c r="C1101" s="10">
        <v>45877</v>
      </c>
      <c r="D1101" s="15">
        <v>0.9987</v>
      </c>
      <c r="E1101" s="15">
        <v>0.9987</v>
      </c>
      <c r="F1101" s="15">
        <v>0.9987</v>
      </c>
      <c r="G1101" s="11">
        <v>0</v>
      </c>
      <c r="H1101" s="9">
        <f>MAX($F$1080:F1101)</f>
        <v>1</v>
      </c>
      <c r="I1101" s="11">
        <f t="shared" si="24"/>
        <v>0.00129999999999997</v>
      </c>
      <c r="J1101" s="9"/>
      <c r="K1101" s="11"/>
      <c r="L1101" s="9"/>
      <c r="M1101" s="11"/>
      <c r="N1101" s="9" t="s">
        <v>815</v>
      </c>
    </row>
    <row r="1102" ht="25" customHeight="1" spans="1:14">
      <c r="A1102" s="9" t="s">
        <v>472</v>
      </c>
      <c r="B1102" s="9" t="s">
        <v>471</v>
      </c>
      <c r="C1102" s="10">
        <v>45880</v>
      </c>
      <c r="D1102" s="15">
        <v>0.9983</v>
      </c>
      <c r="E1102" s="15">
        <v>0.9983</v>
      </c>
      <c r="F1102" s="15">
        <v>0.9983</v>
      </c>
      <c r="G1102" s="11">
        <v>-0.0004</v>
      </c>
      <c r="H1102" s="9">
        <f>MAX($F$1080:F1102)</f>
        <v>1</v>
      </c>
      <c r="I1102" s="11">
        <f t="shared" si="24"/>
        <v>0.00170000000000003</v>
      </c>
      <c r="J1102" s="9"/>
      <c r="K1102" s="11"/>
      <c r="L1102" s="9"/>
      <c r="M1102" s="11"/>
      <c r="N1102" s="9" t="s">
        <v>815</v>
      </c>
    </row>
    <row r="1103" ht="25" customHeight="1" spans="1:14">
      <c r="A1103" s="9" t="s">
        <v>472</v>
      </c>
      <c r="B1103" s="9" t="s">
        <v>471</v>
      </c>
      <c r="C1103" s="10">
        <v>45881</v>
      </c>
      <c r="D1103" s="15">
        <v>0.9983</v>
      </c>
      <c r="E1103" s="15">
        <v>0.9983</v>
      </c>
      <c r="F1103" s="15">
        <v>0.9983</v>
      </c>
      <c r="G1103" s="11">
        <v>0</v>
      </c>
      <c r="H1103" s="9">
        <f>MAX($F$1080:F1103)</f>
        <v>1</v>
      </c>
      <c r="I1103" s="11">
        <f t="shared" si="24"/>
        <v>0.00170000000000003</v>
      </c>
      <c r="J1103" s="9"/>
      <c r="K1103" s="11"/>
      <c r="L1103" s="9"/>
      <c r="M1103" s="11"/>
      <c r="N1103" s="9" t="s">
        <v>815</v>
      </c>
    </row>
    <row r="1104" ht="25" customHeight="1" spans="1:14">
      <c r="A1104" s="9" t="s">
        <v>472</v>
      </c>
      <c r="B1104" s="9" t="s">
        <v>471</v>
      </c>
      <c r="C1104" s="10">
        <v>45882</v>
      </c>
      <c r="D1104" s="15">
        <v>0.9991</v>
      </c>
      <c r="E1104" s="15">
        <v>0.9991</v>
      </c>
      <c r="F1104" s="15">
        <v>0.9991</v>
      </c>
      <c r="G1104" s="11">
        <v>0.0008</v>
      </c>
      <c r="H1104" s="9">
        <f>MAX($F$1080:F1104)</f>
        <v>1</v>
      </c>
      <c r="I1104" s="11">
        <f t="shared" si="24"/>
        <v>0.000900000000000012</v>
      </c>
      <c r="J1104" s="9"/>
      <c r="K1104" s="11"/>
      <c r="L1104" s="9"/>
      <c r="M1104" s="11"/>
      <c r="N1104" s="9" t="s">
        <v>815</v>
      </c>
    </row>
    <row r="1105" ht="25" customHeight="1" spans="1:14">
      <c r="A1105" s="9" t="s">
        <v>472</v>
      </c>
      <c r="B1105" s="9" t="s">
        <v>471</v>
      </c>
      <c r="C1105" s="10">
        <v>45883</v>
      </c>
      <c r="D1105" s="15">
        <v>0.9997</v>
      </c>
      <c r="E1105" s="15">
        <v>0.9997</v>
      </c>
      <c r="F1105" s="15">
        <v>0.9997</v>
      </c>
      <c r="G1105" s="11">
        <v>0.0006</v>
      </c>
      <c r="H1105" s="9">
        <f>MAX($F$1080:F1105)</f>
        <v>1</v>
      </c>
      <c r="I1105" s="11">
        <f t="shared" si="24"/>
        <v>0.000299999999999967</v>
      </c>
      <c r="J1105" s="9"/>
      <c r="K1105" s="11"/>
      <c r="L1105" s="9"/>
      <c r="M1105" s="11"/>
      <c r="N1105" s="9" t="s">
        <v>815</v>
      </c>
    </row>
    <row r="1106" ht="25" customHeight="1" spans="1:14">
      <c r="A1106" s="9" t="s">
        <v>472</v>
      </c>
      <c r="B1106" s="9" t="s">
        <v>471</v>
      </c>
      <c r="C1106" s="10">
        <v>45884</v>
      </c>
      <c r="D1106" s="15">
        <v>1.0001</v>
      </c>
      <c r="E1106" s="15">
        <v>1.0001</v>
      </c>
      <c r="F1106" s="15">
        <v>1.0001</v>
      </c>
      <c r="G1106" s="11">
        <v>0.0004</v>
      </c>
      <c r="H1106" s="9">
        <f>MAX($F$1080:F1106)</f>
        <v>1.0001</v>
      </c>
      <c r="I1106" s="11">
        <f t="shared" si="24"/>
        <v>0</v>
      </c>
      <c r="J1106" s="9"/>
      <c r="K1106" s="11"/>
      <c r="L1106" s="9"/>
      <c r="M1106" s="11"/>
      <c r="N1106" s="9" t="s">
        <v>815</v>
      </c>
    </row>
    <row r="1107" ht="25" customHeight="1" spans="1:14">
      <c r="A1107" s="9" t="s">
        <v>472</v>
      </c>
      <c r="B1107" s="9" t="s">
        <v>471</v>
      </c>
      <c r="C1107" s="10">
        <v>45887</v>
      </c>
      <c r="D1107" s="15">
        <v>1.0012</v>
      </c>
      <c r="E1107" s="15">
        <v>1.0012</v>
      </c>
      <c r="F1107" s="15">
        <v>1.0012</v>
      </c>
      <c r="G1107" s="11">
        <v>0.0011</v>
      </c>
      <c r="H1107" s="9">
        <f>MAX($F$1080:F1107)</f>
        <v>1.0012</v>
      </c>
      <c r="I1107" s="11">
        <f t="shared" si="24"/>
        <v>0</v>
      </c>
      <c r="J1107" s="9"/>
      <c r="K1107" s="11"/>
      <c r="L1107" s="9"/>
      <c r="M1107" s="11"/>
      <c r="N1107" s="9" t="s">
        <v>815</v>
      </c>
    </row>
    <row r="1108" ht="25" customHeight="1" spans="1:14">
      <c r="A1108" s="9" t="s">
        <v>472</v>
      </c>
      <c r="B1108" s="9" t="s">
        <v>471</v>
      </c>
      <c r="C1108" s="10">
        <v>45888</v>
      </c>
      <c r="D1108" s="15">
        <v>1.0009</v>
      </c>
      <c r="E1108" s="15">
        <v>1.0009</v>
      </c>
      <c r="F1108" s="15">
        <v>1.0009</v>
      </c>
      <c r="G1108" s="11">
        <v>-0.0003</v>
      </c>
      <c r="H1108" s="9">
        <f>MAX($F$1080:F1108)</f>
        <v>1.0012</v>
      </c>
      <c r="I1108" s="11">
        <f t="shared" si="24"/>
        <v>0.000299640431482451</v>
      </c>
      <c r="J1108" s="9"/>
      <c r="K1108" s="11"/>
      <c r="L1108" s="9"/>
      <c r="M1108" s="11"/>
      <c r="N1108" s="9" t="s">
        <v>815</v>
      </c>
    </row>
    <row r="1109" ht="25" customHeight="1" spans="1:14">
      <c r="A1109" s="9" t="s">
        <v>472</v>
      </c>
      <c r="B1109" s="9" t="s">
        <v>471</v>
      </c>
      <c r="C1109" s="10">
        <v>45889</v>
      </c>
      <c r="D1109" s="15">
        <v>1.0014</v>
      </c>
      <c r="E1109" s="15">
        <v>1.0014</v>
      </c>
      <c r="F1109" s="15">
        <v>1.0014</v>
      </c>
      <c r="G1109" s="11">
        <v>0.0005</v>
      </c>
      <c r="H1109" s="9">
        <f>MAX($F$1080:F1109)</f>
        <v>1.0014</v>
      </c>
      <c r="I1109" s="11">
        <f t="shared" si="24"/>
        <v>0</v>
      </c>
      <c r="J1109" s="9"/>
      <c r="K1109" s="11"/>
      <c r="L1109" s="9"/>
      <c r="M1109" s="11"/>
      <c r="N1109" s="9" t="s">
        <v>815</v>
      </c>
    </row>
    <row r="1110" ht="25" customHeight="1" spans="1:14">
      <c r="A1110" s="9" t="s">
        <v>472</v>
      </c>
      <c r="B1110" s="9" t="s">
        <v>471</v>
      </c>
      <c r="C1110" s="10">
        <v>45890</v>
      </c>
      <c r="D1110" s="15">
        <v>1.0002</v>
      </c>
      <c r="E1110" s="15">
        <v>1.0002</v>
      </c>
      <c r="F1110" s="15">
        <v>1.0002</v>
      </c>
      <c r="G1110" s="11">
        <v>-0.0012</v>
      </c>
      <c r="H1110" s="9">
        <f>MAX($F$1080:F1110)</f>
        <v>1.0014</v>
      </c>
      <c r="I1110" s="11">
        <f t="shared" si="24"/>
        <v>0.00119832234871187</v>
      </c>
      <c r="J1110" s="9"/>
      <c r="K1110" s="11"/>
      <c r="L1110" s="9"/>
      <c r="M1110" s="11"/>
      <c r="N1110" s="9" t="s">
        <v>815</v>
      </c>
    </row>
    <row r="1111" ht="25" customHeight="1" spans="1:14">
      <c r="A1111" s="9" t="s">
        <v>472</v>
      </c>
      <c r="B1111" s="9" t="s">
        <v>471</v>
      </c>
      <c r="C1111" s="10">
        <v>45891</v>
      </c>
      <c r="D1111" s="15">
        <v>1.0024</v>
      </c>
      <c r="E1111" s="15">
        <v>1.0024</v>
      </c>
      <c r="F1111" s="15">
        <v>1.0024</v>
      </c>
      <c r="G1111" s="11">
        <v>0.0022</v>
      </c>
      <c r="H1111" s="9">
        <f>MAX($F$1080:F1111)</f>
        <v>1.0024</v>
      </c>
      <c r="I1111" s="11">
        <f t="shared" si="24"/>
        <v>0</v>
      </c>
      <c r="J1111" s="9"/>
      <c r="K1111" s="11"/>
      <c r="L1111" s="9"/>
      <c r="M1111" s="11"/>
      <c r="N1111" s="9" t="s">
        <v>815</v>
      </c>
    </row>
    <row r="1112" ht="25" customHeight="1" spans="1:14">
      <c r="A1112" s="9" t="s">
        <v>472</v>
      </c>
      <c r="B1112" s="9" t="s">
        <v>471</v>
      </c>
      <c r="C1112" s="10">
        <v>45894</v>
      </c>
      <c r="D1112" s="15">
        <v>1.0042</v>
      </c>
      <c r="E1112" s="15">
        <v>1.0042</v>
      </c>
      <c r="F1112" s="15">
        <v>1.0042</v>
      </c>
      <c r="G1112" s="11">
        <v>0.0018</v>
      </c>
      <c r="H1112" s="9">
        <f>MAX($F$1080:F1112)</f>
        <v>1.0042</v>
      </c>
      <c r="I1112" s="11">
        <f t="shared" si="24"/>
        <v>0</v>
      </c>
      <c r="J1112" s="9"/>
      <c r="K1112" s="11"/>
      <c r="L1112" s="9"/>
      <c r="M1112" s="11"/>
      <c r="N1112" s="9" t="s">
        <v>815</v>
      </c>
    </row>
    <row r="1113" ht="25" customHeight="1" spans="1:14">
      <c r="A1113" s="9" t="s">
        <v>472</v>
      </c>
      <c r="B1113" s="9" t="s">
        <v>471</v>
      </c>
      <c r="C1113" s="10">
        <v>45895</v>
      </c>
      <c r="D1113" s="15">
        <v>1.0028</v>
      </c>
      <c r="E1113" s="15">
        <v>1.0028</v>
      </c>
      <c r="F1113" s="15">
        <v>1.0028</v>
      </c>
      <c r="G1113" s="11">
        <v>-0.0014</v>
      </c>
      <c r="H1113" s="9">
        <f>MAX($F$1080:F1113)</f>
        <v>1.0042</v>
      </c>
      <c r="I1113" s="11">
        <f t="shared" si="24"/>
        <v>0.0013941445927107</v>
      </c>
      <c r="J1113" s="9"/>
      <c r="K1113" s="11"/>
      <c r="L1113" s="9"/>
      <c r="M1113" s="11"/>
      <c r="N1113" s="9" t="s">
        <v>815</v>
      </c>
    </row>
    <row r="1114" ht="25" customHeight="1" spans="1:14">
      <c r="A1114" s="9" t="s">
        <v>472</v>
      </c>
      <c r="B1114" s="9" t="s">
        <v>471</v>
      </c>
      <c r="C1114" s="10">
        <v>45896</v>
      </c>
      <c r="D1114" s="15">
        <v>1.005</v>
      </c>
      <c r="E1114" s="15">
        <v>1.005</v>
      </c>
      <c r="F1114" s="15">
        <v>1.005</v>
      </c>
      <c r="G1114" s="11">
        <v>0.0022</v>
      </c>
      <c r="H1114" s="9">
        <f>MAX($F$1080:F1114)</f>
        <v>1.005</v>
      </c>
      <c r="I1114" s="11">
        <f t="shared" si="24"/>
        <v>0</v>
      </c>
      <c r="J1114" s="9"/>
      <c r="K1114" s="11"/>
      <c r="L1114" s="9"/>
      <c r="M1114" s="11"/>
      <c r="N1114" s="9" t="s">
        <v>815</v>
      </c>
    </row>
    <row r="1115" ht="25" customHeight="1" spans="1:14">
      <c r="A1115" s="9" t="s">
        <v>472</v>
      </c>
      <c r="B1115" s="9" t="s">
        <v>471</v>
      </c>
      <c r="C1115" s="10">
        <v>45897</v>
      </c>
      <c r="D1115" s="15">
        <v>1.0072</v>
      </c>
      <c r="E1115" s="15">
        <v>1.0072</v>
      </c>
      <c r="F1115" s="15">
        <v>1.0072</v>
      </c>
      <c r="G1115" s="11">
        <v>0.0022</v>
      </c>
      <c r="H1115" s="9">
        <f>MAX($F$1080:F1115)</f>
        <v>1.0072</v>
      </c>
      <c r="I1115" s="11">
        <f t="shared" si="24"/>
        <v>0</v>
      </c>
      <c r="J1115" s="9"/>
      <c r="K1115" s="11"/>
      <c r="L1115" s="9"/>
      <c r="M1115" s="11"/>
      <c r="N1115" s="9" t="s">
        <v>815</v>
      </c>
    </row>
    <row r="1116" ht="25" customHeight="1" spans="1:14">
      <c r="A1116" s="9" t="s">
        <v>472</v>
      </c>
      <c r="B1116" s="9" t="s">
        <v>471</v>
      </c>
      <c r="C1116" s="10">
        <v>45898</v>
      </c>
      <c r="D1116" s="15">
        <v>1.0058</v>
      </c>
      <c r="E1116" s="15">
        <v>1.0058</v>
      </c>
      <c r="F1116" s="15">
        <v>1.0058</v>
      </c>
      <c r="G1116" s="11">
        <v>-0.0014</v>
      </c>
      <c r="H1116" s="9">
        <f>MAX($F$1080:F1116)</f>
        <v>1.0072</v>
      </c>
      <c r="I1116" s="11">
        <f t="shared" si="24"/>
        <v>0.00138999205718826</v>
      </c>
      <c r="J1116" s="9"/>
      <c r="K1116" s="11"/>
      <c r="L1116" s="9"/>
      <c r="M1116" s="11"/>
      <c r="N1116" s="9" t="s">
        <v>815</v>
      </c>
    </row>
    <row r="1117" ht="25" customHeight="1" spans="1:14">
      <c r="A1117" s="9" t="s">
        <v>472</v>
      </c>
      <c r="B1117" s="9" t="s">
        <v>471</v>
      </c>
      <c r="C1117" s="10">
        <v>45901</v>
      </c>
      <c r="D1117" s="15">
        <v>1.0057</v>
      </c>
      <c r="E1117" s="15">
        <v>1.0057</v>
      </c>
      <c r="F1117" s="15">
        <v>1.0057</v>
      </c>
      <c r="G1117" s="11">
        <v>-0.0001</v>
      </c>
      <c r="H1117" s="9">
        <f>MAX($F$1080:F1117)</f>
        <v>1.0072</v>
      </c>
      <c r="I1117" s="11">
        <f t="shared" si="24"/>
        <v>0.00148927720413028</v>
      </c>
      <c r="J1117" s="9"/>
      <c r="K1117" s="11"/>
      <c r="L1117" s="9"/>
      <c r="M1117" s="11"/>
      <c r="N1117" s="9" t="s">
        <v>815</v>
      </c>
    </row>
    <row r="1118" ht="25" customHeight="1" spans="1:14">
      <c r="A1118" s="9" t="s">
        <v>472</v>
      </c>
      <c r="B1118" s="9" t="s">
        <v>471</v>
      </c>
      <c r="C1118" s="10">
        <v>45902</v>
      </c>
      <c r="D1118" s="15">
        <v>1.0074</v>
      </c>
      <c r="E1118" s="15">
        <v>1.0074</v>
      </c>
      <c r="F1118" s="15">
        <v>1.0074</v>
      </c>
      <c r="G1118" s="11">
        <v>0.0017</v>
      </c>
      <c r="H1118" s="9">
        <f>MAX($F$1080:F1118)</f>
        <v>1.0074</v>
      </c>
      <c r="I1118" s="11">
        <f t="shared" si="24"/>
        <v>0</v>
      </c>
      <c r="J1118" s="9"/>
      <c r="K1118" s="11"/>
      <c r="L1118" s="9"/>
      <c r="M1118" s="11"/>
      <c r="N1118" s="9" t="s">
        <v>815</v>
      </c>
    </row>
    <row r="1119" ht="25" customHeight="1" spans="1:14">
      <c r="A1119" s="9" t="s">
        <v>472</v>
      </c>
      <c r="B1119" s="9" t="s">
        <v>471</v>
      </c>
      <c r="C1119" s="10">
        <v>45903</v>
      </c>
      <c r="D1119" s="15">
        <v>1.007</v>
      </c>
      <c r="E1119" s="15">
        <v>1.007</v>
      </c>
      <c r="F1119" s="15">
        <v>1.007</v>
      </c>
      <c r="G1119" s="11">
        <v>-0.0004</v>
      </c>
      <c r="H1119" s="9">
        <f>MAX($F$1080:F1119)</f>
        <v>1.0074</v>
      </c>
      <c r="I1119" s="11">
        <f t="shared" si="24"/>
        <v>0.000397061743101279</v>
      </c>
      <c r="J1119" s="9"/>
      <c r="K1119" s="11"/>
      <c r="L1119" s="9"/>
      <c r="M1119" s="11"/>
      <c r="N1119" s="9" t="s">
        <v>815</v>
      </c>
    </row>
    <row r="1120" ht="25" customHeight="1" spans="1:14">
      <c r="A1120" s="9" t="s">
        <v>472</v>
      </c>
      <c r="B1120" s="9" t="s">
        <v>471</v>
      </c>
      <c r="C1120" s="10">
        <v>45904</v>
      </c>
      <c r="D1120" s="15">
        <v>1.0085</v>
      </c>
      <c r="E1120" s="15">
        <v>1.0085</v>
      </c>
      <c r="F1120" s="15">
        <v>1.0085</v>
      </c>
      <c r="G1120" s="11">
        <v>0.0015</v>
      </c>
      <c r="H1120" s="9">
        <f>MAX($F$1080:F1120)</f>
        <v>1.0085</v>
      </c>
      <c r="I1120" s="11">
        <f t="shared" si="24"/>
        <v>0</v>
      </c>
      <c r="J1120" s="9">
        <f>MAX($F$1120:F1120)</f>
        <v>1.0085</v>
      </c>
      <c r="K1120" s="11">
        <f t="shared" ref="K1120:K1183" si="25">1-F1120/J1120</f>
        <v>0</v>
      </c>
      <c r="L1120" s="9"/>
      <c r="M1120" s="11"/>
      <c r="N1120" s="9" t="s">
        <v>815</v>
      </c>
    </row>
    <row r="1121" ht="25" customHeight="1" spans="1:14">
      <c r="A1121" s="9" t="s">
        <v>472</v>
      </c>
      <c r="B1121" s="9" t="s">
        <v>471</v>
      </c>
      <c r="C1121" s="10">
        <v>45905</v>
      </c>
      <c r="D1121" s="15">
        <v>1.0082</v>
      </c>
      <c r="E1121" s="15">
        <v>1.0082</v>
      </c>
      <c r="F1121" s="15">
        <v>1.0082</v>
      </c>
      <c r="G1121" s="11">
        <v>-0.0003</v>
      </c>
      <c r="H1121" s="9">
        <f>MAX($F$1080:F1121)</f>
        <v>1.0085</v>
      </c>
      <c r="I1121" s="11">
        <f t="shared" si="24"/>
        <v>0.000297471492315293</v>
      </c>
      <c r="J1121" s="9">
        <f>MAX($F$1120:F1121)</f>
        <v>1.0085</v>
      </c>
      <c r="K1121" s="11">
        <f t="shared" si="25"/>
        <v>0.000297471492315293</v>
      </c>
      <c r="L1121" s="9"/>
      <c r="M1121" s="11"/>
      <c r="N1121" s="9" t="s">
        <v>815</v>
      </c>
    </row>
    <row r="1122" ht="25" customHeight="1" spans="1:14">
      <c r="A1122" s="9" t="s">
        <v>472</v>
      </c>
      <c r="B1122" s="9" t="s">
        <v>471</v>
      </c>
      <c r="C1122" s="10">
        <v>45908</v>
      </c>
      <c r="D1122" s="15">
        <v>1.0081</v>
      </c>
      <c r="E1122" s="15">
        <v>1.0081</v>
      </c>
      <c r="F1122" s="15">
        <v>1.0081</v>
      </c>
      <c r="G1122" s="11">
        <v>-0.0001</v>
      </c>
      <c r="H1122" s="9">
        <f>MAX($F$1080:F1122)</f>
        <v>1.0085</v>
      </c>
      <c r="I1122" s="11">
        <f t="shared" si="24"/>
        <v>0.000396628656420428</v>
      </c>
      <c r="J1122" s="9">
        <f>MAX($F$1120:F1122)</f>
        <v>1.0085</v>
      </c>
      <c r="K1122" s="11">
        <f t="shared" si="25"/>
        <v>0.000396628656420428</v>
      </c>
      <c r="L1122" s="9"/>
      <c r="M1122" s="11"/>
      <c r="N1122" s="9" t="s">
        <v>815</v>
      </c>
    </row>
    <row r="1123" ht="25" customHeight="1" spans="1:14">
      <c r="A1123" s="9" t="s">
        <v>472</v>
      </c>
      <c r="B1123" s="9" t="s">
        <v>471</v>
      </c>
      <c r="C1123" s="10">
        <v>45909</v>
      </c>
      <c r="D1123" s="15">
        <v>1.0083</v>
      </c>
      <c r="E1123" s="15">
        <v>1.0083</v>
      </c>
      <c r="F1123" s="15">
        <v>1.0083</v>
      </c>
      <c r="G1123" s="11">
        <v>0.0002</v>
      </c>
      <c r="H1123" s="9">
        <f>MAX($F$1080:F1123)</f>
        <v>1.0085</v>
      </c>
      <c r="I1123" s="11">
        <f t="shared" si="24"/>
        <v>0.000198314328210158</v>
      </c>
      <c r="J1123" s="9">
        <f>MAX($F$1120:F1123)</f>
        <v>1.0085</v>
      </c>
      <c r="K1123" s="11">
        <f t="shared" si="25"/>
        <v>0.000198314328210158</v>
      </c>
      <c r="L1123" s="9"/>
      <c r="M1123" s="11"/>
      <c r="N1123" s="9" t="s">
        <v>815</v>
      </c>
    </row>
    <row r="1124" ht="25" customHeight="1" spans="1:14">
      <c r="A1124" s="9" t="s">
        <v>472</v>
      </c>
      <c r="B1124" s="9" t="s">
        <v>471</v>
      </c>
      <c r="C1124" s="10">
        <v>45910</v>
      </c>
      <c r="D1124" s="15">
        <v>1.0074</v>
      </c>
      <c r="E1124" s="15">
        <v>1.0074</v>
      </c>
      <c r="F1124" s="15">
        <v>1.0074</v>
      </c>
      <c r="G1124" s="11">
        <v>-0.0009</v>
      </c>
      <c r="H1124" s="9">
        <f>MAX($F$1080:F1124)</f>
        <v>1.0085</v>
      </c>
      <c r="I1124" s="11">
        <f t="shared" si="24"/>
        <v>0.00109072880515604</v>
      </c>
      <c r="J1124" s="9">
        <f>MAX($F$1120:F1124)</f>
        <v>1.0085</v>
      </c>
      <c r="K1124" s="11">
        <f t="shared" si="25"/>
        <v>0.00109072880515604</v>
      </c>
      <c r="L1124" s="9"/>
      <c r="M1124" s="11"/>
      <c r="N1124" s="9" t="s">
        <v>815</v>
      </c>
    </row>
    <row r="1125" ht="25" customHeight="1" spans="1:14">
      <c r="A1125" s="9" t="s">
        <v>472</v>
      </c>
      <c r="B1125" s="9" t="s">
        <v>471</v>
      </c>
      <c r="C1125" s="10">
        <v>45911</v>
      </c>
      <c r="D1125" s="15">
        <v>1.0076</v>
      </c>
      <c r="E1125" s="15">
        <v>1.0076</v>
      </c>
      <c r="F1125" s="15">
        <v>1.0076</v>
      </c>
      <c r="G1125" s="11">
        <v>0.0002</v>
      </c>
      <c r="H1125" s="9">
        <f>MAX($F$1080:F1125)</f>
        <v>1.0085</v>
      </c>
      <c r="I1125" s="11">
        <f t="shared" si="24"/>
        <v>0.00089241447694588</v>
      </c>
      <c r="J1125" s="9">
        <f>MAX($F$1120:F1125)</f>
        <v>1.0085</v>
      </c>
      <c r="K1125" s="11">
        <f t="shared" si="25"/>
        <v>0.00089241447694588</v>
      </c>
      <c r="L1125" s="9"/>
      <c r="M1125" s="11"/>
      <c r="N1125" s="9" t="s">
        <v>815</v>
      </c>
    </row>
    <row r="1126" ht="25" customHeight="1" spans="1:14">
      <c r="A1126" s="9" t="s">
        <v>472</v>
      </c>
      <c r="B1126" s="9" t="s">
        <v>471</v>
      </c>
      <c r="C1126" s="10">
        <v>45912</v>
      </c>
      <c r="D1126" s="15">
        <v>1.0077</v>
      </c>
      <c r="E1126" s="15">
        <v>1.0077</v>
      </c>
      <c r="F1126" s="15">
        <v>1.0077</v>
      </c>
      <c r="G1126" s="11">
        <v>0.0001</v>
      </c>
      <c r="H1126" s="9">
        <f>MAX($F$1080:F1126)</f>
        <v>1.0085</v>
      </c>
      <c r="I1126" s="11">
        <f t="shared" si="24"/>
        <v>0.000793257312840745</v>
      </c>
      <c r="J1126" s="9">
        <f>MAX($F$1120:F1126)</f>
        <v>1.0085</v>
      </c>
      <c r="K1126" s="11">
        <f t="shared" si="25"/>
        <v>0.000793257312840745</v>
      </c>
      <c r="L1126" s="9"/>
      <c r="M1126" s="11"/>
      <c r="N1126" s="9" t="s">
        <v>815</v>
      </c>
    </row>
    <row r="1127" ht="25" customHeight="1" spans="1:14">
      <c r="A1127" s="9" t="s">
        <v>472</v>
      </c>
      <c r="B1127" s="9" t="s">
        <v>471</v>
      </c>
      <c r="C1127" s="10">
        <v>45915</v>
      </c>
      <c r="D1127" s="15">
        <v>1.0065</v>
      </c>
      <c r="E1127" s="15">
        <v>1.0065</v>
      </c>
      <c r="F1127" s="15">
        <v>1.0065</v>
      </c>
      <c r="G1127" s="11">
        <v>-0.0012</v>
      </c>
      <c r="H1127" s="9">
        <f>MAX($F$1080:F1127)</f>
        <v>1.0085</v>
      </c>
      <c r="I1127" s="11">
        <f t="shared" si="24"/>
        <v>0.00198314328210214</v>
      </c>
      <c r="J1127" s="9">
        <f>MAX($F$1120:F1127)</f>
        <v>1.0085</v>
      </c>
      <c r="K1127" s="11">
        <f t="shared" si="25"/>
        <v>0.00198314328210214</v>
      </c>
      <c r="L1127" s="9"/>
      <c r="M1127" s="11"/>
      <c r="N1127" s="9" t="s">
        <v>815</v>
      </c>
    </row>
    <row r="1128" ht="25" customHeight="1" spans="1:14">
      <c r="A1128" s="9" t="s">
        <v>472</v>
      </c>
      <c r="B1128" s="9" t="s">
        <v>471</v>
      </c>
      <c r="C1128" s="10">
        <v>45916</v>
      </c>
      <c r="D1128" s="15">
        <v>1.0072</v>
      </c>
      <c r="E1128" s="15">
        <v>1.0072</v>
      </c>
      <c r="F1128" s="15">
        <v>1.0072</v>
      </c>
      <c r="G1128" s="11">
        <v>0.0007</v>
      </c>
      <c r="H1128" s="9">
        <f>MAX($F$1080:F1128)</f>
        <v>1.0085</v>
      </c>
      <c r="I1128" s="11">
        <f t="shared" si="24"/>
        <v>0.0012890431333662</v>
      </c>
      <c r="J1128" s="9">
        <f>MAX($F$1120:F1128)</f>
        <v>1.0085</v>
      </c>
      <c r="K1128" s="11">
        <f t="shared" si="25"/>
        <v>0.0012890431333662</v>
      </c>
      <c r="L1128" s="9"/>
      <c r="M1128" s="11"/>
      <c r="N1128" s="9" t="s">
        <v>815</v>
      </c>
    </row>
    <row r="1129" ht="25" customHeight="1" spans="1:14">
      <c r="A1129" s="9" t="s">
        <v>472</v>
      </c>
      <c r="B1129" s="9" t="s">
        <v>471</v>
      </c>
      <c r="C1129" s="10">
        <v>45917</v>
      </c>
      <c r="D1129" s="15">
        <v>1.0072</v>
      </c>
      <c r="E1129" s="15">
        <v>1.0072</v>
      </c>
      <c r="F1129" s="15">
        <v>1.0072</v>
      </c>
      <c r="G1129" s="11">
        <v>0</v>
      </c>
      <c r="H1129" s="9">
        <f>MAX($F$1080:F1129)</f>
        <v>1.0085</v>
      </c>
      <c r="I1129" s="11">
        <f t="shared" si="24"/>
        <v>0.0012890431333662</v>
      </c>
      <c r="J1129" s="9">
        <f>MAX($F$1120:F1129)</f>
        <v>1.0085</v>
      </c>
      <c r="K1129" s="11">
        <f t="shared" si="25"/>
        <v>0.0012890431333662</v>
      </c>
      <c r="L1129" s="9"/>
      <c r="M1129" s="11"/>
      <c r="N1129" s="9" t="s">
        <v>815</v>
      </c>
    </row>
    <row r="1130" ht="25" customHeight="1" spans="1:14">
      <c r="A1130" s="9" t="s">
        <v>472</v>
      </c>
      <c r="B1130" s="9" t="s">
        <v>471</v>
      </c>
      <c r="C1130" s="10">
        <v>45918</v>
      </c>
      <c r="D1130" s="15">
        <v>1.0084</v>
      </c>
      <c r="E1130" s="15">
        <v>1.0084</v>
      </c>
      <c r="F1130" s="15">
        <v>1.0084</v>
      </c>
      <c r="G1130" s="11">
        <v>0.0012</v>
      </c>
      <c r="H1130" s="9">
        <f>MAX($F$1080:F1130)</f>
        <v>1.0085</v>
      </c>
      <c r="I1130" s="11">
        <f t="shared" si="24"/>
        <v>9.91571641051348e-5</v>
      </c>
      <c r="J1130" s="9">
        <f>MAX($F$1120:F1130)</f>
        <v>1.0085</v>
      </c>
      <c r="K1130" s="11">
        <f t="shared" si="25"/>
        <v>9.91571641051348e-5</v>
      </c>
      <c r="L1130" s="9"/>
      <c r="M1130" s="11"/>
      <c r="N1130" s="9" t="s">
        <v>815</v>
      </c>
    </row>
    <row r="1131" ht="25" customHeight="1" spans="1:14">
      <c r="A1131" s="9" t="s">
        <v>472</v>
      </c>
      <c r="B1131" s="9" t="s">
        <v>471</v>
      </c>
      <c r="C1131" s="10">
        <v>45919</v>
      </c>
      <c r="D1131" s="15">
        <v>1.0077</v>
      </c>
      <c r="E1131" s="15">
        <v>1.0077</v>
      </c>
      <c r="F1131" s="15">
        <v>1.0077</v>
      </c>
      <c r="G1131" s="11">
        <v>-0.0007</v>
      </c>
      <c r="H1131" s="9">
        <f>MAX($F$1080:F1131)</f>
        <v>1.0085</v>
      </c>
      <c r="I1131" s="11">
        <f t="shared" si="24"/>
        <v>0.000793257312840745</v>
      </c>
      <c r="J1131" s="9">
        <f>MAX($F$1120:F1131)</f>
        <v>1.0085</v>
      </c>
      <c r="K1131" s="11">
        <f t="shared" si="25"/>
        <v>0.000793257312840745</v>
      </c>
      <c r="L1131" s="9"/>
      <c r="M1131" s="11"/>
      <c r="N1131" s="9" t="s">
        <v>815</v>
      </c>
    </row>
    <row r="1132" ht="25" customHeight="1" spans="1:14">
      <c r="A1132" s="9" t="s">
        <v>472</v>
      </c>
      <c r="B1132" s="9" t="s">
        <v>471</v>
      </c>
      <c r="C1132" s="10">
        <v>45922</v>
      </c>
      <c r="D1132" s="15">
        <v>1.0102</v>
      </c>
      <c r="E1132" s="15">
        <v>1.0102</v>
      </c>
      <c r="F1132" s="15">
        <v>1.0102</v>
      </c>
      <c r="G1132" s="11">
        <v>0.0025</v>
      </c>
      <c r="H1132" s="9">
        <f>MAX($F$1080:F1132)</f>
        <v>1.0102</v>
      </c>
      <c r="I1132" s="11">
        <f t="shared" si="24"/>
        <v>0</v>
      </c>
      <c r="J1132" s="9">
        <f>MAX($F$1120:F1132)</f>
        <v>1.0102</v>
      </c>
      <c r="K1132" s="11">
        <f t="shared" si="25"/>
        <v>0</v>
      </c>
      <c r="L1132" s="9"/>
      <c r="M1132" s="11"/>
      <c r="N1132" s="9" t="s">
        <v>815</v>
      </c>
    </row>
    <row r="1133" ht="25" customHeight="1" spans="1:14">
      <c r="A1133" s="9" t="s">
        <v>472</v>
      </c>
      <c r="B1133" s="9" t="s">
        <v>471</v>
      </c>
      <c r="C1133" s="10">
        <v>45923</v>
      </c>
      <c r="D1133" s="15">
        <v>1.0095</v>
      </c>
      <c r="E1133" s="15">
        <v>1.0095</v>
      </c>
      <c r="F1133" s="15">
        <v>1.0095</v>
      </c>
      <c r="G1133" s="11">
        <v>-0.0007</v>
      </c>
      <c r="H1133" s="9">
        <f>MAX($F$1080:F1133)</f>
        <v>1.0102</v>
      </c>
      <c r="I1133" s="11">
        <f t="shared" si="24"/>
        <v>0.000692932092654863</v>
      </c>
      <c r="J1133" s="9">
        <f>MAX($F$1120:F1133)</f>
        <v>1.0102</v>
      </c>
      <c r="K1133" s="11">
        <f t="shared" si="25"/>
        <v>0.000692932092654863</v>
      </c>
      <c r="L1133" s="9"/>
      <c r="M1133" s="11"/>
      <c r="N1133" s="9" t="s">
        <v>815</v>
      </c>
    </row>
    <row r="1134" ht="25" customHeight="1" spans="1:14">
      <c r="A1134" s="9" t="s">
        <v>472</v>
      </c>
      <c r="B1134" s="9" t="s">
        <v>471</v>
      </c>
      <c r="C1134" s="10">
        <v>45924</v>
      </c>
      <c r="D1134" s="15">
        <v>1.0096</v>
      </c>
      <c r="E1134" s="15">
        <v>1.0096</v>
      </c>
      <c r="F1134" s="15">
        <v>1.0096</v>
      </c>
      <c r="G1134" s="11">
        <v>0.0001</v>
      </c>
      <c r="H1134" s="9">
        <f>MAX($F$1080:F1134)</f>
        <v>1.0102</v>
      </c>
      <c r="I1134" s="11">
        <f t="shared" si="24"/>
        <v>0.0005939417937042</v>
      </c>
      <c r="J1134" s="9">
        <f>MAX($F$1120:F1134)</f>
        <v>1.0102</v>
      </c>
      <c r="K1134" s="11">
        <f t="shared" si="25"/>
        <v>0.0005939417937042</v>
      </c>
      <c r="L1134" s="9"/>
      <c r="M1134" s="11"/>
      <c r="N1134" s="9" t="s">
        <v>815</v>
      </c>
    </row>
    <row r="1135" ht="25" customHeight="1" spans="1:14">
      <c r="A1135" s="9" t="s">
        <v>472</v>
      </c>
      <c r="B1135" s="9" t="s">
        <v>471</v>
      </c>
      <c r="C1135" s="10">
        <v>45925</v>
      </c>
      <c r="D1135" s="15">
        <v>1.009</v>
      </c>
      <c r="E1135" s="15">
        <v>1.009</v>
      </c>
      <c r="F1135" s="15">
        <v>1.009</v>
      </c>
      <c r="G1135" s="11">
        <v>-0.0006</v>
      </c>
      <c r="H1135" s="9">
        <f>MAX($F$1080:F1135)</f>
        <v>1.0102</v>
      </c>
      <c r="I1135" s="11">
        <f t="shared" si="24"/>
        <v>0.00118788358740851</v>
      </c>
      <c r="J1135" s="9">
        <f>MAX($F$1120:F1135)</f>
        <v>1.0102</v>
      </c>
      <c r="K1135" s="11">
        <f t="shared" si="25"/>
        <v>0.00118788358740851</v>
      </c>
      <c r="L1135" s="9"/>
      <c r="M1135" s="11"/>
      <c r="N1135" s="9" t="s">
        <v>815</v>
      </c>
    </row>
    <row r="1136" ht="25" customHeight="1" spans="1:14">
      <c r="A1136" s="9" t="s">
        <v>472</v>
      </c>
      <c r="B1136" s="9" t="s">
        <v>471</v>
      </c>
      <c r="C1136" s="10">
        <v>45926</v>
      </c>
      <c r="D1136" s="15">
        <v>1.0102</v>
      </c>
      <c r="E1136" s="15">
        <v>1.0102</v>
      </c>
      <c r="F1136" s="15">
        <v>1.0102</v>
      </c>
      <c r="G1136" s="11">
        <v>0.0012</v>
      </c>
      <c r="H1136" s="9">
        <f>MAX($F$1080:F1136)</f>
        <v>1.0102</v>
      </c>
      <c r="I1136" s="11">
        <f t="shared" si="24"/>
        <v>0</v>
      </c>
      <c r="J1136" s="9">
        <f>MAX($F$1120:F1136)</f>
        <v>1.0102</v>
      </c>
      <c r="K1136" s="11">
        <f t="shared" si="25"/>
        <v>0</v>
      </c>
      <c r="L1136" s="9"/>
      <c r="M1136" s="11"/>
      <c r="N1136" s="9" t="s">
        <v>815</v>
      </c>
    </row>
    <row r="1137" ht="25" customHeight="1" spans="1:14">
      <c r="A1137" s="9" t="s">
        <v>472</v>
      </c>
      <c r="B1137" s="9" t="s">
        <v>471</v>
      </c>
      <c r="C1137" s="10">
        <v>45929</v>
      </c>
      <c r="D1137" s="15">
        <v>1.0106</v>
      </c>
      <c r="E1137" s="15">
        <v>1.0106</v>
      </c>
      <c r="F1137" s="15">
        <v>1.0106</v>
      </c>
      <c r="G1137" s="11">
        <v>0.0004</v>
      </c>
      <c r="H1137" s="9">
        <f>MAX($F$1080:F1137)</f>
        <v>1.0106</v>
      </c>
      <c r="I1137" s="11">
        <f t="shared" si="24"/>
        <v>0</v>
      </c>
      <c r="J1137" s="9">
        <f>MAX($F$1120:F1137)</f>
        <v>1.0106</v>
      </c>
      <c r="K1137" s="11">
        <f t="shared" si="25"/>
        <v>0</v>
      </c>
      <c r="L1137" s="9"/>
      <c r="M1137" s="11"/>
      <c r="N1137" s="9" t="s">
        <v>815</v>
      </c>
    </row>
    <row r="1138" ht="25" customHeight="1" spans="1:14">
      <c r="A1138" s="9" t="s">
        <v>472</v>
      </c>
      <c r="B1138" s="9" t="s">
        <v>471</v>
      </c>
      <c r="C1138" s="10">
        <v>45930</v>
      </c>
      <c r="D1138" s="15">
        <v>1.0103</v>
      </c>
      <c r="E1138" s="15">
        <v>1.0103</v>
      </c>
      <c r="F1138" s="15">
        <v>1.0103</v>
      </c>
      <c r="G1138" s="11">
        <v>-0.0003</v>
      </c>
      <c r="H1138" s="9">
        <f>MAX($F$1080:F1138)</f>
        <v>1.0106</v>
      </c>
      <c r="I1138" s="11">
        <f t="shared" si="24"/>
        <v>0.00029685335444285</v>
      </c>
      <c r="J1138" s="9">
        <f>MAX($F$1120:F1138)</f>
        <v>1.0106</v>
      </c>
      <c r="K1138" s="11">
        <f t="shared" si="25"/>
        <v>0.00029685335444285</v>
      </c>
      <c r="L1138" s="9"/>
      <c r="M1138" s="11"/>
      <c r="N1138" s="9" t="s">
        <v>815</v>
      </c>
    </row>
    <row r="1139" ht="25" customHeight="1" spans="1:14">
      <c r="A1139" s="9" t="s">
        <v>472</v>
      </c>
      <c r="B1139" s="9" t="s">
        <v>471</v>
      </c>
      <c r="C1139" s="10">
        <v>45939</v>
      </c>
      <c r="D1139" s="15">
        <v>1.0097</v>
      </c>
      <c r="E1139" s="15">
        <v>1.0097</v>
      </c>
      <c r="F1139" s="15">
        <v>1.0097</v>
      </c>
      <c r="G1139" s="11">
        <v>-0.0006</v>
      </c>
      <c r="H1139" s="9">
        <f>MAX($F$1080:F1139)</f>
        <v>1.0106</v>
      </c>
      <c r="I1139" s="11">
        <f t="shared" si="24"/>
        <v>0.00089056006332866</v>
      </c>
      <c r="J1139" s="9">
        <f>MAX($F$1120:F1139)</f>
        <v>1.0106</v>
      </c>
      <c r="K1139" s="11">
        <f t="shared" si="25"/>
        <v>0.00089056006332866</v>
      </c>
      <c r="L1139" s="9"/>
      <c r="M1139" s="11"/>
      <c r="N1139" s="9" t="s">
        <v>815</v>
      </c>
    </row>
    <row r="1140" ht="25" customHeight="1" spans="1:14">
      <c r="A1140" s="9" t="s">
        <v>472</v>
      </c>
      <c r="B1140" s="9" t="s">
        <v>471</v>
      </c>
      <c r="C1140" s="10">
        <v>45940</v>
      </c>
      <c r="D1140" s="15">
        <v>1.0101</v>
      </c>
      <c r="E1140" s="15">
        <v>1.0101</v>
      </c>
      <c r="F1140" s="15">
        <v>1.0101</v>
      </c>
      <c r="G1140" s="11">
        <v>0.0004</v>
      </c>
      <c r="H1140" s="9">
        <f>MAX($F$1080:F1140)</f>
        <v>1.0106</v>
      </c>
      <c r="I1140" s="11">
        <f t="shared" si="24"/>
        <v>0.000494755590738083</v>
      </c>
      <c r="J1140" s="9">
        <f>MAX($F$1120:F1140)</f>
        <v>1.0106</v>
      </c>
      <c r="K1140" s="11">
        <f t="shared" si="25"/>
        <v>0.000494755590738083</v>
      </c>
      <c r="L1140" s="9"/>
      <c r="M1140" s="11"/>
      <c r="N1140" s="9" t="s">
        <v>815</v>
      </c>
    </row>
    <row r="1141" ht="25" customHeight="1" spans="1:14">
      <c r="A1141" s="9" t="s">
        <v>472</v>
      </c>
      <c r="B1141" s="9" t="s">
        <v>471</v>
      </c>
      <c r="C1141" s="10">
        <v>45943</v>
      </c>
      <c r="D1141" s="15">
        <v>1.0098</v>
      </c>
      <c r="E1141" s="15">
        <v>1.0098</v>
      </c>
      <c r="F1141" s="15">
        <v>1.0098</v>
      </c>
      <c r="G1141" s="11">
        <v>-0.0003</v>
      </c>
      <c r="H1141" s="9">
        <f>MAX($F$1080:F1141)</f>
        <v>1.0106</v>
      </c>
      <c r="I1141" s="11">
        <f t="shared" si="24"/>
        <v>0.000791608945181044</v>
      </c>
      <c r="J1141" s="9">
        <f>MAX($F$1120:F1141)</f>
        <v>1.0106</v>
      </c>
      <c r="K1141" s="11">
        <f t="shared" si="25"/>
        <v>0.000791608945181044</v>
      </c>
      <c r="L1141" s="9"/>
      <c r="M1141" s="11"/>
      <c r="N1141" s="9" t="s">
        <v>815</v>
      </c>
    </row>
    <row r="1142" ht="25" customHeight="1" spans="1:14">
      <c r="A1142" s="9" t="s">
        <v>472</v>
      </c>
      <c r="B1142" s="9" t="s">
        <v>471</v>
      </c>
      <c r="C1142" s="10">
        <v>45944</v>
      </c>
      <c r="D1142" s="15">
        <v>1.0095</v>
      </c>
      <c r="E1142" s="15">
        <v>1.0095</v>
      </c>
      <c r="F1142" s="15">
        <v>1.0095</v>
      </c>
      <c r="G1142" s="11">
        <v>-0.0003</v>
      </c>
      <c r="H1142" s="9">
        <f>MAX($F$1080:F1142)</f>
        <v>1.0106</v>
      </c>
      <c r="I1142" s="11">
        <f t="shared" si="24"/>
        <v>0.00108846229962389</v>
      </c>
      <c r="J1142" s="9">
        <f>MAX($F$1120:F1142)</f>
        <v>1.0106</v>
      </c>
      <c r="K1142" s="11">
        <f t="shared" si="25"/>
        <v>0.00108846229962389</v>
      </c>
      <c r="L1142" s="9"/>
      <c r="M1142" s="11"/>
      <c r="N1142" s="9" t="s">
        <v>815</v>
      </c>
    </row>
    <row r="1143" ht="25" customHeight="1" spans="1:14">
      <c r="A1143" s="9" t="s">
        <v>472</v>
      </c>
      <c r="B1143" s="9" t="s">
        <v>471</v>
      </c>
      <c r="C1143" s="10">
        <v>45945</v>
      </c>
      <c r="D1143" s="15">
        <v>1.01</v>
      </c>
      <c r="E1143" s="15">
        <v>1.01</v>
      </c>
      <c r="F1143" s="15">
        <v>1.01</v>
      </c>
      <c r="G1143" s="11">
        <v>0.0005</v>
      </c>
      <c r="H1143" s="9">
        <f>MAX($F$1080:F1143)</f>
        <v>1.0106</v>
      </c>
      <c r="I1143" s="11">
        <f t="shared" si="24"/>
        <v>0.0005937067088857</v>
      </c>
      <c r="J1143" s="9">
        <f>MAX($F$1120:F1143)</f>
        <v>1.0106</v>
      </c>
      <c r="K1143" s="11">
        <f t="shared" si="25"/>
        <v>0.0005937067088857</v>
      </c>
      <c r="L1143" s="9"/>
      <c r="M1143" s="11"/>
      <c r="N1143" s="9" t="s">
        <v>815</v>
      </c>
    </row>
    <row r="1144" ht="25" customHeight="1" spans="1:14">
      <c r="A1144" s="9" t="s">
        <v>472</v>
      </c>
      <c r="B1144" s="9" t="s">
        <v>471</v>
      </c>
      <c r="C1144" s="10">
        <v>45946</v>
      </c>
      <c r="D1144" s="15">
        <v>1.0104</v>
      </c>
      <c r="E1144" s="15">
        <v>1.0104</v>
      </c>
      <c r="F1144" s="15">
        <v>1.0104</v>
      </c>
      <c r="G1144" s="11">
        <v>0.0004</v>
      </c>
      <c r="H1144" s="9">
        <f>MAX($F$1080:F1144)</f>
        <v>1.0106</v>
      </c>
      <c r="I1144" s="11">
        <f t="shared" si="24"/>
        <v>0.000197902236295233</v>
      </c>
      <c r="J1144" s="9">
        <f>MAX($F$1120:F1144)</f>
        <v>1.0106</v>
      </c>
      <c r="K1144" s="11">
        <f t="shared" si="25"/>
        <v>0.000197902236295233</v>
      </c>
      <c r="L1144" s="9"/>
      <c r="M1144" s="11"/>
      <c r="N1144" s="9" t="s">
        <v>815</v>
      </c>
    </row>
    <row r="1145" ht="25" customHeight="1" spans="1:14">
      <c r="A1145" s="9" t="s">
        <v>472</v>
      </c>
      <c r="B1145" s="9" t="s">
        <v>471</v>
      </c>
      <c r="C1145" s="10">
        <v>45947</v>
      </c>
      <c r="D1145" s="15">
        <v>1.0108</v>
      </c>
      <c r="E1145" s="15">
        <v>1.0108</v>
      </c>
      <c r="F1145" s="15">
        <v>1.0108</v>
      </c>
      <c r="G1145" s="11">
        <v>0.0004</v>
      </c>
      <c r="H1145" s="9">
        <f>MAX($F$1080:F1145)</f>
        <v>1.0108</v>
      </c>
      <c r="I1145" s="11">
        <f t="shared" si="24"/>
        <v>0</v>
      </c>
      <c r="J1145" s="9">
        <f>MAX($F$1120:F1145)</f>
        <v>1.0108</v>
      </c>
      <c r="K1145" s="11">
        <f t="shared" si="25"/>
        <v>0</v>
      </c>
      <c r="L1145" s="9"/>
      <c r="M1145" s="11"/>
      <c r="N1145" s="9" t="s">
        <v>815</v>
      </c>
    </row>
    <row r="1146" ht="25" customHeight="1" spans="1:14">
      <c r="A1146" s="9" t="s">
        <v>472</v>
      </c>
      <c r="B1146" s="9" t="s">
        <v>471</v>
      </c>
      <c r="C1146" s="10">
        <v>45950</v>
      </c>
      <c r="D1146" s="15">
        <v>1.0118</v>
      </c>
      <c r="E1146" s="15">
        <v>1.0118</v>
      </c>
      <c r="F1146" s="15">
        <v>1.0118</v>
      </c>
      <c r="G1146" s="11">
        <v>0.001</v>
      </c>
      <c r="H1146" s="9">
        <f>MAX($F$1080:F1146)</f>
        <v>1.0118</v>
      </c>
      <c r="I1146" s="11">
        <f t="shared" si="24"/>
        <v>0</v>
      </c>
      <c r="J1146" s="9">
        <f>MAX($F$1120:F1146)</f>
        <v>1.0118</v>
      </c>
      <c r="K1146" s="11">
        <f t="shared" si="25"/>
        <v>0</v>
      </c>
      <c r="L1146" s="9"/>
      <c r="M1146" s="11"/>
      <c r="N1146" s="9" t="s">
        <v>815</v>
      </c>
    </row>
    <row r="1147" ht="25" customHeight="1" spans="1:14">
      <c r="A1147" s="9" t="s">
        <v>472</v>
      </c>
      <c r="B1147" s="9" t="s">
        <v>471</v>
      </c>
      <c r="C1147" s="10">
        <v>45951</v>
      </c>
      <c r="D1147" s="15">
        <v>1.0107</v>
      </c>
      <c r="E1147" s="15">
        <v>1.0107</v>
      </c>
      <c r="F1147" s="15">
        <v>1.0107</v>
      </c>
      <c r="G1147" s="11">
        <v>-0.0011</v>
      </c>
      <c r="H1147" s="9">
        <f>MAX($F$1080:F1147)</f>
        <v>1.0118</v>
      </c>
      <c r="I1147" s="11">
        <f t="shared" si="24"/>
        <v>0.00108717137774272</v>
      </c>
      <c r="J1147" s="9">
        <f>MAX($F$1120:F1147)</f>
        <v>1.0118</v>
      </c>
      <c r="K1147" s="11">
        <f t="shared" si="25"/>
        <v>0.00108717137774272</v>
      </c>
      <c r="L1147" s="9"/>
      <c r="M1147" s="11"/>
      <c r="N1147" s="9" t="s">
        <v>815</v>
      </c>
    </row>
    <row r="1148" ht="25" customHeight="1" spans="1:14">
      <c r="A1148" s="9" t="s">
        <v>472</v>
      </c>
      <c r="B1148" s="9" t="s">
        <v>471</v>
      </c>
      <c r="C1148" s="10">
        <v>45952</v>
      </c>
      <c r="D1148" s="15">
        <v>1.0108</v>
      </c>
      <c r="E1148" s="15">
        <v>1.0108</v>
      </c>
      <c r="F1148" s="15">
        <v>1.0108</v>
      </c>
      <c r="G1148" s="11">
        <v>0.0001</v>
      </c>
      <c r="H1148" s="9">
        <f>MAX($F$1080:F1148)</f>
        <v>1.0118</v>
      </c>
      <c r="I1148" s="11">
        <f t="shared" si="24"/>
        <v>0.00098833761612982</v>
      </c>
      <c r="J1148" s="9">
        <f>MAX($F$1120:F1148)</f>
        <v>1.0118</v>
      </c>
      <c r="K1148" s="11">
        <f t="shared" si="25"/>
        <v>0.00098833761612982</v>
      </c>
      <c r="L1148" s="9"/>
      <c r="M1148" s="11"/>
      <c r="N1148" s="9" t="s">
        <v>815</v>
      </c>
    </row>
    <row r="1149" ht="25" customHeight="1" spans="1:14">
      <c r="A1149" s="9" t="s">
        <v>472</v>
      </c>
      <c r="B1149" s="9" t="s">
        <v>471</v>
      </c>
      <c r="C1149" s="10">
        <v>45953</v>
      </c>
      <c r="D1149" s="15">
        <v>1.0111</v>
      </c>
      <c r="E1149" s="15">
        <v>1.0111</v>
      </c>
      <c r="F1149" s="15">
        <v>1.0111</v>
      </c>
      <c r="G1149" s="11">
        <v>0.0003</v>
      </c>
      <c r="H1149" s="9">
        <f>MAX($F$1080:F1149)</f>
        <v>1.0118</v>
      </c>
      <c r="I1149" s="11">
        <f t="shared" si="24"/>
        <v>0.000691836331290663</v>
      </c>
      <c r="J1149" s="9">
        <f>MAX($F$1120:F1149)</f>
        <v>1.0118</v>
      </c>
      <c r="K1149" s="11">
        <f t="shared" si="25"/>
        <v>0.000691836331290663</v>
      </c>
      <c r="L1149" s="9"/>
      <c r="M1149" s="11"/>
      <c r="N1149" s="9" t="s">
        <v>815</v>
      </c>
    </row>
    <row r="1150" ht="25" customHeight="1" spans="1:14">
      <c r="A1150" s="9" t="s">
        <v>472</v>
      </c>
      <c r="B1150" s="9" t="s">
        <v>471</v>
      </c>
      <c r="C1150" s="10">
        <v>45954</v>
      </c>
      <c r="D1150" s="15">
        <v>1.0111</v>
      </c>
      <c r="E1150" s="15">
        <v>1.0111</v>
      </c>
      <c r="F1150" s="15">
        <v>1.0111</v>
      </c>
      <c r="G1150" s="11">
        <v>0</v>
      </c>
      <c r="H1150" s="9">
        <f>MAX($F$1080:F1150)</f>
        <v>1.0118</v>
      </c>
      <c r="I1150" s="11">
        <f t="shared" si="24"/>
        <v>0.000691836331290663</v>
      </c>
      <c r="J1150" s="9">
        <f>MAX($F$1120:F1150)</f>
        <v>1.0118</v>
      </c>
      <c r="K1150" s="11">
        <f t="shared" si="25"/>
        <v>0.000691836331290663</v>
      </c>
      <c r="L1150" s="9"/>
      <c r="M1150" s="11"/>
      <c r="N1150" s="9" t="s">
        <v>815</v>
      </c>
    </row>
    <row r="1151" ht="25" customHeight="1" spans="1:14">
      <c r="A1151" s="9" t="s">
        <v>472</v>
      </c>
      <c r="B1151" s="9" t="s">
        <v>471</v>
      </c>
      <c r="C1151" s="10">
        <v>45957</v>
      </c>
      <c r="D1151" s="15">
        <v>1.0134</v>
      </c>
      <c r="E1151" s="15">
        <v>1.0134</v>
      </c>
      <c r="F1151" s="15">
        <v>1.0134</v>
      </c>
      <c r="G1151" s="11">
        <v>0.0023</v>
      </c>
      <c r="H1151" s="9">
        <f>MAX($F$1080:F1151)</f>
        <v>1.0134</v>
      </c>
      <c r="I1151" s="11">
        <f t="shared" si="24"/>
        <v>0</v>
      </c>
      <c r="J1151" s="9">
        <f>MAX($F$1120:F1151)</f>
        <v>1.0134</v>
      </c>
      <c r="K1151" s="11">
        <f t="shared" si="25"/>
        <v>0</v>
      </c>
      <c r="L1151" s="9"/>
      <c r="M1151" s="11"/>
      <c r="N1151" s="9" t="s">
        <v>815</v>
      </c>
    </row>
    <row r="1152" ht="25" customHeight="1" spans="1:14">
      <c r="A1152" s="9" t="s">
        <v>472</v>
      </c>
      <c r="B1152" s="9" t="s">
        <v>471</v>
      </c>
      <c r="C1152" s="10">
        <v>45958</v>
      </c>
      <c r="D1152" s="15">
        <v>1.0136</v>
      </c>
      <c r="E1152" s="15">
        <v>1.0136</v>
      </c>
      <c r="F1152" s="15">
        <v>1.0136</v>
      </c>
      <c r="G1152" s="11">
        <v>0.0002</v>
      </c>
      <c r="H1152" s="9">
        <f>MAX($F$1080:F1152)</f>
        <v>1.0136</v>
      </c>
      <c r="I1152" s="11">
        <f t="shared" si="24"/>
        <v>0</v>
      </c>
      <c r="J1152" s="9">
        <f>MAX($F$1120:F1152)</f>
        <v>1.0136</v>
      </c>
      <c r="K1152" s="11">
        <f t="shared" si="25"/>
        <v>0</v>
      </c>
      <c r="L1152" s="9"/>
      <c r="M1152" s="11"/>
      <c r="N1152" s="9" t="s">
        <v>815</v>
      </c>
    </row>
    <row r="1153" ht="25" customHeight="1" spans="1:14">
      <c r="A1153" s="9" t="s">
        <v>472</v>
      </c>
      <c r="B1153" s="9" t="s">
        <v>471</v>
      </c>
      <c r="C1153" s="10">
        <v>45959</v>
      </c>
      <c r="D1153" s="15">
        <v>1.0139</v>
      </c>
      <c r="E1153" s="15">
        <v>1.0139</v>
      </c>
      <c r="F1153" s="15">
        <v>1.0139</v>
      </c>
      <c r="G1153" s="11">
        <v>0.0003</v>
      </c>
      <c r="H1153" s="9">
        <f>MAX($F$1080:F1153)</f>
        <v>1.0139</v>
      </c>
      <c r="I1153" s="11">
        <f t="shared" si="24"/>
        <v>0</v>
      </c>
      <c r="J1153" s="9">
        <f>MAX($F$1120:F1153)</f>
        <v>1.0139</v>
      </c>
      <c r="K1153" s="11">
        <f t="shared" si="25"/>
        <v>0</v>
      </c>
      <c r="L1153" s="9"/>
      <c r="M1153" s="11"/>
      <c r="N1153" s="9" t="s">
        <v>815</v>
      </c>
    </row>
    <row r="1154" ht="25" customHeight="1" spans="1:14">
      <c r="A1154" s="9" t="s">
        <v>472</v>
      </c>
      <c r="B1154" s="9" t="s">
        <v>471</v>
      </c>
      <c r="C1154" s="10">
        <v>45960</v>
      </c>
      <c r="D1154" s="15">
        <v>1.0142</v>
      </c>
      <c r="E1154" s="15">
        <v>1.0142</v>
      </c>
      <c r="F1154" s="15">
        <v>1.0142</v>
      </c>
      <c r="G1154" s="11">
        <v>0.0003</v>
      </c>
      <c r="H1154" s="9">
        <f>MAX($F$1080:F1154)</f>
        <v>1.0142</v>
      </c>
      <c r="I1154" s="11">
        <f t="shared" ref="I1154:I1217" si="26">1-F1154/H1154</f>
        <v>0</v>
      </c>
      <c r="J1154" s="9">
        <f>MAX($F$1120:F1154)</f>
        <v>1.0142</v>
      </c>
      <c r="K1154" s="11">
        <f t="shared" si="25"/>
        <v>0</v>
      </c>
      <c r="L1154" s="9"/>
      <c r="M1154" s="11"/>
      <c r="N1154" s="9" t="s">
        <v>815</v>
      </c>
    </row>
    <row r="1155" ht="25" customHeight="1" spans="1:14">
      <c r="A1155" s="9" t="s">
        <v>472</v>
      </c>
      <c r="B1155" s="9" t="s">
        <v>471</v>
      </c>
      <c r="C1155" s="10">
        <v>45961</v>
      </c>
      <c r="D1155" s="15">
        <v>1.0138</v>
      </c>
      <c r="E1155" s="15">
        <v>1.0138</v>
      </c>
      <c r="F1155" s="15">
        <v>1.0138</v>
      </c>
      <c r="G1155" s="11">
        <v>-0.0004</v>
      </c>
      <c r="H1155" s="9">
        <f>MAX($F$1080:F1155)</f>
        <v>1.0142</v>
      </c>
      <c r="I1155" s="11">
        <f t="shared" si="26"/>
        <v>0.00039439952672049</v>
      </c>
      <c r="J1155" s="9">
        <f>MAX($F$1120:F1155)</f>
        <v>1.0142</v>
      </c>
      <c r="K1155" s="11">
        <f t="shared" si="25"/>
        <v>0.00039439952672049</v>
      </c>
      <c r="L1155" s="9"/>
      <c r="M1155" s="11"/>
      <c r="N1155" s="9" t="s">
        <v>815</v>
      </c>
    </row>
    <row r="1156" ht="25" customHeight="1" spans="1:14">
      <c r="A1156" s="9" t="s">
        <v>472</v>
      </c>
      <c r="B1156" s="9" t="s">
        <v>471</v>
      </c>
      <c r="C1156" s="10">
        <v>45964</v>
      </c>
      <c r="D1156" s="15">
        <v>1.0143</v>
      </c>
      <c r="E1156" s="15">
        <v>1.0143</v>
      </c>
      <c r="F1156" s="15">
        <v>1.0143</v>
      </c>
      <c r="G1156" s="11">
        <v>0.0005</v>
      </c>
      <c r="H1156" s="9">
        <f>MAX($F$1080:F1156)</f>
        <v>1.0143</v>
      </c>
      <c r="I1156" s="11">
        <f t="shared" si="26"/>
        <v>0</v>
      </c>
      <c r="J1156" s="9">
        <f>MAX($F$1120:F1156)</f>
        <v>1.0143</v>
      </c>
      <c r="K1156" s="11">
        <f t="shared" si="25"/>
        <v>0</v>
      </c>
      <c r="L1156" s="9"/>
      <c r="M1156" s="11"/>
      <c r="N1156" s="9" t="s">
        <v>815</v>
      </c>
    </row>
    <row r="1157" ht="25" customHeight="1" spans="1:14">
      <c r="A1157" s="9" t="s">
        <v>472</v>
      </c>
      <c r="B1157" s="9" t="s">
        <v>471</v>
      </c>
      <c r="C1157" s="10">
        <v>45965</v>
      </c>
      <c r="D1157" s="15">
        <v>1.0147</v>
      </c>
      <c r="E1157" s="15">
        <v>1.0147</v>
      </c>
      <c r="F1157" s="15">
        <v>1.0147</v>
      </c>
      <c r="G1157" s="11">
        <v>0.0004</v>
      </c>
      <c r="H1157" s="9">
        <f>MAX($F$1080:F1157)</f>
        <v>1.0147</v>
      </c>
      <c r="I1157" s="11">
        <f t="shared" si="26"/>
        <v>0</v>
      </c>
      <c r="J1157" s="9">
        <f>MAX($F$1120:F1157)</f>
        <v>1.0147</v>
      </c>
      <c r="K1157" s="11">
        <f t="shared" si="25"/>
        <v>0</v>
      </c>
      <c r="L1157" s="9"/>
      <c r="M1157" s="11"/>
      <c r="N1157" s="9" t="s">
        <v>815</v>
      </c>
    </row>
    <row r="1158" ht="25" customHeight="1" spans="1:14">
      <c r="A1158" s="9" t="s">
        <v>472</v>
      </c>
      <c r="B1158" s="9" t="s">
        <v>471</v>
      </c>
      <c r="C1158" s="10">
        <v>45966</v>
      </c>
      <c r="D1158" s="15">
        <v>1.0142</v>
      </c>
      <c r="E1158" s="15">
        <v>1.0142</v>
      </c>
      <c r="F1158" s="15">
        <v>1.0142</v>
      </c>
      <c r="G1158" s="11">
        <v>-0.0005</v>
      </c>
      <c r="H1158" s="9">
        <f>MAX($F$1080:F1158)</f>
        <v>1.0147</v>
      </c>
      <c r="I1158" s="11">
        <f t="shared" si="26"/>
        <v>0.000492756479747669</v>
      </c>
      <c r="J1158" s="9">
        <f>MAX($F$1120:F1158)</f>
        <v>1.0147</v>
      </c>
      <c r="K1158" s="11">
        <f t="shared" si="25"/>
        <v>0.000492756479747669</v>
      </c>
      <c r="L1158" s="9"/>
      <c r="M1158" s="11"/>
      <c r="N1158" s="9" t="s">
        <v>815</v>
      </c>
    </row>
    <row r="1159" ht="25" customHeight="1" spans="1:14">
      <c r="A1159" s="9" t="s">
        <v>472</v>
      </c>
      <c r="B1159" s="9" t="s">
        <v>471</v>
      </c>
      <c r="C1159" s="10">
        <v>45967</v>
      </c>
      <c r="D1159" s="15">
        <v>1.0137</v>
      </c>
      <c r="E1159" s="15">
        <v>1.0137</v>
      </c>
      <c r="F1159" s="15">
        <v>1.0137</v>
      </c>
      <c r="G1159" s="11">
        <v>-0.0005</v>
      </c>
      <c r="H1159" s="9">
        <f>MAX($F$1080:F1159)</f>
        <v>1.0147</v>
      </c>
      <c r="I1159" s="11">
        <f t="shared" si="26"/>
        <v>0.000985512959495338</v>
      </c>
      <c r="J1159" s="9">
        <f>MAX($F$1120:F1159)</f>
        <v>1.0147</v>
      </c>
      <c r="K1159" s="11">
        <f t="shared" si="25"/>
        <v>0.000985512959495338</v>
      </c>
      <c r="L1159" s="9"/>
      <c r="M1159" s="11"/>
      <c r="N1159" s="9" t="s">
        <v>815</v>
      </c>
    </row>
    <row r="1160" ht="25" customHeight="1" spans="1:14">
      <c r="A1160" s="9" t="s">
        <v>472</v>
      </c>
      <c r="B1160" s="9" t="s">
        <v>471</v>
      </c>
      <c r="C1160" s="10">
        <v>45968</v>
      </c>
      <c r="D1160" s="15">
        <v>1.0138</v>
      </c>
      <c r="E1160" s="15">
        <v>1.0138</v>
      </c>
      <c r="F1160" s="15">
        <v>1.0138</v>
      </c>
      <c r="G1160" s="11">
        <v>0.0001</v>
      </c>
      <c r="H1160" s="9">
        <f>MAX($F$1080:F1160)</f>
        <v>1.0147</v>
      </c>
      <c r="I1160" s="11">
        <f t="shared" si="26"/>
        <v>0.000886961663545738</v>
      </c>
      <c r="J1160" s="9">
        <f>MAX($F$1120:F1160)</f>
        <v>1.0147</v>
      </c>
      <c r="K1160" s="11">
        <f t="shared" si="25"/>
        <v>0.000886961663545738</v>
      </c>
      <c r="L1160" s="9"/>
      <c r="M1160" s="11"/>
      <c r="N1160" s="9" t="s">
        <v>815</v>
      </c>
    </row>
    <row r="1161" ht="25" customHeight="1" spans="1:14">
      <c r="A1161" s="9" t="s">
        <v>472</v>
      </c>
      <c r="B1161" s="9" t="s">
        <v>471</v>
      </c>
      <c r="C1161" s="10">
        <v>45971</v>
      </c>
      <c r="D1161" s="15">
        <v>1.0145</v>
      </c>
      <c r="E1161" s="15">
        <v>1.0145</v>
      </c>
      <c r="F1161" s="15">
        <v>1.0145</v>
      </c>
      <c r="G1161" s="11">
        <v>0.0007</v>
      </c>
      <c r="H1161" s="9">
        <f>MAX($F$1080:F1161)</f>
        <v>1.0147</v>
      </c>
      <c r="I1161" s="11">
        <f t="shared" si="26"/>
        <v>0.00019710259189909</v>
      </c>
      <c r="J1161" s="9">
        <f>MAX($F$1120:F1161)</f>
        <v>1.0147</v>
      </c>
      <c r="K1161" s="11">
        <f t="shared" si="25"/>
        <v>0.00019710259189909</v>
      </c>
      <c r="L1161" s="9"/>
      <c r="M1161" s="11"/>
      <c r="N1161" s="9" t="s">
        <v>815</v>
      </c>
    </row>
    <row r="1162" ht="25" customHeight="1" spans="1:14">
      <c r="A1162" s="9" t="s">
        <v>472</v>
      </c>
      <c r="B1162" s="9" t="s">
        <v>471</v>
      </c>
      <c r="C1162" s="10">
        <v>45972</v>
      </c>
      <c r="D1162" s="15">
        <v>1.0144</v>
      </c>
      <c r="E1162" s="15">
        <v>1.0144</v>
      </c>
      <c r="F1162" s="15">
        <v>1.0144</v>
      </c>
      <c r="G1162" s="11">
        <v>-0.0001</v>
      </c>
      <c r="H1162" s="9">
        <f>MAX($F$1080:F1162)</f>
        <v>1.0147</v>
      </c>
      <c r="I1162" s="11">
        <f t="shared" si="26"/>
        <v>0.000295653887848579</v>
      </c>
      <c r="J1162" s="9">
        <f>MAX($F$1120:F1162)</f>
        <v>1.0147</v>
      </c>
      <c r="K1162" s="11">
        <f t="shared" si="25"/>
        <v>0.000295653887848579</v>
      </c>
      <c r="L1162" s="9"/>
      <c r="M1162" s="11"/>
      <c r="N1162" s="9" t="s">
        <v>815</v>
      </c>
    </row>
    <row r="1163" ht="25" customHeight="1" spans="1:14">
      <c r="A1163" s="9" t="s">
        <v>472</v>
      </c>
      <c r="B1163" s="9" t="s">
        <v>471</v>
      </c>
      <c r="C1163" s="10">
        <v>45973</v>
      </c>
      <c r="D1163" s="15">
        <v>1.0151</v>
      </c>
      <c r="E1163" s="15">
        <v>1.0151</v>
      </c>
      <c r="F1163" s="15">
        <v>1.0151</v>
      </c>
      <c r="G1163" s="11">
        <v>0.0007</v>
      </c>
      <c r="H1163" s="9">
        <f>MAX($F$1080:F1163)</f>
        <v>1.0151</v>
      </c>
      <c r="I1163" s="11">
        <f t="shared" si="26"/>
        <v>0</v>
      </c>
      <c r="J1163" s="9">
        <f>MAX($F$1120:F1163)</f>
        <v>1.0151</v>
      </c>
      <c r="K1163" s="11">
        <f t="shared" si="25"/>
        <v>0</v>
      </c>
      <c r="L1163" s="9"/>
      <c r="M1163" s="11"/>
      <c r="N1163" s="9" t="s">
        <v>815</v>
      </c>
    </row>
    <row r="1164" ht="25" customHeight="1" spans="1:14">
      <c r="A1164" s="9" t="s">
        <v>472</v>
      </c>
      <c r="B1164" s="9" t="s">
        <v>471</v>
      </c>
      <c r="C1164" s="10">
        <v>45974</v>
      </c>
      <c r="D1164" s="15">
        <v>1.0149</v>
      </c>
      <c r="E1164" s="15">
        <v>1.0149</v>
      </c>
      <c r="F1164" s="15">
        <v>1.0149</v>
      </c>
      <c r="G1164" s="11">
        <v>-0.0002</v>
      </c>
      <c r="H1164" s="9">
        <f>MAX($F$1080:F1164)</f>
        <v>1.0151</v>
      </c>
      <c r="I1164" s="11">
        <f t="shared" si="26"/>
        <v>0.000197024923652811</v>
      </c>
      <c r="J1164" s="9">
        <f>MAX($F$1120:F1164)</f>
        <v>1.0151</v>
      </c>
      <c r="K1164" s="11">
        <f t="shared" si="25"/>
        <v>0.000197024923652811</v>
      </c>
      <c r="L1164" s="9"/>
      <c r="M1164" s="11"/>
      <c r="N1164" s="9" t="s">
        <v>815</v>
      </c>
    </row>
    <row r="1165" ht="25" customHeight="1" spans="1:14">
      <c r="A1165" s="9" t="s">
        <v>472</v>
      </c>
      <c r="B1165" s="9" t="s">
        <v>471</v>
      </c>
      <c r="C1165" s="10">
        <v>45975</v>
      </c>
      <c r="D1165" s="15">
        <v>1.0143</v>
      </c>
      <c r="E1165" s="15">
        <v>1.0143</v>
      </c>
      <c r="F1165" s="15">
        <v>1.0143</v>
      </c>
      <c r="G1165" s="11">
        <v>-0.0006</v>
      </c>
      <c r="H1165" s="9">
        <f>MAX($F$1080:F1165)</f>
        <v>1.0151</v>
      </c>
      <c r="I1165" s="11">
        <f t="shared" si="26"/>
        <v>0.000788099694611244</v>
      </c>
      <c r="J1165" s="9">
        <f>MAX($F$1120:F1165)</f>
        <v>1.0151</v>
      </c>
      <c r="K1165" s="11">
        <f t="shared" si="25"/>
        <v>0.000788099694611244</v>
      </c>
      <c r="L1165" s="9"/>
      <c r="M1165" s="11"/>
      <c r="N1165" s="9" t="s">
        <v>815</v>
      </c>
    </row>
    <row r="1166" ht="25" customHeight="1" spans="1:14">
      <c r="A1166" s="9" t="s">
        <v>472</v>
      </c>
      <c r="B1166" s="9" t="s">
        <v>471</v>
      </c>
      <c r="C1166" s="10">
        <v>45978</v>
      </c>
      <c r="D1166" s="15">
        <v>1.0145</v>
      </c>
      <c r="E1166" s="15">
        <v>1.0145</v>
      </c>
      <c r="F1166" s="15">
        <v>1.0145</v>
      </c>
      <c r="G1166" s="11">
        <v>0.0002</v>
      </c>
      <c r="H1166" s="9">
        <f>MAX($F$1080:F1166)</f>
        <v>1.0151</v>
      </c>
      <c r="I1166" s="11">
        <f t="shared" si="26"/>
        <v>0.000591074770958433</v>
      </c>
      <c r="J1166" s="9">
        <f>MAX($F$1120:F1166)</f>
        <v>1.0151</v>
      </c>
      <c r="K1166" s="11">
        <f t="shared" si="25"/>
        <v>0.000591074770958433</v>
      </c>
      <c r="L1166" s="9"/>
      <c r="M1166" s="11"/>
      <c r="N1166" s="9" t="s">
        <v>815</v>
      </c>
    </row>
    <row r="1167" ht="25" customHeight="1" spans="1:14">
      <c r="A1167" s="9" t="s">
        <v>472</v>
      </c>
      <c r="B1167" s="9" t="s">
        <v>471</v>
      </c>
      <c r="C1167" s="10">
        <v>45979</v>
      </c>
      <c r="D1167" s="15">
        <v>1.0144</v>
      </c>
      <c r="E1167" s="15">
        <v>1.0144</v>
      </c>
      <c r="F1167" s="15">
        <v>1.0144</v>
      </c>
      <c r="G1167" s="11">
        <v>-0.0001</v>
      </c>
      <c r="H1167" s="9">
        <f>MAX($F$1080:F1167)</f>
        <v>1.0151</v>
      </c>
      <c r="I1167" s="11">
        <f t="shared" si="26"/>
        <v>0.000689587232784894</v>
      </c>
      <c r="J1167" s="9">
        <f>MAX($F$1120:F1167)</f>
        <v>1.0151</v>
      </c>
      <c r="K1167" s="11">
        <f t="shared" si="25"/>
        <v>0.000689587232784894</v>
      </c>
      <c r="L1167" s="9"/>
      <c r="M1167" s="11"/>
      <c r="N1167" s="9" t="s">
        <v>815</v>
      </c>
    </row>
    <row r="1168" ht="25" customHeight="1" spans="1:14">
      <c r="A1168" s="9" t="s">
        <v>472</v>
      </c>
      <c r="B1168" s="9" t="s">
        <v>471</v>
      </c>
      <c r="C1168" s="10">
        <v>45980</v>
      </c>
      <c r="D1168" s="15">
        <v>1.0155</v>
      </c>
      <c r="E1168" s="15">
        <v>1.0155</v>
      </c>
      <c r="F1168" s="15">
        <v>1.0155</v>
      </c>
      <c r="G1168" s="11">
        <v>0.0011</v>
      </c>
      <c r="H1168" s="9">
        <f>MAX($F$1080:F1168)</f>
        <v>1.0155</v>
      </c>
      <c r="I1168" s="11">
        <f t="shared" si="26"/>
        <v>0</v>
      </c>
      <c r="J1168" s="9">
        <f>MAX($F$1120:F1168)</f>
        <v>1.0155</v>
      </c>
      <c r="K1168" s="11">
        <f t="shared" si="25"/>
        <v>0</v>
      </c>
      <c r="L1168" s="9"/>
      <c r="M1168" s="11"/>
      <c r="N1168" s="9" t="s">
        <v>815</v>
      </c>
    </row>
    <row r="1169" ht="25" customHeight="1" spans="1:14">
      <c r="A1169" s="9" t="s">
        <v>472</v>
      </c>
      <c r="B1169" s="9" t="s">
        <v>471</v>
      </c>
      <c r="C1169" s="10">
        <v>45981</v>
      </c>
      <c r="D1169" s="15">
        <v>1.0148</v>
      </c>
      <c r="E1169" s="15">
        <v>1.0148</v>
      </c>
      <c r="F1169" s="15">
        <v>1.0148</v>
      </c>
      <c r="G1169" s="11">
        <v>-0.0007</v>
      </c>
      <c r="H1169" s="9">
        <f>MAX($F$1080:F1169)</f>
        <v>1.0155</v>
      </c>
      <c r="I1169" s="11">
        <f t="shared" si="26"/>
        <v>0.000689315608074947</v>
      </c>
      <c r="J1169" s="9">
        <f>MAX($F$1120:F1169)</f>
        <v>1.0155</v>
      </c>
      <c r="K1169" s="11">
        <f t="shared" si="25"/>
        <v>0.000689315608074947</v>
      </c>
      <c r="L1169" s="9"/>
      <c r="M1169" s="11"/>
      <c r="N1169" s="9" t="s">
        <v>815</v>
      </c>
    </row>
    <row r="1170" ht="25" customHeight="1" spans="1:14">
      <c r="A1170" s="9" t="s">
        <v>472</v>
      </c>
      <c r="B1170" s="9" t="s">
        <v>471</v>
      </c>
      <c r="C1170" s="10">
        <v>45982</v>
      </c>
      <c r="D1170" s="15">
        <v>1.0148</v>
      </c>
      <c r="E1170" s="15">
        <v>1.0148</v>
      </c>
      <c r="F1170" s="15">
        <v>1.0148</v>
      </c>
      <c r="G1170" s="11">
        <v>0</v>
      </c>
      <c r="H1170" s="9">
        <f>MAX($F$1080:F1170)</f>
        <v>1.0155</v>
      </c>
      <c r="I1170" s="11">
        <f t="shared" si="26"/>
        <v>0.000689315608074947</v>
      </c>
      <c r="J1170" s="9">
        <f>MAX($F$1120:F1170)</f>
        <v>1.0155</v>
      </c>
      <c r="K1170" s="11">
        <f t="shared" si="25"/>
        <v>0.000689315608074947</v>
      </c>
      <c r="L1170" s="9"/>
      <c r="M1170" s="11"/>
      <c r="N1170" s="9" t="s">
        <v>815</v>
      </c>
    </row>
    <row r="1171" ht="25" customHeight="1" spans="1:14">
      <c r="A1171" s="9" t="s">
        <v>472</v>
      </c>
      <c r="B1171" s="9" t="s">
        <v>471</v>
      </c>
      <c r="C1171" s="10">
        <v>45985</v>
      </c>
      <c r="D1171" s="15">
        <v>1.0164</v>
      </c>
      <c r="E1171" s="15">
        <v>1.0164</v>
      </c>
      <c r="F1171" s="15">
        <v>1.0164</v>
      </c>
      <c r="G1171" s="11">
        <v>0.0016</v>
      </c>
      <c r="H1171" s="9">
        <f>MAX($F$1080:F1171)</f>
        <v>1.0164</v>
      </c>
      <c r="I1171" s="11">
        <f t="shared" si="26"/>
        <v>0</v>
      </c>
      <c r="J1171" s="9">
        <f>MAX($F$1120:F1171)</f>
        <v>1.0164</v>
      </c>
      <c r="K1171" s="11">
        <f t="shared" si="25"/>
        <v>0</v>
      </c>
      <c r="L1171" s="9"/>
      <c r="M1171" s="11"/>
      <c r="N1171" s="9" t="s">
        <v>815</v>
      </c>
    </row>
    <row r="1172" ht="25" customHeight="1" spans="1:14">
      <c r="A1172" s="9" t="s">
        <v>472</v>
      </c>
      <c r="B1172" s="9" t="s">
        <v>471</v>
      </c>
      <c r="C1172" s="10">
        <v>45986</v>
      </c>
      <c r="D1172" s="15">
        <v>1.017</v>
      </c>
      <c r="E1172" s="15">
        <v>1.017</v>
      </c>
      <c r="F1172" s="15">
        <v>1.017</v>
      </c>
      <c r="G1172" s="11">
        <v>0.0006</v>
      </c>
      <c r="H1172" s="9">
        <f>MAX($F$1080:F1172)</f>
        <v>1.017</v>
      </c>
      <c r="I1172" s="11">
        <f t="shared" si="26"/>
        <v>0</v>
      </c>
      <c r="J1172" s="9">
        <f>MAX($F$1120:F1172)</f>
        <v>1.017</v>
      </c>
      <c r="K1172" s="11">
        <f t="shared" si="25"/>
        <v>0</v>
      </c>
      <c r="L1172" s="9"/>
      <c r="M1172" s="11"/>
      <c r="N1172" s="9" t="s">
        <v>815</v>
      </c>
    </row>
    <row r="1173" ht="25" customHeight="1" spans="1:14">
      <c r="A1173" s="9" t="s">
        <v>472</v>
      </c>
      <c r="B1173" s="9" t="s">
        <v>471</v>
      </c>
      <c r="C1173" s="10">
        <v>45987</v>
      </c>
      <c r="D1173" s="15">
        <v>1.0162</v>
      </c>
      <c r="E1173" s="15">
        <v>1.0162</v>
      </c>
      <c r="F1173" s="15">
        <v>1.0162</v>
      </c>
      <c r="G1173" s="11">
        <v>-0.0008</v>
      </c>
      <c r="H1173" s="9">
        <f>MAX($F$1080:F1173)</f>
        <v>1.017</v>
      </c>
      <c r="I1173" s="11">
        <f t="shared" si="26"/>
        <v>0.000786627335299772</v>
      </c>
      <c r="J1173" s="9">
        <f>MAX($F$1120:F1173)</f>
        <v>1.017</v>
      </c>
      <c r="K1173" s="11">
        <f t="shared" si="25"/>
        <v>0.000786627335299772</v>
      </c>
      <c r="L1173" s="9"/>
      <c r="M1173" s="11"/>
      <c r="N1173" s="9" t="s">
        <v>815</v>
      </c>
    </row>
    <row r="1174" ht="25" customHeight="1" spans="1:14">
      <c r="A1174" s="9" t="s">
        <v>472</v>
      </c>
      <c r="B1174" s="9" t="s">
        <v>471</v>
      </c>
      <c r="C1174" s="10">
        <v>45988</v>
      </c>
      <c r="D1174" s="15">
        <v>1.0161</v>
      </c>
      <c r="E1174" s="15">
        <v>1.0161</v>
      </c>
      <c r="F1174" s="15">
        <v>1.0161</v>
      </c>
      <c r="G1174" s="11">
        <v>-0.0001</v>
      </c>
      <c r="H1174" s="9">
        <f>MAX($F$1080:F1174)</f>
        <v>1.017</v>
      </c>
      <c r="I1174" s="11">
        <f t="shared" si="26"/>
        <v>0.000884955752212258</v>
      </c>
      <c r="J1174" s="9">
        <f>MAX($F$1120:F1174)</f>
        <v>1.017</v>
      </c>
      <c r="K1174" s="11">
        <f t="shared" si="25"/>
        <v>0.000884955752212258</v>
      </c>
      <c r="L1174" s="9"/>
      <c r="M1174" s="11"/>
      <c r="N1174" s="9" t="s">
        <v>815</v>
      </c>
    </row>
    <row r="1175" ht="25" customHeight="1" spans="1:14">
      <c r="A1175" s="9" t="s">
        <v>472</v>
      </c>
      <c r="B1175" s="9" t="s">
        <v>471</v>
      </c>
      <c r="C1175" s="10">
        <v>45989</v>
      </c>
      <c r="D1175" s="15">
        <v>1.015</v>
      </c>
      <c r="E1175" s="15">
        <v>1.015</v>
      </c>
      <c r="F1175" s="15">
        <v>1.015</v>
      </c>
      <c r="G1175" s="11">
        <v>-0.0011</v>
      </c>
      <c r="H1175" s="9">
        <f>MAX($F$1080:F1175)</f>
        <v>1.017</v>
      </c>
      <c r="I1175" s="11">
        <f t="shared" si="26"/>
        <v>0.00196656833824971</v>
      </c>
      <c r="J1175" s="9">
        <f>MAX($F$1120:F1175)</f>
        <v>1.017</v>
      </c>
      <c r="K1175" s="11">
        <f t="shared" si="25"/>
        <v>0.00196656833824971</v>
      </c>
      <c r="L1175" s="9"/>
      <c r="M1175" s="11"/>
      <c r="N1175" s="9" t="s">
        <v>815</v>
      </c>
    </row>
    <row r="1176" ht="25" customHeight="1" spans="1:14">
      <c r="A1176" s="9" t="s">
        <v>472</v>
      </c>
      <c r="B1176" s="9" t="s">
        <v>471</v>
      </c>
      <c r="C1176" s="10">
        <v>45992</v>
      </c>
      <c r="D1176" s="15">
        <v>1.0148</v>
      </c>
      <c r="E1176" s="15">
        <v>1.0148</v>
      </c>
      <c r="F1176" s="15">
        <v>1.0148</v>
      </c>
      <c r="G1176" s="11">
        <v>-0.0002</v>
      </c>
      <c r="H1176" s="9">
        <f>MAX($F$1080:F1176)</f>
        <v>1.017</v>
      </c>
      <c r="I1176" s="11">
        <f t="shared" si="26"/>
        <v>0.00216322517207468</v>
      </c>
      <c r="J1176" s="9">
        <f>MAX($F$1120:F1176)</f>
        <v>1.017</v>
      </c>
      <c r="K1176" s="11">
        <f t="shared" si="25"/>
        <v>0.00216322517207468</v>
      </c>
      <c r="L1176" s="9"/>
      <c r="M1176" s="11"/>
      <c r="N1176" s="9" t="s">
        <v>815</v>
      </c>
    </row>
    <row r="1177" ht="25" customHeight="1" spans="1:14">
      <c r="A1177" s="9" t="s">
        <v>472</v>
      </c>
      <c r="B1177" s="9" t="s">
        <v>471</v>
      </c>
      <c r="C1177" s="10">
        <v>45993</v>
      </c>
      <c r="D1177" s="15">
        <v>1.0149</v>
      </c>
      <c r="E1177" s="15">
        <v>1.0149</v>
      </c>
      <c r="F1177" s="15">
        <v>1.0149</v>
      </c>
      <c r="G1177" s="11">
        <v>0.0001</v>
      </c>
      <c r="H1177" s="9">
        <f>MAX($F$1080:F1177)</f>
        <v>1.017</v>
      </c>
      <c r="I1177" s="11">
        <f t="shared" si="26"/>
        <v>0.00206489675516219</v>
      </c>
      <c r="J1177" s="9">
        <f>MAX($F$1120:F1177)</f>
        <v>1.017</v>
      </c>
      <c r="K1177" s="11">
        <f t="shared" si="25"/>
        <v>0.00206489675516219</v>
      </c>
      <c r="L1177" s="9"/>
      <c r="M1177" s="11"/>
      <c r="N1177" s="9" t="s">
        <v>815</v>
      </c>
    </row>
    <row r="1178" ht="25" customHeight="1" spans="1:14">
      <c r="A1178" s="9" t="s">
        <v>472</v>
      </c>
      <c r="B1178" s="9" t="s">
        <v>471</v>
      </c>
      <c r="C1178" s="10">
        <v>45994</v>
      </c>
      <c r="D1178" s="15">
        <v>1.0148</v>
      </c>
      <c r="E1178" s="15">
        <v>1.0148</v>
      </c>
      <c r="F1178" s="15">
        <v>1.0148</v>
      </c>
      <c r="G1178" s="11">
        <v>-0.0001</v>
      </c>
      <c r="H1178" s="9">
        <f>MAX($F$1080:F1178)</f>
        <v>1.017</v>
      </c>
      <c r="I1178" s="11">
        <f t="shared" si="26"/>
        <v>0.00216322517207468</v>
      </c>
      <c r="J1178" s="9">
        <f>MAX($F$1120:F1178)</f>
        <v>1.017</v>
      </c>
      <c r="K1178" s="11">
        <f t="shared" si="25"/>
        <v>0.00216322517207468</v>
      </c>
      <c r="L1178" s="9"/>
      <c r="M1178" s="11"/>
      <c r="N1178" s="9" t="s">
        <v>815</v>
      </c>
    </row>
    <row r="1179" ht="25" customHeight="1" spans="1:14">
      <c r="A1179" s="9" t="s">
        <v>472</v>
      </c>
      <c r="B1179" s="9" t="s">
        <v>471</v>
      </c>
      <c r="C1179" s="10">
        <v>45995</v>
      </c>
      <c r="D1179" s="15">
        <v>1.0147</v>
      </c>
      <c r="E1179" s="15">
        <v>1.0147</v>
      </c>
      <c r="F1179" s="15">
        <v>1.0147</v>
      </c>
      <c r="G1179" s="11">
        <v>-0.0001</v>
      </c>
      <c r="H1179" s="9">
        <f>MAX($F$1080:F1179)</f>
        <v>1.017</v>
      </c>
      <c r="I1179" s="11">
        <f t="shared" si="26"/>
        <v>0.00226155358898716</v>
      </c>
      <c r="J1179" s="9">
        <f>MAX($F$1120:F1179)</f>
        <v>1.017</v>
      </c>
      <c r="K1179" s="11">
        <f t="shared" si="25"/>
        <v>0.00226155358898716</v>
      </c>
      <c r="L1179" s="9"/>
      <c r="M1179" s="11"/>
      <c r="N1179" s="9" t="s">
        <v>815</v>
      </c>
    </row>
    <row r="1180" ht="25" customHeight="1" spans="1:14">
      <c r="A1180" s="9" t="s">
        <v>472</v>
      </c>
      <c r="B1180" s="9" t="s">
        <v>471</v>
      </c>
      <c r="C1180" s="10">
        <v>45996</v>
      </c>
      <c r="D1180" s="15">
        <v>1.0153</v>
      </c>
      <c r="E1180" s="15">
        <v>1.0153</v>
      </c>
      <c r="F1180" s="15">
        <v>1.0153</v>
      </c>
      <c r="G1180" s="11">
        <v>0.0006</v>
      </c>
      <c r="H1180" s="9">
        <f>MAX($F$1080:F1180)</f>
        <v>1.017</v>
      </c>
      <c r="I1180" s="11">
        <f t="shared" si="26"/>
        <v>0.00167158308751214</v>
      </c>
      <c r="J1180" s="9">
        <f>MAX($F$1120:F1180)</f>
        <v>1.017</v>
      </c>
      <c r="K1180" s="11">
        <f t="shared" si="25"/>
        <v>0.00167158308751214</v>
      </c>
      <c r="L1180" s="9"/>
      <c r="M1180" s="11"/>
      <c r="N1180" s="9" t="s">
        <v>815</v>
      </c>
    </row>
    <row r="1181" ht="25" customHeight="1" spans="1:14">
      <c r="A1181" s="9" t="s">
        <v>472</v>
      </c>
      <c r="B1181" s="9" t="s">
        <v>471</v>
      </c>
      <c r="C1181" s="10">
        <v>45999</v>
      </c>
      <c r="D1181" s="15">
        <v>1.0153</v>
      </c>
      <c r="E1181" s="15">
        <v>1.0153</v>
      </c>
      <c r="F1181" s="15">
        <v>1.0153</v>
      </c>
      <c r="G1181" s="11">
        <v>0</v>
      </c>
      <c r="H1181" s="9">
        <f>MAX($F$1080:F1181)</f>
        <v>1.017</v>
      </c>
      <c r="I1181" s="11">
        <f t="shared" si="26"/>
        <v>0.00167158308751214</v>
      </c>
      <c r="J1181" s="9">
        <f>MAX($F$1120:F1181)</f>
        <v>1.017</v>
      </c>
      <c r="K1181" s="11">
        <f t="shared" si="25"/>
        <v>0.00167158308751214</v>
      </c>
      <c r="L1181" s="9"/>
      <c r="M1181" s="11"/>
      <c r="N1181" s="9" t="s">
        <v>815</v>
      </c>
    </row>
    <row r="1182" ht="25" customHeight="1" spans="1:14">
      <c r="A1182" s="9" t="s">
        <v>472</v>
      </c>
      <c r="B1182" s="9" t="s">
        <v>471</v>
      </c>
      <c r="C1182" s="10">
        <v>46000</v>
      </c>
      <c r="D1182" s="15">
        <v>1.0152</v>
      </c>
      <c r="E1182" s="15">
        <v>1.0152</v>
      </c>
      <c r="F1182" s="15">
        <v>1.0152</v>
      </c>
      <c r="G1182" s="11">
        <v>-0.0001</v>
      </c>
      <c r="H1182" s="9">
        <f>MAX($F$1080:F1182)</f>
        <v>1.017</v>
      </c>
      <c r="I1182" s="11">
        <f t="shared" si="26"/>
        <v>0.00176991150442463</v>
      </c>
      <c r="J1182" s="9">
        <f>MAX($F$1120:F1182)</f>
        <v>1.017</v>
      </c>
      <c r="K1182" s="11">
        <f t="shared" si="25"/>
        <v>0.00176991150442463</v>
      </c>
      <c r="L1182" s="9"/>
      <c r="M1182" s="11"/>
      <c r="N1182" s="9" t="s">
        <v>815</v>
      </c>
    </row>
    <row r="1183" ht="25" customHeight="1" spans="1:14">
      <c r="A1183" s="9" t="s">
        <v>472</v>
      </c>
      <c r="B1183" s="9" t="s">
        <v>471</v>
      </c>
      <c r="C1183" s="10">
        <v>46001</v>
      </c>
      <c r="D1183" s="15">
        <v>1.0152</v>
      </c>
      <c r="E1183" s="15">
        <v>1.0152</v>
      </c>
      <c r="F1183" s="15">
        <v>1.0152</v>
      </c>
      <c r="G1183" s="11">
        <v>0</v>
      </c>
      <c r="H1183" s="9">
        <f>MAX($F$1080:F1183)</f>
        <v>1.017</v>
      </c>
      <c r="I1183" s="11">
        <f t="shared" si="26"/>
        <v>0.00176991150442463</v>
      </c>
      <c r="J1183" s="9">
        <f>MAX($F$1120:F1183)</f>
        <v>1.017</v>
      </c>
      <c r="K1183" s="11">
        <f t="shared" si="25"/>
        <v>0.00176991150442463</v>
      </c>
      <c r="L1183" s="9"/>
      <c r="M1183" s="11"/>
      <c r="N1183" s="9" t="s">
        <v>815</v>
      </c>
    </row>
    <row r="1184" ht="25" customHeight="1" spans="1:14">
      <c r="A1184" s="9" t="s">
        <v>472</v>
      </c>
      <c r="B1184" s="9" t="s">
        <v>471</v>
      </c>
      <c r="C1184" s="10">
        <v>46002</v>
      </c>
      <c r="D1184" s="15">
        <v>1.0157</v>
      </c>
      <c r="E1184" s="15">
        <v>1.0157</v>
      </c>
      <c r="F1184" s="15">
        <v>1.0157</v>
      </c>
      <c r="G1184" s="11">
        <v>0.0005</v>
      </c>
      <c r="H1184" s="9">
        <f>MAX($F$1080:F1184)</f>
        <v>1.017</v>
      </c>
      <c r="I1184" s="11">
        <f t="shared" si="26"/>
        <v>0.0012782694198622</v>
      </c>
      <c r="J1184" s="9">
        <f>MAX($F$1120:F1184)</f>
        <v>1.017</v>
      </c>
      <c r="K1184" s="11">
        <f t="shared" ref="K1184:K1247" si="27">1-F1184/J1184</f>
        <v>0.0012782694198622</v>
      </c>
      <c r="L1184" s="9"/>
      <c r="M1184" s="11"/>
      <c r="N1184" s="9" t="s">
        <v>815</v>
      </c>
    </row>
    <row r="1185" ht="25" customHeight="1" spans="1:14">
      <c r="A1185" s="9" t="s">
        <v>472</v>
      </c>
      <c r="B1185" s="9" t="s">
        <v>471</v>
      </c>
      <c r="C1185" s="10">
        <v>46003</v>
      </c>
      <c r="D1185" s="15">
        <v>1.0157</v>
      </c>
      <c r="E1185" s="15">
        <v>1.0157</v>
      </c>
      <c r="F1185" s="15">
        <v>1.0157</v>
      </c>
      <c r="G1185" s="11">
        <v>0</v>
      </c>
      <c r="H1185" s="9">
        <f>MAX($F$1080:F1185)</f>
        <v>1.017</v>
      </c>
      <c r="I1185" s="11">
        <f t="shared" si="26"/>
        <v>0.0012782694198622</v>
      </c>
      <c r="J1185" s="9">
        <f>MAX($F$1120:F1185)</f>
        <v>1.017</v>
      </c>
      <c r="K1185" s="11">
        <f t="shared" si="27"/>
        <v>0.0012782694198622</v>
      </c>
      <c r="L1185" s="9"/>
      <c r="M1185" s="11"/>
      <c r="N1185" s="9" t="s">
        <v>815</v>
      </c>
    </row>
    <row r="1186" ht="25" customHeight="1" spans="1:14">
      <c r="A1186" s="9" t="s">
        <v>472</v>
      </c>
      <c r="B1186" s="9" t="s">
        <v>471</v>
      </c>
      <c r="C1186" s="10">
        <v>46006</v>
      </c>
      <c r="D1186" s="15">
        <v>1.0159</v>
      </c>
      <c r="E1186" s="15">
        <v>1.0159</v>
      </c>
      <c r="F1186" s="15">
        <v>1.0159</v>
      </c>
      <c r="G1186" s="11">
        <v>0.0002</v>
      </c>
      <c r="H1186" s="9">
        <f>MAX($F$1080:F1186)</f>
        <v>1.017</v>
      </c>
      <c r="I1186" s="11">
        <f t="shared" si="26"/>
        <v>0.00108161258603723</v>
      </c>
      <c r="J1186" s="9">
        <f>MAX($F$1120:F1186)</f>
        <v>1.017</v>
      </c>
      <c r="K1186" s="11">
        <f t="shared" si="27"/>
        <v>0.00108161258603723</v>
      </c>
      <c r="L1186" s="9"/>
      <c r="M1186" s="11"/>
      <c r="N1186" s="9" t="s">
        <v>815</v>
      </c>
    </row>
    <row r="1187" ht="25" customHeight="1" spans="1:14">
      <c r="A1187" s="9" t="s">
        <v>472</v>
      </c>
      <c r="B1187" s="9" t="s">
        <v>471</v>
      </c>
      <c r="C1187" s="10">
        <v>46007</v>
      </c>
      <c r="D1187" s="15">
        <v>1.016</v>
      </c>
      <c r="E1187" s="15">
        <v>1.016</v>
      </c>
      <c r="F1187" s="15">
        <v>1.016</v>
      </c>
      <c r="G1187" s="11">
        <v>0.0001</v>
      </c>
      <c r="H1187" s="9">
        <f>MAX($F$1080:F1187)</f>
        <v>1.017</v>
      </c>
      <c r="I1187" s="11">
        <f t="shared" si="26"/>
        <v>0.000983284169124743</v>
      </c>
      <c r="J1187" s="9">
        <f>MAX($F$1120:F1187)</f>
        <v>1.017</v>
      </c>
      <c r="K1187" s="11">
        <f t="shared" si="27"/>
        <v>0.000983284169124743</v>
      </c>
      <c r="L1187" s="9"/>
      <c r="M1187" s="11"/>
      <c r="N1187" s="9" t="s">
        <v>815</v>
      </c>
    </row>
    <row r="1188" ht="25" customHeight="1" spans="1:14">
      <c r="A1188" s="9" t="s">
        <v>472</v>
      </c>
      <c r="B1188" s="9" t="s">
        <v>471</v>
      </c>
      <c r="C1188" s="10">
        <v>46008</v>
      </c>
      <c r="D1188" s="15">
        <v>1.0181</v>
      </c>
      <c r="E1188" s="15">
        <v>1.0181</v>
      </c>
      <c r="F1188" s="15">
        <v>1.0181</v>
      </c>
      <c r="G1188" s="11">
        <v>0.0021</v>
      </c>
      <c r="H1188" s="9">
        <f>MAX($F$1080:F1188)</f>
        <v>1.0181</v>
      </c>
      <c r="I1188" s="11">
        <f t="shared" si="26"/>
        <v>0</v>
      </c>
      <c r="J1188" s="9">
        <f>MAX($F$1120:F1188)</f>
        <v>1.0181</v>
      </c>
      <c r="K1188" s="11">
        <f t="shared" si="27"/>
        <v>0</v>
      </c>
      <c r="L1188" s="9"/>
      <c r="M1188" s="11"/>
      <c r="N1188" s="9" t="s">
        <v>815</v>
      </c>
    </row>
    <row r="1189" ht="25" customHeight="1" spans="1:14">
      <c r="A1189" s="9" t="s">
        <v>472</v>
      </c>
      <c r="B1189" s="9" t="s">
        <v>471</v>
      </c>
      <c r="C1189" s="10">
        <v>46009</v>
      </c>
      <c r="D1189" s="15">
        <v>1.0184</v>
      </c>
      <c r="E1189" s="15">
        <v>1.0184</v>
      </c>
      <c r="F1189" s="15">
        <v>1.0184</v>
      </c>
      <c r="G1189" s="11">
        <v>0.0003</v>
      </c>
      <c r="H1189" s="9">
        <f>MAX($F$1080:F1189)</f>
        <v>1.0184</v>
      </c>
      <c r="I1189" s="11">
        <f t="shared" si="26"/>
        <v>0</v>
      </c>
      <c r="J1189" s="9">
        <f>MAX($F$1120:F1189)</f>
        <v>1.0184</v>
      </c>
      <c r="K1189" s="11">
        <f t="shared" si="27"/>
        <v>0</v>
      </c>
      <c r="L1189" s="9"/>
      <c r="M1189" s="11"/>
      <c r="N1189" s="9" t="s">
        <v>815</v>
      </c>
    </row>
    <row r="1190" ht="25" customHeight="1" spans="1:14">
      <c r="A1190" s="9" t="s">
        <v>472</v>
      </c>
      <c r="B1190" s="9" t="s">
        <v>471</v>
      </c>
      <c r="C1190" s="10">
        <v>46010</v>
      </c>
      <c r="D1190" s="15">
        <v>1.0181</v>
      </c>
      <c r="E1190" s="15">
        <v>1.0181</v>
      </c>
      <c r="F1190" s="15">
        <v>1.0181</v>
      </c>
      <c r="G1190" s="11">
        <v>-0.0003</v>
      </c>
      <c r="H1190" s="9">
        <f>MAX($F$1080:F1190)</f>
        <v>1.0184</v>
      </c>
      <c r="I1190" s="11">
        <f t="shared" si="26"/>
        <v>0.000294579732914357</v>
      </c>
      <c r="J1190" s="9">
        <f>MAX($F$1120:F1190)</f>
        <v>1.0184</v>
      </c>
      <c r="K1190" s="11">
        <f t="shared" si="27"/>
        <v>0.000294579732914357</v>
      </c>
      <c r="L1190" s="9"/>
      <c r="M1190" s="11"/>
      <c r="N1190" s="9" t="s">
        <v>815</v>
      </c>
    </row>
    <row r="1191" ht="25" customHeight="1" spans="1:14">
      <c r="A1191" s="9" t="s">
        <v>472</v>
      </c>
      <c r="B1191" s="9" t="s">
        <v>471</v>
      </c>
      <c r="C1191" s="10">
        <v>46013</v>
      </c>
      <c r="D1191" s="15">
        <v>1.0196</v>
      </c>
      <c r="E1191" s="15">
        <v>1.0196</v>
      </c>
      <c r="F1191" s="15">
        <v>1.0196</v>
      </c>
      <c r="G1191" s="11">
        <v>0.0015</v>
      </c>
      <c r="H1191" s="9">
        <f>MAX($F$1080:F1191)</f>
        <v>1.0196</v>
      </c>
      <c r="I1191" s="11">
        <f t="shared" si="26"/>
        <v>0</v>
      </c>
      <c r="J1191" s="9">
        <f>MAX($F$1120:F1191)</f>
        <v>1.0196</v>
      </c>
      <c r="K1191" s="11">
        <f t="shared" si="27"/>
        <v>0</v>
      </c>
      <c r="L1191" s="9"/>
      <c r="M1191" s="11"/>
      <c r="N1191" s="9" t="s">
        <v>815</v>
      </c>
    </row>
    <row r="1192" ht="25" customHeight="1" spans="1:14">
      <c r="A1192" s="9" t="s">
        <v>472</v>
      </c>
      <c r="B1192" s="9" t="s">
        <v>471</v>
      </c>
      <c r="C1192" s="10">
        <v>46014</v>
      </c>
      <c r="D1192" s="15">
        <v>1.0194</v>
      </c>
      <c r="E1192" s="15">
        <v>1.0194</v>
      </c>
      <c r="F1192" s="15">
        <v>1.0194</v>
      </c>
      <c r="G1192" s="11">
        <v>-0.0002</v>
      </c>
      <c r="H1192" s="9">
        <f>MAX($F$1080:F1192)</f>
        <v>1.0196</v>
      </c>
      <c r="I1192" s="11">
        <f t="shared" si="26"/>
        <v>0.000196155355041139</v>
      </c>
      <c r="J1192" s="9">
        <f>MAX($F$1120:F1192)</f>
        <v>1.0196</v>
      </c>
      <c r="K1192" s="11">
        <f t="shared" si="27"/>
        <v>0.000196155355041139</v>
      </c>
      <c r="L1192" s="9"/>
      <c r="M1192" s="11"/>
      <c r="N1192" s="9" t="s">
        <v>815</v>
      </c>
    </row>
    <row r="1193" ht="25" customHeight="1" spans="1:14">
      <c r="A1193" s="9" t="s">
        <v>472</v>
      </c>
      <c r="B1193" s="9" t="s">
        <v>471</v>
      </c>
      <c r="C1193" s="10">
        <v>46015</v>
      </c>
      <c r="D1193" s="15">
        <v>1.0193</v>
      </c>
      <c r="E1193" s="15">
        <v>1.0193</v>
      </c>
      <c r="F1193" s="15">
        <v>1.0193</v>
      </c>
      <c r="G1193" s="11">
        <v>-0.0001</v>
      </c>
      <c r="H1193" s="9">
        <f>MAX($F$1080:F1193)</f>
        <v>1.0196</v>
      </c>
      <c r="I1193" s="11">
        <f t="shared" si="26"/>
        <v>0.000294233032561708</v>
      </c>
      <c r="J1193" s="9">
        <f>MAX($F$1120:F1193)</f>
        <v>1.0196</v>
      </c>
      <c r="K1193" s="11">
        <f t="shared" si="27"/>
        <v>0.000294233032561708</v>
      </c>
      <c r="L1193" s="9"/>
      <c r="M1193" s="11"/>
      <c r="N1193" s="9" t="s">
        <v>815</v>
      </c>
    </row>
    <row r="1194" ht="25" customHeight="1" spans="1:14">
      <c r="A1194" s="9" t="s">
        <v>472</v>
      </c>
      <c r="B1194" s="9" t="s">
        <v>471</v>
      </c>
      <c r="C1194" s="10">
        <v>46016</v>
      </c>
      <c r="D1194" s="15">
        <v>1.0187</v>
      </c>
      <c r="E1194" s="15">
        <v>1.0187</v>
      </c>
      <c r="F1194" s="15">
        <v>1.0187</v>
      </c>
      <c r="G1194" s="11">
        <v>-0.0006</v>
      </c>
      <c r="H1194" s="9">
        <f>MAX($F$1080:F1194)</f>
        <v>1.0196</v>
      </c>
      <c r="I1194" s="11">
        <f t="shared" si="26"/>
        <v>0.000882699097685458</v>
      </c>
      <c r="J1194" s="9">
        <f>MAX($F$1120:F1194)</f>
        <v>1.0196</v>
      </c>
      <c r="K1194" s="11">
        <f t="shared" si="27"/>
        <v>0.000882699097685458</v>
      </c>
      <c r="L1194" s="9"/>
      <c r="M1194" s="11"/>
      <c r="N1194" s="9" t="s">
        <v>815</v>
      </c>
    </row>
    <row r="1195" ht="25" customHeight="1" spans="1:14">
      <c r="A1195" s="9" t="s">
        <v>472</v>
      </c>
      <c r="B1195" s="9" t="s">
        <v>471</v>
      </c>
      <c r="C1195" s="10">
        <v>46017</v>
      </c>
      <c r="D1195" s="15">
        <v>1.0384</v>
      </c>
      <c r="E1195" s="15">
        <v>1.0384</v>
      </c>
      <c r="F1195" s="15">
        <v>1.0384</v>
      </c>
      <c r="G1195" s="11">
        <v>0.0193</v>
      </c>
      <c r="H1195" s="9">
        <f>MAX($F$1080:F1195)</f>
        <v>1.0384</v>
      </c>
      <c r="I1195" s="11">
        <f t="shared" si="26"/>
        <v>0</v>
      </c>
      <c r="J1195" s="9">
        <f>MAX($F$1120:F1195)</f>
        <v>1.0384</v>
      </c>
      <c r="K1195" s="11">
        <f t="shared" si="27"/>
        <v>0</v>
      </c>
      <c r="L1195" s="9"/>
      <c r="M1195" s="11"/>
      <c r="N1195" s="9" t="s">
        <v>815</v>
      </c>
    </row>
    <row r="1196" ht="25" customHeight="1" spans="1:14">
      <c r="A1196" s="9" t="s">
        <v>472</v>
      </c>
      <c r="B1196" s="9" t="s">
        <v>471</v>
      </c>
      <c r="C1196" s="10">
        <v>46020</v>
      </c>
      <c r="D1196" s="15">
        <v>1.0383</v>
      </c>
      <c r="E1196" s="15">
        <v>1.0383</v>
      </c>
      <c r="F1196" s="15">
        <v>1.0383</v>
      </c>
      <c r="G1196" s="11">
        <v>-0.0001</v>
      </c>
      <c r="H1196" s="9">
        <f>MAX($F$1080:F1196)</f>
        <v>1.0384</v>
      </c>
      <c r="I1196" s="11">
        <f t="shared" si="26"/>
        <v>9.63020030816386e-5</v>
      </c>
      <c r="J1196" s="9">
        <f>MAX($F$1120:F1196)</f>
        <v>1.0384</v>
      </c>
      <c r="K1196" s="11">
        <f t="shared" si="27"/>
        <v>9.63020030816386e-5</v>
      </c>
      <c r="L1196" s="9"/>
      <c r="M1196" s="11"/>
      <c r="N1196" s="9" t="s">
        <v>815</v>
      </c>
    </row>
    <row r="1197" ht="25" customHeight="1" spans="1:14">
      <c r="A1197" s="9" t="s">
        <v>472</v>
      </c>
      <c r="B1197" s="9" t="s">
        <v>471</v>
      </c>
      <c r="C1197" s="10">
        <v>46021</v>
      </c>
      <c r="D1197" s="15">
        <v>1.0383</v>
      </c>
      <c r="E1197" s="15">
        <v>1.0383</v>
      </c>
      <c r="F1197" s="15">
        <v>1.0383</v>
      </c>
      <c r="G1197" s="11">
        <v>0</v>
      </c>
      <c r="H1197" s="9">
        <f>MAX($F$1080:F1197)</f>
        <v>1.0384</v>
      </c>
      <c r="I1197" s="11">
        <f t="shared" si="26"/>
        <v>9.63020030816386e-5</v>
      </c>
      <c r="J1197" s="9">
        <f>MAX($F$1120:F1197)</f>
        <v>1.0384</v>
      </c>
      <c r="K1197" s="11">
        <f t="shared" si="27"/>
        <v>9.63020030816386e-5</v>
      </c>
      <c r="L1197" s="9"/>
      <c r="M1197" s="11"/>
      <c r="N1197" s="9" t="s">
        <v>815</v>
      </c>
    </row>
    <row r="1198" ht="25" customHeight="1" spans="1:14">
      <c r="A1198" s="9" t="s">
        <v>472</v>
      </c>
      <c r="B1198" s="9" t="s">
        <v>471</v>
      </c>
      <c r="C1198" s="10">
        <v>46022</v>
      </c>
      <c r="D1198" s="15">
        <v>1.0373</v>
      </c>
      <c r="E1198" s="15">
        <v>1.0373</v>
      </c>
      <c r="F1198" s="15">
        <v>1.0373</v>
      </c>
      <c r="G1198" s="11">
        <v>-0.001</v>
      </c>
      <c r="H1198" s="9">
        <f>MAX($F$1080:F1198)</f>
        <v>1.0384</v>
      </c>
      <c r="I1198" s="11">
        <f t="shared" si="26"/>
        <v>0.00105932203389814</v>
      </c>
      <c r="J1198" s="9">
        <f>MAX($F$1120:F1198)</f>
        <v>1.0384</v>
      </c>
      <c r="K1198" s="11">
        <f t="shared" si="27"/>
        <v>0.00105932203389814</v>
      </c>
      <c r="L1198" s="9"/>
      <c r="M1198" s="11"/>
      <c r="N1198" s="9" t="s">
        <v>815</v>
      </c>
    </row>
    <row r="1199" ht="25" customHeight="1" spans="1:14">
      <c r="A1199" s="9" t="s">
        <v>472</v>
      </c>
      <c r="B1199" s="9" t="s">
        <v>471</v>
      </c>
      <c r="C1199" s="10">
        <v>46027</v>
      </c>
      <c r="D1199" s="15">
        <v>1.0369</v>
      </c>
      <c r="E1199" s="15">
        <v>1.0369</v>
      </c>
      <c r="F1199" s="15">
        <v>1.0369</v>
      </c>
      <c r="G1199" s="11">
        <v>-0.0004</v>
      </c>
      <c r="H1199" s="9">
        <f>MAX($F$1080:F1199)</f>
        <v>1.0384</v>
      </c>
      <c r="I1199" s="11">
        <f t="shared" si="26"/>
        <v>0.00144453004622502</v>
      </c>
      <c r="J1199" s="9">
        <f>MAX($F$1120:F1199)</f>
        <v>1.0384</v>
      </c>
      <c r="K1199" s="11">
        <f t="shared" si="27"/>
        <v>0.00144453004622502</v>
      </c>
      <c r="L1199" s="9"/>
      <c r="M1199" s="11"/>
      <c r="N1199" s="9" t="s">
        <v>815</v>
      </c>
    </row>
    <row r="1200" ht="25" customHeight="1" spans="1:14">
      <c r="A1200" s="9" t="s">
        <v>472</v>
      </c>
      <c r="B1200" s="9" t="s">
        <v>471</v>
      </c>
      <c r="C1200" s="10">
        <v>46028</v>
      </c>
      <c r="D1200" s="15">
        <v>1.0369</v>
      </c>
      <c r="E1200" s="15">
        <v>1.0369</v>
      </c>
      <c r="F1200" s="15">
        <v>1.0369</v>
      </c>
      <c r="G1200" s="11">
        <v>0</v>
      </c>
      <c r="H1200" s="9">
        <f>MAX($F$1080:F1200)</f>
        <v>1.0384</v>
      </c>
      <c r="I1200" s="11">
        <f t="shared" si="26"/>
        <v>0.00144453004622502</v>
      </c>
      <c r="J1200" s="9">
        <f>MAX($F$1120:F1200)</f>
        <v>1.0384</v>
      </c>
      <c r="K1200" s="11">
        <f t="shared" si="27"/>
        <v>0.00144453004622502</v>
      </c>
      <c r="L1200" s="9"/>
      <c r="M1200" s="11"/>
      <c r="N1200" s="9" t="s">
        <v>815</v>
      </c>
    </row>
    <row r="1201" ht="25" customHeight="1" spans="1:14">
      <c r="A1201" s="9" t="s">
        <v>472</v>
      </c>
      <c r="B1201" s="9" t="s">
        <v>471</v>
      </c>
      <c r="C1201" s="10">
        <v>46029</v>
      </c>
      <c r="D1201" s="15">
        <v>1.0369</v>
      </c>
      <c r="E1201" s="15">
        <v>1.0369</v>
      </c>
      <c r="F1201" s="15">
        <v>1.0369</v>
      </c>
      <c r="G1201" s="11">
        <v>0</v>
      </c>
      <c r="H1201" s="9">
        <f>MAX($F$1080:F1201)</f>
        <v>1.0384</v>
      </c>
      <c r="I1201" s="11">
        <f t="shared" si="26"/>
        <v>0.00144453004622502</v>
      </c>
      <c r="J1201" s="9">
        <f>MAX($F$1120:F1201)</f>
        <v>1.0384</v>
      </c>
      <c r="K1201" s="11">
        <f t="shared" si="27"/>
        <v>0.00144453004622502</v>
      </c>
      <c r="L1201" s="9"/>
      <c r="M1201" s="11"/>
      <c r="N1201" s="9" t="s">
        <v>815</v>
      </c>
    </row>
    <row r="1202" ht="25" customHeight="1" spans="1:14">
      <c r="A1202" s="9" t="s">
        <v>472</v>
      </c>
      <c r="B1202" s="9" t="s">
        <v>471</v>
      </c>
      <c r="C1202" s="10">
        <v>46030</v>
      </c>
      <c r="D1202" s="15">
        <v>1.0368</v>
      </c>
      <c r="E1202" s="15">
        <v>1.0368</v>
      </c>
      <c r="F1202" s="15">
        <v>1.0368</v>
      </c>
      <c r="G1202" s="11">
        <v>-0.0001</v>
      </c>
      <c r="H1202" s="9">
        <f>MAX($F$1080:F1202)</f>
        <v>1.0384</v>
      </c>
      <c r="I1202" s="11">
        <f t="shared" si="26"/>
        <v>0.00154083204930666</v>
      </c>
      <c r="J1202" s="9">
        <f>MAX($F$1120:F1202)</f>
        <v>1.0384</v>
      </c>
      <c r="K1202" s="11">
        <f t="shared" si="27"/>
        <v>0.00154083204930666</v>
      </c>
      <c r="L1202" s="9"/>
      <c r="M1202" s="11"/>
      <c r="N1202" s="9" t="s">
        <v>815</v>
      </c>
    </row>
    <row r="1203" ht="25" customHeight="1" spans="1:14">
      <c r="A1203" s="9" t="s">
        <v>472</v>
      </c>
      <c r="B1203" s="9" t="s">
        <v>471</v>
      </c>
      <c r="C1203" s="10">
        <v>46031</v>
      </c>
      <c r="D1203" s="15">
        <v>1.0368</v>
      </c>
      <c r="E1203" s="15">
        <v>1.0368</v>
      </c>
      <c r="F1203" s="15">
        <v>1.0368</v>
      </c>
      <c r="G1203" s="11">
        <v>0</v>
      </c>
      <c r="H1203" s="9">
        <f>MAX($F$1080:F1203)</f>
        <v>1.0384</v>
      </c>
      <c r="I1203" s="11">
        <f t="shared" si="26"/>
        <v>0.00154083204930666</v>
      </c>
      <c r="J1203" s="9">
        <f>MAX($F$1120:F1203)</f>
        <v>1.0384</v>
      </c>
      <c r="K1203" s="11">
        <f t="shared" si="27"/>
        <v>0.00154083204930666</v>
      </c>
      <c r="L1203" s="9"/>
      <c r="M1203" s="11"/>
      <c r="N1203" s="9" t="s">
        <v>815</v>
      </c>
    </row>
    <row r="1204" ht="25" customHeight="1" spans="1:14">
      <c r="A1204" s="9" t="s">
        <v>472</v>
      </c>
      <c r="B1204" s="9" t="s">
        <v>471</v>
      </c>
      <c r="C1204" s="10">
        <v>46034</v>
      </c>
      <c r="D1204" s="15">
        <v>1.0367</v>
      </c>
      <c r="E1204" s="15">
        <v>1.0367</v>
      </c>
      <c r="F1204" s="15">
        <v>1.0367</v>
      </c>
      <c r="G1204" s="11">
        <v>-0.0001</v>
      </c>
      <c r="H1204" s="9">
        <f>MAX($F$1080:F1204)</f>
        <v>1.0384</v>
      </c>
      <c r="I1204" s="11">
        <f t="shared" si="26"/>
        <v>0.0016371340523883</v>
      </c>
      <c r="J1204" s="9">
        <f>MAX($F$1120:F1204)</f>
        <v>1.0384</v>
      </c>
      <c r="K1204" s="11">
        <f t="shared" si="27"/>
        <v>0.0016371340523883</v>
      </c>
      <c r="L1204" s="9"/>
      <c r="M1204" s="11"/>
      <c r="N1204" s="9" t="s">
        <v>815</v>
      </c>
    </row>
    <row r="1205" ht="25" customHeight="1" spans="1:14">
      <c r="A1205" s="9" t="s">
        <v>472</v>
      </c>
      <c r="B1205" s="9" t="s">
        <v>471</v>
      </c>
      <c r="C1205" s="10">
        <v>46035</v>
      </c>
      <c r="D1205" s="15">
        <v>1.0367</v>
      </c>
      <c r="E1205" s="15">
        <v>1.0367</v>
      </c>
      <c r="F1205" s="15">
        <v>1.0367</v>
      </c>
      <c r="G1205" s="11">
        <v>0</v>
      </c>
      <c r="H1205" s="9">
        <f>MAX($F$1080:F1205)</f>
        <v>1.0384</v>
      </c>
      <c r="I1205" s="11">
        <f t="shared" si="26"/>
        <v>0.0016371340523883</v>
      </c>
      <c r="J1205" s="9">
        <f>MAX($F$1120:F1205)</f>
        <v>1.0384</v>
      </c>
      <c r="K1205" s="11">
        <f t="shared" si="27"/>
        <v>0.0016371340523883</v>
      </c>
      <c r="L1205" s="9"/>
      <c r="M1205" s="11"/>
      <c r="N1205" s="9" t="s">
        <v>815</v>
      </c>
    </row>
    <row r="1206" ht="25" customHeight="1" spans="1:14">
      <c r="A1206" s="9" t="s">
        <v>472</v>
      </c>
      <c r="B1206" s="9" t="s">
        <v>471</v>
      </c>
      <c r="C1206" s="10">
        <v>46036</v>
      </c>
      <c r="D1206" s="15">
        <v>1.0367</v>
      </c>
      <c r="E1206" s="15">
        <v>1.0367</v>
      </c>
      <c r="F1206" s="15">
        <v>1.0367</v>
      </c>
      <c r="G1206" s="11">
        <v>0</v>
      </c>
      <c r="H1206" s="9">
        <f>MAX($F$1080:F1206)</f>
        <v>1.0384</v>
      </c>
      <c r="I1206" s="11">
        <f t="shared" si="26"/>
        <v>0.0016371340523883</v>
      </c>
      <c r="J1206" s="9">
        <f>MAX($F$1120:F1206)</f>
        <v>1.0384</v>
      </c>
      <c r="K1206" s="11">
        <f t="shared" si="27"/>
        <v>0.0016371340523883</v>
      </c>
      <c r="L1206" s="9"/>
      <c r="M1206" s="11"/>
      <c r="N1206" s="9" t="s">
        <v>815</v>
      </c>
    </row>
    <row r="1207" ht="25" customHeight="1" spans="1:14">
      <c r="A1207" s="9" t="s">
        <v>472</v>
      </c>
      <c r="B1207" s="9" t="s">
        <v>471</v>
      </c>
      <c r="C1207" s="10">
        <v>46037</v>
      </c>
      <c r="D1207" s="15">
        <v>1.0366</v>
      </c>
      <c r="E1207" s="15">
        <v>1.0366</v>
      </c>
      <c r="F1207" s="15">
        <v>1.0366</v>
      </c>
      <c r="G1207" s="11">
        <v>-0.0001</v>
      </c>
      <c r="H1207" s="9">
        <f>MAX($F$1080:F1207)</f>
        <v>1.0384</v>
      </c>
      <c r="I1207" s="11">
        <f t="shared" si="26"/>
        <v>0.00173343605546994</v>
      </c>
      <c r="J1207" s="9">
        <f>MAX($F$1120:F1207)</f>
        <v>1.0384</v>
      </c>
      <c r="K1207" s="11">
        <f t="shared" si="27"/>
        <v>0.00173343605546994</v>
      </c>
      <c r="L1207" s="9"/>
      <c r="M1207" s="11"/>
      <c r="N1207" s="9" t="s">
        <v>815</v>
      </c>
    </row>
    <row r="1208" ht="25" customHeight="1" spans="1:14">
      <c r="A1208" s="9" t="s">
        <v>472</v>
      </c>
      <c r="B1208" s="9" t="s">
        <v>471</v>
      </c>
      <c r="C1208" s="10">
        <v>46038</v>
      </c>
      <c r="D1208" s="15">
        <v>1.0366</v>
      </c>
      <c r="E1208" s="15">
        <v>1.0366</v>
      </c>
      <c r="F1208" s="15">
        <v>1.0366</v>
      </c>
      <c r="G1208" s="11">
        <v>0</v>
      </c>
      <c r="H1208" s="9">
        <f>MAX($F$1080:F1208)</f>
        <v>1.0384</v>
      </c>
      <c r="I1208" s="11">
        <f t="shared" si="26"/>
        <v>0.00173343605546994</v>
      </c>
      <c r="J1208" s="9">
        <f>MAX($F$1120:F1208)</f>
        <v>1.0384</v>
      </c>
      <c r="K1208" s="11">
        <f t="shared" si="27"/>
        <v>0.00173343605546994</v>
      </c>
      <c r="L1208" s="9"/>
      <c r="M1208" s="11"/>
      <c r="N1208" s="9" t="s">
        <v>815</v>
      </c>
    </row>
    <row r="1209" ht="25" customHeight="1" spans="1:14">
      <c r="A1209" s="9" t="s">
        <v>472</v>
      </c>
      <c r="B1209" s="9" t="s">
        <v>471</v>
      </c>
      <c r="C1209" s="10">
        <v>46041</v>
      </c>
      <c r="D1209" s="15">
        <v>1.0365</v>
      </c>
      <c r="E1209" s="15">
        <v>1.0365</v>
      </c>
      <c r="F1209" s="15">
        <v>1.0365</v>
      </c>
      <c r="G1209" s="11">
        <v>-0.0001</v>
      </c>
      <c r="H1209" s="9">
        <f>MAX($F$1080:F1209)</f>
        <v>1.0384</v>
      </c>
      <c r="I1209" s="11">
        <f t="shared" si="26"/>
        <v>0.00182973805855158</v>
      </c>
      <c r="J1209" s="9">
        <f>MAX($F$1120:F1209)</f>
        <v>1.0384</v>
      </c>
      <c r="K1209" s="11">
        <f t="shared" si="27"/>
        <v>0.00182973805855158</v>
      </c>
      <c r="L1209" s="9"/>
      <c r="M1209" s="11"/>
      <c r="N1209" s="9" t="s">
        <v>815</v>
      </c>
    </row>
    <row r="1210" ht="25" customHeight="1" spans="1:14">
      <c r="A1210" s="9" t="s">
        <v>472</v>
      </c>
      <c r="B1210" s="9" t="s">
        <v>471</v>
      </c>
      <c r="C1210" s="10">
        <v>46042</v>
      </c>
      <c r="D1210" s="15">
        <v>1.0365</v>
      </c>
      <c r="E1210" s="15">
        <v>1.0365</v>
      </c>
      <c r="F1210" s="15">
        <v>1.0365</v>
      </c>
      <c r="G1210" s="11">
        <v>0</v>
      </c>
      <c r="H1210" s="9">
        <f>MAX($F$1080:F1210)</f>
        <v>1.0384</v>
      </c>
      <c r="I1210" s="11">
        <f t="shared" si="26"/>
        <v>0.00182973805855158</v>
      </c>
      <c r="J1210" s="9">
        <f>MAX($F$1120:F1210)</f>
        <v>1.0384</v>
      </c>
      <c r="K1210" s="11">
        <f t="shared" si="27"/>
        <v>0.00182973805855158</v>
      </c>
      <c r="L1210" s="9"/>
      <c r="M1210" s="11"/>
      <c r="N1210" s="9" t="s">
        <v>815</v>
      </c>
    </row>
    <row r="1211" ht="25" customHeight="1" spans="1:14">
      <c r="A1211" s="9" t="s">
        <v>472</v>
      </c>
      <c r="B1211" s="9" t="s">
        <v>471</v>
      </c>
      <c r="C1211" s="10">
        <v>46043</v>
      </c>
      <c r="D1211" s="15">
        <v>1.0365</v>
      </c>
      <c r="E1211" s="15">
        <v>1.0365</v>
      </c>
      <c r="F1211" s="15">
        <v>1.0365</v>
      </c>
      <c r="G1211" s="11">
        <v>0</v>
      </c>
      <c r="H1211" s="9">
        <f>MAX($F$1080:F1211)</f>
        <v>1.0384</v>
      </c>
      <c r="I1211" s="11">
        <f t="shared" si="26"/>
        <v>0.00182973805855158</v>
      </c>
      <c r="J1211" s="9">
        <f>MAX($F$1120:F1211)</f>
        <v>1.0384</v>
      </c>
      <c r="K1211" s="11">
        <f t="shared" si="27"/>
        <v>0.00182973805855158</v>
      </c>
      <c r="L1211" s="9"/>
      <c r="M1211" s="11"/>
      <c r="N1211" s="9" t="s">
        <v>815</v>
      </c>
    </row>
    <row r="1212" ht="25" customHeight="1" spans="1:14">
      <c r="A1212" s="9" t="s">
        <v>472</v>
      </c>
      <c r="B1212" s="9" t="s">
        <v>471</v>
      </c>
      <c r="C1212" s="10">
        <v>46044</v>
      </c>
      <c r="D1212" s="15">
        <v>1.0565</v>
      </c>
      <c r="E1212" s="15">
        <v>1.0565</v>
      </c>
      <c r="F1212" s="15">
        <v>1.0565</v>
      </c>
      <c r="G1212" s="11">
        <v>0.0193</v>
      </c>
      <c r="H1212" s="9">
        <f>MAX($F$1080:F1212)</f>
        <v>1.0565</v>
      </c>
      <c r="I1212" s="11">
        <f t="shared" si="26"/>
        <v>0</v>
      </c>
      <c r="J1212" s="9">
        <f>MAX($F$1120:F1212)</f>
        <v>1.0565</v>
      </c>
      <c r="K1212" s="11">
        <f t="shared" si="27"/>
        <v>0</v>
      </c>
      <c r="L1212" s="9"/>
      <c r="M1212" s="11"/>
      <c r="N1212" s="9" t="s">
        <v>815</v>
      </c>
    </row>
    <row r="1213" ht="25" customHeight="1" spans="1:14">
      <c r="A1213" s="9" t="s">
        <v>472</v>
      </c>
      <c r="B1213" s="9" t="s">
        <v>471</v>
      </c>
      <c r="C1213" s="10">
        <v>46045</v>
      </c>
      <c r="D1213" s="15">
        <v>1.0565</v>
      </c>
      <c r="E1213" s="15">
        <v>1.0565</v>
      </c>
      <c r="F1213" s="15">
        <v>1.0565</v>
      </c>
      <c r="G1213" s="11">
        <v>0</v>
      </c>
      <c r="H1213" s="9">
        <f>MAX($F$1080:F1213)</f>
        <v>1.0565</v>
      </c>
      <c r="I1213" s="11">
        <f t="shared" si="26"/>
        <v>0</v>
      </c>
      <c r="J1213" s="9">
        <f>MAX($F$1120:F1213)</f>
        <v>1.0565</v>
      </c>
      <c r="K1213" s="11">
        <f t="shared" si="27"/>
        <v>0</v>
      </c>
      <c r="L1213" s="9"/>
      <c r="M1213" s="11"/>
      <c r="N1213" s="9" t="s">
        <v>815</v>
      </c>
    </row>
    <row r="1214" ht="25" customHeight="1" spans="1:14">
      <c r="A1214" s="9" t="s">
        <v>472</v>
      </c>
      <c r="B1214" s="9" t="s">
        <v>471</v>
      </c>
      <c r="C1214" s="10">
        <v>46048</v>
      </c>
      <c r="D1214" s="15">
        <v>1.0564</v>
      </c>
      <c r="E1214" s="15">
        <v>1.0564</v>
      </c>
      <c r="F1214" s="15">
        <v>1.0564</v>
      </c>
      <c r="G1214" s="11">
        <v>-0.0001</v>
      </c>
      <c r="H1214" s="9">
        <f>MAX($F$1080:F1214)</f>
        <v>1.0565</v>
      </c>
      <c r="I1214" s="11">
        <f t="shared" si="26"/>
        <v>9.4652153336483e-5</v>
      </c>
      <c r="J1214" s="9">
        <f>MAX($F$1120:F1214)</f>
        <v>1.0565</v>
      </c>
      <c r="K1214" s="11">
        <f t="shared" si="27"/>
        <v>9.4652153336483e-5</v>
      </c>
      <c r="L1214" s="9"/>
      <c r="M1214" s="11"/>
      <c r="N1214" s="9" t="s">
        <v>815</v>
      </c>
    </row>
    <row r="1215" ht="25" customHeight="1" spans="1:14">
      <c r="A1215" s="9" t="s">
        <v>472</v>
      </c>
      <c r="B1215" s="9" t="s">
        <v>471</v>
      </c>
      <c r="C1215" s="10">
        <v>46049</v>
      </c>
      <c r="D1215" s="15">
        <v>1.0564</v>
      </c>
      <c r="E1215" s="15">
        <v>1.0564</v>
      </c>
      <c r="F1215" s="15">
        <v>1.0564</v>
      </c>
      <c r="G1215" s="11">
        <v>0</v>
      </c>
      <c r="H1215" s="9">
        <f>MAX($F$1080:F1215)</f>
        <v>1.0565</v>
      </c>
      <c r="I1215" s="11">
        <f t="shared" si="26"/>
        <v>9.4652153336483e-5</v>
      </c>
      <c r="J1215" s="9">
        <f>MAX($F$1120:F1215)</f>
        <v>1.0565</v>
      </c>
      <c r="K1215" s="11">
        <f t="shared" si="27"/>
        <v>9.4652153336483e-5</v>
      </c>
      <c r="L1215" s="9"/>
      <c r="M1215" s="11"/>
      <c r="N1215" s="9" t="s">
        <v>815</v>
      </c>
    </row>
    <row r="1216" ht="25" customHeight="1" spans="1:14">
      <c r="A1216" s="9" t="s">
        <v>472</v>
      </c>
      <c r="B1216" s="9" t="s">
        <v>471</v>
      </c>
      <c r="C1216" s="10">
        <v>46050</v>
      </c>
      <c r="D1216" s="15">
        <v>1.0564</v>
      </c>
      <c r="E1216" s="15">
        <v>1.0564</v>
      </c>
      <c r="F1216" s="15">
        <v>1.0564</v>
      </c>
      <c r="G1216" s="11">
        <v>0</v>
      </c>
      <c r="H1216" s="9">
        <f>MAX($F$1080:F1216)</f>
        <v>1.0565</v>
      </c>
      <c r="I1216" s="11">
        <f t="shared" si="26"/>
        <v>9.4652153336483e-5</v>
      </c>
      <c r="J1216" s="9">
        <f>MAX($F$1120:F1216)</f>
        <v>1.0565</v>
      </c>
      <c r="K1216" s="11">
        <f t="shared" si="27"/>
        <v>9.4652153336483e-5</v>
      </c>
      <c r="L1216" s="9"/>
      <c r="M1216" s="11"/>
      <c r="N1216" s="9" t="s">
        <v>815</v>
      </c>
    </row>
    <row r="1217" ht="25" customHeight="1" spans="1:14">
      <c r="A1217" s="9" t="s">
        <v>472</v>
      </c>
      <c r="B1217" s="9" t="s">
        <v>471</v>
      </c>
      <c r="C1217" s="10">
        <v>46051</v>
      </c>
      <c r="D1217" s="15">
        <v>1.0563</v>
      </c>
      <c r="E1217" s="15">
        <v>1.0563</v>
      </c>
      <c r="F1217" s="15">
        <v>1.0563</v>
      </c>
      <c r="G1217" s="11">
        <v>-0.0001</v>
      </c>
      <c r="H1217" s="9">
        <f>MAX($F$1080:F1217)</f>
        <v>1.0565</v>
      </c>
      <c r="I1217" s="11">
        <f t="shared" si="26"/>
        <v>0.000189304306672966</v>
      </c>
      <c r="J1217" s="9">
        <f>MAX($F$1120:F1217)</f>
        <v>1.0565</v>
      </c>
      <c r="K1217" s="11">
        <f t="shared" si="27"/>
        <v>0.000189304306672966</v>
      </c>
      <c r="L1217" s="9"/>
      <c r="M1217" s="11"/>
      <c r="N1217" s="9" t="s">
        <v>815</v>
      </c>
    </row>
    <row r="1218" ht="25" customHeight="1" spans="1:14">
      <c r="A1218" s="9" t="s">
        <v>472</v>
      </c>
      <c r="B1218" s="9" t="s">
        <v>471</v>
      </c>
      <c r="C1218" s="10">
        <v>46052</v>
      </c>
      <c r="D1218" s="15">
        <v>1.0563</v>
      </c>
      <c r="E1218" s="15">
        <v>1.0563</v>
      </c>
      <c r="F1218" s="15">
        <v>1.0563</v>
      </c>
      <c r="G1218" s="11">
        <v>0</v>
      </c>
      <c r="H1218" s="9">
        <f>MAX($F$1080:F1218)</f>
        <v>1.0565</v>
      </c>
      <c r="I1218" s="11">
        <f t="shared" ref="I1218:I1281" si="28">1-F1218/H1218</f>
        <v>0.000189304306672966</v>
      </c>
      <c r="J1218" s="9">
        <f>MAX($F$1120:F1218)</f>
        <v>1.0565</v>
      </c>
      <c r="K1218" s="11">
        <f t="shared" si="27"/>
        <v>0.000189304306672966</v>
      </c>
      <c r="L1218" s="9"/>
      <c r="M1218" s="11"/>
      <c r="N1218" s="9" t="s">
        <v>815</v>
      </c>
    </row>
    <row r="1219" ht="25" customHeight="1" spans="1:14">
      <c r="A1219" s="9" t="s">
        <v>472</v>
      </c>
      <c r="B1219" s="9" t="s">
        <v>471</v>
      </c>
      <c r="C1219" s="10">
        <v>46055</v>
      </c>
      <c r="D1219" s="15">
        <v>1.0562</v>
      </c>
      <c r="E1219" s="15">
        <v>1.0562</v>
      </c>
      <c r="F1219" s="15">
        <v>1.0562</v>
      </c>
      <c r="G1219" s="11">
        <v>-0.0001</v>
      </c>
      <c r="H1219" s="9">
        <f>MAX($F$1080:F1219)</f>
        <v>1.0565</v>
      </c>
      <c r="I1219" s="11">
        <f t="shared" si="28"/>
        <v>0.000283956460009449</v>
      </c>
      <c r="J1219" s="9">
        <f>MAX($F$1120:F1219)</f>
        <v>1.0565</v>
      </c>
      <c r="K1219" s="11">
        <f t="shared" si="27"/>
        <v>0.000283956460009449</v>
      </c>
      <c r="L1219" s="9"/>
      <c r="M1219" s="11"/>
      <c r="N1219" s="9" t="s">
        <v>815</v>
      </c>
    </row>
    <row r="1220" ht="25" customHeight="1" spans="1:14">
      <c r="A1220" s="9" t="s">
        <v>472</v>
      </c>
      <c r="B1220" s="9" t="s">
        <v>471</v>
      </c>
      <c r="C1220" s="10">
        <v>46056</v>
      </c>
      <c r="D1220" s="15">
        <v>1.0562</v>
      </c>
      <c r="E1220" s="15">
        <v>1.0562</v>
      </c>
      <c r="F1220" s="15">
        <v>1.0562</v>
      </c>
      <c r="G1220" s="11">
        <v>0</v>
      </c>
      <c r="H1220" s="9">
        <f>MAX($F$1080:F1220)</f>
        <v>1.0565</v>
      </c>
      <c r="I1220" s="11">
        <f t="shared" si="28"/>
        <v>0.000283956460009449</v>
      </c>
      <c r="J1220" s="9">
        <f>MAX($F$1120:F1220)</f>
        <v>1.0565</v>
      </c>
      <c r="K1220" s="11">
        <f t="shared" si="27"/>
        <v>0.000283956460009449</v>
      </c>
      <c r="L1220" s="9"/>
      <c r="M1220" s="11"/>
      <c r="N1220" s="9" t="s">
        <v>815</v>
      </c>
    </row>
    <row r="1221" ht="25" customHeight="1" spans="1:14">
      <c r="A1221" s="9" t="s">
        <v>472</v>
      </c>
      <c r="B1221" s="9" t="s">
        <v>471</v>
      </c>
      <c r="C1221" s="10">
        <v>46057</v>
      </c>
      <c r="D1221" s="15">
        <v>1.0562</v>
      </c>
      <c r="E1221" s="15">
        <v>1.0562</v>
      </c>
      <c r="F1221" s="15">
        <v>1.0562</v>
      </c>
      <c r="G1221" s="11">
        <v>0</v>
      </c>
      <c r="H1221" s="9">
        <f>MAX($F$1080:F1221)</f>
        <v>1.0565</v>
      </c>
      <c r="I1221" s="11">
        <f t="shared" si="28"/>
        <v>0.000283956460009449</v>
      </c>
      <c r="J1221" s="9">
        <f>MAX($F$1120:F1221)</f>
        <v>1.0565</v>
      </c>
      <c r="K1221" s="11">
        <f t="shared" si="27"/>
        <v>0.000283956460009449</v>
      </c>
      <c r="L1221" s="9"/>
      <c r="M1221" s="11"/>
      <c r="N1221" s="9" t="s">
        <v>815</v>
      </c>
    </row>
    <row r="1222" ht="25" customHeight="1" spans="1:14">
      <c r="A1222" s="9" t="s">
        <v>472</v>
      </c>
      <c r="B1222" s="9" t="s">
        <v>471</v>
      </c>
      <c r="C1222" s="10">
        <v>46058</v>
      </c>
      <c r="D1222" s="15">
        <v>1.0592</v>
      </c>
      <c r="E1222" s="15">
        <v>1.0592</v>
      </c>
      <c r="F1222" s="15">
        <v>1.0592</v>
      </c>
      <c r="G1222" s="11">
        <v>0.0028</v>
      </c>
      <c r="H1222" s="9">
        <f>MAX($F$1080:F1222)</f>
        <v>1.0592</v>
      </c>
      <c r="I1222" s="11">
        <f t="shared" si="28"/>
        <v>0</v>
      </c>
      <c r="J1222" s="9">
        <f>MAX($F$1120:F1222)</f>
        <v>1.0592</v>
      </c>
      <c r="K1222" s="11">
        <f t="shared" si="27"/>
        <v>0</v>
      </c>
      <c r="L1222" s="9"/>
      <c r="M1222" s="11"/>
      <c r="N1222" s="9" t="s">
        <v>815</v>
      </c>
    </row>
    <row r="1223" ht="25" customHeight="1" spans="1:14">
      <c r="A1223" s="9" t="s">
        <v>472</v>
      </c>
      <c r="B1223" s="9" t="s">
        <v>471</v>
      </c>
      <c r="C1223" s="10">
        <v>46059</v>
      </c>
      <c r="D1223" s="15">
        <v>1.0609</v>
      </c>
      <c r="E1223" s="15">
        <v>1.0609</v>
      </c>
      <c r="F1223" s="15">
        <v>1.0609</v>
      </c>
      <c r="G1223" s="11">
        <v>0.0016</v>
      </c>
      <c r="H1223" s="9">
        <f>MAX($F$1080:F1223)</f>
        <v>1.0609</v>
      </c>
      <c r="I1223" s="11">
        <f t="shared" si="28"/>
        <v>0</v>
      </c>
      <c r="J1223" s="9">
        <f>MAX($F$1120:F1223)</f>
        <v>1.0609</v>
      </c>
      <c r="K1223" s="11">
        <f t="shared" si="27"/>
        <v>0</v>
      </c>
      <c r="L1223" s="9"/>
      <c r="M1223" s="11"/>
      <c r="N1223" s="9" t="s">
        <v>815</v>
      </c>
    </row>
    <row r="1224" ht="25" customHeight="1" spans="1:14">
      <c r="A1224" s="9" t="s">
        <v>472</v>
      </c>
      <c r="B1224" s="9" t="s">
        <v>471</v>
      </c>
      <c r="C1224" s="10">
        <v>46062</v>
      </c>
      <c r="D1224" s="15">
        <v>1.0618</v>
      </c>
      <c r="E1224" s="15">
        <v>1.0618</v>
      </c>
      <c r="F1224" s="15">
        <v>1.0618</v>
      </c>
      <c r="G1224" s="11">
        <v>0.0008</v>
      </c>
      <c r="H1224" s="9">
        <f>MAX($F$1080:F1224)</f>
        <v>1.0618</v>
      </c>
      <c r="I1224" s="11">
        <f t="shared" si="28"/>
        <v>0</v>
      </c>
      <c r="J1224" s="9">
        <f>MAX($F$1120:F1224)</f>
        <v>1.0618</v>
      </c>
      <c r="K1224" s="11">
        <f t="shared" si="27"/>
        <v>0</v>
      </c>
      <c r="L1224" s="9"/>
      <c r="M1224" s="11"/>
      <c r="N1224" s="9" t="s">
        <v>815</v>
      </c>
    </row>
    <row r="1225" ht="25" customHeight="1" spans="1:14">
      <c r="A1225" s="9" t="s">
        <v>472</v>
      </c>
      <c r="B1225" s="9" t="s">
        <v>471</v>
      </c>
      <c r="C1225" s="10">
        <v>46063</v>
      </c>
      <c r="D1225" s="15">
        <v>1.0619</v>
      </c>
      <c r="E1225" s="15">
        <v>1.0619</v>
      </c>
      <c r="F1225" s="15">
        <v>1.0619</v>
      </c>
      <c r="G1225" s="11">
        <v>0.0001</v>
      </c>
      <c r="H1225" s="9">
        <f>MAX($F$1080:F1225)</f>
        <v>1.0619</v>
      </c>
      <c r="I1225" s="11">
        <f t="shared" si="28"/>
        <v>0</v>
      </c>
      <c r="J1225" s="9">
        <f>MAX($F$1120:F1225)</f>
        <v>1.0619</v>
      </c>
      <c r="K1225" s="11">
        <f t="shared" si="27"/>
        <v>0</v>
      </c>
      <c r="L1225" s="9"/>
      <c r="M1225" s="11"/>
      <c r="N1225" s="9" t="s">
        <v>815</v>
      </c>
    </row>
    <row r="1226" ht="25" customHeight="1" spans="1:14">
      <c r="A1226" s="9" t="s">
        <v>472</v>
      </c>
      <c r="B1226" s="9" t="s">
        <v>471</v>
      </c>
      <c r="C1226" s="10">
        <v>46064</v>
      </c>
      <c r="D1226" s="15">
        <v>1.0618</v>
      </c>
      <c r="E1226" s="15">
        <v>1.0618</v>
      </c>
      <c r="F1226" s="15">
        <v>1.0618</v>
      </c>
      <c r="G1226" s="11">
        <v>-0.0001</v>
      </c>
      <c r="H1226" s="9">
        <f>MAX($F$1080:F1226)</f>
        <v>1.0619</v>
      </c>
      <c r="I1226" s="11">
        <f t="shared" si="28"/>
        <v>9.41708258781482e-5</v>
      </c>
      <c r="J1226" s="9">
        <f>MAX($F$1120:F1226)</f>
        <v>1.0619</v>
      </c>
      <c r="K1226" s="11">
        <f t="shared" si="27"/>
        <v>9.41708258781482e-5</v>
      </c>
      <c r="L1226" s="9"/>
      <c r="M1226" s="11"/>
      <c r="N1226" s="9" t="s">
        <v>815</v>
      </c>
    </row>
    <row r="1227" ht="25" customHeight="1" spans="1:14">
      <c r="A1227" s="9" t="s">
        <v>472</v>
      </c>
      <c r="B1227" s="9" t="s">
        <v>471</v>
      </c>
      <c r="C1227" s="10">
        <v>46065</v>
      </c>
      <c r="D1227" s="15">
        <v>1.0625</v>
      </c>
      <c r="E1227" s="15">
        <v>1.0625</v>
      </c>
      <c r="F1227" s="15">
        <v>1.0625</v>
      </c>
      <c r="G1227" s="11">
        <v>0.0007</v>
      </c>
      <c r="H1227" s="9">
        <f>MAX($F$1080:F1227)</f>
        <v>1.0625</v>
      </c>
      <c r="I1227" s="11">
        <f t="shared" si="28"/>
        <v>0</v>
      </c>
      <c r="J1227" s="9">
        <f>MAX($F$1120:F1227)</f>
        <v>1.0625</v>
      </c>
      <c r="K1227" s="11">
        <f t="shared" si="27"/>
        <v>0</v>
      </c>
      <c r="L1227" s="9"/>
      <c r="M1227" s="11"/>
      <c r="N1227" s="9" t="s">
        <v>815</v>
      </c>
    </row>
    <row r="1228" ht="25" customHeight="1" spans="1:14">
      <c r="A1228" s="9" t="s">
        <v>472</v>
      </c>
      <c r="B1228" s="9" t="s">
        <v>471</v>
      </c>
      <c r="C1228" s="10">
        <v>46066</v>
      </c>
      <c r="D1228" s="15">
        <v>1.0591</v>
      </c>
      <c r="E1228" s="15">
        <v>1.0591</v>
      </c>
      <c r="F1228" s="15">
        <v>1.0591</v>
      </c>
      <c r="G1228" s="11">
        <v>-0.0032</v>
      </c>
      <c r="H1228" s="9">
        <f>MAX($F$1080:F1228)</f>
        <v>1.0625</v>
      </c>
      <c r="I1228" s="11">
        <f t="shared" si="28"/>
        <v>0.00320000000000009</v>
      </c>
      <c r="J1228" s="9">
        <f>MAX($F$1120:F1228)</f>
        <v>1.0625</v>
      </c>
      <c r="K1228" s="11">
        <f t="shared" si="27"/>
        <v>0.00320000000000009</v>
      </c>
      <c r="L1228" s="9"/>
      <c r="M1228" s="11"/>
      <c r="N1228" s="9" t="s">
        <v>815</v>
      </c>
    </row>
    <row r="1229" ht="25" customHeight="1" spans="1:14">
      <c r="A1229" s="9" t="s">
        <v>472</v>
      </c>
      <c r="B1229" s="9" t="s">
        <v>471</v>
      </c>
      <c r="C1229" s="10">
        <v>46077</v>
      </c>
      <c r="D1229" s="15">
        <v>1.0589</v>
      </c>
      <c r="E1229" s="15">
        <v>1.0589</v>
      </c>
      <c r="F1229" s="15">
        <v>1.0589</v>
      </c>
      <c r="G1229" s="11">
        <v>-0.0002</v>
      </c>
      <c r="H1229" s="9">
        <f>MAX($F$1080:F1229)</f>
        <v>1.0625</v>
      </c>
      <c r="I1229" s="11">
        <f t="shared" si="28"/>
        <v>0.00338823529411769</v>
      </c>
      <c r="J1229" s="9">
        <f>MAX($F$1120:F1229)</f>
        <v>1.0625</v>
      </c>
      <c r="K1229" s="11">
        <f t="shared" si="27"/>
        <v>0.00338823529411769</v>
      </c>
      <c r="L1229" s="9"/>
      <c r="M1229" s="11"/>
      <c r="N1229" s="9" t="s">
        <v>815</v>
      </c>
    </row>
    <row r="1230" ht="25" customHeight="1" spans="1:14">
      <c r="A1230" s="9" t="s">
        <v>472</v>
      </c>
      <c r="B1230" s="9" t="s">
        <v>471</v>
      </c>
      <c r="C1230" s="10">
        <v>46078</v>
      </c>
      <c r="D1230" s="15">
        <v>1.0596</v>
      </c>
      <c r="E1230" s="15">
        <v>1.0596</v>
      </c>
      <c r="F1230" s="15">
        <v>1.0596</v>
      </c>
      <c r="G1230" s="11">
        <v>0.0007</v>
      </c>
      <c r="H1230" s="9">
        <f>MAX($F$1080:F1230)</f>
        <v>1.0625</v>
      </c>
      <c r="I1230" s="11">
        <f t="shared" si="28"/>
        <v>0.00272941176470576</v>
      </c>
      <c r="J1230" s="9">
        <f>MAX($F$1120:F1230)</f>
        <v>1.0625</v>
      </c>
      <c r="K1230" s="11">
        <f t="shared" si="27"/>
        <v>0.00272941176470576</v>
      </c>
      <c r="L1230" s="9"/>
      <c r="M1230" s="11"/>
      <c r="N1230" s="9" t="s">
        <v>815</v>
      </c>
    </row>
    <row r="1231" ht="25" customHeight="1" spans="1:14">
      <c r="A1231" s="9" t="s">
        <v>472</v>
      </c>
      <c r="B1231" s="9" t="s">
        <v>471</v>
      </c>
      <c r="C1231" s="10">
        <v>46079</v>
      </c>
      <c r="D1231" s="15">
        <v>1.0602</v>
      </c>
      <c r="E1231" s="15">
        <v>1.0602</v>
      </c>
      <c r="F1231" s="15">
        <v>1.0602</v>
      </c>
      <c r="G1231" s="11">
        <v>0.0006</v>
      </c>
      <c r="H1231" s="9">
        <f>MAX($F$1080:F1231)</f>
        <v>1.0625</v>
      </c>
      <c r="I1231" s="11">
        <f t="shared" si="28"/>
        <v>0.00216470588235296</v>
      </c>
      <c r="J1231" s="9">
        <f>MAX($F$1120:F1231)</f>
        <v>1.0625</v>
      </c>
      <c r="K1231" s="11">
        <f t="shared" si="27"/>
        <v>0.00216470588235296</v>
      </c>
      <c r="L1231" s="9"/>
      <c r="M1231" s="11"/>
      <c r="N1231" s="9" t="s">
        <v>815</v>
      </c>
    </row>
    <row r="1232" ht="25" customHeight="1" spans="1:14">
      <c r="A1232" s="9" t="s">
        <v>472</v>
      </c>
      <c r="B1232" s="9" t="s">
        <v>471</v>
      </c>
      <c r="C1232" s="10">
        <v>46080</v>
      </c>
      <c r="D1232" s="15">
        <v>1.061</v>
      </c>
      <c r="E1232" s="15">
        <v>1.061</v>
      </c>
      <c r="F1232" s="15">
        <v>1.061</v>
      </c>
      <c r="G1232" s="11">
        <v>0.0008</v>
      </c>
      <c r="H1232" s="9">
        <f>MAX($F$1080:F1232)</f>
        <v>1.0625</v>
      </c>
      <c r="I1232" s="11">
        <f t="shared" si="28"/>
        <v>0.00141176470588245</v>
      </c>
      <c r="J1232" s="9">
        <f>MAX($F$1120:F1232)</f>
        <v>1.0625</v>
      </c>
      <c r="K1232" s="11">
        <f t="shared" si="27"/>
        <v>0.00141176470588245</v>
      </c>
      <c r="L1232" s="9"/>
      <c r="M1232" s="11"/>
      <c r="N1232" s="9" t="s">
        <v>815</v>
      </c>
    </row>
    <row r="1233" ht="25" customHeight="1" spans="1:14">
      <c r="A1233" s="9" t="s">
        <v>472</v>
      </c>
      <c r="B1233" s="9" t="s">
        <v>471</v>
      </c>
      <c r="C1233" s="10">
        <v>46083</v>
      </c>
      <c r="D1233" s="15">
        <v>1.0611</v>
      </c>
      <c r="E1233" s="15">
        <v>1.0611</v>
      </c>
      <c r="F1233" s="15">
        <v>1.0611</v>
      </c>
      <c r="G1233" s="11">
        <v>0.0001</v>
      </c>
      <c r="H1233" s="9">
        <f>MAX($F$1080:F1233)</f>
        <v>1.0625</v>
      </c>
      <c r="I1233" s="11">
        <f t="shared" si="28"/>
        <v>0.00131764705882365</v>
      </c>
      <c r="J1233" s="9">
        <f>MAX($F$1120:F1233)</f>
        <v>1.0625</v>
      </c>
      <c r="K1233" s="11">
        <f t="shared" si="27"/>
        <v>0.00131764705882365</v>
      </c>
      <c r="L1233" s="9"/>
      <c r="M1233" s="11"/>
      <c r="N1233" s="9" t="s">
        <v>815</v>
      </c>
    </row>
    <row r="1234" ht="25" customHeight="1" spans="1:14">
      <c r="A1234" s="9" t="s">
        <v>472</v>
      </c>
      <c r="B1234" s="9" t="s">
        <v>471</v>
      </c>
      <c r="C1234" s="10">
        <v>46084</v>
      </c>
      <c r="D1234" s="15">
        <v>1.0615</v>
      </c>
      <c r="E1234" s="15">
        <v>1.0615</v>
      </c>
      <c r="F1234" s="15">
        <v>1.0615</v>
      </c>
      <c r="G1234" s="11">
        <v>0.0004</v>
      </c>
      <c r="H1234" s="9">
        <f>MAX($F$1080:F1234)</f>
        <v>1.0625</v>
      </c>
      <c r="I1234" s="11">
        <f t="shared" si="28"/>
        <v>0.000941176470588112</v>
      </c>
      <c r="J1234" s="9">
        <f>MAX($F$1120:F1234)</f>
        <v>1.0625</v>
      </c>
      <c r="K1234" s="11">
        <f t="shared" si="27"/>
        <v>0.000941176470588112</v>
      </c>
      <c r="L1234" s="9"/>
      <c r="M1234" s="11"/>
      <c r="N1234" s="9" t="s">
        <v>815</v>
      </c>
    </row>
    <row r="1235" ht="25" customHeight="1" spans="1:14">
      <c r="A1235" s="9" t="s">
        <v>472</v>
      </c>
      <c r="B1235" s="9" t="s">
        <v>471</v>
      </c>
      <c r="C1235" s="10">
        <v>46085</v>
      </c>
      <c r="D1235" s="15">
        <v>1.0599</v>
      </c>
      <c r="E1235" s="15">
        <v>1.0599</v>
      </c>
      <c r="F1235" s="15">
        <v>1.0599</v>
      </c>
      <c r="G1235" s="11">
        <v>-0.0015</v>
      </c>
      <c r="H1235" s="9">
        <f>MAX($F$1080:F1235)</f>
        <v>1.0625</v>
      </c>
      <c r="I1235" s="11">
        <f t="shared" si="28"/>
        <v>0.00244705882352936</v>
      </c>
      <c r="J1235" s="9">
        <f>MAX($F$1120:F1235)</f>
        <v>1.0625</v>
      </c>
      <c r="K1235" s="11">
        <f t="shared" si="27"/>
        <v>0.00244705882352936</v>
      </c>
      <c r="L1235" s="9"/>
      <c r="M1235" s="11"/>
      <c r="N1235" s="9" t="s">
        <v>815</v>
      </c>
    </row>
    <row r="1236" ht="25" customHeight="1" spans="1:14">
      <c r="A1236" s="9" t="s">
        <v>472</v>
      </c>
      <c r="B1236" s="9" t="s">
        <v>471</v>
      </c>
      <c r="C1236" s="10">
        <v>46086</v>
      </c>
      <c r="D1236" s="15">
        <v>1.0618</v>
      </c>
      <c r="E1236" s="15">
        <v>1.0618</v>
      </c>
      <c r="F1236" s="15">
        <v>1.0618</v>
      </c>
      <c r="G1236" s="11">
        <v>0.0018</v>
      </c>
      <c r="H1236" s="9">
        <f>MAX($F$1080:F1236)</f>
        <v>1.0625</v>
      </c>
      <c r="I1236" s="11">
        <f t="shared" si="28"/>
        <v>0.000658823529411712</v>
      </c>
      <c r="J1236" s="9">
        <f>MAX($F$1120:F1236)</f>
        <v>1.0625</v>
      </c>
      <c r="K1236" s="11">
        <f t="shared" si="27"/>
        <v>0.000658823529411712</v>
      </c>
      <c r="L1236" s="9"/>
      <c r="M1236" s="11"/>
      <c r="N1236" s="9" t="s">
        <v>815</v>
      </c>
    </row>
    <row r="1237" ht="25" customHeight="1" spans="1:14">
      <c r="A1237" s="9" t="s">
        <v>472</v>
      </c>
      <c r="B1237" s="9" t="s">
        <v>471</v>
      </c>
      <c r="C1237" s="10">
        <v>46087</v>
      </c>
      <c r="D1237" s="15">
        <v>1.0623</v>
      </c>
      <c r="E1237" s="15">
        <v>1.0623</v>
      </c>
      <c r="F1237" s="15">
        <v>1.0623</v>
      </c>
      <c r="G1237" s="11">
        <v>0.0005</v>
      </c>
      <c r="H1237" s="9">
        <f>MAX($F$1080:F1237)</f>
        <v>1.0625</v>
      </c>
      <c r="I1237" s="11">
        <f t="shared" si="28"/>
        <v>0.0001882352941176</v>
      </c>
      <c r="J1237" s="9">
        <f>MAX($F$1120:F1237)</f>
        <v>1.0625</v>
      </c>
      <c r="K1237" s="11">
        <f t="shared" si="27"/>
        <v>0.0001882352941176</v>
      </c>
      <c r="L1237" s="9"/>
      <c r="M1237" s="11"/>
      <c r="N1237" s="9" t="s">
        <v>815</v>
      </c>
    </row>
    <row r="1238" ht="25" customHeight="1" spans="1:14">
      <c r="A1238" s="9" t="s">
        <v>472</v>
      </c>
      <c r="B1238" s="9" t="s">
        <v>471</v>
      </c>
      <c r="C1238" s="10">
        <v>46090</v>
      </c>
      <c r="D1238" s="15">
        <v>1.0633</v>
      </c>
      <c r="E1238" s="15">
        <v>1.0633</v>
      </c>
      <c r="F1238" s="15">
        <v>1.0633</v>
      </c>
      <c r="G1238" s="11">
        <v>0.0009</v>
      </c>
      <c r="H1238" s="9">
        <f>MAX($F$1080:F1238)</f>
        <v>1.0633</v>
      </c>
      <c r="I1238" s="11">
        <f t="shared" si="28"/>
        <v>0</v>
      </c>
      <c r="J1238" s="9">
        <f>MAX($F$1120:F1238)</f>
        <v>1.0633</v>
      </c>
      <c r="K1238" s="11">
        <f t="shared" si="27"/>
        <v>0</v>
      </c>
      <c r="L1238" s="9"/>
      <c r="M1238" s="11"/>
      <c r="N1238" s="9" t="s">
        <v>815</v>
      </c>
    </row>
    <row r="1239" ht="25" customHeight="1" spans="1:14">
      <c r="A1239" s="9" t="s">
        <v>472</v>
      </c>
      <c r="B1239" s="9" t="s">
        <v>471</v>
      </c>
      <c r="C1239" s="10">
        <v>46091</v>
      </c>
      <c r="D1239" s="15">
        <v>1.0636</v>
      </c>
      <c r="E1239" s="15">
        <v>1.0636</v>
      </c>
      <c r="F1239" s="15">
        <v>1.0636</v>
      </c>
      <c r="G1239" s="11">
        <v>0.0003</v>
      </c>
      <c r="H1239" s="9">
        <f>MAX($F$1080:F1239)</f>
        <v>1.0636</v>
      </c>
      <c r="I1239" s="11">
        <f t="shared" si="28"/>
        <v>0</v>
      </c>
      <c r="J1239" s="9">
        <f>MAX($F$1120:F1239)</f>
        <v>1.0636</v>
      </c>
      <c r="K1239" s="11">
        <f t="shared" si="27"/>
        <v>0</v>
      </c>
      <c r="L1239" s="9"/>
      <c r="M1239" s="11"/>
      <c r="N1239" s="9" t="s">
        <v>815</v>
      </c>
    </row>
    <row r="1240" ht="25" customHeight="1" spans="1:14">
      <c r="A1240" s="9" t="s">
        <v>472</v>
      </c>
      <c r="B1240" s="9" t="s">
        <v>471</v>
      </c>
      <c r="C1240" s="10">
        <v>46092</v>
      </c>
      <c r="D1240" s="15">
        <v>1.0636</v>
      </c>
      <c r="E1240" s="15">
        <v>1.0636</v>
      </c>
      <c r="F1240" s="15">
        <v>1.0636</v>
      </c>
      <c r="G1240" s="11">
        <v>0</v>
      </c>
      <c r="H1240" s="9">
        <f>MAX($F$1080:F1240)</f>
        <v>1.0636</v>
      </c>
      <c r="I1240" s="11">
        <f t="shared" si="28"/>
        <v>0</v>
      </c>
      <c r="J1240" s="9">
        <f>MAX($F$1120:F1240)</f>
        <v>1.0636</v>
      </c>
      <c r="K1240" s="11">
        <f t="shared" si="27"/>
        <v>0</v>
      </c>
      <c r="L1240" s="9"/>
      <c r="M1240" s="11"/>
      <c r="N1240" s="9" t="s">
        <v>815</v>
      </c>
    </row>
    <row r="1241" ht="25" customHeight="1" spans="1:14">
      <c r="A1241" s="9" t="s">
        <v>472</v>
      </c>
      <c r="B1241" s="9" t="s">
        <v>471</v>
      </c>
      <c r="C1241" s="10">
        <v>46093</v>
      </c>
      <c r="D1241" s="15">
        <v>1.0633</v>
      </c>
      <c r="E1241" s="15">
        <v>1.0633</v>
      </c>
      <c r="F1241" s="15">
        <v>1.0633</v>
      </c>
      <c r="G1241" s="11">
        <v>-0.0003</v>
      </c>
      <c r="H1241" s="9">
        <f>MAX($F$1080:F1241)</f>
        <v>1.0636</v>
      </c>
      <c r="I1241" s="11">
        <f t="shared" si="28"/>
        <v>0.000282060925160033</v>
      </c>
      <c r="J1241" s="9">
        <f>MAX($F$1120:F1241)</f>
        <v>1.0636</v>
      </c>
      <c r="K1241" s="11">
        <f t="shared" si="27"/>
        <v>0.000282060925160033</v>
      </c>
      <c r="L1241" s="9"/>
      <c r="M1241" s="11"/>
      <c r="N1241" s="9" t="s">
        <v>815</v>
      </c>
    </row>
    <row r="1242" ht="25" customHeight="1" spans="1:14">
      <c r="A1242" s="9" t="s">
        <v>472</v>
      </c>
      <c r="B1242" s="9" t="s">
        <v>471</v>
      </c>
      <c r="C1242" s="10">
        <v>46094</v>
      </c>
      <c r="D1242" s="15">
        <v>1.0644</v>
      </c>
      <c r="E1242" s="15">
        <v>1.0644</v>
      </c>
      <c r="F1242" s="15">
        <v>1.0644</v>
      </c>
      <c r="G1242" s="11">
        <v>0.001</v>
      </c>
      <c r="H1242" s="9">
        <f>MAX($F$1080:F1242)</f>
        <v>1.0644</v>
      </c>
      <c r="I1242" s="11">
        <f t="shared" si="28"/>
        <v>0</v>
      </c>
      <c r="J1242" s="9">
        <f>MAX($F$1120:F1242)</f>
        <v>1.0644</v>
      </c>
      <c r="K1242" s="11">
        <f t="shared" si="27"/>
        <v>0</v>
      </c>
      <c r="L1242" s="9"/>
      <c r="M1242" s="11"/>
      <c r="N1242" s="9" t="s">
        <v>815</v>
      </c>
    </row>
    <row r="1243" ht="25" customHeight="1" spans="1:14">
      <c r="A1243" s="9" t="s">
        <v>472</v>
      </c>
      <c r="B1243" s="9" t="s">
        <v>471</v>
      </c>
      <c r="C1243" s="10">
        <v>46097</v>
      </c>
      <c r="D1243" s="15">
        <v>1.0656</v>
      </c>
      <c r="E1243" s="15">
        <v>1.0656</v>
      </c>
      <c r="F1243" s="15">
        <v>1.0656</v>
      </c>
      <c r="G1243" s="11">
        <v>0.0011</v>
      </c>
      <c r="H1243" s="9">
        <f>MAX($F$1080:F1243)</f>
        <v>1.0656</v>
      </c>
      <c r="I1243" s="11">
        <f t="shared" si="28"/>
        <v>0</v>
      </c>
      <c r="J1243" s="9">
        <f>MAX($F$1120:F1243)</f>
        <v>1.0656</v>
      </c>
      <c r="K1243" s="11">
        <f t="shared" si="27"/>
        <v>0</v>
      </c>
      <c r="L1243" s="9"/>
      <c r="M1243" s="11"/>
      <c r="N1243" s="9" t="s">
        <v>815</v>
      </c>
    </row>
    <row r="1244" ht="25" customHeight="1" spans="1:14">
      <c r="A1244" s="9" t="s">
        <v>472</v>
      </c>
      <c r="B1244" s="9" t="s">
        <v>471</v>
      </c>
      <c r="C1244" s="10">
        <v>46098</v>
      </c>
      <c r="D1244" s="15">
        <v>1.0666</v>
      </c>
      <c r="E1244" s="15">
        <v>1.0666</v>
      </c>
      <c r="F1244" s="15">
        <v>1.0666</v>
      </c>
      <c r="G1244" s="11">
        <v>0.0009</v>
      </c>
      <c r="H1244" s="9">
        <f>MAX($F$1080:F1244)</f>
        <v>1.0666</v>
      </c>
      <c r="I1244" s="11">
        <f t="shared" si="28"/>
        <v>0</v>
      </c>
      <c r="J1244" s="9">
        <f>MAX($F$1120:F1244)</f>
        <v>1.0666</v>
      </c>
      <c r="K1244" s="11">
        <f t="shared" si="27"/>
        <v>0</v>
      </c>
      <c r="L1244" s="9"/>
      <c r="M1244" s="11"/>
      <c r="N1244" s="9" t="s">
        <v>815</v>
      </c>
    </row>
    <row r="1245" ht="25" customHeight="1" spans="1:14">
      <c r="A1245" s="9" t="s">
        <v>472</v>
      </c>
      <c r="B1245" s="9" t="s">
        <v>471</v>
      </c>
      <c r="C1245" s="10">
        <v>46099</v>
      </c>
      <c r="D1245" s="15">
        <v>1.0683</v>
      </c>
      <c r="E1245" s="15">
        <v>1.0683</v>
      </c>
      <c r="F1245" s="15">
        <v>1.0683</v>
      </c>
      <c r="G1245" s="11">
        <v>0.0016</v>
      </c>
      <c r="H1245" s="9">
        <f>MAX($F$1080:F1245)</f>
        <v>1.0683</v>
      </c>
      <c r="I1245" s="11">
        <f t="shared" si="28"/>
        <v>0</v>
      </c>
      <c r="J1245" s="9">
        <f>MAX($F$1120:F1245)</f>
        <v>1.0683</v>
      </c>
      <c r="K1245" s="11">
        <f t="shared" si="27"/>
        <v>0</v>
      </c>
      <c r="L1245" s="9"/>
      <c r="M1245" s="11"/>
      <c r="N1245" s="9" t="s">
        <v>815</v>
      </c>
    </row>
    <row r="1246" ht="25" customHeight="1" spans="1:14">
      <c r="A1246" s="9" t="s">
        <v>472</v>
      </c>
      <c r="B1246" s="9" t="s">
        <v>471</v>
      </c>
      <c r="C1246" s="10">
        <v>46100</v>
      </c>
      <c r="D1246" s="15">
        <v>1.0706</v>
      </c>
      <c r="E1246" s="15">
        <v>1.0706</v>
      </c>
      <c r="F1246" s="15">
        <v>1.0706</v>
      </c>
      <c r="G1246" s="11">
        <v>0.0022</v>
      </c>
      <c r="H1246" s="9">
        <f>MAX($F$1080:F1246)</f>
        <v>1.0706</v>
      </c>
      <c r="I1246" s="11">
        <f t="shared" si="28"/>
        <v>0</v>
      </c>
      <c r="J1246" s="9">
        <f>MAX($F$1120:F1246)</f>
        <v>1.0706</v>
      </c>
      <c r="K1246" s="11">
        <f t="shared" si="27"/>
        <v>0</v>
      </c>
      <c r="L1246" s="9"/>
      <c r="M1246" s="11"/>
      <c r="N1246" s="9" t="s">
        <v>815</v>
      </c>
    </row>
    <row r="1247" ht="25" customHeight="1" spans="1:14">
      <c r="A1247" s="9" t="s">
        <v>472</v>
      </c>
      <c r="B1247" s="9" t="s">
        <v>471</v>
      </c>
      <c r="C1247" s="10">
        <v>46101</v>
      </c>
      <c r="D1247" s="15">
        <v>1.0698</v>
      </c>
      <c r="E1247" s="15">
        <v>1.0698</v>
      </c>
      <c r="F1247" s="15">
        <v>1.0698</v>
      </c>
      <c r="G1247" s="11">
        <v>-0.0007</v>
      </c>
      <c r="H1247" s="9">
        <f>MAX($F$1080:F1247)</f>
        <v>1.0706</v>
      </c>
      <c r="I1247" s="11">
        <f t="shared" si="28"/>
        <v>0.000747244535774239</v>
      </c>
      <c r="J1247" s="9">
        <f>MAX($F$1120:F1247)</f>
        <v>1.0706</v>
      </c>
      <c r="K1247" s="11">
        <f t="shared" si="27"/>
        <v>0.000747244535774239</v>
      </c>
      <c r="L1247" s="9"/>
      <c r="M1247" s="11"/>
      <c r="N1247" s="9" t="s">
        <v>815</v>
      </c>
    </row>
    <row r="1248" ht="25" customHeight="1" spans="1:14">
      <c r="A1248" s="9" t="s">
        <v>472</v>
      </c>
      <c r="B1248" s="9" t="s">
        <v>471</v>
      </c>
      <c r="C1248" s="10">
        <v>46104</v>
      </c>
      <c r="D1248" s="15">
        <v>1.069</v>
      </c>
      <c r="E1248" s="15">
        <v>1.069</v>
      </c>
      <c r="F1248" s="15">
        <v>1.069</v>
      </c>
      <c r="G1248" s="11">
        <v>-0.0007</v>
      </c>
      <c r="H1248" s="9">
        <f>MAX($F$1080:F1248)</f>
        <v>1.0706</v>
      </c>
      <c r="I1248" s="11">
        <f t="shared" si="28"/>
        <v>0.0014944890715487</v>
      </c>
      <c r="J1248" s="9">
        <f>MAX($F$1120:F1248)</f>
        <v>1.0706</v>
      </c>
      <c r="K1248" s="11">
        <f t="shared" ref="K1248:K1311" si="29">1-F1248/J1248</f>
        <v>0.0014944890715487</v>
      </c>
      <c r="L1248" s="9"/>
      <c r="M1248" s="11"/>
      <c r="N1248" s="9" t="s">
        <v>815</v>
      </c>
    </row>
    <row r="1249" ht="25" customHeight="1" spans="1:14">
      <c r="A1249" s="9" t="s">
        <v>472</v>
      </c>
      <c r="B1249" s="9" t="s">
        <v>471</v>
      </c>
      <c r="C1249" s="10">
        <v>46105</v>
      </c>
      <c r="D1249" s="15">
        <v>1.0727</v>
      </c>
      <c r="E1249" s="15">
        <v>1.0727</v>
      </c>
      <c r="F1249" s="15">
        <v>1.0727</v>
      </c>
      <c r="G1249" s="11">
        <v>0.0035</v>
      </c>
      <c r="H1249" s="9">
        <f>MAX($F$1080:F1249)</f>
        <v>1.0727</v>
      </c>
      <c r="I1249" s="11">
        <f t="shared" si="28"/>
        <v>0</v>
      </c>
      <c r="J1249" s="9">
        <f>MAX($F$1120:F1249)</f>
        <v>1.0727</v>
      </c>
      <c r="K1249" s="11">
        <f t="shared" si="29"/>
        <v>0</v>
      </c>
      <c r="L1249" s="9"/>
      <c r="M1249" s="11"/>
      <c r="N1249" s="9" t="s">
        <v>815</v>
      </c>
    </row>
    <row r="1250" ht="25" customHeight="1" spans="1:14">
      <c r="A1250" s="9" t="s">
        <v>472</v>
      </c>
      <c r="B1250" s="9" t="s">
        <v>471</v>
      </c>
      <c r="C1250" s="10">
        <v>46106</v>
      </c>
      <c r="D1250" s="15">
        <v>1.0732</v>
      </c>
      <c r="E1250" s="15">
        <v>1.0732</v>
      </c>
      <c r="F1250" s="15">
        <v>1.0732</v>
      </c>
      <c r="G1250" s="11">
        <v>0.0005</v>
      </c>
      <c r="H1250" s="9">
        <f>MAX($F$1080:F1250)</f>
        <v>1.0732</v>
      </c>
      <c r="I1250" s="11">
        <f t="shared" si="28"/>
        <v>0</v>
      </c>
      <c r="J1250" s="9">
        <f>MAX($F$1120:F1250)</f>
        <v>1.0732</v>
      </c>
      <c r="K1250" s="11">
        <f t="shared" si="29"/>
        <v>0</v>
      </c>
      <c r="L1250" s="9"/>
      <c r="M1250" s="11"/>
      <c r="N1250" s="9" t="s">
        <v>815</v>
      </c>
    </row>
    <row r="1251" ht="25" customHeight="1" spans="1:14">
      <c r="A1251" s="9" t="s">
        <v>472</v>
      </c>
      <c r="B1251" s="9" t="s">
        <v>471</v>
      </c>
      <c r="C1251" s="10">
        <v>46107</v>
      </c>
      <c r="D1251" s="15">
        <v>1.0744</v>
      </c>
      <c r="E1251" s="15">
        <v>1.0744</v>
      </c>
      <c r="F1251" s="15">
        <v>1.0744</v>
      </c>
      <c r="G1251" s="11">
        <v>0.0011</v>
      </c>
      <c r="H1251" s="9">
        <f>MAX($F$1080:F1251)</f>
        <v>1.0744</v>
      </c>
      <c r="I1251" s="11">
        <f t="shared" si="28"/>
        <v>0</v>
      </c>
      <c r="J1251" s="9">
        <f>MAX($F$1120:F1251)</f>
        <v>1.0744</v>
      </c>
      <c r="K1251" s="11">
        <f t="shared" si="29"/>
        <v>0</v>
      </c>
      <c r="L1251" s="9"/>
      <c r="M1251" s="11"/>
      <c r="N1251" s="9" t="s">
        <v>815</v>
      </c>
    </row>
    <row r="1252" ht="25" customHeight="1" spans="1:14">
      <c r="A1252" s="9" t="s">
        <v>472</v>
      </c>
      <c r="B1252" s="9" t="s">
        <v>471</v>
      </c>
      <c r="C1252" s="10">
        <v>46108</v>
      </c>
      <c r="D1252" s="15">
        <v>1.0756</v>
      </c>
      <c r="E1252" s="15">
        <v>1.0756</v>
      </c>
      <c r="F1252" s="15">
        <v>1.0756</v>
      </c>
      <c r="G1252" s="11">
        <v>0.0011</v>
      </c>
      <c r="H1252" s="9">
        <f>MAX($F$1080:F1252)</f>
        <v>1.0756</v>
      </c>
      <c r="I1252" s="11">
        <f t="shared" si="28"/>
        <v>0</v>
      </c>
      <c r="J1252" s="9">
        <f>MAX($F$1120:F1252)</f>
        <v>1.0756</v>
      </c>
      <c r="K1252" s="11">
        <f t="shared" si="29"/>
        <v>0</v>
      </c>
      <c r="L1252" s="9"/>
      <c r="M1252" s="11"/>
      <c r="N1252" s="9" t="s">
        <v>815</v>
      </c>
    </row>
    <row r="1253" ht="25" customHeight="1" spans="1:14">
      <c r="A1253" s="9" t="s">
        <v>472</v>
      </c>
      <c r="B1253" s="9" t="s">
        <v>471</v>
      </c>
      <c r="C1253" s="10">
        <v>46111</v>
      </c>
      <c r="D1253" s="15">
        <v>1.0752</v>
      </c>
      <c r="E1253" s="15">
        <v>1.0752</v>
      </c>
      <c r="F1253" s="15">
        <v>1.0752</v>
      </c>
      <c r="G1253" s="11">
        <v>-0.0004</v>
      </c>
      <c r="H1253" s="9">
        <f>MAX($F$1080:F1253)</f>
        <v>1.0756</v>
      </c>
      <c r="I1253" s="11">
        <f t="shared" si="28"/>
        <v>0.000371885459278465</v>
      </c>
      <c r="J1253" s="9">
        <f>MAX($F$1120:F1253)</f>
        <v>1.0756</v>
      </c>
      <c r="K1253" s="11">
        <f t="shared" si="29"/>
        <v>0.000371885459278465</v>
      </c>
      <c r="L1253" s="9"/>
      <c r="M1253" s="11"/>
      <c r="N1253" s="9" t="s">
        <v>815</v>
      </c>
    </row>
    <row r="1254" ht="25" customHeight="1" spans="1:14">
      <c r="A1254" s="9" t="s">
        <v>472</v>
      </c>
      <c r="B1254" s="9" t="s">
        <v>471</v>
      </c>
      <c r="C1254" s="10">
        <v>46112</v>
      </c>
      <c r="D1254" s="15">
        <v>1.0751</v>
      </c>
      <c r="E1254" s="15">
        <v>1.0751</v>
      </c>
      <c r="F1254" s="15">
        <v>1.0751</v>
      </c>
      <c r="G1254" s="11">
        <v>-0.0001</v>
      </c>
      <c r="H1254" s="9">
        <f>MAX($F$1080:F1254)</f>
        <v>1.0756</v>
      </c>
      <c r="I1254" s="11">
        <f t="shared" si="28"/>
        <v>0.000464856824098137</v>
      </c>
      <c r="J1254" s="9">
        <f>MAX($F$1120:F1254)</f>
        <v>1.0756</v>
      </c>
      <c r="K1254" s="11">
        <f t="shared" si="29"/>
        <v>0.000464856824098137</v>
      </c>
      <c r="L1254" s="9"/>
      <c r="M1254" s="11"/>
      <c r="N1254" s="9" t="s">
        <v>815</v>
      </c>
    </row>
    <row r="1255" ht="25" customHeight="1" spans="1:14">
      <c r="A1255" s="9" t="s">
        <v>472</v>
      </c>
      <c r="B1255" s="9" t="s">
        <v>471</v>
      </c>
      <c r="C1255" s="10">
        <v>46113</v>
      </c>
      <c r="D1255" s="15">
        <v>1.0754</v>
      </c>
      <c r="E1255" s="15">
        <v>1.0754</v>
      </c>
      <c r="F1255" s="15">
        <v>1.0754</v>
      </c>
      <c r="G1255" s="11">
        <v>0.0003</v>
      </c>
      <c r="H1255" s="9">
        <f>MAX($F$1080:F1255)</f>
        <v>1.0756</v>
      </c>
      <c r="I1255" s="11">
        <f t="shared" si="28"/>
        <v>0.000185942729639232</v>
      </c>
      <c r="J1255" s="9">
        <f>MAX($F$1120:F1255)</f>
        <v>1.0756</v>
      </c>
      <c r="K1255" s="11">
        <f t="shared" si="29"/>
        <v>0.000185942729639232</v>
      </c>
      <c r="L1255" s="9"/>
      <c r="M1255" s="11"/>
      <c r="N1255" s="9" t="s">
        <v>815</v>
      </c>
    </row>
    <row r="1256" ht="25" customHeight="1" spans="1:14">
      <c r="A1256" s="9" t="s">
        <v>472</v>
      </c>
      <c r="B1256" s="9" t="s">
        <v>471</v>
      </c>
      <c r="C1256" s="10">
        <v>46114</v>
      </c>
      <c r="D1256" s="15">
        <v>1.0745</v>
      </c>
      <c r="E1256" s="15">
        <v>1.0745</v>
      </c>
      <c r="F1256" s="15">
        <v>1.0745</v>
      </c>
      <c r="G1256" s="11">
        <v>-0.0008</v>
      </c>
      <c r="H1256" s="9">
        <f>MAX($F$1080:F1256)</f>
        <v>1.0756</v>
      </c>
      <c r="I1256" s="11">
        <f t="shared" si="28"/>
        <v>0.00102268501301583</v>
      </c>
      <c r="J1256" s="9">
        <f>MAX($F$1120:F1256)</f>
        <v>1.0756</v>
      </c>
      <c r="K1256" s="11">
        <f t="shared" si="29"/>
        <v>0.00102268501301583</v>
      </c>
      <c r="L1256" s="9"/>
      <c r="M1256" s="11"/>
      <c r="N1256" s="9" t="s">
        <v>815</v>
      </c>
    </row>
    <row r="1257" ht="25" customHeight="1" spans="1:14">
      <c r="A1257" s="9" t="s">
        <v>472</v>
      </c>
      <c r="B1257" s="9" t="s">
        <v>471</v>
      </c>
      <c r="C1257" s="10">
        <v>46115</v>
      </c>
      <c r="D1257" s="15">
        <v>1.0744</v>
      </c>
      <c r="E1257" s="15">
        <v>1.0744</v>
      </c>
      <c r="F1257" s="15">
        <v>1.0744</v>
      </c>
      <c r="G1257" s="11">
        <v>-0.0001</v>
      </c>
      <c r="H1257" s="9">
        <f>MAX($F$1080:F1257)</f>
        <v>1.0756</v>
      </c>
      <c r="I1257" s="11">
        <f t="shared" si="28"/>
        <v>0.00111565637783551</v>
      </c>
      <c r="J1257" s="9">
        <f>MAX($F$1120:F1257)</f>
        <v>1.0756</v>
      </c>
      <c r="K1257" s="11">
        <f t="shared" si="29"/>
        <v>0.00111565637783551</v>
      </c>
      <c r="L1257" s="9"/>
      <c r="M1257" s="11"/>
      <c r="N1257" s="9" t="s">
        <v>815</v>
      </c>
    </row>
    <row r="1258" ht="25" customHeight="1" spans="1:14">
      <c r="A1258" s="9" t="s">
        <v>472</v>
      </c>
      <c r="B1258" s="9" t="s">
        <v>471</v>
      </c>
      <c r="C1258" s="10">
        <v>46119</v>
      </c>
      <c r="D1258" s="15">
        <v>1.0748</v>
      </c>
      <c r="E1258" s="15">
        <v>1.0748</v>
      </c>
      <c r="F1258" s="15">
        <v>1.0748</v>
      </c>
      <c r="G1258" s="11">
        <v>0.0004</v>
      </c>
      <c r="H1258" s="9">
        <f>MAX($F$1080:F1258)</f>
        <v>1.0756</v>
      </c>
      <c r="I1258" s="11">
        <f t="shared" si="28"/>
        <v>0.000743770918557041</v>
      </c>
      <c r="J1258" s="9">
        <f>MAX($F$1120:F1258)</f>
        <v>1.0756</v>
      </c>
      <c r="K1258" s="11">
        <f t="shared" si="29"/>
        <v>0.000743770918557041</v>
      </c>
      <c r="L1258" s="9"/>
      <c r="M1258" s="11"/>
      <c r="N1258" s="9" t="s">
        <v>815</v>
      </c>
    </row>
    <row r="1259" ht="25" customHeight="1" spans="1:14">
      <c r="A1259" s="9" t="s">
        <v>472</v>
      </c>
      <c r="B1259" s="9" t="s">
        <v>471</v>
      </c>
      <c r="C1259" s="10">
        <v>46120</v>
      </c>
      <c r="D1259" s="15">
        <v>1.075</v>
      </c>
      <c r="E1259" s="15">
        <v>1.075</v>
      </c>
      <c r="F1259" s="15">
        <v>1.075</v>
      </c>
      <c r="G1259" s="11">
        <v>0.0002</v>
      </c>
      <c r="H1259" s="9">
        <f>MAX($F$1080:F1259)</f>
        <v>1.0756</v>
      </c>
      <c r="I1259" s="11">
        <f t="shared" si="28"/>
        <v>0.000557828188917697</v>
      </c>
      <c r="J1259" s="9">
        <f>MAX($F$1120:F1259)</f>
        <v>1.0756</v>
      </c>
      <c r="K1259" s="11">
        <f t="shared" si="29"/>
        <v>0.000557828188917697</v>
      </c>
      <c r="L1259" s="9"/>
      <c r="M1259" s="11"/>
      <c r="N1259" s="9" t="s">
        <v>815</v>
      </c>
    </row>
    <row r="1260" ht="25" customHeight="1" spans="1:14">
      <c r="A1260" s="9" t="s">
        <v>472</v>
      </c>
      <c r="B1260" s="9" t="s">
        <v>471</v>
      </c>
      <c r="C1260" s="10">
        <v>46121</v>
      </c>
      <c r="D1260" s="15">
        <v>1.0754</v>
      </c>
      <c r="E1260" s="15">
        <v>1.0754</v>
      </c>
      <c r="F1260" s="15">
        <v>1.0754</v>
      </c>
      <c r="G1260" s="11">
        <v>0.0004</v>
      </c>
      <c r="H1260" s="9">
        <f>MAX($F$1080:F1260)</f>
        <v>1.0756</v>
      </c>
      <c r="I1260" s="11">
        <f t="shared" si="28"/>
        <v>0.000185942729639232</v>
      </c>
      <c r="J1260" s="9">
        <f>MAX($F$1120:F1260)</f>
        <v>1.0756</v>
      </c>
      <c r="K1260" s="11">
        <f t="shared" si="29"/>
        <v>0.000185942729639232</v>
      </c>
      <c r="L1260" s="9"/>
      <c r="M1260" s="11"/>
      <c r="N1260" s="9" t="s">
        <v>815</v>
      </c>
    </row>
    <row r="1261" ht="25" customHeight="1" spans="1:14">
      <c r="A1261" s="9" t="s">
        <v>472</v>
      </c>
      <c r="B1261" s="9" t="s">
        <v>471</v>
      </c>
      <c r="C1261" s="10">
        <v>46122</v>
      </c>
      <c r="D1261" s="15">
        <v>1.0759</v>
      </c>
      <c r="E1261" s="15">
        <v>1.0759</v>
      </c>
      <c r="F1261" s="15">
        <v>1.0759</v>
      </c>
      <c r="G1261" s="11">
        <v>0.0005</v>
      </c>
      <c r="H1261" s="9">
        <f>MAX($F$1080:F1261)</f>
        <v>1.0759</v>
      </c>
      <c r="I1261" s="11">
        <f t="shared" si="28"/>
        <v>0</v>
      </c>
      <c r="J1261" s="9">
        <f>MAX($F$1120:F1261)</f>
        <v>1.0759</v>
      </c>
      <c r="K1261" s="11">
        <f t="shared" si="29"/>
        <v>0</v>
      </c>
      <c r="L1261" s="9"/>
      <c r="M1261" s="11"/>
      <c r="N1261" s="9" t="s">
        <v>815</v>
      </c>
    </row>
    <row r="1262" ht="25" customHeight="1" spans="1:14">
      <c r="A1262" s="9" t="s">
        <v>472</v>
      </c>
      <c r="B1262" s="9" t="s">
        <v>471</v>
      </c>
      <c r="C1262" s="10">
        <v>46125</v>
      </c>
      <c r="D1262" s="15">
        <v>1.0761</v>
      </c>
      <c r="E1262" s="15">
        <v>1.0761</v>
      </c>
      <c r="F1262" s="15">
        <v>1.0761</v>
      </c>
      <c r="G1262" s="11">
        <v>0.0002</v>
      </c>
      <c r="H1262" s="9">
        <f>MAX($F$1080:F1262)</f>
        <v>1.0761</v>
      </c>
      <c r="I1262" s="11">
        <f t="shared" si="28"/>
        <v>0</v>
      </c>
      <c r="J1262" s="9">
        <f>MAX($F$1120:F1262)</f>
        <v>1.0761</v>
      </c>
      <c r="K1262" s="11">
        <f t="shared" si="29"/>
        <v>0</v>
      </c>
      <c r="L1262" s="9"/>
      <c r="M1262" s="11"/>
      <c r="N1262" s="9" t="s">
        <v>815</v>
      </c>
    </row>
    <row r="1263" ht="25" customHeight="1" spans="1:14">
      <c r="A1263" s="9" t="s">
        <v>472</v>
      </c>
      <c r="B1263" s="9" t="s">
        <v>471</v>
      </c>
      <c r="C1263" s="10">
        <v>46126</v>
      </c>
      <c r="D1263" s="15">
        <v>1.0757</v>
      </c>
      <c r="E1263" s="15">
        <v>1.0757</v>
      </c>
      <c r="F1263" s="15">
        <v>1.0757</v>
      </c>
      <c r="G1263" s="11">
        <v>-0.0004</v>
      </c>
      <c r="H1263" s="9">
        <f>MAX($F$1080:F1263)</f>
        <v>1.0761</v>
      </c>
      <c r="I1263" s="11">
        <f t="shared" si="28"/>
        <v>0.000371712666109025</v>
      </c>
      <c r="J1263" s="9">
        <f>MAX($F$1120:F1263)</f>
        <v>1.0761</v>
      </c>
      <c r="K1263" s="11">
        <f t="shared" si="29"/>
        <v>0.000371712666109025</v>
      </c>
      <c r="L1263" s="9"/>
      <c r="M1263" s="11"/>
      <c r="N1263" s="9" t="s">
        <v>815</v>
      </c>
    </row>
    <row r="1264" ht="25" customHeight="1" spans="1:14">
      <c r="A1264" s="9" t="s">
        <v>472</v>
      </c>
      <c r="B1264" s="9" t="s">
        <v>471</v>
      </c>
      <c r="C1264" s="10">
        <v>46127</v>
      </c>
      <c r="D1264" s="15">
        <v>1.0757</v>
      </c>
      <c r="E1264" s="15">
        <v>1.0757</v>
      </c>
      <c r="F1264" s="15">
        <v>1.0757</v>
      </c>
      <c r="G1264" s="11">
        <v>0</v>
      </c>
      <c r="H1264" s="9">
        <f>MAX($F$1080:F1264)</f>
        <v>1.0761</v>
      </c>
      <c r="I1264" s="11">
        <f t="shared" si="28"/>
        <v>0.000371712666109025</v>
      </c>
      <c r="J1264" s="9">
        <f>MAX($F$1120:F1264)</f>
        <v>1.0761</v>
      </c>
      <c r="K1264" s="11">
        <f t="shared" si="29"/>
        <v>0.000371712666109025</v>
      </c>
      <c r="L1264" s="9"/>
      <c r="M1264" s="11"/>
      <c r="N1264" s="9" t="s">
        <v>815</v>
      </c>
    </row>
    <row r="1265" ht="25" customHeight="1" spans="1:14">
      <c r="A1265" s="9" t="s">
        <v>472</v>
      </c>
      <c r="B1265" s="9" t="s">
        <v>471</v>
      </c>
      <c r="C1265" s="10">
        <v>46128</v>
      </c>
      <c r="D1265" s="15">
        <v>1.0758</v>
      </c>
      <c r="E1265" s="15">
        <v>1.0758</v>
      </c>
      <c r="F1265" s="15">
        <v>1.0758</v>
      </c>
      <c r="G1265" s="11">
        <v>0.0001</v>
      </c>
      <c r="H1265" s="9">
        <f>MAX($F$1080:F1265)</f>
        <v>1.0761</v>
      </c>
      <c r="I1265" s="11">
        <f t="shared" si="28"/>
        <v>0.000278784499581741</v>
      </c>
      <c r="J1265" s="9">
        <f>MAX($F$1120:F1265)</f>
        <v>1.0761</v>
      </c>
      <c r="K1265" s="11">
        <f t="shared" si="29"/>
        <v>0.000278784499581741</v>
      </c>
      <c r="L1265" s="9"/>
      <c r="M1265" s="11"/>
      <c r="N1265" s="9" t="s">
        <v>815</v>
      </c>
    </row>
    <row r="1266" ht="25" customHeight="1" spans="1:14">
      <c r="A1266" s="9" t="s">
        <v>472</v>
      </c>
      <c r="B1266" s="9" t="s">
        <v>471</v>
      </c>
      <c r="C1266" s="10">
        <v>46129</v>
      </c>
      <c r="D1266" s="15">
        <v>1.0757</v>
      </c>
      <c r="E1266" s="15">
        <v>1.0757</v>
      </c>
      <c r="F1266" s="15">
        <v>1.0757</v>
      </c>
      <c r="G1266" s="11">
        <v>-0.0001</v>
      </c>
      <c r="H1266" s="9">
        <f>MAX($F$1080:F1266)</f>
        <v>1.0761</v>
      </c>
      <c r="I1266" s="11">
        <f t="shared" si="28"/>
        <v>0.000371712666109025</v>
      </c>
      <c r="J1266" s="9">
        <f>MAX($F$1120:F1266)</f>
        <v>1.0761</v>
      </c>
      <c r="K1266" s="11">
        <f t="shared" si="29"/>
        <v>0.000371712666109025</v>
      </c>
      <c r="L1266" s="9"/>
      <c r="M1266" s="11"/>
      <c r="N1266" s="9" t="s">
        <v>815</v>
      </c>
    </row>
    <row r="1267" ht="25" customHeight="1" spans="1:14">
      <c r="A1267" s="9" t="s">
        <v>472</v>
      </c>
      <c r="B1267" s="9" t="s">
        <v>471</v>
      </c>
      <c r="C1267" s="10">
        <v>46132</v>
      </c>
      <c r="D1267" s="15">
        <v>1.0758</v>
      </c>
      <c r="E1267" s="15">
        <v>1.0758</v>
      </c>
      <c r="F1267" s="15">
        <v>1.0758</v>
      </c>
      <c r="G1267" s="11">
        <v>0.0001</v>
      </c>
      <c r="H1267" s="9">
        <f>MAX($F$1080:F1267)</f>
        <v>1.0761</v>
      </c>
      <c r="I1267" s="11">
        <f t="shared" si="28"/>
        <v>0.000278784499581741</v>
      </c>
      <c r="J1267" s="9">
        <f>MAX($F$1120:F1267)</f>
        <v>1.0761</v>
      </c>
      <c r="K1267" s="11">
        <f t="shared" si="29"/>
        <v>0.000278784499581741</v>
      </c>
      <c r="L1267" s="9"/>
      <c r="M1267" s="11"/>
      <c r="N1267" s="9" t="s">
        <v>815</v>
      </c>
    </row>
    <row r="1268" ht="25" customHeight="1" spans="1:14">
      <c r="A1268" s="9" t="s">
        <v>472</v>
      </c>
      <c r="B1268" s="9" t="s">
        <v>471</v>
      </c>
      <c r="C1268" s="10">
        <v>46133</v>
      </c>
      <c r="D1268" s="15">
        <v>1</v>
      </c>
      <c r="E1268" s="15">
        <v>1.0766</v>
      </c>
      <c r="F1268" s="15">
        <v>1.0766</v>
      </c>
      <c r="G1268" s="11">
        <v>0.0007</v>
      </c>
      <c r="H1268" s="9">
        <f>MAX($F$1080:F1268)</f>
        <v>1.0766</v>
      </c>
      <c r="I1268" s="11">
        <f t="shared" si="28"/>
        <v>0</v>
      </c>
      <c r="J1268" s="9">
        <f>MAX($F$1120:F1268)</f>
        <v>1.0766</v>
      </c>
      <c r="K1268" s="11">
        <f t="shared" si="29"/>
        <v>0</v>
      </c>
      <c r="L1268" s="9"/>
      <c r="M1268" s="11"/>
      <c r="N1268" s="9" t="s">
        <v>815</v>
      </c>
    </row>
    <row r="1269" ht="25" customHeight="1" spans="1:14">
      <c r="A1269" s="9" t="s">
        <v>472</v>
      </c>
      <c r="B1269" s="9" t="s">
        <v>471</v>
      </c>
      <c r="C1269" s="10">
        <v>46134</v>
      </c>
      <c r="D1269" s="15">
        <v>1.0011</v>
      </c>
      <c r="E1269" s="15">
        <v>1.0777</v>
      </c>
      <c r="F1269" s="15">
        <v>1.0778</v>
      </c>
      <c r="G1269" s="11">
        <v>0.0011</v>
      </c>
      <c r="H1269" s="9">
        <f>MAX($F$1080:F1269)</f>
        <v>1.0778</v>
      </c>
      <c r="I1269" s="11">
        <f t="shared" si="28"/>
        <v>0</v>
      </c>
      <c r="J1269" s="9">
        <f>MAX($F$1120:F1269)</f>
        <v>1.0778</v>
      </c>
      <c r="K1269" s="11">
        <f t="shared" si="29"/>
        <v>0</v>
      </c>
      <c r="L1269" s="9"/>
      <c r="M1269" s="11"/>
      <c r="N1269" s="9" t="s">
        <v>815</v>
      </c>
    </row>
    <row r="1270" ht="25" customHeight="1" spans="1:14">
      <c r="A1270" s="9" t="s">
        <v>472</v>
      </c>
      <c r="B1270" s="9" t="s">
        <v>471</v>
      </c>
      <c r="C1270" s="10">
        <v>46135</v>
      </c>
      <c r="D1270" s="15">
        <v>1.0002</v>
      </c>
      <c r="E1270" s="15">
        <v>1.0768</v>
      </c>
      <c r="F1270" s="15">
        <v>1.0768</v>
      </c>
      <c r="G1270" s="11">
        <v>-0.0009</v>
      </c>
      <c r="H1270" s="9">
        <f>MAX($F$1080:F1270)</f>
        <v>1.0778</v>
      </c>
      <c r="I1270" s="11">
        <f t="shared" si="28"/>
        <v>0.000927815921321296</v>
      </c>
      <c r="J1270" s="9">
        <f>MAX($F$1120:F1270)</f>
        <v>1.0778</v>
      </c>
      <c r="K1270" s="11">
        <f t="shared" si="29"/>
        <v>0.000927815921321296</v>
      </c>
      <c r="L1270" s="9"/>
      <c r="M1270" s="11"/>
      <c r="N1270" s="9" t="s">
        <v>815</v>
      </c>
    </row>
    <row r="1271" ht="25" customHeight="1" spans="1:14">
      <c r="A1271" s="9" t="s">
        <v>472</v>
      </c>
      <c r="B1271" s="9" t="s">
        <v>471</v>
      </c>
      <c r="C1271" s="10">
        <v>46136</v>
      </c>
      <c r="D1271" s="15">
        <v>1.0012</v>
      </c>
      <c r="E1271" s="15">
        <v>1.0778</v>
      </c>
      <c r="F1271" s="15">
        <v>1.0779</v>
      </c>
      <c r="G1271" s="11">
        <v>0.001</v>
      </c>
      <c r="H1271" s="9">
        <f>MAX($F$1080:F1271)</f>
        <v>1.0779</v>
      </c>
      <c r="I1271" s="11">
        <f t="shared" si="28"/>
        <v>0</v>
      </c>
      <c r="J1271" s="9">
        <f>MAX($F$1120:F1271)</f>
        <v>1.0779</v>
      </c>
      <c r="K1271" s="11">
        <f t="shared" si="29"/>
        <v>0</v>
      </c>
      <c r="L1271" s="9"/>
      <c r="M1271" s="11"/>
      <c r="N1271" s="9" t="s">
        <v>815</v>
      </c>
    </row>
    <row r="1272" ht="25" customHeight="1" spans="1:14">
      <c r="A1272" s="9" t="s">
        <v>472</v>
      </c>
      <c r="B1272" s="9" t="s">
        <v>471</v>
      </c>
      <c r="C1272" s="10">
        <v>46139</v>
      </c>
      <c r="D1272" s="15">
        <v>1.0012</v>
      </c>
      <c r="E1272" s="15">
        <v>1.0778</v>
      </c>
      <c r="F1272" s="15">
        <v>1.0779</v>
      </c>
      <c r="G1272" s="11">
        <v>0</v>
      </c>
      <c r="H1272" s="9">
        <f>MAX($F$1080:F1272)</f>
        <v>1.0779</v>
      </c>
      <c r="I1272" s="11">
        <f t="shared" si="28"/>
        <v>0</v>
      </c>
      <c r="J1272" s="9">
        <f>MAX($F$1120:F1272)</f>
        <v>1.0779</v>
      </c>
      <c r="K1272" s="11">
        <f t="shared" si="29"/>
        <v>0</v>
      </c>
      <c r="L1272" s="9"/>
      <c r="M1272" s="11"/>
      <c r="N1272" s="9" t="s">
        <v>815</v>
      </c>
    </row>
    <row r="1273" ht="25" customHeight="1" spans="1:14">
      <c r="A1273" s="9" t="s">
        <v>472</v>
      </c>
      <c r="B1273" s="9" t="s">
        <v>471</v>
      </c>
      <c r="C1273" s="10">
        <v>46140</v>
      </c>
      <c r="D1273" s="15">
        <v>1.0006</v>
      </c>
      <c r="E1273" s="15">
        <v>1.0772</v>
      </c>
      <c r="F1273" s="15">
        <v>1.0772</v>
      </c>
      <c r="G1273" s="11">
        <v>-0.0006</v>
      </c>
      <c r="H1273" s="9">
        <f>MAX($F$1080:F1273)</f>
        <v>1.0779</v>
      </c>
      <c r="I1273" s="11">
        <f t="shared" si="28"/>
        <v>0.000649410891548463</v>
      </c>
      <c r="J1273" s="9">
        <f>MAX($F$1120:F1273)</f>
        <v>1.0779</v>
      </c>
      <c r="K1273" s="11">
        <f t="shared" si="29"/>
        <v>0.000649410891548463</v>
      </c>
      <c r="L1273" s="9"/>
      <c r="M1273" s="11"/>
      <c r="N1273" s="9" t="s">
        <v>815</v>
      </c>
    </row>
    <row r="1274" ht="25" customHeight="1" spans="1:14">
      <c r="A1274" s="9" t="s">
        <v>472</v>
      </c>
      <c r="B1274" s="9" t="s">
        <v>471</v>
      </c>
      <c r="C1274" s="10">
        <v>46141</v>
      </c>
      <c r="D1274" s="15">
        <v>1.0004</v>
      </c>
      <c r="E1274" s="15">
        <v>1.077</v>
      </c>
      <c r="F1274" s="15">
        <v>1.077</v>
      </c>
      <c r="G1274" s="11">
        <v>-0.0002</v>
      </c>
      <c r="H1274" s="9">
        <f>MAX($F$1080:F1274)</f>
        <v>1.0779</v>
      </c>
      <c r="I1274" s="11">
        <f t="shared" si="28"/>
        <v>0.000834956860562341</v>
      </c>
      <c r="J1274" s="9">
        <f>MAX($F$1120:F1274)</f>
        <v>1.0779</v>
      </c>
      <c r="K1274" s="11">
        <f t="shared" si="29"/>
        <v>0.000834956860562341</v>
      </c>
      <c r="L1274" s="9"/>
      <c r="M1274" s="11"/>
      <c r="N1274" s="9" t="s">
        <v>815</v>
      </c>
    </row>
    <row r="1275" ht="25" customHeight="1" spans="1:14">
      <c r="A1275" s="9" t="s">
        <v>472</v>
      </c>
      <c r="B1275" s="9" t="s">
        <v>471</v>
      </c>
      <c r="C1275" s="10">
        <v>46142</v>
      </c>
      <c r="D1275" s="15">
        <v>1.001</v>
      </c>
      <c r="E1275" s="15">
        <v>1.0776</v>
      </c>
      <c r="F1275" s="15">
        <v>1.0777</v>
      </c>
      <c r="G1275" s="11">
        <v>0.0006</v>
      </c>
      <c r="H1275" s="9">
        <f>MAX($F$1080:F1275)</f>
        <v>1.0779</v>
      </c>
      <c r="I1275" s="11">
        <f t="shared" si="28"/>
        <v>0.000185545969013767</v>
      </c>
      <c r="J1275" s="9">
        <f>MAX($F$1120:F1275)</f>
        <v>1.0779</v>
      </c>
      <c r="K1275" s="11">
        <f t="shared" si="29"/>
        <v>0.000185545969013767</v>
      </c>
      <c r="L1275" s="9"/>
      <c r="M1275" s="11"/>
      <c r="N1275" s="9" t="s">
        <v>815</v>
      </c>
    </row>
    <row r="1276" ht="25" customHeight="1" spans="1:14">
      <c r="A1276" s="9" t="s">
        <v>472</v>
      </c>
      <c r="B1276" s="9" t="s">
        <v>471</v>
      </c>
      <c r="C1276" s="10">
        <v>46148</v>
      </c>
      <c r="D1276" s="15">
        <v>1.0012</v>
      </c>
      <c r="E1276" s="15">
        <v>1.0778</v>
      </c>
      <c r="F1276" s="15">
        <v>1.0779</v>
      </c>
      <c r="G1276" s="11">
        <v>0.0002</v>
      </c>
      <c r="H1276" s="9">
        <f>MAX($F$1080:F1276)</f>
        <v>1.0779</v>
      </c>
      <c r="I1276" s="11">
        <f t="shared" si="28"/>
        <v>0</v>
      </c>
      <c r="J1276" s="9">
        <f>MAX($F$1120:F1276)</f>
        <v>1.0779</v>
      </c>
      <c r="K1276" s="11">
        <f t="shared" si="29"/>
        <v>0</v>
      </c>
      <c r="L1276" s="9"/>
      <c r="M1276" s="11"/>
      <c r="N1276" s="9" t="s">
        <v>815</v>
      </c>
    </row>
    <row r="1277" ht="25" customHeight="1" spans="1:14">
      <c r="A1277" s="9" t="s">
        <v>472</v>
      </c>
      <c r="B1277" s="9" t="s">
        <v>471</v>
      </c>
      <c r="C1277" s="10">
        <v>46149</v>
      </c>
      <c r="D1277" s="15">
        <v>1.0013</v>
      </c>
      <c r="E1277" s="15">
        <v>1.0779</v>
      </c>
      <c r="F1277" s="15">
        <v>1.078</v>
      </c>
      <c r="G1277" s="11">
        <v>0.0001</v>
      </c>
      <c r="H1277" s="9">
        <f>MAX($F$1080:F1277)</f>
        <v>1.078</v>
      </c>
      <c r="I1277" s="11">
        <f t="shared" si="28"/>
        <v>0</v>
      </c>
      <c r="J1277" s="9">
        <f>MAX($F$1120:F1277)</f>
        <v>1.078</v>
      </c>
      <c r="K1277" s="11">
        <f t="shared" si="29"/>
        <v>0</v>
      </c>
      <c r="L1277" s="9"/>
      <c r="M1277" s="11"/>
      <c r="N1277" s="9" t="s">
        <v>815</v>
      </c>
    </row>
    <row r="1278" ht="25" customHeight="1" spans="1:14">
      <c r="A1278" s="9" t="s">
        <v>472</v>
      </c>
      <c r="B1278" s="9" t="s">
        <v>471</v>
      </c>
      <c r="C1278" s="10">
        <v>46150</v>
      </c>
      <c r="D1278" s="15">
        <v>1.0006</v>
      </c>
      <c r="E1278" s="15">
        <v>1.0772</v>
      </c>
      <c r="F1278" s="15">
        <v>1.0772</v>
      </c>
      <c r="G1278" s="11">
        <v>-0.0007</v>
      </c>
      <c r="H1278" s="9">
        <f>MAX($F$1080:F1278)</f>
        <v>1.078</v>
      </c>
      <c r="I1278" s="11">
        <f t="shared" si="28"/>
        <v>0.000742115027829393</v>
      </c>
      <c r="J1278" s="9">
        <f>MAX($F$1120:F1278)</f>
        <v>1.078</v>
      </c>
      <c r="K1278" s="11">
        <f t="shared" si="29"/>
        <v>0.000742115027829393</v>
      </c>
      <c r="L1278" s="9"/>
      <c r="M1278" s="11"/>
      <c r="N1278" s="9" t="s">
        <v>815</v>
      </c>
    </row>
    <row r="1279" ht="25" customHeight="1" spans="1:14">
      <c r="A1279" s="9" t="s">
        <v>472</v>
      </c>
      <c r="B1279" s="9" t="s">
        <v>471</v>
      </c>
      <c r="C1279" s="10">
        <v>46153</v>
      </c>
      <c r="D1279" s="15">
        <v>1.0004</v>
      </c>
      <c r="E1279" s="15">
        <v>1.077</v>
      </c>
      <c r="F1279" s="15">
        <v>1.077</v>
      </c>
      <c r="G1279" s="11">
        <v>-0.0002</v>
      </c>
      <c r="H1279" s="9">
        <f>MAX($F$1080:F1279)</f>
        <v>1.078</v>
      </c>
      <c r="I1279" s="11">
        <f t="shared" si="28"/>
        <v>0.000927643784786714</v>
      </c>
      <c r="J1279" s="9">
        <f>MAX($F$1120:F1279)</f>
        <v>1.078</v>
      </c>
      <c r="K1279" s="11">
        <f t="shared" si="29"/>
        <v>0.000927643784786714</v>
      </c>
      <c r="L1279" s="9"/>
      <c r="M1279" s="11"/>
      <c r="N1279" s="9" t="s">
        <v>815</v>
      </c>
    </row>
    <row r="1280" ht="25" customHeight="1" spans="1:14">
      <c r="A1280" s="9" t="s">
        <v>472</v>
      </c>
      <c r="B1280" s="9" t="s">
        <v>471</v>
      </c>
      <c r="C1280" s="10">
        <v>46154</v>
      </c>
      <c r="D1280" s="15">
        <v>1.0009</v>
      </c>
      <c r="E1280" s="15">
        <v>1.0775</v>
      </c>
      <c r="F1280" s="15">
        <v>1.0776</v>
      </c>
      <c r="G1280" s="11">
        <v>0.0005</v>
      </c>
      <c r="H1280" s="9">
        <f>MAX($F$1080:F1280)</f>
        <v>1.078</v>
      </c>
      <c r="I1280" s="11">
        <f t="shared" si="28"/>
        <v>0.000371057513914863</v>
      </c>
      <c r="J1280" s="9">
        <f>MAX($F$1120:F1280)</f>
        <v>1.078</v>
      </c>
      <c r="K1280" s="11">
        <f t="shared" si="29"/>
        <v>0.000371057513914863</v>
      </c>
      <c r="L1280" s="9"/>
      <c r="M1280" s="11"/>
      <c r="N1280" s="9" t="s">
        <v>815</v>
      </c>
    </row>
    <row r="1281" ht="25" customHeight="1" spans="1:14">
      <c r="A1281" s="9" t="s">
        <v>472</v>
      </c>
      <c r="B1281" s="9" t="s">
        <v>471</v>
      </c>
      <c r="C1281" s="10">
        <v>46155</v>
      </c>
      <c r="D1281" s="15">
        <v>1.0004</v>
      </c>
      <c r="E1281" s="15">
        <v>1.077</v>
      </c>
      <c r="F1281" s="15">
        <v>1.077</v>
      </c>
      <c r="G1281" s="11">
        <v>-0.0005</v>
      </c>
      <c r="H1281" s="9">
        <f>MAX($F$1080:F1281)</f>
        <v>1.078</v>
      </c>
      <c r="I1281" s="11">
        <f t="shared" si="28"/>
        <v>0.000927643784786714</v>
      </c>
      <c r="J1281" s="9">
        <f>MAX($F$1120:F1281)</f>
        <v>1.078</v>
      </c>
      <c r="K1281" s="11">
        <f t="shared" si="29"/>
        <v>0.000927643784786714</v>
      </c>
      <c r="L1281" s="9"/>
      <c r="M1281" s="11"/>
      <c r="N1281" s="9" t="s">
        <v>815</v>
      </c>
    </row>
    <row r="1282" ht="25" customHeight="1" spans="1:14">
      <c r="A1282" s="9" t="s">
        <v>472</v>
      </c>
      <c r="B1282" s="9" t="s">
        <v>471</v>
      </c>
      <c r="C1282" s="10">
        <v>46156</v>
      </c>
      <c r="D1282" s="15">
        <v>1.0011</v>
      </c>
      <c r="E1282" s="15">
        <v>1.0777</v>
      </c>
      <c r="F1282" s="15">
        <v>1.0778</v>
      </c>
      <c r="G1282" s="11">
        <v>0.0007</v>
      </c>
      <c r="H1282" s="9">
        <f>MAX($F$1080:F1282)</f>
        <v>1.078</v>
      </c>
      <c r="I1282" s="11">
        <f t="shared" ref="I1282:I1345" si="30">1-F1282/H1282</f>
        <v>0.000185528756957321</v>
      </c>
      <c r="J1282" s="9">
        <f>MAX($F$1120:F1282)</f>
        <v>1.078</v>
      </c>
      <c r="K1282" s="11">
        <f t="shared" si="29"/>
        <v>0.000185528756957321</v>
      </c>
      <c r="L1282" s="9"/>
      <c r="M1282" s="11"/>
      <c r="N1282" s="9" t="s">
        <v>815</v>
      </c>
    </row>
    <row r="1283" ht="25" customHeight="1" spans="1:14">
      <c r="A1283" s="9" t="s">
        <v>472</v>
      </c>
      <c r="B1283" s="9" t="s">
        <v>471</v>
      </c>
      <c r="C1283" s="10">
        <v>46157</v>
      </c>
      <c r="D1283" s="15">
        <v>1.0014</v>
      </c>
      <c r="E1283" s="15">
        <v>1.078</v>
      </c>
      <c r="F1283" s="15">
        <v>1.0781</v>
      </c>
      <c r="G1283" s="11">
        <v>0.0003</v>
      </c>
      <c r="H1283" s="9">
        <f>MAX($F$1080:F1283)</f>
        <v>1.0781</v>
      </c>
      <c r="I1283" s="11">
        <f t="shared" si="30"/>
        <v>0</v>
      </c>
      <c r="J1283" s="9">
        <f>MAX($F$1120:F1283)</f>
        <v>1.0781</v>
      </c>
      <c r="K1283" s="11">
        <f t="shared" si="29"/>
        <v>0</v>
      </c>
      <c r="L1283" s="9"/>
      <c r="M1283" s="11"/>
      <c r="N1283" s="9" t="s">
        <v>815</v>
      </c>
    </row>
    <row r="1284" ht="25" customHeight="1" spans="1:14">
      <c r="A1284" s="9" t="s">
        <v>472</v>
      </c>
      <c r="B1284" s="9" t="s">
        <v>471</v>
      </c>
      <c r="C1284" s="10">
        <v>46160</v>
      </c>
      <c r="D1284" s="15">
        <v>1.0012</v>
      </c>
      <c r="E1284" s="15">
        <v>1.0778</v>
      </c>
      <c r="F1284" s="15">
        <v>1.0779</v>
      </c>
      <c r="G1284" s="11">
        <v>-0.0002</v>
      </c>
      <c r="H1284" s="9">
        <f>MAX($F$1080:F1284)</f>
        <v>1.0781</v>
      </c>
      <c r="I1284" s="11">
        <f t="shared" si="30"/>
        <v>0.000185511548093875</v>
      </c>
      <c r="J1284" s="9">
        <f>MAX($F$1120:F1284)</f>
        <v>1.0781</v>
      </c>
      <c r="K1284" s="11">
        <f t="shared" si="29"/>
        <v>0.000185511548093875</v>
      </c>
      <c r="L1284" s="9"/>
      <c r="M1284" s="11"/>
      <c r="N1284" s="9" t="s">
        <v>815</v>
      </c>
    </row>
    <row r="1285" ht="25" customHeight="1" spans="1:14">
      <c r="A1285" s="9" t="s">
        <v>472</v>
      </c>
      <c r="B1285" s="9" t="s">
        <v>471</v>
      </c>
      <c r="C1285" s="10">
        <v>46161</v>
      </c>
      <c r="D1285" s="15">
        <v>1.0006</v>
      </c>
      <c r="E1285" s="15">
        <v>1.0772</v>
      </c>
      <c r="F1285" s="15">
        <v>1.0772</v>
      </c>
      <c r="G1285" s="11">
        <v>-0.0006</v>
      </c>
      <c r="H1285" s="9">
        <f>MAX($F$1080:F1285)</f>
        <v>1.0781</v>
      </c>
      <c r="I1285" s="11">
        <f t="shared" si="30"/>
        <v>0.000834801966422494</v>
      </c>
      <c r="J1285" s="9">
        <f>MAX($F$1120:F1285)</f>
        <v>1.0781</v>
      </c>
      <c r="K1285" s="11">
        <f t="shared" si="29"/>
        <v>0.000834801966422494</v>
      </c>
      <c r="L1285" s="9"/>
      <c r="M1285" s="11"/>
      <c r="N1285" s="9" t="s">
        <v>815</v>
      </c>
    </row>
    <row r="1286" ht="25" customHeight="1" spans="1:14">
      <c r="A1286" s="9" t="s">
        <v>472</v>
      </c>
      <c r="B1286" s="9" t="s">
        <v>471</v>
      </c>
      <c r="C1286" s="10">
        <v>46162</v>
      </c>
      <c r="D1286" s="15">
        <v>1.0002</v>
      </c>
      <c r="E1286" s="15">
        <v>1.0768</v>
      </c>
      <c r="F1286" s="15">
        <v>1.0768</v>
      </c>
      <c r="G1286" s="11">
        <v>-0.0004</v>
      </c>
      <c r="H1286" s="9">
        <f>MAX($F$1080:F1286)</f>
        <v>1.0781</v>
      </c>
      <c r="I1286" s="11">
        <f t="shared" si="30"/>
        <v>0.00120582506261024</v>
      </c>
      <c r="J1286" s="9">
        <f>MAX($F$1120:F1286)</f>
        <v>1.0781</v>
      </c>
      <c r="K1286" s="11">
        <f t="shared" si="29"/>
        <v>0.00120582506261024</v>
      </c>
      <c r="L1286" s="9"/>
      <c r="M1286" s="11"/>
      <c r="N1286" s="9" t="s">
        <v>815</v>
      </c>
    </row>
    <row r="1287" ht="25" customHeight="1" spans="1:14">
      <c r="A1287" s="9" t="s">
        <v>472</v>
      </c>
      <c r="B1287" s="9" t="s">
        <v>471</v>
      </c>
      <c r="C1287" s="10">
        <v>46163</v>
      </c>
      <c r="D1287" s="15">
        <v>1.0002</v>
      </c>
      <c r="E1287" s="15">
        <v>1.0768</v>
      </c>
      <c r="F1287" s="15">
        <v>1.0768</v>
      </c>
      <c r="G1287" s="11">
        <v>0</v>
      </c>
      <c r="H1287" s="9">
        <f>MAX($F$1080:F1287)</f>
        <v>1.0781</v>
      </c>
      <c r="I1287" s="11">
        <f t="shared" si="30"/>
        <v>0.00120582506261024</v>
      </c>
      <c r="J1287" s="9">
        <f>MAX($F$1120:F1287)</f>
        <v>1.0781</v>
      </c>
      <c r="K1287" s="11">
        <f t="shared" si="29"/>
        <v>0.00120582506261024</v>
      </c>
      <c r="L1287" s="9"/>
      <c r="M1287" s="11"/>
      <c r="N1287" s="9" t="s">
        <v>815</v>
      </c>
    </row>
    <row r="1288" ht="25" customHeight="1" spans="1:14">
      <c r="A1288" s="9" t="s">
        <v>472</v>
      </c>
      <c r="B1288" s="9" t="s">
        <v>471</v>
      </c>
      <c r="C1288" s="10">
        <v>46164</v>
      </c>
      <c r="D1288" s="15">
        <v>1.0002</v>
      </c>
      <c r="E1288" s="15">
        <v>1.0768</v>
      </c>
      <c r="F1288" s="15">
        <v>1.0768</v>
      </c>
      <c r="G1288" s="11">
        <v>0</v>
      </c>
      <c r="H1288" s="9">
        <f>MAX($F$1080:F1288)</f>
        <v>1.0781</v>
      </c>
      <c r="I1288" s="11">
        <f t="shared" si="30"/>
        <v>0.00120582506261024</v>
      </c>
      <c r="J1288" s="9">
        <f>MAX($F$1120:F1288)</f>
        <v>1.0781</v>
      </c>
      <c r="K1288" s="11">
        <f t="shared" si="29"/>
        <v>0.00120582506261024</v>
      </c>
      <c r="L1288" s="9"/>
      <c r="M1288" s="11"/>
      <c r="N1288" s="9" t="s">
        <v>815</v>
      </c>
    </row>
    <row r="1289" ht="25" customHeight="1" spans="1:14">
      <c r="A1289" s="9" t="s">
        <v>472</v>
      </c>
      <c r="B1289" s="9" t="s">
        <v>471</v>
      </c>
      <c r="C1289" s="10">
        <v>46167</v>
      </c>
      <c r="D1289" s="15">
        <v>1.0002</v>
      </c>
      <c r="E1289" s="15">
        <v>1.0768</v>
      </c>
      <c r="F1289" s="15">
        <v>1.0768</v>
      </c>
      <c r="G1289" s="11">
        <v>0</v>
      </c>
      <c r="H1289" s="9">
        <f>MAX($F$1080:F1289)</f>
        <v>1.0781</v>
      </c>
      <c r="I1289" s="11">
        <f t="shared" si="30"/>
        <v>0.00120582506261024</v>
      </c>
      <c r="J1289" s="9">
        <f>MAX($F$1120:F1289)</f>
        <v>1.0781</v>
      </c>
      <c r="K1289" s="11">
        <f t="shared" si="29"/>
        <v>0.00120582506261024</v>
      </c>
      <c r="L1289" s="9"/>
      <c r="M1289" s="11"/>
      <c r="N1289" s="9" t="s">
        <v>815</v>
      </c>
    </row>
    <row r="1290" ht="25" customHeight="1" spans="1:14">
      <c r="A1290" s="9" t="s">
        <v>472</v>
      </c>
      <c r="B1290" s="9" t="s">
        <v>471</v>
      </c>
      <c r="C1290" s="10">
        <v>46168</v>
      </c>
      <c r="D1290" s="15">
        <v>1.0001</v>
      </c>
      <c r="E1290" s="15">
        <v>1.0767</v>
      </c>
      <c r="F1290" s="15">
        <v>1.0767</v>
      </c>
      <c r="G1290" s="11">
        <v>-0.0001</v>
      </c>
      <c r="H1290" s="9">
        <f>MAX($F$1080:F1290)</f>
        <v>1.0781</v>
      </c>
      <c r="I1290" s="11">
        <f t="shared" si="30"/>
        <v>0.00129858083665713</v>
      </c>
      <c r="J1290" s="9">
        <f>MAX($F$1120:F1290)</f>
        <v>1.0781</v>
      </c>
      <c r="K1290" s="11">
        <f t="shared" si="29"/>
        <v>0.00129858083665713</v>
      </c>
      <c r="L1290" s="9"/>
      <c r="M1290" s="11"/>
      <c r="N1290" s="9" t="s">
        <v>815</v>
      </c>
    </row>
    <row r="1291" ht="25" customHeight="1" spans="1:14">
      <c r="A1291" s="9" t="s">
        <v>472</v>
      </c>
      <c r="B1291" s="9" t="s">
        <v>471</v>
      </c>
      <c r="C1291" s="10">
        <v>46169</v>
      </c>
      <c r="D1291" s="15">
        <v>0.9998</v>
      </c>
      <c r="E1291" s="15">
        <v>1.0764</v>
      </c>
      <c r="F1291" s="15">
        <v>1.0764</v>
      </c>
      <c r="G1291" s="11">
        <v>-0.0003</v>
      </c>
      <c r="H1291" s="9">
        <f>MAX($F$1080:F1291)</f>
        <v>1.0781</v>
      </c>
      <c r="I1291" s="11">
        <f t="shared" si="30"/>
        <v>0.00157684815879788</v>
      </c>
      <c r="J1291" s="9">
        <f>MAX($F$1120:F1291)</f>
        <v>1.0781</v>
      </c>
      <c r="K1291" s="11">
        <f t="shared" si="29"/>
        <v>0.00157684815879788</v>
      </c>
      <c r="L1291" s="9"/>
      <c r="M1291" s="11"/>
      <c r="N1291" s="9" t="s">
        <v>815</v>
      </c>
    </row>
    <row r="1292" ht="25" customHeight="1" spans="1:14">
      <c r="A1292" s="9" t="s">
        <v>472</v>
      </c>
      <c r="B1292" s="9" t="s">
        <v>471</v>
      </c>
      <c r="C1292" s="10">
        <v>46170</v>
      </c>
      <c r="D1292" s="15">
        <v>1.0005</v>
      </c>
      <c r="E1292" s="15">
        <v>1.0771</v>
      </c>
      <c r="F1292" s="15">
        <v>1.0771</v>
      </c>
      <c r="G1292" s="11">
        <v>0.0007</v>
      </c>
      <c r="H1292" s="9">
        <f>MAX($F$1080:F1292)</f>
        <v>1.0781</v>
      </c>
      <c r="I1292" s="11">
        <f t="shared" si="30"/>
        <v>0.000927557740469487</v>
      </c>
      <c r="J1292" s="9">
        <f>MAX($F$1120:F1292)</f>
        <v>1.0781</v>
      </c>
      <c r="K1292" s="11">
        <f t="shared" si="29"/>
        <v>0.000927557740469487</v>
      </c>
      <c r="L1292" s="9"/>
      <c r="M1292" s="11"/>
      <c r="N1292" s="9" t="s">
        <v>815</v>
      </c>
    </row>
    <row r="1293" ht="25" customHeight="1" spans="1:14">
      <c r="A1293" s="9" t="s">
        <v>472</v>
      </c>
      <c r="B1293" s="9" t="s">
        <v>471</v>
      </c>
      <c r="C1293" s="10">
        <v>46171</v>
      </c>
      <c r="D1293" s="15">
        <v>1.0011</v>
      </c>
      <c r="E1293" s="15">
        <v>1.0777</v>
      </c>
      <c r="F1293" s="15">
        <v>1.0778</v>
      </c>
      <c r="G1293" s="11">
        <v>0.0006</v>
      </c>
      <c r="H1293" s="9">
        <f>MAX($F$1080:F1293)</f>
        <v>1.0781</v>
      </c>
      <c r="I1293" s="11">
        <f t="shared" si="30"/>
        <v>0.000278267322140757</v>
      </c>
      <c r="J1293" s="9">
        <f>MAX($F$1120:F1293)</f>
        <v>1.0781</v>
      </c>
      <c r="K1293" s="11">
        <f t="shared" si="29"/>
        <v>0.000278267322140757</v>
      </c>
      <c r="L1293" s="9"/>
      <c r="M1293" s="11"/>
      <c r="N1293" s="9" t="s">
        <v>815</v>
      </c>
    </row>
    <row r="1294" ht="25" customHeight="1" spans="1:14">
      <c r="A1294" s="9" t="s">
        <v>472</v>
      </c>
      <c r="B1294" s="9" t="s">
        <v>471</v>
      </c>
      <c r="C1294" s="10">
        <v>46174</v>
      </c>
      <c r="D1294" s="15">
        <v>1.0012</v>
      </c>
      <c r="E1294" s="15">
        <v>1.0778</v>
      </c>
      <c r="F1294" s="15">
        <v>1.0779</v>
      </c>
      <c r="G1294" s="11">
        <v>0.0001</v>
      </c>
      <c r="H1294" s="9">
        <f>MAX($F$1080:F1294)</f>
        <v>1.0781</v>
      </c>
      <c r="I1294" s="11">
        <f t="shared" si="30"/>
        <v>0.000185511548093875</v>
      </c>
      <c r="J1294" s="9">
        <f>MAX($F$1120:F1294)</f>
        <v>1.0781</v>
      </c>
      <c r="K1294" s="11">
        <f t="shared" si="29"/>
        <v>0.000185511548093875</v>
      </c>
      <c r="L1294" s="9"/>
      <c r="M1294" s="11"/>
      <c r="N1294" s="9" t="s">
        <v>815</v>
      </c>
    </row>
    <row r="1295" ht="25" customHeight="1" spans="1:14">
      <c r="A1295" s="9" t="s">
        <v>472</v>
      </c>
      <c r="B1295" s="9" t="s">
        <v>471</v>
      </c>
      <c r="C1295" s="10">
        <v>46175</v>
      </c>
      <c r="D1295" s="15">
        <v>1.0009</v>
      </c>
      <c r="E1295" s="15">
        <v>1.0775</v>
      </c>
      <c r="F1295" s="15">
        <v>1.0776</v>
      </c>
      <c r="G1295" s="11">
        <v>-0.0003</v>
      </c>
      <c r="H1295" s="9">
        <f>MAX($F$1080:F1295)</f>
        <v>1.0781</v>
      </c>
      <c r="I1295" s="11">
        <f t="shared" si="30"/>
        <v>0.000463778870234854</v>
      </c>
      <c r="J1295" s="9">
        <f>MAX($F$1120:F1295)</f>
        <v>1.0781</v>
      </c>
      <c r="K1295" s="11">
        <f t="shared" si="29"/>
        <v>0.000463778870234854</v>
      </c>
      <c r="L1295" s="9"/>
      <c r="M1295" s="11"/>
      <c r="N1295" s="9" t="s">
        <v>815</v>
      </c>
    </row>
    <row r="1296" ht="25" customHeight="1" spans="1:14">
      <c r="A1296" s="9" t="s">
        <v>472</v>
      </c>
      <c r="B1296" s="9" t="s">
        <v>471</v>
      </c>
      <c r="C1296" s="10">
        <v>46176</v>
      </c>
      <c r="D1296" s="15">
        <v>0.9986</v>
      </c>
      <c r="E1296" s="15">
        <v>1.0752</v>
      </c>
      <c r="F1296" s="15">
        <v>1.0751</v>
      </c>
      <c r="G1296" s="11">
        <v>-0.0023</v>
      </c>
      <c r="H1296" s="9">
        <f>MAX($F$1080:F1296)</f>
        <v>1.0781</v>
      </c>
      <c r="I1296" s="11">
        <f t="shared" si="30"/>
        <v>0.00278267322140813</v>
      </c>
      <c r="J1296" s="9">
        <f>MAX($F$1120:F1296)</f>
        <v>1.0781</v>
      </c>
      <c r="K1296" s="11">
        <f t="shared" si="29"/>
        <v>0.00278267322140813</v>
      </c>
      <c r="L1296" s="9"/>
      <c r="M1296" s="11"/>
      <c r="N1296" s="9" t="s">
        <v>815</v>
      </c>
    </row>
    <row r="1297" ht="25" customHeight="1" spans="1:14">
      <c r="A1297" s="9" t="s">
        <v>472</v>
      </c>
      <c r="B1297" s="9" t="s">
        <v>471</v>
      </c>
      <c r="C1297" s="10">
        <v>46177</v>
      </c>
      <c r="D1297" s="15">
        <v>0.9986</v>
      </c>
      <c r="E1297" s="15">
        <v>1.0752</v>
      </c>
      <c r="F1297" s="15">
        <v>1.0751</v>
      </c>
      <c r="G1297" s="11">
        <v>0</v>
      </c>
      <c r="H1297" s="9">
        <f>MAX($F$1080:F1297)</f>
        <v>1.0781</v>
      </c>
      <c r="I1297" s="11">
        <f t="shared" si="30"/>
        <v>0.00278267322140813</v>
      </c>
      <c r="J1297" s="9">
        <f>MAX($F$1120:F1297)</f>
        <v>1.0781</v>
      </c>
      <c r="K1297" s="11">
        <f t="shared" si="29"/>
        <v>0.00278267322140813</v>
      </c>
      <c r="L1297" s="9"/>
      <c r="M1297" s="11"/>
      <c r="N1297" s="9" t="s">
        <v>815</v>
      </c>
    </row>
    <row r="1298" ht="25" customHeight="1" spans="1:14">
      <c r="A1298" s="9" t="s">
        <v>472</v>
      </c>
      <c r="B1298" s="9" t="s">
        <v>471</v>
      </c>
      <c r="C1298" s="10">
        <v>46178</v>
      </c>
      <c r="D1298" s="15">
        <v>0.9995</v>
      </c>
      <c r="E1298" s="15">
        <v>1.0761</v>
      </c>
      <c r="F1298" s="15">
        <v>1.0761</v>
      </c>
      <c r="G1298" s="11">
        <v>0.0009</v>
      </c>
      <c r="H1298" s="9">
        <f>MAX($F$1080:F1298)</f>
        <v>1.0781</v>
      </c>
      <c r="I1298" s="11">
        <f t="shared" si="30"/>
        <v>0.00185511548093864</v>
      </c>
      <c r="J1298" s="9">
        <f>MAX($F$1120:F1298)</f>
        <v>1.0781</v>
      </c>
      <c r="K1298" s="11">
        <f t="shared" si="29"/>
        <v>0.00185511548093864</v>
      </c>
      <c r="L1298" s="9"/>
      <c r="M1298" s="11"/>
      <c r="N1298" s="9" t="s">
        <v>815</v>
      </c>
    </row>
    <row r="1299" ht="25" customHeight="1" spans="1:14">
      <c r="A1299" s="9" t="s">
        <v>472</v>
      </c>
      <c r="B1299" s="9" t="s">
        <v>471</v>
      </c>
      <c r="C1299" s="10">
        <v>46181</v>
      </c>
      <c r="D1299" s="15">
        <v>1.0018</v>
      </c>
      <c r="E1299" s="15">
        <v>1.0784</v>
      </c>
      <c r="F1299" s="15">
        <v>1.0785</v>
      </c>
      <c r="G1299" s="11">
        <v>0.0023</v>
      </c>
      <c r="H1299" s="9">
        <f>MAX($F$1080:F1299)</f>
        <v>1.0785</v>
      </c>
      <c r="I1299" s="11">
        <f t="shared" si="30"/>
        <v>0</v>
      </c>
      <c r="J1299" s="9">
        <f>MAX($F$1120:F1299)</f>
        <v>1.0785</v>
      </c>
      <c r="K1299" s="11">
        <f t="shared" si="29"/>
        <v>0</v>
      </c>
      <c r="L1299" s="9"/>
      <c r="M1299" s="11"/>
      <c r="N1299" s="9" t="s">
        <v>815</v>
      </c>
    </row>
    <row r="1300" ht="25" customHeight="1" spans="1:14">
      <c r="A1300" s="9" t="s">
        <v>472</v>
      </c>
      <c r="B1300" s="9" t="s">
        <v>471</v>
      </c>
      <c r="C1300" s="10">
        <v>46182</v>
      </c>
      <c r="D1300" s="15">
        <v>1.002</v>
      </c>
      <c r="E1300" s="15">
        <v>1.0786</v>
      </c>
      <c r="F1300" s="15">
        <v>1.0788</v>
      </c>
      <c r="G1300" s="11">
        <v>0.0002</v>
      </c>
      <c r="H1300" s="9">
        <f>MAX($F$1080:F1300)</f>
        <v>1.0788</v>
      </c>
      <c r="I1300" s="11">
        <f t="shared" si="30"/>
        <v>0</v>
      </c>
      <c r="J1300" s="9">
        <f>MAX($F$1120:F1300)</f>
        <v>1.0788</v>
      </c>
      <c r="K1300" s="11">
        <f t="shared" si="29"/>
        <v>0</v>
      </c>
      <c r="L1300" s="9"/>
      <c r="M1300" s="11"/>
      <c r="N1300" s="9" t="s">
        <v>815</v>
      </c>
    </row>
    <row r="1301" ht="25" customHeight="1" spans="1:14">
      <c r="A1301" s="9" t="s">
        <v>472</v>
      </c>
      <c r="B1301" s="9" t="s">
        <v>471</v>
      </c>
      <c r="C1301" s="10">
        <v>46183</v>
      </c>
      <c r="D1301" s="15">
        <v>1.0002</v>
      </c>
      <c r="E1301" s="15">
        <v>1.0768</v>
      </c>
      <c r="F1301" s="15">
        <v>1.0768</v>
      </c>
      <c r="G1301" s="11">
        <v>-0.0018</v>
      </c>
      <c r="H1301" s="9">
        <f>MAX($F$1080:F1301)</f>
        <v>1.0788</v>
      </c>
      <c r="I1301" s="11">
        <f t="shared" si="30"/>
        <v>0.00185391175380056</v>
      </c>
      <c r="J1301" s="9">
        <f>MAX($F$1120:F1301)</f>
        <v>1.0788</v>
      </c>
      <c r="K1301" s="11">
        <f t="shared" si="29"/>
        <v>0.00185391175380056</v>
      </c>
      <c r="L1301" s="9"/>
      <c r="M1301" s="11"/>
      <c r="N1301" s="9" t="s">
        <v>815</v>
      </c>
    </row>
    <row r="1302" ht="25" customHeight="1" spans="1:14">
      <c r="A1302" s="9" t="s">
        <v>472</v>
      </c>
      <c r="B1302" s="9" t="s">
        <v>471</v>
      </c>
      <c r="C1302" s="10">
        <v>46184</v>
      </c>
      <c r="D1302" s="15">
        <v>1.0006</v>
      </c>
      <c r="E1302" s="15">
        <v>1.0772</v>
      </c>
      <c r="F1302" s="15">
        <v>1.0772</v>
      </c>
      <c r="G1302" s="11">
        <v>0.0004</v>
      </c>
      <c r="H1302" s="9">
        <f>MAX($F$1080:F1302)</f>
        <v>1.0788</v>
      </c>
      <c r="I1302" s="11">
        <f t="shared" si="30"/>
        <v>0.00148312940304041</v>
      </c>
      <c r="J1302" s="9">
        <f>MAX($F$1120:F1302)</f>
        <v>1.0788</v>
      </c>
      <c r="K1302" s="11">
        <f t="shared" si="29"/>
        <v>0.00148312940304041</v>
      </c>
      <c r="L1302" s="9"/>
      <c r="M1302" s="11"/>
      <c r="N1302" s="9" t="s">
        <v>815</v>
      </c>
    </row>
    <row r="1303" ht="25" customHeight="1" spans="1:14">
      <c r="A1303" s="9" t="s">
        <v>472</v>
      </c>
      <c r="B1303" s="9" t="s">
        <v>471</v>
      </c>
      <c r="C1303" s="10">
        <v>46185</v>
      </c>
      <c r="D1303" s="15">
        <v>1.0006</v>
      </c>
      <c r="E1303" s="15">
        <v>1.0772</v>
      </c>
      <c r="F1303" s="15">
        <v>1.0772</v>
      </c>
      <c r="G1303" s="11">
        <v>0</v>
      </c>
      <c r="H1303" s="9">
        <f>MAX($F$1080:F1303)</f>
        <v>1.0788</v>
      </c>
      <c r="I1303" s="11">
        <f t="shared" si="30"/>
        <v>0.00148312940304041</v>
      </c>
      <c r="J1303" s="9">
        <f>MAX($F$1120:F1303)</f>
        <v>1.0788</v>
      </c>
      <c r="K1303" s="11">
        <f t="shared" si="29"/>
        <v>0.00148312940304041</v>
      </c>
      <c r="L1303" s="9"/>
      <c r="M1303" s="11"/>
      <c r="N1303" s="9" t="s">
        <v>815</v>
      </c>
    </row>
    <row r="1304" ht="25" customHeight="1" spans="1:14">
      <c r="A1304" s="9" t="s">
        <v>472</v>
      </c>
      <c r="B1304" s="9" t="s">
        <v>471</v>
      </c>
      <c r="C1304" s="10">
        <v>46188</v>
      </c>
      <c r="D1304" s="15">
        <v>1.0012</v>
      </c>
      <c r="E1304" s="15">
        <v>1.0778</v>
      </c>
      <c r="F1304" s="15">
        <v>1.0779</v>
      </c>
      <c r="G1304" s="11">
        <v>0.0006</v>
      </c>
      <c r="H1304" s="9">
        <f>MAX($F$1080:F1304)</f>
        <v>1.0788</v>
      </c>
      <c r="I1304" s="11">
        <f t="shared" si="30"/>
        <v>0.000834260289210187</v>
      </c>
      <c r="J1304" s="9">
        <f>MAX($F$1120:F1304)</f>
        <v>1.0788</v>
      </c>
      <c r="K1304" s="11">
        <f t="shared" si="29"/>
        <v>0.000834260289210187</v>
      </c>
      <c r="L1304" s="9"/>
      <c r="M1304" s="11"/>
      <c r="N1304" s="9" t="s">
        <v>815</v>
      </c>
    </row>
    <row r="1305" ht="25" customHeight="1" spans="1:14">
      <c r="A1305" s="9" t="s">
        <v>472</v>
      </c>
      <c r="B1305" s="9" t="s">
        <v>471</v>
      </c>
      <c r="C1305" s="10">
        <v>46189</v>
      </c>
      <c r="D1305" s="15">
        <v>1.0018</v>
      </c>
      <c r="E1305" s="15">
        <v>1.0784</v>
      </c>
      <c r="F1305" s="15">
        <v>1.0785</v>
      </c>
      <c r="G1305" s="11">
        <v>0.0006</v>
      </c>
      <c r="H1305" s="9">
        <f>MAX($F$1080:F1305)</f>
        <v>1.0788</v>
      </c>
      <c r="I1305" s="11">
        <f t="shared" si="30"/>
        <v>0.000278086763070062</v>
      </c>
      <c r="J1305" s="9">
        <f>MAX($F$1120:F1305)</f>
        <v>1.0788</v>
      </c>
      <c r="K1305" s="11">
        <f t="shared" si="29"/>
        <v>0.000278086763070062</v>
      </c>
      <c r="L1305" s="9"/>
      <c r="M1305" s="11"/>
      <c r="N1305" s="9" t="s">
        <v>815</v>
      </c>
    </row>
    <row r="1306" ht="25" customHeight="1" spans="1:14">
      <c r="A1306" s="9" t="s">
        <v>472</v>
      </c>
      <c r="B1306" s="9" t="s">
        <v>471</v>
      </c>
      <c r="C1306" s="10">
        <v>46190</v>
      </c>
      <c r="D1306" s="15">
        <v>1.0026</v>
      </c>
      <c r="E1306" s="15">
        <v>1.0792</v>
      </c>
      <c r="F1306" s="15">
        <v>1.0794</v>
      </c>
      <c r="G1306" s="11">
        <v>0.0008</v>
      </c>
      <c r="H1306" s="9">
        <f>MAX($F$1080:F1306)</f>
        <v>1.0794</v>
      </c>
      <c r="I1306" s="11">
        <f t="shared" si="30"/>
        <v>0</v>
      </c>
      <c r="J1306" s="9">
        <f>MAX($F$1120:F1306)</f>
        <v>1.0794</v>
      </c>
      <c r="K1306" s="11">
        <f t="shared" si="29"/>
        <v>0</v>
      </c>
      <c r="L1306" s="9"/>
      <c r="M1306" s="11"/>
      <c r="N1306" s="9" t="s">
        <v>815</v>
      </c>
    </row>
    <row r="1307" ht="25" customHeight="1" spans="1:14">
      <c r="A1307" s="9" t="s">
        <v>472</v>
      </c>
      <c r="B1307" s="9" t="s">
        <v>471</v>
      </c>
      <c r="C1307" s="10">
        <v>46191</v>
      </c>
      <c r="D1307" s="15">
        <v>1.0027</v>
      </c>
      <c r="E1307" s="15">
        <v>1.0793</v>
      </c>
      <c r="F1307" s="15">
        <v>1.0795</v>
      </c>
      <c r="G1307" s="11">
        <v>0.0001</v>
      </c>
      <c r="H1307" s="9">
        <f>MAX($F$1080:F1307)</f>
        <v>1.0795</v>
      </c>
      <c r="I1307" s="11">
        <f t="shared" si="30"/>
        <v>0</v>
      </c>
      <c r="J1307" s="9">
        <f>MAX($F$1120:F1307)</f>
        <v>1.0795</v>
      </c>
      <c r="K1307" s="11">
        <f t="shared" si="29"/>
        <v>0</v>
      </c>
      <c r="L1307" s="9"/>
      <c r="M1307" s="11"/>
      <c r="N1307" s="9" t="s">
        <v>815</v>
      </c>
    </row>
    <row r="1308" ht="25" customHeight="1" spans="1:14">
      <c r="A1308" s="9" t="s">
        <v>472</v>
      </c>
      <c r="B1308" s="9" t="s">
        <v>471</v>
      </c>
      <c r="C1308" s="10">
        <v>46195</v>
      </c>
      <c r="D1308" s="15">
        <v>1.0027</v>
      </c>
      <c r="E1308" s="15">
        <v>1.0793</v>
      </c>
      <c r="F1308" s="15">
        <v>1.0795</v>
      </c>
      <c r="G1308" s="11">
        <v>0</v>
      </c>
      <c r="H1308" s="9">
        <f>MAX($F$1080:F1308)</f>
        <v>1.0795</v>
      </c>
      <c r="I1308" s="11">
        <f t="shared" si="30"/>
        <v>0</v>
      </c>
      <c r="J1308" s="9">
        <f>MAX($F$1120:F1308)</f>
        <v>1.0795</v>
      </c>
      <c r="K1308" s="11">
        <f t="shared" si="29"/>
        <v>0</v>
      </c>
      <c r="L1308" s="9"/>
      <c r="M1308" s="11"/>
      <c r="N1308" s="9" t="s">
        <v>815</v>
      </c>
    </row>
    <row r="1309" ht="25" customHeight="1" spans="1:14">
      <c r="A1309" s="9" t="s">
        <v>472</v>
      </c>
      <c r="B1309" s="9" t="s">
        <v>471</v>
      </c>
      <c r="C1309" s="10">
        <v>46196</v>
      </c>
      <c r="D1309" s="15">
        <v>1.0024</v>
      </c>
      <c r="E1309" s="15">
        <v>1.079</v>
      </c>
      <c r="F1309" s="15">
        <v>1.0792</v>
      </c>
      <c r="G1309" s="11">
        <v>-0.0003</v>
      </c>
      <c r="H1309" s="9">
        <f>MAX($F$1080:F1309)</f>
        <v>1.0795</v>
      </c>
      <c r="I1309" s="11">
        <f t="shared" si="30"/>
        <v>0.000277906438165831</v>
      </c>
      <c r="J1309" s="9">
        <f>MAX($F$1120:F1309)</f>
        <v>1.0795</v>
      </c>
      <c r="K1309" s="11">
        <f t="shared" si="29"/>
        <v>0.000277906438165831</v>
      </c>
      <c r="L1309" s="9"/>
      <c r="M1309" s="11"/>
      <c r="N1309" s="9" t="s">
        <v>815</v>
      </c>
    </row>
    <row r="1310" ht="25" customHeight="1" spans="1:14">
      <c r="A1310" s="9" t="s">
        <v>472</v>
      </c>
      <c r="B1310" s="9" t="s">
        <v>471</v>
      </c>
      <c r="C1310" s="10">
        <v>46197</v>
      </c>
      <c r="D1310" s="15">
        <v>1.0041</v>
      </c>
      <c r="E1310" s="15">
        <v>1.0807</v>
      </c>
      <c r="F1310" s="15">
        <v>1.081</v>
      </c>
      <c r="G1310" s="11">
        <v>0.0017</v>
      </c>
      <c r="H1310" s="9">
        <f>MAX($F$1080:F1310)</f>
        <v>1.081</v>
      </c>
      <c r="I1310" s="11">
        <f t="shared" si="30"/>
        <v>0</v>
      </c>
      <c r="J1310" s="9">
        <f>MAX($F$1120:F1310)</f>
        <v>1.081</v>
      </c>
      <c r="K1310" s="11">
        <f t="shared" si="29"/>
        <v>0</v>
      </c>
      <c r="L1310" s="9"/>
      <c r="M1310" s="11"/>
      <c r="N1310" s="9" t="s">
        <v>815</v>
      </c>
    </row>
    <row r="1311" ht="25" customHeight="1" spans="1:14">
      <c r="A1311" s="9" t="s">
        <v>472</v>
      </c>
      <c r="B1311" s="9" t="s">
        <v>471</v>
      </c>
      <c r="C1311" s="10">
        <v>46198</v>
      </c>
      <c r="D1311" s="15">
        <v>1.0039</v>
      </c>
      <c r="E1311" s="15">
        <v>1.0805</v>
      </c>
      <c r="F1311" s="15">
        <v>1.0808</v>
      </c>
      <c r="G1311" s="11">
        <v>-0.0002</v>
      </c>
      <c r="H1311" s="9">
        <f>MAX($F$1080:F1311)</f>
        <v>1.081</v>
      </c>
      <c r="I1311" s="11">
        <f t="shared" si="30"/>
        <v>0.000185013876040641</v>
      </c>
      <c r="J1311" s="9">
        <f>MAX($F$1120:F1311)</f>
        <v>1.081</v>
      </c>
      <c r="K1311" s="11">
        <f t="shared" si="29"/>
        <v>0.000185013876040641</v>
      </c>
      <c r="L1311" s="9"/>
      <c r="M1311" s="11"/>
      <c r="N1311" s="9" t="s">
        <v>815</v>
      </c>
    </row>
    <row r="1312" ht="25" customHeight="1" spans="1:14">
      <c r="A1312" s="9" t="s">
        <v>472</v>
      </c>
      <c r="B1312" s="9" t="s">
        <v>471</v>
      </c>
      <c r="C1312" s="10">
        <v>46199</v>
      </c>
      <c r="D1312" s="15">
        <v>1.0047</v>
      </c>
      <c r="E1312" s="15">
        <v>1.0813</v>
      </c>
      <c r="F1312" s="15">
        <v>1.0817</v>
      </c>
      <c r="G1312" s="11">
        <v>0.0008</v>
      </c>
      <c r="H1312" s="9">
        <f>MAX($F$1080:F1312)</f>
        <v>1.0817</v>
      </c>
      <c r="I1312" s="11">
        <f t="shared" si="30"/>
        <v>0</v>
      </c>
      <c r="J1312" s="9">
        <f>MAX($F$1120:F1312)</f>
        <v>1.0817</v>
      </c>
      <c r="K1312" s="11">
        <f t="shared" ref="K1312:K1362" si="31">1-F1312/J1312</f>
        <v>0</v>
      </c>
      <c r="L1312" s="9"/>
      <c r="M1312" s="11"/>
      <c r="N1312" s="9" t="s">
        <v>815</v>
      </c>
    </row>
    <row r="1313" ht="25" customHeight="1" spans="1:14">
      <c r="A1313" s="9" t="s">
        <v>472</v>
      </c>
      <c r="B1313" s="9" t="s">
        <v>471</v>
      </c>
      <c r="C1313" s="10">
        <v>46202</v>
      </c>
      <c r="D1313" s="15">
        <v>1.0043</v>
      </c>
      <c r="E1313" s="15">
        <v>1.0809</v>
      </c>
      <c r="F1313" s="15">
        <v>1.0812</v>
      </c>
      <c r="G1313" s="11">
        <v>-0.0004</v>
      </c>
      <c r="H1313" s="9">
        <f>MAX($F$1080:F1313)</f>
        <v>1.0817</v>
      </c>
      <c r="I1313" s="11">
        <f t="shared" si="30"/>
        <v>0.000462235370250696</v>
      </c>
      <c r="J1313" s="9">
        <f>MAX($F$1120:F1313)</f>
        <v>1.0817</v>
      </c>
      <c r="K1313" s="11">
        <f t="shared" si="31"/>
        <v>0.000462235370250696</v>
      </c>
      <c r="L1313" s="9"/>
      <c r="M1313" s="11"/>
      <c r="N1313" s="9" t="s">
        <v>815</v>
      </c>
    </row>
    <row r="1314" ht="25" customHeight="1" spans="1:14">
      <c r="A1314" s="9" t="s">
        <v>472</v>
      </c>
      <c r="B1314" s="9" t="s">
        <v>471</v>
      </c>
      <c r="C1314" s="10">
        <v>46203</v>
      </c>
      <c r="D1314" s="15">
        <v>1.0045</v>
      </c>
      <c r="E1314" s="15">
        <v>1.0811</v>
      </c>
      <c r="F1314" s="15">
        <v>1.0814</v>
      </c>
      <c r="G1314" s="11">
        <v>0.0002</v>
      </c>
      <c r="H1314" s="9">
        <f>MAX($F$1080:F1314)</f>
        <v>1.0817</v>
      </c>
      <c r="I1314" s="11">
        <f t="shared" si="30"/>
        <v>0.000277341222150507</v>
      </c>
      <c r="J1314" s="9">
        <f>MAX($F$1120:F1314)</f>
        <v>1.0817</v>
      </c>
      <c r="K1314" s="11">
        <f t="shared" si="31"/>
        <v>0.000277341222150507</v>
      </c>
      <c r="L1314" s="9"/>
      <c r="M1314" s="11"/>
      <c r="N1314" s="9" t="s">
        <v>815</v>
      </c>
    </row>
    <row r="1315" ht="25" customHeight="1" spans="1:14">
      <c r="A1315" s="9" t="s">
        <v>472</v>
      </c>
      <c r="B1315" s="9" t="s">
        <v>471</v>
      </c>
      <c r="C1315" s="10">
        <v>46204</v>
      </c>
      <c r="D1315" s="15">
        <v>1.0041</v>
      </c>
      <c r="E1315" s="15">
        <v>1.0807</v>
      </c>
      <c r="F1315" s="15">
        <v>1.081</v>
      </c>
      <c r="G1315" s="11">
        <v>-0.0004</v>
      </c>
      <c r="H1315" s="9">
        <f>MAX($F$1080:F1315)</f>
        <v>1.0817</v>
      </c>
      <c r="I1315" s="11">
        <f t="shared" si="30"/>
        <v>0.000647129518350886</v>
      </c>
      <c r="J1315" s="9">
        <f>MAX($F$1120:F1315)</f>
        <v>1.0817</v>
      </c>
      <c r="K1315" s="11">
        <f t="shared" si="31"/>
        <v>0.000647129518350886</v>
      </c>
      <c r="L1315" s="9"/>
      <c r="M1315" s="11"/>
      <c r="N1315" s="9" t="s">
        <v>815</v>
      </c>
    </row>
    <row r="1316" ht="25" customHeight="1" spans="1:14">
      <c r="A1316" s="9" t="s">
        <v>472</v>
      </c>
      <c r="B1316" s="9" t="s">
        <v>471</v>
      </c>
      <c r="C1316" s="10">
        <v>46205</v>
      </c>
      <c r="D1316" s="15">
        <v>1.0044</v>
      </c>
      <c r="E1316" s="15">
        <v>1.081</v>
      </c>
      <c r="F1316" s="15">
        <v>1.0813</v>
      </c>
      <c r="G1316" s="11">
        <v>0.0003</v>
      </c>
      <c r="H1316" s="9">
        <f>MAX($F$1080:F1316)</f>
        <v>1.0817</v>
      </c>
      <c r="I1316" s="11">
        <f t="shared" si="30"/>
        <v>0.000369788296200602</v>
      </c>
      <c r="J1316" s="9">
        <f>MAX($F$1120:F1316)</f>
        <v>1.0817</v>
      </c>
      <c r="K1316" s="11">
        <f t="shared" si="31"/>
        <v>0.000369788296200602</v>
      </c>
      <c r="L1316" s="9"/>
      <c r="M1316" s="11"/>
      <c r="N1316" s="9" t="s">
        <v>815</v>
      </c>
    </row>
    <row r="1317" ht="25" customHeight="1" spans="1:14">
      <c r="A1317" s="9" t="s">
        <v>472</v>
      </c>
      <c r="B1317" s="9" t="s">
        <v>471</v>
      </c>
      <c r="C1317" s="10">
        <v>46206</v>
      </c>
      <c r="D1317" s="15">
        <v>1.0045</v>
      </c>
      <c r="E1317" s="15">
        <v>1.0811</v>
      </c>
      <c r="F1317" s="15">
        <v>1.0814</v>
      </c>
      <c r="G1317" s="11">
        <v>0.0001</v>
      </c>
      <c r="H1317" s="9">
        <f>MAX($F$1080:F1317)</f>
        <v>1.0817</v>
      </c>
      <c r="I1317" s="11">
        <f t="shared" si="30"/>
        <v>0.000277341222150507</v>
      </c>
      <c r="J1317" s="9">
        <f>MAX($F$1120:F1317)</f>
        <v>1.0817</v>
      </c>
      <c r="K1317" s="11">
        <f t="shared" si="31"/>
        <v>0.000277341222150507</v>
      </c>
      <c r="L1317" s="9"/>
      <c r="M1317" s="11"/>
      <c r="N1317" s="9" t="s">
        <v>815</v>
      </c>
    </row>
    <row r="1318" ht="25" customHeight="1" spans="1:14">
      <c r="A1318" s="9" t="s">
        <v>472</v>
      </c>
      <c r="B1318" s="9" t="s">
        <v>471</v>
      </c>
      <c r="C1318" s="10">
        <v>46209</v>
      </c>
      <c r="D1318" s="15">
        <v>1.0058</v>
      </c>
      <c r="E1318" s="15">
        <v>1.0824</v>
      </c>
      <c r="F1318" s="15">
        <v>1.0828</v>
      </c>
      <c r="G1318" s="11">
        <v>0.0013</v>
      </c>
      <c r="H1318" s="9">
        <f>MAX($F$1080:F1318)</f>
        <v>1.0828</v>
      </c>
      <c r="I1318" s="11">
        <f t="shared" si="30"/>
        <v>0</v>
      </c>
      <c r="J1318" s="9">
        <f>MAX($F$1120:F1318)</f>
        <v>1.0828</v>
      </c>
      <c r="K1318" s="11">
        <f t="shared" si="31"/>
        <v>0</v>
      </c>
      <c r="L1318" s="9"/>
      <c r="M1318" s="11"/>
      <c r="N1318" s="9" t="s">
        <v>815</v>
      </c>
    </row>
    <row r="1319" ht="25" customHeight="1" spans="1:14">
      <c r="A1319" s="9" t="s">
        <v>472</v>
      </c>
      <c r="B1319" s="9" t="s">
        <v>471</v>
      </c>
      <c r="C1319" s="10">
        <v>46210</v>
      </c>
      <c r="D1319" s="15">
        <v>1.0051</v>
      </c>
      <c r="E1319" s="15">
        <v>1.0817</v>
      </c>
      <c r="F1319" s="15">
        <v>1.0821</v>
      </c>
      <c r="G1319" s="11">
        <v>-0.0007</v>
      </c>
      <c r="H1319" s="9">
        <f>MAX($F$1080:F1319)</f>
        <v>1.0828</v>
      </c>
      <c r="I1319" s="11">
        <f t="shared" si="30"/>
        <v>0.000646472109346097</v>
      </c>
      <c r="J1319" s="9">
        <f>MAX($F$1120:F1319)</f>
        <v>1.0828</v>
      </c>
      <c r="K1319" s="11">
        <f t="shared" si="31"/>
        <v>0.000646472109346097</v>
      </c>
      <c r="L1319" s="9"/>
      <c r="M1319" s="11"/>
      <c r="N1319" s="9" t="s">
        <v>815</v>
      </c>
    </row>
    <row r="1320" ht="25" customHeight="1" spans="1:14">
      <c r="A1320" s="9" t="s">
        <v>472</v>
      </c>
      <c r="B1320" s="9" t="s">
        <v>471</v>
      </c>
      <c r="C1320" s="10">
        <v>46211</v>
      </c>
      <c r="D1320" s="15">
        <v>1.0069</v>
      </c>
      <c r="E1320" s="15">
        <v>1.0835</v>
      </c>
      <c r="F1320" s="15">
        <v>1.084</v>
      </c>
      <c r="G1320" s="11">
        <v>0.0018</v>
      </c>
      <c r="H1320" s="9">
        <f>MAX($F$1080:F1320)</f>
        <v>1.084</v>
      </c>
      <c r="I1320" s="11">
        <f t="shared" si="30"/>
        <v>0</v>
      </c>
      <c r="J1320" s="9">
        <f>MAX($F$1120:F1320)</f>
        <v>1.084</v>
      </c>
      <c r="K1320" s="11">
        <f t="shared" si="31"/>
        <v>0</v>
      </c>
      <c r="L1320" s="9"/>
      <c r="M1320" s="11"/>
      <c r="N1320" s="9" t="s">
        <v>815</v>
      </c>
    </row>
    <row r="1321" ht="25" customHeight="1" spans="1:14">
      <c r="A1321" s="9" t="s">
        <v>472</v>
      </c>
      <c r="B1321" s="9" t="s">
        <v>471</v>
      </c>
      <c r="C1321" s="10">
        <v>46212</v>
      </c>
      <c r="D1321" s="15">
        <v>1.0079</v>
      </c>
      <c r="E1321" s="15">
        <v>1.0845</v>
      </c>
      <c r="F1321" s="15">
        <v>1.0851</v>
      </c>
      <c r="G1321" s="11">
        <v>0.001</v>
      </c>
      <c r="H1321" s="9">
        <f>MAX($F$1080:F1321)</f>
        <v>1.0851</v>
      </c>
      <c r="I1321" s="11">
        <f t="shared" si="30"/>
        <v>0</v>
      </c>
      <c r="J1321" s="9">
        <f>MAX($F$1120:F1321)</f>
        <v>1.0851</v>
      </c>
      <c r="K1321" s="11">
        <f t="shared" si="31"/>
        <v>0</v>
      </c>
      <c r="L1321" s="9"/>
      <c r="M1321" s="11"/>
      <c r="N1321" s="9" t="s">
        <v>815</v>
      </c>
    </row>
    <row r="1322" ht="25" customHeight="1" spans="1:14">
      <c r="A1322" s="9" t="s">
        <v>472</v>
      </c>
      <c r="B1322" s="9" t="s">
        <v>471</v>
      </c>
      <c r="C1322" s="10">
        <v>46213</v>
      </c>
      <c r="D1322" s="15">
        <v>1.0072</v>
      </c>
      <c r="E1322" s="15">
        <v>1.0838</v>
      </c>
      <c r="F1322" s="15">
        <v>1.0844</v>
      </c>
      <c r="G1322" s="11">
        <v>-0.0007</v>
      </c>
      <c r="H1322" s="9">
        <f>MAX($F$1080:F1322)</f>
        <v>1.0851</v>
      </c>
      <c r="I1322" s="11">
        <f t="shared" si="30"/>
        <v>0.000645101833932293</v>
      </c>
      <c r="J1322" s="9">
        <f>MAX($F$1120:F1322)</f>
        <v>1.0851</v>
      </c>
      <c r="K1322" s="11">
        <f t="shared" si="31"/>
        <v>0.000645101833932293</v>
      </c>
      <c r="L1322" s="9"/>
      <c r="M1322" s="11"/>
      <c r="N1322" s="9" t="s">
        <v>815</v>
      </c>
    </row>
    <row r="1323" ht="25" customHeight="1" spans="1:14">
      <c r="A1323" s="9" t="s">
        <v>472</v>
      </c>
      <c r="B1323" s="9" t="s">
        <v>471</v>
      </c>
      <c r="C1323" s="10">
        <v>46216</v>
      </c>
      <c r="D1323" s="15">
        <v>1.0067</v>
      </c>
      <c r="E1323" s="15">
        <v>1.0833</v>
      </c>
      <c r="F1323" s="15">
        <v>1.0838</v>
      </c>
      <c r="G1323" s="11">
        <v>-0.0005</v>
      </c>
      <c r="H1323" s="9">
        <f>MAX($F$1080:F1323)</f>
        <v>1.0851</v>
      </c>
      <c r="I1323" s="11">
        <f t="shared" si="30"/>
        <v>0.00119804626301712</v>
      </c>
      <c r="J1323" s="9">
        <f>MAX($F$1120:F1323)</f>
        <v>1.0851</v>
      </c>
      <c r="K1323" s="11">
        <f t="shared" si="31"/>
        <v>0.00119804626301712</v>
      </c>
      <c r="L1323" s="9"/>
      <c r="M1323" s="11"/>
      <c r="N1323" s="9" t="s">
        <v>815</v>
      </c>
    </row>
    <row r="1324" ht="25" customHeight="1" spans="1:14">
      <c r="A1324" s="9" t="s">
        <v>472</v>
      </c>
      <c r="B1324" s="9" t="s">
        <v>471</v>
      </c>
      <c r="C1324" s="10">
        <v>46217</v>
      </c>
      <c r="D1324" s="15">
        <v>1.0077</v>
      </c>
      <c r="E1324" s="15">
        <v>1.0843</v>
      </c>
      <c r="F1324" s="15">
        <v>1.0849</v>
      </c>
      <c r="G1324" s="11">
        <v>0.001</v>
      </c>
      <c r="H1324" s="9">
        <f>MAX($F$1080:F1324)</f>
        <v>1.0851</v>
      </c>
      <c r="I1324" s="11">
        <f t="shared" si="30"/>
        <v>0.000184314809694941</v>
      </c>
      <c r="J1324" s="9">
        <f>MAX($F$1120:F1324)</f>
        <v>1.0851</v>
      </c>
      <c r="K1324" s="11">
        <f t="shared" si="31"/>
        <v>0.000184314809694941</v>
      </c>
      <c r="L1324" s="9"/>
      <c r="M1324" s="11"/>
      <c r="N1324" s="9" t="s">
        <v>815</v>
      </c>
    </row>
    <row r="1325" ht="25" customHeight="1" spans="1:14">
      <c r="A1325" s="9" t="s">
        <v>472</v>
      </c>
      <c r="B1325" s="9" t="s">
        <v>471</v>
      </c>
      <c r="C1325" s="10">
        <v>46218</v>
      </c>
      <c r="D1325" s="15">
        <v>1.0084</v>
      </c>
      <c r="E1325" s="15">
        <v>1.085</v>
      </c>
      <c r="F1325" s="15">
        <v>1.0856</v>
      </c>
      <c r="G1325" s="11">
        <v>0.0007</v>
      </c>
      <c r="H1325" s="9">
        <f>MAX($F$1080:F1325)</f>
        <v>1.0856</v>
      </c>
      <c r="I1325" s="11">
        <f t="shared" si="30"/>
        <v>0</v>
      </c>
      <c r="J1325" s="9">
        <f>MAX($F$1120:F1325)</f>
        <v>1.0856</v>
      </c>
      <c r="K1325" s="11">
        <f t="shared" si="31"/>
        <v>0</v>
      </c>
      <c r="L1325" s="9"/>
      <c r="M1325" s="11"/>
      <c r="N1325" s="9" t="s">
        <v>815</v>
      </c>
    </row>
    <row r="1326" ht="25" customHeight="1" spans="1:14">
      <c r="A1326" s="9" t="s">
        <v>472</v>
      </c>
      <c r="B1326" s="9" t="s">
        <v>471</v>
      </c>
      <c r="C1326" s="10">
        <v>46219</v>
      </c>
      <c r="D1326" s="15">
        <v>1.0084</v>
      </c>
      <c r="E1326" s="15">
        <v>1.085</v>
      </c>
      <c r="F1326" s="15">
        <v>1.0856</v>
      </c>
      <c r="G1326" s="11">
        <v>0</v>
      </c>
      <c r="H1326" s="9">
        <f>MAX($F$1080:F1326)</f>
        <v>1.0856</v>
      </c>
      <c r="I1326" s="11">
        <f t="shared" si="30"/>
        <v>0</v>
      </c>
      <c r="J1326" s="9">
        <f>MAX($F$1120:F1326)</f>
        <v>1.0856</v>
      </c>
      <c r="K1326" s="11">
        <f t="shared" si="31"/>
        <v>0</v>
      </c>
      <c r="L1326" s="9"/>
      <c r="M1326" s="11"/>
      <c r="N1326" s="9" t="s">
        <v>815</v>
      </c>
    </row>
    <row r="1327" ht="25" customHeight="1" spans="1:14">
      <c r="A1327" s="9" t="s">
        <v>472</v>
      </c>
      <c r="B1327" s="9" t="s">
        <v>471</v>
      </c>
      <c r="C1327" s="10">
        <v>46220</v>
      </c>
      <c r="D1327" s="15">
        <v>1.0106</v>
      </c>
      <c r="E1327" s="15">
        <v>1.0872</v>
      </c>
      <c r="F1327" s="15">
        <v>1.088</v>
      </c>
      <c r="G1327" s="11">
        <v>0.0022</v>
      </c>
      <c r="H1327" s="9">
        <f>MAX($F$1080:F1327)</f>
        <v>1.088</v>
      </c>
      <c r="I1327" s="11">
        <f t="shared" si="30"/>
        <v>0</v>
      </c>
      <c r="J1327" s="9">
        <f>MAX($F$1120:F1327)</f>
        <v>1.088</v>
      </c>
      <c r="K1327" s="11">
        <f t="shared" si="31"/>
        <v>0</v>
      </c>
      <c r="L1327" s="9"/>
      <c r="M1327" s="11"/>
      <c r="N1327" s="9" t="s">
        <v>815</v>
      </c>
    </row>
    <row r="1328" ht="25" customHeight="1" spans="1:14">
      <c r="A1328" s="9" t="s">
        <v>472</v>
      </c>
      <c r="B1328" s="9" t="s">
        <v>471</v>
      </c>
      <c r="C1328" s="10">
        <v>46223</v>
      </c>
      <c r="D1328" s="15">
        <v>1.0114</v>
      </c>
      <c r="E1328" s="15">
        <v>1.088</v>
      </c>
      <c r="F1328" s="15">
        <v>1.0889</v>
      </c>
      <c r="G1328" s="11">
        <v>0.0008</v>
      </c>
      <c r="H1328" s="9">
        <f>MAX($F$1080:F1328)</f>
        <v>1.0889</v>
      </c>
      <c r="I1328" s="11">
        <f t="shared" si="30"/>
        <v>0</v>
      </c>
      <c r="J1328" s="9">
        <f>MAX($F$1120:F1328)</f>
        <v>1.0889</v>
      </c>
      <c r="K1328" s="11">
        <f t="shared" si="31"/>
        <v>0</v>
      </c>
      <c r="L1328" s="9"/>
      <c r="M1328" s="11"/>
      <c r="N1328" s="9" t="s">
        <v>815</v>
      </c>
    </row>
    <row r="1329" ht="25" customHeight="1" spans="1:14">
      <c r="A1329" s="9" t="s">
        <v>472</v>
      </c>
      <c r="B1329" s="9" t="s">
        <v>471</v>
      </c>
      <c r="C1329" s="10">
        <v>46224</v>
      </c>
      <c r="D1329" s="15">
        <v>1.0122</v>
      </c>
      <c r="E1329" s="15">
        <v>1.0888</v>
      </c>
      <c r="F1329" s="15">
        <v>1.0897</v>
      </c>
      <c r="G1329" s="11">
        <v>0.0008</v>
      </c>
      <c r="H1329" s="9">
        <f>MAX($F$1080:F1329)</f>
        <v>1.0897</v>
      </c>
      <c r="I1329" s="11">
        <f t="shared" si="30"/>
        <v>0</v>
      </c>
      <c r="J1329" s="9">
        <f>MAX($F$1120:F1329)</f>
        <v>1.0897</v>
      </c>
      <c r="K1329" s="11">
        <f t="shared" si="31"/>
        <v>0</v>
      </c>
      <c r="L1329" s="9"/>
      <c r="M1329" s="11"/>
      <c r="N1329" s="9" t="s">
        <v>815</v>
      </c>
    </row>
    <row r="1330" ht="25" customHeight="1" spans="1:14">
      <c r="A1330" s="9" t="s">
        <v>472</v>
      </c>
      <c r="B1330" s="9" t="s">
        <v>471</v>
      </c>
      <c r="C1330" s="10">
        <v>46225</v>
      </c>
      <c r="D1330" s="15">
        <v>1.0124</v>
      </c>
      <c r="E1330" s="15">
        <v>1.089</v>
      </c>
      <c r="F1330" s="15">
        <v>1.0899</v>
      </c>
      <c r="G1330" s="11">
        <v>0.0002</v>
      </c>
      <c r="H1330" s="9">
        <f>MAX($F$1080:F1330)</f>
        <v>1.0899</v>
      </c>
      <c r="I1330" s="11">
        <f t="shared" si="30"/>
        <v>0</v>
      </c>
      <c r="J1330" s="9">
        <f>MAX($F$1120:F1330)</f>
        <v>1.0899</v>
      </c>
      <c r="K1330" s="11">
        <f t="shared" si="31"/>
        <v>0</v>
      </c>
      <c r="L1330" s="9"/>
      <c r="M1330" s="11"/>
      <c r="N1330" s="9" t="s">
        <v>815</v>
      </c>
    </row>
    <row r="1331" ht="25" customHeight="1" spans="1:14">
      <c r="A1331" s="9" t="s">
        <v>472</v>
      </c>
      <c r="B1331" s="9" t="s">
        <v>471</v>
      </c>
      <c r="C1331" s="10">
        <v>46226</v>
      </c>
      <c r="D1331" s="15">
        <v>1.013</v>
      </c>
      <c r="E1331" s="15">
        <v>1.0896</v>
      </c>
      <c r="F1331" s="15">
        <v>1.0906</v>
      </c>
      <c r="G1331" s="11">
        <v>0.0006</v>
      </c>
      <c r="H1331" s="9">
        <f>MAX($F$1080:F1331)</f>
        <v>1.0906</v>
      </c>
      <c r="I1331" s="11">
        <f t="shared" si="30"/>
        <v>0</v>
      </c>
      <c r="J1331" s="9">
        <f>MAX($F$1120:F1331)</f>
        <v>1.0906</v>
      </c>
      <c r="K1331" s="11">
        <f t="shared" si="31"/>
        <v>0</v>
      </c>
      <c r="L1331" s="9"/>
      <c r="M1331" s="11"/>
      <c r="N1331" s="9" t="s">
        <v>815</v>
      </c>
    </row>
    <row r="1332" ht="25" customHeight="1" spans="1:14">
      <c r="A1332" s="9" t="s">
        <v>472</v>
      </c>
      <c r="B1332" s="9" t="s">
        <v>471</v>
      </c>
      <c r="C1332" s="10">
        <v>46227</v>
      </c>
      <c r="D1332" s="15">
        <v>1.0139</v>
      </c>
      <c r="E1332" s="15">
        <v>1.0905</v>
      </c>
      <c r="F1332" s="15">
        <v>1.0916</v>
      </c>
      <c r="G1332" s="11">
        <v>0.0009</v>
      </c>
      <c r="H1332" s="9">
        <f>MAX($F$1080:F1332)</f>
        <v>1.0916</v>
      </c>
      <c r="I1332" s="11">
        <f t="shared" si="30"/>
        <v>0</v>
      </c>
      <c r="J1332" s="9">
        <f>MAX($F$1120:F1332)</f>
        <v>1.0916</v>
      </c>
      <c r="K1332" s="11">
        <f t="shared" si="31"/>
        <v>0</v>
      </c>
      <c r="L1332" s="9"/>
      <c r="M1332" s="11"/>
      <c r="N1332" s="9" t="s">
        <v>815</v>
      </c>
    </row>
    <row r="1333" ht="25" customHeight="1" spans="1:14">
      <c r="A1333" s="9" t="s">
        <v>472</v>
      </c>
      <c r="B1333" s="9" t="s">
        <v>471</v>
      </c>
      <c r="C1333" s="10">
        <v>46230</v>
      </c>
      <c r="D1333" s="15">
        <v>1.0153</v>
      </c>
      <c r="E1333" s="15">
        <v>1.0919</v>
      </c>
      <c r="F1333" s="15">
        <v>1.0931</v>
      </c>
      <c r="G1333" s="11">
        <v>0.0014</v>
      </c>
      <c r="H1333" s="9">
        <f>MAX($F$1080:F1333)</f>
        <v>1.0931</v>
      </c>
      <c r="I1333" s="11">
        <f t="shared" si="30"/>
        <v>0</v>
      </c>
      <c r="J1333" s="9">
        <f>MAX($F$1120:F1333)</f>
        <v>1.0931</v>
      </c>
      <c r="K1333" s="11">
        <f t="shared" si="31"/>
        <v>0</v>
      </c>
      <c r="L1333" s="9"/>
      <c r="M1333" s="11"/>
      <c r="N1333" s="9" t="s">
        <v>815</v>
      </c>
    </row>
    <row r="1334" ht="25" customHeight="1" spans="1:14">
      <c r="A1334" s="9" t="s">
        <v>472</v>
      </c>
      <c r="B1334" s="9" t="s">
        <v>471</v>
      </c>
      <c r="C1334" s="10">
        <v>46231</v>
      </c>
      <c r="D1334" s="15">
        <v>1.0166</v>
      </c>
      <c r="E1334" s="15">
        <v>1.0932</v>
      </c>
      <c r="F1334" s="15">
        <v>1.0945</v>
      </c>
      <c r="G1334" s="11">
        <v>0.0013</v>
      </c>
      <c r="H1334" s="9">
        <f>MAX($F$1080:F1334)</f>
        <v>1.0945</v>
      </c>
      <c r="I1334" s="11">
        <f t="shared" si="30"/>
        <v>0</v>
      </c>
      <c r="J1334" s="9">
        <f>MAX($F$1120:F1334)</f>
        <v>1.0945</v>
      </c>
      <c r="K1334" s="11">
        <f t="shared" si="31"/>
        <v>0</v>
      </c>
      <c r="L1334" s="9"/>
      <c r="M1334" s="11"/>
      <c r="N1334" s="9" t="s">
        <v>815</v>
      </c>
    </row>
    <row r="1335" ht="25" customHeight="1" spans="1:14">
      <c r="A1335" s="9" t="s">
        <v>472</v>
      </c>
      <c r="B1335" s="9" t="s">
        <v>471</v>
      </c>
      <c r="C1335" s="10">
        <v>46232</v>
      </c>
      <c r="D1335" s="15">
        <v>1.0166</v>
      </c>
      <c r="E1335" s="15">
        <v>1.0932</v>
      </c>
      <c r="F1335" s="15">
        <v>1.0945</v>
      </c>
      <c r="G1335" s="11">
        <v>0</v>
      </c>
      <c r="H1335" s="9">
        <f>MAX($F$1080:F1335)</f>
        <v>1.0945</v>
      </c>
      <c r="I1335" s="11">
        <f t="shared" si="30"/>
        <v>0</v>
      </c>
      <c r="J1335" s="9">
        <f>MAX($F$1120:F1335)</f>
        <v>1.0945</v>
      </c>
      <c r="K1335" s="11">
        <f t="shared" si="31"/>
        <v>0</v>
      </c>
      <c r="L1335" s="9"/>
      <c r="M1335" s="11"/>
      <c r="N1335" s="9" t="s">
        <v>815</v>
      </c>
    </row>
    <row r="1336" ht="25" customHeight="1" spans="1:14">
      <c r="A1336" s="9" t="s">
        <v>472</v>
      </c>
      <c r="B1336" s="9" t="s">
        <v>471</v>
      </c>
      <c r="C1336" s="10">
        <v>46233</v>
      </c>
      <c r="D1336" s="15">
        <v>1.0174</v>
      </c>
      <c r="E1336" s="15">
        <v>1.094</v>
      </c>
      <c r="F1336" s="15">
        <v>1.0953</v>
      </c>
      <c r="G1336" s="11">
        <v>0.0008</v>
      </c>
      <c r="H1336" s="9">
        <f>MAX($F$1080:F1336)</f>
        <v>1.0953</v>
      </c>
      <c r="I1336" s="11">
        <f t="shared" si="30"/>
        <v>0</v>
      </c>
      <c r="J1336" s="9">
        <f>MAX($F$1120:F1336)</f>
        <v>1.0953</v>
      </c>
      <c r="K1336" s="11">
        <f t="shared" si="31"/>
        <v>0</v>
      </c>
      <c r="L1336" s="9"/>
      <c r="M1336" s="11"/>
      <c r="N1336" s="9" t="s">
        <v>815</v>
      </c>
    </row>
    <row r="1337" ht="25" customHeight="1" spans="1:14">
      <c r="A1337" s="9" t="s">
        <v>472</v>
      </c>
      <c r="B1337" s="9" t="s">
        <v>471</v>
      </c>
      <c r="C1337" s="10">
        <v>46234</v>
      </c>
      <c r="D1337" s="15">
        <v>1.0166</v>
      </c>
      <c r="E1337" s="15">
        <v>1.0932</v>
      </c>
      <c r="F1337" s="15">
        <v>1.0945</v>
      </c>
      <c r="G1337" s="11">
        <v>-0.0008</v>
      </c>
      <c r="H1337" s="9">
        <f>MAX($F$1080:F1337)</f>
        <v>1.0953</v>
      </c>
      <c r="I1337" s="11">
        <f t="shared" si="30"/>
        <v>0.000730393499497772</v>
      </c>
      <c r="J1337" s="9">
        <f>MAX($F$1120:F1337)</f>
        <v>1.0953</v>
      </c>
      <c r="K1337" s="11">
        <f t="shared" si="31"/>
        <v>0.000730393499497772</v>
      </c>
      <c r="L1337" s="9"/>
      <c r="M1337" s="11"/>
      <c r="N1337" s="9" t="s">
        <v>815</v>
      </c>
    </row>
    <row r="1338" ht="25" customHeight="1" spans="1:14">
      <c r="A1338" s="9" t="s">
        <v>472</v>
      </c>
      <c r="B1338" s="9" t="s">
        <v>471</v>
      </c>
      <c r="C1338" s="10">
        <v>46237</v>
      </c>
      <c r="D1338" s="15">
        <v>1.016</v>
      </c>
      <c r="E1338" s="15">
        <v>1.0926</v>
      </c>
      <c r="F1338" s="15">
        <v>1.0938</v>
      </c>
      <c r="G1338" s="11">
        <v>-0.0006</v>
      </c>
      <c r="H1338" s="9">
        <f>MAX($F$1080:F1338)</f>
        <v>1.0953</v>
      </c>
      <c r="I1338" s="11">
        <f t="shared" si="30"/>
        <v>0.00136948781155832</v>
      </c>
      <c r="J1338" s="9">
        <f>MAX($F$1120:F1338)</f>
        <v>1.0953</v>
      </c>
      <c r="K1338" s="11">
        <f t="shared" si="31"/>
        <v>0.00136948781155832</v>
      </c>
      <c r="L1338" s="9"/>
      <c r="M1338" s="11"/>
      <c r="N1338" s="9" t="s">
        <v>815</v>
      </c>
    </row>
    <row r="1339" ht="25" customHeight="1" spans="1:14">
      <c r="A1339" s="9" t="s">
        <v>472</v>
      </c>
      <c r="B1339" s="9" t="s">
        <v>471</v>
      </c>
      <c r="C1339" s="10">
        <v>46238</v>
      </c>
      <c r="D1339" s="15">
        <v>1.0157</v>
      </c>
      <c r="E1339" s="15">
        <v>1.0923</v>
      </c>
      <c r="F1339" s="15">
        <v>1.0935</v>
      </c>
      <c r="G1339" s="11">
        <v>-0.0003</v>
      </c>
      <c r="H1339" s="9">
        <f>MAX($F$1080:F1339)</f>
        <v>1.0953</v>
      </c>
      <c r="I1339" s="11">
        <f t="shared" si="30"/>
        <v>0.00164338537387021</v>
      </c>
      <c r="J1339" s="9">
        <f>MAX($F$1120:F1339)</f>
        <v>1.0953</v>
      </c>
      <c r="K1339" s="11">
        <f t="shared" si="31"/>
        <v>0.00164338537387021</v>
      </c>
      <c r="L1339" s="9"/>
      <c r="M1339" s="11"/>
      <c r="N1339" s="9" t="s">
        <v>815</v>
      </c>
    </row>
    <row r="1340" ht="25" customHeight="1" spans="1:14">
      <c r="A1340" s="9" t="s">
        <v>472</v>
      </c>
      <c r="B1340" s="9" t="s">
        <v>471</v>
      </c>
      <c r="C1340" s="10">
        <v>46239</v>
      </c>
      <c r="D1340" s="15">
        <v>1.016</v>
      </c>
      <c r="E1340" s="15">
        <v>1.0926</v>
      </c>
      <c r="F1340" s="15">
        <v>1.0938</v>
      </c>
      <c r="G1340" s="11">
        <v>0.0003</v>
      </c>
      <c r="H1340" s="9">
        <f>MAX($F$1080:F1340)</f>
        <v>1.0953</v>
      </c>
      <c r="I1340" s="11">
        <f t="shared" si="30"/>
        <v>0.00136948781155832</v>
      </c>
      <c r="J1340" s="9">
        <f>MAX($F$1120:F1340)</f>
        <v>1.0953</v>
      </c>
      <c r="K1340" s="11">
        <f t="shared" si="31"/>
        <v>0.00136948781155832</v>
      </c>
      <c r="L1340" s="9"/>
      <c r="M1340" s="11"/>
      <c r="N1340" s="9" t="s">
        <v>815</v>
      </c>
    </row>
    <row r="1341" ht="25" customHeight="1" spans="1:14">
      <c r="A1341" s="9" t="s">
        <v>472</v>
      </c>
      <c r="B1341" s="9" t="s">
        <v>471</v>
      </c>
      <c r="C1341" s="10">
        <v>46240</v>
      </c>
      <c r="D1341" s="15">
        <v>1.0165</v>
      </c>
      <c r="E1341" s="15">
        <v>1.0931</v>
      </c>
      <c r="F1341" s="15">
        <v>1.0944</v>
      </c>
      <c r="G1341" s="11">
        <v>0.0005</v>
      </c>
      <c r="H1341" s="9">
        <f>MAX($F$1080:F1341)</f>
        <v>1.0953</v>
      </c>
      <c r="I1341" s="11">
        <f t="shared" si="30"/>
        <v>0.000821692686934994</v>
      </c>
      <c r="J1341" s="9">
        <f>MAX($F$1120:F1341)</f>
        <v>1.0953</v>
      </c>
      <c r="K1341" s="11">
        <f t="shared" si="31"/>
        <v>0.000821692686934994</v>
      </c>
      <c r="L1341" s="9"/>
      <c r="M1341" s="11"/>
      <c r="N1341" s="9" t="s">
        <v>815</v>
      </c>
    </row>
    <row r="1342" ht="25" customHeight="1" spans="1:14">
      <c r="A1342" s="9" t="s">
        <v>472</v>
      </c>
      <c r="B1342" s="9" t="s">
        <v>471</v>
      </c>
      <c r="C1342" s="10">
        <v>46241</v>
      </c>
      <c r="D1342" s="15">
        <v>1.0169</v>
      </c>
      <c r="E1342" s="15">
        <v>1.0935</v>
      </c>
      <c r="F1342" s="15">
        <v>1.0948</v>
      </c>
      <c r="G1342" s="11">
        <v>0.0004</v>
      </c>
      <c r="H1342" s="9">
        <f>MAX($F$1080:F1342)</f>
        <v>1.0953</v>
      </c>
      <c r="I1342" s="11">
        <f t="shared" si="30"/>
        <v>0.000456495937186108</v>
      </c>
      <c r="J1342" s="9">
        <f>MAX($F$1120:F1342)</f>
        <v>1.0953</v>
      </c>
      <c r="K1342" s="11">
        <f t="shared" si="31"/>
        <v>0.000456495937186108</v>
      </c>
      <c r="L1342" s="9"/>
      <c r="M1342" s="11"/>
      <c r="N1342" s="9" t="s">
        <v>815</v>
      </c>
    </row>
    <row r="1343" ht="25" customHeight="1" spans="1:14">
      <c r="A1343" s="9" t="s">
        <v>472</v>
      </c>
      <c r="B1343" s="9" t="s">
        <v>471</v>
      </c>
      <c r="C1343" s="10">
        <v>46244</v>
      </c>
      <c r="D1343" s="15">
        <v>1.0172</v>
      </c>
      <c r="E1343" s="15">
        <v>1.0938</v>
      </c>
      <c r="F1343" s="15">
        <v>1.0951</v>
      </c>
      <c r="G1343" s="11">
        <v>0.0003</v>
      </c>
      <c r="H1343" s="9">
        <f>MAX($F$1080:F1343)</f>
        <v>1.0953</v>
      </c>
      <c r="I1343" s="11">
        <f t="shared" si="30"/>
        <v>0.000182598374874443</v>
      </c>
      <c r="J1343" s="9">
        <f>MAX($F$1120:F1343)</f>
        <v>1.0953</v>
      </c>
      <c r="K1343" s="11">
        <f t="shared" si="31"/>
        <v>0.000182598374874443</v>
      </c>
      <c r="L1343" s="9"/>
      <c r="M1343" s="11"/>
      <c r="N1343" s="9" t="s">
        <v>815</v>
      </c>
    </row>
    <row r="1344" ht="25" customHeight="1" spans="1:14">
      <c r="A1344" s="9" t="s">
        <v>472</v>
      </c>
      <c r="B1344" s="9" t="s">
        <v>471</v>
      </c>
      <c r="C1344" s="10">
        <v>46245</v>
      </c>
      <c r="D1344" s="15">
        <v>1.0173</v>
      </c>
      <c r="E1344" s="15">
        <v>1.0939</v>
      </c>
      <c r="F1344" s="15">
        <v>1.0952</v>
      </c>
      <c r="G1344" s="11">
        <v>0.0001</v>
      </c>
      <c r="H1344" s="9">
        <f>MAX($F$1080:F1344)</f>
        <v>1.0953</v>
      </c>
      <c r="I1344" s="11">
        <f t="shared" si="30"/>
        <v>9.12991874372215e-5</v>
      </c>
      <c r="J1344" s="9">
        <f>MAX($F$1120:F1344)</f>
        <v>1.0953</v>
      </c>
      <c r="K1344" s="11">
        <f t="shared" si="31"/>
        <v>9.12991874372215e-5</v>
      </c>
      <c r="L1344" s="9"/>
      <c r="M1344" s="11"/>
      <c r="N1344" s="9" t="s">
        <v>815</v>
      </c>
    </row>
    <row r="1345" ht="25" customHeight="1" spans="1:14">
      <c r="A1345" s="9" t="s">
        <v>472</v>
      </c>
      <c r="B1345" s="9" t="s">
        <v>471</v>
      </c>
      <c r="C1345" s="10">
        <v>46246</v>
      </c>
      <c r="D1345" s="15">
        <v>1.0176</v>
      </c>
      <c r="E1345" s="15">
        <v>1.0942</v>
      </c>
      <c r="F1345" s="15">
        <v>1.0955</v>
      </c>
      <c r="G1345" s="11">
        <v>0.0003</v>
      </c>
      <c r="H1345" s="9">
        <f>MAX($F$1080:F1345)</f>
        <v>1.0955</v>
      </c>
      <c r="I1345" s="11">
        <f t="shared" si="30"/>
        <v>0</v>
      </c>
      <c r="J1345" s="9">
        <f>MAX($F$1120:F1345)</f>
        <v>1.0955</v>
      </c>
      <c r="K1345" s="11">
        <f t="shared" si="31"/>
        <v>0</v>
      </c>
      <c r="L1345" s="9"/>
      <c r="M1345" s="11"/>
      <c r="N1345" s="9" t="s">
        <v>815</v>
      </c>
    </row>
    <row r="1346" ht="25" customHeight="1" spans="1:14">
      <c r="A1346" s="9" t="s">
        <v>472</v>
      </c>
      <c r="B1346" s="9" t="s">
        <v>471</v>
      </c>
      <c r="C1346" s="10">
        <v>46247</v>
      </c>
      <c r="D1346" s="15">
        <v>1.0177</v>
      </c>
      <c r="E1346" s="15">
        <v>1.0943</v>
      </c>
      <c r="F1346" s="15">
        <v>1.0957</v>
      </c>
      <c r="G1346" s="11">
        <v>0.0001</v>
      </c>
      <c r="H1346" s="9">
        <f>MAX($F$1080:F1346)</f>
        <v>1.0957</v>
      </c>
      <c r="I1346" s="11">
        <f t="shared" ref="I1346:I1409" si="32">1-F1346/H1346</f>
        <v>0</v>
      </c>
      <c r="J1346" s="9">
        <f>MAX($F$1120:F1346)</f>
        <v>1.0957</v>
      </c>
      <c r="K1346" s="11">
        <f t="shared" si="31"/>
        <v>0</v>
      </c>
      <c r="L1346" s="9"/>
      <c r="M1346" s="11"/>
      <c r="N1346" s="9" t="s">
        <v>815</v>
      </c>
    </row>
    <row r="1347" ht="25" customHeight="1" spans="1:14">
      <c r="A1347" s="9" t="s">
        <v>472</v>
      </c>
      <c r="B1347" s="9" t="s">
        <v>471</v>
      </c>
      <c r="C1347" s="10">
        <v>46248</v>
      </c>
      <c r="D1347" s="15">
        <v>1.0181</v>
      </c>
      <c r="E1347" s="15">
        <v>1.0947</v>
      </c>
      <c r="F1347" s="15">
        <v>1.0961</v>
      </c>
      <c r="G1347" s="11">
        <v>0.0004</v>
      </c>
      <c r="H1347" s="9">
        <f>MAX($F$1080:F1347)</f>
        <v>1.0961</v>
      </c>
      <c r="I1347" s="11">
        <f t="shared" si="32"/>
        <v>0</v>
      </c>
      <c r="J1347" s="9">
        <f>MAX($F$1120:F1347)</f>
        <v>1.0961</v>
      </c>
      <c r="K1347" s="11">
        <f t="shared" si="31"/>
        <v>0</v>
      </c>
      <c r="L1347" s="9"/>
      <c r="M1347" s="11"/>
      <c r="N1347" s="9" t="s">
        <v>815</v>
      </c>
    </row>
    <row r="1348" ht="25" customHeight="1" spans="1:14">
      <c r="A1348" s="9" t="s">
        <v>472</v>
      </c>
      <c r="B1348" s="9" t="s">
        <v>471</v>
      </c>
      <c r="C1348" s="10">
        <v>46251</v>
      </c>
      <c r="D1348" s="15">
        <v>1.0188</v>
      </c>
      <c r="E1348" s="15">
        <v>1.0954</v>
      </c>
      <c r="F1348" s="15">
        <v>1.0968</v>
      </c>
      <c r="G1348" s="11">
        <v>0.0007</v>
      </c>
      <c r="H1348" s="9">
        <f>MAX($F$1080:F1348)</f>
        <v>1.0968</v>
      </c>
      <c r="I1348" s="11">
        <f t="shared" si="32"/>
        <v>0</v>
      </c>
      <c r="J1348" s="9">
        <f>MAX($F$1120:F1348)</f>
        <v>1.0968</v>
      </c>
      <c r="K1348" s="11">
        <f t="shared" si="31"/>
        <v>0</v>
      </c>
      <c r="L1348" s="9"/>
      <c r="M1348" s="11"/>
      <c r="N1348" s="9" t="s">
        <v>815</v>
      </c>
    </row>
    <row r="1349" ht="25" customHeight="1" spans="1:14">
      <c r="A1349" s="9" t="s">
        <v>472</v>
      </c>
      <c r="B1349" s="9" t="s">
        <v>471</v>
      </c>
      <c r="C1349" s="10">
        <v>46252</v>
      </c>
      <c r="D1349" s="15">
        <v>1.0189</v>
      </c>
      <c r="E1349" s="15">
        <v>1.0955</v>
      </c>
      <c r="F1349" s="15">
        <v>1.0969</v>
      </c>
      <c r="G1349" s="11">
        <v>0.0001</v>
      </c>
      <c r="H1349" s="9">
        <f>MAX($F$1080:F1349)</f>
        <v>1.0969</v>
      </c>
      <c r="I1349" s="11">
        <f t="shared" si="32"/>
        <v>0</v>
      </c>
      <c r="J1349" s="9">
        <f>MAX($F$1120:F1349)</f>
        <v>1.0969</v>
      </c>
      <c r="K1349" s="11">
        <f t="shared" si="31"/>
        <v>0</v>
      </c>
      <c r="L1349" s="9"/>
      <c r="M1349" s="11"/>
      <c r="N1349" s="9" t="s">
        <v>815</v>
      </c>
    </row>
    <row r="1350" ht="25" customHeight="1" spans="1:14">
      <c r="A1350" s="9" t="s">
        <v>472</v>
      </c>
      <c r="B1350" s="9" t="s">
        <v>471</v>
      </c>
      <c r="C1350" s="10">
        <v>46253</v>
      </c>
      <c r="D1350" s="15">
        <v>1.0182</v>
      </c>
      <c r="E1350" s="15">
        <v>1.0948</v>
      </c>
      <c r="F1350" s="15">
        <v>1.0962</v>
      </c>
      <c r="G1350" s="11">
        <v>-0.0007</v>
      </c>
      <c r="H1350" s="9">
        <f>MAX($F$1080:F1350)</f>
        <v>1.0969</v>
      </c>
      <c r="I1350" s="11">
        <f t="shared" si="32"/>
        <v>0.000638162093171579</v>
      </c>
      <c r="J1350" s="9">
        <f>MAX($F$1120:F1350)</f>
        <v>1.0969</v>
      </c>
      <c r="K1350" s="11">
        <f t="shared" si="31"/>
        <v>0.000638162093171579</v>
      </c>
      <c r="L1350" s="9"/>
      <c r="M1350" s="11"/>
      <c r="N1350" s="9" t="s">
        <v>815</v>
      </c>
    </row>
    <row r="1351" ht="25" customHeight="1" spans="1:14">
      <c r="A1351" s="9" t="s">
        <v>472</v>
      </c>
      <c r="B1351" s="9" t="s">
        <v>471</v>
      </c>
      <c r="C1351" s="10">
        <v>46254</v>
      </c>
      <c r="D1351" s="15">
        <v>1.0184</v>
      </c>
      <c r="E1351" s="15">
        <v>1.095</v>
      </c>
      <c r="F1351" s="15">
        <v>1.0964</v>
      </c>
      <c r="G1351" s="11">
        <v>0.0002</v>
      </c>
      <c r="H1351" s="9">
        <f>MAX($F$1080:F1351)</f>
        <v>1.0969</v>
      </c>
      <c r="I1351" s="11">
        <f t="shared" si="32"/>
        <v>0.000455830066551144</v>
      </c>
      <c r="J1351" s="9">
        <f>MAX($F$1120:F1351)</f>
        <v>1.0969</v>
      </c>
      <c r="K1351" s="11">
        <f t="shared" si="31"/>
        <v>0.000455830066551144</v>
      </c>
      <c r="L1351" s="9"/>
      <c r="M1351" s="11"/>
      <c r="N1351" s="9" t="s">
        <v>815</v>
      </c>
    </row>
    <row r="1352" ht="25" customHeight="1" spans="1:14">
      <c r="A1352" s="9" t="s">
        <v>472</v>
      </c>
      <c r="B1352" s="9" t="s">
        <v>471</v>
      </c>
      <c r="C1352" s="10">
        <v>46255</v>
      </c>
      <c r="D1352" s="15">
        <v>1.0182</v>
      </c>
      <c r="E1352" s="15">
        <v>1.0948</v>
      </c>
      <c r="F1352" s="15">
        <v>1.0962</v>
      </c>
      <c r="G1352" s="11">
        <v>-0.0002</v>
      </c>
      <c r="H1352" s="9">
        <f>MAX($F$1080:F1352)</f>
        <v>1.0969</v>
      </c>
      <c r="I1352" s="11">
        <f t="shared" si="32"/>
        <v>0.000638162093171579</v>
      </c>
      <c r="J1352" s="9">
        <f>MAX($F$1120:F1352)</f>
        <v>1.0969</v>
      </c>
      <c r="K1352" s="11">
        <f t="shared" si="31"/>
        <v>0.000638162093171579</v>
      </c>
      <c r="L1352" s="9"/>
      <c r="M1352" s="11"/>
      <c r="N1352" s="9" t="s">
        <v>815</v>
      </c>
    </row>
    <row r="1353" ht="25" customHeight="1" spans="1:14">
      <c r="A1353" s="9" t="s">
        <v>472</v>
      </c>
      <c r="B1353" s="9" t="s">
        <v>471</v>
      </c>
      <c r="C1353" s="10">
        <v>46258</v>
      </c>
      <c r="D1353" s="15">
        <v>1.0182</v>
      </c>
      <c r="E1353" s="15">
        <v>1.0948</v>
      </c>
      <c r="F1353" s="15">
        <v>1.0962</v>
      </c>
      <c r="G1353" s="11">
        <v>0</v>
      </c>
      <c r="H1353" s="9">
        <f>MAX($F$1080:F1353)</f>
        <v>1.0969</v>
      </c>
      <c r="I1353" s="11">
        <f t="shared" si="32"/>
        <v>0.000638162093171579</v>
      </c>
      <c r="J1353" s="9">
        <f>MAX($F$1120:F1353)</f>
        <v>1.0969</v>
      </c>
      <c r="K1353" s="11">
        <f t="shared" si="31"/>
        <v>0.000638162093171579</v>
      </c>
      <c r="L1353" s="9"/>
      <c r="M1353" s="11"/>
      <c r="N1353" s="9" t="s">
        <v>815</v>
      </c>
    </row>
    <row r="1354" ht="25" customHeight="1" spans="1:14">
      <c r="A1354" s="9" t="s">
        <v>472</v>
      </c>
      <c r="B1354" s="9" t="s">
        <v>471</v>
      </c>
      <c r="C1354" s="10">
        <v>46259</v>
      </c>
      <c r="D1354" s="15">
        <v>1.0173</v>
      </c>
      <c r="E1354" s="15">
        <v>1.0939</v>
      </c>
      <c r="F1354" s="15">
        <v>1.0952</v>
      </c>
      <c r="G1354" s="11">
        <v>-0.0009</v>
      </c>
      <c r="H1354" s="9">
        <f>MAX($F$1080:F1354)</f>
        <v>1.0969</v>
      </c>
      <c r="I1354" s="11">
        <f t="shared" si="32"/>
        <v>0.00154982222627409</v>
      </c>
      <c r="J1354" s="9">
        <f>MAX($F$1120:F1354)</f>
        <v>1.0969</v>
      </c>
      <c r="K1354" s="11">
        <f t="shared" si="31"/>
        <v>0.00154982222627409</v>
      </c>
      <c r="L1354" s="9"/>
      <c r="M1354" s="11"/>
      <c r="N1354" s="9" t="s">
        <v>815</v>
      </c>
    </row>
    <row r="1355" ht="25" customHeight="1" spans="1:14">
      <c r="A1355" s="9" t="s">
        <v>472</v>
      </c>
      <c r="B1355" s="9" t="s">
        <v>471</v>
      </c>
      <c r="C1355" s="10">
        <v>46260</v>
      </c>
      <c r="D1355" s="15">
        <v>1.0174</v>
      </c>
      <c r="E1355" s="15">
        <v>1.094</v>
      </c>
      <c r="F1355" s="15">
        <v>1.0953</v>
      </c>
      <c r="G1355" s="11">
        <v>0.0001</v>
      </c>
      <c r="H1355" s="9">
        <f>MAX($F$1080:F1355)</f>
        <v>1.0969</v>
      </c>
      <c r="I1355" s="11">
        <f t="shared" si="32"/>
        <v>0.00145865621296382</v>
      </c>
      <c r="J1355" s="9">
        <f>MAX($F$1120:F1355)</f>
        <v>1.0969</v>
      </c>
      <c r="K1355" s="11">
        <f t="shared" si="31"/>
        <v>0.00145865621296382</v>
      </c>
      <c r="L1355" s="9"/>
      <c r="M1355" s="11"/>
      <c r="N1355" s="9" t="s">
        <v>815</v>
      </c>
    </row>
    <row r="1356" ht="25" customHeight="1" spans="1:14">
      <c r="A1356" s="9" t="s">
        <v>472</v>
      </c>
      <c r="B1356" s="9" t="s">
        <v>471</v>
      </c>
      <c r="C1356" s="10">
        <v>46261</v>
      </c>
      <c r="D1356" s="15">
        <v>1.0178</v>
      </c>
      <c r="E1356" s="15">
        <v>1.0944</v>
      </c>
      <c r="F1356" s="15">
        <v>1.0958</v>
      </c>
      <c r="G1356" s="11">
        <v>0.0004</v>
      </c>
      <c r="H1356" s="9">
        <f>MAX($F$1080:F1356)</f>
        <v>1.0969</v>
      </c>
      <c r="I1356" s="11">
        <f t="shared" si="32"/>
        <v>0.00100282614641256</v>
      </c>
      <c r="J1356" s="9">
        <f>MAX($F$1120:F1356)</f>
        <v>1.0969</v>
      </c>
      <c r="K1356" s="11">
        <f t="shared" si="31"/>
        <v>0.00100282614641256</v>
      </c>
      <c r="L1356" s="9"/>
      <c r="M1356" s="11"/>
      <c r="N1356" s="9" t="s">
        <v>815</v>
      </c>
    </row>
    <row r="1357" ht="25" customHeight="1" spans="1:14">
      <c r="A1357" s="9" t="s">
        <v>472</v>
      </c>
      <c r="B1357" s="9" t="s">
        <v>471</v>
      </c>
      <c r="C1357" s="10">
        <v>46262</v>
      </c>
      <c r="D1357" s="15">
        <v>1.0184</v>
      </c>
      <c r="E1357" s="15">
        <v>1.095</v>
      </c>
      <c r="F1357" s="15">
        <v>1.0964</v>
      </c>
      <c r="G1357" s="11">
        <v>0.0006</v>
      </c>
      <c r="H1357" s="9">
        <f>MAX($F$1080:F1357)</f>
        <v>1.0969</v>
      </c>
      <c r="I1357" s="11">
        <f t="shared" si="32"/>
        <v>0.000455830066551144</v>
      </c>
      <c r="J1357" s="9">
        <f>MAX($F$1120:F1357)</f>
        <v>1.0969</v>
      </c>
      <c r="K1357" s="11">
        <f t="shared" si="31"/>
        <v>0.000455830066551144</v>
      </c>
      <c r="L1357" s="9"/>
      <c r="M1357" s="11"/>
      <c r="N1357" s="9" t="s">
        <v>815</v>
      </c>
    </row>
    <row r="1358" ht="25" customHeight="1" spans="1:14">
      <c r="A1358" s="9" t="s">
        <v>472</v>
      </c>
      <c r="B1358" s="9" t="s">
        <v>471</v>
      </c>
      <c r="C1358" s="10">
        <v>46265</v>
      </c>
      <c r="D1358" s="15">
        <v>1.0189</v>
      </c>
      <c r="E1358" s="15">
        <v>1.0955</v>
      </c>
      <c r="F1358" s="15">
        <v>1.0969</v>
      </c>
      <c r="G1358" s="11">
        <v>0.0005</v>
      </c>
      <c r="H1358" s="9">
        <f>MAX($F$1080:F1358)</f>
        <v>1.0969</v>
      </c>
      <c r="I1358" s="11">
        <f t="shared" si="32"/>
        <v>0</v>
      </c>
      <c r="J1358" s="9">
        <f>MAX($F$1120:F1358)</f>
        <v>1.0969</v>
      </c>
      <c r="K1358" s="11">
        <f t="shared" si="31"/>
        <v>0</v>
      </c>
      <c r="L1358" s="9"/>
      <c r="M1358" s="11"/>
      <c r="N1358" s="9" t="s">
        <v>815</v>
      </c>
    </row>
    <row r="1359" ht="25" customHeight="1" spans="1:14">
      <c r="A1359" s="9" t="s">
        <v>472</v>
      </c>
      <c r="B1359" s="9" t="s">
        <v>471</v>
      </c>
      <c r="C1359" s="10">
        <v>46266</v>
      </c>
      <c r="D1359" s="15">
        <v>1.0192</v>
      </c>
      <c r="E1359" s="15">
        <v>1.0958</v>
      </c>
      <c r="F1359" s="15">
        <v>1.0973</v>
      </c>
      <c r="G1359" s="11">
        <v>0.0003</v>
      </c>
      <c r="H1359" s="9">
        <f>MAX($F$1080:F1359)</f>
        <v>1.0973</v>
      </c>
      <c r="I1359" s="11">
        <f t="shared" si="32"/>
        <v>0</v>
      </c>
      <c r="J1359" s="9">
        <f>MAX($F$1120:F1359)</f>
        <v>1.0973</v>
      </c>
      <c r="K1359" s="11">
        <f t="shared" si="31"/>
        <v>0</v>
      </c>
      <c r="L1359" s="9"/>
      <c r="M1359" s="11"/>
      <c r="N1359" s="9" t="s">
        <v>815</v>
      </c>
    </row>
    <row r="1360" ht="25" customHeight="1" spans="1:14">
      <c r="A1360" s="9" t="s">
        <v>472</v>
      </c>
      <c r="B1360" s="9" t="s">
        <v>471</v>
      </c>
      <c r="C1360" s="10">
        <v>46267</v>
      </c>
      <c r="D1360" s="15">
        <v>1.0189</v>
      </c>
      <c r="E1360" s="15">
        <v>1.0955</v>
      </c>
      <c r="F1360" s="15">
        <v>1.0969</v>
      </c>
      <c r="G1360" s="11">
        <v>-0.0003</v>
      </c>
      <c r="H1360" s="9">
        <f>MAX($F$1080:F1360)</f>
        <v>1.0973</v>
      </c>
      <c r="I1360" s="11">
        <f t="shared" si="32"/>
        <v>0.000364531121844536</v>
      </c>
      <c r="J1360" s="9">
        <f>MAX($F$1120:F1360)</f>
        <v>1.0973</v>
      </c>
      <c r="K1360" s="11">
        <f t="shared" si="31"/>
        <v>0.000364531121844536</v>
      </c>
      <c r="L1360" s="9"/>
      <c r="M1360" s="11"/>
      <c r="N1360" s="9" t="s">
        <v>815</v>
      </c>
    </row>
    <row r="1361" ht="25" customHeight="1" spans="1:14">
      <c r="A1361" s="9" t="s">
        <v>472</v>
      </c>
      <c r="B1361" s="9" t="s">
        <v>471</v>
      </c>
      <c r="C1361" s="10">
        <v>46268</v>
      </c>
      <c r="D1361" s="15">
        <v>1.0193</v>
      </c>
      <c r="E1361" s="15">
        <v>1.0959</v>
      </c>
      <c r="F1361" s="15">
        <v>1.0974</v>
      </c>
      <c r="G1361" s="11">
        <v>0.0004</v>
      </c>
      <c r="H1361" s="9">
        <f>MAX($F$1080:F1361)</f>
        <v>1.0974</v>
      </c>
      <c r="I1361" s="11">
        <f t="shared" si="32"/>
        <v>0</v>
      </c>
      <c r="J1361" s="9">
        <f>MAX($F$1120:F1361)</f>
        <v>1.0974</v>
      </c>
      <c r="K1361" s="11">
        <f t="shared" si="31"/>
        <v>0</v>
      </c>
      <c r="L1361" s="9"/>
      <c r="M1361" s="11"/>
      <c r="N1361" s="9" t="s">
        <v>815</v>
      </c>
    </row>
    <row r="1362" ht="25" customHeight="1" spans="1:14">
      <c r="A1362" s="9" t="s">
        <v>472</v>
      </c>
      <c r="B1362" s="9" t="s">
        <v>471</v>
      </c>
      <c r="C1362" s="10">
        <v>46269</v>
      </c>
      <c r="D1362" s="15">
        <v>1.0197</v>
      </c>
      <c r="E1362" s="15">
        <v>1.0963</v>
      </c>
      <c r="F1362" s="15">
        <v>1.0978</v>
      </c>
      <c r="G1362" s="11">
        <v>0.0004</v>
      </c>
      <c r="H1362" s="9">
        <f>MAX($F$1080:F1362)</f>
        <v>1.0978</v>
      </c>
      <c r="I1362" s="11">
        <f t="shared" si="32"/>
        <v>0</v>
      </c>
      <c r="J1362" s="9">
        <f>MAX($F$1120:F1362)</f>
        <v>1.0978</v>
      </c>
      <c r="K1362" s="11">
        <f t="shared" si="31"/>
        <v>0</v>
      </c>
      <c r="L1362" s="9"/>
      <c r="M1362" s="11"/>
      <c r="N1362" s="9" t="s">
        <v>815</v>
      </c>
    </row>
    <row r="1363" ht="25" customHeight="1" spans="1:14">
      <c r="A1363" s="9" t="s">
        <v>472</v>
      </c>
      <c r="B1363" s="9" t="s">
        <v>471</v>
      </c>
      <c r="C1363" s="10">
        <v>46272</v>
      </c>
      <c r="D1363" s="15">
        <v>1.0197</v>
      </c>
      <c r="E1363" s="15">
        <v>1.0963</v>
      </c>
      <c r="F1363" s="15">
        <v>1.0978</v>
      </c>
      <c r="G1363" s="11">
        <v>0</v>
      </c>
      <c r="H1363" s="9">
        <f>MAX($F$1080:F1363)</f>
        <v>1.0978</v>
      </c>
      <c r="I1363" s="11">
        <f t="shared" si="32"/>
        <v>0</v>
      </c>
      <c r="J1363" s="9"/>
      <c r="K1363" s="11"/>
      <c r="L1363" s="9"/>
      <c r="M1363" s="11"/>
      <c r="N1363" s="9" t="s">
        <v>815</v>
      </c>
    </row>
    <row r="1364" ht="25" customHeight="1" spans="1:14">
      <c r="A1364" s="9" t="s">
        <v>472</v>
      </c>
      <c r="B1364" s="9" t="s">
        <v>471</v>
      </c>
      <c r="C1364" s="10">
        <v>46273</v>
      </c>
      <c r="D1364" s="15">
        <v>1.0197</v>
      </c>
      <c r="E1364" s="15">
        <v>1.0963</v>
      </c>
      <c r="F1364" s="15">
        <v>1.0978</v>
      </c>
      <c r="G1364" s="11">
        <v>0</v>
      </c>
      <c r="H1364" s="9">
        <f>MAX($F$1080:F1364)</f>
        <v>1.0978</v>
      </c>
      <c r="I1364" s="11">
        <f t="shared" si="32"/>
        <v>0</v>
      </c>
      <c r="J1364" s="9"/>
      <c r="K1364" s="11"/>
      <c r="L1364" s="9"/>
      <c r="M1364" s="11"/>
      <c r="N1364" s="9" t="s">
        <v>815</v>
      </c>
    </row>
    <row r="1365" ht="25" customHeight="1" spans="1:14">
      <c r="A1365" s="9" t="s">
        <v>472</v>
      </c>
      <c r="B1365" s="9" t="s">
        <v>471</v>
      </c>
      <c r="C1365" s="10">
        <v>46274</v>
      </c>
      <c r="D1365" s="15">
        <v>1.0196</v>
      </c>
      <c r="E1365" s="15">
        <v>1.0962</v>
      </c>
      <c r="F1365" s="15">
        <v>1.0977</v>
      </c>
      <c r="G1365" s="11">
        <v>-0.0001</v>
      </c>
      <c r="H1365" s="9">
        <f>MAX($F$1080:F1365)</f>
        <v>1.0978</v>
      </c>
      <c r="I1365" s="11">
        <f t="shared" si="32"/>
        <v>9.10912734561897e-5</v>
      </c>
      <c r="J1365" s="9"/>
      <c r="K1365" s="11"/>
      <c r="L1365" s="9"/>
      <c r="M1365" s="11"/>
      <c r="N1365" s="9" t="s">
        <v>815</v>
      </c>
    </row>
    <row r="1366" ht="25" customHeight="1" spans="1:14">
      <c r="A1366" s="9" t="s">
        <v>90</v>
      </c>
      <c r="B1366" s="9" t="s">
        <v>88</v>
      </c>
      <c r="C1366" s="10">
        <v>44288</v>
      </c>
      <c r="D1366" s="15">
        <v>1</v>
      </c>
      <c r="E1366" s="15">
        <v>1</v>
      </c>
      <c r="F1366" s="15">
        <v>1</v>
      </c>
      <c r="G1366" s="11"/>
      <c r="H1366" s="9">
        <f>MAX($F$1366:F1366)</f>
        <v>1</v>
      </c>
      <c r="I1366" s="11">
        <f t="shared" si="32"/>
        <v>0</v>
      </c>
      <c r="J1366" s="9"/>
      <c r="K1366" s="11"/>
      <c r="L1366" s="9"/>
      <c r="M1366" s="11"/>
      <c r="N1366" s="9" t="s">
        <v>793</v>
      </c>
    </row>
    <row r="1367" ht="25" customHeight="1" spans="1:14">
      <c r="A1367" s="9" t="s">
        <v>90</v>
      </c>
      <c r="B1367" s="9" t="s">
        <v>88</v>
      </c>
      <c r="C1367" s="10">
        <v>44295</v>
      </c>
      <c r="D1367" s="15">
        <v>0.9999</v>
      </c>
      <c r="E1367" s="15">
        <v>0.9999</v>
      </c>
      <c r="F1367" s="15">
        <v>0.9999</v>
      </c>
      <c r="G1367" s="11">
        <v>-0.0001</v>
      </c>
      <c r="H1367" s="9">
        <f>MAX($F$1366:F1367)</f>
        <v>1</v>
      </c>
      <c r="I1367" s="11">
        <f t="shared" si="32"/>
        <v>9.9999999999989e-5</v>
      </c>
      <c r="J1367" s="9"/>
      <c r="K1367" s="11"/>
      <c r="L1367" s="9"/>
      <c r="M1367" s="11"/>
      <c r="N1367" s="9" t="s">
        <v>793</v>
      </c>
    </row>
    <row r="1368" ht="25" customHeight="1" spans="1:14">
      <c r="A1368" s="9" t="s">
        <v>90</v>
      </c>
      <c r="B1368" s="9" t="s">
        <v>88</v>
      </c>
      <c r="C1368" s="10">
        <v>44302</v>
      </c>
      <c r="D1368" s="15">
        <v>0.9997</v>
      </c>
      <c r="E1368" s="15">
        <v>0.9997</v>
      </c>
      <c r="F1368" s="15">
        <v>0.9997</v>
      </c>
      <c r="G1368" s="11">
        <v>-0.0002</v>
      </c>
      <c r="H1368" s="9">
        <f>MAX($F$1366:F1368)</f>
        <v>1</v>
      </c>
      <c r="I1368" s="11">
        <f t="shared" si="32"/>
        <v>0.000299999999999967</v>
      </c>
      <c r="J1368" s="9"/>
      <c r="K1368" s="11"/>
      <c r="L1368" s="9"/>
      <c r="M1368" s="11"/>
      <c r="N1368" s="9" t="s">
        <v>793</v>
      </c>
    </row>
    <row r="1369" ht="25" customHeight="1" spans="1:14">
      <c r="A1369" s="9" t="s">
        <v>90</v>
      </c>
      <c r="B1369" s="9" t="s">
        <v>88</v>
      </c>
      <c r="C1369" s="10">
        <v>44309</v>
      </c>
      <c r="D1369" s="15">
        <v>0.9996</v>
      </c>
      <c r="E1369" s="15">
        <v>0.9996</v>
      </c>
      <c r="F1369" s="15">
        <v>0.9996</v>
      </c>
      <c r="G1369" s="11">
        <v>-0.0001</v>
      </c>
      <c r="H1369" s="9">
        <f>MAX($F$1366:F1369)</f>
        <v>1</v>
      </c>
      <c r="I1369" s="11">
        <f t="shared" si="32"/>
        <v>0.000399999999999956</v>
      </c>
      <c r="J1369" s="9"/>
      <c r="K1369" s="11"/>
      <c r="L1369" s="9"/>
      <c r="M1369" s="11"/>
      <c r="N1369" s="9" t="s">
        <v>793</v>
      </c>
    </row>
    <row r="1370" ht="25" customHeight="1" spans="1:14">
      <c r="A1370" s="9" t="s">
        <v>90</v>
      </c>
      <c r="B1370" s="9" t="s">
        <v>88</v>
      </c>
      <c r="C1370" s="10">
        <v>44316</v>
      </c>
      <c r="D1370" s="15">
        <v>1.0008</v>
      </c>
      <c r="E1370" s="15">
        <v>1.0008</v>
      </c>
      <c r="F1370" s="15">
        <v>1.0008</v>
      </c>
      <c r="G1370" s="11">
        <v>0.0012</v>
      </c>
      <c r="H1370" s="9">
        <f>MAX($F$1366:F1370)</f>
        <v>1.0008</v>
      </c>
      <c r="I1370" s="11">
        <f t="shared" si="32"/>
        <v>0</v>
      </c>
      <c r="J1370" s="9"/>
      <c r="K1370" s="11"/>
      <c r="L1370" s="9"/>
      <c r="M1370" s="11"/>
      <c r="N1370" s="9" t="s">
        <v>793</v>
      </c>
    </row>
    <row r="1371" ht="25" customHeight="1" spans="1:14">
      <c r="A1371" s="9" t="s">
        <v>90</v>
      </c>
      <c r="B1371" s="9" t="s">
        <v>88</v>
      </c>
      <c r="C1371" s="10">
        <v>44323</v>
      </c>
      <c r="D1371" s="15">
        <v>1.0006</v>
      </c>
      <c r="E1371" s="15">
        <v>1.0006</v>
      </c>
      <c r="F1371" s="15">
        <v>1.0006</v>
      </c>
      <c r="G1371" s="11">
        <v>-0.0002</v>
      </c>
      <c r="H1371" s="9">
        <f>MAX($F$1366:F1371)</f>
        <v>1.0008</v>
      </c>
      <c r="I1371" s="11">
        <f t="shared" si="32"/>
        <v>0.000199840127897644</v>
      </c>
      <c r="J1371" s="9"/>
      <c r="K1371" s="11"/>
      <c r="L1371" s="9"/>
      <c r="M1371" s="11"/>
      <c r="N1371" s="9" t="s">
        <v>793</v>
      </c>
    </row>
    <row r="1372" ht="25" customHeight="1" spans="1:14">
      <c r="A1372" s="9" t="s">
        <v>90</v>
      </c>
      <c r="B1372" s="9" t="s">
        <v>88</v>
      </c>
      <c r="C1372" s="10">
        <v>44330</v>
      </c>
      <c r="D1372" s="15">
        <v>1.0027</v>
      </c>
      <c r="E1372" s="15">
        <v>1.0027</v>
      </c>
      <c r="F1372" s="15">
        <v>1.0027</v>
      </c>
      <c r="G1372" s="11">
        <v>0.0021</v>
      </c>
      <c r="H1372" s="9">
        <f>MAX($F$1366:F1372)</f>
        <v>1.0027</v>
      </c>
      <c r="I1372" s="11">
        <f t="shared" si="32"/>
        <v>0</v>
      </c>
      <c r="J1372" s="9"/>
      <c r="K1372" s="11"/>
      <c r="L1372" s="9"/>
      <c r="M1372" s="11"/>
      <c r="N1372" s="9" t="s">
        <v>793</v>
      </c>
    </row>
    <row r="1373" ht="25" customHeight="1" spans="1:14">
      <c r="A1373" s="9" t="s">
        <v>90</v>
      </c>
      <c r="B1373" s="9" t="s">
        <v>88</v>
      </c>
      <c r="C1373" s="10">
        <v>44337</v>
      </c>
      <c r="D1373" s="15">
        <v>1.004</v>
      </c>
      <c r="E1373" s="15">
        <v>1.004</v>
      </c>
      <c r="F1373" s="15">
        <v>1.004</v>
      </c>
      <c r="G1373" s="11">
        <v>0.0013</v>
      </c>
      <c r="H1373" s="9">
        <f>MAX($F$1366:F1373)</f>
        <v>1.004</v>
      </c>
      <c r="I1373" s="11">
        <f t="shared" si="32"/>
        <v>0</v>
      </c>
      <c r="J1373" s="9"/>
      <c r="K1373" s="11"/>
      <c r="L1373" s="9"/>
      <c r="M1373" s="11"/>
      <c r="N1373" s="9" t="s">
        <v>793</v>
      </c>
    </row>
    <row r="1374" ht="25" customHeight="1" spans="1:14">
      <c r="A1374" s="9" t="s">
        <v>90</v>
      </c>
      <c r="B1374" s="9" t="s">
        <v>88</v>
      </c>
      <c r="C1374" s="10">
        <v>44344</v>
      </c>
      <c r="D1374" s="15">
        <v>1.0045</v>
      </c>
      <c r="E1374" s="15">
        <v>1.0045</v>
      </c>
      <c r="F1374" s="15">
        <v>1.0045</v>
      </c>
      <c r="G1374" s="11">
        <v>0.0005</v>
      </c>
      <c r="H1374" s="9">
        <f>MAX($F$1366:F1374)</f>
        <v>1.0045</v>
      </c>
      <c r="I1374" s="11">
        <f t="shared" si="32"/>
        <v>0</v>
      </c>
      <c r="J1374" s="9"/>
      <c r="K1374" s="11"/>
      <c r="L1374" s="9"/>
      <c r="M1374" s="11"/>
      <c r="N1374" s="9" t="s">
        <v>793</v>
      </c>
    </row>
    <row r="1375" ht="25" customHeight="1" spans="1:14">
      <c r="A1375" s="9" t="s">
        <v>90</v>
      </c>
      <c r="B1375" s="9" t="s">
        <v>88</v>
      </c>
      <c r="C1375" s="10">
        <v>44351</v>
      </c>
      <c r="D1375" s="15">
        <v>1.0067</v>
      </c>
      <c r="E1375" s="15">
        <v>1.0067</v>
      </c>
      <c r="F1375" s="15">
        <v>1.0067</v>
      </c>
      <c r="G1375" s="11">
        <v>0.0022</v>
      </c>
      <c r="H1375" s="9">
        <f>MAX($F$1366:F1375)</f>
        <v>1.0067</v>
      </c>
      <c r="I1375" s="11">
        <f t="shared" si="32"/>
        <v>0</v>
      </c>
      <c r="J1375" s="9"/>
      <c r="K1375" s="11"/>
      <c r="L1375" s="9"/>
      <c r="M1375" s="11"/>
      <c r="N1375" s="9" t="s">
        <v>793</v>
      </c>
    </row>
    <row r="1376" ht="25" customHeight="1" spans="1:14">
      <c r="A1376" s="9" t="s">
        <v>90</v>
      </c>
      <c r="B1376" s="9" t="s">
        <v>88</v>
      </c>
      <c r="C1376" s="10">
        <v>44358</v>
      </c>
      <c r="D1376" s="15">
        <v>1.0084</v>
      </c>
      <c r="E1376" s="15">
        <v>1.0084</v>
      </c>
      <c r="F1376" s="15">
        <v>1.0084</v>
      </c>
      <c r="G1376" s="11">
        <v>0.0017</v>
      </c>
      <c r="H1376" s="9">
        <f>MAX($F$1366:F1376)</f>
        <v>1.0084</v>
      </c>
      <c r="I1376" s="11">
        <f t="shared" si="32"/>
        <v>0</v>
      </c>
      <c r="J1376" s="9"/>
      <c r="K1376" s="11"/>
      <c r="L1376" s="9"/>
      <c r="M1376" s="11"/>
      <c r="N1376" s="9" t="s">
        <v>793</v>
      </c>
    </row>
    <row r="1377" ht="25" customHeight="1" spans="1:14">
      <c r="A1377" s="9" t="s">
        <v>90</v>
      </c>
      <c r="B1377" s="9" t="s">
        <v>88</v>
      </c>
      <c r="C1377" s="10">
        <v>44365</v>
      </c>
      <c r="D1377" s="15">
        <v>1.0095</v>
      </c>
      <c r="E1377" s="15">
        <v>1.0095</v>
      </c>
      <c r="F1377" s="15">
        <v>1.0095</v>
      </c>
      <c r="G1377" s="11">
        <v>0.0011</v>
      </c>
      <c r="H1377" s="9">
        <f>MAX($F$1366:F1377)</f>
        <v>1.0095</v>
      </c>
      <c r="I1377" s="11">
        <f t="shared" si="32"/>
        <v>0</v>
      </c>
      <c r="J1377" s="9"/>
      <c r="K1377" s="11"/>
      <c r="L1377" s="9"/>
      <c r="M1377" s="11"/>
      <c r="N1377" s="9" t="s">
        <v>793</v>
      </c>
    </row>
    <row r="1378" ht="25" customHeight="1" spans="1:14">
      <c r="A1378" s="9" t="s">
        <v>90</v>
      </c>
      <c r="B1378" s="9" t="s">
        <v>88</v>
      </c>
      <c r="C1378" s="10">
        <v>44372</v>
      </c>
      <c r="D1378" s="15">
        <v>1.0091</v>
      </c>
      <c r="E1378" s="15">
        <v>1.0091</v>
      </c>
      <c r="F1378" s="15">
        <v>1.0091</v>
      </c>
      <c r="G1378" s="11">
        <v>-0.0004</v>
      </c>
      <c r="H1378" s="9">
        <f>MAX($F$1366:F1378)</f>
        <v>1.0095</v>
      </c>
      <c r="I1378" s="11">
        <f t="shared" si="32"/>
        <v>0.000396235760277364</v>
      </c>
      <c r="J1378" s="9"/>
      <c r="K1378" s="11"/>
      <c r="L1378" s="9"/>
      <c r="M1378" s="11"/>
      <c r="N1378" s="9" t="s">
        <v>793</v>
      </c>
    </row>
    <row r="1379" ht="25" customHeight="1" spans="1:14">
      <c r="A1379" s="9" t="s">
        <v>90</v>
      </c>
      <c r="B1379" s="9" t="s">
        <v>88</v>
      </c>
      <c r="C1379" s="10">
        <v>44379</v>
      </c>
      <c r="D1379" s="15">
        <v>1.009</v>
      </c>
      <c r="E1379" s="15">
        <v>1.009</v>
      </c>
      <c r="F1379" s="15">
        <v>1.009</v>
      </c>
      <c r="G1379" s="11">
        <v>-0.0001</v>
      </c>
      <c r="H1379" s="9">
        <f>MAX($F$1366:F1379)</f>
        <v>1.0095</v>
      </c>
      <c r="I1379" s="11">
        <f t="shared" si="32"/>
        <v>0.000495294700346927</v>
      </c>
      <c r="J1379" s="9"/>
      <c r="K1379" s="11"/>
      <c r="L1379" s="9"/>
      <c r="M1379" s="11"/>
      <c r="N1379" s="9" t="s">
        <v>793</v>
      </c>
    </row>
    <row r="1380" ht="25" customHeight="1" spans="1:14">
      <c r="A1380" s="9" t="s">
        <v>90</v>
      </c>
      <c r="B1380" s="9" t="s">
        <v>88</v>
      </c>
      <c r="C1380" s="10">
        <v>44386</v>
      </c>
      <c r="D1380" s="15">
        <v>1.0114</v>
      </c>
      <c r="E1380" s="15">
        <v>1.0114</v>
      </c>
      <c r="F1380" s="15">
        <v>1.0114</v>
      </c>
      <c r="G1380" s="11">
        <v>0.0024</v>
      </c>
      <c r="H1380" s="9">
        <f>MAX($F$1366:F1380)</f>
        <v>1.0114</v>
      </c>
      <c r="I1380" s="11">
        <f t="shared" si="32"/>
        <v>0</v>
      </c>
      <c r="J1380" s="9"/>
      <c r="K1380" s="11"/>
      <c r="L1380" s="9"/>
      <c r="M1380" s="11"/>
      <c r="N1380" s="9" t="s">
        <v>793</v>
      </c>
    </row>
    <row r="1381" ht="25" customHeight="1" spans="1:14">
      <c r="A1381" s="9" t="s">
        <v>90</v>
      </c>
      <c r="B1381" s="9" t="s">
        <v>88</v>
      </c>
      <c r="C1381" s="10">
        <v>44393</v>
      </c>
      <c r="D1381" s="15">
        <v>1.0165</v>
      </c>
      <c r="E1381" s="15">
        <v>1.0165</v>
      </c>
      <c r="F1381" s="15">
        <v>1.0165</v>
      </c>
      <c r="G1381" s="11">
        <v>0.005</v>
      </c>
      <c r="H1381" s="9">
        <f>MAX($F$1366:F1381)</f>
        <v>1.0165</v>
      </c>
      <c r="I1381" s="11">
        <f t="shared" si="32"/>
        <v>0</v>
      </c>
      <c r="J1381" s="9"/>
      <c r="K1381" s="11"/>
      <c r="L1381" s="9"/>
      <c r="M1381" s="11"/>
      <c r="N1381" s="9" t="s">
        <v>793</v>
      </c>
    </row>
    <row r="1382" ht="25" customHeight="1" spans="1:14">
      <c r="A1382" s="9" t="s">
        <v>90</v>
      </c>
      <c r="B1382" s="9" t="s">
        <v>88</v>
      </c>
      <c r="C1382" s="10">
        <v>44400</v>
      </c>
      <c r="D1382" s="15">
        <v>1.0187</v>
      </c>
      <c r="E1382" s="15">
        <v>1.0187</v>
      </c>
      <c r="F1382" s="15">
        <v>1.0187</v>
      </c>
      <c r="G1382" s="11">
        <v>0.0022</v>
      </c>
      <c r="H1382" s="9">
        <f>MAX($F$1366:F1382)</f>
        <v>1.0187</v>
      </c>
      <c r="I1382" s="11">
        <f t="shared" si="32"/>
        <v>0</v>
      </c>
      <c r="J1382" s="9"/>
      <c r="K1382" s="11"/>
      <c r="L1382" s="9"/>
      <c r="M1382" s="11"/>
      <c r="N1382" s="9" t="s">
        <v>793</v>
      </c>
    </row>
    <row r="1383" ht="25" customHeight="1" spans="1:14">
      <c r="A1383" s="9" t="s">
        <v>90</v>
      </c>
      <c r="B1383" s="9" t="s">
        <v>88</v>
      </c>
      <c r="C1383" s="10">
        <v>44407</v>
      </c>
      <c r="D1383" s="15">
        <v>1.0209</v>
      </c>
      <c r="E1383" s="15">
        <v>1.0209</v>
      </c>
      <c r="F1383" s="15">
        <v>1.0209</v>
      </c>
      <c r="G1383" s="11">
        <v>0.0022</v>
      </c>
      <c r="H1383" s="9">
        <f>MAX($F$1366:F1383)</f>
        <v>1.0209</v>
      </c>
      <c r="I1383" s="11">
        <f t="shared" si="32"/>
        <v>0</v>
      </c>
      <c r="J1383" s="9"/>
      <c r="K1383" s="11"/>
      <c r="L1383" s="9"/>
      <c r="M1383" s="11"/>
      <c r="N1383" s="9" t="s">
        <v>793</v>
      </c>
    </row>
    <row r="1384" ht="25" customHeight="1" spans="1:14">
      <c r="A1384" s="9" t="s">
        <v>90</v>
      </c>
      <c r="B1384" s="9" t="s">
        <v>88</v>
      </c>
      <c r="C1384" s="10">
        <v>44414</v>
      </c>
      <c r="D1384" s="15">
        <v>1.0239</v>
      </c>
      <c r="E1384" s="15">
        <v>1.0239</v>
      </c>
      <c r="F1384" s="15">
        <v>1.0239</v>
      </c>
      <c r="G1384" s="11">
        <v>0.0029</v>
      </c>
      <c r="H1384" s="9">
        <f>MAX($F$1366:F1384)</f>
        <v>1.0239</v>
      </c>
      <c r="I1384" s="11">
        <f t="shared" si="32"/>
        <v>0</v>
      </c>
      <c r="J1384" s="9"/>
      <c r="K1384" s="11"/>
      <c r="L1384" s="9"/>
      <c r="M1384" s="11"/>
      <c r="N1384" s="9" t="s">
        <v>793</v>
      </c>
    </row>
    <row r="1385" ht="25" customHeight="1" spans="1:14">
      <c r="A1385" s="9" t="s">
        <v>90</v>
      </c>
      <c r="B1385" s="9" t="s">
        <v>88</v>
      </c>
      <c r="C1385" s="10">
        <v>44421</v>
      </c>
      <c r="D1385" s="15">
        <v>1.0229</v>
      </c>
      <c r="E1385" s="15">
        <v>1.0229</v>
      </c>
      <c r="F1385" s="15">
        <v>1.0229</v>
      </c>
      <c r="G1385" s="11">
        <v>-0.001</v>
      </c>
      <c r="H1385" s="9">
        <f>MAX($F$1366:F1385)</f>
        <v>1.0239</v>
      </c>
      <c r="I1385" s="11">
        <f t="shared" si="32"/>
        <v>0.000976657876745834</v>
      </c>
      <c r="J1385" s="9"/>
      <c r="K1385" s="11"/>
      <c r="L1385" s="9"/>
      <c r="M1385" s="11"/>
      <c r="N1385" s="9" t="s">
        <v>793</v>
      </c>
    </row>
    <row r="1386" ht="25" customHeight="1" spans="1:14">
      <c r="A1386" s="9" t="s">
        <v>90</v>
      </c>
      <c r="B1386" s="9" t="s">
        <v>88</v>
      </c>
      <c r="C1386" s="10">
        <v>44428</v>
      </c>
      <c r="D1386" s="15">
        <v>1.0244</v>
      </c>
      <c r="E1386" s="15">
        <v>1.0244</v>
      </c>
      <c r="F1386" s="15">
        <v>1.0244</v>
      </c>
      <c r="G1386" s="11">
        <v>0.0015</v>
      </c>
      <c r="H1386" s="9">
        <f>MAX($F$1366:F1386)</f>
        <v>1.0244</v>
      </c>
      <c r="I1386" s="11">
        <f t="shared" si="32"/>
        <v>0</v>
      </c>
      <c r="J1386" s="9"/>
      <c r="K1386" s="11"/>
      <c r="L1386" s="9"/>
      <c r="M1386" s="11"/>
      <c r="N1386" s="9" t="s">
        <v>793</v>
      </c>
    </row>
    <row r="1387" ht="25" customHeight="1" spans="1:14">
      <c r="A1387" s="9" t="s">
        <v>90</v>
      </c>
      <c r="B1387" s="9" t="s">
        <v>88</v>
      </c>
      <c r="C1387" s="10">
        <v>44435</v>
      </c>
      <c r="D1387" s="15">
        <v>1.0239</v>
      </c>
      <c r="E1387" s="15">
        <v>1.0239</v>
      </c>
      <c r="F1387" s="15">
        <v>1.0239</v>
      </c>
      <c r="G1387" s="11">
        <v>-0.0005</v>
      </c>
      <c r="H1387" s="9">
        <f>MAX($F$1366:F1387)</f>
        <v>1.0244</v>
      </c>
      <c r="I1387" s="11">
        <f t="shared" si="32"/>
        <v>0.00048809058961341</v>
      </c>
      <c r="J1387" s="9"/>
      <c r="K1387" s="11"/>
      <c r="L1387" s="9"/>
      <c r="M1387" s="11"/>
      <c r="N1387" s="9" t="s">
        <v>793</v>
      </c>
    </row>
    <row r="1388" ht="25" customHeight="1" spans="1:14">
      <c r="A1388" s="9" t="s">
        <v>90</v>
      </c>
      <c r="B1388" s="9" t="s">
        <v>88</v>
      </c>
      <c r="C1388" s="10">
        <v>44442</v>
      </c>
      <c r="D1388" s="15">
        <v>1.0238</v>
      </c>
      <c r="E1388" s="15">
        <v>1.0238</v>
      </c>
      <c r="F1388" s="15">
        <v>1.0238</v>
      </c>
      <c r="G1388" s="11">
        <v>-0.0001</v>
      </c>
      <c r="H1388" s="9">
        <f>MAX($F$1366:F1388)</f>
        <v>1.0244</v>
      </c>
      <c r="I1388" s="11">
        <f t="shared" si="32"/>
        <v>0.000585708707536048</v>
      </c>
      <c r="J1388" s="9"/>
      <c r="K1388" s="11"/>
      <c r="L1388" s="9"/>
      <c r="M1388" s="11"/>
      <c r="N1388" s="9" t="s">
        <v>793</v>
      </c>
    </row>
    <row r="1389" ht="25" customHeight="1" spans="1:14">
      <c r="A1389" s="9" t="s">
        <v>90</v>
      </c>
      <c r="B1389" s="9" t="s">
        <v>88</v>
      </c>
      <c r="C1389" s="10">
        <v>44449</v>
      </c>
      <c r="D1389" s="15">
        <v>1.0211</v>
      </c>
      <c r="E1389" s="15">
        <v>1.0211</v>
      </c>
      <c r="F1389" s="15">
        <v>1.0211</v>
      </c>
      <c r="G1389" s="11">
        <v>-0.0026</v>
      </c>
      <c r="H1389" s="9">
        <f>MAX($F$1366:F1389)</f>
        <v>1.0244</v>
      </c>
      <c r="I1389" s="11">
        <f t="shared" si="32"/>
        <v>0.00322139789144871</v>
      </c>
      <c r="J1389" s="9"/>
      <c r="K1389" s="11"/>
      <c r="L1389" s="9"/>
      <c r="M1389" s="11"/>
      <c r="N1389" s="9" t="s">
        <v>793</v>
      </c>
    </row>
    <row r="1390" ht="25" customHeight="1" spans="1:14">
      <c r="A1390" s="9" t="s">
        <v>90</v>
      </c>
      <c r="B1390" s="9" t="s">
        <v>88</v>
      </c>
      <c r="C1390" s="10">
        <v>44456</v>
      </c>
      <c r="D1390" s="15">
        <v>1.0281</v>
      </c>
      <c r="E1390" s="15">
        <v>1.0281</v>
      </c>
      <c r="F1390" s="15">
        <v>1.0281</v>
      </c>
      <c r="G1390" s="11">
        <v>0.0069</v>
      </c>
      <c r="H1390" s="9">
        <f>MAX($F$1366:F1390)</f>
        <v>1.0281</v>
      </c>
      <c r="I1390" s="11">
        <f t="shared" si="32"/>
        <v>0</v>
      </c>
      <c r="J1390" s="9"/>
      <c r="K1390" s="11"/>
      <c r="L1390" s="9"/>
      <c r="M1390" s="11"/>
      <c r="N1390" s="9" t="s">
        <v>793</v>
      </c>
    </row>
    <row r="1391" ht="25" customHeight="1" spans="1:14">
      <c r="A1391" s="9" t="s">
        <v>90</v>
      </c>
      <c r="B1391" s="9" t="s">
        <v>88</v>
      </c>
      <c r="C1391" s="10">
        <v>44463</v>
      </c>
      <c r="D1391" s="15">
        <v>1.0294</v>
      </c>
      <c r="E1391" s="15">
        <v>1.0294</v>
      </c>
      <c r="F1391" s="15">
        <v>1.0294</v>
      </c>
      <c r="G1391" s="11">
        <v>0.0013</v>
      </c>
      <c r="H1391" s="9">
        <f>MAX($F$1366:F1391)</f>
        <v>1.0294</v>
      </c>
      <c r="I1391" s="11">
        <f t="shared" si="32"/>
        <v>0</v>
      </c>
      <c r="J1391" s="9"/>
      <c r="K1391" s="11"/>
      <c r="L1391" s="9"/>
      <c r="M1391" s="11"/>
      <c r="N1391" s="9" t="s">
        <v>793</v>
      </c>
    </row>
    <row r="1392" ht="25" customHeight="1" spans="1:14">
      <c r="A1392" s="9" t="s">
        <v>90</v>
      </c>
      <c r="B1392" s="9" t="s">
        <v>88</v>
      </c>
      <c r="C1392" s="10">
        <v>44469</v>
      </c>
      <c r="D1392" s="15">
        <v>1.0275</v>
      </c>
      <c r="E1392" s="15">
        <v>1.0275</v>
      </c>
      <c r="F1392" s="15">
        <v>1.0275</v>
      </c>
      <c r="G1392" s="11">
        <v>-0.0018</v>
      </c>
      <c r="H1392" s="9">
        <f>MAX($F$1366:F1392)</f>
        <v>1.0294</v>
      </c>
      <c r="I1392" s="11">
        <f t="shared" si="32"/>
        <v>0.0018457353798329</v>
      </c>
      <c r="J1392" s="9"/>
      <c r="K1392" s="11"/>
      <c r="L1392" s="9"/>
      <c r="M1392" s="11"/>
      <c r="N1392" s="9" t="s">
        <v>793</v>
      </c>
    </row>
    <row r="1393" ht="25" customHeight="1" spans="1:14">
      <c r="A1393" s="9" t="s">
        <v>90</v>
      </c>
      <c r="B1393" s="9" t="s">
        <v>88</v>
      </c>
      <c r="C1393" s="10">
        <v>44477</v>
      </c>
      <c r="D1393" s="15">
        <v>1.0283</v>
      </c>
      <c r="E1393" s="15">
        <v>1.0283</v>
      </c>
      <c r="F1393" s="15">
        <v>1.0283</v>
      </c>
      <c r="G1393" s="11">
        <v>0.0008</v>
      </c>
      <c r="H1393" s="9">
        <f>MAX($F$1366:F1393)</f>
        <v>1.0294</v>
      </c>
      <c r="I1393" s="11">
        <f t="shared" si="32"/>
        <v>0.00106858364095597</v>
      </c>
      <c r="J1393" s="9"/>
      <c r="K1393" s="11"/>
      <c r="L1393" s="9"/>
      <c r="M1393" s="11"/>
      <c r="N1393" s="9" t="s">
        <v>793</v>
      </c>
    </row>
    <row r="1394" ht="25" customHeight="1" spans="1:14">
      <c r="A1394" s="9" t="s">
        <v>90</v>
      </c>
      <c r="B1394" s="9" t="s">
        <v>88</v>
      </c>
      <c r="C1394" s="10">
        <v>44484</v>
      </c>
      <c r="D1394" s="15">
        <v>1.0323</v>
      </c>
      <c r="E1394" s="15">
        <v>1.0323</v>
      </c>
      <c r="F1394" s="15">
        <v>1.0323</v>
      </c>
      <c r="G1394" s="11">
        <v>0.0039</v>
      </c>
      <c r="H1394" s="9">
        <f>MAX($F$1366:F1394)</f>
        <v>1.0323</v>
      </c>
      <c r="I1394" s="11">
        <f t="shared" si="32"/>
        <v>0</v>
      </c>
      <c r="J1394" s="9"/>
      <c r="K1394" s="11"/>
      <c r="L1394" s="9"/>
      <c r="M1394" s="11"/>
      <c r="N1394" s="9" t="s">
        <v>793</v>
      </c>
    </row>
    <row r="1395" ht="25" customHeight="1" spans="1:14">
      <c r="A1395" s="9" t="s">
        <v>90</v>
      </c>
      <c r="B1395" s="9" t="s">
        <v>88</v>
      </c>
      <c r="C1395" s="10">
        <v>44491</v>
      </c>
      <c r="D1395" s="15">
        <v>1.0363</v>
      </c>
      <c r="E1395" s="15">
        <v>1.0363</v>
      </c>
      <c r="F1395" s="15">
        <v>1.0363</v>
      </c>
      <c r="G1395" s="11">
        <v>0.0039</v>
      </c>
      <c r="H1395" s="9">
        <f>MAX($F$1366:F1395)</f>
        <v>1.0363</v>
      </c>
      <c r="I1395" s="11">
        <f t="shared" si="32"/>
        <v>0</v>
      </c>
      <c r="J1395" s="9"/>
      <c r="K1395" s="11"/>
      <c r="L1395" s="9"/>
      <c r="M1395" s="11"/>
      <c r="N1395" s="9" t="s">
        <v>793</v>
      </c>
    </row>
    <row r="1396" ht="25" customHeight="1" spans="1:14">
      <c r="A1396" s="9" t="s">
        <v>90</v>
      </c>
      <c r="B1396" s="9" t="s">
        <v>88</v>
      </c>
      <c r="C1396" s="10">
        <v>44498</v>
      </c>
      <c r="D1396" s="15">
        <v>1.0375</v>
      </c>
      <c r="E1396" s="15">
        <v>1.0375</v>
      </c>
      <c r="F1396" s="15">
        <v>1.0375</v>
      </c>
      <c r="G1396" s="11">
        <v>0.0012</v>
      </c>
      <c r="H1396" s="9">
        <f>MAX($F$1366:F1396)</f>
        <v>1.0375</v>
      </c>
      <c r="I1396" s="11">
        <f t="shared" si="32"/>
        <v>0</v>
      </c>
      <c r="J1396" s="9"/>
      <c r="K1396" s="11"/>
      <c r="L1396" s="9"/>
      <c r="M1396" s="11"/>
      <c r="N1396" s="9" t="s">
        <v>793</v>
      </c>
    </row>
    <row r="1397" ht="25" customHeight="1" spans="1:14">
      <c r="A1397" s="9" t="s">
        <v>90</v>
      </c>
      <c r="B1397" s="9" t="s">
        <v>88</v>
      </c>
      <c r="C1397" s="10">
        <v>44505</v>
      </c>
      <c r="D1397" s="15">
        <v>1.0404</v>
      </c>
      <c r="E1397" s="15">
        <v>1.0404</v>
      </c>
      <c r="F1397" s="15">
        <v>1.0404</v>
      </c>
      <c r="G1397" s="11">
        <v>0.0028</v>
      </c>
      <c r="H1397" s="9">
        <f>MAX($F$1366:F1397)</f>
        <v>1.0404</v>
      </c>
      <c r="I1397" s="11">
        <f t="shared" si="32"/>
        <v>0</v>
      </c>
      <c r="J1397" s="9"/>
      <c r="K1397" s="11"/>
      <c r="L1397" s="9"/>
      <c r="M1397" s="11"/>
      <c r="N1397" s="9" t="s">
        <v>793</v>
      </c>
    </row>
    <row r="1398" ht="25" customHeight="1" spans="1:14">
      <c r="A1398" s="9" t="s">
        <v>90</v>
      </c>
      <c r="B1398" s="9" t="s">
        <v>88</v>
      </c>
      <c r="C1398" s="10">
        <v>44512</v>
      </c>
      <c r="D1398" s="15">
        <v>1.0426</v>
      </c>
      <c r="E1398" s="15">
        <v>1.0426</v>
      </c>
      <c r="F1398" s="15">
        <v>1.0426</v>
      </c>
      <c r="G1398" s="11">
        <v>0.0021</v>
      </c>
      <c r="H1398" s="9">
        <f>MAX($F$1366:F1398)</f>
        <v>1.0426</v>
      </c>
      <c r="I1398" s="11">
        <f t="shared" si="32"/>
        <v>0</v>
      </c>
      <c r="J1398" s="9"/>
      <c r="K1398" s="11"/>
      <c r="L1398" s="9"/>
      <c r="M1398" s="11"/>
      <c r="N1398" s="9" t="s">
        <v>793</v>
      </c>
    </row>
    <row r="1399" ht="25" customHeight="1" spans="1:14">
      <c r="A1399" s="9" t="s">
        <v>90</v>
      </c>
      <c r="B1399" s="9" t="s">
        <v>88</v>
      </c>
      <c r="C1399" s="10">
        <v>44519</v>
      </c>
      <c r="D1399" s="15">
        <v>1.0456</v>
      </c>
      <c r="E1399" s="15">
        <v>1.0456</v>
      </c>
      <c r="F1399" s="15">
        <v>1.0456</v>
      </c>
      <c r="G1399" s="11">
        <v>0.0029</v>
      </c>
      <c r="H1399" s="9">
        <f>MAX($F$1366:F1399)</f>
        <v>1.0456</v>
      </c>
      <c r="I1399" s="11">
        <f t="shared" si="32"/>
        <v>0</v>
      </c>
      <c r="J1399" s="9"/>
      <c r="K1399" s="11"/>
      <c r="L1399" s="9"/>
      <c r="M1399" s="11"/>
      <c r="N1399" s="9" t="s">
        <v>793</v>
      </c>
    </row>
    <row r="1400" ht="25" customHeight="1" spans="1:14">
      <c r="A1400" s="9" t="s">
        <v>90</v>
      </c>
      <c r="B1400" s="9" t="s">
        <v>88</v>
      </c>
      <c r="C1400" s="10">
        <v>44526</v>
      </c>
      <c r="D1400" s="15">
        <v>1.0469</v>
      </c>
      <c r="E1400" s="15">
        <v>1.0469</v>
      </c>
      <c r="F1400" s="15">
        <v>1.0469</v>
      </c>
      <c r="G1400" s="11">
        <v>0.0012</v>
      </c>
      <c r="H1400" s="9">
        <f>MAX($F$1366:F1400)</f>
        <v>1.0469</v>
      </c>
      <c r="I1400" s="11">
        <f t="shared" si="32"/>
        <v>0</v>
      </c>
      <c r="J1400" s="9"/>
      <c r="K1400" s="11"/>
      <c r="L1400" s="9"/>
      <c r="M1400" s="11"/>
      <c r="N1400" s="9" t="s">
        <v>793</v>
      </c>
    </row>
    <row r="1401" ht="25" customHeight="1" spans="1:14">
      <c r="A1401" s="9" t="s">
        <v>90</v>
      </c>
      <c r="B1401" s="9" t="s">
        <v>88</v>
      </c>
      <c r="C1401" s="10">
        <v>44533</v>
      </c>
      <c r="D1401" s="15">
        <v>1.0484</v>
      </c>
      <c r="E1401" s="15">
        <v>1.0484</v>
      </c>
      <c r="F1401" s="15">
        <v>1.0484</v>
      </c>
      <c r="G1401" s="11">
        <v>0.0014</v>
      </c>
      <c r="H1401" s="9">
        <f>MAX($F$1366:F1401)</f>
        <v>1.0484</v>
      </c>
      <c r="I1401" s="11">
        <f t="shared" si="32"/>
        <v>0</v>
      </c>
      <c r="J1401" s="9"/>
      <c r="K1401" s="11"/>
      <c r="L1401" s="9"/>
      <c r="M1401" s="11"/>
      <c r="N1401" s="9" t="s">
        <v>793</v>
      </c>
    </row>
    <row r="1402" ht="25" customHeight="1" spans="1:14">
      <c r="A1402" s="9" t="s">
        <v>90</v>
      </c>
      <c r="B1402" s="9" t="s">
        <v>88</v>
      </c>
      <c r="C1402" s="10">
        <v>44540</v>
      </c>
      <c r="D1402" s="15">
        <v>1.051</v>
      </c>
      <c r="E1402" s="15">
        <v>1.051</v>
      </c>
      <c r="F1402" s="15">
        <v>1.051</v>
      </c>
      <c r="G1402" s="11">
        <v>0.0025</v>
      </c>
      <c r="H1402" s="9">
        <f>MAX($F$1366:F1402)</f>
        <v>1.051</v>
      </c>
      <c r="I1402" s="11">
        <f t="shared" si="32"/>
        <v>0</v>
      </c>
      <c r="J1402" s="9"/>
      <c r="K1402" s="11"/>
      <c r="L1402" s="9"/>
      <c r="M1402" s="11"/>
      <c r="N1402" s="9" t="s">
        <v>793</v>
      </c>
    </row>
    <row r="1403" ht="25" customHeight="1" spans="1:14">
      <c r="A1403" s="9" t="s">
        <v>90</v>
      </c>
      <c r="B1403" s="9" t="s">
        <v>88</v>
      </c>
      <c r="C1403" s="10">
        <v>44547</v>
      </c>
      <c r="D1403" s="15">
        <v>1.0539</v>
      </c>
      <c r="E1403" s="15">
        <v>1.0539</v>
      </c>
      <c r="F1403" s="15">
        <v>1.0539</v>
      </c>
      <c r="G1403" s="11">
        <v>0.0028</v>
      </c>
      <c r="H1403" s="9">
        <f>MAX($F$1366:F1403)</f>
        <v>1.0539</v>
      </c>
      <c r="I1403" s="11">
        <f t="shared" si="32"/>
        <v>0</v>
      </c>
      <c r="J1403" s="9"/>
      <c r="K1403" s="11"/>
      <c r="L1403" s="9"/>
      <c r="M1403" s="11"/>
      <c r="N1403" s="9" t="s">
        <v>793</v>
      </c>
    </row>
    <row r="1404" ht="25" customHeight="1" spans="1:14">
      <c r="A1404" s="9" t="s">
        <v>90</v>
      </c>
      <c r="B1404" s="9" t="s">
        <v>88</v>
      </c>
      <c r="C1404" s="10">
        <v>44554</v>
      </c>
      <c r="D1404" s="15">
        <v>1.0553</v>
      </c>
      <c r="E1404" s="15">
        <v>1.0553</v>
      </c>
      <c r="F1404" s="15">
        <v>1.0553</v>
      </c>
      <c r="G1404" s="11">
        <v>0.0013</v>
      </c>
      <c r="H1404" s="9">
        <f>MAX($F$1366:F1404)</f>
        <v>1.0553</v>
      </c>
      <c r="I1404" s="11">
        <f t="shared" si="32"/>
        <v>0</v>
      </c>
      <c r="J1404" s="9"/>
      <c r="K1404" s="11"/>
      <c r="L1404" s="9"/>
      <c r="M1404" s="11"/>
      <c r="N1404" s="9" t="s">
        <v>793</v>
      </c>
    </row>
    <row r="1405" ht="25" customHeight="1" spans="1:14">
      <c r="A1405" s="9" t="s">
        <v>90</v>
      </c>
      <c r="B1405" s="9" t="s">
        <v>88</v>
      </c>
      <c r="C1405" s="10">
        <v>44561</v>
      </c>
      <c r="D1405" s="15">
        <v>1.0568</v>
      </c>
      <c r="E1405" s="15">
        <v>1.0568</v>
      </c>
      <c r="F1405" s="15">
        <v>1.0568</v>
      </c>
      <c r="G1405" s="11">
        <v>0.0014</v>
      </c>
      <c r="H1405" s="9">
        <f>MAX($F$1366:F1405)</f>
        <v>1.0568</v>
      </c>
      <c r="I1405" s="11">
        <f t="shared" si="32"/>
        <v>0</v>
      </c>
      <c r="J1405" s="9"/>
      <c r="K1405" s="11"/>
      <c r="L1405" s="9"/>
      <c r="M1405" s="11"/>
      <c r="N1405" s="9" t="s">
        <v>793</v>
      </c>
    </row>
    <row r="1406" ht="25" customHeight="1" spans="1:14">
      <c r="A1406" s="9" t="s">
        <v>90</v>
      </c>
      <c r="B1406" s="9" t="s">
        <v>88</v>
      </c>
      <c r="C1406" s="10">
        <v>44568</v>
      </c>
      <c r="D1406" s="15">
        <v>1.0601</v>
      </c>
      <c r="E1406" s="15">
        <v>1.0601</v>
      </c>
      <c r="F1406" s="15">
        <v>1.0601</v>
      </c>
      <c r="G1406" s="11">
        <v>0.0031</v>
      </c>
      <c r="H1406" s="9">
        <f>MAX($F$1366:F1406)</f>
        <v>1.0601</v>
      </c>
      <c r="I1406" s="11">
        <f t="shared" si="32"/>
        <v>0</v>
      </c>
      <c r="J1406" s="9"/>
      <c r="K1406" s="11"/>
      <c r="L1406" s="9"/>
      <c r="M1406" s="11"/>
      <c r="N1406" s="9" t="s">
        <v>793</v>
      </c>
    </row>
    <row r="1407" ht="25" customHeight="1" spans="1:14">
      <c r="A1407" s="9" t="s">
        <v>90</v>
      </c>
      <c r="B1407" s="9" t="s">
        <v>88</v>
      </c>
      <c r="C1407" s="10">
        <v>44575</v>
      </c>
      <c r="D1407" s="15">
        <v>1.0606</v>
      </c>
      <c r="E1407" s="15">
        <v>1.0606</v>
      </c>
      <c r="F1407" s="15">
        <v>1.0606</v>
      </c>
      <c r="G1407" s="11">
        <v>0.0005</v>
      </c>
      <c r="H1407" s="9">
        <f>MAX($F$1366:F1407)</f>
        <v>1.0606</v>
      </c>
      <c r="I1407" s="11">
        <f t="shared" si="32"/>
        <v>0</v>
      </c>
      <c r="J1407" s="9"/>
      <c r="K1407" s="11"/>
      <c r="L1407" s="9"/>
      <c r="M1407" s="11"/>
      <c r="N1407" s="9" t="s">
        <v>793</v>
      </c>
    </row>
    <row r="1408" ht="25" customHeight="1" spans="1:14">
      <c r="A1408" s="9" t="s">
        <v>90</v>
      </c>
      <c r="B1408" s="9" t="s">
        <v>88</v>
      </c>
      <c r="C1408" s="10">
        <v>44582</v>
      </c>
      <c r="D1408" s="15">
        <v>1.0626</v>
      </c>
      <c r="E1408" s="15">
        <v>1.0626</v>
      </c>
      <c r="F1408" s="15">
        <v>1.0626</v>
      </c>
      <c r="G1408" s="11">
        <v>0.0019</v>
      </c>
      <c r="H1408" s="9">
        <f>MAX($F$1366:F1408)</f>
        <v>1.0626</v>
      </c>
      <c r="I1408" s="11">
        <f t="shared" si="32"/>
        <v>0</v>
      </c>
      <c r="J1408" s="9"/>
      <c r="K1408" s="11"/>
      <c r="L1408" s="9"/>
      <c r="M1408" s="11"/>
      <c r="N1408" s="9" t="s">
        <v>793</v>
      </c>
    </row>
    <row r="1409" ht="25" customHeight="1" spans="1:14">
      <c r="A1409" s="9" t="s">
        <v>90</v>
      </c>
      <c r="B1409" s="9" t="s">
        <v>88</v>
      </c>
      <c r="C1409" s="10">
        <v>44589</v>
      </c>
      <c r="D1409" s="15">
        <v>1.0653</v>
      </c>
      <c r="E1409" s="15">
        <v>1.0653</v>
      </c>
      <c r="F1409" s="15">
        <v>1.0653</v>
      </c>
      <c r="G1409" s="11">
        <v>0.0025</v>
      </c>
      <c r="H1409" s="9">
        <f>MAX($F$1366:F1409)</f>
        <v>1.0653</v>
      </c>
      <c r="I1409" s="11">
        <f t="shared" si="32"/>
        <v>0</v>
      </c>
      <c r="J1409" s="9"/>
      <c r="K1409" s="11"/>
      <c r="L1409" s="9"/>
      <c r="M1409" s="11"/>
      <c r="N1409" s="9" t="s">
        <v>793</v>
      </c>
    </row>
    <row r="1410" ht="25" customHeight="1" spans="1:14">
      <c r="A1410" s="9" t="s">
        <v>90</v>
      </c>
      <c r="B1410" s="9" t="s">
        <v>88</v>
      </c>
      <c r="C1410" s="10">
        <v>44603</v>
      </c>
      <c r="D1410" s="15">
        <v>1.071</v>
      </c>
      <c r="E1410" s="15">
        <v>1.071</v>
      </c>
      <c r="F1410" s="15">
        <v>1.071</v>
      </c>
      <c r="G1410" s="11">
        <v>0.0054</v>
      </c>
      <c r="H1410" s="9">
        <f>MAX($F$1366:F1410)</f>
        <v>1.071</v>
      </c>
      <c r="I1410" s="11">
        <f t="shared" ref="I1410:I1473" si="33">1-F1410/H1410</f>
        <v>0</v>
      </c>
      <c r="J1410" s="9"/>
      <c r="K1410" s="11"/>
      <c r="L1410" s="9"/>
      <c r="M1410" s="11"/>
      <c r="N1410" s="9" t="s">
        <v>793</v>
      </c>
    </row>
    <row r="1411" ht="25" customHeight="1" spans="1:14">
      <c r="A1411" s="9" t="s">
        <v>90</v>
      </c>
      <c r="B1411" s="9" t="s">
        <v>88</v>
      </c>
      <c r="C1411" s="10">
        <v>44610</v>
      </c>
      <c r="D1411" s="15">
        <v>1.0741</v>
      </c>
      <c r="E1411" s="15">
        <v>1.0741</v>
      </c>
      <c r="F1411" s="15">
        <v>1.0741</v>
      </c>
      <c r="G1411" s="11">
        <v>0.0029</v>
      </c>
      <c r="H1411" s="9">
        <f>MAX($F$1366:F1411)</f>
        <v>1.0741</v>
      </c>
      <c r="I1411" s="11">
        <f t="shared" si="33"/>
        <v>0</v>
      </c>
      <c r="J1411" s="9"/>
      <c r="K1411" s="11"/>
      <c r="L1411" s="9"/>
      <c r="M1411" s="11"/>
      <c r="N1411" s="9" t="s">
        <v>793</v>
      </c>
    </row>
    <row r="1412" ht="25" customHeight="1" spans="1:14">
      <c r="A1412" s="9" t="s">
        <v>90</v>
      </c>
      <c r="B1412" s="9" t="s">
        <v>88</v>
      </c>
      <c r="C1412" s="10">
        <v>44617</v>
      </c>
      <c r="D1412" s="15">
        <v>1.0752</v>
      </c>
      <c r="E1412" s="15">
        <v>1.0752</v>
      </c>
      <c r="F1412" s="15">
        <v>1.0752</v>
      </c>
      <c r="G1412" s="11">
        <v>0.001</v>
      </c>
      <c r="H1412" s="9">
        <f>MAX($F$1366:F1412)</f>
        <v>1.0752</v>
      </c>
      <c r="I1412" s="11">
        <f t="shared" si="33"/>
        <v>0</v>
      </c>
      <c r="J1412" s="9"/>
      <c r="K1412" s="11"/>
      <c r="L1412" s="9"/>
      <c r="M1412" s="11"/>
      <c r="N1412" s="9" t="s">
        <v>793</v>
      </c>
    </row>
    <row r="1413" ht="25" customHeight="1" spans="1:14">
      <c r="A1413" s="9" t="s">
        <v>90</v>
      </c>
      <c r="B1413" s="9" t="s">
        <v>88</v>
      </c>
      <c r="C1413" s="10">
        <v>44624</v>
      </c>
      <c r="D1413" s="15">
        <v>1.0772</v>
      </c>
      <c r="E1413" s="15">
        <v>1.0772</v>
      </c>
      <c r="F1413" s="15">
        <v>1.0772</v>
      </c>
      <c r="G1413" s="11">
        <v>0.0019</v>
      </c>
      <c r="H1413" s="9">
        <f>MAX($F$1366:F1413)</f>
        <v>1.0772</v>
      </c>
      <c r="I1413" s="11">
        <f t="shared" si="33"/>
        <v>0</v>
      </c>
      <c r="J1413" s="9"/>
      <c r="K1413" s="11"/>
      <c r="L1413" s="9"/>
      <c r="M1413" s="11"/>
      <c r="N1413" s="9" t="s">
        <v>793</v>
      </c>
    </row>
    <row r="1414" ht="25" customHeight="1" spans="1:14">
      <c r="A1414" s="9" t="s">
        <v>90</v>
      </c>
      <c r="B1414" s="9" t="s">
        <v>88</v>
      </c>
      <c r="C1414" s="10">
        <v>44631</v>
      </c>
      <c r="D1414" s="15">
        <v>1.0898</v>
      </c>
      <c r="E1414" s="15">
        <v>1.0898</v>
      </c>
      <c r="F1414" s="15">
        <v>1.0898</v>
      </c>
      <c r="G1414" s="11">
        <v>0.0117</v>
      </c>
      <c r="H1414" s="9">
        <f>MAX($F$1366:F1414)</f>
        <v>1.0898</v>
      </c>
      <c r="I1414" s="11">
        <f t="shared" si="33"/>
        <v>0</v>
      </c>
      <c r="J1414" s="9"/>
      <c r="K1414" s="11"/>
      <c r="L1414" s="9"/>
      <c r="M1414" s="11"/>
      <c r="N1414" s="9" t="s">
        <v>793</v>
      </c>
    </row>
    <row r="1415" ht="25" customHeight="1" spans="1:14">
      <c r="A1415" s="9" t="s">
        <v>90</v>
      </c>
      <c r="B1415" s="9" t="s">
        <v>88</v>
      </c>
      <c r="C1415" s="10">
        <v>44638</v>
      </c>
      <c r="D1415" s="15">
        <v>1.105</v>
      </c>
      <c r="E1415" s="15">
        <v>1.105</v>
      </c>
      <c r="F1415" s="15">
        <v>1.105</v>
      </c>
      <c r="G1415" s="11">
        <v>0.0139</v>
      </c>
      <c r="H1415" s="9">
        <f>MAX($F$1366:F1415)</f>
        <v>1.105</v>
      </c>
      <c r="I1415" s="11">
        <f t="shared" si="33"/>
        <v>0</v>
      </c>
      <c r="J1415" s="9"/>
      <c r="K1415" s="11"/>
      <c r="L1415" s="9"/>
      <c r="M1415" s="11"/>
      <c r="N1415" s="9" t="s">
        <v>793</v>
      </c>
    </row>
    <row r="1416" ht="25" customHeight="1" spans="1:14">
      <c r="A1416" s="9" t="s">
        <v>90</v>
      </c>
      <c r="B1416" s="9" t="s">
        <v>88</v>
      </c>
      <c r="C1416" s="10">
        <v>44645</v>
      </c>
      <c r="D1416" s="15">
        <v>1.1064</v>
      </c>
      <c r="E1416" s="15">
        <v>1.1064</v>
      </c>
      <c r="F1416" s="15">
        <v>1.1064</v>
      </c>
      <c r="G1416" s="11">
        <v>0.0013</v>
      </c>
      <c r="H1416" s="9">
        <f>MAX($F$1366:F1416)</f>
        <v>1.1064</v>
      </c>
      <c r="I1416" s="11">
        <f t="shared" si="33"/>
        <v>0</v>
      </c>
      <c r="J1416" s="9"/>
      <c r="K1416" s="11"/>
      <c r="L1416" s="9"/>
      <c r="M1416" s="11"/>
      <c r="N1416" s="9" t="s">
        <v>793</v>
      </c>
    </row>
    <row r="1417" ht="25" customHeight="1" spans="1:14">
      <c r="A1417" s="9" t="s">
        <v>90</v>
      </c>
      <c r="B1417" s="9" t="s">
        <v>88</v>
      </c>
      <c r="C1417" s="10">
        <v>44652</v>
      </c>
      <c r="D1417" s="15">
        <v>1.1107</v>
      </c>
      <c r="E1417" s="15">
        <v>1.1107</v>
      </c>
      <c r="F1417" s="15">
        <v>1.1107</v>
      </c>
      <c r="G1417" s="11">
        <v>0.0039</v>
      </c>
      <c r="H1417" s="9">
        <f>MAX($F$1366:F1417)</f>
        <v>1.1107</v>
      </c>
      <c r="I1417" s="11">
        <f t="shared" si="33"/>
        <v>0</v>
      </c>
      <c r="J1417" s="9"/>
      <c r="K1417" s="11"/>
      <c r="L1417" s="9"/>
      <c r="M1417" s="11"/>
      <c r="N1417" s="9" t="s">
        <v>793</v>
      </c>
    </row>
    <row r="1418" ht="25" customHeight="1" spans="1:14">
      <c r="A1418" s="9" t="s">
        <v>90</v>
      </c>
      <c r="B1418" s="9" t="s">
        <v>88</v>
      </c>
      <c r="C1418" s="10">
        <v>44659</v>
      </c>
      <c r="D1418" s="15">
        <v>1.1117</v>
      </c>
      <c r="E1418" s="15">
        <v>1.1117</v>
      </c>
      <c r="F1418" s="15">
        <v>1.1117</v>
      </c>
      <c r="G1418" s="11">
        <v>0.0009</v>
      </c>
      <c r="H1418" s="9">
        <f>MAX($F$1366:F1418)</f>
        <v>1.1117</v>
      </c>
      <c r="I1418" s="11">
        <f t="shared" si="33"/>
        <v>0</v>
      </c>
      <c r="J1418" s="9"/>
      <c r="K1418" s="11"/>
      <c r="L1418" s="9"/>
      <c r="M1418" s="11"/>
      <c r="N1418" s="9" t="s">
        <v>793</v>
      </c>
    </row>
    <row r="1419" ht="25" customHeight="1" spans="1:14">
      <c r="A1419" s="9" t="s">
        <v>90</v>
      </c>
      <c r="B1419" s="9" t="s">
        <v>88</v>
      </c>
      <c r="C1419" s="10">
        <v>44666</v>
      </c>
      <c r="D1419" s="15">
        <v>1.012</v>
      </c>
      <c r="E1419" s="15">
        <v>1.112</v>
      </c>
      <c r="F1419" s="15">
        <v>1.112</v>
      </c>
      <c r="G1419" s="11">
        <v>0.0003</v>
      </c>
      <c r="H1419" s="9">
        <f>MAX($F$1366:F1419)</f>
        <v>1.112</v>
      </c>
      <c r="I1419" s="11">
        <f t="shared" si="33"/>
        <v>0</v>
      </c>
      <c r="J1419" s="9"/>
      <c r="K1419" s="11"/>
      <c r="L1419" s="9"/>
      <c r="M1419" s="11"/>
      <c r="N1419" s="9" t="s">
        <v>793</v>
      </c>
    </row>
    <row r="1420" ht="25" customHeight="1" spans="1:14">
      <c r="A1420" s="9" t="s">
        <v>90</v>
      </c>
      <c r="B1420" s="9" t="s">
        <v>88</v>
      </c>
      <c r="C1420" s="10">
        <v>44673</v>
      </c>
      <c r="D1420" s="15">
        <v>1.0125</v>
      </c>
      <c r="E1420" s="15">
        <v>1.1125</v>
      </c>
      <c r="F1420" s="15">
        <v>1.1125</v>
      </c>
      <c r="G1420" s="11">
        <v>0.0005</v>
      </c>
      <c r="H1420" s="9">
        <f>MAX($F$1366:F1420)</f>
        <v>1.1125</v>
      </c>
      <c r="I1420" s="11">
        <f t="shared" si="33"/>
        <v>0</v>
      </c>
      <c r="J1420" s="9"/>
      <c r="K1420" s="11"/>
      <c r="L1420" s="9"/>
      <c r="M1420" s="11"/>
      <c r="N1420" s="9" t="s">
        <v>793</v>
      </c>
    </row>
    <row r="1421" ht="25" customHeight="1" spans="1:14">
      <c r="A1421" s="9" t="s">
        <v>90</v>
      </c>
      <c r="B1421" s="9" t="s">
        <v>88</v>
      </c>
      <c r="C1421" s="10">
        <v>44680</v>
      </c>
      <c r="D1421" s="15">
        <v>1.0159</v>
      </c>
      <c r="E1421" s="15">
        <v>1.1159</v>
      </c>
      <c r="F1421" s="15">
        <v>1.1163</v>
      </c>
      <c r="G1421" s="11">
        <v>0.0034</v>
      </c>
      <c r="H1421" s="9">
        <f>MAX($F$1366:F1421)</f>
        <v>1.1163</v>
      </c>
      <c r="I1421" s="11">
        <f t="shared" si="33"/>
        <v>0</v>
      </c>
      <c r="J1421" s="9"/>
      <c r="K1421" s="11"/>
      <c r="L1421" s="9"/>
      <c r="M1421" s="11"/>
      <c r="N1421" s="9" t="s">
        <v>793</v>
      </c>
    </row>
    <row r="1422" ht="25" customHeight="1" spans="1:14">
      <c r="A1422" s="9" t="s">
        <v>90</v>
      </c>
      <c r="B1422" s="9" t="s">
        <v>88</v>
      </c>
      <c r="C1422" s="10">
        <v>44687</v>
      </c>
      <c r="D1422" s="15">
        <v>1.0175</v>
      </c>
      <c r="E1422" s="15">
        <v>1.1175</v>
      </c>
      <c r="F1422" s="15">
        <v>1.118</v>
      </c>
      <c r="G1422" s="11">
        <v>0.0016</v>
      </c>
      <c r="H1422" s="9">
        <f>MAX($F$1366:F1422)</f>
        <v>1.118</v>
      </c>
      <c r="I1422" s="11">
        <f t="shared" si="33"/>
        <v>0</v>
      </c>
      <c r="J1422" s="9"/>
      <c r="K1422" s="11"/>
      <c r="L1422" s="9"/>
      <c r="M1422" s="11"/>
      <c r="N1422" s="9" t="s">
        <v>793</v>
      </c>
    </row>
    <row r="1423" ht="25" customHeight="1" spans="1:14">
      <c r="A1423" s="9" t="s">
        <v>90</v>
      </c>
      <c r="B1423" s="9" t="s">
        <v>88</v>
      </c>
      <c r="C1423" s="10">
        <v>44694</v>
      </c>
      <c r="D1423" s="15">
        <v>1.0173</v>
      </c>
      <c r="E1423" s="15">
        <v>1.1173</v>
      </c>
      <c r="F1423" s="15">
        <v>1.1178</v>
      </c>
      <c r="G1423" s="11">
        <v>-0.0002</v>
      </c>
      <c r="H1423" s="9">
        <f>MAX($F$1366:F1423)</f>
        <v>1.118</v>
      </c>
      <c r="I1423" s="11">
        <f t="shared" si="33"/>
        <v>0.000178890876565529</v>
      </c>
      <c r="J1423" s="9"/>
      <c r="K1423" s="11"/>
      <c r="L1423" s="9"/>
      <c r="M1423" s="11"/>
      <c r="N1423" s="9" t="s">
        <v>793</v>
      </c>
    </row>
    <row r="1424" ht="25" customHeight="1" spans="1:14">
      <c r="A1424" s="9" t="s">
        <v>90</v>
      </c>
      <c r="B1424" s="9" t="s">
        <v>88</v>
      </c>
      <c r="C1424" s="10">
        <v>44701</v>
      </c>
      <c r="D1424" s="15">
        <v>1.0174</v>
      </c>
      <c r="E1424" s="15">
        <v>1.1174</v>
      </c>
      <c r="F1424" s="15">
        <v>1.1179</v>
      </c>
      <c r="G1424" s="11">
        <v>0.0001</v>
      </c>
      <c r="H1424" s="9">
        <f>MAX($F$1366:F1424)</f>
        <v>1.118</v>
      </c>
      <c r="I1424" s="11">
        <f t="shared" si="33"/>
        <v>8.94454382828203e-5</v>
      </c>
      <c r="J1424" s="9"/>
      <c r="K1424" s="11"/>
      <c r="L1424" s="9"/>
      <c r="M1424" s="11"/>
      <c r="N1424" s="9" t="s">
        <v>793</v>
      </c>
    </row>
    <row r="1425" ht="25" customHeight="1" spans="1:14">
      <c r="A1425" s="9" t="s">
        <v>90</v>
      </c>
      <c r="B1425" s="9" t="s">
        <v>88</v>
      </c>
      <c r="C1425" s="10">
        <v>44708</v>
      </c>
      <c r="D1425" s="15">
        <v>1.017</v>
      </c>
      <c r="E1425" s="15">
        <v>1.117</v>
      </c>
      <c r="F1425" s="15">
        <v>1.1175</v>
      </c>
      <c r="G1425" s="11">
        <v>-0.0004</v>
      </c>
      <c r="H1425" s="9">
        <f>MAX($F$1366:F1425)</f>
        <v>1.118</v>
      </c>
      <c r="I1425" s="11">
        <f t="shared" si="33"/>
        <v>0.000447227191413435</v>
      </c>
      <c r="J1425" s="9"/>
      <c r="K1425" s="11"/>
      <c r="L1425" s="9"/>
      <c r="M1425" s="11"/>
      <c r="N1425" s="9" t="s">
        <v>793</v>
      </c>
    </row>
    <row r="1426" ht="25" customHeight="1" spans="1:14">
      <c r="A1426" s="9" t="s">
        <v>90</v>
      </c>
      <c r="B1426" s="9" t="s">
        <v>88</v>
      </c>
      <c r="C1426" s="10">
        <v>44714</v>
      </c>
      <c r="D1426" s="15">
        <v>1.0184</v>
      </c>
      <c r="E1426" s="15">
        <v>1.1184</v>
      </c>
      <c r="F1426" s="15">
        <v>1.119</v>
      </c>
      <c r="G1426" s="11">
        <v>0.0014</v>
      </c>
      <c r="H1426" s="9">
        <f>MAX($F$1366:F1426)</f>
        <v>1.119</v>
      </c>
      <c r="I1426" s="11">
        <f t="shared" si="33"/>
        <v>0</v>
      </c>
      <c r="J1426" s="9"/>
      <c r="K1426" s="11"/>
      <c r="L1426" s="9"/>
      <c r="M1426" s="11"/>
      <c r="N1426" s="9" t="s">
        <v>793</v>
      </c>
    </row>
    <row r="1427" ht="25" customHeight="1" spans="1:14">
      <c r="A1427" s="9" t="s">
        <v>90</v>
      </c>
      <c r="B1427" s="9" t="s">
        <v>88</v>
      </c>
      <c r="C1427" s="10">
        <v>44722</v>
      </c>
      <c r="D1427" s="15">
        <v>1.0198</v>
      </c>
      <c r="E1427" s="15">
        <v>1.1198</v>
      </c>
      <c r="F1427" s="15">
        <v>1.1206</v>
      </c>
      <c r="G1427" s="11">
        <v>0.0014</v>
      </c>
      <c r="H1427" s="9">
        <f>MAX($F$1366:F1427)</f>
        <v>1.1206</v>
      </c>
      <c r="I1427" s="11">
        <f t="shared" si="33"/>
        <v>0</v>
      </c>
      <c r="J1427" s="9"/>
      <c r="K1427" s="11"/>
      <c r="L1427" s="9"/>
      <c r="M1427" s="11"/>
      <c r="N1427" s="9" t="s">
        <v>793</v>
      </c>
    </row>
    <row r="1428" ht="25" customHeight="1" spans="1:14">
      <c r="A1428" s="9" t="s">
        <v>90</v>
      </c>
      <c r="B1428" s="9" t="s">
        <v>88</v>
      </c>
      <c r="C1428" s="10">
        <v>44729</v>
      </c>
      <c r="D1428" s="15">
        <v>1.0233</v>
      </c>
      <c r="E1428" s="15">
        <v>1.1233</v>
      </c>
      <c r="F1428" s="15">
        <v>1.1244</v>
      </c>
      <c r="G1428" s="11">
        <v>0.0034</v>
      </c>
      <c r="H1428" s="9">
        <f>MAX($F$1366:F1428)</f>
        <v>1.1244</v>
      </c>
      <c r="I1428" s="11">
        <f t="shared" si="33"/>
        <v>0</v>
      </c>
      <c r="J1428" s="9"/>
      <c r="K1428" s="11"/>
      <c r="L1428" s="9"/>
      <c r="M1428" s="11"/>
      <c r="N1428" s="9" t="s">
        <v>793</v>
      </c>
    </row>
    <row r="1429" ht="25" customHeight="1" spans="1:14">
      <c r="A1429" s="9" t="s">
        <v>90</v>
      </c>
      <c r="B1429" s="9" t="s">
        <v>88</v>
      </c>
      <c r="C1429" s="10">
        <v>44736</v>
      </c>
      <c r="D1429" s="15">
        <v>1.024</v>
      </c>
      <c r="E1429" s="15">
        <v>1.124</v>
      </c>
      <c r="F1429" s="15">
        <v>1.1252</v>
      </c>
      <c r="G1429" s="11">
        <v>0.0007</v>
      </c>
      <c r="H1429" s="9">
        <f>MAX($F$1366:F1429)</f>
        <v>1.1252</v>
      </c>
      <c r="I1429" s="11">
        <f t="shared" si="33"/>
        <v>0</v>
      </c>
      <c r="J1429" s="9"/>
      <c r="K1429" s="11"/>
      <c r="L1429" s="9"/>
      <c r="M1429" s="11"/>
      <c r="N1429" s="9" t="s">
        <v>793</v>
      </c>
    </row>
    <row r="1430" ht="25" customHeight="1" spans="1:14">
      <c r="A1430" s="9" t="s">
        <v>90</v>
      </c>
      <c r="B1430" s="9" t="s">
        <v>88</v>
      </c>
      <c r="C1430" s="10">
        <v>44743</v>
      </c>
      <c r="D1430" s="15">
        <v>1.0245</v>
      </c>
      <c r="E1430" s="15">
        <v>1.1245</v>
      </c>
      <c r="F1430" s="15">
        <v>1.1257</v>
      </c>
      <c r="G1430" s="11">
        <v>0.0005</v>
      </c>
      <c r="H1430" s="9">
        <f>MAX($F$1366:F1430)</f>
        <v>1.1257</v>
      </c>
      <c r="I1430" s="11">
        <f t="shared" si="33"/>
        <v>0</v>
      </c>
      <c r="J1430" s="9"/>
      <c r="K1430" s="11"/>
      <c r="L1430" s="9"/>
      <c r="M1430" s="11"/>
      <c r="N1430" s="9" t="s">
        <v>793</v>
      </c>
    </row>
    <row r="1431" ht="25" customHeight="1" spans="1:14">
      <c r="A1431" s="9" t="s">
        <v>90</v>
      </c>
      <c r="B1431" s="9" t="s">
        <v>88</v>
      </c>
      <c r="C1431" s="10">
        <v>44750</v>
      </c>
      <c r="D1431" s="15">
        <v>1.0251</v>
      </c>
      <c r="E1431" s="15">
        <v>1.1251</v>
      </c>
      <c r="F1431" s="15">
        <v>1.1264</v>
      </c>
      <c r="G1431" s="11">
        <v>0.0006</v>
      </c>
      <c r="H1431" s="9">
        <f>MAX($F$1366:F1431)</f>
        <v>1.1264</v>
      </c>
      <c r="I1431" s="11">
        <f t="shared" si="33"/>
        <v>0</v>
      </c>
      <c r="J1431" s="9"/>
      <c r="K1431" s="11"/>
      <c r="L1431" s="9"/>
      <c r="M1431" s="11"/>
      <c r="N1431" s="9" t="s">
        <v>793</v>
      </c>
    </row>
    <row r="1432" ht="25" customHeight="1" spans="1:14">
      <c r="A1432" s="9" t="s">
        <v>90</v>
      </c>
      <c r="B1432" s="9" t="s">
        <v>88</v>
      </c>
      <c r="C1432" s="10">
        <v>44757</v>
      </c>
      <c r="D1432" s="15">
        <v>1.0261</v>
      </c>
      <c r="E1432" s="15">
        <v>1.1261</v>
      </c>
      <c r="F1432" s="15">
        <v>1.1275</v>
      </c>
      <c r="G1432" s="11">
        <v>0.001</v>
      </c>
      <c r="H1432" s="9">
        <f>MAX($F$1366:F1432)</f>
        <v>1.1275</v>
      </c>
      <c r="I1432" s="11">
        <f t="shared" si="33"/>
        <v>0</v>
      </c>
      <c r="J1432" s="9"/>
      <c r="K1432" s="11"/>
      <c r="L1432" s="9"/>
      <c r="M1432" s="11"/>
      <c r="N1432" s="9" t="s">
        <v>793</v>
      </c>
    </row>
    <row r="1433" ht="25" customHeight="1" spans="1:14">
      <c r="A1433" s="9" t="s">
        <v>90</v>
      </c>
      <c r="B1433" s="9" t="s">
        <v>88</v>
      </c>
      <c r="C1433" s="10">
        <v>44764</v>
      </c>
      <c r="D1433" s="15">
        <v>1.026</v>
      </c>
      <c r="E1433" s="15">
        <v>1.126</v>
      </c>
      <c r="F1433" s="15">
        <v>1.1274</v>
      </c>
      <c r="G1433" s="11">
        <v>-0.0001</v>
      </c>
      <c r="H1433" s="9">
        <f>MAX($F$1366:F1433)</f>
        <v>1.1275</v>
      </c>
      <c r="I1433" s="11">
        <f t="shared" si="33"/>
        <v>8.86917960088995e-5</v>
      </c>
      <c r="J1433" s="9"/>
      <c r="K1433" s="11"/>
      <c r="L1433" s="9"/>
      <c r="M1433" s="11"/>
      <c r="N1433" s="9" t="s">
        <v>793</v>
      </c>
    </row>
    <row r="1434" ht="25" customHeight="1" spans="1:14">
      <c r="A1434" s="9" t="s">
        <v>90</v>
      </c>
      <c r="B1434" s="9" t="s">
        <v>88</v>
      </c>
      <c r="C1434" s="10">
        <v>44771</v>
      </c>
      <c r="D1434" s="15">
        <v>1.0275</v>
      </c>
      <c r="E1434" s="15">
        <v>1.1275</v>
      </c>
      <c r="F1434" s="15">
        <v>1.129</v>
      </c>
      <c r="G1434" s="11">
        <v>0.0015</v>
      </c>
      <c r="H1434" s="9">
        <f>MAX($F$1366:F1434)</f>
        <v>1.129</v>
      </c>
      <c r="I1434" s="11">
        <f t="shared" si="33"/>
        <v>0</v>
      </c>
      <c r="J1434" s="9"/>
      <c r="K1434" s="11"/>
      <c r="L1434" s="9"/>
      <c r="M1434" s="11"/>
      <c r="N1434" s="9" t="s">
        <v>793</v>
      </c>
    </row>
    <row r="1435" ht="25" customHeight="1" spans="1:14">
      <c r="A1435" s="9" t="s">
        <v>90</v>
      </c>
      <c r="B1435" s="9" t="s">
        <v>88</v>
      </c>
      <c r="C1435" s="10">
        <v>44778</v>
      </c>
      <c r="D1435" s="15">
        <v>1.0298</v>
      </c>
      <c r="E1435" s="15">
        <v>1.1298</v>
      </c>
      <c r="F1435" s="15">
        <v>1.1316</v>
      </c>
      <c r="G1435" s="11">
        <v>0.0022</v>
      </c>
      <c r="H1435" s="9">
        <f>MAX($F$1366:F1435)</f>
        <v>1.1316</v>
      </c>
      <c r="I1435" s="11">
        <f t="shared" si="33"/>
        <v>0</v>
      </c>
      <c r="J1435" s="9"/>
      <c r="K1435" s="11"/>
      <c r="L1435" s="9"/>
      <c r="M1435" s="11"/>
      <c r="N1435" s="9" t="s">
        <v>793</v>
      </c>
    </row>
    <row r="1436" ht="25" customHeight="1" spans="1:14">
      <c r="A1436" s="9" t="s">
        <v>90</v>
      </c>
      <c r="B1436" s="9" t="s">
        <v>88</v>
      </c>
      <c r="C1436" s="10">
        <v>44785</v>
      </c>
      <c r="D1436" s="15">
        <v>1.0285</v>
      </c>
      <c r="E1436" s="15">
        <v>1.1285</v>
      </c>
      <c r="F1436" s="15">
        <v>1.1301</v>
      </c>
      <c r="G1436" s="11">
        <v>-0.0013</v>
      </c>
      <c r="H1436" s="9">
        <f>MAX($F$1366:F1436)</f>
        <v>1.1316</v>
      </c>
      <c r="I1436" s="11">
        <f t="shared" si="33"/>
        <v>0.00132555673382806</v>
      </c>
      <c r="J1436" s="9"/>
      <c r="K1436" s="11"/>
      <c r="L1436" s="9"/>
      <c r="M1436" s="11"/>
      <c r="N1436" s="9" t="s">
        <v>793</v>
      </c>
    </row>
    <row r="1437" ht="25" customHeight="1" spans="1:14">
      <c r="A1437" s="9" t="s">
        <v>90</v>
      </c>
      <c r="B1437" s="9" t="s">
        <v>88</v>
      </c>
      <c r="C1437" s="10">
        <v>44792</v>
      </c>
      <c r="D1437" s="15">
        <v>1.0294</v>
      </c>
      <c r="E1437" s="15">
        <v>1.1294</v>
      </c>
      <c r="F1437" s="15">
        <v>1.1311</v>
      </c>
      <c r="G1437" s="11">
        <v>0.0009</v>
      </c>
      <c r="H1437" s="9">
        <f>MAX($F$1366:F1437)</f>
        <v>1.1316</v>
      </c>
      <c r="I1437" s="11">
        <f t="shared" si="33"/>
        <v>0.000441852244609353</v>
      </c>
      <c r="J1437" s="9"/>
      <c r="K1437" s="11"/>
      <c r="L1437" s="9"/>
      <c r="M1437" s="11"/>
      <c r="N1437" s="9" t="s">
        <v>793</v>
      </c>
    </row>
    <row r="1438" ht="25" customHeight="1" spans="1:14">
      <c r="A1438" s="9" t="s">
        <v>90</v>
      </c>
      <c r="B1438" s="9" t="s">
        <v>88</v>
      </c>
      <c r="C1438" s="10">
        <v>44799</v>
      </c>
      <c r="D1438" s="15">
        <v>1.0298</v>
      </c>
      <c r="E1438" s="15">
        <v>1.1298</v>
      </c>
      <c r="F1438" s="15">
        <v>1.1316</v>
      </c>
      <c r="G1438" s="11">
        <v>0.0004</v>
      </c>
      <c r="H1438" s="9">
        <f>MAX($F$1366:F1438)</f>
        <v>1.1316</v>
      </c>
      <c r="I1438" s="11">
        <f t="shared" si="33"/>
        <v>0</v>
      </c>
      <c r="J1438" s="9"/>
      <c r="K1438" s="11"/>
      <c r="L1438" s="9"/>
      <c r="M1438" s="11"/>
      <c r="N1438" s="9" t="s">
        <v>793</v>
      </c>
    </row>
    <row r="1439" ht="25" customHeight="1" spans="1:14">
      <c r="A1439" s="9" t="s">
        <v>90</v>
      </c>
      <c r="B1439" s="9" t="s">
        <v>88</v>
      </c>
      <c r="C1439" s="10">
        <v>44806</v>
      </c>
      <c r="D1439" s="15">
        <v>1.031</v>
      </c>
      <c r="E1439" s="15">
        <v>1.131</v>
      </c>
      <c r="F1439" s="15">
        <v>1.1329</v>
      </c>
      <c r="G1439" s="11">
        <v>0.0012</v>
      </c>
      <c r="H1439" s="9">
        <f>MAX($F$1366:F1439)</f>
        <v>1.1329</v>
      </c>
      <c r="I1439" s="11">
        <f t="shared" si="33"/>
        <v>0</v>
      </c>
      <c r="J1439" s="9"/>
      <c r="K1439" s="11"/>
      <c r="L1439" s="9"/>
      <c r="M1439" s="11"/>
      <c r="N1439" s="9" t="s">
        <v>793</v>
      </c>
    </row>
    <row r="1440" ht="25" customHeight="1" spans="1:14">
      <c r="A1440" s="9" t="s">
        <v>90</v>
      </c>
      <c r="B1440" s="9" t="s">
        <v>88</v>
      </c>
      <c r="C1440" s="10">
        <v>44813</v>
      </c>
      <c r="D1440" s="15">
        <v>1.0337</v>
      </c>
      <c r="E1440" s="15">
        <v>1.1337</v>
      </c>
      <c r="F1440" s="15">
        <v>1.1358</v>
      </c>
      <c r="G1440" s="11">
        <v>0.0026</v>
      </c>
      <c r="H1440" s="9">
        <f>MAX($F$1366:F1440)</f>
        <v>1.1358</v>
      </c>
      <c r="I1440" s="11">
        <f t="shared" si="33"/>
        <v>0</v>
      </c>
      <c r="J1440" s="9"/>
      <c r="K1440" s="11"/>
      <c r="L1440" s="9"/>
      <c r="M1440" s="11"/>
      <c r="N1440" s="9" t="s">
        <v>793</v>
      </c>
    </row>
    <row r="1441" ht="25" customHeight="1" spans="1:14">
      <c r="A1441" s="9" t="s">
        <v>90</v>
      </c>
      <c r="B1441" s="9" t="s">
        <v>88</v>
      </c>
      <c r="C1441" s="10">
        <v>44820</v>
      </c>
      <c r="D1441" s="15">
        <v>1.036</v>
      </c>
      <c r="E1441" s="15">
        <v>1.136</v>
      </c>
      <c r="F1441" s="15">
        <v>1.1384</v>
      </c>
      <c r="G1441" s="11">
        <v>0.0022</v>
      </c>
      <c r="H1441" s="9">
        <f>MAX($F$1366:F1441)</f>
        <v>1.1384</v>
      </c>
      <c r="I1441" s="11">
        <f t="shared" si="33"/>
        <v>0</v>
      </c>
      <c r="J1441" s="9"/>
      <c r="K1441" s="11"/>
      <c r="L1441" s="9"/>
      <c r="M1441" s="11"/>
      <c r="N1441" s="9" t="s">
        <v>793</v>
      </c>
    </row>
    <row r="1442" ht="25" customHeight="1" spans="1:14">
      <c r="A1442" s="9" t="s">
        <v>90</v>
      </c>
      <c r="B1442" s="9" t="s">
        <v>88</v>
      </c>
      <c r="C1442" s="10">
        <v>44827</v>
      </c>
      <c r="D1442" s="15">
        <v>1.0352</v>
      </c>
      <c r="E1442" s="15">
        <v>1.1352</v>
      </c>
      <c r="F1442" s="15">
        <v>1.1375</v>
      </c>
      <c r="G1442" s="11">
        <v>-0.0008</v>
      </c>
      <c r="H1442" s="9">
        <f>MAX($F$1366:F1442)</f>
        <v>1.1384</v>
      </c>
      <c r="I1442" s="11">
        <f t="shared" si="33"/>
        <v>0.000790583274771772</v>
      </c>
      <c r="J1442" s="9"/>
      <c r="K1442" s="11"/>
      <c r="L1442" s="9"/>
      <c r="M1442" s="11"/>
      <c r="N1442" s="9" t="s">
        <v>793</v>
      </c>
    </row>
    <row r="1443" ht="25" customHeight="1" spans="1:14">
      <c r="A1443" s="9" t="s">
        <v>90</v>
      </c>
      <c r="B1443" s="9" t="s">
        <v>88</v>
      </c>
      <c r="C1443" s="10">
        <v>44834</v>
      </c>
      <c r="D1443" s="15">
        <v>1.0349</v>
      </c>
      <c r="E1443" s="15">
        <v>1.1349</v>
      </c>
      <c r="F1443" s="15">
        <v>1.1372</v>
      </c>
      <c r="G1443" s="11">
        <v>-0.0003</v>
      </c>
      <c r="H1443" s="9">
        <f>MAX($F$1366:F1443)</f>
        <v>1.1384</v>
      </c>
      <c r="I1443" s="11">
        <f t="shared" si="33"/>
        <v>0.00105411103302888</v>
      </c>
      <c r="J1443" s="9"/>
      <c r="K1443" s="11"/>
      <c r="L1443" s="9"/>
      <c r="M1443" s="11"/>
      <c r="N1443" s="9" t="s">
        <v>793</v>
      </c>
    </row>
    <row r="1444" ht="25" customHeight="1" spans="1:14">
      <c r="A1444" s="9" t="s">
        <v>90</v>
      </c>
      <c r="B1444" s="9" t="s">
        <v>88</v>
      </c>
      <c r="C1444" s="10">
        <v>44848</v>
      </c>
      <c r="D1444" s="15">
        <v>1.0395</v>
      </c>
      <c r="E1444" s="15">
        <v>1.1395</v>
      </c>
      <c r="F1444" s="15">
        <v>1.1422</v>
      </c>
      <c r="G1444" s="11">
        <v>0.0044</v>
      </c>
      <c r="H1444" s="9">
        <f>MAX($F$1366:F1444)</f>
        <v>1.1422</v>
      </c>
      <c r="I1444" s="11">
        <f t="shared" si="33"/>
        <v>0</v>
      </c>
      <c r="J1444" s="9"/>
      <c r="K1444" s="11"/>
      <c r="L1444" s="9"/>
      <c r="M1444" s="11"/>
      <c r="N1444" s="9" t="s">
        <v>793</v>
      </c>
    </row>
    <row r="1445" ht="25" customHeight="1" spans="1:14">
      <c r="A1445" s="9" t="s">
        <v>90</v>
      </c>
      <c r="B1445" s="9" t="s">
        <v>88</v>
      </c>
      <c r="C1445" s="10">
        <v>44855</v>
      </c>
      <c r="D1445" s="15">
        <v>1.0404</v>
      </c>
      <c r="E1445" s="15">
        <v>1.1404</v>
      </c>
      <c r="F1445" s="15">
        <v>1.1432</v>
      </c>
      <c r="G1445" s="11">
        <v>0.0009</v>
      </c>
      <c r="H1445" s="9">
        <f>MAX($F$1366:F1445)</f>
        <v>1.1432</v>
      </c>
      <c r="I1445" s="11">
        <f t="shared" si="33"/>
        <v>0</v>
      </c>
      <c r="J1445" s="9"/>
      <c r="K1445" s="11"/>
      <c r="L1445" s="9"/>
      <c r="M1445" s="11"/>
      <c r="N1445" s="9" t="s">
        <v>793</v>
      </c>
    </row>
    <row r="1446" ht="25" customHeight="1" spans="1:14">
      <c r="A1446" s="9" t="s">
        <v>90</v>
      </c>
      <c r="B1446" s="9" t="s">
        <v>88</v>
      </c>
      <c r="C1446" s="10">
        <v>44862</v>
      </c>
      <c r="D1446" s="15">
        <v>1.0423</v>
      </c>
      <c r="E1446" s="15">
        <v>1.1423</v>
      </c>
      <c r="F1446" s="15">
        <v>1.1453</v>
      </c>
      <c r="G1446" s="11">
        <v>0.0018</v>
      </c>
      <c r="H1446" s="9">
        <f>MAX($F$1366:F1446)</f>
        <v>1.1453</v>
      </c>
      <c r="I1446" s="11">
        <f t="shared" si="33"/>
        <v>0</v>
      </c>
      <c r="J1446" s="9"/>
      <c r="K1446" s="11"/>
      <c r="L1446" s="9"/>
      <c r="M1446" s="11"/>
      <c r="N1446" s="9" t="s">
        <v>793</v>
      </c>
    </row>
    <row r="1447" ht="25" customHeight="1" spans="1:14">
      <c r="A1447" s="9" t="s">
        <v>90</v>
      </c>
      <c r="B1447" s="9" t="s">
        <v>88</v>
      </c>
      <c r="C1447" s="10">
        <v>44869</v>
      </c>
      <c r="D1447" s="15">
        <v>1.0451</v>
      </c>
      <c r="E1447" s="15">
        <v>1.1451</v>
      </c>
      <c r="F1447" s="15">
        <v>1.1484</v>
      </c>
      <c r="G1447" s="11">
        <v>0.0027</v>
      </c>
      <c r="H1447" s="9">
        <f>MAX($F$1366:F1447)</f>
        <v>1.1484</v>
      </c>
      <c r="I1447" s="11">
        <f t="shared" si="33"/>
        <v>0</v>
      </c>
      <c r="J1447" s="9"/>
      <c r="K1447" s="11"/>
      <c r="L1447" s="9"/>
      <c r="M1447" s="11"/>
      <c r="N1447" s="9" t="s">
        <v>793</v>
      </c>
    </row>
    <row r="1448" ht="25" customHeight="1" spans="1:14">
      <c r="A1448" s="9" t="s">
        <v>90</v>
      </c>
      <c r="B1448" s="9" t="s">
        <v>88</v>
      </c>
      <c r="C1448" s="10">
        <v>44876</v>
      </c>
      <c r="D1448" s="15">
        <v>1.0468</v>
      </c>
      <c r="E1448" s="15">
        <v>1.1468</v>
      </c>
      <c r="F1448" s="15">
        <v>1.1502</v>
      </c>
      <c r="G1448" s="11">
        <v>0.0016</v>
      </c>
      <c r="H1448" s="9">
        <f>MAX($F$1366:F1448)</f>
        <v>1.1502</v>
      </c>
      <c r="I1448" s="11">
        <f t="shared" si="33"/>
        <v>0</v>
      </c>
      <c r="J1448" s="9"/>
      <c r="K1448" s="11"/>
      <c r="L1448" s="9"/>
      <c r="M1448" s="11"/>
      <c r="N1448" s="9" t="s">
        <v>793</v>
      </c>
    </row>
    <row r="1449" ht="25" customHeight="1" spans="1:14">
      <c r="A1449" s="9" t="s">
        <v>90</v>
      </c>
      <c r="B1449" s="9" t="s">
        <v>88</v>
      </c>
      <c r="C1449" s="10">
        <v>44883</v>
      </c>
      <c r="D1449" s="15">
        <v>1.0477</v>
      </c>
      <c r="E1449" s="15">
        <v>1.1477</v>
      </c>
      <c r="F1449" s="15">
        <v>1.1512</v>
      </c>
      <c r="G1449" s="11">
        <v>0.0009</v>
      </c>
      <c r="H1449" s="9">
        <f>MAX($F$1366:F1449)</f>
        <v>1.1512</v>
      </c>
      <c r="I1449" s="11">
        <f t="shared" si="33"/>
        <v>0</v>
      </c>
      <c r="J1449" s="9"/>
      <c r="K1449" s="11"/>
      <c r="L1449" s="9"/>
      <c r="M1449" s="11"/>
      <c r="N1449" s="9" t="s">
        <v>793</v>
      </c>
    </row>
    <row r="1450" ht="25" customHeight="1" spans="1:14">
      <c r="A1450" s="9" t="s">
        <v>90</v>
      </c>
      <c r="B1450" s="9" t="s">
        <v>88</v>
      </c>
      <c r="C1450" s="10">
        <v>44890</v>
      </c>
      <c r="D1450" s="15">
        <v>1.0475</v>
      </c>
      <c r="E1450" s="15">
        <v>1.1475</v>
      </c>
      <c r="F1450" s="15">
        <v>1.151</v>
      </c>
      <c r="G1450" s="11">
        <v>-0.0002</v>
      </c>
      <c r="H1450" s="9">
        <f>MAX($F$1366:F1450)</f>
        <v>1.1512</v>
      </c>
      <c r="I1450" s="11">
        <f t="shared" si="33"/>
        <v>0.000173731758165374</v>
      </c>
      <c r="J1450" s="9"/>
      <c r="K1450" s="11"/>
      <c r="L1450" s="9"/>
      <c r="M1450" s="11"/>
      <c r="N1450" s="9" t="s">
        <v>793</v>
      </c>
    </row>
    <row r="1451" ht="25" customHeight="1" spans="1:14">
      <c r="A1451" s="9" t="s">
        <v>90</v>
      </c>
      <c r="B1451" s="9" t="s">
        <v>88</v>
      </c>
      <c r="C1451" s="10">
        <v>44897</v>
      </c>
      <c r="D1451" s="15">
        <v>1.0494</v>
      </c>
      <c r="E1451" s="15">
        <v>1.1494</v>
      </c>
      <c r="F1451" s="15">
        <v>1.1531</v>
      </c>
      <c r="G1451" s="11">
        <v>0.0018</v>
      </c>
      <c r="H1451" s="9">
        <f>MAX($F$1366:F1451)</f>
        <v>1.1531</v>
      </c>
      <c r="I1451" s="11">
        <f t="shared" si="33"/>
        <v>0</v>
      </c>
      <c r="J1451" s="9"/>
      <c r="K1451" s="11"/>
      <c r="L1451" s="9"/>
      <c r="M1451" s="11"/>
      <c r="N1451" s="9" t="s">
        <v>793</v>
      </c>
    </row>
    <row r="1452" ht="25" customHeight="1" spans="1:14">
      <c r="A1452" s="9" t="s">
        <v>90</v>
      </c>
      <c r="B1452" s="9" t="s">
        <v>88</v>
      </c>
      <c r="C1452" s="10">
        <v>44904</v>
      </c>
      <c r="D1452" s="15">
        <v>1.0502</v>
      </c>
      <c r="E1452" s="15">
        <v>1.1502</v>
      </c>
      <c r="F1452" s="15">
        <v>1.154</v>
      </c>
      <c r="G1452" s="11">
        <v>0.0008</v>
      </c>
      <c r="H1452" s="9">
        <f>MAX($F$1366:F1452)</f>
        <v>1.154</v>
      </c>
      <c r="I1452" s="11">
        <f t="shared" si="33"/>
        <v>0</v>
      </c>
      <c r="J1452" s="9"/>
      <c r="K1452" s="11"/>
      <c r="L1452" s="9"/>
      <c r="M1452" s="11"/>
      <c r="N1452" s="9" t="s">
        <v>793</v>
      </c>
    </row>
    <row r="1453" ht="25" customHeight="1" spans="1:14">
      <c r="A1453" s="9" t="s">
        <v>90</v>
      </c>
      <c r="B1453" s="9" t="s">
        <v>88</v>
      </c>
      <c r="C1453" s="10">
        <v>44911</v>
      </c>
      <c r="D1453" s="15">
        <v>1.049</v>
      </c>
      <c r="E1453" s="15">
        <v>1.149</v>
      </c>
      <c r="F1453" s="15">
        <v>1.1527</v>
      </c>
      <c r="G1453" s="11">
        <v>-0.0011</v>
      </c>
      <c r="H1453" s="9">
        <f>MAX($F$1366:F1453)</f>
        <v>1.154</v>
      </c>
      <c r="I1453" s="11">
        <f t="shared" si="33"/>
        <v>0.00112651646447126</v>
      </c>
      <c r="J1453" s="9"/>
      <c r="K1453" s="11"/>
      <c r="L1453" s="9"/>
      <c r="M1453" s="11"/>
      <c r="N1453" s="9" t="s">
        <v>793</v>
      </c>
    </row>
    <row r="1454" ht="25" customHeight="1" spans="1:14">
      <c r="A1454" s="9" t="s">
        <v>90</v>
      </c>
      <c r="B1454" s="9" t="s">
        <v>88</v>
      </c>
      <c r="C1454" s="10">
        <v>44918</v>
      </c>
      <c r="D1454" s="15">
        <v>1.0482</v>
      </c>
      <c r="E1454" s="15">
        <v>1.1482</v>
      </c>
      <c r="F1454" s="15">
        <v>1.1518</v>
      </c>
      <c r="G1454" s="11">
        <v>-0.0008</v>
      </c>
      <c r="H1454" s="9">
        <f>MAX($F$1366:F1454)</f>
        <v>1.154</v>
      </c>
      <c r="I1454" s="11">
        <f t="shared" si="33"/>
        <v>0.00190641247833623</v>
      </c>
      <c r="J1454" s="9"/>
      <c r="K1454" s="11"/>
      <c r="L1454" s="9"/>
      <c r="M1454" s="11"/>
      <c r="N1454" s="9" t="s">
        <v>793</v>
      </c>
    </row>
    <row r="1455" ht="25" customHeight="1" spans="1:14">
      <c r="A1455" s="9" t="s">
        <v>90</v>
      </c>
      <c r="B1455" s="9" t="s">
        <v>88</v>
      </c>
      <c r="C1455" s="10">
        <v>44925</v>
      </c>
      <c r="D1455" s="15">
        <v>1.0486</v>
      </c>
      <c r="E1455" s="15">
        <v>1.1486</v>
      </c>
      <c r="F1455" s="15">
        <v>1.1522</v>
      </c>
      <c r="G1455" s="11">
        <v>0.0004</v>
      </c>
      <c r="H1455" s="9">
        <f>MAX($F$1366:F1455)</f>
        <v>1.154</v>
      </c>
      <c r="I1455" s="11">
        <f t="shared" si="33"/>
        <v>0.00155979202772971</v>
      </c>
      <c r="J1455" s="9"/>
      <c r="K1455" s="11"/>
      <c r="L1455" s="9"/>
      <c r="M1455" s="11"/>
      <c r="N1455" s="9" t="s">
        <v>793</v>
      </c>
    </row>
    <row r="1456" ht="25" customHeight="1" spans="1:14">
      <c r="A1456" s="9" t="s">
        <v>90</v>
      </c>
      <c r="B1456" s="9" t="s">
        <v>88</v>
      </c>
      <c r="C1456" s="10">
        <v>44932</v>
      </c>
      <c r="D1456" s="15">
        <v>1.0503</v>
      </c>
      <c r="E1456" s="15">
        <v>1.1503</v>
      </c>
      <c r="F1456" s="15">
        <v>1.1541</v>
      </c>
      <c r="G1456" s="11">
        <v>0.0016</v>
      </c>
      <c r="H1456" s="9">
        <f>MAX($F$1366:F1456)</f>
        <v>1.1541</v>
      </c>
      <c r="I1456" s="11">
        <f t="shared" si="33"/>
        <v>0</v>
      </c>
      <c r="J1456" s="9"/>
      <c r="K1456" s="11"/>
      <c r="L1456" s="9"/>
      <c r="M1456" s="11"/>
      <c r="N1456" s="9" t="s">
        <v>793</v>
      </c>
    </row>
    <row r="1457" ht="25" customHeight="1" spans="1:14">
      <c r="A1457" s="9" t="s">
        <v>90</v>
      </c>
      <c r="B1457" s="9" t="s">
        <v>88</v>
      </c>
      <c r="C1457" s="10">
        <v>44939</v>
      </c>
      <c r="D1457" s="15">
        <v>1.0499</v>
      </c>
      <c r="E1457" s="15">
        <v>1.1499</v>
      </c>
      <c r="F1457" s="15">
        <v>1.1536</v>
      </c>
      <c r="G1457" s="11">
        <v>-0.0004</v>
      </c>
      <c r="H1457" s="9">
        <f>MAX($F$1366:F1457)</f>
        <v>1.1541</v>
      </c>
      <c r="I1457" s="11">
        <f t="shared" si="33"/>
        <v>0.000433238020968618</v>
      </c>
      <c r="J1457" s="9"/>
      <c r="K1457" s="11"/>
      <c r="L1457" s="9"/>
      <c r="M1457" s="11"/>
      <c r="N1457" s="9" t="s">
        <v>793</v>
      </c>
    </row>
    <row r="1458" ht="25" customHeight="1" spans="1:14">
      <c r="A1458" s="9" t="s">
        <v>90</v>
      </c>
      <c r="B1458" s="9" t="s">
        <v>88</v>
      </c>
      <c r="C1458" s="10">
        <v>44946</v>
      </c>
      <c r="D1458" s="15">
        <v>1.0504</v>
      </c>
      <c r="E1458" s="15">
        <v>1.1504</v>
      </c>
      <c r="F1458" s="15">
        <v>1.1542</v>
      </c>
      <c r="G1458" s="11">
        <v>0.0005</v>
      </c>
      <c r="H1458" s="9">
        <f>MAX($F$1366:F1458)</f>
        <v>1.1542</v>
      </c>
      <c r="I1458" s="11">
        <f t="shared" si="33"/>
        <v>0</v>
      </c>
      <c r="J1458" s="9"/>
      <c r="K1458" s="11"/>
      <c r="L1458" s="9"/>
      <c r="M1458" s="11"/>
      <c r="N1458" s="9" t="s">
        <v>793</v>
      </c>
    </row>
    <row r="1459" ht="25" customHeight="1" spans="1:14">
      <c r="A1459" s="9" t="s">
        <v>90</v>
      </c>
      <c r="B1459" s="9" t="s">
        <v>88</v>
      </c>
      <c r="C1459" s="10">
        <v>44960</v>
      </c>
      <c r="D1459" s="15">
        <v>1.051</v>
      </c>
      <c r="E1459" s="15">
        <v>1.151</v>
      </c>
      <c r="F1459" s="15">
        <v>1.1549</v>
      </c>
      <c r="G1459" s="11">
        <v>0.0006</v>
      </c>
      <c r="H1459" s="9">
        <f>MAX($F$1366:F1459)</f>
        <v>1.1549</v>
      </c>
      <c r="I1459" s="11">
        <f t="shared" si="33"/>
        <v>0</v>
      </c>
      <c r="J1459" s="9"/>
      <c r="K1459" s="11"/>
      <c r="L1459" s="9"/>
      <c r="M1459" s="11"/>
      <c r="N1459" s="9" t="s">
        <v>793</v>
      </c>
    </row>
    <row r="1460" ht="25" customHeight="1" spans="1:14">
      <c r="A1460" s="9" t="s">
        <v>90</v>
      </c>
      <c r="B1460" s="9" t="s">
        <v>88</v>
      </c>
      <c r="C1460" s="10">
        <v>44967</v>
      </c>
      <c r="D1460" s="15">
        <v>1.0496</v>
      </c>
      <c r="E1460" s="15">
        <v>1.1496</v>
      </c>
      <c r="F1460" s="15">
        <v>1.1533</v>
      </c>
      <c r="G1460" s="11">
        <v>-0.0013</v>
      </c>
      <c r="H1460" s="9">
        <f>MAX($F$1366:F1460)</f>
        <v>1.1549</v>
      </c>
      <c r="I1460" s="11">
        <f t="shared" si="33"/>
        <v>0.00138540133344878</v>
      </c>
      <c r="J1460" s="9"/>
      <c r="K1460" s="11"/>
      <c r="L1460" s="9"/>
      <c r="M1460" s="11"/>
      <c r="N1460" s="9" t="s">
        <v>793</v>
      </c>
    </row>
    <row r="1461" ht="25" customHeight="1" spans="1:14">
      <c r="A1461" s="9" t="s">
        <v>90</v>
      </c>
      <c r="B1461" s="9" t="s">
        <v>88</v>
      </c>
      <c r="C1461" s="10">
        <v>44974</v>
      </c>
      <c r="D1461" s="15">
        <v>1.0503</v>
      </c>
      <c r="E1461" s="15">
        <v>1.1503</v>
      </c>
      <c r="F1461" s="15">
        <v>1.1541</v>
      </c>
      <c r="G1461" s="11">
        <v>0.0007</v>
      </c>
      <c r="H1461" s="9">
        <f>MAX($F$1366:F1461)</f>
        <v>1.1549</v>
      </c>
      <c r="I1461" s="11">
        <f t="shared" si="33"/>
        <v>0.000692700666724555</v>
      </c>
      <c r="J1461" s="9"/>
      <c r="K1461" s="11"/>
      <c r="L1461" s="9"/>
      <c r="M1461" s="11"/>
      <c r="N1461" s="9" t="s">
        <v>793</v>
      </c>
    </row>
    <row r="1462" ht="25" customHeight="1" spans="1:14">
      <c r="A1462" s="9" t="s">
        <v>90</v>
      </c>
      <c r="B1462" s="9" t="s">
        <v>88</v>
      </c>
      <c r="C1462" s="10">
        <v>44981</v>
      </c>
      <c r="D1462" s="15">
        <v>1.0496</v>
      </c>
      <c r="E1462" s="15">
        <v>1.1496</v>
      </c>
      <c r="F1462" s="15">
        <v>1.1533</v>
      </c>
      <c r="G1462" s="11">
        <v>-0.0007</v>
      </c>
      <c r="H1462" s="9">
        <f>MAX($F$1366:F1462)</f>
        <v>1.1549</v>
      </c>
      <c r="I1462" s="11">
        <f t="shared" si="33"/>
        <v>0.00138540133344878</v>
      </c>
      <c r="J1462" s="9"/>
      <c r="K1462" s="11"/>
      <c r="L1462" s="9"/>
      <c r="M1462" s="11"/>
      <c r="N1462" s="9" t="s">
        <v>793</v>
      </c>
    </row>
    <row r="1463" ht="25" customHeight="1" spans="1:14">
      <c r="A1463" s="9" t="s">
        <v>90</v>
      </c>
      <c r="B1463" s="9" t="s">
        <v>88</v>
      </c>
      <c r="C1463" s="10">
        <v>44988</v>
      </c>
      <c r="D1463" s="15">
        <v>1.0491</v>
      </c>
      <c r="E1463" s="15">
        <v>1.1491</v>
      </c>
      <c r="F1463" s="15">
        <v>1.1528</v>
      </c>
      <c r="G1463" s="11">
        <v>-0.0005</v>
      </c>
      <c r="H1463" s="9">
        <f>MAX($F$1366:F1463)</f>
        <v>1.1549</v>
      </c>
      <c r="I1463" s="11">
        <f t="shared" si="33"/>
        <v>0.00181833925015151</v>
      </c>
      <c r="J1463" s="9"/>
      <c r="K1463" s="11"/>
      <c r="L1463" s="9"/>
      <c r="M1463" s="11"/>
      <c r="N1463" s="9" t="s">
        <v>793</v>
      </c>
    </row>
    <row r="1464" ht="25" customHeight="1" spans="1:14">
      <c r="A1464" s="9" t="s">
        <v>90</v>
      </c>
      <c r="B1464" s="9" t="s">
        <v>88</v>
      </c>
      <c r="C1464" s="10">
        <v>44995</v>
      </c>
      <c r="D1464" s="15">
        <v>1.0493</v>
      </c>
      <c r="E1464" s="15">
        <v>1.1493</v>
      </c>
      <c r="F1464" s="15">
        <v>1.153</v>
      </c>
      <c r="G1464" s="11">
        <v>0.0002</v>
      </c>
      <c r="H1464" s="9">
        <f>MAX($F$1366:F1464)</f>
        <v>1.1549</v>
      </c>
      <c r="I1464" s="11">
        <f t="shared" si="33"/>
        <v>0.00164516408347049</v>
      </c>
      <c r="J1464" s="9"/>
      <c r="K1464" s="11"/>
      <c r="L1464" s="9"/>
      <c r="M1464" s="11"/>
      <c r="N1464" s="9" t="s">
        <v>793</v>
      </c>
    </row>
    <row r="1465" ht="25" customHeight="1" spans="1:14">
      <c r="A1465" s="9" t="s">
        <v>90</v>
      </c>
      <c r="B1465" s="9" t="s">
        <v>88</v>
      </c>
      <c r="C1465" s="10">
        <v>45002</v>
      </c>
      <c r="D1465" s="15">
        <v>1.0488</v>
      </c>
      <c r="E1465" s="15">
        <v>1.1488</v>
      </c>
      <c r="F1465" s="15">
        <v>1.1524</v>
      </c>
      <c r="G1465" s="11">
        <v>-0.0005</v>
      </c>
      <c r="H1465" s="9">
        <f>MAX($F$1366:F1465)</f>
        <v>1.1549</v>
      </c>
      <c r="I1465" s="11">
        <f t="shared" si="33"/>
        <v>0.00216468958351368</v>
      </c>
      <c r="J1465" s="9"/>
      <c r="K1465" s="11"/>
      <c r="L1465" s="9"/>
      <c r="M1465" s="11"/>
      <c r="N1465" s="9" t="s">
        <v>793</v>
      </c>
    </row>
    <row r="1466" ht="25" customHeight="1" spans="1:14">
      <c r="A1466" s="9" t="s">
        <v>90</v>
      </c>
      <c r="B1466" s="9" t="s">
        <v>88</v>
      </c>
      <c r="C1466" s="10">
        <v>45009</v>
      </c>
      <c r="D1466" s="15">
        <v>1.049</v>
      </c>
      <c r="E1466" s="15">
        <v>1.149</v>
      </c>
      <c r="F1466" s="15">
        <v>1.1527</v>
      </c>
      <c r="G1466" s="11">
        <v>0.0002</v>
      </c>
      <c r="H1466" s="9">
        <f>MAX($F$1366:F1466)</f>
        <v>1.1549</v>
      </c>
      <c r="I1466" s="11">
        <f t="shared" si="33"/>
        <v>0.00190492683349208</v>
      </c>
      <c r="J1466" s="9"/>
      <c r="K1466" s="11"/>
      <c r="L1466" s="9"/>
      <c r="M1466" s="11"/>
      <c r="N1466" s="9" t="s">
        <v>793</v>
      </c>
    </row>
    <row r="1467" ht="25" customHeight="1" spans="1:14">
      <c r="A1467" s="9" t="s">
        <v>90</v>
      </c>
      <c r="B1467" s="9" t="s">
        <v>88</v>
      </c>
      <c r="C1467" s="10">
        <v>45016</v>
      </c>
      <c r="D1467" s="15">
        <v>1.0476</v>
      </c>
      <c r="E1467" s="15">
        <v>1.1476</v>
      </c>
      <c r="F1467" s="15">
        <v>1.1511</v>
      </c>
      <c r="G1467" s="11">
        <v>-0.0013</v>
      </c>
      <c r="H1467" s="9">
        <f>MAX($F$1366:F1467)</f>
        <v>1.1549</v>
      </c>
      <c r="I1467" s="11">
        <f t="shared" si="33"/>
        <v>0.00329032816694086</v>
      </c>
      <c r="J1467" s="9"/>
      <c r="K1467" s="11"/>
      <c r="L1467" s="9"/>
      <c r="M1467" s="11"/>
      <c r="N1467" s="9" t="s">
        <v>793</v>
      </c>
    </row>
    <row r="1468" ht="25" customHeight="1" spans="1:14">
      <c r="A1468" s="9" t="s">
        <v>90</v>
      </c>
      <c r="B1468" s="9" t="s">
        <v>88</v>
      </c>
      <c r="C1468" s="10">
        <v>45023</v>
      </c>
      <c r="D1468" s="15">
        <v>1.0474</v>
      </c>
      <c r="E1468" s="15">
        <v>1.1474</v>
      </c>
      <c r="F1468" s="15">
        <v>1.1509</v>
      </c>
      <c r="G1468" s="11">
        <v>-0.0002</v>
      </c>
      <c r="H1468" s="9">
        <f>MAX($F$1366:F1468)</f>
        <v>1.1549</v>
      </c>
      <c r="I1468" s="11">
        <f t="shared" si="33"/>
        <v>0.003463503333622</v>
      </c>
      <c r="J1468" s="9"/>
      <c r="K1468" s="11"/>
      <c r="L1468" s="9"/>
      <c r="M1468" s="11"/>
      <c r="N1468" s="9" t="s">
        <v>793</v>
      </c>
    </row>
    <row r="1469" ht="25" customHeight="1" spans="1:14">
      <c r="A1469" s="9" t="s">
        <v>90</v>
      </c>
      <c r="B1469" s="9" t="s">
        <v>88</v>
      </c>
      <c r="C1469" s="10">
        <v>45030</v>
      </c>
      <c r="D1469" s="15">
        <v>1.0475</v>
      </c>
      <c r="E1469" s="15">
        <v>1.1475</v>
      </c>
      <c r="F1469" s="15">
        <v>1.151</v>
      </c>
      <c r="G1469" s="11">
        <v>0.0001</v>
      </c>
      <c r="H1469" s="9">
        <f>MAX($F$1366:F1469)</f>
        <v>1.1549</v>
      </c>
      <c r="I1469" s="11">
        <f t="shared" si="33"/>
        <v>0.00337691575028143</v>
      </c>
      <c r="J1469" s="9"/>
      <c r="K1469" s="11"/>
      <c r="L1469" s="9"/>
      <c r="M1469" s="11"/>
      <c r="N1469" s="9" t="s">
        <v>793</v>
      </c>
    </row>
    <row r="1470" ht="25" customHeight="1" spans="1:14">
      <c r="A1470" s="9" t="s">
        <v>90</v>
      </c>
      <c r="B1470" s="9" t="s">
        <v>88</v>
      </c>
      <c r="C1470" s="10">
        <v>45037</v>
      </c>
      <c r="D1470" s="15">
        <v>1.0484</v>
      </c>
      <c r="E1470" s="15">
        <v>1.1484</v>
      </c>
      <c r="F1470" s="15">
        <v>1.152</v>
      </c>
      <c r="G1470" s="11">
        <v>0.0009</v>
      </c>
      <c r="H1470" s="9">
        <f>MAX($F$1366:F1470)</f>
        <v>1.1549</v>
      </c>
      <c r="I1470" s="11">
        <f t="shared" si="33"/>
        <v>0.00251103991687607</v>
      </c>
      <c r="J1470" s="9"/>
      <c r="K1470" s="11"/>
      <c r="L1470" s="9"/>
      <c r="M1470" s="11"/>
      <c r="N1470" s="9" t="s">
        <v>793</v>
      </c>
    </row>
    <row r="1471" ht="25" customHeight="1" spans="1:14">
      <c r="A1471" s="9" t="s">
        <v>90</v>
      </c>
      <c r="B1471" s="9" t="s">
        <v>88</v>
      </c>
      <c r="C1471" s="10">
        <v>45044</v>
      </c>
      <c r="D1471" s="15">
        <v>1.0482</v>
      </c>
      <c r="E1471" s="15">
        <v>1.1482</v>
      </c>
      <c r="F1471" s="15">
        <v>1.1518</v>
      </c>
      <c r="G1471" s="11">
        <v>-0.0002</v>
      </c>
      <c r="H1471" s="9">
        <f>MAX($F$1366:F1471)</f>
        <v>1.1549</v>
      </c>
      <c r="I1471" s="11">
        <f t="shared" si="33"/>
        <v>0.0026842150835571</v>
      </c>
      <c r="J1471" s="9"/>
      <c r="K1471" s="11"/>
      <c r="L1471" s="9"/>
      <c r="M1471" s="11"/>
      <c r="N1471" s="9" t="s">
        <v>793</v>
      </c>
    </row>
    <row r="1472" ht="25" customHeight="1" spans="1:14">
      <c r="A1472" s="9" t="s">
        <v>90</v>
      </c>
      <c r="B1472" s="9" t="s">
        <v>88</v>
      </c>
      <c r="C1472" s="10">
        <v>45051</v>
      </c>
      <c r="D1472" s="15">
        <v>1.049</v>
      </c>
      <c r="E1472" s="15">
        <v>1.149</v>
      </c>
      <c r="F1472" s="15">
        <v>1.1527</v>
      </c>
      <c r="G1472" s="11">
        <v>0.0008</v>
      </c>
      <c r="H1472" s="9">
        <f>MAX($F$1366:F1472)</f>
        <v>1.1549</v>
      </c>
      <c r="I1472" s="11">
        <f t="shared" si="33"/>
        <v>0.00190492683349208</v>
      </c>
      <c r="J1472" s="9"/>
      <c r="K1472" s="11"/>
      <c r="L1472" s="9"/>
      <c r="M1472" s="11"/>
      <c r="N1472" s="9" t="s">
        <v>793</v>
      </c>
    </row>
    <row r="1473" ht="25" customHeight="1" spans="1:14">
      <c r="A1473" s="9" t="s">
        <v>90</v>
      </c>
      <c r="B1473" s="9" t="s">
        <v>88</v>
      </c>
      <c r="C1473" s="10">
        <v>45058</v>
      </c>
      <c r="D1473" s="15">
        <v>1.0515</v>
      </c>
      <c r="E1473" s="15">
        <v>1.1515</v>
      </c>
      <c r="F1473" s="15">
        <v>1.1554</v>
      </c>
      <c r="G1473" s="11">
        <v>0.0024</v>
      </c>
      <c r="H1473" s="9">
        <f>MAX($F$1366:F1473)</f>
        <v>1.1554</v>
      </c>
      <c r="I1473" s="11">
        <f t="shared" si="33"/>
        <v>0</v>
      </c>
      <c r="J1473" s="9"/>
      <c r="K1473" s="11"/>
      <c r="L1473" s="9"/>
      <c r="M1473" s="11"/>
      <c r="N1473" s="9" t="s">
        <v>793</v>
      </c>
    </row>
    <row r="1474" ht="25" customHeight="1" spans="1:14">
      <c r="A1474" s="9" t="s">
        <v>90</v>
      </c>
      <c r="B1474" s="9" t="s">
        <v>88</v>
      </c>
      <c r="C1474" s="10">
        <v>45065</v>
      </c>
      <c r="D1474" s="15">
        <v>1.0522</v>
      </c>
      <c r="E1474" s="15">
        <v>1.1522</v>
      </c>
      <c r="F1474" s="15">
        <v>1.1562</v>
      </c>
      <c r="G1474" s="11">
        <v>0.0007</v>
      </c>
      <c r="H1474" s="9">
        <f>MAX($F$1366:F1474)</f>
        <v>1.1562</v>
      </c>
      <c r="I1474" s="11">
        <f t="shared" ref="I1474:I1537" si="34">1-F1474/H1474</f>
        <v>0</v>
      </c>
      <c r="J1474" s="9"/>
      <c r="K1474" s="11"/>
      <c r="L1474" s="9"/>
      <c r="M1474" s="11"/>
      <c r="N1474" s="9" t="s">
        <v>793</v>
      </c>
    </row>
    <row r="1475" ht="25" customHeight="1" spans="1:14">
      <c r="A1475" s="9" t="s">
        <v>90</v>
      </c>
      <c r="B1475" s="9" t="s">
        <v>88</v>
      </c>
      <c r="C1475" s="10">
        <v>45072</v>
      </c>
      <c r="D1475" s="15">
        <v>1.053</v>
      </c>
      <c r="E1475" s="15">
        <v>1.153</v>
      </c>
      <c r="F1475" s="15">
        <v>1.1571</v>
      </c>
      <c r="G1475" s="11">
        <v>0.0008</v>
      </c>
      <c r="H1475" s="9">
        <f>MAX($F$1366:F1475)</f>
        <v>1.1571</v>
      </c>
      <c r="I1475" s="11">
        <f t="shared" si="34"/>
        <v>0</v>
      </c>
      <c r="J1475" s="9"/>
      <c r="K1475" s="11"/>
      <c r="L1475" s="9"/>
      <c r="M1475" s="11"/>
      <c r="N1475" s="9" t="s">
        <v>793</v>
      </c>
    </row>
    <row r="1476" ht="25" customHeight="1" spans="1:14">
      <c r="A1476" s="9" t="s">
        <v>90</v>
      </c>
      <c r="B1476" s="9" t="s">
        <v>88</v>
      </c>
      <c r="C1476" s="10">
        <v>45079</v>
      </c>
      <c r="D1476" s="15">
        <v>1.053</v>
      </c>
      <c r="E1476" s="15">
        <v>1.153</v>
      </c>
      <c r="F1476" s="15">
        <v>1.1571</v>
      </c>
      <c r="G1476" s="11">
        <v>0</v>
      </c>
      <c r="H1476" s="9">
        <f>MAX($F$1366:F1476)</f>
        <v>1.1571</v>
      </c>
      <c r="I1476" s="11">
        <f t="shared" si="34"/>
        <v>0</v>
      </c>
      <c r="J1476" s="9"/>
      <c r="K1476" s="11"/>
      <c r="L1476" s="9"/>
      <c r="M1476" s="11"/>
      <c r="N1476" s="9" t="s">
        <v>793</v>
      </c>
    </row>
    <row r="1477" ht="25" customHeight="1" spans="1:14">
      <c r="A1477" s="9" t="s">
        <v>90</v>
      </c>
      <c r="B1477" s="9" t="s">
        <v>88</v>
      </c>
      <c r="C1477" s="10">
        <v>45086</v>
      </c>
      <c r="D1477" s="15">
        <v>1.0548</v>
      </c>
      <c r="E1477" s="15">
        <v>1.1548</v>
      </c>
      <c r="F1477" s="15">
        <v>1.159</v>
      </c>
      <c r="G1477" s="11">
        <v>0.0017</v>
      </c>
      <c r="H1477" s="9">
        <f>MAX($F$1366:F1477)</f>
        <v>1.159</v>
      </c>
      <c r="I1477" s="11">
        <f t="shared" si="34"/>
        <v>0</v>
      </c>
      <c r="J1477" s="9"/>
      <c r="K1477" s="11"/>
      <c r="L1477" s="9"/>
      <c r="M1477" s="11"/>
      <c r="N1477" s="9" t="s">
        <v>793</v>
      </c>
    </row>
    <row r="1478" ht="25" customHeight="1" spans="1:14">
      <c r="A1478" s="9" t="s">
        <v>90</v>
      </c>
      <c r="B1478" s="9" t="s">
        <v>88</v>
      </c>
      <c r="C1478" s="10">
        <v>45093</v>
      </c>
      <c r="D1478" s="15">
        <v>1.057</v>
      </c>
      <c r="E1478" s="15">
        <v>1.157</v>
      </c>
      <c r="F1478" s="15">
        <v>1.1614</v>
      </c>
      <c r="G1478" s="11">
        <v>0.0021</v>
      </c>
      <c r="H1478" s="9">
        <f>MAX($F$1366:F1478)</f>
        <v>1.1614</v>
      </c>
      <c r="I1478" s="11">
        <f t="shared" si="34"/>
        <v>0</v>
      </c>
      <c r="J1478" s="9"/>
      <c r="K1478" s="11"/>
      <c r="L1478" s="9"/>
      <c r="M1478" s="11"/>
      <c r="N1478" s="9" t="s">
        <v>793</v>
      </c>
    </row>
    <row r="1479" ht="25" customHeight="1" spans="1:14">
      <c r="A1479" s="9" t="s">
        <v>90</v>
      </c>
      <c r="B1479" s="9" t="s">
        <v>88</v>
      </c>
      <c r="C1479" s="10">
        <v>45098</v>
      </c>
      <c r="D1479" s="15">
        <v>1.057</v>
      </c>
      <c r="E1479" s="15">
        <v>1.157</v>
      </c>
      <c r="F1479" s="15">
        <v>1.1614</v>
      </c>
      <c r="G1479" s="11">
        <v>0</v>
      </c>
      <c r="H1479" s="9">
        <f>MAX($F$1366:F1479)</f>
        <v>1.1614</v>
      </c>
      <c r="I1479" s="11">
        <f t="shared" si="34"/>
        <v>0</v>
      </c>
      <c r="J1479" s="9"/>
      <c r="K1479" s="11"/>
      <c r="L1479" s="9"/>
      <c r="M1479" s="11"/>
      <c r="N1479" s="9" t="s">
        <v>793</v>
      </c>
    </row>
    <row r="1480" ht="25" customHeight="1" spans="1:14">
      <c r="A1480" s="9" t="s">
        <v>90</v>
      </c>
      <c r="B1480" s="9" t="s">
        <v>88</v>
      </c>
      <c r="C1480" s="10">
        <v>45107</v>
      </c>
      <c r="D1480" s="15">
        <v>1.0571</v>
      </c>
      <c r="E1480" s="15">
        <v>1.1571</v>
      </c>
      <c r="F1480" s="15">
        <v>1.1616</v>
      </c>
      <c r="G1480" s="11">
        <v>0.0001</v>
      </c>
      <c r="H1480" s="9">
        <f>MAX($F$1366:F1480)</f>
        <v>1.1616</v>
      </c>
      <c r="I1480" s="11">
        <f t="shared" si="34"/>
        <v>0</v>
      </c>
      <c r="J1480" s="9"/>
      <c r="K1480" s="11"/>
      <c r="L1480" s="9"/>
      <c r="M1480" s="11"/>
      <c r="N1480" s="9" t="s">
        <v>793</v>
      </c>
    </row>
    <row r="1481" ht="25" customHeight="1" spans="1:14">
      <c r="A1481" s="9" t="s">
        <v>90</v>
      </c>
      <c r="B1481" s="9" t="s">
        <v>88</v>
      </c>
      <c r="C1481" s="10">
        <v>45114</v>
      </c>
      <c r="D1481" s="15">
        <v>1.0576</v>
      </c>
      <c r="E1481" s="15">
        <v>1.1576</v>
      </c>
      <c r="F1481" s="15">
        <v>1.1621</v>
      </c>
      <c r="G1481" s="11">
        <v>0.0005</v>
      </c>
      <c r="H1481" s="9">
        <f>MAX($F$1366:F1481)</f>
        <v>1.1621</v>
      </c>
      <c r="I1481" s="11">
        <f t="shared" si="34"/>
        <v>0</v>
      </c>
      <c r="J1481" s="9"/>
      <c r="K1481" s="11"/>
      <c r="L1481" s="9"/>
      <c r="M1481" s="11"/>
      <c r="N1481" s="9" t="s">
        <v>793</v>
      </c>
    </row>
    <row r="1482" ht="25" customHeight="1" spans="1:14">
      <c r="A1482" s="9" t="s">
        <v>90</v>
      </c>
      <c r="B1482" s="9" t="s">
        <v>88</v>
      </c>
      <c r="C1482" s="10">
        <v>45121</v>
      </c>
      <c r="D1482" s="15">
        <v>1.0587</v>
      </c>
      <c r="E1482" s="15">
        <v>1.1587</v>
      </c>
      <c r="F1482" s="15">
        <v>1.1633</v>
      </c>
      <c r="G1482" s="11">
        <v>0.001</v>
      </c>
      <c r="H1482" s="9">
        <f>MAX($F$1366:F1482)</f>
        <v>1.1633</v>
      </c>
      <c r="I1482" s="11">
        <f t="shared" si="34"/>
        <v>0</v>
      </c>
      <c r="J1482" s="9"/>
      <c r="K1482" s="11"/>
      <c r="L1482" s="9"/>
      <c r="M1482" s="11"/>
      <c r="N1482" s="9" t="s">
        <v>793</v>
      </c>
    </row>
    <row r="1483" ht="25" customHeight="1" spans="1:14">
      <c r="A1483" s="9" t="s">
        <v>90</v>
      </c>
      <c r="B1483" s="9" t="s">
        <v>88</v>
      </c>
      <c r="C1483" s="10">
        <v>45128</v>
      </c>
      <c r="D1483" s="15">
        <v>1.0582</v>
      </c>
      <c r="E1483" s="15">
        <v>1.1582</v>
      </c>
      <c r="F1483" s="15">
        <v>1.1628</v>
      </c>
      <c r="G1483" s="11">
        <v>-0.0005</v>
      </c>
      <c r="H1483" s="9">
        <f>MAX($F$1366:F1483)</f>
        <v>1.1633</v>
      </c>
      <c r="I1483" s="11">
        <f t="shared" si="34"/>
        <v>0.000429811742456709</v>
      </c>
      <c r="J1483" s="9"/>
      <c r="K1483" s="11"/>
      <c r="L1483" s="9"/>
      <c r="M1483" s="11"/>
      <c r="N1483" s="9" t="s">
        <v>793</v>
      </c>
    </row>
    <row r="1484" ht="25" customHeight="1" spans="1:14">
      <c r="A1484" s="9" t="s">
        <v>90</v>
      </c>
      <c r="B1484" s="9" t="s">
        <v>88</v>
      </c>
      <c r="C1484" s="10">
        <v>45135</v>
      </c>
      <c r="D1484" s="15">
        <v>1.0584</v>
      </c>
      <c r="E1484" s="15">
        <v>1.1584</v>
      </c>
      <c r="F1484" s="15">
        <v>1.163</v>
      </c>
      <c r="G1484" s="11">
        <v>0.0002</v>
      </c>
      <c r="H1484" s="9">
        <f>MAX($F$1366:F1484)</f>
        <v>1.1633</v>
      </c>
      <c r="I1484" s="11">
        <f t="shared" si="34"/>
        <v>0.000257887045474026</v>
      </c>
      <c r="J1484" s="9"/>
      <c r="K1484" s="11"/>
      <c r="L1484" s="9"/>
      <c r="M1484" s="11"/>
      <c r="N1484" s="9" t="s">
        <v>793</v>
      </c>
    </row>
    <row r="1485" ht="25" customHeight="1" spans="1:14">
      <c r="A1485" s="9" t="s">
        <v>90</v>
      </c>
      <c r="B1485" s="9" t="s">
        <v>88</v>
      </c>
      <c r="C1485" s="10">
        <v>45142</v>
      </c>
      <c r="D1485" s="15">
        <v>1.059</v>
      </c>
      <c r="E1485" s="15">
        <v>1.159</v>
      </c>
      <c r="F1485" s="15">
        <v>1.1636</v>
      </c>
      <c r="G1485" s="11">
        <v>0.0006</v>
      </c>
      <c r="H1485" s="9">
        <f>MAX($F$1366:F1485)</f>
        <v>1.1636</v>
      </c>
      <c r="I1485" s="11">
        <f t="shared" si="34"/>
        <v>0</v>
      </c>
      <c r="J1485" s="9"/>
      <c r="K1485" s="11"/>
      <c r="L1485" s="9"/>
      <c r="M1485" s="11"/>
      <c r="N1485" s="9" t="s">
        <v>793</v>
      </c>
    </row>
    <row r="1486" ht="25" customHeight="1" spans="1:14">
      <c r="A1486" s="9" t="s">
        <v>90</v>
      </c>
      <c r="B1486" s="9" t="s">
        <v>88</v>
      </c>
      <c r="C1486" s="10">
        <v>45149</v>
      </c>
      <c r="D1486" s="15">
        <v>1.0591</v>
      </c>
      <c r="E1486" s="15">
        <v>1.1591</v>
      </c>
      <c r="F1486" s="15">
        <v>1.1638</v>
      </c>
      <c r="G1486" s="11">
        <v>0.0001</v>
      </c>
      <c r="H1486" s="9">
        <f>MAX($F$1366:F1486)</f>
        <v>1.1638</v>
      </c>
      <c r="I1486" s="11">
        <f t="shared" si="34"/>
        <v>0</v>
      </c>
      <c r="J1486" s="9"/>
      <c r="K1486" s="11"/>
      <c r="L1486" s="9"/>
      <c r="M1486" s="11"/>
      <c r="N1486" s="9" t="s">
        <v>793</v>
      </c>
    </row>
    <row r="1487" ht="25" customHeight="1" spans="1:14">
      <c r="A1487" s="9" t="s">
        <v>90</v>
      </c>
      <c r="B1487" s="9" t="s">
        <v>88</v>
      </c>
      <c r="C1487" s="10">
        <v>45156</v>
      </c>
      <c r="D1487" s="15">
        <v>1.0603</v>
      </c>
      <c r="E1487" s="15">
        <v>1.1603</v>
      </c>
      <c r="F1487" s="15">
        <v>1.1651</v>
      </c>
      <c r="G1487" s="11">
        <v>0.0011</v>
      </c>
      <c r="H1487" s="9">
        <f>MAX($F$1366:F1487)</f>
        <v>1.1651</v>
      </c>
      <c r="I1487" s="11">
        <f t="shared" si="34"/>
        <v>0</v>
      </c>
      <c r="J1487" s="9"/>
      <c r="K1487" s="11"/>
      <c r="L1487" s="9"/>
      <c r="M1487" s="11"/>
      <c r="N1487" s="9" t="s">
        <v>793</v>
      </c>
    </row>
    <row r="1488" ht="25" customHeight="1" spans="1:14">
      <c r="A1488" s="9" t="s">
        <v>90</v>
      </c>
      <c r="B1488" s="9" t="s">
        <v>88</v>
      </c>
      <c r="C1488" s="10">
        <v>45163</v>
      </c>
      <c r="D1488" s="15">
        <v>1.0597</v>
      </c>
      <c r="E1488" s="15">
        <v>1.1597</v>
      </c>
      <c r="F1488" s="15">
        <v>1.1644</v>
      </c>
      <c r="G1488" s="11">
        <v>-0.0006</v>
      </c>
      <c r="H1488" s="9">
        <f>MAX($F$1366:F1488)</f>
        <v>1.1651</v>
      </c>
      <c r="I1488" s="11">
        <f t="shared" si="34"/>
        <v>0.000600806797699693</v>
      </c>
      <c r="J1488" s="9"/>
      <c r="K1488" s="11"/>
      <c r="L1488" s="9"/>
      <c r="M1488" s="11"/>
      <c r="N1488" s="9" t="s">
        <v>793</v>
      </c>
    </row>
    <row r="1489" ht="25" customHeight="1" spans="1:14">
      <c r="A1489" s="9" t="s">
        <v>90</v>
      </c>
      <c r="B1489" s="9" t="s">
        <v>88</v>
      </c>
      <c r="C1489" s="10">
        <v>45170</v>
      </c>
      <c r="D1489" s="15">
        <v>1.0616</v>
      </c>
      <c r="E1489" s="15">
        <v>1.1616</v>
      </c>
      <c r="F1489" s="15">
        <v>1.1665</v>
      </c>
      <c r="G1489" s="11">
        <v>0.0018</v>
      </c>
      <c r="H1489" s="9">
        <f>MAX($F$1366:F1489)</f>
        <v>1.1665</v>
      </c>
      <c r="I1489" s="11">
        <f t="shared" si="34"/>
        <v>0</v>
      </c>
      <c r="J1489" s="9"/>
      <c r="K1489" s="11"/>
      <c r="L1489" s="9">
        <f>MAX($F$1489:F1489)</f>
        <v>1.1665</v>
      </c>
      <c r="M1489" s="11">
        <f t="shared" ref="M1489:M1552" si="35">1-F1489/L1489</f>
        <v>0</v>
      </c>
      <c r="N1489" s="9" t="s">
        <v>793</v>
      </c>
    </row>
    <row r="1490" ht="25" customHeight="1" spans="1:14">
      <c r="A1490" s="9" t="s">
        <v>90</v>
      </c>
      <c r="B1490" s="9" t="s">
        <v>88</v>
      </c>
      <c r="C1490" s="10">
        <v>45177</v>
      </c>
      <c r="D1490" s="15">
        <v>1.0608</v>
      </c>
      <c r="E1490" s="15">
        <v>1.1608</v>
      </c>
      <c r="F1490" s="15">
        <v>1.1656</v>
      </c>
      <c r="G1490" s="11">
        <v>-0.0008</v>
      </c>
      <c r="H1490" s="9">
        <f>MAX($F$1366:F1490)</f>
        <v>1.1665</v>
      </c>
      <c r="I1490" s="11">
        <f t="shared" si="34"/>
        <v>0.000771538791256021</v>
      </c>
      <c r="J1490" s="9"/>
      <c r="K1490" s="11"/>
      <c r="L1490" s="9">
        <f>MAX($F$1489:F1490)</f>
        <v>1.1665</v>
      </c>
      <c r="M1490" s="11">
        <f t="shared" si="35"/>
        <v>0.000771538791256021</v>
      </c>
      <c r="N1490" s="9" t="s">
        <v>793</v>
      </c>
    </row>
    <row r="1491" ht="25" customHeight="1" spans="1:14">
      <c r="A1491" s="9" t="s">
        <v>90</v>
      </c>
      <c r="B1491" s="9" t="s">
        <v>88</v>
      </c>
      <c r="C1491" s="10">
        <v>45184</v>
      </c>
      <c r="D1491" s="15">
        <v>1.0603</v>
      </c>
      <c r="E1491" s="15">
        <v>1.1603</v>
      </c>
      <c r="F1491" s="15">
        <v>1.1651</v>
      </c>
      <c r="G1491" s="11">
        <v>-0.0005</v>
      </c>
      <c r="H1491" s="9">
        <f>MAX($F$1366:F1491)</f>
        <v>1.1665</v>
      </c>
      <c r="I1491" s="11">
        <f t="shared" si="34"/>
        <v>0.00120017145306484</v>
      </c>
      <c r="J1491" s="9"/>
      <c r="K1491" s="11"/>
      <c r="L1491" s="9">
        <f>MAX($F$1489:F1491)</f>
        <v>1.1665</v>
      </c>
      <c r="M1491" s="11">
        <f t="shared" si="35"/>
        <v>0.00120017145306484</v>
      </c>
      <c r="N1491" s="9" t="s">
        <v>793</v>
      </c>
    </row>
    <row r="1492" ht="25" customHeight="1" spans="1:14">
      <c r="A1492" s="9" t="s">
        <v>90</v>
      </c>
      <c r="B1492" s="9" t="s">
        <v>88</v>
      </c>
      <c r="C1492" s="10">
        <v>45191</v>
      </c>
      <c r="D1492" s="15">
        <v>1.0595</v>
      </c>
      <c r="E1492" s="15">
        <v>1.1595</v>
      </c>
      <c r="F1492" s="15">
        <v>1.1642</v>
      </c>
      <c r="G1492" s="11">
        <v>-0.0008</v>
      </c>
      <c r="H1492" s="9">
        <f>MAX($F$1366:F1492)</f>
        <v>1.1665</v>
      </c>
      <c r="I1492" s="11">
        <f t="shared" si="34"/>
        <v>0.00197171024432075</v>
      </c>
      <c r="J1492" s="9"/>
      <c r="K1492" s="11"/>
      <c r="L1492" s="9">
        <f>MAX($F$1489:F1492)</f>
        <v>1.1665</v>
      </c>
      <c r="M1492" s="11">
        <f t="shared" si="35"/>
        <v>0.00197171024432075</v>
      </c>
      <c r="N1492" s="9" t="s">
        <v>793</v>
      </c>
    </row>
    <row r="1493" ht="25" customHeight="1" spans="1:14">
      <c r="A1493" s="9" t="s">
        <v>90</v>
      </c>
      <c r="B1493" s="9" t="s">
        <v>88</v>
      </c>
      <c r="C1493" s="10">
        <v>45197</v>
      </c>
      <c r="D1493" s="15">
        <v>1.0597</v>
      </c>
      <c r="E1493" s="15">
        <v>1.1597</v>
      </c>
      <c r="F1493" s="15">
        <v>1.1644</v>
      </c>
      <c r="G1493" s="11">
        <v>0.0002</v>
      </c>
      <c r="H1493" s="9">
        <f>MAX($F$1366:F1493)</f>
        <v>1.1665</v>
      </c>
      <c r="I1493" s="11">
        <f t="shared" si="34"/>
        <v>0.00180025717959709</v>
      </c>
      <c r="J1493" s="9"/>
      <c r="K1493" s="11"/>
      <c r="L1493" s="9">
        <f>MAX($F$1489:F1493)</f>
        <v>1.1665</v>
      </c>
      <c r="M1493" s="11">
        <f t="shared" si="35"/>
        <v>0.00180025717959709</v>
      </c>
      <c r="N1493" s="9" t="s">
        <v>793</v>
      </c>
    </row>
    <row r="1494" ht="25" customHeight="1" spans="1:14">
      <c r="A1494" s="9" t="s">
        <v>90</v>
      </c>
      <c r="B1494" s="9" t="s">
        <v>88</v>
      </c>
      <c r="C1494" s="10">
        <v>45212</v>
      </c>
      <c r="D1494" s="15">
        <v>1.06</v>
      </c>
      <c r="E1494" s="15">
        <v>1.16</v>
      </c>
      <c r="F1494" s="15">
        <v>1.1647</v>
      </c>
      <c r="G1494" s="11">
        <v>0.0003</v>
      </c>
      <c r="H1494" s="9">
        <f>MAX($F$1366:F1494)</f>
        <v>1.1665</v>
      </c>
      <c r="I1494" s="11">
        <f t="shared" si="34"/>
        <v>0.00154307758251182</v>
      </c>
      <c r="J1494" s="9"/>
      <c r="K1494" s="11"/>
      <c r="L1494" s="9">
        <f>MAX($F$1489:F1494)</f>
        <v>1.1665</v>
      </c>
      <c r="M1494" s="11">
        <f t="shared" si="35"/>
        <v>0.00154307758251182</v>
      </c>
      <c r="N1494" s="9" t="s">
        <v>793</v>
      </c>
    </row>
    <row r="1495" ht="25" customHeight="1" spans="1:14">
      <c r="A1495" s="9" t="s">
        <v>90</v>
      </c>
      <c r="B1495" s="9" t="s">
        <v>88</v>
      </c>
      <c r="C1495" s="10">
        <v>45219</v>
      </c>
      <c r="D1495" s="15">
        <v>1.0587</v>
      </c>
      <c r="E1495" s="15">
        <v>1.1587</v>
      </c>
      <c r="F1495" s="15">
        <v>1.1633</v>
      </c>
      <c r="G1495" s="11">
        <v>-0.0012</v>
      </c>
      <c r="H1495" s="9">
        <f>MAX($F$1366:F1495)</f>
        <v>1.1665</v>
      </c>
      <c r="I1495" s="11">
        <f t="shared" si="34"/>
        <v>0.00274324903557654</v>
      </c>
      <c r="J1495" s="9"/>
      <c r="K1495" s="11"/>
      <c r="L1495" s="9">
        <f>MAX($F$1489:F1495)</f>
        <v>1.1665</v>
      </c>
      <c r="M1495" s="11">
        <f t="shared" si="35"/>
        <v>0.00274324903557654</v>
      </c>
      <c r="N1495" s="9" t="s">
        <v>793</v>
      </c>
    </row>
    <row r="1496" ht="25" customHeight="1" spans="1:14">
      <c r="A1496" s="9" t="s">
        <v>90</v>
      </c>
      <c r="B1496" s="9" t="s">
        <v>88</v>
      </c>
      <c r="C1496" s="10">
        <v>45226</v>
      </c>
      <c r="D1496" s="15">
        <v>1.0575</v>
      </c>
      <c r="E1496" s="15">
        <v>1.1575</v>
      </c>
      <c r="F1496" s="15">
        <v>1.162</v>
      </c>
      <c r="G1496" s="11">
        <v>-0.0011</v>
      </c>
      <c r="H1496" s="9">
        <f>MAX($F$1366:F1496)</f>
        <v>1.1665</v>
      </c>
      <c r="I1496" s="11">
        <f t="shared" si="34"/>
        <v>0.00385769395627966</v>
      </c>
      <c r="J1496" s="9"/>
      <c r="K1496" s="11"/>
      <c r="L1496" s="9">
        <f>MAX($F$1489:F1496)</f>
        <v>1.1665</v>
      </c>
      <c r="M1496" s="11">
        <f t="shared" si="35"/>
        <v>0.00385769395627966</v>
      </c>
      <c r="N1496" s="9" t="s">
        <v>793</v>
      </c>
    </row>
    <row r="1497" ht="25" customHeight="1" spans="1:14">
      <c r="A1497" s="9" t="s">
        <v>90</v>
      </c>
      <c r="B1497" s="9" t="s">
        <v>88</v>
      </c>
      <c r="C1497" s="10">
        <v>45233</v>
      </c>
      <c r="D1497" s="15">
        <v>1.0575</v>
      </c>
      <c r="E1497" s="15">
        <v>1.1575</v>
      </c>
      <c r="F1497" s="15">
        <v>1.162</v>
      </c>
      <c r="G1497" s="11">
        <v>0</v>
      </c>
      <c r="H1497" s="9">
        <f>MAX($F$1366:F1497)</f>
        <v>1.1665</v>
      </c>
      <c r="I1497" s="11">
        <f t="shared" si="34"/>
        <v>0.00385769395627966</v>
      </c>
      <c r="J1497" s="9"/>
      <c r="K1497" s="11"/>
      <c r="L1497" s="9">
        <f>MAX($F$1489:F1497)</f>
        <v>1.1665</v>
      </c>
      <c r="M1497" s="11">
        <f t="shared" si="35"/>
        <v>0.00385769395627966</v>
      </c>
      <c r="N1497" s="9" t="s">
        <v>793</v>
      </c>
    </row>
    <row r="1498" ht="25" customHeight="1" spans="1:14">
      <c r="A1498" s="9" t="s">
        <v>90</v>
      </c>
      <c r="B1498" s="9" t="s">
        <v>88</v>
      </c>
      <c r="C1498" s="10">
        <v>45240</v>
      </c>
      <c r="D1498" s="15">
        <v>1.0563</v>
      </c>
      <c r="E1498" s="15">
        <v>1.1563</v>
      </c>
      <c r="F1498" s="15">
        <v>1.1607</v>
      </c>
      <c r="G1498" s="11">
        <v>-0.0011</v>
      </c>
      <c r="H1498" s="9">
        <f>MAX($F$1366:F1498)</f>
        <v>1.1665</v>
      </c>
      <c r="I1498" s="11">
        <f t="shared" si="34"/>
        <v>0.00497213887698245</v>
      </c>
      <c r="J1498" s="9"/>
      <c r="K1498" s="11"/>
      <c r="L1498" s="9">
        <f>MAX($F$1489:F1498)</f>
        <v>1.1665</v>
      </c>
      <c r="M1498" s="11">
        <f t="shared" si="35"/>
        <v>0.00497213887698245</v>
      </c>
      <c r="N1498" s="9" t="s">
        <v>793</v>
      </c>
    </row>
    <row r="1499" ht="25" customHeight="1" spans="1:14">
      <c r="A1499" s="9" t="s">
        <v>90</v>
      </c>
      <c r="B1499" s="9" t="s">
        <v>88</v>
      </c>
      <c r="C1499" s="10">
        <v>45247</v>
      </c>
      <c r="D1499" s="15">
        <v>1.0541</v>
      </c>
      <c r="E1499" s="15">
        <v>1.1541</v>
      </c>
      <c r="F1499" s="15">
        <v>1.1583</v>
      </c>
      <c r="G1499" s="11">
        <v>-0.0021</v>
      </c>
      <c r="H1499" s="9">
        <f>MAX($F$1366:F1499)</f>
        <v>1.1665</v>
      </c>
      <c r="I1499" s="11">
        <f t="shared" si="34"/>
        <v>0.0070295756536648</v>
      </c>
      <c r="J1499" s="9"/>
      <c r="K1499" s="11"/>
      <c r="L1499" s="9">
        <f>MAX($F$1489:F1499)</f>
        <v>1.1665</v>
      </c>
      <c r="M1499" s="11">
        <f t="shared" si="35"/>
        <v>0.0070295756536648</v>
      </c>
      <c r="N1499" s="9" t="s">
        <v>793</v>
      </c>
    </row>
    <row r="1500" ht="25" customHeight="1" spans="1:14">
      <c r="A1500" s="9" t="s">
        <v>90</v>
      </c>
      <c r="B1500" s="9" t="s">
        <v>88</v>
      </c>
      <c r="C1500" s="10">
        <v>45254</v>
      </c>
      <c r="D1500" s="15">
        <v>1.053</v>
      </c>
      <c r="E1500" s="15">
        <v>1.153</v>
      </c>
      <c r="F1500" s="15">
        <v>1.1571</v>
      </c>
      <c r="G1500" s="11">
        <v>-0.001</v>
      </c>
      <c r="H1500" s="9">
        <f>MAX($F$1366:F1500)</f>
        <v>1.1665</v>
      </c>
      <c r="I1500" s="11">
        <f t="shared" si="34"/>
        <v>0.00805829404200609</v>
      </c>
      <c r="J1500" s="9"/>
      <c r="K1500" s="11"/>
      <c r="L1500" s="9">
        <f>MAX($F$1489:F1500)</f>
        <v>1.1665</v>
      </c>
      <c r="M1500" s="11">
        <f t="shared" si="35"/>
        <v>0.00805829404200609</v>
      </c>
      <c r="N1500" s="9" t="s">
        <v>793</v>
      </c>
    </row>
    <row r="1501" ht="25" customHeight="1" spans="1:14">
      <c r="A1501" s="9" t="s">
        <v>90</v>
      </c>
      <c r="B1501" s="9" t="s">
        <v>88</v>
      </c>
      <c r="C1501" s="10">
        <v>45261</v>
      </c>
      <c r="D1501" s="15">
        <v>1.0519</v>
      </c>
      <c r="E1501" s="15">
        <v>1.1519</v>
      </c>
      <c r="F1501" s="15">
        <v>1.1558</v>
      </c>
      <c r="G1501" s="11">
        <v>-0.001</v>
      </c>
      <c r="H1501" s="9">
        <f>MAX($F$1366:F1501)</f>
        <v>1.1665</v>
      </c>
      <c r="I1501" s="11">
        <f t="shared" si="34"/>
        <v>0.00917273896270909</v>
      </c>
      <c r="J1501" s="9"/>
      <c r="K1501" s="11"/>
      <c r="L1501" s="9">
        <f>MAX($F$1489:F1501)</f>
        <v>1.1665</v>
      </c>
      <c r="M1501" s="11">
        <f t="shared" si="35"/>
        <v>0.00917273896270909</v>
      </c>
      <c r="N1501" s="9" t="s">
        <v>793</v>
      </c>
    </row>
    <row r="1502" ht="25" customHeight="1" spans="1:14">
      <c r="A1502" s="9" t="s">
        <v>90</v>
      </c>
      <c r="B1502" s="9" t="s">
        <v>88</v>
      </c>
      <c r="C1502" s="10">
        <v>45268</v>
      </c>
      <c r="D1502" s="15">
        <v>1.05</v>
      </c>
      <c r="E1502" s="15">
        <v>1.15</v>
      </c>
      <c r="F1502" s="15">
        <v>1.1538</v>
      </c>
      <c r="G1502" s="11">
        <v>-0.0018</v>
      </c>
      <c r="H1502" s="9">
        <f>MAX($F$1366:F1502)</f>
        <v>1.1665</v>
      </c>
      <c r="I1502" s="11">
        <f t="shared" si="34"/>
        <v>0.0108872696099445</v>
      </c>
      <c r="J1502" s="9"/>
      <c r="K1502" s="11"/>
      <c r="L1502" s="9">
        <f>MAX($F$1489:F1502)</f>
        <v>1.1665</v>
      </c>
      <c r="M1502" s="11">
        <f t="shared" si="35"/>
        <v>0.0108872696099445</v>
      </c>
      <c r="N1502" s="9" t="s">
        <v>793</v>
      </c>
    </row>
    <row r="1503" ht="25" customHeight="1" spans="1:14">
      <c r="A1503" s="9" t="s">
        <v>90</v>
      </c>
      <c r="B1503" s="9" t="s">
        <v>88</v>
      </c>
      <c r="C1503" s="10">
        <v>45275</v>
      </c>
      <c r="D1503" s="15">
        <v>1.0501</v>
      </c>
      <c r="E1503" s="15">
        <v>1.1501</v>
      </c>
      <c r="F1503" s="15">
        <v>1.1539</v>
      </c>
      <c r="G1503" s="11">
        <v>0.0001</v>
      </c>
      <c r="H1503" s="9">
        <f>MAX($F$1366:F1503)</f>
        <v>1.1665</v>
      </c>
      <c r="I1503" s="11">
        <f t="shared" si="34"/>
        <v>0.0108015430775826</v>
      </c>
      <c r="J1503" s="9"/>
      <c r="K1503" s="11"/>
      <c r="L1503" s="9">
        <f>MAX($F$1489:F1503)</f>
        <v>1.1665</v>
      </c>
      <c r="M1503" s="11">
        <f t="shared" si="35"/>
        <v>0.0108015430775826</v>
      </c>
      <c r="N1503" s="9" t="s">
        <v>793</v>
      </c>
    </row>
    <row r="1504" ht="25" customHeight="1" spans="1:14">
      <c r="A1504" s="9" t="s">
        <v>90</v>
      </c>
      <c r="B1504" s="9" t="s">
        <v>88</v>
      </c>
      <c r="C1504" s="10">
        <v>45282</v>
      </c>
      <c r="D1504" s="15">
        <v>1.0494</v>
      </c>
      <c r="E1504" s="15">
        <v>1.1494</v>
      </c>
      <c r="F1504" s="15">
        <v>1.1531</v>
      </c>
      <c r="G1504" s="11">
        <v>-0.0007</v>
      </c>
      <c r="H1504" s="9">
        <f>MAX($F$1366:F1504)</f>
        <v>1.1665</v>
      </c>
      <c r="I1504" s="11">
        <f t="shared" si="34"/>
        <v>0.0114873553364767</v>
      </c>
      <c r="J1504" s="9"/>
      <c r="K1504" s="11"/>
      <c r="L1504" s="9">
        <f>MAX($F$1489:F1504)</f>
        <v>1.1665</v>
      </c>
      <c r="M1504" s="11">
        <f t="shared" si="35"/>
        <v>0.0114873553364767</v>
      </c>
      <c r="N1504" s="9" t="s">
        <v>793</v>
      </c>
    </row>
    <row r="1505" ht="25" customHeight="1" spans="1:14">
      <c r="A1505" s="9" t="s">
        <v>90</v>
      </c>
      <c r="B1505" s="9" t="s">
        <v>88</v>
      </c>
      <c r="C1505" s="10">
        <v>45289</v>
      </c>
      <c r="D1505" s="15">
        <v>1.0546</v>
      </c>
      <c r="E1505" s="15">
        <v>1.1546</v>
      </c>
      <c r="F1505" s="15">
        <v>1.1588</v>
      </c>
      <c r="G1505" s="11">
        <v>0.005</v>
      </c>
      <c r="H1505" s="9">
        <f>MAX($F$1366:F1505)</f>
        <v>1.1665</v>
      </c>
      <c r="I1505" s="11">
        <f t="shared" si="34"/>
        <v>0.00660094299185598</v>
      </c>
      <c r="J1505" s="9"/>
      <c r="K1505" s="11"/>
      <c r="L1505" s="9">
        <f>MAX($F$1489:F1505)</f>
        <v>1.1665</v>
      </c>
      <c r="M1505" s="11">
        <f t="shared" si="35"/>
        <v>0.00660094299185598</v>
      </c>
      <c r="N1505" s="9" t="s">
        <v>793</v>
      </c>
    </row>
    <row r="1506" ht="25" customHeight="1" spans="1:14">
      <c r="A1506" s="9" t="s">
        <v>90</v>
      </c>
      <c r="B1506" s="9" t="s">
        <v>88</v>
      </c>
      <c r="C1506" s="10">
        <v>45296</v>
      </c>
      <c r="D1506" s="15">
        <v>1.0565</v>
      </c>
      <c r="E1506" s="15">
        <v>1.1565</v>
      </c>
      <c r="F1506" s="15">
        <v>1.1609</v>
      </c>
      <c r="G1506" s="11">
        <v>0.0018</v>
      </c>
      <c r="H1506" s="9">
        <f>MAX($F$1366:F1506)</f>
        <v>1.1665</v>
      </c>
      <c r="I1506" s="11">
        <f t="shared" si="34"/>
        <v>0.0048006858122589</v>
      </c>
      <c r="J1506" s="9"/>
      <c r="K1506" s="11"/>
      <c r="L1506" s="9">
        <f>MAX($F$1489:F1506)</f>
        <v>1.1665</v>
      </c>
      <c r="M1506" s="11">
        <f t="shared" si="35"/>
        <v>0.0048006858122589</v>
      </c>
      <c r="N1506" s="9" t="s">
        <v>793</v>
      </c>
    </row>
    <row r="1507" ht="25" customHeight="1" spans="1:14">
      <c r="A1507" s="9" t="s">
        <v>90</v>
      </c>
      <c r="B1507" s="9" t="s">
        <v>88</v>
      </c>
      <c r="C1507" s="10">
        <v>45303</v>
      </c>
      <c r="D1507" s="15">
        <v>1.0596</v>
      </c>
      <c r="E1507" s="15">
        <v>1.1596</v>
      </c>
      <c r="F1507" s="15">
        <v>1.1643</v>
      </c>
      <c r="G1507" s="11">
        <v>0.0029</v>
      </c>
      <c r="H1507" s="9">
        <f>MAX($F$1366:F1507)</f>
        <v>1.1665</v>
      </c>
      <c r="I1507" s="11">
        <f t="shared" si="34"/>
        <v>0.00188598371195903</v>
      </c>
      <c r="J1507" s="9"/>
      <c r="K1507" s="11"/>
      <c r="L1507" s="9">
        <f>MAX($F$1489:F1507)</f>
        <v>1.1665</v>
      </c>
      <c r="M1507" s="11">
        <f t="shared" si="35"/>
        <v>0.00188598371195903</v>
      </c>
      <c r="N1507" s="9" t="s">
        <v>793</v>
      </c>
    </row>
    <row r="1508" ht="25" customHeight="1" spans="1:14">
      <c r="A1508" s="9" t="s">
        <v>90</v>
      </c>
      <c r="B1508" s="9" t="s">
        <v>88</v>
      </c>
      <c r="C1508" s="10">
        <v>45310</v>
      </c>
      <c r="D1508" s="15">
        <v>1.0596</v>
      </c>
      <c r="E1508" s="15">
        <v>1.1596</v>
      </c>
      <c r="F1508" s="15">
        <v>1.1643</v>
      </c>
      <c r="G1508" s="11">
        <v>0</v>
      </c>
      <c r="H1508" s="9">
        <f>MAX($F$1366:F1508)</f>
        <v>1.1665</v>
      </c>
      <c r="I1508" s="11">
        <f t="shared" si="34"/>
        <v>0.00188598371195903</v>
      </c>
      <c r="J1508" s="9"/>
      <c r="K1508" s="11"/>
      <c r="L1508" s="9">
        <f>MAX($F$1489:F1508)</f>
        <v>1.1665</v>
      </c>
      <c r="M1508" s="11">
        <f t="shared" si="35"/>
        <v>0.00188598371195903</v>
      </c>
      <c r="N1508" s="9" t="s">
        <v>793</v>
      </c>
    </row>
    <row r="1509" ht="25" customHeight="1" spans="1:14">
      <c r="A1509" s="9" t="s">
        <v>90</v>
      </c>
      <c r="B1509" s="9" t="s">
        <v>88</v>
      </c>
      <c r="C1509" s="10">
        <v>45317</v>
      </c>
      <c r="D1509" s="15">
        <v>1.0687</v>
      </c>
      <c r="E1509" s="15">
        <v>1.1687</v>
      </c>
      <c r="F1509" s="15">
        <v>1.1743</v>
      </c>
      <c r="G1509" s="11">
        <v>0.0086</v>
      </c>
      <c r="H1509" s="9">
        <f>MAX($F$1366:F1509)</f>
        <v>1.1743</v>
      </c>
      <c r="I1509" s="11">
        <f t="shared" si="34"/>
        <v>0</v>
      </c>
      <c r="J1509" s="9"/>
      <c r="K1509" s="11"/>
      <c r="L1509" s="9">
        <f>MAX($F$1489:F1509)</f>
        <v>1.1743</v>
      </c>
      <c r="M1509" s="11">
        <f t="shared" si="35"/>
        <v>0</v>
      </c>
      <c r="N1509" s="9" t="s">
        <v>793</v>
      </c>
    </row>
    <row r="1510" ht="25" customHeight="1" spans="1:14">
      <c r="A1510" s="9" t="s">
        <v>90</v>
      </c>
      <c r="B1510" s="9" t="s">
        <v>88</v>
      </c>
      <c r="C1510" s="10">
        <v>45324</v>
      </c>
      <c r="D1510" s="15">
        <v>1.0801</v>
      </c>
      <c r="E1510" s="15">
        <v>1.1801</v>
      </c>
      <c r="F1510" s="15">
        <v>1.1868</v>
      </c>
      <c r="G1510" s="11">
        <v>0.0107</v>
      </c>
      <c r="H1510" s="9">
        <f>MAX($F$1366:F1510)</f>
        <v>1.1868</v>
      </c>
      <c r="I1510" s="11">
        <f t="shared" si="34"/>
        <v>0</v>
      </c>
      <c r="J1510" s="9"/>
      <c r="K1510" s="11"/>
      <c r="L1510" s="9">
        <f>MAX($F$1489:F1510)</f>
        <v>1.1868</v>
      </c>
      <c r="M1510" s="11">
        <f t="shared" si="35"/>
        <v>0</v>
      </c>
      <c r="N1510" s="9" t="s">
        <v>793</v>
      </c>
    </row>
    <row r="1511" ht="25" customHeight="1" spans="1:14">
      <c r="A1511" s="9" t="s">
        <v>90</v>
      </c>
      <c r="B1511" s="9" t="s">
        <v>88</v>
      </c>
      <c r="C1511" s="10">
        <v>45330</v>
      </c>
      <c r="D1511" s="15">
        <v>1.0872</v>
      </c>
      <c r="E1511" s="15">
        <v>1.1872</v>
      </c>
      <c r="F1511" s="15">
        <v>1.1946</v>
      </c>
      <c r="G1511" s="11">
        <v>0.0066</v>
      </c>
      <c r="H1511" s="9">
        <f>MAX($F$1366:F1511)</f>
        <v>1.1946</v>
      </c>
      <c r="I1511" s="11">
        <f t="shared" si="34"/>
        <v>0</v>
      </c>
      <c r="J1511" s="9"/>
      <c r="K1511" s="11"/>
      <c r="L1511" s="9">
        <f>MAX($F$1489:F1511)</f>
        <v>1.1946</v>
      </c>
      <c r="M1511" s="11">
        <f t="shared" si="35"/>
        <v>0</v>
      </c>
      <c r="N1511" s="9" t="s">
        <v>793</v>
      </c>
    </row>
    <row r="1512" ht="25" customHeight="1" spans="1:14">
      <c r="A1512" s="9" t="s">
        <v>90</v>
      </c>
      <c r="B1512" s="9" t="s">
        <v>88</v>
      </c>
      <c r="C1512" s="10">
        <v>45345</v>
      </c>
      <c r="D1512" s="15">
        <v>1.0882</v>
      </c>
      <c r="E1512" s="15">
        <v>1.1882</v>
      </c>
      <c r="F1512" s="15">
        <v>1.1957</v>
      </c>
      <c r="G1512" s="11">
        <v>0.0009</v>
      </c>
      <c r="H1512" s="9">
        <f>MAX($F$1366:F1512)</f>
        <v>1.1957</v>
      </c>
      <c r="I1512" s="11">
        <f t="shared" si="34"/>
        <v>0</v>
      </c>
      <c r="J1512" s="9"/>
      <c r="K1512" s="11"/>
      <c r="L1512" s="9">
        <f>MAX($F$1489:F1512)</f>
        <v>1.1957</v>
      </c>
      <c r="M1512" s="11">
        <f t="shared" si="35"/>
        <v>0</v>
      </c>
      <c r="N1512" s="9" t="s">
        <v>793</v>
      </c>
    </row>
    <row r="1513" ht="25" customHeight="1" spans="1:14">
      <c r="A1513" s="9" t="s">
        <v>90</v>
      </c>
      <c r="B1513" s="9" t="s">
        <v>88</v>
      </c>
      <c r="C1513" s="10">
        <v>45352</v>
      </c>
      <c r="D1513" s="15">
        <v>1.0918</v>
      </c>
      <c r="E1513" s="15">
        <v>1.1918</v>
      </c>
      <c r="F1513" s="15">
        <v>1.1997</v>
      </c>
      <c r="G1513" s="11">
        <v>0.0033</v>
      </c>
      <c r="H1513" s="9">
        <f>MAX($F$1366:F1513)</f>
        <v>1.1997</v>
      </c>
      <c r="I1513" s="11">
        <f t="shared" si="34"/>
        <v>0</v>
      </c>
      <c r="J1513" s="9"/>
      <c r="K1513" s="11"/>
      <c r="L1513" s="9">
        <f>MAX($F$1489:F1513)</f>
        <v>1.1997</v>
      </c>
      <c r="M1513" s="11">
        <f t="shared" si="35"/>
        <v>0</v>
      </c>
      <c r="N1513" s="9" t="s">
        <v>793</v>
      </c>
    </row>
    <row r="1514" ht="25" customHeight="1" spans="1:14">
      <c r="A1514" s="9" t="s">
        <v>90</v>
      </c>
      <c r="B1514" s="9" t="s">
        <v>88</v>
      </c>
      <c r="C1514" s="10">
        <v>45359</v>
      </c>
      <c r="D1514" s="15">
        <v>1.0923</v>
      </c>
      <c r="E1514" s="15">
        <v>1.1923</v>
      </c>
      <c r="F1514" s="15">
        <v>1.2002</v>
      </c>
      <c r="G1514" s="11">
        <v>0.0005</v>
      </c>
      <c r="H1514" s="9">
        <f>MAX($F$1366:F1514)</f>
        <v>1.2002</v>
      </c>
      <c r="I1514" s="11">
        <f t="shared" si="34"/>
        <v>0</v>
      </c>
      <c r="J1514" s="9"/>
      <c r="K1514" s="11"/>
      <c r="L1514" s="9">
        <f>MAX($F$1489:F1514)</f>
        <v>1.2002</v>
      </c>
      <c r="M1514" s="11">
        <f t="shared" si="35"/>
        <v>0</v>
      </c>
      <c r="N1514" s="9" t="s">
        <v>793</v>
      </c>
    </row>
    <row r="1515" ht="25" customHeight="1" spans="1:14">
      <c r="A1515" s="9" t="s">
        <v>90</v>
      </c>
      <c r="B1515" s="9" t="s">
        <v>88</v>
      </c>
      <c r="C1515" s="10">
        <v>45366</v>
      </c>
      <c r="D1515" s="15">
        <v>1.0931</v>
      </c>
      <c r="E1515" s="15">
        <v>1.1931</v>
      </c>
      <c r="F1515" s="15">
        <v>1.2011</v>
      </c>
      <c r="G1515" s="11">
        <v>0.0007</v>
      </c>
      <c r="H1515" s="9">
        <f>MAX($F$1366:F1515)</f>
        <v>1.2011</v>
      </c>
      <c r="I1515" s="11">
        <f t="shared" si="34"/>
        <v>0</v>
      </c>
      <c r="J1515" s="9"/>
      <c r="K1515" s="11"/>
      <c r="L1515" s="9">
        <f>MAX($F$1489:F1515)</f>
        <v>1.2011</v>
      </c>
      <c r="M1515" s="11">
        <f t="shared" si="35"/>
        <v>0</v>
      </c>
      <c r="N1515" s="9" t="s">
        <v>793</v>
      </c>
    </row>
    <row r="1516" ht="25" customHeight="1" spans="1:14">
      <c r="A1516" s="9" t="s">
        <v>90</v>
      </c>
      <c r="B1516" s="9" t="s">
        <v>88</v>
      </c>
      <c r="C1516" s="10">
        <v>45373</v>
      </c>
      <c r="D1516" s="15">
        <v>1.094</v>
      </c>
      <c r="E1516" s="15">
        <v>1.194</v>
      </c>
      <c r="F1516" s="15">
        <v>1.2021</v>
      </c>
      <c r="G1516" s="11">
        <v>0.0008</v>
      </c>
      <c r="H1516" s="9">
        <f>MAX($F$1366:F1516)</f>
        <v>1.2021</v>
      </c>
      <c r="I1516" s="11">
        <f t="shared" si="34"/>
        <v>0</v>
      </c>
      <c r="J1516" s="9"/>
      <c r="K1516" s="11"/>
      <c r="L1516" s="9">
        <f>MAX($F$1489:F1516)</f>
        <v>1.2021</v>
      </c>
      <c r="M1516" s="11">
        <f t="shared" si="35"/>
        <v>0</v>
      </c>
      <c r="N1516" s="9" t="s">
        <v>793</v>
      </c>
    </row>
    <row r="1517" ht="25" customHeight="1" spans="1:14">
      <c r="A1517" s="9" t="s">
        <v>90</v>
      </c>
      <c r="B1517" s="9" t="s">
        <v>88</v>
      </c>
      <c r="C1517" s="10">
        <v>45380</v>
      </c>
      <c r="D1517" s="15">
        <v>1.0957</v>
      </c>
      <c r="E1517" s="15">
        <v>1.1957</v>
      </c>
      <c r="F1517" s="15">
        <v>1.204</v>
      </c>
      <c r="G1517" s="11">
        <v>0.0016</v>
      </c>
      <c r="H1517" s="9">
        <f>MAX($F$1366:F1517)</f>
        <v>1.204</v>
      </c>
      <c r="I1517" s="11">
        <f t="shared" si="34"/>
        <v>0</v>
      </c>
      <c r="J1517" s="9"/>
      <c r="K1517" s="11"/>
      <c r="L1517" s="9">
        <f>MAX($F$1489:F1517)</f>
        <v>1.204</v>
      </c>
      <c r="M1517" s="11">
        <f t="shared" si="35"/>
        <v>0</v>
      </c>
      <c r="N1517" s="9" t="s">
        <v>793</v>
      </c>
    </row>
    <row r="1518" ht="25" customHeight="1" spans="1:14">
      <c r="A1518" s="9" t="s">
        <v>90</v>
      </c>
      <c r="B1518" s="9" t="s">
        <v>88</v>
      </c>
      <c r="C1518" s="10">
        <v>45385</v>
      </c>
      <c r="D1518" s="15">
        <v>1.0958</v>
      </c>
      <c r="E1518" s="15">
        <v>1.1958</v>
      </c>
      <c r="F1518" s="15">
        <v>1.2041</v>
      </c>
      <c r="G1518" s="11">
        <v>0.0001</v>
      </c>
      <c r="H1518" s="9">
        <f>MAX($F$1366:F1518)</f>
        <v>1.2041</v>
      </c>
      <c r="I1518" s="11">
        <f t="shared" si="34"/>
        <v>0</v>
      </c>
      <c r="J1518" s="9"/>
      <c r="K1518" s="11"/>
      <c r="L1518" s="9">
        <f>MAX($F$1489:F1518)</f>
        <v>1.2041</v>
      </c>
      <c r="M1518" s="11">
        <f t="shared" si="35"/>
        <v>0</v>
      </c>
      <c r="N1518" s="9" t="s">
        <v>793</v>
      </c>
    </row>
    <row r="1519" ht="25" customHeight="1" spans="1:14">
      <c r="A1519" s="9" t="s">
        <v>90</v>
      </c>
      <c r="B1519" s="9" t="s">
        <v>88</v>
      </c>
      <c r="C1519" s="10">
        <v>45394</v>
      </c>
      <c r="D1519" s="15">
        <v>1.0963</v>
      </c>
      <c r="E1519" s="15">
        <v>1.1963</v>
      </c>
      <c r="F1519" s="15">
        <v>1.2046</v>
      </c>
      <c r="G1519" s="11">
        <v>0.0005</v>
      </c>
      <c r="H1519" s="9">
        <f>MAX($F$1366:F1519)</f>
        <v>1.2046</v>
      </c>
      <c r="I1519" s="11">
        <f t="shared" si="34"/>
        <v>0</v>
      </c>
      <c r="J1519" s="9"/>
      <c r="K1519" s="11"/>
      <c r="L1519" s="9">
        <f>MAX($F$1489:F1519)</f>
        <v>1.2046</v>
      </c>
      <c r="M1519" s="11">
        <f t="shared" si="35"/>
        <v>0</v>
      </c>
      <c r="N1519" s="9" t="s">
        <v>793</v>
      </c>
    </row>
    <row r="1520" ht="25" customHeight="1" spans="1:14">
      <c r="A1520" s="9" t="s">
        <v>90</v>
      </c>
      <c r="B1520" s="9" t="s">
        <v>88</v>
      </c>
      <c r="C1520" s="10">
        <v>45401</v>
      </c>
      <c r="D1520" s="15">
        <v>1.0973</v>
      </c>
      <c r="E1520" s="15">
        <v>1.1973</v>
      </c>
      <c r="F1520" s="15">
        <v>1.2057</v>
      </c>
      <c r="G1520" s="11">
        <v>0.0009</v>
      </c>
      <c r="H1520" s="9">
        <f>MAX($F$1366:F1520)</f>
        <v>1.2057</v>
      </c>
      <c r="I1520" s="11">
        <f t="shared" si="34"/>
        <v>0</v>
      </c>
      <c r="J1520" s="9"/>
      <c r="K1520" s="11"/>
      <c r="L1520" s="9">
        <f>MAX($F$1489:F1520)</f>
        <v>1.2057</v>
      </c>
      <c r="M1520" s="11">
        <f t="shared" si="35"/>
        <v>0</v>
      </c>
      <c r="N1520" s="9" t="s">
        <v>793</v>
      </c>
    </row>
    <row r="1521" ht="25" customHeight="1" spans="1:14">
      <c r="A1521" s="9" t="s">
        <v>90</v>
      </c>
      <c r="B1521" s="9" t="s">
        <v>88</v>
      </c>
      <c r="C1521" s="10">
        <v>45408</v>
      </c>
      <c r="D1521" s="15">
        <v>1.0988</v>
      </c>
      <c r="E1521" s="15">
        <v>1.1988</v>
      </c>
      <c r="F1521" s="15">
        <v>1.2074</v>
      </c>
      <c r="G1521" s="11">
        <v>0.0014</v>
      </c>
      <c r="H1521" s="9">
        <f>MAX($F$1366:F1521)</f>
        <v>1.2074</v>
      </c>
      <c r="I1521" s="11">
        <f t="shared" si="34"/>
        <v>0</v>
      </c>
      <c r="J1521" s="9"/>
      <c r="K1521" s="11"/>
      <c r="L1521" s="9">
        <f>MAX($F$1489:F1521)</f>
        <v>1.2074</v>
      </c>
      <c r="M1521" s="11">
        <f t="shared" si="35"/>
        <v>0</v>
      </c>
      <c r="N1521" s="9" t="s">
        <v>793</v>
      </c>
    </row>
    <row r="1522" ht="25" customHeight="1" spans="1:14">
      <c r="A1522" s="9" t="s">
        <v>90</v>
      </c>
      <c r="B1522" s="9" t="s">
        <v>88</v>
      </c>
      <c r="C1522" s="10">
        <v>45412</v>
      </c>
      <c r="D1522" s="15">
        <v>1.0985</v>
      </c>
      <c r="E1522" s="15">
        <v>1.1985</v>
      </c>
      <c r="F1522" s="15">
        <v>1.207</v>
      </c>
      <c r="G1522" s="11">
        <v>-0.0003</v>
      </c>
      <c r="H1522" s="9">
        <f>MAX($F$1366:F1522)</f>
        <v>1.2074</v>
      </c>
      <c r="I1522" s="11">
        <f t="shared" si="34"/>
        <v>0.000331290376014537</v>
      </c>
      <c r="J1522" s="9"/>
      <c r="K1522" s="11"/>
      <c r="L1522" s="9">
        <f>MAX($F$1489:F1522)</f>
        <v>1.2074</v>
      </c>
      <c r="M1522" s="11">
        <f t="shared" si="35"/>
        <v>0.000331290376014537</v>
      </c>
      <c r="N1522" s="9" t="s">
        <v>793</v>
      </c>
    </row>
    <row r="1523" ht="25" customHeight="1" spans="1:14">
      <c r="A1523" s="9" t="s">
        <v>90</v>
      </c>
      <c r="B1523" s="9" t="s">
        <v>88</v>
      </c>
      <c r="C1523" s="10">
        <v>45422</v>
      </c>
      <c r="D1523" s="15">
        <v>1.0986</v>
      </c>
      <c r="E1523" s="15">
        <v>1.1986</v>
      </c>
      <c r="F1523" s="15">
        <v>1.2072</v>
      </c>
      <c r="G1523" s="11">
        <v>0.0001</v>
      </c>
      <c r="H1523" s="9">
        <f>MAX($F$1366:F1523)</f>
        <v>1.2074</v>
      </c>
      <c r="I1523" s="11">
        <f t="shared" si="34"/>
        <v>0.000165645188007324</v>
      </c>
      <c r="J1523" s="9"/>
      <c r="K1523" s="11"/>
      <c r="L1523" s="9">
        <f>MAX($F$1489:F1523)</f>
        <v>1.2074</v>
      </c>
      <c r="M1523" s="11">
        <f t="shared" si="35"/>
        <v>0.000165645188007324</v>
      </c>
      <c r="N1523" s="9" t="s">
        <v>793</v>
      </c>
    </row>
    <row r="1524" ht="25" customHeight="1" spans="1:14">
      <c r="A1524" s="9" t="s">
        <v>90</v>
      </c>
      <c r="B1524" s="9" t="s">
        <v>88</v>
      </c>
      <c r="C1524" s="10">
        <v>45429</v>
      </c>
      <c r="D1524" s="15">
        <v>1.1004</v>
      </c>
      <c r="E1524" s="15">
        <v>1.2004</v>
      </c>
      <c r="F1524" s="15">
        <v>1.2091</v>
      </c>
      <c r="G1524" s="11">
        <v>0.0016</v>
      </c>
      <c r="H1524" s="9">
        <f>MAX($F$1366:F1524)</f>
        <v>1.2091</v>
      </c>
      <c r="I1524" s="11">
        <f t="shared" si="34"/>
        <v>0</v>
      </c>
      <c r="J1524" s="9"/>
      <c r="K1524" s="11"/>
      <c r="L1524" s="9">
        <f>MAX($F$1489:F1524)</f>
        <v>1.2091</v>
      </c>
      <c r="M1524" s="11">
        <f t="shared" si="35"/>
        <v>0</v>
      </c>
      <c r="N1524" s="9" t="s">
        <v>793</v>
      </c>
    </row>
    <row r="1525" ht="25" customHeight="1" spans="1:14">
      <c r="A1525" s="9" t="s">
        <v>90</v>
      </c>
      <c r="B1525" s="9" t="s">
        <v>88</v>
      </c>
      <c r="C1525" s="10">
        <v>45436</v>
      </c>
      <c r="D1525" s="15">
        <v>1.1015</v>
      </c>
      <c r="E1525" s="15">
        <v>1.2015</v>
      </c>
      <c r="F1525" s="15">
        <v>1.2103</v>
      </c>
      <c r="G1525" s="11">
        <v>0.001</v>
      </c>
      <c r="H1525" s="9">
        <f>MAX($F$1366:F1525)</f>
        <v>1.2103</v>
      </c>
      <c r="I1525" s="11">
        <f t="shared" si="34"/>
        <v>0</v>
      </c>
      <c r="J1525" s="9"/>
      <c r="K1525" s="11"/>
      <c r="L1525" s="9">
        <f>MAX($F$1489:F1525)</f>
        <v>1.2103</v>
      </c>
      <c r="M1525" s="11">
        <f t="shared" si="35"/>
        <v>0</v>
      </c>
      <c r="N1525" s="9" t="s">
        <v>793</v>
      </c>
    </row>
    <row r="1526" ht="25" customHeight="1" spans="1:14">
      <c r="A1526" s="9" t="s">
        <v>90</v>
      </c>
      <c r="B1526" s="9" t="s">
        <v>88</v>
      </c>
      <c r="C1526" s="10">
        <v>45443</v>
      </c>
      <c r="D1526" s="15">
        <v>1.1017</v>
      </c>
      <c r="E1526" s="15">
        <v>1.2017</v>
      </c>
      <c r="F1526" s="15">
        <v>1.2106</v>
      </c>
      <c r="G1526" s="11">
        <v>0.0002</v>
      </c>
      <c r="H1526" s="9">
        <f>MAX($F$1366:F1526)</f>
        <v>1.2106</v>
      </c>
      <c r="I1526" s="11">
        <f t="shared" si="34"/>
        <v>0</v>
      </c>
      <c r="J1526" s="9"/>
      <c r="K1526" s="11"/>
      <c r="L1526" s="9">
        <f>MAX($F$1489:F1526)</f>
        <v>1.2106</v>
      </c>
      <c r="M1526" s="11">
        <f t="shared" si="35"/>
        <v>0</v>
      </c>
      <c r="N1526" s="9" t="s">
        <v>793</v>
      </c>
    </row>
    <row r="1527" ht="25" customHeight="1" spans="1:14">
      <c r="A1527" s="9" t="s">
        <v>90</v>
      </c>
      <c r="B1527" s="9" t="s">
        <v>88</v>
      </c>
      <c r="C1527" s="10">
        <v>45450</v>
      </c>
      <c r="D1527" s="15">
        <v>1.1022</v>
      </c>
      <c r="E1527" s="15">
        <v>1.2022</v>
      </c>
      <c r="F1527" s="15">
        <v>1.2111</v>
      </c>
      <c r="G1527" s="11">
        <v>0.0005</v>
      </c>
      <c r="H1527" s="9">
        <f>MAX($F$1366:F1527)</f>
        <v>1.2111</v>
      </c>
      <c r="I1527" s="11">
        <f t="shared" si="34"/>
        <v>0</v>
      </c>
      <c r="J1527" s="9"/>
      <c r="K1527" s="11"/>
      <c r="L1527" s="9">
        <f>MAX($F$1489:F1527)</f>
        <v>1.2111</v>
      </c>
      <c r="M1527" s="11">
        <f t="shared" si="35"/>
        <v>0</v>
      </c>
      <c r="N1527" s="9" t="s">
        <v>793</v>
      </c>
    </row>
    <row r="1528" ht="25" customHeight="1" spans="1:14">
      <c r="A1528" s="9" t="s">
        <v>90</v>
      </c>
      <c r="B1528" s="9" t="s">
        <v>88</v>
      </c>
      <c r="C1528" s="10">
        <v>45457</v>
      </c>
      <c r="D1528" s="15">
        <v>1.1015</v>
      </c>
      <c r="E1528" s="15">
        <v>1.2015</v>
      </c>
      <c r="F1528" s="15">
        <v>1.2103</v>
      </c>
      <c r="G1528" s="11">
        <v>-0.0006</v>
      </c>
      <c r="H1528" s="9">
        <f>MAX($F$1366:F1528)</f>
        <v>1.2111</v>
      </c>
      <c r="I1528" s="11">
        <f t="shared" si="34"/>
        <v>0.000660556518867206</v>
      </c>
      <c r="J1528" s="9"/>
      <c r="K1528" s="11"/>
      <c r="L1528" s="9">
        <f>MAX($F$1489:F1528)</f>
        <v>1.2111</v>
      </c>
      <c r="M1528" s="11">
        <f t="shared" si="35"/>
        <v>0.000660556518867206</v>
      </c>
      <c r="N1528" s="9" t="s">
        <v>793</v>
      </c>
    </row>
    <row r="1529" ht="25" customHeight="1" spans="1:14">
      <c r="A1529" s="9" t="s">
        <v>90</v>
      </c>
      <c r="B1529" s="9" t="s">
        <v>88</v>
      </c>
      <c r="C1529" s="10">
        <v>45464</v>
      </c>
      <c r="D1529" s="15">
        <v>1.1024</v>
      </c>
      <c r="E1529" s="15">
        <v>1.2024</v>
      </c>
      <c r="F1529" s="15">
        <v>1.2113</v>
      </c>
      <c r="G1529" s="11">
        <v>0.0008</v>
      </c>
      <c r="H1529" s="9">
        <f>MAX($F$1366:F1529)</f>
        <v>1.2113</v>
      </c>
      <c r="I1529" s="11">
        <f t="shared" si="34"/>
        <v>0</v>
      </c>
      <c r="J1529" s="9"/>
      <c r="K1529" s="11"/>
      <c r="L1529" s="9">
        <f>MAX($F$1489:F1529)</f>
        <v>1.2113</v>
      </c>
      <c r="M1529" s="11">
        <f t="shared" si="35"/>
        <v>0</v>
      </c>
      <c r="N1529" s="9" t="s">
        <v>793</v>
      </c>
    </row>
    <row r="1530" ht="25" customHeight="1" spans="1:14">
      <c r="A1530" s="9" t="s">
        <v>90</v>
      </c>
      <c r="B1530" s="9" t="s">
        <v>88</v>
      </c>
      <c r="C1530" s="10">
        <v>45471</v>
      </c>
      <c r="D1530" s="15">
        <v>1.1062</v>
      </c>
      <c r="E1530" s="15">
        <v>1.2062</v>
      </c>
      <c r="F1530" s="15">
        <v>1.2155</v>
      </c>
      <c r="G1530" s="11">
        <v>0.0034</v>
      </c>
      <c r="H1530" s="9">
        <f>MAX($F$1366:F1530)</f>
        <v>1.2155</v>
      </c>
      <c r="I1530" s="11">
        <f t="shared" si="34"/>
        <v>0</v>
      </c>
      <c r="J1530" s="9"/>
      <c r="K1530" s="11"/>
      <c r="L1530" s="9">
        <f>MAX($F$1489:F1530)</f>
        <v>1.2155</v>
      </c>
      <c r="M1530" s="11">
        <f t="shared" si="35"/>
        <v>0</v>
      </c>
      <c r="N1530" s="9" t="s">
        <v>793</v>
      </c>
    </row>
    <row r="1531" ht="25" customHeight="1" spans="1:14">
      <c r="A1531" s="9" t="s">
        <v>90</v>
      </c>
      <c r="B1531" s="9" t="s">
        <v>88</v>
      </c>
      <c r="C1531" s="10">
        <v>45478</v>
      </c>
      <c r="D1531" s="15">
        <v>1.1071</v>
      </c>
      <c r="E1531" s="15">
        <v>1.2071</v>
      </c>
      <c r="F1531" s="15">
        <v>1.2165</v>
      </c>
      <c r="G1531" s="11">
        <v>0.0008</v>
      </c>
      <c r="H1531" s="9">
        <f>MAX($F$1366:F1531)</f>
        <v>1.2165</v>
      </c>
      <c r="I1531" s="11">
        <f t="shared" si="34"/>
        <v>0</v>
      </c>
      <c r="J1531" s="9"/>
      <c r="K1531" s="11"/>
      <c r="L1531" s="9">
        <f>MAX($F$1489:F1531)</f>
        <v>1.2165</v>
      </c>
      <c r="M1531" s="11">
        <f t="shared" si="35"/>
        <v>0</v>
      </c>
      <c r="N1531" s="9" t="s">
        <v>793</v>
      </c>
    </row>
    <row r="1532" ht="25" customHeight="1" spans="1:14">
      <c r="A1532" s="9" t="s">
        <v>90</v>
      </c>
      <c r="B1532" s="9" t="s">
        <v>88</v>
      </c>
      <c r="C1532" s="10">
        <v>45485</v>
      </c>
      <c r="D1532" s="15">
        <v>1.1144</v>
      </c>
      <c r="E1532" s="15">
        <v>1.2144</v>
      </c>
      <c r="F1532" s="15">
        <v>1.2245</v>
      </c>
      <c r="G1532" s="11">
        <v>0.0066</v>
      </c>
      <c r="H1532" s="9">
        <f>MAX($F$1366:F1532)</f>
        <v>1.2245</v>
      </c>
      <c r="I1532" s="11">
        <f t="shared" si="34"/>
        <v>0</v>
      </c>
      <c r="J1532" s="9"/>
      <c r="K1532" s="11"/>
      <c r="L1532" s="9">
        <f>MAX($F$1489:F1532)</f>
        <v>1.2245</v>
      </c>
      <c r="M1532" s="11">
        <f t="shared" si="35"/>
        <v>0</v>
      </c>
      <c r="N1532" s="9" t="s">
        <v>793</v>
      </c>
    </row>
    <row r="1533" ht="25" customHeight="1" spans="1:14">
      <c r="A1533" s="9" t="s">
        <v>90</v>
      </c>
      <c r="B1533" s="9" t="s">
        <v>88</v>
      </c>
      <c r="C1533" s="10">
        <v>45492</v>
      </c>
      <c r="D1533" s="15">
        <v>1.1141</v>
      </c>
      <c r="E1533" s="15">
        <v>1.2141</v>
      </c>
      <c r="F1533" s="15">
        <v>1.2242</v>
      </c>
      <c r="G1533" s="11">
        <v>-0.0003</v>
      </c>
      <c r="H1533" s="9">
        <f>MAX($F$1366:F1533)</f>
        <v>1.2245</v>
      </c>
      <c r="I1533" s="11">
        <f t="shared" si="34"/>
        <v>0.000244997958350313</v>
      </c>
      <c r="J1533" s="9"/>
      <c r="K1533" s="11"/>
      <c r="L1533" s="9">
        <f>MAX($F$1489:F1533)</f>
        <v>1.2245</v>
      </c>
      <c r="M1533" s="11">
        <f t="shared" si="35"/>
        <v>0.000244997958350313</v>
      </c>
      <c r="N1533" s="9" t="s">
        <v>793</v>
      </c>
    </row>
    <row r="1534" ht="25" customHeight="1" spans="1:14">
      <c r="A1534" s="9" t="s">
        <v>90</v>
      </c>
      <c r="B1534" s="9" t="s">
        <v>88</v>
      </c>
      <c r="C1534" s="10">
        <v>45499</v>
      </c>
      <c r="D1534" s="15">
        <v>1.113</v>
      </c>
      <c r="E1534" s="15">
        <v>1.213</v>
      </c>
      <c r="F1534" s="15">
        <v>1.223</v>
      </c>
      <c r="G1534" s="11">
        <v>-0.001</v>
      </c>
      <c r="H1534" s="9">
        <f>MAX($F$1366:F1534)</f>
        <v>1.2245</v>
      </c>
      <c r="I1534" s="11">
        <f t="shared" si="34"/>
        <v>0.00122498979175156</v>
      </c>
      <c r="J1534" s="9"/>
      <c r="K1534" s="11"/>
      <c r="L1534" s="9">
        <f>MAX($F$1489:F1534)</f>
        <v>1.2245</v>
      </c>
      <c r="M1534" s="11">
        <f t="shared" si="35"/>
        <v>0.00122498979175156</v>
      </c>
      <c r="N1534" s="9" t="s">
        <v>793</v>
      </c>
    </row>
    <row r="1535" ht="25" customHeight="1" spans="1:14">
      <c r="A1535" s="9" t="s">
        <v>90</v>
      </c>
      <c r="B1535" s="9" t="s">
        <v>88</v>
      </c>
      <c r="C1535" s="10">
        <v>45506</v>
      </c>
      <c r="D1535" s="15">
        <v>1.1124</v>
      </c>
      <c r="E1535" s="15">
        <v>1.2124</v>
      </c>
      <c r="F1535" s="15">
        <v>1.2223</v>
      </c>
      <c r="G1535" s="11">
        <v>-0.0005</v>
      </c>
      <c r="H1535" s="9">
        <f>MAX($F$1366:F1535)</f>
        <v>1.2245</v>
      </c>
      <c r="I1535" s="11">
        <f t="shared" si="34"/>
        <v>0.00179665169456922</v>
      </c>
      <c r="J1535" s="9"/>
      <c r="K1535" s="11"/>
      <c r="L1535" s="9">
        <f>MAX($F$1489:F1535)</f>
        <v>1.2245</v>
      </c>
      <c r="M1535" s="11">
        <f t="shared" si="35"/>
        <v>0.00179665169456922</v>
      </c>
      <c r="N1535" s="9" t="s">
        <v>793</v>
      </c>
    </row>
    <row r="1536" ht="25" customHeight="1" spans="1:14">
      <c r="A1536" s="9" t="s">
        <v>90</v>
      </c>
      <c r="B1536" s="9" t="s">
        <v>88</v>
      </c>
      <c r="C1536" s="10">
        <v>45513</v>
      </c>
      <c r="D1536" s="15">
        <v>1.1112</v>
      </c>
      <c r="E1536" s="15">
        <v>1.2112</v>
      </c>
      <c r="F1536" s="15">
        <v>1.221</v>
      </c>
      <c r="G1536" s="11">
        <v>-0.0011</v>
      </c>
      <c r="H1536" s="9">
        <f>MAX($F$1366:F1536)</f>
        <v>1.2245</v>
      </c>
      <c r="I1536" s="11">
        <f t="shared" si="34"/>
        <v>0.00285830951408728</v>
      </c>
      <c r="J1536" s="9"/>
      <c r="K1536" s="11"/>
      <c r="L1536" s="9">
        <f>MAX($F$1489:F1536)</f>
        <v>1.2245</v>
      </c>
      <c r="M1536" s="11">
        <f t="shared" si="35"/>
        <v>0.00285830951408728</v>
      </c>
      <c r="N1536" s="9" t="s">
        <v>793</v>
      </c>
    </row>
    <row r="1537" ht="25" customHeight="1" spans="1:14">
      <c r="A1537" s="9" t="s">
        <v>90</v>
      </c>
      <c r="B1537" s="9" t="s">
        <v>88</v>
      </c>
      <c r="C1537" s="10">
        <v>45520</v>
      </c>
      <c r="D1537" s="15">
        <v>1.1128</v>
      </c>
      <c r="E1537" s="15">
        <v>1.2128</v>
      </c>
      <c r="F1537" s="15">
        <v>1.2228</v>
      </c>
      <c r="G1537" s="11">
        <v>0.0014</v>
      </c>
      <c r="H1537" s="9">
        <f>MAX($F$1366:F1537)</f>
        <v>1.2245</v>
      </c>
      <c r="I1537" s="11">
        <f t="shared" si="34"/>
        <v>0.00138832176398518</v>
      </c>
      <c r="J1537" s="9"/>
      <c r="K1537" s="11"/>
      <c r="L1537" s="9">
        <f>MAX($F$1489:F1537)</f>
        <v>1.2245</v>
      </c>
      <c r="M1537" s="11">
        <f t="shared" si="35"/>
        <v>0.00138832176398518</v>
      </c>
      <c r="N1537" s="9" t="s">
        <v>793</v>
      </c>
    </row>
    <row r="1538" ht="25" customHeight="1" spans="1:14">
      <c r="A1538" s="9" t="s">
        <v>90</v>
      </c>
      <c r="B1538" s="9" t="s">
        <v>88</v>
      </c>
      <c r="C1538" s="10">
        <v>45527</v>
      </c>
      <c r="D1538" s="15">
        <v>1.1138</v>
      </c>
      <c r="E1538" s="15">
        <v>1.2138</v>
      </c>
      <c r="F1538" s="15">
        <v>1.2239</v>
      </c>
      <c r="G1538" s="11">
        <v>0.0009</v>
      </c>
      <c r="H1538" s="9">
        <f>MAX($F$1366:F1538)</f>
        <v>1.2245</v>
      </c>
      <c r="I1538" s="11">
        <f t="shared" ref="I1538:I1601" si="36">1-F1538/H1538</f>
        <v>0.000489995916700625</v>
      </c>
      <c r="J1538" s="9"/>
      <c r="K1538" s="11"/>
      <c r="L1538" s="9">
        <f>MAX($F$1489:F1538)</f>
        <v>1.2245</v>
      </c>
      <c r="M1538" s="11">
        <f t="shared" si="35"/>
        <v>0.000489995916700625</v>
      </c>
      <c r="N1538" s="9" t="s">
        <v>793</v>
      </c>
    </row>
    <row r="1539" ht="25" customHeight="1" spans="1:14">
      <c r="A1539" s="9" t="s">
        <v>90</v>
      </c>
      <c r="B1539" s="9" t="s">
        <v>88</v>
      </c>
      <c r="C1539" s="10">
        <v>45534</v>
      </c>
      <c r="D1539" s="15">
        <v>1.1158</v>
      </c>
      <c r="E1539" s="15">
        <v>1.2158</v>
      </c>
      <c r="F1539" s="15">
        <v>1.2261</v>
      </c>
      <c r="G1539" s="11">
        <v>0.0018</v>
      </c>
      <c r="H1539" s="9">
        <f>MAX($F$1366:F1539)</f>
        <v>1.2261</v>
      </c>
      <c r="I1539" s="11">
        <f t="shared" si="36"/>
        <v>0</v>
      </c>
      <c r="J1539" s="9"/>
      <c r="K1539" s="11"/>
      <c r="L1539" s="9">
        <f>MAX($F$1489:F1539)</f>
        <v>1.2261</v>
      </c>
      <c r="M1539" s="11">
        <f t="shared" si="35"/>
        <v>0</v>
      </c>
      <c r="N1539" s="9" t="s">
        <v>793</v>
      </c>
    </row>
    <row r="1540" ht="25" customHeight="1" spans="1:14">
      <c r="A1540" s="9" t="s">
        <v>90</v>
      </c>
      <c r="B1540" s="9" t="s">
        <v>88</v>
      </c>
      <c r="C1540" s="10">
        <v>45541</v>
      </c>
      <c r="D1540" s="15">
        <v>1.1153</v>
      </c>
      <c r="E1540" s="15">
        <v>1.2153</v>
      </c>
      <c r="F1540" s="15">
        <v>1.2255</v>
      </c>
      <c r="G1540" s="11">
        <v>-0.0004</v>
      </c>
      <c r="H1540" s="9">
        <f>MAX($F$1366:F1540)</f>
        <v>1.2261</v>
      </c>
      <c r="I1540" s="11">
        <f t="shared" si="36"/>
        <v>0.000489356496207405</v>
      </c>
      <c r="J1540" s="9"/>
      <c r="K1540" s="11"/>
      <c r="L1540" s="9">
        <f>MAX($F$1489:F1540)</f>
        <v>1.2261</v>
      </c>
      <c r="M1540" s="11">
        <f t="shared" si="35"/>
        <v>0.000489356496207405</v>
      </c>
      <c r="N1540" s="9" t="s">
        <v>793</v>
      </c>
    </row>
    <row r="1541" ht="25" customHeight="1" spans="1:14">
      <c r="A1541" s="9" t="s">
        <v>90</v>
      </c>
      <c r="B1541" s="9" t="s">
        <v>88</v>
      </c>
      <c r="C1541" s="10">
        <v>45548</v>
      </c>
      <c r="D1541" s="15">
        <v>1.1158</v>
      </c>
      <c r="E1541" s="15">
        <v>1.2158</v>
      </c>
      <c r="F1541" s="15">
        <v>1.2261</v>
      </c>
      <c r="G1541" s="11">
        <v>0.0004</v>
      </c>
      <c r="H1541" s="9">
        <f>MAX($F$1366:F1541)</f>
        <v>1.2261</v>
      </c>
      <c r="I1541" s="11">
        <f t="shared" si="36"/>
        <v>0</v>
      </c>
      <c r="J1541" s="9"/>
      <c r="K1541" s="11"/>
      <c r="L1541" s="9">
        <f>MAX($F$1489:F1541)</f>
        <v>1.2261</v>
      </c>
      <c r="M1541" s="11">
        <f t="shared" si="35"/>
        <v>0</v>
      </c>
      <c r="N1541" s="9" t="s">
        <v>793</v>
      </c>
    </row>
    <row r="1542" ht="25" customHeight="1" spans="1:14">
      <c r="A1542" s="9" t="s">
        <v>90</v>
      </c>
      <c r="B1542" s="9" t="s">
        <v>88</v>
      </c>
      <c r="C1542" s="10">
        <v>45555</v>
      </c>
      <c r="D1542" s="15">
        <v>1.1171</v>
      </c>
      <c r="E1542" s="15">
        <v>1.2171</v>
      </c>
      <c r="F1542" s="15">
        <v>1.2275</v>
      </c>
      <c r="G1542" s="11">
        <v>0.0012</v>
      </c>
      <c r="H1542" s="9">
        <f>MAX($F$1366:F1542)</f>
        <v>1.2275</v>
      </c>
      <c r="I1542" s="11">
        <f t="shared" si="36"/>
        <v>0</v>
      </c>
      <c r="J1542" s="9"/>
      <c r="K1542" s="11"/>
      <c r="L1542" s="9">
        <f>MAX($F$1489:F1542)</f>
        <v>1.2275</v>
      </c>
      <c r="M1542" s="11">
        <f t="shared" si="35"/>
        <v>0</v>
      </c>
      <c r="N1542" s="9" t="s">
        <v>793</v>
      </c>
    </row>
    <row r="1543" ht="25" customHeight="1" spans="1:14">
      <c r="A1543" s="9" t="s">
        <v>90</v>
      </c>
      <c r="B1543" s="9" t="s">
        <v>88</v>
      </c>
      <c r="C1543" s="10">
        <v>45562</v>
      </c>
      <c r="D1543" s="15">
        <v>1.1223</v>
      </c>
      <c r="E1543" s="15">
        <v>1.2223</v>
      </c>
      <c r="F1543" s="15">
        <v>1.2332</v>
      </c>
      <c r="G1543" s="11">
        <v>0.0047</v>
      </c>
      <c r="H1543" s="9">
        <f>MAX($F$1366:F1543)</f>
        <v>1.2332</v>
      </c>
      <c r="I1543" s="11">
        <f t="shared" si="36"/>
        <v>0</v>
      </c>
      <c r="J1543" s="9"/>
      <c r="K1543" s="11"/>
      <c r="L1543" s="9">
        <f>MAX($F$1489:F1543)</f>
        <v>1.2332</v>
      </c>
      <c r="M1543" s="11">
        <f t="shared" si="35"/>
        <v>0</v>
      </c>
      <c r="N1543" s="9" t="s">
        <v>793</v>
      </c>
    </row>
    <row r="1544" ht="25" customHeight="1" spans="1:14">
      <c r="A1544" s="9" t="s">
        <v>90</v>
      </c>
      <c r="B1544" s="9" t="s">
        <v>88</v>
      </c>
      <c r="C1544" s="10">
        <v>45565</v>
      </c>
      <c r="D1544" s="15">
        <v>1.1325</v>
      </c>
      <c r="E1544" s="15">
        <v>1.2325</v>
      </c>
      <c r="F1544" s="15">
        <v>1.2444</v>
      </c>
      <c r="G1544" s="11">
        <v>0.0091</v>
      </c>
      <c r="H1544" s="9">
        <f>MAX($F$1366:F1544)</f>
        <v>1.2444</v>
      </c>
      <c r="I1544" s="11">
        <f t="shared" si="36"/>
        <v>0</v>
      </c>
      <c r="J1544" s="9"/>
      <c r="K1544" s="11"/>
      <c r="L1544" s="9">
        <f>MAX($F$1489:F1544)</f>
        <v>1.2444</v>
      </c>
      <c r="M1544" s="11">
        <f t="shared" si="35"/>
        <v>0</v>
      </c>
      <c r="N1544" s="9" t="s">
        <v>793</v>
      </c>
    </row>
    <row r="1545" ht="25" customHeight="1" spans="1:14">
      <c r="A1545" s="9" t="s">
        <v>90</v>
      </c>
      <c r="B1545" s="9" t="s">
        <v>88</v>
      </c>
      <c r="C1545" s="10">
        <v>45576</v>
      </c>
      <c r="D1545" s="15">
        <v>1.1546</v>
      </c>
      <c r="E1545" s="15">
        <v>1.2546</v>
      </c>
      <c r="F1545" s="15">
        <v>1.2687</v>
      </c>
      <c r="G1545" s="11">
        <v>0.0195</v>
      </c>
      <c r="H1545" s="9">
        <f>MAX($F$1366:F1545)</f>
        <v>1.2687</v>
      </c>
      <c r="I1545" s="11">
        <f t="shared" si="36"/>
        <v>0</v>
      </c>
      <c r="J1545" s="9"/>
      <c r="K1545" s="11"/>
      <c r="L1545" s="9">
        <f>MAX($F$1489:F1545)</f>
        <v>1.2687</v>
      </c>
      <c r="M1545" s="11">
        <f t="shared" si="35"/>
        <v>0</v>
      </c>
      <c r="N1545" s="9" t="s">
        <v>793</v>
      </c>
    </row>
    <row r="1546" ht="25" customHeight="1" spans="1:14">
      <c r="A1546" s="9" t="s">
        <v>90</v>
      </c>
      <c r="B1546" s="9" t="s">
        <v>88</v>
      </c>
      <c r="C1546" s="10">
        <v>45583</v>
      </c>
      <c r="D1546" s="15">
        <v>1.1584</v>
      </c>
      <c r="E1546" s="15">
        <v>1.2584</v>
      </c>
      <c r="F1546" s="15">
        <v>1.2729</v>
      </c>
      <c r="G1546" s="11">
        <v>0.0033</v>
      </c>
      <c r="H1546" s="9">
        <f>MAX($F$1366:F1546)</f>
        <v>1.2729</v>
      </c>
      <c r="I1546" s="11">
        <f t="shared" si="36"/>
        <v>0</v>
      </c>
      <c r="J1546" s="9"/>
      <c r="K1546" s="11"/>
      <c r="L1546" s="9">
        <f>MAX($F$1489:F1546)</f>
        <v>1.2729</v>
      </c>
      <c r="M1546" s="11">
        <f t="shared" si="35"/>
        <v>0</v>
      </c>
      <c r="N1546" s="9" t="s">
        <v>793</v>
      </c>
    </row>
    <row r="1547" ht="25" customHeight="1" spans="1:14">
      <c r="A1547" s="9" t="s">
        <v>90</v>
      </c>
      <c r="B1547" s="9" t="s">
        <v>88</v>
      </c>
      <c r="C1547" s="10">
        <v>45590</v>
      </c>
      <c r="D1547" s="15">
        <v>1.1612</v>
      </c>
      <c r="E1547" s="15">
        <v>1.2612</v>
      </c>
      <c r="F1547" s="15">
        <v>1.2759</v>
      </c>
      <c r="G1547" s="11">
        <v>0.0024</v>
      </c>
      <c r="H1547" s="9">
        <f>MAX($F$1366:F1547)</f>
        <v>1.2759</v>
      </c>
      <c r="I1547" s="11">
        <f t="shared" si="36"/>
        <v>0</v>
      </c>
      <c r="J1547" s="9"/>
      <c r="K1547" s="11"/>
      <c r="L1547" s="9">
        <f>MAX($F$1489:F1547)</f>
        <v>1.2759</v>
      </c>
      <c r="M1547" s="11">
        <f t="shared" si="35"/>
        <v>0</v>
      </c>
      <c r="N1547" s="9" t="s">
        <v>793</v>
      </c>
    </row>
    <row r="1548" ht="25" customHeight="1" spans="1:14">
      <c r="A1548" s="9" t="s">
        <v>90</v>
      </c>
      <c r="B1548" s="9" t="s">
        <v>88</v>
      </c>
      <c r="C1548" s="10">
        <v>45597</v>
      </c>
      <c r="D1548" s="15">
        <v>1.1634</v>
      </c>
      <c r="E1548" s="15">
        <v>1.2634</v>
      </c>
      <c r="F1548" s="15">
        <v>1.2784</v>
      </c>
      <c r="G1548" s="11">
        <v>0.0019</v>
      </c>
      <c r="H1548" s="9">
        <f>MAX($F$1366:F1548)</f>
        <v>1.2784</v>
      </c>
      <c r="I1548" s="11">
        <f t="shared" si="36"/>
        <v>0</v>
      </c>
      <c r="J1548" s="9"/>
      <c r="K1548" s="11"/>
      <c r="L1548" s="9">
        <f>MAX($F$1489:F1548)</f>
        <v>1.2784</v>
      </c>
      <c r="M1548" s="11">
        <f t="shared" si="35"/>
        <v>0</v>
      </c>
      <c r="N1548" s="9" t="s">
        <v>793</v>
      </c>
    </row>
    <row r="1549" ht="25" customHeight="1" spans="1:14">
      <c r="A1549" s="9" t="s">
        <v>90</v>
      </c>
      <c r="B1549" s="9" t="s">
        <v>88</v>
      </c>
      <c r="C1549" s="10">
        <v>45604</v>
      </c>
      <c r="D1549" s="15">
        <v>1.1648</v>
      </c>
      <c r="E1549" s="15">
        <v>1.2648</v>
      </c>
      <c r="F1549" s="15">
        <v>1.2799</v>
      </c>
      <c r="G1549" s="11">
        <v>0.0012</v>
      </c>
      <c r="H1549" s="9">
        <f>MAX($F$1366:F1549)</f>
        <v>1.2799</v>
      </c>
      <c r="I1549" s="11">
        <f t="shared" si="36"/>
        <v>0</v>
      </c>
      <c r="J1549" s="9"/>
      <c r="K1549" s="11"/>
      <c r="L1549" s="9">
        <f>MAX($F$1489:F1549)</f>
        <v>1.2799</v>
      </c>
      <c r="M1549" s="11">
        <f t="shared" si="35"/>
        <v>0</v>
      </c>
      <c r="N1549" s="9" t="s">
        <v>793</v>
      </c>
    </row>
    <row r="1550" ht="25" customHeight="1" spans="1:14">
      <c r="A1550" s="9" t="s">
        <v>90</v>
      </c>
      <c r="B1550" s="9" t="s">
        <v>88</v>
      </c>
      <c r="C1550" s="10">
        <v>45611</v>
      </c>
      <c r="D1550" s="15">
        <v>1.1629</v>
      </c>
      <c r="E1550" s="15">
        <v>1.2629</v>
      </c>
      <c r="F1550" s="15">
        <v>1.2778</v>
      </c>
      <c r="G1550" s="11">
        <v>-0.0016</v>
      </c>
      <c r="H1550" s="9">
        <f>MAX($F$1366:F1550)</f>
        <v>1.2799</v>
      </c>
      <c r="I1550" s="11">
        <f t="shared" si="36"/>
        <v>0.00164075318384249</v>
      </c>
      <c r="J1550" s="9"/>
      <c r="K1550" s="11"/>
      <c r="L1550" s="9">
        <f>MAX($F$1489:F1550)</f>
        <v>1.2799</v>
      </c>
      <c r="M1550" s="11">
        <f t="shared" si="35"/>
        <v>0.00164075318384249</v>
      </c>
      <c r="N1550" s="9" t="s">
        <v>793</v>
      </c>
    </row>
    <row r="1551" ht="25" customHeight="1" spans="1:14">
      <c r="A1551" s="9" t="s">
        <v>90</v>
      </c>
      <c r="B1551" s="9" t="s">
        <v>88</v>
      </c>
      <c r="C1551" s="10">
        <v>45618</v>
      </c>
      <c r="D1551" s="15">
        <v>1.1633</v>
      </c>
      <c r="E1551" s="15">
        <v>1.2633</v>
      </c>
      <c r="F1551" s="15">
        <v>1.2783</v>
      </c>
      <c r="G1551" s="11">
        <v>0.0003</v>
      </c>
      <c r="H1551" s="9">
        <f>MAX($F$1366:F1551)</f>
        <v>1.2799</v>
      </c>
      <c r="I1551" s="11">
        <f t="shared" si="36"/>
        <v>0.00125009766388007</v>
      </c>
      <c r="J1551" s="9"/>
      <c r="K1551" s="11"/>
      <c r="L1551" s="9">
        <f>MAX($F$1489:F1551)</f>
        <v>1.2799</v>
      </c>
      <c r="M1551" s="11">
        <f t="shared" si="35"/>
        <v>0.00125009766388007</v>
      </c>
      <c r="N1551" s="9" t="s">
        <v>793</v>
      </c>
    </row>
    <row r="1552" ht="25" customHeight="1" spans="1:14">
      <c r="A1552" s="9" t="s">
        <v>90</v>
      </c>
      <c r="B1552" s="9" t="s">
        <v>88</v>
      </c>
      <c r="C1552" s="10">
        <v>45625</v>
      </c>
      <c r="D1552" s="15">
        <v>1.1647</v>
      </c>
      <c r="E1552" s="15">
        <v>1.2647</v>
      </c>
      <c r="F1552" s="15">
        <v>1.2798</v>
      </c>
      <c r="G1552" s="11">
        <v>0.0012</v>
      </c>
      <c r="H1552" s="9">
        <f>MAX($F$1366:F1552)</f>
        <v>1.2799</v>
      </c>
      <c r="I1552" s="11">
        <f t="shared" si="36"/>
        <v>7.81311039924626e-5</v>
      </c>
      <c r="J1552" s="9"/>
      <c r="K1552" s="11"/>
      <c r="L1552" s="9">
        <f>MAX($F$1489:F1552)</f>
        <v>1.2799</v>
      </c>
      <c r="M1552" s="11">
        <f t="shared" si="35"/>
        <v>7.81311039924626e-5</v>
      </c>
      <c r="N1552" s="9" t="s">
        <v>793</v>
      </c>
    </row>
    <row r="1553" ht="25" customHeight="1" spans="1:14">
      <c r="A1553" s="9" t="s">
        <v>90</v>
      </c>
      <c r="B1553" s="9" t="s">
        <v>88</v>
      </c>
      <c r="C1553" s="10">
        <v>45632</v>
      </c>
      <c r="D1553" s="15">
        <v>1.1652</v>
      </c>
      <c r="E1553" s="15">
        <v>1.2652</v>
      </c>
      <c r="F1553" s="15">
        <v>1.2803</v>
      </c>
      <c r="G1553" s="11">
        <v>0.0004</v>
      </c>
      <c r="H1553" s="9">
        <f>MAX($F$1366:F1553)</f>
        <v>1.2803</v>
      </c>
      <c r="I1553" s="11">
        <f t="shared" si="36"/>
        <v>0</v>
      </c>
      <c r="J1553" s="9"/>
      <c r="K1553" s="11"/>
      <c r="L1553" s="9">
        <f>MAX($F$1489:F1553)</f>
        <v>1.2803</v>
      </c>
      <c r="M1553" s="11">
        <f t="shared" ref="M1553:M1616" si="37">1-F1553/L1553</f>
        <v>0</v>
      </c>
      <c r="N1553" s="9" t="s">
        <v>793</v>
      </c>
    </row>
    <row r="1554" ht="25" customHeight="1" spans="1:14">
      <c r="A1554" s="9" t="s">
        <v>90</v>
      </c>
      <c r="B1554" s="9" t="s">
        <v>88</v>
      </c>
      <c r="C1554" s="10">
        <v>45639</v>
      </c>
      <c r="D1554" s="15">
        <v>1.167</v>
      </c>
      <c r="E1554" s="15">
        <v>1.267</v>
      </c>
      <c r="F1554" s="15">
        <v>1.2823</v>
      </c>
      <c r="G1554" s="11">
        <v>0.0015</v>
      </c>
      <c r="H1554" s="9">
        <f>MAX($F$1366:F1554)</f>
        <v>1.2823</v>
      </c>
      <c r="I1554" s="11">
        <f t="shared" si="36"/>
        <v>0</v>
      </c>
      <c r="J1554" s="9"/>
      <c r="K1554" s="11"/>
      <c r="L1554" s="9">
        <f>MAX($F$1489:F1554)</f>
        <v>1.2823</v>
      </c>
      <c r="M1554" s="11">
        <f t="shared" si="37"/>
        <v>0</v>
      </c>
      <c r="N1554" s="9" t="s">
        <v>793</v>
      </c>
    </row>
    <row r="1555" ht="25" customHeight="1" spans="1:14">
      <c r="A1555" s="9" t="s">
        <v>90</v>
      </c>
      <c r="B1555" s="9" t="s">
        <v>88</v>
      </c>
      <c r="C1555" s="10">
        <v>45646</v>
      </c>
      <c r="D1555" s="15">
        <v>1.1676</v>
      </c>
      <c r="E1555" s="15">
        <v>1.2676</v>
      </c>
      <c r="F1555" s="15">
        <v>1.283</v>
      </c>
      <c r="G1555" s="11">
        <v>0.0005</v>
      </c>
      <c r="H1555" s="9">
        <f>MAX($F$1366:F1555)</f>
        <v>1.283</v>
      </c>
      <c r="I1555" s="11">
        <f t="shared" si="36"/>
        <v>0</v>
      </c>
      <c r="J1555" s="9"/>
      <c r="K1555" s="11"/>
      <c r="L1555" s="9">
        <f>MAX($F$1489:F1555)</f>
        <v>1.283</v>
      </c>
      <c r="M1555" s="11">
        <f t="shared" si="37"/>
        <v>0</v>
      </c>
      <c r="N1555" s="9" t="s">
        <v>793</v>
      </c>
    </row>
    <row r="1556" ht="25" customHeight="1" spans="1:14">
      <c r="A1556" s="9" t="s">
        <v>90</v>
      </c>
      <c r="B1556" s="9" t="s">
        <v>88</v>
      </c>
      <c r="C1556" s="10">
        <v>45653</v>
      </c>
      <c r="D1556" s="15">
        <v>1.1715</v>
      </c>
      <c r="E1556" s="15">
        <v>1.2715</v>
      </c>
      <c r="F1556" s="15">
        <v>1.2873</v>
      </c>
      <c r="G1556" s="11">
        <v>0.0033</v>
      </c>
      <c r="H1556" s="9">
        <f>MAX($F$1366:F1556)</f>
        <v>1.2873</v>
      </c>
      <c r="I1556" s="11">
        <f t="shared" si="36"/>
        <v>0</v>
      </c>
      <c r="J1556" s="9"/>
      <c r="K1556" s="11"/>
      <c r="L1556" s="9">
        <f>MAX($F$1489:F1556)</f>
        <v>1.2873</v>
      </c>
      <c r="M1556" s="11">
        <f t="shared" si="37"/>
        <v>0</v>
      </c>
      <c r="N1556" s="9" t="s">
        <v>793</v>
      </c>
    </row>
    <row r="1557" ht="25" customHeight="1" spans="1:14">
      <c r="A1557" s="9" t="s">
        <v>90</v>
      </c>
      <c r="B1557" s="9" t="s">
        <v>88</v>
      </c>
      <c r="C1557" s="10">
        <v>45660</v>
      </c>
      <c r="D1557" s="15">
        <v>1.172</v>
      </c>
      <c r="E1557" s="15">
        <v>1.272</v>
      </c>
      <c r="F1557" s="15">
        <v>1.2878</v>
      </c>
      <c r="G1557" s="11">
        <v>0.0004</v>
      </c>
      <c r="H1557" s="9">
        <f>MAX($F$1366:F1557)</f>
        <v>1.2878</v>
      </c>
      <c r="I1557" s="11">
        <f t="shared" si="36"/>
        <v>0</v>
      </c>
      <c r="J1557" s="9"/>
      <c r="K1557" s="11"/>
      <c r="L1557" s="9">
        <f>MAX($F$1489:F1557)</f>
        <v>1.2878</v>
      </c>
      <c r="M1557" s="11">
        <f t="shared" si="37"/>
        <v>0</v>
      </c>
      <c r="N1557" s="9" t="s">
        <v>793</v>
      </c>
    </row>
    <row r="1558" ht="25" customHeight="1" spans="1:14">
      <c r="A1558" s="9" t="s">
        <v>90</v>
      </c>
      <c r="B1558" s="9" t="s">
        <v>88</v>
      </c>
      <c r="C1558" s="10">
        <v>45667</v>
      </c>
      <c r="D1558" s="15">
        <v>1.172</v>
      </c>
      <c r="E1558" s="15">
        <v>1.272</v>
      </c>
      <c r="F1558" s="15">
        <v>1.2878</v>
      </c>
      <c r="G1558" s="11">
        <v>0</v>
      </c>
      <c r="H1558" s="9">
        <f>MAX($F$1366:F1558)</f>
        <v>1.2878</v>
      </c>
      <c r="I1558" s="11">
        <f t="shared" si="36"/>
        <v>0</v>
      </c>
      <c r="J1558" s="9"/>
      <c r="K1558" s="11"/>
      <c r="L1558" s="9">
        <f>MAX($F$1489:F1558)</f>
        <v>1.2878</v>
      </c>
      <c r="M1558" s="11">
        <f t="shared" si="37"/>
        <v>0</v>
      </c>
      <c r="N1558" s="9" t="s">
        <v>793</v>
      </c>
    </row>
    <row r="1559" ht="25" customHeight="1" spans="1:14">
      <c r="A1559" s="9" t="s">
        <v>90</v>
      </c>
      <c r="B1559" s="9" t="s">
        <v>88</v>
      </c>
      <c r="C1559" s="10">
        <v>45674</v>
      </c>
      <c r="D1559" s="15">
        <v>1.1734</v>
      </c>
      <c r="E1559" s="15">
        <v>1.2734</v>
      </c>
      <c r="F1559" s="15">
        <v>1.2893</v>
      </c>
      <c r="G1559" s="11">
        <v>0.0012</v>
      </c>
      <c r="H1559" s="9">
        <f>MAX($F$1366:F1559)</f>
        <v>1.2893</v>
      </c>
      <c r="I1559" s="11">
        <f t="shared" si="36"/>
        <v>0</v>
      </c>
      <c r="J1559" s="9"/>
      <c r="K1559" s="11"/>
      <c r="L1559" s="9">
        <f>MAX($F$1489:F1559)</f>
        <v>1.2893</v>
      </c>
      <c r="M1559" s="11">
        <f t="shared" si="37"/>
        <v>0</v>
      </c>
      <c r="N1559" s="9" t="s">
        <v>793</v>
      </c>
    </row>
    <row r="1560" ht="25" customHeight="1" spans="1:14">
      <c r="A1560" s="9" t="s">
        <v>90</v>
      </c>
      <c r="B1560" s="9" t="s">
        <v>88</v>
      </c>
      <c r="C1560" s="10">
        <v>45681</v>
      </c>
      <c r="D1560" s="15">
        <v>1.175</v>
      </c>
      <c r="E1560" s="15">
        <v>1.275</v>
      </c>
      <c r="F1560" s="15">
        <v>1.2911</v>
      </c>
      <c r="G1560" s="11">
        <v>0.0014</v>
      </c>
      <c r="H1560" s="9">
        <f>MAX($F$1366:F1560)</f>
        <v>1.2911</v>
      </c>
      <c r="I1560" s="11">
        <f t="shared" si="36"/>
        <v>0</v>
      </c>
      <c r="J1560" s="9"/>
      <c r="K1560" s="11"/>
      <c r="L1560" s="9">
        <f>MAX($F$1489:F1560)</f>
        <v>1.2911</v>
      </c>
      <c r="M1560" s="11">
        <f t="shared" si="37"/>
        <v>0</v>
      </c>
      <c r="N1560" s="9" t="s">
        <v>793</v>
      </c>
    </row>
    <row r="1561" ht="25" customHeight="1" spans="1:14">
      <c r="A1561" s="9" t="s">
        <v>90</v>
      </c>
      <c r="B1561" s="9" t="s">
        <v>88</v>
      </c>
      <c r="C1561" s="10">
        <v>45684</v>
      </c>
      <c r="D1561" s="15">
        <v>1.1745</v>
      </c>
      <c r="E1561" s="15">
        <v>1.2745</v>
      </c>
      <c r="F1561" s="15">
        <v>1.2906</v>
      </c>
      <c r="G1561" s="11">
        <v>-0.0004</v>
      </c>
      <c r="H1561" s="9">
        <f>MAX($F$1366:F1561)</f>
        <v>1.2911</v>
      </c>
      <c r="I1561" s="11">
        <f t="shared" si="36"/>
        <v>0.0003872666718302</v>
      </c>
      <c r="J1561" s="9"/>
      <c r="K1561" s="11"/>
      <c r="L1561" s="9">
        <f>MAX($F$1489:F1561)</f>
        <v>1.2911</v>
      </c>
      <c r="M1561" s="11">
        <f t="shared" si="37"/>
        <v>0.0003872666718302</v>
      </c>
      <c r="N1561" s="9" t="s">
        <v>793</v>
      </c>
    </row>
    <row r="1562" ht="25" customHeight="1" spans="1:14">
      <c r="A1562" s="9" t="s">
        <v>90</v>
      </c>
      <c r="B1562" s="9" t="s">
        <v>88</v>
      </c>
      <c r="C1562" s="10">
        <v>45695</v>
      </c>
      <c r="D1562" s="15">
        <v>1.1743</v>
      </c>
      <c r="E1562" s="15">
        <v>1.2743</v>
      </c>
      <c r="F1562" s="15">
        <v>1.2903</v>
      </c>
      <c r="G1562" s="11">
        <v>-0.0002</v>
      </c>
      <c r="H1562" s="9">
        <f>MAX($F$1366:F1562)</f>
        <v>1.2911</v>
      </c>
      <c r="I1562" s="11">
        <f t="shared" si="36"/>
        <v>0.00061962667492832</v>
      </c>
      <c r="J1562" s="9"/>
      <c r="K1562" s="11"/>
      <c r="L1562" s="9">
        <f>MAX($F$1489:F1562)</f>
        <v>1.2911</v>
      </c>
      <c r="M1562" s="11">
        <f t="shared" si="37"/>
        <v>0.00061962667492832</v>
      </c>
      <c r="N1562" s="9" t="s">
        <v>793</v>
      </c>
    </row>
    <row r="1563" ht="25" customHeight="1" spans="1:14">
      <c r="A1563" s="9" t="s">
        <v>90</v>
      </c>
      <c r="B1563" s="9" t="s">
        <v>88</v>
      </c>
      <c r="C1563" s="10">
        <v>45702</v>
      </c>
      <c r="D1563" s="15">
        <v>1.1746</v>
      </c>
      <c r="E1563" s="15">
        <v>1.2746</v>
      </c>
      <c r="F1563" s="15">
        <v>1.2907</v>
      </c>
      <c r="G1563" s="11">
        <v>0.0003</v>
      </c>
      <c r="H1563" s="9">
        <f>MAX($F$1366:F1563)</f>
        <v>1.2911</v>
      </c>
      <c r="I1563" s="11">
        <f t="shared" si="36"/>
        <v>0.00030981333746416</v>
      </c>
      <c r="J1563" s="9"/>
      <c r="K1563" s="11"/>
      <c r="L1563" s="9">
        <f>MAX($F$1489:F1563)</f>
        <v>1.2911</v>
      </c>
      <c r="M1563" s="11">
        <f t="shared" si="37"/>
        <v>0.00030981333746416</v>
      </c>
      <c r="N1563" s="9" t="s">
        <v>793</v>
      </c>
    </row>
    <row r="1564" ht="25" customHeight="1" spans="1:14">
      <c r="A1564" s="9" t="s">
        <v>90</v>
      </c>
      <c r="B1564" s="9" t="s">
        <v>88</v>
      </c>
      <c r="C1564" s="10">
        <v>45709</v>
      </c>
      <c r="D1564" s="15">
        <v>1.1752</v>
      </c>
      <c r="E1564" s="15">
        <v>1.2752</v>
      </c>
      <c r="F1564" s="15">
        <v>1.2913</v>
      </c>
      <c r="G1564" s="11">
        <v>0.0005</v>
      </c>
      <c r="H1564" s="9">
        <f>MAX($F$1366:F1564)</f>
        <v>1.2913</v>
      </c>
      <c r="I1564" s="11">
        <f t="shared" si="36"/>
        <v>0</v>
      </c>
      <c r="J1564" s="9"/>
      <c r="K1564" s="11"/>
      <c r="L1564" s="9">
        <f>MAX($F$1489:F1564)</f>
        <v>1.2913</v>
      </c>
      <c r="M1564" s="11">
        <f t="shared" si="37"/>
        <v>0</v>
      </c>
      <c r="N1564" s="9" t="s">
        <v>793</v>
      </c>
    </row>
    <row r="1565" ht="25" customHeight="1" spans="1:14">
      <c r="A1565" s="9" t="s">
        <v>90</v>
      </c>
      <c r="B1565" s="9" t="s">
        <v>88</v>
      </c>
      <c r="C1565" s="10">
        <v>45716</v>
      </c>
      <c r="D1565" s="15">
        <v>1.1749</v>
      </c>
      <c r="E1565" s="15">
        <v>1.2749</v>
      </c>
      <c r="F1565" s="15">
        <v>1.291</v>
      </c>
      <c r="G1565" s="11">
        <v>-0.0003</v>
      </c>
      <c r="H1565" s="9">
        <f>MAX($F$1366:F1565)</f>
        <v>1.2913</v>
      </c>
      <c r="I1565" s="11">
        <f t="shared" si="36"/>
        <v>0.000232324014558971</v>
      </c>
      <c r="J1565" s="9"/>
      <c r="K1565" s="11"/>
      <c r="L1565" s="9">
        <f>MAX($F$1489:F1565)</f>
        <v>1.2913</v>
      </c>
      <c r="M1565" s="11">
        <f t="shared" si="37"/>
        <v>0.000232324014558971</v>
      </c>
      <c r="N1565" s="9" t="s">
        <v>793</v>
      </c>
    </row>
    <row r="1566" ht="25" customHeight="1" spans="1:14">
      <c r="A1566" s="9" t="s">
        <v>90</v>
      </c>
      <c r="B1566" s="9" t="s">
        <v>88</v>
      </c>
      <c r="C1566" s="10">
        <v>45723</v>
      </c>
      <c r="D1566" s="15">
        <v>1.1749</v>
      </c>
      <c r="E1566" s="15">
        <v>1.2749</v>
      </c>
      <c r="F1566" s="15">
        <v>1.291</v>
      </c>
      <c r="G1566" s="11">
        <v>0</v>
      </c>
      <c r="H1566" s="9">
        <f>MAX($F$1366:F1566)</f>
        <v>1.2913</v>
      </c>
      <c r="I1566" s="11">
        <f t="shared" si="36"/>
        <v>0.000232324014558971</v>
      </c>
      <c r="J1566" s="9"/>
      <c r="K1566" s="11"/>
      <c r="L1566" s="9">
        <f>MAX($F$1489:F1566)</f>
        <v>1.2913</v>
      </c>
      <c r="M1566" s="11">
        <f t="shared" si="37"/>
        <v>0.000232324014558971</v>
      </c>
      <c r="N1566" s="9" t="s">
        <v>793</v>
      </c>
    </row>
    <row r="1567" ht="25" customHeight="1" spans="1:14">
      <c r="A1567" s="9" t="s">
        <v>90</v>
      </c>
      <c r="B1567" s="9" t="s">
        <v>88</v>
      </c>
      <c r="C1567" s="10">
        <v>45730</v>
      </c>
      <c r="D1567" s="15">
        <v>1.1739</v>
      </c>
      <c r="E1567" s="15">
        <v>1.2739</v>
      </c>
      <c r="F1567" s="15">
        <v>1.2899</v>
      </c>
      <c r="G1567" s="11">
        <v>-0.0009</v>
      </c>
      <c r="H1567" s="9">
        <f>MAX($F$1366:F1567)</f>
        <v>1.2913</v>
      </c>
      <c r="I1567" s="11">
        <f t="shared" si="36"/>
        <v>0.00108417873460842</v>
      </c>
      <c r="J1567" s="9"/>
      <c r="K1567" s="11"/>
      <c r="L1567" s="9">
        <f>MAX($F$1489:F1567)</f>
        <v>1.2913</v>
      </c>
      <c r="M1567" s="11">
        <f t="shared" si="37"/>
        <v>0.00108417873460842</v>
      </c>
      <c r="N1567" s="9" t="s">
        <v>793</v>
      </c>
    </row>
    <row r="1568" ht="25" customHeight="1" spans="1:14">
      <c r="A1568" s="9" t="s">
        <v>90</v>
      </c>
      <c r="B1568" s="9" t="s">
        <v>88</v>
      </c>
      <c r="C1568" s="10">
        <v>45737</v>
      </c>
      <c r="D1568" s="15">
        <v>1.1742</v>
      </c>
      <c r="E1568" s="15">
        <v>1.2742</v>
      </c>
      <c r="F1568" s="15">
        <v>1.2902</v>
      </c>
      <c r="G1568" s="11">
        <v>0.0003</v>
      </c>
      <c r="H1568" s="9">
        <f>MAX($F$1366:F1568)</f>
        <v>1.2913</v>
      </c>
      <c r="I1568" s="11">
        <f t="shared" si="36"/>
        <v>0.00085185472004945</v>
      </c>
      <c r="J1568" s="9"/>
      <c r="K1568" s="11"/>
      <c r="L1568" s="9">
        <f>MAX($F$1489:F1568)</f>
        <v>1.2913</v>
      </c>
      <c r="M1568" s="11">
        <f t="shared" si="37"/>
        <v>0.00085185472004945</v>
      </c>
      <c r="N1568" s="9" t="s">
        <v>793</v>
      </c>
    </row>
    <row r="1569" ht="25" customHeight="1" spans="1:14">
      <c r="A1569" s="9" t="s">
        <v>90</v>
      </c>
      <c r="B1569" s="9" t="s">
        <v>88</v>
      </c>
      <c r="C1569" s="10">
        <v>45744</v>
      </c>
      <c r="D1569" s="15">
        <v>1.1762</v>
      </c>
      <c r="E1569" s="15">
        <v>1.2762</v>
      </c>
      <c r="F1569" s="15">
        <v>1.2924</v>
      </c>
      <c r="G1569" s="11">
        <v>0.0017</v>
      </c>
      <c r="H1569" s="9">
        <f>MAX($F$1366:F1569)</f>
        <v>1.2924</v>
      </c>
      <c r="I1569" s="11">
        <f t="shared" si="36"/>
        <v>0</v>
      </c>
      <c r="J1569" s="9"/>
      <c r="K1569" s="11"/>
      <c r="L1569" s="9">
        <f>MAX($F$1489:F1569)</f>
        <v>1.2924</v>
      </c>
      <c r="M1569" s="11">
        <f t="shared" si="37"/>
        <v>0</v>
      </c>
      <c r="N1569" s="9" t="s">
        <v>793</v>
      </c>
    </row>
    <row r="1570" ht="25" customHeight="1" spans="1:14">
      <c r="A1570" s="9" t="s">
        <v>90</v>
      </c>
      <c r="B1570" s="9" t="s">
        <v>88</v>
      </c>
      <c r="C1570" s="10">
        <v>45750</v>
      </c>
      <c r="D1570" s="15">
        <v>1.1759</v>
      </c>
      <c r="E1570" s="15">
        <v>1.2759</v>
      </c>
      <c r="F1570" s="15">
        <v>1.2921</v>
      </c>
      <c r="G1570" s="11">
        <v>-0.0003</v>
      </c>
      <c r="H1570" s="9">
        <f>MAX($F$1366:F1570)</f>
        <v>1.2924</v>
      </c>
      <c r="I1570" s="11">
        <f t="shared" si="36"/>
        <v>0.000232126276694444</v>
      </c>
      <c r="J1570" s="9"/>
      <c r="K1570" s="11"/>
      <c r="L1570" s="9">
        <f>MAX($F$1489:F1570)</f>
        <v>1.2924</v>
      </c>
      <c r="M1570" s="11">
        <f t="shared" si="37"/>
        <v>0.000232126276694444</v>
      </c>
      <c r="N1570" s="9" t="s">
        <v>793</v>
      </c>
    </row>
    <row r="1571" ht="25" customHeight="1" spans="1:14">
      <c r="A1571" s="9" t="s">
        <v>90</v>
      </c>
      <c r="B1571" s="9" t="s">
        <v>88</v>
      </c>
      <c r="C1571" s="10">
        <v>45758</v>
      </c>
      <c r="D1571" s="15">
        <v>1.1771</v>
      </c>
      <c r="E1571" s="15">
        <v>1.2771</v>
      </c>
      <c r="F1571" s="15">
        <v>1.2934</v>
      </c>
      <c r="G1571" s="11">
        <v>0.001</v>
      </c>
      <c r="H1571" s="9">
        <f>MAX($F$1366:F1571)</f>
        <v>1.2934</v>
      </c>
      <c r="I1571" s="11">
        <f t="shared" si="36"/>
        <v>0</v>
      </c>
      <c r="J1571" s="9"/>
      <c r="K1571" s="11"/>
      <c r="L1571" s="9">
        <f>MAX($F$1489:F1571)</f>
        <v>1.2934</v>
      </c>
      <c r="M1571" s="11">
        <f t="shared" si="37"/>
        <v>0</v>
      </c>
      <c r="N1571" s="9" t="s">
        <v>793</v>
      </c>
    </row>
    <row r="1572" ht="25" customHeight="1" spans="1:14">
      <c r="A1572" s="9" t="s">
        <v>90</v>
      </c>
      <c r="B1572" s="9" t="s">
        <v>88</v>
      </c>
      <c r="C1572" s="10">
        <v>45765</v>
      </c>
      <c r="D1572" s="15">
        <v>1.1743</v>
      </c>
      <c r="E1572" s="15">
        <v>1.2743</v>
      </c>
      <c r="F1572" s="15">
        <v>1.2903</v>
      </c>
      <c r="G1572" s="11">
        <v>-0.0024</v>
      </c>
      <c r="H1572" s="9">
        <f>MAX($F$1366:F1572)</f>
        <v>1.2934</v>
      </c>
      <c r="I1572" s="11">
        <f t="shared" si="36"/>
        <v>0.00239678367094487</v>
      </c>
      <c r="J1572" s="9"/>
      <c r="K1572" s="11"/>
      <c r="L1572" s="9">
        <f>MAX($F$1489:F1572)</f>
        <v>1.2934</v>
      </c>
      <c r="M1572" s="11">
        <f t="shared" si="37"/>
        <v>0.00239678367094487</v>
      </c>
      <c r="N1572" s="9" t="s">
        <v>793</v>
      </c>
    </row>
    <row r="1573" ht="25" customHeight="1" spans="1:14">
      <c r="A1573" s="9" t="s">
        <v>90</v>
      </c>
      <c r="B1573" s="9" t="s">
        <v>88</v>
      </c>
      <c r="C1573" s="10">
        <v>45772</v>
      </c>
      <c r="D1573" s="15">
        <v>1.1755</v>
      </c>
      <c r="E1573" s="15">
        <v>1.2755</v>
      </c>
      <c r="F1573" s="15">
        <v>1.2917</v>
      </c>
      <c r="G1573" s="11">
        <v>0.001</v>
      </c>
      <c r="H1573" s="9">
        <f>MAX($F$1366:F1573)</f>
        <v>1.2934</v>
      </c>
      <c r="I1573" s="11">
        <f t="shared" si="36"/>
        <v>0.00131436523890527</v>
      </c>
      <c r="J1573" s="9"/>
      <c r="K1573" s="11"/>
      <c r="L1573" s="9">
        <f>MAX($F$1489:F1573)</f>
        <v>1.2934</v>
      </c>
      <c r="M1573" s="11">
        <f t="shared" si="37"/>
        <v>0.00131436523890527</v>
      </c>
      <c r="N1573" s="9" t="s">
        <v>793</v>
      </c>
    </row>
    <row r="1574" ht="25" customHeight="1" spans="1:14">
      <c r="A1574" s="9" t="s">
        <v>90</v>
      </c>
      <c r="B1574" s="9" t="s">
        <v>88</v>
      </c>
      <c r="C1574" s="10">
        <v>45777</v>
      </c>
      <c r="D1574" s="15">
        <v>1.1771</v>
      </c>
      <c r="E1574" s="15">
        <v>1.2771</v>
      </c>
      <c r="F1574" s="15">
        <v>1.2934</v>
      </c>
      <c r="G1574" s="11">
        <v>0.0014</v>
      </c>
      <c r="H1574" s="9">
        <f>MAX($F$1366:F1574)</f>
        <v>1.2934</v>
      </c>
      <c r="I1574" s="11">
        <f t="shared" si="36"/>
        <v>0</v>
      </c>
      <c r="J1574" s="9"/>
      <c r="K1574" s="11"/>
      <c r="L1574" s="9">
        <f>MAX($F$1489:F1574)</f>
        <v>1.2934</v>
      </c>
      <c r="M1574" s="11">
        <f t="shared" si="37"/>
        <v>0</v>
      </c>
      <c r="N1574" s="9" t="s">
        <v>793</v>
      </c>
    </row>
    <row r="1575" ht="25" customHeight="1" spans="1:14">
      <c r="A1575" s="9" t="s">
        <v>90</v>
      </c>
      <c r="B1575" s="9" t="s">
        <v>88</v>
      </c>
      <c r="C1575" s="10">
        <v>45786</v>
      </c>
      <c r="D1575" s="15">
        <v>1.177</v>
      </c>
      <c r="E1575" s="15">
        <v>1.277</v>
      </c>
      <c r="F1575" s="15">
        <v>1.2933</v>
      </c>
      <c r="G1575" s="11">
        <v>-0.0001</v>
      </c>
      <c r="H1575" s="9">
        <f>MAX($F$1366:F1575)</f>
        <v>1.2934</v>
      </c>
      <c r="I1575" s="11">
        <f t="shared" si="36"/>
        <v>7.73156022887411e-5</v>
      </c>
      <c r="J1575" s="9"/>
      <c r="K1575" s="11"/>
      <c r="L1575" s="9">
        <f>MAX($F$1489:F1575)</f>
        <v>1.2934</v>
      </c>
      <c r="M1575" s="11">
        <f t="shared" si="37"/>
        <v>7.73156022887411e-5</v>
      </c>
      <c r="N1575" s="9" t="s">
        <v>793</v>
      </c>
    </row>
    <row r="1576" ht="25" customHeight="1" spans="1:14">
      <c r="A1576" s="9" t="s">
        <v>90</v>
      </c>
      <c r="B1576" s="9" t="s">
        <v>88</v>
      </c>
      <c r="C1576" s="10">
        <v>45793</v>
      </c>
      <c r="D1576" s="15">
        <v>1.1786</v>
      </c>
      <c r="E1576" s="15">
        <v>1.2786</v>
      </c>
      <c r="F1576" s="15">
        <v>1.2951</v>
      </c>
      <c r="G1576" s="11">
        <v>0.0014</v>
      </c>
      <c r="H1576" s="9">
        <f>MAX($F$1366:F1576)</f>
        <v>1.2951</v>
      </c>
      <c r="I1576" s="11">
        <f t="shared" si="36"/>
        <v>0</v>
      </c>
      <c r="J1576" s="9"/>
      <c r="K1576" s="11"/>
      <c r="L1576" s="9">
        <f>MAX($F$1489:F1576)</f>
        <v>1.2951</v>
      </c>
      <c r="M1576" s="11">
        <f t="shared" si="37"/>
        <v>0</v>
      </c>
      <c r="N1576" s="9" t="s">
        <v>793</v>
      </c>
    </row>
    <row r="1577" ht="25" customHeight="1" spans="1:14">
      <c r="A1577" s="9" t="s">
        <v>90</v>
      </c>
      <c r="B1577" s="9" t="s">
        <v>88</v>
      </c>
      <c r="C1577" s="10">
        <v>45800</v>
      </c>
      <c r="D1577" s="15">
        <v>1.1769</v>
      </c>
      <c r="E1577" s="15">
        <v>1.2769</v>
      </c>
      <c r="F1577" s="15">
        <v>1.2932</v>
      </c>
      <c r="G1577" s="11">
        <v>-0.0014</v>
      </c>
      <c r="H1577" s="9">
        <f>MAX($F$1366:F1577)</f>
        <v>1.2951</v>
      </c>
      <c r="I1577" s="11">
        <f t="shared" si="36"/>
        <v>0.00146706818006337</v>
      </c>
      <c r="J1577" s="9"/>
      <c r="K1577" s="11"/>
      <c r="L1577" s="9">
        <f>MAX($F$1489:F1577)</f>
        <v>1.2951</v>
      </c>
      <c r="M1577" s="11">
        <f t="shared" si="37"/>
        <v>0.00146706818006337</v>
      </c>
      <c r="N1577" s="9" t="s">
        <v>793</v>
      </c>
    </row>
    <row r="1578" ht="25" customHeight="1" spans="1:14">
      <c r="A1578" s="9" t="s">
        <v>90</v>
      </c>
      <c r="B1578" s="9" t="s">
        <v>88</v>
      </c>
      <c r="C1578" s="10">
        <v>45807</v>
      </c>
      <c r="D1578" s="15">
        <v>1.1786</v>
      </c>
      <c r="E1578" s="15">
        <v>1.2786</v>
      </c>
      <c r="F1578" s="15">
        <v>1.2951</v>
      </c>
      <c r="G1578" s="11">
        <v>0.0014</v>
      </c>
      <c r="H1578" s="9">
        <f>MAX($F$1366:F1578)</f>
        <v>1.2951</v>
      </c>
      <c r="I1578" s="11">
        <f t="shared" si="36"/>
        <v>0</v>
      </c>
      <c r="J1578" s="9"/>
      <c r="K1578" s="11"/>
      <c r="L1578" s="9">
        <f>MAX($F$1489:F1578)</f>
        <v>1.2951</v>
      </c>
      <c r="M1578" s="11">
        <f t="shared" si="37"/>
        <v>0</v>
      </c>
      <c r="N1578" s="9" t="s">
        <v>793</v>
      </c>
    </row>
    <row r="1579" ht="25" customHeight="1" spans="1:14">
      <c r="A1579" s="9" t="s">
        <v>90</v>
      </c>
      <c r="B1579" s="9" t="s">
        <v>88</v>
      </c>
      <c r="C1579" s="10">
        <v>45814</v>
      </c>
      <c r="D1579" s="15">
        <v>1.1791</v>
      </c>
      <c r="E1579" s="15">
        <v>1.2791</v>
      </c>
      <c r="F1579" s="15">
        <v>1.2956</v>
      </c>
      <c r="G1579" s="11">
        <v>0.0004</v>
      </c>
      <c r="H1579" s="9">
        <f>MAX($F$1366:F1579)</f>
        <v>1.2956</v>
      </c>
      <c r="I1579" s="11">
        <f t="shared" si="36"/>
        <v>0</v>
      </c>
      <c r="J1579" s="9"/>
      <c r="K1579" s="11"/>
      <c r="L1579" s="9">
        <f>MAX($F$1489:F1579)</f>
        <v>1.2956</v>
      </c>
      <c r="M1579" s="11">
        <f t="shared" si="37"/>
        <v>0</v>
      </c>
      <c r="N1579" s="9" t="s">
        <v>793</v>
      </c>
    </row>
    <row r="1580" ht="25" customHeight="1" spans="1:14">
      <c r="A1580" s="9" t="s">
        <v>90</v>
      </c>
      <c r="B1580" s="9" t="s">
        <v>88</v>
      </c>
      <c r="C1580" s="10">
        <v>45821</v>
      </c>
      <c r="D1580" s="15">
        <v>1.178</v>
      </c>
      <c r="E1580" s="15">
        <v>1.278</v>
      </c>
      <c r="F1580" s="15">
        <v>1.2944</v>
      </c>
      <c r="G1580" s="11">
        <v>-0.0009</v>
      </c>
      <c r="H1580" s="9">
        <f>MAX($F$1366:F1580)</f>
        <v>1.2956</v>
      </c>
      <c r="I1580" s="11">
        <f t="shared" si="36"/>
        <v>0.000926211793763621</v>
      </c>
      <c r="J1580" s="9"/>
      <c r="K1580" s="11"/>
      <c r="L1580" s="9">
        <f>MAX($F$1489:F1580)</f>
        <v>1.2956</v>
      </c>
      <c r="M1580" s="11">
        <f t="shared" si="37"/>
        <v>0.000926211793763621</v>
      </c>
      <c r="N1580" s="9" t="s">
        <v>793</v>
      </c>
    </row>
    <row r="1581" ht="25" customHeight="1" spans="1:14">
      <c r="A1581" s="9" t="s">
        <v>90</v>
      </c>
      <c r="B1581" s="9" t="s">
        <v>88</v>
      </c>
      <c r="C1581" s="10">
        <v>45828</v>
      </c>
      <c r="D1581" s="15">
        <v>1.1785</v>
      </c>
      <c r="E1581" s="15">
        <v>1.2785</v>
      </c>
      <c r="F1581" s="15">
        <v>1.295</v>
      </c>
      <c r="G1581" s="11">
        <v>0.0004</v>
      </c>
      <c r="H1581" s="9">
        <f>MAX($F$1366:F1581)</f>
        <v>1.2956</v>
      </c>
      <c r="I1581" s="11">
        <f t="shared" si="36"/>
        <v>0.000463105896881921</v>
      </c>
      <c r="J1581" s="9"/>
      <c r="K1581" s="11"/>
      <c r="L1581" s="9">
        <f>MAX($F$1489:F1581)</f>
        <v>1.2956</v>
      </c>
      <c r="M1581" s="11">
        <f t="shared" si="37"/>
        <v>0.000463105896881921</v>
      </c>
      <c r="N1581" s="9" t="s">
        <v>793</v>
      </c>
    </row>
    <row r="1582" ht="25" customHeight="1" spans="1:14">
      <c r="A1582" s="9" t="s">
        <v>90</v>
      </c>
      <c r="B1582" s="9" t="s">
        <v>88</v>
      </c>
      <c r="C1582" s="10">
        <v>45835</v>
      </c>
      <c r="D1582" s="15">
        <v>1.1813</v>
      </c>
      <c r="E1582" s="15">
        <v>1.2813</v>
      </c>
      <c r="F1582" s="15">
        <v>1.298</v>
      </c>
      <c r="G1582" s="11">
        <v>0.0024</v>
      </c>
      <c r="H1582" s="9">
        <f>MAX($F$1366:F1582)</f>
        <v>1.298</v>
      </c>
      <c r="I1582" s="11">
        <f t="shared" si="36"/>
        <v>0</v>
      </c>
      <c r="J1582" s="9"/>
      <c r="K1582" s="11"/>
      <c r="L1582" s="9">
        <f>MAX($F$1489:F1582)</f>
        <v>1.298</v>
      </c>
      <c r="M1582" s="11">
        <f t="shared" si="37"/>
        <v>0</v>
      </c>
      <c r="N1582" s="9" t="s">
        <v>793</v>
      </c>
    </row>
    <row r="1583" ht="25" customHeight="1" spans="1:14">
      <c r="A1583" s="9" t="s">
        <v>90</v>
      </c>
      <c r="B1583" s="9" t="s">
        <v>88</v>
      </c>
      <c r="C1583" s="10">
        <v>45842</v>
      </c>
      <c r="D1583" s="15">
        <v>1.1799</v>
      </c>
      <c r="E1583" s="15">
        <v>1.2799</v>
      </c>
      <c r="F1583" s="15">
        <v>1.2965</v>
      </c>
      <c r="G1583" s="11">
        <v>-0.0012</v>
      </c>
      <c r="H1583" s="9">
        <f>MAX($F$1366:F1583)</f>
        <v>1.298</v>
      </c>
      <c r="I1583" s="11">
        <f t="shared" si="36"/>
        <v>0.00115562403698</v>
      </c>
      <c r="J1583" s="9"/>
      <c r="K1583" s="11"/>
      <c r="L1583" s="9">
        <f>MAX($F$1489:F1583)</f>
        <v>1.298</v>
      </c>
      <c r="M1583" s="11">
        <f t="shared" si="37"/>
        <v>0.00115562403698</v>
      </c>
      <c r="N1583" s="9" t="s">
        <v>793</v>
      </c>
    </row>
    <row r="1584" ht="25" customHeight="1" spans="1:14">
      <c r="A1584" s="9" t="s">
        <v>90</v>
      </c>
      <c r="B1584" s="9" t="s">
        <v>88</v>
      </c>
      <c r="C1584" s="10">
        <v>45849</v>
      </c>
      <c r="D1584" s="15">
        <v>1.1796</v>
      </c>
      <c r="E1584" s="15">
        <v>1.2796</v>
      </c>
      <c r="F1584" s="15">
        <v>1.2962</v>
      </c>
      <c r="G1584" s="11">
        <v>-0.0003</v>
      </c>
      <c r="H1584" s="9">
        <f>MAX($F$1366:F1584)</f>
        <v>1.298</v>
      </c>
      <c r="I1584" s="11">
        <f t="shared" si="36"/>
        <v>0.00138674884437595</v>
      </c>
      <c r="J1584" s="9"/>
      <c r="K1584" s="11"/>
      <c r="L1584" s="9">
        <f>MAX($F$1489:F1584)</f>
        <v>1.298</v>
      </c>
      <c r="M1584" s="11">
        <f t="shared" si="37"/>
        <v>0.00138674884437595</v>
      </c>
      <c r="N1584" s="9" t="s">
        <v>793</v>
      </c>
    </row>
    <row r="1585" ht="25" customHeight="1" spans="1:14">
      <c r="A1585" s="9" t="s">
        <v>90</v>
      </c>
      <c r="B1585" s="9" t="s">
        <v>88</v>
      </c>
      <c r="C1585" s="10">
        <v>45856</v>
      </c>
      <c r="D1585" s="15">
        <v>1.1795</v>
      </c>
      <c r="E1585" s="15">
        <v>1.2795</v>
      </c>
      <c r="F1585" s="15">
        <v>1.2961</v>
      </c>
      <c r="G1585" s="11">
        <v>-0.0001</v>
      </c>
      <c r="H1585" s="9">
        <f>MAX($F$1366:F1585)</f>
        <v>1.298</v>
      </c>
      <c r="I1585" s="11">
        <f t="shared" si="36"/>
        <v>0.00146379044684131</v>
      </c>
      <c r="J1585" s="9"/>
      <c r="K1585" s="11"/>
      <c r="L1585" s="9">
        <f>MAX($F$1489:F1585)</f>
        <v>1.298</v>
      </c>
      <c r="M1585" s="11">
        <f t="shared" si="37"/>
        <v>0.00146379044684131</v>
      </c>
      <c r="N1585" s="9" t="s">
        <v>793</v>
      </c>
    </row>
    <row r="1586" ht="25" customHeight="1" spans="1:14">
      <c r="A1586" s="9" t="s">
        <v>90</v>
      </c>
      <c r="B1586" s="9" t="s">
        <v>88</v>
      </c>
      <c r="C1586" s="10">
        <v>45863</v>
      </c>
      <c r="D1586" s="15">
        <v>1.1798</v>
      </c>
      <c r="E1586" s="15">
        <v>1.2798</v>
      </c>
      <c r="F1586" s="15">
        <v>1.2964</v>
      </c>
      <c r="G1586" s="11">
        <v>0.0003</v>
      </c>
      <c r="H1586" s="9">
        <f>MAX($F$1366:F1586)</f>
        <v>1.298</v>
      </c>
      <c r="I1586" s="11">
        <f t="shared" si="36"/>
        <v>0.00123266563944535</v>
      </c>
      <c r="J1586" s="9"/>
      <c r="K1586" s="11"/>
      <c r="L1586" s="9">
        <f>MAX($F$1489:F1586)</f>
        <v>1.298</v>
      </c>
      <c r="M1586" s="11">
        <f t="shared" si="37"/>
        <v>0.00123266563944535</v>
      </c>
      <c r="N1586" s="9" t="s">
        <v>793</v>
      </c>
    </row>
    <row r="1587" ht="25" customHeight="1" spans="1:14">
      <c r="A1587" s="9" t="s">
        <v>90</v>
      </c>
      <c r="B1587" s="9" t="s">
        <v>88</v>
      </c>
      <c r="C1587" s="10">
        <v>45870</v>
      </c>
      <c r="D1587" s="15">
        <v>1.1807</v>
      </c>
      <c r="E1587" s="15">
        <v>1.2807</v>
      </c>
      <c r="F1587" s="15">
        <v>1.2974</v>
      </c>
      <c r="G1587" s="11">
        <v>0.0008</v>
      </c>
      <c r="H1587" s="9">
        <f>MAX($F$1366:F1587)</f>
        <v>1.298</v>
      </c>
      <c r="I1587" s="11">
        <f t="shared" si="36"/>
        <v>0.00046224961479191</v>
      </c>
      <c r="J1587" s="9"/>
      <c r="K1587" s="11"/>
      <c r="L1587" s="9">
        <f>MAX($F$1489:F1587)</f>
        <v>1.298</v>
      </c>
      <c r="M1587" s="11">
        <f t="shared" si="37"/>
        <v>0.00046224961479191</v>
      </c>
      <c r="N1587" s="9" t="s">
        <v>793</v>
      </c>
    </row>
    <row r="1588" ht="25" customHeight="1" spans="1:14">
      <c r="A1588" s="9" t="s">
        <v>90</v>
      </c>
      <c r="B1588" s="9" t="s">
        <v>88</v>
      </c>
      <c r="C1588" s="10">
        <v>45877</v>
      </c>
      <c r="D1588" s="15">
        <v>1.1821</v>
      </c>
      <c r="E1588" s="15">
        <v>1.2821</v>
      </c>
      <c r="F1588" s="15">
        <v>1.2989</v>
      </c>
      <c r="G1588" s="11">
        <v>0.0012</v>
      </c>
      <c r="H1588" s="9">
        <f>MAX($F$1366:F1588)</f>
        <v>1.2989</v>
      </c>
      <c r="I1588" s="11">
        <f t="shared" si="36"/>
        <v>0</v>
      </c>
      <c r="J1588" s="9"/>
      <c r="K1588" s="11"/>
      <c r="L1588" s="9">
        <f>MAX($F$1489:F1588)</f>
        <v>1.2989</v>
      </c>
      <c r="M1588" s="11">
        <f t="shared" si="37"/>
        <v>0</v>
      </c>
      <c r="N1588" s="9" t="s">
        <v>793</v>
      </c>
    </row>
    <row r="1589" ht="25" customHeight="1" spans="1:14">
      <c r="A1589" s="9" t="s">
        <v>90</v>
      </c>
      <c r="B1589" s="9" t="s">
        <v>88</v>
      </c>
      <c r="C1589" s="10">
        <v>45884</v>
      </c>
      <c r="D1589" s="15">
        <v>1.1822</v>
      </c>
      <c r="E1589" s="15">
        <v>1.2822</v>
      </c>
      <c r="F1589" s="15">
        <v>1.299</v>
      </c>
      <c r="G1589" s="11">
        <v>0.0001</v>
      </c>
      <c r="H1589" s="9">
        <f>MAX($F$1366:F1589)</f>
        <v>1.299</v>
      </c>
      <c r="I1589" s="11">
        <f t="shared" si="36"/>
        <v>0</v>
      </c>
      <c r="J1589" s="9"/>
      <c r="K1589" s="11"/>
      <c r="L1589" s="9">
        <f>MAX($F$1489:F1589)</f>
        <v>1.299</v>
      </c>
      <c r="M1589" s="11">
        <f t="shared" si="37"/>
        <v>0</v>
      </c>
      <c r="N1589" s="9" t="s">
        <v>793</v>
      </c>
    </row>
    <row r="1590" ht="25" customHeight="1" spans="1:14">
      <c r="A1590" s="9" t="s">
        <v>90</v>
      </c>
      <c r="B1590" s="9" t="s">
        <v>88</v>
      </c>
      <c r="C1590" s="10">
        <v>45891</v>
      </c>
      <c r="D1590" s="15">
        <v>1.1807</v>
      </c>
      <c r="E1590" s="15">
        <v>1.2807</v>
      </c>
      <c r="F1590" s="15">
        <v>1.2974</v>
      </c>
      <c r="G1590" s="11">
        <v>-0.0013</v>
      </c>
      <c r="H1590" s="9">
        <f>MAX($F$1366:F1590)</f>
        <v>1.299</v>
      </c>
      <c r="I1590" s="11">
        <f t="shared" si="36"/>
        <v>0.00123171670515765</v>
      </c>
      <c r="J1590" s="9"/>
      <c r="K1590" s="11"/>
      <c r="L1590" s="9">
        <f>MAX($F$1489:F1590)</f>
        <v>1.299</v>
      </c>
      <c r="M1590" s="11">
        <f t="shared" si="37"/>
        <v>0.00123171670515765</v>
      </c>
      <c r="N1590" s="9" t="s">
        <v>793</v>
      </c>
    </row>
    <row r="1591" ht="25" customHeight="1" spans="1:14">
      <c r="A1591" s="9" t="s">
        <v>90</v>
      </c>
      <c r="B1591" s="9" t="s">
        <v>88</v>
      </c>
      <c r="C1591" s="10">
        <v>45898</v>
      </c>
      <c r="D1591" s="15">
        <v>1.1848</v>
      </c>
      <c r="E1591" s="15">
        <v>1.2848</v>
      </c>
      <c r="F1591" s="15">
        <v>1.3019</v>
      </c>
      <c r="G1591" s="11">
        <v>0.0035</v>
      </c>
      <c r="H1591" s="9">
        <f>MAX($F$1366:F1591)</f>
        <v>1.3019</v>
      </c>
      <c r="I1591" s="11">
        <f t="shared" si="36"/>
        <v>0</v>
      </c>
      <c r="J1591" s="9">
        <f>MAX($F$1591:F1591)</f>
        <v>1.3019</v>
      </c>
      <c r="K1591" s="11">
        <f t="shared" ref="K1591:K1643" si="38">1-F1591/J1591</f>
        <v>0</v>
      </c>
      <c r="L1591" s="9">
        <f>MAX($F$1489:F1591)</f>
        <v>1.3019</v>
      </c>
      <c r="M1591" s="11">
        <f t="shared" si="37"/>
        <v>0</v>
      </c>
      <c r="N1591" s="9" t="s">
        <v>793</v>
      </c>
    </row>
    <row r="1592" ht="25" customHeight="1" spans="1:14">
      <c r="A1592" s="9" t="s">
        <v>90</v>
      </c>
      <c r="B1592" s="9" t="s">
        <v>88</v>
      </c>
      <c r="C1592" s="10">
        <v>45905</v>
      </c>
      <c r="D1592" s="15">
        <v>1.1877</v>
      </c>
      <c r="E1592" s="15">
        <v>1.2877</v>
      </c>
      <c r="F1592" s="15">
        <v>1.3051</v>
      </c>
      <c r="G1592" s="11">
        <v>0.0024</v>
      </c>
      <c r="H1592" s="9">
        <f>MAX($F$1366:F1592)</f>
        <v>1.3051</v>
      </c>
      <c r="I1592" s="11">
        <f t="shared" si="36"/>
        <v>0</v>
      </c>
      <c r="J1592" s="9">
        <f>MAX($F$1591:F1592)</f>
        <v>1.3051</v>
      </c>
      <c r="K1592" s="11">
        <f t="shared" si="38"/>
        <v>0</v>
      </c>
      <c r="L1592" s="9">
        <f>MAX($F$1489:F1592)</f>
        <v>1.3051</v>
      </c>
      <c r="M1592" s="11">
        <f t="shared" si="37"/>
        <v>0</v>
      </c>
      <c r="N1592" s="9" t="s">
        <v>793</v>
      </c>
    </row>
    <row r="1593" ht="25" customHeight="1" spans="1:14">
      <c r="A1593" s="9" t="s">
        <v>90</v>
      </c>
      <c r="B1593" s="9" t="s">
        <v>88</v>
      </c>
      <c r="C1593" s="10">
        <v>45912</v>
      </c>
      <c r="D1593" s="15">
        <v>1.1881</v>
      </c>
      <c r="E1593" s="15">
        <v>1.2881</v>
      </c>
      <c r="F1593" s="15">
        <v>1.3055</v>
      </c>
      <c r="G1593" s="11">
        <v>0.0003</v>
      </c>
      <c r="H1593" s="9">
        <f>MAX($F$1366:F1593)</f>
        <v>1.3055</v>
      </c>
      <c r="I1593" s="11">
        <f t="shared" si="36"/>
        <v>0</v>
      </c>
      <c r="J1593" s="9">
        <f>MAX($F$1591:F1593)</f>
        <v>1.3055</v>
      </c>
      <c r="K1593" s="11">
        <f t="shared" si="38"/>
        <v>0</v>
      </c>
      <c r="L1593" s="9">
        <f>MAX($F$1489:F1593)</f>
        <v>1.3055</v>
      </c>
      <c r="M1593" s="11">
        <f t="shared" si="37"/>
        <v>0</v>
      </c>
      <c r="N1593" s="9" t="s">
        <v>793</v>
      </c>
    </row>
    <row r="1594" ht="25" customHeight="1" spans="1:14">
      <c r="A1594" s="9" t="s">
        <v>90</v>
      </c>
      <c r="B1594" s="9" t="s">
        <v>88</v>
      </c>
      <c r="C1594" s="10">
        <v>45919</v>
      </c>
      <c r="D1594" s="15">
        <v>1.1917</v>
      </c>
      <c r="E1594" s="15">
        <v>1.2917</v>
      </c>
      <c r="F1594" s="15">
        <v>1.3095</v>
      </c>
      <c r="G1594" s="11">
        <v>0.003</v>
      </c>
      <c r="H1594" s="9">
        <f>MAX($F$1366:F1594)</f>
        <v>1.3095</v>
      </c>
      <c r="I1594" s="11">
        <f t="shared" si="36"/>
        <v>0</v>
      </c>
      <c r="J1594" s="9">
        <f>MAX($F$1591:F1594)</f>
        <v>1.3095</v>
      </c>
      <c r="K1594" s="11">
        <f t="shared" si="38"/>
        <v>0</v>
      </c>
      <c r="L1594" s="9">
        <f>MAX($F$1489:F1594)</f>
        <v>1.3095</v>
      </c>
      <c r="M1594" s="11">
        <f t="shared" si="37"/>
        <v>0</v>
      </c>
      <c r="N1594" s="9" t="s">
        <v>793</v>
      </c>
    </row>
    <row r="1595" ht="25" customHeight="1" spans="1:14">
      <c r="A1595" s="9" t="s">
        <v>90</v>
      </c>
      <c r="B1595" s="9" t="s">
        <v>88</v>
      </c>
      <c r="C1595" s="10">
        <v>45926</v>
      </c>
      <c r="D1595" s="15">
        <v>1.1985</v>
      </c>
      <c r="E1595" s="15">
        <v>1.2985</v>
      </c>
      <c r="F1595" s="15">
        <v>1.3169</v>
      </c>
      <c r="G1595" s="11">
        <v>0.0057</v>
      </c>
      <c r="H1595" s="9">
        <f>MAX($F$1366:F1595)</f>
        <v>1.3169</v>
      </c>
      <c r="I1595" s="11">
        <f t="shared" si="36"/>
        <v>0</v>
      </c>
      <c r="J1595" s="9">
        <f>MAX($F$1591:F1595)</f>
        <v>1.3169</v>
      </c>
      <c r="K1595" s="11">
        <f t="shared" si="38"/>
        <v>0</v>
      </c>
      <c r="L1595" s="9">
        <f>MAX($F$1489:F1595)</f>
        <v>1.3169</v>
      </c>
      <c r="M1595" s="11">
        <f t="shared" si="37"/>
        <v>0</v>
      </c>
      <c r="N1595" s="9" t="s">
        <v>793</v>
      </c>
    </row>
    <row r="1596" ht="25" customHeight="1" spans="1:14">
      <c r="A1596" s="9" t="s">
        <v>90</v>
      </c>
      <c r="B1596" s="9" t="s">
        <v>88</v>
      </c>
      <c r="C1596" s="10">
        <v>45930</v>
      </c>
      <c r="D1596" s="15">
        <v>1.1983</v>
      </c>
      <c r="E1596" s="15">
        <v>1.2983</v>
      </c>
      <c r="F1596" s="15">
        <v>1.3167</v>
      </c>
      <c r="G1596" s="11">
        <v>-0.0002</v>
      </c>
      <c r="H1596" s="9">
        <f>MAX($F$1366:F1596)</f>
        <v>1.3169</v>
      </c>
      <c r="I1596" s="11">
        <f t="shared" si="36"/>
        <v>0.000151871820183724</v>
      </c>
      <c r="J1596" s="9">
        <f>MAX($F$1591:F1596)</f>
        <v>1.3169</v>
      </c>
      <c r="K1596" s="11">
        <f t="shared" si="38"/>
        <v>0.000151871820183724</v>
      </c>
      <c r="L1596" s="9">
        <f>MAX($F$1489:F1596)</f>
        <v>1.3169</v>
      </c>
      <c r="M1596" s="11">
        <f t="shared" si="37"/>
        <v>0.000151871820183724</v>
      </c>
      <c r="N1596" s="9" t="s">
        <v>793</v>
      </c>
    </row>
    <row r="1597" ht="25" customHeight="1" spans="1:14">
      <c r="A1597" s="9" t="s">
        <v>90</v>
      </c>
      <c r="B1597" s="9" t="s">
        <v>88</v>
      </c>
      <c r="C1597" s="10">
        <v>45940</v>
      </c>
      <c r="D1597" s="15">
        <v>1.1991</v>
      </c>
      <c r="E1597" s="15">
        <v>1.2991</v>
      </c>
      <c r="F1597" s="15">
        <v>1.3176</v>
      </c>
      <c r="G1597" s="11">
        <v>0.0007</v>
      </c>
      <c r="H1597" s="9">
        <f>MAX($F$1366:F1597)</f>
        <v>1.3176</v>
      </c>
      <c r="I1597" s="11">
        <f t="shared" si="36"/>
        <v>0</v>
      </c>
      <c r="J1597" s="9">
        <f>MAX($F$1591:F1597)</f>
        <v>1.3176</v>
      </c>
      <c r="K1597" s="11">
        <f t="shared" si="38"/>
        <v>0</v>
      </c>
      <c r="L1597" s="9">
        <f>MAX($F$1489:F1597)</f>
        <v>1.3176</v>
      </c>
      <c r="M1597" s="11">
        <f t="shared" si="37"/>
        <v>0</v>
      </c>
      <c r="N1597" s="9" t="s">
        <v>793</v>
      </c>
    </row>
    <row r="1598" ht="25" customHeight="1" spans="1:14">
      <c r="A1598" s="9" t="s">
        <v>90</v>
      </c>
      <c r="B1598" s="9" t="s">
        <v>88</v>
      </c>
      <c r="C1598" s="10">
        <v>45947</v>
      </c>
      <c r="D1598" s="15">
        <v>1.2021</v>
      </c>
      <c r="E1598" s="15">
        <v>1.3021</v>
      </c>
      <c r="F1598" s="15">
        <v>1.3209</v>
      </c>
      <c r="G1598" s="11">
        <v>0.0025</v>
      </c>
      <c r="H1598" s="9">
        <f>MAX($F$1366:F1598)</f>
        <v>1.3209</v>
      </c>
      <c r="I1598" s="11">
        <f t="shared" si="36"/>
        <v>0</v>
      </c>
      <c r="J1598" s="9">
        <f>MAX($F$1591:F1598)</f>
        <v>1.3209</v>
      </c>
      <c r="K1598" s="11">
        <f t="shared" si="38"/>
        <v>0</v>
      </c>
      <c r="L1598" s="9">
        <f>MAX($F$1489:F1598)</f>
        <v>1.3209</v>
      </c>
      <c r="M1598" s="11">
        <f t="shared" si="37"/>
        <v>0</v>
      </c>
      <c r="N1598" s="9" t="s">
        <v>793</v>
      </c>
    </row>
    <row r="1599" ht="25" customHeight="1" spans="1:14">
      <c r="A1599" s="9" t="s">
        <v>90</v>
      </c>
      <c r="B1599" s="9" t="s">
        <v>88</v>
      </c>
      <c r="C1599" s="10">
        <v>45954</v>
      </c>
      <c r="D1599" s="15">
        <v>1.2034</v>
      </c>
      <c r="E1599" s="15">
        <v>1.3034</v>
      </c>
      <c r="F1599" s="15">
        <v>1.3223</v>
      </c>
      <c r="G1599" s="11">
        <v>0.0011</v>
      </c>
      <c r="H1599" s="9">
        <f>MAX($F$1366:F1599)</f>
        <v>1.3223</v>
      </c>
      <c r="I1599" s="11">
        <f t="shared" si="36"/>
        <v>0</v>
      </c>
      <c r="J1599" s="9">
        <f>MAX($F$1591:F1599)</f>
        <v>1.3223</v>
      </c>
      <c r="K1599" s="11">
        <f t="shared" si="38"/>
        <v>0</v>
      </c>
      <c r="L1599" s="9">
        <f>MAX($F$1489:F1599)</f>
        <v>1.3223</v>
      </c>
      <c r="M1599" s="11">
        <f t="shared" si="37"/>
        <v>0</v>
      </c>
      <c r="N1599" s="9" t="s">
        <v>793</v>
      </c>
    </row>
    <row r="1600" ht="25" customHeight="1" spans="1:14">
      <c r="A1600" s="9" t="s">
        <v>90</v>
      </c>
      <c r="B1600" s="9" t="s">
        <v>88</v>
      </c>
      <c r="C1600" s="10">
        <v>45961</v>
      </c>
      <c r="D1600" s="15">
        <v>1.2046</v>
      </c>
      <c r="E1600" s="15">
        <v>1.3046</v>
      </c>
      <c r="F1600" s="15">
        <v>1.3236</v>
      </c>
      <c r="G1600" s="11">
        <v>0.001</v>
      </c>
      <c r="H1600" s="9">
        <f>MAX($F$1366:F1600)</f>
        <v>1.3236</v>
      </c>
      <c r="I1600" s="11">
        <f t="shared" si="36"/>
        <v>0</v>
      </c>
      <c r="J1600" s="9">
        <f>MAX($F$1591:F1600)</f>
        <v>1.3236</v>
      </c>
      <c r="K1600" s="11">
        <f t="shared" si="38"/>
        <v>0</v>
      </c>
      <c r="L1600" s="9">
        <f>MAX($F$1489:F1600)</f>
        <v>1.3236</v>
      </c>
      <c r="M1600" s="11">
        <f t="shared" si="37"/>
        <v>0</v>
      </c>
      <c r="N1600" s="9" t="s">
        <v>793</v>
      </c>
    </row>
    <row r="1601" ht="25" customHeight="1" spans="1:14">
      <c r="A1601" s="9" t="s">
        <v>90</v>
      </c>
      <c r="B1601" s="9" t="s">
        <v>88</v>
      </c>
      <c r="C1601" s="10">
        <v>45968</v>
      </c>
      <c r="D1601" s="15">
        <v>1.2069</v>
      </c>
      <c r="E1601" s="15">
        <v>1.3069</v>
      </c>
      <c r="F1601" s="15">
        <v>1.3262</v>
      </c>
      <c r="G1601" s="11">
        <v>0.0019</v>
      </c>
      <c r="H1601" s="9">
        <f>MAX($F$1366:F1601)</f>
        <v>1.3262</v>
      </c>
      <c r="I1601" s="11">
        <f t="shared" si="36"/>
        <v>0</v>
      </c>
      <c r="J1601" s="9">
        <f>MAX($F$1591:F1601)</f>
        <v>1.3262</v>
      </c>
      <c r="K1601" s="11">
        <f t="shared" si="38"/>
        <v>0</v>
      </c>
      <c r="L1601" s="9">
        <f>MAX($F$1489:F1601)</f>
        <v>1.3262</v>
      </c>
      <c r="M1601" s="11">
        <f t="shared" si="37"/>
        <v>0</v>
      </c>
      <c r="N1601" s="9" t="s">
        <v>793</v>
      </c>
    </row>
    <row r="1602" ht="25" customHeight="1" spans="1:14">
      <c r="A1602" s="9" t="s">
        <v>90</v>
      </c>
      <c r="B1602" s="9" t="s">
        <v>88</v>
      </c>
      <c r="C1602" s="10">
        <v>45975</v>
      </c>
      <c r="D1602" s="15">
        <v>1.2106</v>
      </c>
      <c r="E1602" s="15">
        <v>1.3106</v>
      </c>
      <c r="F1602" s="15">
        <v>1.3302</v>
      </c>
      <c r="G1602" s="11">
        <v>0.0031</v>
      </c>
      <c r="H1602" s="9">
        <f>MAX($F$1366:F1602)</f>
        <v>1.3302</v>
      </c>
      <c r="I1602" s="11">
        <f t="shared" ref="I1602:I1665" si="39">1-F1602/H1602</f>
        <v>0</v>
      </c>
      <c r="J1602" s="9">
        <f>MAX($F$1591:F1602)</f>
        <v>1.3302</v>
      </c>
      <c r="K1602" s="11">
        <f t="shared" si="38"/>
        <v>0</v>
      </c>
      <c r="L1602" s="9">
        <f>MAX($F$1489:F1602)</f>
        <v>1.3302</v>
      </c>
      <c r="M1602" s="11">
        <f t="shared" si="37"/>
        <v>0</v>
      </c>
      <c r="N1602" s="9" t="s">
        <v>793</v>
      </c>
    </row>
    <row r="1603" ht="25" customHeight="1" spans="1:14">
      <c r="A1603" s="9" t="s">
        <v>90</v>
      </c>
      <c r="B1603" s="9" t="s">
        <v>88</v>
      </c>
      <c r="C1603" s="10">
        <v>45982</v>
      </c>
      <c r="D1603" s="15">
        <v>1.2112</v>
      </c>
      <c r="E1603" s="15">
        <v>1.3112</v>
      </c>
      <c r="F1603" s="15">
        <v>1.3309</v>
      </c>
      <c r="G1603" s="11">
        <v>0.0005</v>
      </c>
      <c r="H1603" s="9">
        <f>MAX($F$1366:F1603)</f>
        <v>1.3309</v>
      </c>
      <c r="I1603" s="11">
        <f t="shared" si="39"/>
        <v>0</v>
      </c>
      <c r="J1603" s="9">
        <f>MAX($F$1591:F1603)</f>
        <v>1.3309</v>
      </c>
      <c r="K1603" s="11">
        <f t="shared" si="38"/>
        <v>0</v>
      </c>
      <c r="L1603" s="9">
        <f>MAX($F$1489:F1603)</f>
        <v>1.3309</v>
      </c>
      <c r="M1603" s="11">
        <f t="shared" si="37"/>
        <v>0</v>
      </c>
      <c r="N1603" s="9" t="s">
        <v>793</v>
      </c>
    </row>
    <row r="1604" ht="25" customHeight="1" spans="1:14">
      <c r="A1604" s="9" t="s">
        <v>90</v>
      </c>
      <c r="B1604" s="9" t="s">
        <v>88</v>
      </c>
      <c r="C1604" s="10">
        <v>45989</v>
      </c>
      <c r="D1604" s="15">
        <v>1.2118</v>
      </c>
      <c r="E1604" s="15">
        <v>1.3118</v>
      </c>
      <c r="F1604" s="15">
        <v>1.3315</v>
      </c>
      <c r="G1604" s="11">
        <v>0.0005</v>
      </c>
      <c r="H1604" s="9">
        <f>MAX($F$1366:F1604)</f>
        <v>1.3315</v>
      </c>
      <c r="I1604" s="11">
        <f t="shared" si="39"/>
        <v>0</v>
      </c>
      <c r="J1604" s="9">
        <f>MAX($F$1591:F1604)</f>
        <v>1.3315</v>
      </c>
      <c r="K1604" s="11">
        <f t="shared" si="38"/>
        <v>0</v>
      </c>
      <c r="L1604" s="9">
        <f>MAX($F$1489:F1604)</f>
        <v>1.3315</v>
      </c>
      <c r="M1604" s="11">
        <f t="shared" si="37"/>
        <v>0</v>
      </c>
      <c r="N1604" s="9" t="s">
        <v>793</v>
      </c>
    </row>
    <row r="1605" ht="25" customHeight="1" spans="1:14">
      <c r="A1605" s="9" t="s">
        <v>90</v>
      </c>
      <c r="B1605" s="9" t="s">
        <v>88</v>
      </c>
      <c r="C1605" s="10">
        <v>45996</v>
      </c>
      <c r="D1605" s="15">
        <v>1.2122</v>
      </c>
      <c r="E1605" s="15">
        <v>1.3122</v>
      </c>
      <c r="F1605" s="15">
        <v>1.332</v>
      </c>
      <c r="G1605" s="11">
        <v>0.0003</v>
      </c>
      <c r="H1605" s="9">
        <f>MAX($F$1366:F1605)</f>
        <v>1.332</v>
      </c>
      <c r="I1605" s="11">
        <f t="shared" si="39"/>
        <v>0</v>
      </c>
      <c r="J1605" s="9">
        <f>MAX($F$1591:F1605)</f>
        <v>1.332</v>
      </c>
      <c r="K1605" s="11">
        <f t="shared" si="38"/>
        <v>0</v>
      </c>
      <c r="L1605" s="9">
        <f>MAX($F$1489:F1605)</f>
        <v>1.332</v>
      </c>
      <c r="M1605" s="11">
        <f t="shared" si="37"/>
        <v>0</v>
      </c>
      <c r="N1605" s="9" t="s">
        <v>793</v>
      </c>
    </row>
    <row r="1606" ht="25" customHeight="1" spans="1:14">
      <c r="A1606" s="9" t="s">
        <v>90</v>
      </c>
      <c r="B1606" s="9" t="s">
        <v>88</v>
      </c>
      <c r="C1606" s="10">
        <v>46003</v>
      </c>
      <c r="D1606" s="15">
        <v>1.2128</v>
      </c>
      <c r="E1606" s="15">
        <v>1.3128</v>
      </c>
      <c r="F1606" s="15">
        <v>1.3326</v>
      </c>
      <c r="G1606" s="11">
        <v>0.0005</v>
      </c>
      <c r="H1606" s="9">
        <f>MAX($F$1366:F1606)</f>
        <v>1.3326</v>
      </c>
      <c r="I1606" s="11">
        <f t="shared" si="39"/>
        <v>0</v>
      </c>
      <c r="J1606" s="9">
        <f>MAX($F$1591:F1606)</f>
        <v>1.3326</v>
      </c>
      <c r="K1606" s="11">
        <f t="shared" si="38"/>
        <v>0</v>
      </c>
      <c r="L1606" s="9">
        <f>MAX($F$1489:F1606)</f>
        <v>1.3326</v>
      </c>
      <c r="M1606" s="11">
        <f t="shared" si="37"/>
        <v>0</v>
      </c>
      <c r="N1606" s="9" t="s">
        <v>793</v>
      </c>
    </row>
    <row r="1607" ht="25" customHeight="1" spans="1:14">
      <c r="A1607" s="9" t="s">
        <v>90</v>
      </c>
      <c r="B1607" s="9" t="s">
        <v>88</v>
      </c>
      <c r="C1607" s="10">
        <v>46010</v>
      </c>
      <c r="D1607" s="15">
        <v>1.2108</v>
      </c>
      <c r="E1607" s="15">
        <v>1.3108</v>
      </c>
      <c r="F1607" s="15">
        <v>1.3304</v>
      </c>
      <c r="G1607" s="11">
        <v>-0.0016</v>
      </c>
      <c r="H1607" s="9">
        <f>MAX($F$1366:F1607)</f>
        <v>1.3326</v>
      </c>
      <c r="I1607" s="11">
        <f t="shared" si="39"/>
        <v>0.00165090799939971</v>
      </c>
      <c r="J1607" s="9">
        <f>MAX($F$1591:F1607)</f>
        <v>1.3326</v>
      </c>
      <c r="K1607" s="11">
        <f t="shared" si="38"/>
        <v>0.00165090799939971</v>
      </c>
      <c r="L1607" s="9">
        <f>MAX($F$1489:F1607)</f>
        <v>1.3326</v>
      </c>
      <c r="M1607" s="11">
        <f t="shared" si="37"/>
        <v>0.00165090799939971</v>
      </c>
      <c r="N1607" s="9" t="s">
        <v>793</v>
      </c>
    </row>
    <row r="1608" ht="25" customHeight="1" spans="1:14">
      <c r="A1608" s="9" t="s">
        <v>90</v>
      </c>
      <c r="B1608" s="9" t="s">
        <v>88</v>
      </c>
      <c r="C1608" s="10">
        <v>46017</v>
      </c>
      <c r="D1608" s="15">
        <v>1.2111</v>
      </c>
      <c r="E1608" s="15">
        <v>1.3111</v>
      </c>
      <c r="F1608" s="15">
        <v>1.3308</v>
      </c>
      <c r="G1608" s="11">
        <v>0.0002</v>
      </c>
      <c r="H1608" s="9">
        <f>MAX($F$1366:F1608)</f>
        <v>1.3326</v>
      </c>
      <c r="I1608" s="11">
        <f t="shared" si="39"/>
        <v>0.00135074290859971</v>
      </c>
      <c r="J1608" s="9">
        <f>MAX($F$1591:F1608)</f>
        <v>1.3326</v>
      </c>
      <c r="K1608" s="11">
        <f t="shared" si="38"/>
        <v>0.00135074290859971</v>
      </c>
      <c r="L1608" s="9">
        <f>MAX($F$1489:F1608)</f>
        <v>1.3326</v>
      </c>
      <c r="M1608" s="11">
        <f t="shared" si="37"/>
        <v>0.00135074290859971</v>
      </c>
      <c r="N1608" s="9" t="s">
        <v>793</v>
      </c>
    </row>
    <row r="1609" ht="25" customHeight="1" spans="1:14">
      <c r="A1609" s="9" t="s">
        <v>90</v>
      </c>
      <c r="B1609" s="9" t="s">
        <v>88</v>
      </c>
      <c r="C1609" s="10">
        <v>46022</v>
      </c>
      <c r="D1609" s="15">
        <v>1.2139</v>
      </c>
      <c r="E1609" s="15">
        <v>1.3139</v>
      </c>
      <c r="F1609" s="15">
        <v>1.3339</v>
      </c>
      <c r="G1609" s="11">
        <v>0.0023</v>
      </c>
      <c r="H1609" s="9">
        <f>MAX($F$1366:F1609)</f>
        <v>1.3339</v>
      </c>
      <c r="I1609" s="11">
        <f t="shared" si="39"/>
        <v>0</v>
      </c>
      <c r="J1609" s="9">
        <f>MAX($F$1591:F1609)</f>
        <v>1.3339</v>
      </c>
      <c r="K1609" s="11">
        <f t="shared" si="38"/>
        <v>0</v>
      </c>
      <c r="L1609" s="9">
        <f>MAX($F$1489:F1609)</f>
        <v>1.3339</v>
      </c>
      <c r="M1609" s="11">
        <f t="shared" si="37"/>
        <v>0</v>
      </c>
      <c r="N1609" s="9" t="s">
        <v>793</v>
      </c>
    </row>
    <row r="1610" ht="25" customHeight="1" spans="1:14">
      <c r="A1610" s="9" t="s">
        <v>90</v>
      </c>
      <c r="B1610" s="9" t="s">
        <v>88</v>
      </c>
      <c r="C1610" s="10">
        <v>46031</v>
      </c>
      <c r="D1610" s="15">
        <v>1.2138</v>
      </c>
      <c r="E1610" s="15">
        <v>1.3138</v>
      </c>
      <c r="F1610" s="15">
        <v>1.3337</v>
      </c>
      <c r="G1610" s="11">
        <v>-0.0001</v>
      </c>
      <c r="H1610" s="9">
        <f>MAX($F$1366:F1610)</f>
        <v>1.3339</v>
      </c>
      <c r="I1610" s="11">
        <f t="shared" si="39"/>
        <v>0.000149936277082263</v>
      </c>
      <c r="J1610" s="9">
        <f>MAX($F$1591:F1610)</f>
        <v>1.3339</v>
      </c>
      <c r="K1610" s="11">
        <f t="shared" si="38"/>
        <v>0.000149936277082263</v>
      </c>
      <c r="L1610" s="9">
        <f>MAX($F$1489:F1610)</f>
        <v>1.3339</v>
      </c>
      <c r="M1610" s="11">
        <f t="shared" si="37"/>
        <v>0.000149936277082263</v>
      </c>
      <c r="N1610" s="9" t="s">
        <v>793</v>
      </c>
    </row>
    <row r="1611" ht="25" customHeight="1" spans="1:14">
      <c r="A1611" s="9" t="s">
        <v>90</v>
      </c>
      <c r="B1611" s="9" t="s">
        <v>88</v>
      </c>
      <c r="C1611" s="10">
        <v>46038</v>
      </c>
      <c r="D1611" s="15">
        <v>1.2169</v>
      </c>
      <c r="E1611" s="15">
        <v>1.3169</v>
      </c>
      <c r="F1611" s="15">
        <v>1.3371</v>
      </c>
      <c r="G1611" s="11">
        <v>0.0026</v>
      </c>
      <c r="H1611" s="9">
        <f>MAX($F$1366:F1611)</f>
        <v>1.3371</v>
      </c>
      <c r="I1611" s="11">
        <f t="shared" si="39"/>
        <v>0</v>
      </c>
      <c r="J1611" s="9">
        <f>MAX($F$1591:F1611)</f>
        <v>1.3371</v>
      </c>
      <c r="K1611" s="11">
        <f t="shared" si="38"/>
        <v>0</v>
      </c>
      <c r="L1611" s="9">
        <f>MAX($F$1489:F1611)</f>
        <v>1.3371</v>
      </c>
      <c r="M1611" s="11">
        <f t="shared" si="37"/>
        <v>0</v>
      </c>
      <c r="N1611" s="9" t="s">
        <v>793</v>
      </c>
    </row>
    <row r="1612" ht="25" customHeight="1" spans="1:14">
      <c r="A1612" s="9" t="s">
        <v>90</v>
      </c>
      <c r="B1612" s="9" t="s">
        <v>88</v>
      </c>
      <c r="C1612" s="10">
        <v>46045</v>
      </c>
      <c r="D1612" s="15">
        <v>1.2173</v>
      </c>
      <c r="E1612" s="15">
        <v>1.3173</v>
      </c>
      <c r="F1612" s="15">
        <v>1.3376</v>
      </c>
      <c r="G1612" s="11">
        <v>0.0003</v>
      </c>
      <c r="H1612" s="9">
        <f>MAX($F$1366:F1612)</f>
        <v>1.3376</v>
      </c>
      <c r="I1612" s="11">
        <f t="shared" si="39"/>
        <v>0</v>
      </c>
      <c r="J1612" s="9">
        <f>MAX($F$1591:F1612)</f>
        <v>1.3376</v>
      </c>
      <c r="K1612" s="11">
        <f t="shared" si="38"/>
        <v>0</v>
      </c>
      <c r="L1612" s="9">
        <f>MAX($F$1489:F1612)</f>
        <v>1.3376</v>
      </c>
      <c r="M1612" s="11">
        <f t="shared" si="37"/>
        <v>0</v>
      </c>
      <c r="N1612" s="9" t="s">
        <v>793</v>
      </c>
    </row>
    <row r="1613" ht="25" customHeight="1" spans="1:14">
      <c r="A1613" s="9" t="s">
        <v>90</v>
      </c>
      <c r="B1613" s="9" t="s">
        <v>88</v>
      </c>
      <c r="C1613" s="10">
        <v>46052</v>
      </c>
      <c r="D1613" s="15">
        <v>1.2224</v>
      </c>
      <c r="E1613" s="15">
        <v>1.3224</v>
      </c>
      <c r="F1613" s="15">
        <v>1.3432</v>
      </c>
      <c r="G1613" s="11">
        <v>0.0042</v>
      </c>
      <c r="H1613" s="9">
        <f>MAX($F$1366:F1613)</f>
        <v>1.3432</v>
      </c>
      <c r="I1613" s="11">
        <f t="shared" si="39"/>
        <v>0</v>
      </c>
      <c r="J1613" s="9">
        <f>MAX($F$1591:F1613)</f>
        <v>1.3432</v>
      </c>
      <c r="K1613" s="11">
        <f t="shared" si="38"/>
        <v>0</v>
      </c>
      <c r="L1613" s="9">
        <f>MAX($F$1489:F1613)</f>
        <v>1.3432</v>
      </c>
      <c r="M1613" s="11">
        <f t="shared" si="37"/>
        <v>0</v>
      </c>
      <c r="N1613" s="9" t="s">
        <v>793</v>
      </c>
    </row>
    <row r="1614" ht="25" customHeight="1" spans="1:14">
      <c r="A1614" s="9" t="s">
        <v>90</v>
      </c>
      <c r="B1614" s="9" t="s">
        <v>88</v>
      </c>
      <c r="C1614" s="10">
        <v>46059</v>
      </c>
      <c r="D1614" s="15">
        <v>1.2312</v>
      </c>
      <c r="E1614" s="15">
        <v>1.3312</v>
      </c>
      <c r="F1614" s="15">
        <v>1.3529</v>
      </c>
      <c r="G1614" s="11">
        <v>0.0072</v>
      </c>
      <c r="H1614" s="9">
        <f>MAX($F$1366:F1614)</f>
        <v>1.3529</v>
      </c>
      <c r="I1614" s="11">
        <f t="shared" si="39"/>
        <v>0</v>
      </c>
      <c r="J1614" s="9">
        <f>MAX($F$1591:F1614)</f>
        <v>1.3529</v>
      </c>
      <c r="K1614" s="11">
        <f t="shared" si="38"/>
        <v>0</v>
      </c>
      <c r="L1614" s="9">
        <f>MAX($F$1489:F1614)</f>
        <v>1.3529</v>
      </c>
      <c r="M1614" s="11">
        <f t="shared" si="37"/>
        <v>0</v>
      </c>
      <c r="N1614" s="9" t="s">
        <v>793</v>
      </c>
    </row>
    <row r="1615" ht="25" customHeight="1" spans="1:14">
      <c r="A1615" s="9" t="s">
        <v>90</v>
      </c>
      <c r="B1615" s="9" t="s">
        <v>88</v>
      </c>
      <c r="C1615" s="10">
        <v>46066</v>
      </c>
      <c r="D1615" s="15">
        <v>1.2332</v>
      </c>
      <c r="E1615" s="15">
        <v>1.3332</v>
      </c>
      <c r="F1615" s="15">
        <v>1.3551</v>
      </c>
      <c r="G1615" s="11">
        <v>0.0016</v>
      </c>
      <c r="H1615" s="9">
        <f>MAX($F$1366:F1615)</f>
        <v>1.3551</v>
      </c>
      <c r="I1615" s="11">
        <f t="shared" si="39"/>
        <v>0</v>
      </c>
      <c r="J1615" s="9">
        <f>MAX($F$1591:F1615)</f>
        <v>1.3551</v>
      </c>
      <c r="K1615" s="11">
        <f t="shared" si="38"/>
        <v>0</v>
      </c>
      <c r="L1615" s="9">
        <f>MAX($F$1489:F1615)</f>
        <v>1.3551</v>
      </c>
      <c r="M1615" s="11">
        <f t="shared" si="37"/>
        <v>0</v>
      </c>
      <c r="N1615" s="9" t="s">
        <v>793</v>
      </c>
    </row>
    <row r="1616" ht="25" customHeight="1" spans="1:14">
      <c r="A1616" s="9" t="s">
        <v>90</v>
      </c>
      <c r="B1616" s="9" t="s">
        <v>88</v>
      </c>
      <c r="C1616" s="10">
        <v>46080</v>
      </c>
      <c r="D1616" s="15">
        <v>1.2339</v>
      </c>
      <c r="E1616" s="15">
        <v>1.3339</v>
      </c>
      <c r="F1616" s="15">
        <v>1.3558</v>
      </c>
      <c r="G1616" s="11">
        <v>0.0006</v>
      </c>
      <c r="H1616" s="9">
        <f>MAX($F$1366:F1616)</f>
        <v>1.3558</v>
      </c>
      <c r="I1616" s="11">
        <f t="shared" si="39"/>
        <v>0</v>
      </c>
      <c r="J1616" s="9">
        <f>MAX($F$1591:F1616)</f>
        <v>1.3558</v>
      </c>
      <c r="K1616" s="11">
        <f t="shared" si="38"/>
        <v>0</v>
      </c>
      <c r="L1616" s="9">
        <f>MAX($F$1489:F1616)</f>
        <v>1.3558</v>
      </c>
      <c r="M1616" s="11">
        <f t="shared" si="37"/>
        <v>0</v>
      </c>
      <c r="N1616" s="9" t="s">
        <v>793</v>
      </c>
    </row>
    <row r="1617" ht="25" customHeight="1" spans="1:14">
      <c r="A1617" s="9" t="s">
        <v>90</v>
      </c>
      <c r="B1617" s="9" t="s">
        <v>88</v>
      </c>
      <c r="C1617" s="10">
        <v>46087</v>
      </c>
      <c r="D1617" s="15">
        <v>1.237</v>
      </c>
      <c r="E1617" s="15">
        <v>1.337</v>
      </c>
      <c r="F1617" s="15">
        <v>1.3592</v>
      </c>
      <c r="G1617" s="11">
        <v>0.0025</v>
      </c>
      <c r="H1617" s="9">
        <f>MAX($F$1366:F1617)</f>
        <v>1.3592</v>
      </c>
      <c r="I1617" s="11">
        <f t="shared" si="39"/>
        <v>0</v>
      </c>
      <c r="J1617" s="9">
        <f>MAX($F$1591:F1617)</f>
        <v>1.3592</v>
      </c>
      <c r="K1617" s="11">
        <f t="shared" si="38"/>
        <v>0</v>
      </c>
      <c r="L1617" s="9">
        <f>MAX($F$1489:F1617)</f>
        <v>1.3592</v>
      </c>
      <c r="M1617" s="11">
        <f t="shared" ref="M1617:M1643" si="40">1-F1617/L1617</f>
        <v>0</v>
      </c>
      <c r="N1617" s="9" t="s">
        <v>793</v>
      </c>
    </row>
    <row r="1618" ht="25" customHeight="1" spans="1:14">
      <c r="A1618" s="9" t="s">
        <v>90</v>
      </c>
      <c r="B1618" s="9" t="s">
        <v>88</v>
      </c>
      <c r="C1618" s="10">
        <v>46094</v>
      </c>
      <c r="D1618" s="15">
        <v>1.2392</v>
      </c>
      <c r="E1618" s="15">
        <v>1.3392</v>
      </c>
      <c r="F1618" s="15">
        <v>1.3617</v>
      </c>
      <c r="G1618" s="11">
        <v>0.0018</v>
      </c>
      <c r="H1618" s="9">
        <f>MAX($F$1366:F1618)</f>
        <v>1.3617</v>
      </c>
      <c r="I1618" s="11">
        <f t="shared" si="39"/>
        <v>0</v>
      </c>
      <c r="J1618" s="9">
        <f>MAX($F$1591:F1618)</f>
        <v>1.3617</v>
      </c>
      <c r="K1618" s="11">
        <f t="shared" si="38"/>
        <v>0</v>
      </c>
      <c r="L1618" s="9">
        <f>MAX($F$1489:F1618)</f>
        <v>1.3617</v>
      </c>
      <c r="M1618" s="11">
        <f t="shared" si="40"/>
        <v>0</v>
      </c>
      <c r="N1618" s="9" t="s">
        <v>793</v>
      </c>
    </row>
    <row r="1619" ht="25" customHeight="1" spans="1:14">
      <c r="A1619" s="9" t="s">
        <v>90</v>
      </c>
      <c r="B1619" s="9" t="s">
        <v>88</v>
      </c>
      <c r="C1619" s="10">
        <v>46101</v>
      </c>
      <c r="D1619" s="15">
        <v>1.2417</v>
      </c>
      <c r="E1619" s="15">
        <v>1.3417</v>
      </c>
      <c r="F1619" s="15">
        <v>1.3644</v>
      </c>
      <c r="G1619" s="11">
        <v>0.002</v>
      </c>
      <c r="H1619" s="9">
        <f>MAX($F$1366:F1619)</f>
        <v>1.3644</v>
      </c>
      <c r="I1619" s="11">
        <f t="shared" si="39"/>
        <v>0</v>
      </c>
      <c r="J1619" s="9">
        <f>MAX($F$1591:F1619)</f>
        <v>1.3644</v>
      </c>
      <c r="K1619" s="11">
        <f t="shared" si="38"/>
        <v>0</v>
      </c>
      <c r="L1619" s="9">
        <f>MAX($F$1489:F1619)</f>
        <v>1.3644</v>
      </c>
      <c r="M1619" s="11">
        <f t="shared" si="40"/>
        <v>0</v>
      </c>
      <c r="N1619" s="9" t="s">
        <v>793</v>
      </c>
    </row>
    <row r="1620" ht="25" customHeight="1" spans="1:14">
      <c r="A1620" s="9" t="s">
        <v>90</v>
      </c>
      <c r="B1620" s="9" t="s">
        <v>88</v>
      </c>
      <c r="C1620" s="10">
        <v>46108</v>
      </c>
      <c r="D1620" s="15">
        <v>1.2459</v>
      </c>
      <c r="E1620" s="15">
        <v>1.3459</v>
      </c>
      <c r="F1620" s="15">
        <v>1.369</v>
      </c>
      <c r="G1620" s="11">
        <v>0.0034</v>
      </c>
      <c r="H1620" s="9">
        <f>MAX($F$1366:F1620)</f>
        <v>1.369</v>
      </c>
      <c r="I1620" s="11">
        <f t="shared" si="39"/>
        <v>0</v>
      </c>
      <c r="J1620" s="9">
        <f>MAX($F$1591:F1620)</f>
        <v>1.369</v>
      </c>
      <c r="K1620" s="11">
        <f t="shared" si="38"/>
        <v>0</v>
      </c>
      <c r="L1620" s="9">
        <f>MAX($F$1489:F1620)</f>
        <v>1.369</v>
      </c>
      <c r="M1620" s="11">
        <f t="shared" si="40"/>
        <v>0</v>
      </c>
      <c r="N1620" s="9" t="s">
        <v>793</v>
      </c>
    </row>
    <row r="1621" ht="25" customHeight="1" spans="1:14">
      <c r="A1621" s="9" t="s">
        <v>90</v>
      </c>
      <c r="B1621" s="9" t="s">
        <v>88</v>
      </c>
      <c r="C1621" s="10">
        <v>46115</v>
      </c>
      <c r="D1621" s="15">
        <v>1.2475</v>
      </c>
      <c r="E1621" s="15">
        <v>1.3475</v>
      </c>
      <c r="F1621" s="15">
        <v>1.3708</v>
      </c>
      <c r="G1621" s="11">
        <v>0.0013</v>
      </c>
      <c r="H1621" s="9">
        <f>MAX($F$1366:F1621)</f>
        <v>1.3708</v>
      </c>
      <c r="I1621" s="11">
        <f t="shared" si="39"/>
        <v>0</v>
      </c>
      <c r="J1621" s="9">
        <f>MAX($F$1591:F1621)</f>
        <v>1.3708</v>
      </c>
      <c r="K1621" s="11">
        <f t="shared" si="38"/>
        <v>0</v>
      </c>
      <c r="L1621" s="9">
        <f>MAX($F$1489:F1621)</f>
        <v>1.3708</v>
      </c>
      <c r="M1621" s="11">
        <f t="shared" si="40"/>
        <v>0</v>
      </c>
      <c r="N1621" s="9" t="s">
        <v>793</v>
      </c>
    </row>
    <row r="1622" ht="25" customHeight="1" spans="1:14">
      <c r="A1622" s="9" t="s">
        <v>90</v>
      </c>
      <c r="B1622" s="9" t="s">
        <v>88</v>
      </c>
      <c r="C1622" s="10">
        <v>46122</v>
      </c>
      <c r="D1622" s="15">
        <v>1.2489</v>
      </c>
      <c r="E1622" s="15">
        <v>1.3489</v>
      </c>
      <c r="F1622" s="15">
        <v>1.3723</v>
      </c>
      <c r="G1622" s="11">
        <v>0.0011</v>
      </c>
      <c r="H1622" s="9">
        <f>MAX($F$1366:F1622)</f>
        <v>1.3723</v>
      </c>
      <c r="I1622" s="11">
        <f t="shared" si="39"/>
        <v>0</v>
      </c>
      <c r="J1622" s="9">
        <f>MAX($F$1591:F1622)</f>
        <v>1.3723</v>
      </c>
      <c r="K1622" s="11">
        <f t="shared" si="38"/>
        <v>0</v>
      </c>
      <c r="L1622" s="9">
        <f>MAX($F$1489:F1622)</f>
        <v>1.3723</v>
      </c>
      <c r="M1622" s="11">
        <f t="shared" si="40"/>
        <v>0</v>
      </c>
      <c r="N1622" s="9" t="s">
        <v>793</v>
      </c>
    </row>
    <row r="1623" ht="25" customHeight="1" spans="1:14">
      <c r="A1623" s="9" t="s">
        <v>90</v>
      </c>
      <c r="B1623" s="9" t="s">
        <v>88</v>
      </c>
      <c r="C1623" s="10">
        <v>46129</v>
      </c>
      <c r="D1623" s="15">
        <v>1.25</v>
      </c>
      <c r="E1623" s="15">
        <v>1.35</v>
      </c>
      <c r="F1623" s="15">
        <v>1.3735</v>
      </c>
      <c r="G1623" s="11">
        <v>0.0009</v>
      </c>
      <c r="H1623" s="9">
        <f>MAX($F$1366:F1623)</f>
        <v>1.3735</v>
      </c>
      <c r="I1623" s="11">
        <f t="shared" si="39"/>
        <v>0</v>
      </c>
      <c r="J1623" s="9">
        <f>MAX($F$1591:F1623)</f>
        <v>1.3735</v>
      </c>
      <c r="K1623" s="11">
        <f t="shared" si="38"/>
        <v>0</v>
      </c>
      <c r="L1623" s="9">
        <f>MAX($F$1489:F1623)</f>
        <v>1.3735</v>
      </c>
      <c r="M1623" s="11">
        <f t="shared" si="40"/>
        <v>0</v>
      </c>
      <c r="N1623" s="9" t="s">
        <v>793</v>
      </c>
    </row>
    <row r="1624" ht="25" customHeight="1" spans="1:14">
      <c r="A1624" s="9" t="s">
        <v>90</v>
      </c>
      <c r="B1624" s="9" t="s">
        <v>88</v>
      </c>
      <c r="C1624" s="10">
        <v>46136</v>
      </c>
      <c r="D1624" s="15">
        <v>1.2532</v>
      </c>
      <c r="E1624" s="15">
        <v>1.3532</v>
      </c>
      <c r="F1624" s="15">
        <v>1.377</v>
      </c>
      <c r="G1624" s="11">
        <v>0.0026</v>
      </c>
      <c r="H1624" s="9">
        <f>MAX($F$1366:F1624)</f>
        <v>1.377</v>
      </c>
      <c r="I1624" s="11">
        <f t="shared" si="39"/>
        <v>0</v>
      </c>
      <c r="J1624" s="9">
        <f>MAX($F$1591:F1624)</f>
        <v>1.377</v>
      </c>
      <c r="K1624" s="11">
        <f t="shared" si="38"/>
        <v>0</v>
      </c>
      <c r="L1624" s="9">
        <f>MAX($F$1489:F1624)</f>
        <v>1.377</v>
      </c>
      <c r="M1624" s="11">
        <f t="shared" si="40"/>
        <v>0</v>
      </c>
      <c r="N1624" s="9" t="s">
        <v>793</v>
      </c>
    </row>
    <row r="1625" ht="25" customHeight="1" spans="1:14">
      <c r="A1625" s="9" t="s">
        <v>90</v>
      </c>
      <c r="B1625" s="9" t="s">
        <v>88</v>
      </c>
      <c r="C1625" s="10">
        <v>46142</v>
      </c>
      <c r="D1625" s="15">
        <v>1.2532</v>
      </c>
      <c r="E1625" s="15">
        <v>1.3532</v>
      </c>
      <c r="F1625" s="15">
        <v>1.377</v>
      </c>
      <c r="G1625" s="11">
        <v>0</v>
      </c>
      <c r="H1625" s="9">
        <f>MAX($F$1366:F1625)</f>
        <v>1.377</v>
      </c>
      <c r="I1625" s="11">
        <f t="shared" si="39"/>
        <v>0</v>
      </c>
      <c r="J1625" s="9">
        <f>MAX($F$1591:F1625)</f>
        <v>1.377</v>
      </c>
      <c r="K1625" s="11">
        <f t="shared" si="38"/>
        <v>0</v>
      </c>
      <c r="L1625" s="9">
        <f>MAX($F$1489:F1625)</f>
        <v>1.377</v>
      </c>
      <c r="M1625" s="11">
        <f t="shared" si="40"/>
        <v>0</v>
      </c>
      <c r="N1625" s="9" t="s">
        <v>793</v>
      </c>
    </row>
    <row r="1626" ht="25" customHeight="1" spans="1:14">
      <c r="A1626" s="9" t="s">
        <v>90</v>
      </c>
      <c r="B1626" s="9" t="s">
        <v>88</v>
      </c>
      <c r="C1626" s="10">
        <v>46150</v>
      </c>
      <c r="D1626" s="15">
        <v>1.2519</v>
      </c>
      <c r="E1626" s="15">
        <v>1.3519</v>
      </c>
      <c r="F1626" s="15">
        <v>1.3756</v>
      </c>
      <c r="G1626" s="11">
        <v>-0.001</v>
      </c>
      <c r="H1626" s="9">
        <f>MAX($F$1366:F1626)</f>
        <v>1.377</v>
      </c>
      <c r="I1626" s="11">
        <f t="shared" si="39"/>
        <v>0.00101670297748735</v>
      </c>
      <c r="J1626" s="9">
        <f>MAX($F$1591:F1626)</f>
        <v>1.377</v>
      </c>
      <c r="K1626" s="11">
        <f t="shared" si="38"/>
        <v>0.00101670297748735</v>
      </c>
      <c r="L1626" s="9">
        <f>MAX($F$1489:F1626)</f>
        <v>1.377</v>
      </c>
      <c r="M1626" s="11">
        <f t="shared" si="40"/>
        <v>0.00101670297748735</v>
      </c>
      <c r="N1626" s="9" t="s">
        <v>793</v>
      </c>
    </row>
    <row r="1627" ht="25" customHeight="1" spans="1:14">
      <c r="A1627" s="9" t="s">
        <v>90</v>
      </c>
      <c r="B1627" s="9" t="s">
        <v>88</v>
      </c>
      <c r="C1627" s="10">
        <v>46157</v>
      </c>
      <c r="D1627" s="15">
        <v>1.253</v>
      </c>
      <c r="E1627" s="15">
        <v>1.353</v>
      </c>
      <c r="F1627" s="15">
        <v>1.3768</v>
      </c>
      <c r="G1627" s="11">
        <v>0.0009</v>
      </c>
      <c r="H1627" s="9">
        <f>MAX($F$1366:F1627)</f>
        <v>1.377</v>
      </c>
      <c r="I1627" s="11">
        <f t="shared" si="39"/>
        <v>0.000145243282498209</v>
      </c>
      <c r="J1627" s="9">
        <f>MAX($F$1591:F1627)</f>
        <v>1.377</v>
      </c>
      <c r="K1627" s="11">
        <f t="shared" si="38"/>
        <v>0.000145243282498209</v>
      </c>
      <c r="L1627" s="9">
        <f>MAX($F$1489:F1627)</f>
        <v>1.377</v>
      </c>
      <c r="M1627" s="11">
        <f t="shared" si="40"/>
        <v>0.000145243282498209</v>
      </c>
      <c r="N1627" s="9" t="s">
        <v>793</v>
      </c>
    </row>
    <row r="1628" ht="25" customHeight="1" spans="1:14">
      <c r="A1628" s="9" t="s">
        <v>90</v>
      </c>
      <c r="B1628" s="9" t="s">
        <v>88</v>
      </c>
      <c r="C1628" s="10">
        <v>46164</v>
      </c>
      <c r="D1628" s="15">
        <v>1.254</v>
      </c>
      <c r="E1628" s="15">
        <v>1.354</v>
      </c>
      <c r="F1628" s="15">
        <v>1.3779</v>
      </c>
      <c r="G1628" s="11">
        <v>0.0008</v>
      </c>
      <c r="H1628" s="9">
        <f>MAX($F$1366:F1628)</f>
        <v>1.3779</v>
      </c>
      <c r="I1628" s="11">
        <f t="shared" si="39"/>
        <v>0</v>
      </c>
      <c r="J1628" s="9">
        <f>MAX($F$1591:F1628)</f>
        <v>1.3779</v>
      </c>
      <c r="K1628" s="11">
        <f t="shared" si="38"/>
        <v>0</v>
      </c>
      <c r="L1628" s="9">
        <f>MAX($F$1489:F1628)</f>
        <v>1.3779</v>
      </c>
      <c r="M1628" s="11">
        <f t="shared" si="40"/>
        <v>0</v>
      </c>
      <c r="N1628" s="9" t="s">
        <v>793</v>
      </c>
    </row>
    <row r="1629" ht="25" customHeight="1" spans="1:14">
      <c r="A1629" s="9" t="s">
        <v>90</v>
      </c>
      <c r="B1629" s="9" t="s">
        <v>88</v>
      </c>
      <c r="C1629" s="10">
        <v>46171</v>
      </c>
      <c r="D1629" s="15">
        <v>1.2572</v>
      </c>
      <c r="E1629" s="15">
        <v>1.3572</v>
      </c>
      <c r="F1629" s="15">
        <v>1.3814</v>
      </c>
      <c r="G1629" s="11">
        <v>0.0026</v>
      </c>
      <c r="H1629" s="9">
        <f>MAX($F$1366:F1629)</f>
        <v>1.3814</v>
      </c>
      <c r="I1629" s="11">
        <f t="shared" si="39"/>
        <v>0</v>
      </c>
      <c r="J1629" s="9">
        <f>MAX($F$1591:F1629)</f>
        <v>1.3814</v>
      </c>
      <c r="K1629" s="11">
        <f t="shared" si="38"/>
        <v>0</v>
      </c>
      <c r="L1629" s="9">
        <f>MAX($F$1489:F1629)</f>
        <v>1.3814</v>
      </c>
      <c r="M1629" s="11">
        <f t="shared" si="40"/>
        <v>0</v>
      </c>
      <c r="N1629" s="9" t="s">
        <v>793</v>
      </c>
    </row>
    <row r="1630" ht="25" customHeight="1" spans="1:14">
      <c r="A1630" s="9" t="s">
        <v>90</v>
      </c>
      <c r="B1630" s="9" t="s">
        <v>88</v>
      </c>
      <c r="C1630" s="10">
        <v>46178</v>
      </c>
      <c r="D1630" s="15">
        <v>1.2578</v>
      </c>
      <c r="E1630" s="15">
        <v>1.3578</v>
      </c>
      <c r="F1630" s="15">
        <v>1.3821</v>
      </c>
      <c r="G1630" s="11">
        <v>0.0005</v>
      </c>
      <c r="H1630" s="9">
        <f>MAX($F$1366:F1630)</f>
        <v>1.3821</v>
      </c>
      <c r="I1630" s="11">
        <f t="shared" si="39"/>
        <v>0</v>
      </c>
      <c r="J1630" s="9">
        <f>MAX($F$1591:F1630)</f>
        <v>1.3821</v>
      </c>
      <c r="K1630" s="11">
        <f t="shared" si="38"/>
        <v>0</v>
      </c>
      <c r="L1630" s="9">
        <f>MAX($F$1489:F1630)</f>
        <v>1.3821</v>
      </c>
      <c r="M1630" s="11">
        <f t="shared" si="40"/>
        <v>0</v>
      </c>
      <c r="N1630" s="9" t="s">
        <v>793</v>
      </c>
    </row>
    <row r="1631" ht="25" customHeight="1" spans="1:14">
      <c r="A1631" s="9" t="s">
        <v>90</v>
      </c>
      <c r="B1631" s="9" t="s">
        <v>88</v>
      </c>
      <c r="C1631" s="10">
        <v>46185</v>
      </c>
      <c r="D1631" s="15">
        <v>1.2596</v>
      </c>
      <c r="E1631" s="15">
        <v>1.3596</v>
      </c>
      <c r="F1631" s="15">
        <v>1.3841</v>
      </c>
      <c r="G1631" s="11">
        <v>0.0014</v>
      </c>
      <c r="H1631" s="9">
        <f>MAX($F$1366:F1631)</f>
        <v>1.3841</v>
      </c>
      <c r="I1631" s="11">
        <f t="shared" si="39"/>
        <v>0</v>
      </c>
      <c r="J1631" s="9">
        <f>MAX($F$1591:F1631)</f>
        <v>1.3841</v>
      </c>
      <c r="K1631" s="11">
        <f t="shared" si="38"/>
        <v>0</v>
      </c>
      <c r="L1631" s="9">
        <f>MAX($F$1489:F1631)</f>
        <v>1.3841</v>
      </c>
      <c r="M1631" s="11">
        <f t="shared" si="40"/>
        <v>0</v>
      </c>
      <c r="N1631" s="9" t="s">
        <v>793</v>
      </c>
    </row>
    <row r="1632" ht="25" customHeight="1" spans="1:14">
      <c r="A1632" s="9" t="s">
        <v>90</v>
      </c>
      <c r="B1632" s="9" t="s">
        <v>88</v>
      </c>
      <c r="C1632" s="10">
        <v>46191</v>
      </c>
      <c r="D1632" s="15">
        <v>1.2595</v>
      </c>
      <c r="E1632" s="15">
        <v>1.3595</v>
      </c>
      <c r="F1632" s="15">
        <v>1.384</v>
      </c>
      <c r="G1632" s="11">
        <v>-0.0001</v>
      </c>
      <c r="H1632" s="9">
        <f>MAX($F$1366:F1632)</f>
        <v>1.3841</v>
      </c>
      <c r="I1632" s="11">
        <f t="shared" si="39"/>
        <v>7.22491149485194e-5</v>
      </c>
      <c r="J1632" s="9">
        <f>MAX($F$1591:F1632)</f>
        <v>1.3841</v>
      </c>
      <c r="K1632" s="11">
        <f t="shared" si="38"/>
        <v>7.22491149485194e-5</v>
      </c>
      <c r="L1632" s="9">
        <f>MAX($F$1489:F1632)</f>
        <v>1.3841</v>
      </c>
      <c r="M1632" s="11">
        <f t="shared" si="40"/>
        <v>7.22491149485194e-5</v>
      </c>
      <c r="N1632" s="9" t="s">
        <v>793</v>
      </c>
    </row>
    <row r="1633" ht="25" customHeight="1" spans="1:14">
      <c r="A1633" s="9" t="s">
        <v>90</v>
      </c>
      <c r="B1633" s="9" t="s">
        <v>88</v>
      </c>
      <c r="C1633" s="10">
        <v>46199</v>
      </c>
      <c r="D1633" s="15">
        <v>1.2633</v>
      </c>
      <c r="E1633" s="15">
        <v>1.3633</v>
      </c>
      <c r="F1633" s="15">
        <v>1.3881</v>
      </c>
      <c r="G1633" s="11">
        <v>0.003</v>
      </c>
      <c r="H1633" s="9">
        <f>MAX($F$1366:F1633)</f>
        <v>1.3881</v>
      </c>
      <c r="I1633" s="11">
        <f t="shared" si="39"/>
        <v>0</v>
      </c>
      <c r="J1633" s="9">
        <f>MAX($F$1591:F1633)</f>
        <v>1.3881</v>
      </c>
      <c r="K1633" s="11">
        <f t="shared" si="38"/>
        <v>0</v>
      </c>
      <c r="L1633" s="9">
        <f>MAX($F$1489:F1633)</f>
        <v>1.3881</v>
      </c>
      <c r="M1633" s="11">
        <f t="shared" si="40"/>
        <v>0</v>
      </c>
      <c r="N1633" s="9" t="s">
        <v>793</v>
      </c>
    </row>
    <row r="1634" ht="25" customHeight="1" spans="1:14">
      <c r="A1634" s="9" t="s">
        <v>90</v>
      </c>
      <c r="B1634" s="9" t="s">
        <v>88</v>
      </c>
      <c r="C1634" s="10">
        <v>46206</v>
      </c>
      <c r="D1634" s="15">
        <v>1.266</v>
      </c>
      <c r="E1634" s="15">
        <v>1.366</v>
      </c>
      <c r="F1634" s="15">
        <v>1.3911</v>
      </c>
      <c r="G1634" s="11">
        <v>0.0021</v>
      </c>
      <c r="H1634" s="9">
        <f>MAX($F$1366:F1634)</f>
        <v>1.3911</v>
      </c>
      <c r="I1634" s="11">
        <f t="shared" si="39"/>
        <v>0</v>
      </c>
      <c r="J1634" s="9">
        <f>MAX($F$1591:F1634)</f>
        <v>1.3911</v>
      </c>
      <c r="K1634" s="11">
        <f t="shared" si="38"/>
        <v>0</v>
      </c>
      <c r="L1634" s="9">
        <f>MAX($F$1489:F1634)</f>
        <v>1.3911</v>
      </c>
      <c r="M1634" s="11">
        <f t="shared" si="40"/>
        <v>0</v>
      </c>
      <c r="N1634" s="9" t="s">
        <v>793</v>
      </c>
    </row>
    <row r="1635" ht="25" customHeight="1" spans="1:14">
      <c r="A1635" s="9" t="s">
        <v>90</v>
      </c>
      <c r="B1635" s="9" t="s">
        <v>88</v>
      </c>
      <c r="C1635" s="10">
        <v>46213</v>
      </c>
      <c r="D1635" s="15">
        <v>1.2663</v>
      </c>
      <c r="E1635" s="15">
        <v>1.3663</v>
      </c>
      <c r="F1635" s="15">
        <v>1.3914</v>
      </c>
      <c r="G1635" s="11">
        <v>0.0002</v>
      </c>
      <c r="H1635" s="9">
        <f>MAX($F$1366:F1635)</f>
        <v>1.3914</v>
      </c>
      <c r="I1635" s="11">
        <f t="shared" si="39"/>
        <v>0</v>
      </c>
      <c r="J1635" s="9">
        <f>MAX($F$1591:F1635)</f>
        <v>1.3914</v>
      </c>
      <c r="K1635" s="11">
        <f t="shared" si="38"/>
        <v>0</v>
      </c>
      <c r="L1635" s="9">
        <f>MAX($F$1489:F1635)</f>
        <v>1.3914</v>
      </c>
      <c r="M1635" s="11">
        <f t="shared" si="40"/>
        <v>0</v>
      </c>
      <c r="N1635" s="9" t="s">
        <v>793</v>
      </c>
    </row>
    <row r="1636" ht="25" customHeight="1" spans="1:14">
      <c r="A1636" s="9" t="s">
        <v>90</v>
      </c>
      <c r="B1636" s="9" t="s">
        <v>88</v>
      </c>
      <c r="C1636" s="10">
        <v>46220</v>
      </c>
      <c r="D1636" s="15">
        <v>1.2655</v>
      </c>
      <c r="E1636" s="15">
        <v>1.3655</v>
      </c>
      <c r="F1636" s="15">
        <v>1.3905</v>
      </c>
      <c r="G1636" s="11">
        <v>-0.0006</v>
      </c>
      <c r="H1636" s="9">
        <f>MAX($F$1366:F1636)</f>
        <v>1.3914</v>
      </c>
      <c r="I1636" s="11">
        <f t="shared" si="39"/>
        <v>0.000646830530400933</v>
      </c>
      <c r="J1636" s="9">
        <f>MAX($F$1591:F1636)</f>
        <v>1.3914</v>
      </c>
      <c r="K1636" s="11">
        <f t="shared" si="38"/>
        <v>0.000646830530400933</v>
      </c>
      <c r="L1636" s="9">
        <f>MAX($F$1489:F1636)</f>
        <v>1.3914</v>
      </c>
      <c r="M1636" s="11">
        <f t="shared" si="40"/>
        <v>0.000646830530400933</v>
      </c>
      <c r="N1636" s="9" t="s">
        <v>793</v>
      </c>
    </row>
    <row r="1637" ht="25" customHeight="1" spans="1:14">
      <c r="A1637" s="9" t="s">
        <v>90</v>
      </c>
      <c r="B1637" s="9" t="s">
        <v>88</v>
      </c>
      <c r="C1637" s="10">
        <v>46227</v>
      </c>
      <c r="D1637" s="15">
        <v>1.2677</v>
      </c>
      <c r="E1637" s="15">
        <v>1.3677</v>
      </c>
      <c r="F1637" s="15">
        <v>1.393</v>
      </c>
      <c r="G1637" s="11">
        <v>0.0017</v>
      </c>
      <c r="H1637" s="9">
        <f>MAX($F$1366:F1637)</f>
        <v>1.393</v>
      </c>
      <c r="I1637" s="11">
        <f t="shared" si="39"/>
        <v>0</v>
      </c>
      <c r="J1637" s="9">
        <f>MAX($F$1591:F1637)</f>
        <v>1.393</v>
      </c>
      <c r="K1637" s="11">
        <f t="shared" si="38"/>
        <v>0</v>
      </c>
      <c r="L1637" s="9">
        <f>MAX($F$1489:F1637)</f>
        <v>1.393</v>
      </c>
      <c r="M1637" s="11">
        <f t="shared" si="40"/>
        <v>0</v>
      </c>
      <c r="N1637" s="9" t="s">
        <v>793</v>
      </c>
    </row>
    <row r="1638" ht="25" customHeight="1" spans="1:14">
      <c r="A1638" s="9" t="s">
        <v>90</v>
      </c>
      <c r="B1638" s="9" t="s">
        <v>88</v>
      </c>
      <c r="C1638" s="10">
        <v>46234</v>
      </c>
      <c r="D1638" s="15">
        <v>1.2689</v>
      </c>
      <c r="E1638" s="15">
        <v>1.3689</v>
      </c>
      <c r="F1638" s="15">
        <v>1.3943</v>
      </c>
      <c r="G1638" s="11">
        <v>0.0009</v>
      </c>
      <c r="H1638" s="9">
        <f>MAX($F$1366:F1638)</f>
        <v>1.3943</v>
      </c>
      <c r="I1638" s="11">
        <f t="shared" si="39"/>
        <v>0</v>
      </c>
      <c r="J1638" s="9">
        <f>MAX($F$1591:F1638)</f>
        <v>1.3943</v>
      </c>
      <c r="K1638" s="11">
        <f t="shared" si="38"/>
        <v>0</v>
      </c>
      <c r="L1638" s="9">
        <f>MAX($F$1489:F1638)</f>
        <v>1.3943</v>
      </c>
      <c r="M1638" s="11">
        <f t="shared" si="40"/>
        <v>0</v>
      </c>
      <c r="N1638" s="9" t="s">
        <v>793</v>
      </c>
    </row>
    <row r="1639" ht="25" customHeight="1" spans="1:14">
      <c r="A1639" s="9" t="s">
        <v>90</v>
      </c>
      <c r="B1639" s="9" t="s">
        <v>88</v>
      </c>
      <c r="C1639" s="10">
        <v>46241</v>
      </c>
      <c r="D1639" s="15">
        <v>1.2697</v>
      </c>
      <c r="E1639" s="15">
        <v>1.3697</v>
      </c>
      <c r="F1639" s="15">
        <v>1.3952</v>
      </c>
      <c r="G1639" s="11">
        <v>0.0006</v>
      </c>
      <c r="H1639" s="9">
        <f>MAX($F$1366:F1639)</f>
        <v>1.3952</v>
      </c>
      <c r="I1639" s="11">
        <f t="shared" si="39"/>
        <v>0</v>
      </c>
      <c r="J1639" s="9">
        <f>MAX($F$1591:F1639)</f>
        <v>1.3952</v>
      </c>
      <c r="K1639" s="11">
        <f t="shared" si="38"/>
        <v>0</v>
      </c>
      <c r="L1639" s="9">
        <f>MAX($F$1489:F1639)</f>
        <v>1.3952</v>
      </c>
      <c r="M1639" s="11">
        <f t="shared" si="40"/>
        <v>0</v>
      </c>
      <c r="N1639" s="9" t="s">
        <v>793</v>
      </c>
    </row>
    <row r="1640" ht="25" customHeight="1" spans="1:14">
      <c r="A1640" s="9" t="s">
        <v>90</v>
      </c>
      <c r="B1640" s="9" t="s">
        <v>88</v>
      </c>
      <c r="C1640" s="10">
        <v>46248</v>
      </c>
      <c r="D1640" s="15">
        <v>1.27</v>
      </c>
      <c r="E1640" s="15">
        <v>1.37</v>
      </c>
      <c r="F1640" s="15">
        <v>1.3955</v>
      </c>
      <c r="G1640" s="11">
        <v>0.0002</v>
      </c>
      <c r="H1640" s="9">
        <f>MAX($F$1366:F1640)</f>
        <v>1.3955</v>
      </c>
      <c r="I1640" s="11">
        <f t="shared" si="39"/>
        <v>0</v>
      </c>
      <c r="J1640" s="9">
        <f>MAX($F$1591:F1640)</f>
        <v>1.3955</v>
      </c>
      <c r="K1640" s="11">
        <f t="shared" si="38"/>
        <v>0</v>
      </c>
      <c r="L1640" s="9">
        <f>MAX($F$1489:F1640)</f>
        <v>1.3955</v>
      </c>
      <c r="M1640" s="11">
        <f t="shared" si="40"/>
        <v>0</v>
      </c>
      <c r="N1640" s="9" t="s">
        <v>793</v>
      </c>
    </row>
    <row r="1641" ht="25" customHeight="1" spans="1:14">
      <c r="A1641" s="9" t="s">
        <v>90</v>
      </c>
      <c r="B1641" s="9" t="s">
        <v>88</v>
      </c>
      <c r="C1641" s="10">
        <v>46255</v>
      </c>
      <c r="D1641" s="15">
        <v>1.2701</v>
      </c>
      <c r="E1641" s="15">
        <v>1.3701</v>
      </c>
      <c r="F1641" s="15">
        <v>1.3956</v>
      </c>
      <c r="G1641" s="11">
        <v>0.0001</v>
      </c>
      <c r="H1641" s="9">
        <f>MAX($F$1366:F1641)</f>
        <v>1.3956</v>
      </c>
      <c r="I1641" s="11">
        <f t="shared" si="39"/>
        <v>0</v>
      </c>
      <c r="J1641" s="9">
        <f>MAX($F$1591:F1641)</f>
        <v>1.3956</v>
      </c>
      <c r="K1641" s="11">
        <f t="shared" si="38"/>
        <v>0</v>
      </c>
      <c r="L1641" s="9">
        <f>MAX($F$1489:F1641)</f>
        <v>1.3956</v>
      </c>
      <c r="M1641" s="11">
        <f t="shared" si="40"/>
        <v>0</v>
      </c>
      <c r="N1641" s="9" t="s">
        <v>793</v>
      </c>
    </row>
    <row r="1642" ht="25" customHeight="1" spans="1:14">
      <c r="A1642" s="9" t="s">
        <v>90</v>
      </c>
      <c r="B1642" s="9" t="s">
        <v>88</v>
      </c>
      <c r="C1642" s="10">
        <v>46262</v>
      </c>
      <c r="D1642" s="15">
        <v>1.2709</v>
      </c>
      <c r="E1642" s="15">
        <v>1.3709</v>
      </c>
      <c r="F1642" s="15">
        <v>1.3965</v>
      </c>
      <c r="G1642" s="11">
        <v>0.0006</v>
      </c>
      <c r="H1642" s="9">
        <f>MAX($F$1366:F1642)</f>
        <v>1.3965</v>
      </c>
      <c r="I1642" s="11">
        <f t="shared" si="39"/>
        <v>0</v>
      </c>
      <c r="J1642" s="9">
        <f>MAX($F$1591:F1642)</f>
        <v>1.3965</v>
      </c>
      <c r="K1642" s="11">
        <f t="shared" si="38"/>
        <v>0</v>
      </c>
      <c r="L1642" s="9">
        <f>MAX($F$1489:F1642)</f>
        <v>1.3965</v>
      </c>
      <c r="M1642" s="11">
        <f t="shared" si="40"/>
        <v>0</v>
      </c>
      <c r="N1642" s="9" t="s">
        <v>793</v>
      </c>
    </row>
    <row r="1643" ht="25" customHeight="1" spans="1:14">
      <c r="A1643" s="9" t="s">
        <v>90</v>
      </c>
      <c r="B1643" s="9" t="s">
        <v>88</v>
      </c>
      <c r="C1643" s="10">
        <v>46269</v>
      </c>
      <c r="D1643" s="15">
        <v>1.2727</v>
      </c>
      <c r="E1643" s="15">
        <v>1.3727</v>
      </c>
      <c r="F1643" s="15">
        <v>1.3985</v>
      </c>
      <c r="G1643" s="11">
        <v>0.0014</v>
      </c>
      <c r="H1643" s="9">
        <f>MAX($F$1366:F1643)</f>
        <v>1.3985</v>
      </c>
      <c r="I1643" s="11">
        <f t="shared" si="39"/>
        <v>0</v>
      </c>
      <c r="J1643" s="9">
        <f>MAX($F$1591:F1643)</f>
        <v>1.3985</v>
      </c>
      <c r="K1643" s="11">
        <f t="shared" si="38"/>
        <v>0</v>
      </c>
      <c r="L1643" s="9">
        <f>MAX($F$1489:F1643)</f>
        <v>1.3985</v>
      </c>
      <c r="M1643" s="11">
        <f t="shared" si="40"/>
        <v>0</v>
      </c>
      <c r="N1643" s="9" t="s">
        <v>793</v>
      </c>
    </row>
    <row r="1644" ht="25" customHeight="1" spans="1:14">
      <c r="A1644" s="9" t="s">
        <v>371</v>
      </c>
      <c r="B1644" s="9" t="s">
        <v>370</v>
      </c>
      <c r="C1644" s="10">
        <v>44305</v>
      </c>
      <c r="D1644" s="15">
        <v>1</v>
      </c>
      <c r="E1644" s="15">
        <v>1</v>
      </c>
      <c r="F1644" s="15">
        <v>1</v>
      </c>
      <c r="G1644" s="11"/>
      <c r="H1644" s="9">
        <f>MAX($F$1644:F1644)</f>
        <v>1</v>
      </c>
      <c r="I1644" s="11">
        <f t="shared" si="39"/>
        <v>0</v>
      </c>
      <c r="J1644" s="9"/>
      <c r="K1644" s="11"/>
      <c r="L1644" s="9"/>
      <c r="M1644" s="11"/>
      <c r="N1644" s="9" t="s">
        <v>812</v>
      </c>
    </row>
    <row r="1645" ht="25" customHeight="1" spans="1:14">
      <c r="A1645" s="9" t="s">
        <v>371</v>
      </c>
      <c r="B1645" s="9" t="s">
        <v>370</v>
      </c>
      <c r="C1645" s="10">
        <v>44306</v>
      </c>
      <c r="D1645" s="15">
        <v>1</v>
      </c>
      <c r="E1645" s="15">
        <v>1</v>
      </c>
      <c r="F1645" s="15">
        <v>1</v>
      </c>
      <c r="G1645" s="11">
        <v>0</v>
      </c>
      <c r="H1645" s="9">
        <f>MAX($F$1644:F1645)</f>
        <v>1</v>
      </c>
      <c r="I1645" s="11">
        <f t="shared" si="39"/>
        <v>0</v>
      </c>
      <c r="J1645" s="9"/>
      <c r="K1645" s="11"/>
      <c r="L1645" s="9"/>
      <c r="M1645" s="11"/>
      <c r="N1645" s="9" t="s">
        <v>812</v>
      </c>
    </row>
    <row r="1646" ht="25" customHeight="1" spans="1:14">
      <c r="A1646" s="9" t="s">
        <v>371</v>
      </c>
      <c r="B1646" s="9" t="s">
        <v>370</v>
      </c>
      <c r="C1646" s="10">
        <v>44307</v>
      </c>
      <c r="D1646" s="15">
        <v>1</v>
      </c>
      <c r="E1646" s="15">
        <v>1</v>
      </c>
      <c r="F1646" s="15">
        <v>1</v>
      </c>
      <c r="G1646" s="11">
        <v>0</v>
      </c>
      <c r="H1646" s="9">
        <f>MAX($F$1644:F1646)</f>
        <v>1</v>
      </c>
      <c r="I1646" s="11">
        <f t="shared" si="39"/>
        <v>0</v>
      </c>
      <c r="J1646" s="9"/>
      <c r="K1646" s="11"/>
      <c r="L1646" s="9"/>
      <c r="M1646" s="11"/>
      <c r="N1646" s="9" t="s">
        <v>812</v>
      </c>
    </row>
    <row r="1647" ht="25" customHeight="1" spans="1:14">
      <c r="A1647" s="9" t="s">
        <v>371</v>
      </c>
      <c r="B1647" s="9" t="s">
        <v>370</v>
      </c>
      <c r="C1647" s="10">
        <v>44308</v>
      </c>
      <c r="D1647" s="15">
        <v>1</v>
      </c>
      <c r="E1647" s="15">
        <v>1</v>
      </c>
      <c r="F1647" s="15">
        <v>1</v>
      </c>
      <c r="G1647" s="11">
        <v>0</v>
      </c>
      <c r="H1647" s="9">
        <f>MAX($F$1644:F1647)</f>
        <v>1</v>
      </c>
      <c r="I1647" s="11">
        <f t="shared" si="39"/>
        <v>0</v>
      </c>
      <c r="J1647" s="9"/>
      <c r="K1647" s="11"/>
      <c r="L1647" s="9"/>
      <c r="M1647" s="11"/>
      <c r="N1647" s="9" t="s">
        <v>812</v>
      </c>
    </row>
    <row r="1648" ht="25" customHeight="1" spans="1:14">
      <c r="A1648" s="9" t="s">
        <v>371</v>
      </c>
      <c r="B1648" s="9" t="s">
        <v>370</v>
      </c>
      <c r="C1648" s="10">
        <v>44309</v>
      </c>
      <c r="D1648" s="15">
        <v>1</v>
      </c>
      <c r="E1648" s="15">
        <v>1</v>
      </c>
      <c r="F1648" s="15">
        <v>1</v>
      </c>
      <c r="G1648" s="11">
        <v>0</v>
      </c>
      <c r="H1648" s="9">
        <f>MAX($F$1644:F1648)</f>
        <v>1</v>
      </c>
      <c r="I1648" s="11">
        <f t="shared" si="39"/>
        <v>0</v>
      </c>
      <c r="J1648" s="9"/>
      <c r="K1648" s="11"/>
      <c r="L1648" s="9"/>
      <c r="M1648" s="11"/>
      <c r="N1648" s="9" t="s">
        <v>812</v>
      </c>
    </row>
    <row r="1649" ht="25" customHeight="1" spans="1:14">
      <c r="A1649" s="9" t="s">
        <v>371</v>
      </c>
      <c r="B1649" s="9" t="s">
        <v>370</v>
      </c>
      <c r="C1649" s="10">
        <v>44312</v>
      </c>
      <c r="D1649" s="15">
        <v>1</v>
      </c>
      <c r="E1649" s="15">
        <v>1</v>
      </c>
      <c r="F1649" s="15">
        <v>1</v>
      </c>
      <c r="G1649" s="11">
        <v>0</v>
      </c>
      <c r="H1649" s="9">
        <f>MAX($F$1644:F1649)</f>
        <v>1</v>
      </c>
      <c r="I1649" s="11">
        <f t="shared" si="39"/>
        <v>0</v>
      </c>
      <c r="J1649" s="9"/>
      <c r="K1649" s="11"/>
      <c r="L1649" s="9"/>
      <c r="M1649" s="11"/>
      <c r="N1649" s="9" t="s">
        <v>812</v>
      </c>
    </row>
    <row r="1650" ht="25" customHeight="1" spans="1:14">
      <c r="A1650" s="9" t="s">
        <v>371</v>
      </c>
      <c r="B1650" s="9" t="s">
        <v>370</v>
      </c>
      <c r="C1650" s="10">
        <v>44313</v>
      </c>
      <c r="D1650" s="15">
        <v>1</v>
      </c>
      <c r="E1650" s="15">
        <v>1</v>
      </c>
      <c r="F1650" s="15">
        <v>1</v>
      </c>
      <c r="G1650" s="11">
        <v>0</v>
      </c>
      <c r="H1650" s="9">
        <f>MAX($F$1644:F1650)</f>
        <v>1</v>
      </c>
      <c r="I1650" s="11">
        <f t="shared" si="39"/>
        <v>0</v>
      </c>
      <c r="J1650" s="9"/>
      <c r="K1650" s="11"/>
      <c r="L1650" s="9"/>
      <c r="M1650" s="11"/>
      <c r="N1650" s="9" t="s">
        <v>812</v>
      </c>
    </row>
    <row r="1651" ht="25" customHeight="1" spans="1:14">
      <c r="A1651" s="9" t="s">
        <v>371</v>
      </c>
      <c r="B1651" s="9" t="s">
        <v>370</v>
      </c>
      <c r="C1651" s="10">
        <v>44314</v>
      </c>
      <c r="D1651" s="15">
        <v>1</v>
      </c>
      <c r="E1651" s="15">
        <v>1</v>
      </c>
      <c r="F1651" s="15">
        <v>1</v>
      </c>
      <c r="G1651" s="11">
        <v>0</v>
      </c>
      <c r="H1651" s="9">
        <f>MAX($F$1644:F1651)</f>
        <v>1</v>
      </c>
      <c r="I1651" s="11">
        <f t="shared" si="39"/>
        <v>0</v>
      </c>
      <c r="J1651" s="9"/>
      <c r="K1651" s="11"/>
      <c r="L1651" s="9"/>
      <c r="M1651" s="11"/>
      <c r="N1651" s="9" t="s">
        <v>812</v>
      </c>
    </row>
    <row r="1652" ht="25" customHeight="1" spans="1:14">
      <c r="A1652" s="9" t="s">
        <v>371</v>
      </c>
      <c r="B1652" s="9" t="s">
        <v>370</v>
      </c>
      <c r="C1652" s="10">
        <v>44315</v>
      </c>
      <c r="D1652" s="15">
        <v>1</v>
      </c>
      <c r="E1652" s="15">
        <v>1</v>
      </c>
      <c r="F1652" s="15">
        <v>1</v>
      </c>
      <c r="G1652" s="11">
        <v>0</v>
      </c>
      <c r="H1652" s="9">
        <f>MAX($F$1644:F1652)</f>
        <v>1</v>
      </c>
      <c r="I1652" s="11">
        <f t="shared" si="39"/>
        <v>0</v>
      </c>
      <c r="J1652" s="9"/>
      <c r="K1652" s="11"/>
      <c r="L1652" s="9"/>
      <c r="M1652" s="11"/>
      <c r="N1652" s="9" t="s">
        <v>812</v>
      </c>
    </row>
    <row r="1653" ht="25" customHeight="1" spans="1:14">
      <c r="A1653" s="9" t="s">
        <v>371</v>
      </c>
      <c r="B1653" s="9" t="s">
        <v>370</v>
      </c>
      <c r="C1653" s="10">
        <v>44316</v>
      </c>
      <c r="D1653" s="15">
        <v>1</v>
      </c>
      <c r="E1653" s="15">
        <v>1</v>
      </c>
      <c r="F1653" s="15">
        <v>1</v>
      </c>
      <c r="G1653" s="11">
        <v>0</v>
      </c>
      <c r="H1653" s="9">
        <f>MAX($F$1644:F1653)</f>
        <v>1</v>
      </c>
      <c r="I1653" s="11">
        <f t="shared" si="39"/>
        <v>0</v>
      </c>
      <c r="J1653" s="9"/>
      <c r="K1653" s="11"/>
      <c r="L1653" s="9"/>
      <c r="M1653" s="11"/>
      <c r="N1653" s="9" t="s">
        <v>812</v>
      </c>
    </row>
    <row r="1654" ht="25" customHeight="1" spans="1:14">
      <c r="A1654" s="9" t="s">
        <v>371</v>
      </c>
      <c r="B1654" s="9" t="s">
        <v>370</v>
      </c>
      <c r="C1654" s="10">
        <v>44322</v>
      </c>
      <c r="D1654" s="15">
        <v>1</v>
      </c>
      <c r="E1654" s="15">
        <v>1</v>
      </c>
      <c r="F1654" s="15">
        <v>1</v>
      </c>
      <c r="G1654" s="11">
        <v>0</v>
      </c>
      <c r="H1654" s="9">
        <f>MAX($F$1644:F1654)</f>
        <v>1</v>
      </c>
      <c r="I1654" s="11">
        <f t="shared" si="39"/>
        <v>0</v>
      </c>
      <c r="J1654" s="9"/>
      <c r="K1654" s="11"/>
      <c r="L1654" s="9"/>
      <c r="M1654" s="11"/>
      <c r="N1654" s="9" t="s">
        <v>812</v>
      </c>
    </row>
    <row r="1655" ht="25" customHeight="1" spans="1:14">
      <c r="A1655" s="9" t="s">
        <v>371</v>
      </c>
      <c r="B1655" s="9" t="s">
        <v>370</v>
      </c>
      <c r="C1655" s="10">
        <v>44323</v>
      </c>
      <c r="D1655" s="15">
        <v>1</v>
      </c>
      <c r="E1655" s="15">
        <v>1</v>
      </c>
      <c r="F1655" s="15">
        <v>1</v>
      </c>
      <c r="G1655" s="11">
        <v>0</v>
      </c>
      <c r="H1655" s="9">
        <f>MAX($F$1644:F1655)</f>
        <v>1</v>
      </c>
      <c r="I1655" s="11">
        <f t="shared" si="39"/>
        <v>0</v>
      </c>
      <c r="J1655" s="9"/>
      <c r="K1655" s="11"/>
      <c r="L1655" s="9"/>
      <c r="M1655" s="11"/>
      <c r="N1655" s="9" t="s">
        <v>812</v>
      </c>
    </row>
    <row r="1656" ht="25" customHeight="1" spans="1:14">
      <c r="A1656" s="9" t="s">
        <v>371</v>
      </c>
      <c r="B1656" s="9" t="s">
        <v>370</v>
      </c>
      <c r="C1656" s="10">
        <v>44326</v>
      </c>
      <c r="D1656" s="15">
        <v>1.001</v>
      </c>
      <c r="E1656" s="15">
        <v>1.001</v>
      </c>
      <c r="F1656" s="15">
        <v>1.001</v>
      </c>
      <c r="G1656" s="11">
        <v>0.001</v>
      </c>
      <c r="H1656" s="9">
        <f>MAX($F$1644:F1656)</f>
        <v>1.001</v>
      </c>
      <c r="I1656" s="11">
        <f t="shared" si="39"/>
        <v>0</v>
      </c>
      <c r="J1656" s="9"/>
      <c r="K1656" s="11"/>
      <c r="L1656" s="9"/>
      <c r="M1656" s="11"/>
      <c r="N1656" s="9" t="s">
        <v>812</v>
      </c>
    </row>
    <row r="1657" ht="25" customHeight="1" spans="1:14">
      <c r="A1657" s="9" t="s">
        <v>371</v>
      </c>
      <c r="B1657" s="9" t="s">
        <v>370</v>
      </c>
      <c r="C1657" s="10">
        <v>44327</v>
      </c>
      <c r="D1657" s="15">
        <v>1.001</v>
      </c>
      <c r="E1657" s="15">
        <v>1.001</v>
      </c>
      <c r="F1657" s="15">
        <v>1.001</v>
      </c>
      <c r="G1657" s="11">
        <v>0</v>
      </c>
      <c r="H1657" s="9">
        <f>MAX($F$1644:F1657)</f>
        <v>1.001</v>
      </c>
      <c r="I1657" s="11">
        <f t="shared" si="39"/>
        <v>0</v>
      </c>
      <c r="J1657" s="9"/>
      <c r="K1657" s="11"/>
      <c r="L1657" s="9"/>
      <c r="M1657" s="11"/>
      <c r="N1657" s="9" t="s">
        <v>812</v>
      </c>
    </row>
    <row r="1658" ht="25" customHeight="1" spans="1:14">
      <c r="A1658" s="9" t="s">
        <v>371</v>
      </c>
      <c r="B1658" s="9" t="s">
        <v>370</v>
      </c>
      <c r="C1658" s="10">
        <v>44328</v>
      </c>
      <c r="D1658" s="15">
        <v>1.001</v>
      </c>
      <c r="E1658" s="15">
        <v>1.001</v>
      </c>
      <c r="F1658" s="15">
        <v>1.001</v>
      </c>
      <c r="G1658" s="11">
        <v>0</v>
      </c>
      <c r="H1658" s="9">
        <f>MAX($F$1644:F1658)</f>
        <v>1.001</v>
      </c>
      <c r="I1658" s="11">
        <f t="shared" si="39"/>
        <v>0</v>
      </c>
      <c r="J1658" s="9"/>
      <c r="K1658" s="11"/>
      <c r="L1658" s="9"/>
      <c r="M1658" s="11"/>
      <c r="N1658" s="9" t="s">
        <v>812</v>
      </c>
    </row>
    <row r="1659" ht="25" customHeight="1" spans="1:14">
      <c r="A1659" s="9" t="s">
        <v>371</v>
      </c>
      <c r="B1659" s="9" t="s">
        <v>370</v>
      </c>
      <c r="C1659" s="10">
        <v>44329</v>
      </c>
      <c r="D1659" s="15">
        <v>1.001</v>
      </c>
      <c r="E1659" s="15">
        <v>1.001</v>
      </c>
      <c r="F1659" s="15">
        <v>1.001</v>
      </c>
      <c r="G1659" s="11">
        <v>0</v>
      </c>
      <c r="H1659" s="9">
        <f>MAX($F$1644:F1659)</f>
        <v>1.001</v>
      </c>
      <c r="I1659" s="11">
        <f t="shared" si="39"/>
        <v>0</v>
      </c>
      <c r="J1659" s="9"/>
      <c r="K1659" s="11"/>
      <c r="L1659" s="9"/>
      <c r="M1659" s="11"/>
      <c r="N1659" s="9" t="s">
        <v>812</v>
      </c>
    </row>
    <row r="1660" ht="25" customHeight="1" spans="1:14">
      <c r="A1660" s="9" t="s">
        <v>371</v>
      </c>
      <c r="B1660" s="9" t="s">
        <v>370</v>
      </c>
      <c r="C1660" s="10">
        <v>44330</v>
      </c>
      <c r="D1660" s="15">
        <v>1.001</v>
      </c>
      <c r="E1660" s="15">
        <v>1.001</v>
      </c>
      <c r="F1660" s="15">
        <v>1.001</v>
      </c>
      <c r="G1660" s="11">
        <v>0</v>
      </c>
      <c r="H1660" s="9">
        <f>MAX($F$1644:F1660)</f>
        <v>1.001</v>
      </c>
      <c r="I1660" s="11">
        <f t="shared" si="39"/>
        <v>0</v>
      </c>
      <c r="J1660" s="9"/>
      <c r="K1660" s="11"/>
      <c r="L1660" s="9"/>
      <c r="M1660" s="11"/>
      <c r="N1660" s="9" t="s">
        <v>812</v>
      </c>
    </row>
    <row r="1661" ht="25" customHeight="1" spans="1:14">
      <c r="A1661" s="9" t="s">
        <v>371</v>
      </c>
      <c r="B1661" s="9" t="s">
        <v>370</v>
      </c>
      <c r="C1661" s="10">
        <v>44333</v>
      </c>
      <c r="D1661" s="15">
        <v>1.001</v>
      </c>
      <c r="E1661" s="15">
        <v>1.001</v>
      </c>
      <c r="F1661" s="15">
        <v>1.001</v>
      </c>
      <c r="G1661" s="11">
        <v>0</v>
      </c>
      <c r="H1661" s="9">
        <f>MAX($F$1644:F1661)</f>
        <v>1.001</v>
      </c>
      <c r="I1661" s="11">
        <f t="shared" si="39"/>
        <v>0</v>
      </c>
      <c r="J1661" s="9"/>
      <c r="K1661" s="11"/>
      <c r="L1661" s="9"/>
      <c r="M1661" s="11"/>
      <c r="N1661" s="9" t="s">
        <v>812</v>
      </c>
    </row>
    <row r="1662" ht="25" customHeight="1" spans="1:14">
      <c r="A1662" s="9" t="s">
        <v>371</v>
      </c>
      <c r="B1662" s="9" t="s">
        <v>370</v>
      </c>
      <c r="C1662" s="10">
        <v>44334</v>
      </c>
      <c r="D1662" s="15">
        <v>1.001</v>
      </c>
      <c r="E1662" s="15">
        <v>1.001</v>
      </c>
      <c r="F1662" s="15">
        <v>1.001</v>
      </c>
      <c r="G1662" s="11">
        <v>0</v>
      </c>
      <c r="H1662" s="9">
        <f>MAX($F$1644:F1662)</f>
        <v>1.001</v>
      </c>
      <c r="I1662" s="11">
        <f t="shared" si="39"/>
        <v>0</v>
      </c>
      <c r="J1662" s="9"/>
      <c r="K1662" s="11"/>
      <c r="L1662" s="9"/>
      <c r="M1662" s="11"/>
      <c r="N1662" s="9" t="s">
        <v>812</v>
      </c>
    </row>
    <row r="1663" ht="25" customHeight="1" spans="1:14">
      <c r="A1663" s="9" t="s">
        <v>371</v>
      </c>
      <c r="B1663" s="9" t="s">
        <v>370</v>
      </c>
      <c r="C1663" s="10">
        <v>44335</v>
      </c>
      <c r="D1663" s="15">
        <v>1.001</v>
      </c>
      <c r="E1663" s="15">
        <v>1.001</v>
      </c>
      <c r="F1663" s="15">
        <v>1.001</v>
      </c>
      <c r="G1663" s="11">
        <v>0</v>
      </c>
      <c r="H1663" s="9">
        <f>MAX($F$1644:F1663)</f>
        <v>1.001</v>
      </c>
      <c r="I1663" s="11">
        <f t="shared" si="39"/>
        <v>0</v>
      </c>
      <c r="J1663" s="9"/>
      <c r="K1663" s="11"/>
      <c r="L1663" s="9"/>
      <c r="M1663" s="11"/>
      <c r="N1663" s="9" t="s">
        <v>812</v>
      </c>
    </row>
    <row r="1664" ht="25" customHeight="1" spans="1:14">
      <c r="A1664" s="9" t="s">
        <v>371</v>
      </c>
      <c r="B1664" s="9" t="s">
        <v>370</v>
      </c>
      <c r="C1664" s="10">
        <v>44336</v>
      </c>
      <c r="D1664" s="15">
        <v>1.001</v>
      </c>
      <c r="E1664" s="15">
        <v>1.001</v>
      </c>
      <c r="F1664" s="15">
        <v>1.001</v>
      </c>
      <c r="G1664" s="11">
        <v>0</v>
      </c>
      <c r="H1664" s="9">
        <f>MAX($F$1644:F1664)</f>
        <v>1.001</v>
      </c>
      <c r="I1664" s="11">
        <f t="shared" si="39"/>
        <v>0</v>
      </c>
      <c r="J1664" s="9"/>
      <c r="K1664" s="11"/>
      <c r="L1664" s="9"/>
      <c r="M1664" s="11"/>
      <c r="N1664" s="9" t="s">
        <v>812</v>
      </c>
    </row>
    <row r="1665" ht="25" customHeight="1" spans="1:14">
      <c r="A1665" s="9" t="s">
        <v>371</v>
      </c>
      <c r="B1665" s="9" t="s">
        <v>370</v>
      </c>
      <c r="C1665" s="10">
        <v>44337</v>
      </c>
      <c r="D1665" s="15">
        <v>1.001</v>
      </c>
      <c r="E1665" s="15">
        <v>1.001</v>
      </c>
      <c r="F1665" s="15">
        <v>1.001</v>
      </c>
      <c r="G1665" s="11">
        <v>0</v>
      </c>
      <c r="H1665" s="9">
        <f>MAX($F$1644:F1665)</f>
        <v>1.001</v>
      </c>
      <c r="I1665" s="11">
        <f t="shared" si="39"/>
        <v>0</v>
      </c>
      <c r="J1665" s="9"/>
      <c r="K1665" s="11"/>
      <c r="L1665" s="9"/>
      <c r="M1665" s="11"/>
      <c r="N1665" s="9" t="s">
        <v>812</v>
      </c>
    </row>
    <row r="1666" ht="25" customHeight="1" spans="1:14">
      <c r="A1666" s="9" t="s">
        <v>371</v>
      </c>
      <c r="B1666" s="9" t="s">
        <v>370</v>
      </c>
      <c r="C1666" s="10">
        <v>44340</v>
      </c>
      <c r="D1666" s="15">
        <v>1.001</v>
      </c>
      <c r="E1666" s="15">
        <v>1.001</v>
      </c>
      <c r="F1666" s="15">
        <v>1.001</v>
      </c>
      <c r="G1666" s="11">
        <v>0</v>
      </c>
      <c r="H1666" s="9">
        <f>MAX($F$1644:F1666)</f>
        <v>1.001</v>
      </c>
      <c r="I1666" s="11">
        <f t="shared" ref="I1666:I1729" si="41">1-F1666/H1666</f>
        <v>0</v>
      </c>
      <c r="J1666" s="9"/>
      <c r="K1666" s="11"/>
      <c r="L1666" s="9"/>
      <c r="M1666" s="11"/>
      <c r="N1666" s="9" t="s">
        <v>812</v>
      </c>
    </row>
    <row r="1667" ht="25" customHeight="1" spans="1:14">
      <c r="A1667" s="9" t="s">
        <v>371</v>
      </c>
      <c r="B1667" s="9" t="s">
        <v>370</v>
      </c>
      <c r="C1667" s="10">
        <v>44341</v>
      </c>
      <c r="D1667" s="15">
        <v>1.001</v>
      </c>
      <c r="E1667" s="15">
        <v>1.001</v>
      </c>
      <c r="F1667" s="15">
        <v>1.001</v>
      </c>
      <c r="G1667" s="11">
        <v>0</v>
      </c>
      <c r="H1667" s="9">
        <f>MAX($F$1644:F1667)</f>
        <v>1.001</v>
      </c>
      <c r="I1667" s="11">
        <f t="shared" si="41"/>
        <v>0</v>
      </c>
      <c r="J1667" s="9"/>
      <c r="K1667" s="11"/>
      <c r="L1667" s="9"/>
      <c r="M1667" s="11"/>
      <c r="N1667" s="9" t="s">
        <v>812</v>
      </c>
    </row>
    <row r="1668" ht="25" customHeight="1" spans="1:14">
      <c r="A1668" s="9" t="s">
        <v>371</v>
      </c>
      <c r="B1668" s="9" t="s">
        <v>370</v>
      </c>
      <c r="C1668" s="10">
        <v>44342</v>
      </c>
      <c r="D1668" s="15">
        <v>1.001</v>
      </c>
      <c r="E1668" s="15">
        <v>1.001</v>
      </c>
      <c r="F1668" s="15">
        <v>1.001</v>
      </c>
      <c r="G1668" s="11">
        <v>0</v>
      </c>
      <c r="H1668" s="9">
        <f>MAX($F$1644:F1668)</f>
        <v>1.001</v>
      </c>
      <c r="I1668" s="11">
        <f t="shared" si="41"/>
        <v>0</v>
      </c>
      <c r="J1668" s="9"/>
      <c r="K1668" s="11"/>
      <c r="L1668" s="9"/>
      <c r="M1668" s="11"/>
      <c r="N1668" s="9" t="s">
        <v>812</v>
      </c>
    </row>
    <row r="1669" ht="25" customHeight="1" spans="1:14">
      <c r="A1669" s="9" t="s">
        <v>371</v>
      </c>
      <c r="B1669" s="9" t="s">
        <v>370</v>
      </c>
      <c r="C1669" s="10">
        <v>44343</v>
      </c>
      <c r="D1669" s="15">
        <v>1.001</v>
      </c>
      <c r="E1669" s="15">
        <v>1.001</v>
      </c>
      <c r="F1669" s="15">
        <v>1.001</v>
      </c>
      <c r="G1669" s="11">
        <v>0</v>
      </c>
      <c r="H1669" s="9">
        <f>MAX($F$1644:F1669)</f>
        <v>1.001</v>
      </c>
      <c r="I1669" s="11">
        <f t="shared" si="41"/>
        <v>0</v>
      </c>
      <c r="J1669" s="9"/>
      <c r="K1669" s="11"/>
      <c r="L1669" s="9"/>
      <c r="M1669" s="11"/>
      <c r="N1669" s="9" t="s">
        <v>812</v>
      </c>
    </row>
    <row r="1670" ht="25" customHeight="1" spans="1:14">
      <c r="A1670" s="9" t="s">
        <v>371</v>
      </c>
      <c r="B1670" s="9" t="s">
        <v>370</v>
      </c>
      <c r="C1670" s="10">
        <v>44344</v>
      </c>
      <c r="D1670" s="15">
        <v>1.001</v>
      </c>
      <c r="E1670" s="15">
        <v>1.001</v>
      </c>
      <c r="F1670" s="15">
        <v>1.001</v>
      </c>
      <c r="G1670" s="11">
        <v>0</v>
      </c>
      <c r="H1670" s="9">
        <f>MAX($F$1644:F1670)</f>
        <v>1.001</v>
      </c>
      <c r="I1670" s="11">
        <f t="shared" si="41"/>
        <v>0</v>
      </c>
      <c r="J1670" s="9"/>
      <c r="K1670" s="11"/>
      <c r="L1670" s="9"/>
      <c r="M1670" s="11"/>
      <c r="N1670" s="9" t="s">
        <v>812</v>
      </c>
    </row>
    <row r="1671" ht="25" customHeight="1" spans="1:14">
      <c r="A1671" s="9" t="s">
        <v>371</v>
      </c>
      <c r="B1671" s="9" t="s">
        <v>370</v>
      </c>
      <c r="C1671" s="10">
        <v>44347</v>
      </c>
      <c r="D1671" s="15">
        <v>1.001</v>
      </c>
      <c r="E1671" s="15">
        <v>1.001</v>
      </c>
      <c r="F1671" s="15">
        <v>1.001</v>
      </c>
      <c r="G1671" s="11">
        <v>0</v>
      </c>
      <c r="H1671" s="9">
        <f>MAX($F$1644:F1671)</f>
        <v>1.001</v>
      </c>
      <c r="I1671" s="11">
        <f t="shared" si="41"/>
        <v>0</v>
      </c>
      <c r="J1671" s="9"/>
      <c r="K1671" s="11"/>
      <c r="L1671" s="9"/>
      <c r="M1671" s="11"/>
      <c r="N1671" s="9" t="s">
        <v>812</v>
      </c>
    </row>
    <row r="1672" ht="25" customHeight="1" spans="1:14">
      <c r="A1672" s="9" t="s">
        <v>371</v>
      </c>
      <c r="B1672" s="9" t="s">
        <v>370</v>
      </c>
      <c r="C1672" s="10">
        <v>44348</v>
      </c>
      <c r="D1672" s="15">
        <v>1.001</v>
      </c>
      <c r="E1672" s="15">
        <v>1.001</v>
      </c>
      <c r="F1672" s="15">
        <v>1.001</v>
      </c>
      <c r="G1672" s="11">
        <v>0</v>
      </c>
      <c r="H1672" s="9">
        <f>MAX($F$1644:F1672)</f>
        <v>1.001</v>
      </c>
      <c r="I1672" s="11">
        <f t="shared" si="41"/>
        <v>0</v>
      </c>
      <c r="J1672" s="9"/>
      <c r="K1672" s="11"/>
      <c r="L1672" s="9"/>
      <c r="M1672" s="11"/>
      <c r="N1672" s="9" t="s">
        <v>812</v>
      </c>
    </row>
    <row r="1673" ht="25" customHeight="1" spans="1:14">
      <c r="A1673" s="9" t="s">
        <v>371</v>
      </c>
      <c r="B1673" s="9" t="s">
        <v>370</v>
      </c>
      <c r="C1673" s="10">
        <v>44349</v>
      </c>
      <c r="D1673" s="15">
        <v>1.001</v>
      </c>
      <c r="E1673" s="15">
        <v>1.001</v>
      </c>
      <c r="F1673" s="15">
        <v>1.001</v>
      </c>
      <c r="G1673" s="11">
        <v>0</v>
      </c>
      <c r="H1673" s="9">
        <f>MAX($F$1644:F1673)</f>
        <v>1.001</v>
      </c>
      <c r="I1673" s="11">
        <f t="shared" si="41"/>
        <v>0</v>
      </c>
      <c r="J1673" s="9"/>
      <c r="K1673" s="11"/>
      <c r="L1673" s="9"/>
      <c r="M1673" s="11"/>
      <c r="N1673" s="9" t="s">
        <v>812</v>
      </c>
    </row>
    <row r="1674" ht="25" customHeight="1" spans="1:14">
      <c r="A1674" s="9" t="s">
        <v>371</v>
      </c>
      <c r="B1674" s="9" t="s">
        <v>370</v>
      </c>
      <c r="C1674" s="10">
        <v>44350</v>
      </c>
      <c r="D1674" s="15">
        <v>1.002</v>
      </c>
      <c r="E1674" s="15">
        <v>1.002</v>
      </c>
      <c r="F1674" s="15">
        <v>1.002</v>
      </c>
      <c r="G1674" s="11">
        <v>0.001</v>
      </c>
      <c r="H1674" s="9">
        <f>MAX($F$1644:F1674)</f>
        <v>1.002</v>
      </c>
      <c r="I1674" s="11">
        <f t="shared" si="41"/>
        <v>0</v>
      </c>
      <c r="J1674" s="9"/>
      <c r="K1674" s="11"/>
      <c r="L1674" s="9"/>
      <c r="M1674" s="11"/>
      <c r="N1674" s="9" t="s">
        <v>812</v>
      </c>
    </row>
    <row r="1675" ht="25" customHeight="1" spans="1:14">
      <c r="A1675" s="9" t="s">
        <v>371</v>
      </c>
      <c r="B1675" s="9" t="s">
        <v>370</v>
      </c>
      <c r="C1675" s="10">
        <v>44351</v>
      </c>
      <c r="D1675" s="15">
        <v>1.002</v>
      </c>
      <c r="E1675" s="15">
        <v>1.002</v>
      </c>
      <c r="F1675" s="15">
        <v>1.002</v>
      </c>
      <c r="G1675" s="11">
        <v>0</v>
      </c>
      <c r="H1675" s="9">
        <f>MAX($F$1644:F1675)</f>
        <v>1.002</v>
      </c>
      <c r="I1675" s="11">
        <f t="shared" si="41"/>
        <v>0</v>
      </c>
      <c r="J1675" s="9"/>
      <c r="K1675" s="11"/>
      <c r="L1675" s="9"/>
      <c r="M1675" s="11"/>
      <c r="N1675" s="9" t="s">
        <v>812</v>
      </c>
    </row>
    <row r="1676" ht="25" customHeight="1" spans="1:14">
      <c r="A1676" s="9" t="s">
        <v>371</v>
      </c>
      <c r="B1676" s="9" t="s">
        <v>370</v>
      </c>
      <c r="C1676" s="10">
        <v>44354</v>
      </c>
      <c r="D1676" s="15">
        <v>1.002</v>
      </c>
      <c r="E1676" s="15">
        <v>1.002</v>
      </c>
      <c r="F1676" s="15">
        <v>1.002</v>
      </c>
      <c r="G1676" s="11">
        <v>0</v>
      </c>
      <c r="H1676" s="9">
        <f>MAX($F$1644:F1676)</f>
        <v>1.002</v>
      </c>
      <c r="I1676" s="11">
        <f t="shared" si="41"/>
        <v>0</v>
      </c>
      <c r="J1676" s="9"/>
      <c r="K1676" s="11"/>
      <c r="L1676" s="9"/>
      <c r="M1676" s="11"/>
      <c r="N1676" s="9" t="s">
        <v>812</v>
      </c>
    </row>
    <row r="1677" ht="25" customHeight="1" spans="1:14">
      <c r="A1677" s="9" t="s">
        <v>371</v>
      </c>
      <c r="B1677" s="9" t="s">
        <v>370</v>
      </c>
      <c r="C1677" s="10">
        <v>44355</v>
      </c>
      <c r="D1677" s="15">
        <v>1.002</v>
      </c>
      <c r="E1677" s="15">
        <v>1.002</v>
      </c>
      <c r="F1677" s="15">
        <v>1.002</v>
      </c>
      <c r="G1677" s="11">
        <v>0</v>
      </c>
      <c r="H1677" s="9">
        <f>MAX($F$1644:F1677)</f>
        <v>1.002</v>
      </c>
      <c r="I1677" s="11">
        <f t="shared" si="41"/>
        <v>0</v>
      </c>
      <c r="J1677" s="9"/>
      <c r="K1677" s="11"/>
      <c r="L1677" s="9"/>
      <c r="M1677" s="11"/>
      <c r="N1677" s="9" t="s">
        <v>812</v>
      </c>
    </row>
    <row r="1678" ht="25" customHeight="1" spans="1:14">
      <c r="A1678" s="9" t="s">
        <v>371</v>
      </c>
      <c r="B1678" s="9" t="s">
        <v>370</v>
      </c>
      <c r="C1678" s="10">
        <v>44356</v>
      </c>
      <c r="D1678" s="15">
        <v>1.002</v>
      </c>
      <c r="E1678" s="15">
        <v>1.002</v>
      </c>
      <c r="F1678" s="15">
        <v>1.002</v>
      </c>
      <c r="G1678" s="11">
        <v>0</v>
      </c>
      <c r="H1678" s="9">
        <f>MAX($F$1644:F1678)</f>
        <v>1.002</v>
      </c>
      <c r="I1678" s="11">
        <f t="shared" si="41"/>
        <v>0</v>
      </c>
      <c r="J1678" s="9"/>
      <c r="K1678" s="11"/>
      <c r="L1678" s="9"/>
      <c r="M1678" s="11"/>
      <c r="N1678" s="9" t="s">
        <v>812</v>
      </c>
    </row>
    <row r="1679" ht="25" customHeight="1" spans="1:14">
      <c r="A1679" s="9" t="s">
        <v>371</v>
      </c>
      <c r="B1679" s="9" t="s">
        <v>370</v>
      </c>
      <c r="C1679" s="10">
        <v>44357</v>
      </c>
      <c r="D1679" s="15">
        <v>1.002</v>
      </c>
      <c r="E1679" s="15">
        <v>1.002</v>
      </c>
      <c r="F1679" s="15">
        <v>1.002</v>
      </c>
      <c r="G1679" s="11">
        <v>0</v>
      </c>
      <c r="H1679" s="9">
        <f>MAX($F$1644:F1679)</f>
        <v>1.002</v>
      </c>
      <c r="I1679" s="11">
        <f t="shared" si="41"/>
        <v>0</v>
      </c>
      <c r="J1679" s="9"/>
      <c r="K1679" s="11"/>
      <c r="L1679" s="9"/>
      <c r="M1679" s="11"/>
      <c r="N1679" s="9" t="s">
        <v>812</v>
      </c>
    </row>
    <row r="1680" ht="25" customHeight="1" spans="1:14">
      <c r="A1680" s="9" t="s">
        <v>371</v>
      </c>
      <c r="B1680" s="9" t="s">
        <v>370</v>
      </c>
      <c r="C1680" s="10">
        <v>44358</v>
      </c>
      <c r="D1680" s="15">
        <v>1.002</v>
      </c>
      <c r="E1680" s="15">
        <v>1.002</v>
      </c>
      <c r="F1680" s="15">
        <v>1.002</v>
      </c>
      <c r="G1680" s="11">
        <v>0</v>
      </c>
      <c r="H1680" s="9">
        <f>MAX($F$1644:F1680)</f>
        <v>1.002</v>
      </c>
      <c r="I1680" s="11">
        <f t="shared" si="41"/>
        <v>0</v>
      </c>
      <c r="J1680" s="9"/>
      <c r="K1680" s="11"/>
      <c r="L1680" s="9"/>
      <c r="M1680" s="11"/>
      <c r="N1680" s="9" t="s">
        <v>812</v>
      </c>
    </row>
    <row r="1681" ht="25" customHeight="1" spans="1:14">
      <c r="A1681" s="9" t="s">
        <v>371</v>
      </c>
      <c r="B1681" s="9" t="s">
        <v>370</v>
      </c>
      <c r="C1681" s="10">
        <v>44362</v>
      </c>
      <c r="D1681" s="15">
        <v>1.002</v>
      </c>
      <c r="E1681" s="15">
        <v>1.002</v>
      </c>
      <c r="F1681" s="15">
        <v>1.002</v>
      </c>
      <c r="G1681" s="11">
        <v>0</v>
      </c>
      <c r="H1681" s="9">
        <f>MAX($F$1644:F1681)</f>
        <v>1.002</v>
      </c>
      <c r="I1681" s="11">
        <f t="shared" si="41"/>
        <v>0</v>
      </c>
      <c r="J1681" s="9"/>
      <c r="K1681" s="11"/>
      <c r="L1681" s="9"/>
      <c r="M1681" s="11"/>
      <c r="N1681" s="9" t="s">
        <v>812</v>
      </c>
    </row>
    <row r="1682" ht="25" customHeight="1" spans="1:14">
      <c r="A1682" s="9" t="s">
        <v>371</v>
      </c>
      <c r="B1682" s="9" t="s">
        <v>370</v>
      </c>
      <c r="C1682" s="10">
        <v>44363</v>
      </c>
      <c r="D1682" s="15">
        <v>1.002</v>
      </c>
      <c r="E1682" s="15">
        <v>1.002</v>
      </c>
      <c r="F1682" s="15">
        <v>1.002</v>
      </c>
      <c r="G1682" s="11">
        <v>0</v>
      </c>
      <c r="H1682" s="9">
        <f>MAX($F$1644:F1682)</f>
        <v>1.002</v>
      </c>
      <c r="I1682" s="11">
        <f t="shared" si="41"/>
        <v>0</v>
      </c>
      <c r="J1682" s="9"/>
      <c r="K1682" s="11"/>
      <c r="L1682" s="9"/>
      <c r="M1682" s="11"/>
      <c r="N1682" s="9" t="s">
        <v>812</v>
      </c>
    </row>
    <row r="1683" ht="25" customHeight="1" spans="1:14">
      <c r="A1683" s="9" t="s">
        <v>371</v>
      </c>
      <c r="B1683" s="9" t="s">
        <v>370</v>
      </c>
      <c r="C1683" s="10">
        <v>44364</v>
      </c>
      <c r="D1683" s="15">
        <v>1.002</v>
      </c>
      <c r="E1683" s="15">
        <v>1.002</v>
      </c>
      <c r="F1683" s="15">
        <v>1.002</v>
      </c>
      <c r="G1683" s="11">
        <v>0</v>
      </c>
      <c r="H1683" s="9">
        <f>MAX($F$1644:F1683)</f>
        <v>1.002</v>
      </c>
      <c r="I1683" s="11">
        <f t="shared" si="41"/>
        <v>0</v>
      </c>
      <c r="J1683" s="9"/>
      <c r="K1683" s="11"/>
      <c r="L1683" s="9"/>
      <c r="M1683" s="11"/>
      <c r="N1683" s="9" t="s">
        <v>812</v>
      </c>
    </row>
    <row r="1684" ht="25" customHeight="1" spans="1:14">
      <c r="A1684" s="9" t="s">
        <v>371</v>
      </c>
      <c r="B1684" s="9" t="s">
        <v>370</v>
      </c>
      <c r="C1684" s="10">
        <v>44365</v>
      </c>
      <c r="D1684" s="15">
        <v>1.002</v>
      </c>
      <c r="E1684" s="15">
        <v>1.002</v>
      </c>
      <c r="F1684" s="15">
        <v>1.002</v>
      </c>
      <c r="G1684" s="11">
        <v>0</v>
      </c>
      <c r="H1684" s="9">
        <f>MAX($F$1644:F1684)</f>
        <v>1.002</v>
      </c>
      <c r="I1684" s="11">
        <f t="shared" si="41"/>
        <v>0</v>
      </c>
      <c r="J1684" s="9"/>
      <c r="K1684" s="11"/>
      <c r="L1684" s="9"/>
      <c r="M1684" s="11"/>
      <c r="N1684" s="9" t="s">
        <v>812</v>
      </c>
    </row>
    <row r="1685" ht="25" customHeight="1" spans="1:14">
      <c r="A1685" s="9" t="s">
        <v>371</v>
      </c>
      <c r="B1685" s="9" t="s">
        <v>370</v>
      </c>
      <c r="C1685" s="10">
        <v>44368</v>
      </c>
      <c r="D1685" s="15">
        <v>1.002</v>
      </c>
      <c r="E1685" s="15">
        <v>1.002</v>
      </c>
      <c r="F1685" s="15">
        <v>1.002</v>
      </c>
      <c r="G1685" s="11">
        <v>0</v>
      </c>
      <c r="H1685" s="9">
        <f>MAX($F$1644:F1685)</f>
        <v>1.002</v>
      </c>
      <c r="I1685" s="11">
        <f t="shared" si="41"/>
        <v>0</v>
      </c>
      <c r="J1685" s="9"/>
      <c r="K1685" s="11"/>
      <c r="L1685" s="9"/>
      <c r="M1685" s="11"/>
      <c r="N1685" s="9" t="s">
        <v>812</v>
      </c>
    </row>
    <row r="1686" ht="25" customHeight="1" spans="1:14">
      <c r="A1686" s="9" t="s">
        <v>371</v>
      </c>
      <c r="B1686" s="9" t="s">
        <v>370</v>
      </c>
      <c r="C1686" s="10">
        <v>44369</v>
      </c>
      <c r="D1686" s="15">
        <v>1.002</v>
      </c>
      <c r="E1686" s="15">
        <v>1.002</v>
      </c>
      <c r="F1686" s="15">
        <v>1.002</v>
      </c>
      <c r="G1686" s="11">
        <v>0</v>
      </c>
      <c r="H1686" s="9">
        <f>MAX($F$1644:F1686)</f>
        <v>1.002</v>
      </c>
      <c r="I1686" s="11">
        <f t="shared" si="41"/>
        <v>0</v>
      </c>
      <c r="J1686" s="9"/>
      <c r="K1686" s="11"/>
      <c r="L1686" s="9"/>
      <c r="M1686" s="11"/>
      <c r="N1686" s="9" t="s">
        <v>812</v>
      </c>
    </row>
    <row r="1687" ht="25" customHeight="1" spans="1:14">
      <c r="A1687" s="9" t="s">
        <v>371</v>
      </c>
      <c r="B1687" s="9" t="s">
        <v>370</v>
      </c>
      <c r="C1687" s="10">
        <v>44370</v>
      </c>
      <c r="D1687" s="15">
        <v>1.002</v>
      </c>
      <c r="E1687" s="15">
        <v>1.002</v>
      </c>
      <c r="F1687" s="15">
        <v>1.002</v>
      </c>
      <c r="G1687" s="11">
        <v>0</v>
      </c>
      <c r="H1687" s="9">
        <f>MAX($F$1644:F1687)</f>
        <v>1.002</v>
      </c>
      <c r="I1687" s="11">
        <f t="shared" si="41"/>
        <v>0</v>
      </c>
      <c r="J1687" s="9"/>
      <c r="K1687" s="11"/>
      <c r="L1687" s="9"/>
      <c r="M1687" s="11"/>
      <c r="N1687" s="9" t="s">
        <v>812</v>
      </c>
    </row>
    <row r="1688" ht="25" customHeight="1" spans="1:14">
      <c r="A1688" s="9" t="s">
        <v>371</v>
      </c>
      <c r="B1688" s="9" t="s">
        <v>370</v>
      </c>
      <c r="C1688" s="10">
        <v>44371</v>
      </c>
      <c r="D1688" s="15">
        <v>1.002</v>
      </c>
      <c r="E1688" s="15">
        <v>1.002</v>
      </c>
      <c r="F1688" s="15">
        <v>1.002</v>
      </c>
      <c r="G1688" s="11">
        <v>0</v>
      </c>
      <c r="H1688" s="9">
        <f>MAX($F$1644:F1688)</f>
        <v>1.002</v>
      </c>
      <c r="I1688" s="11">
        <f t="shared" si="41"/>
        <v>0</v>
      </c>
      <c r="J1688" s="9"/>
      <c r="K1688" s="11"/>
      <c r="L1688" s="9"/>
      <c r="M1688" s="11"/>
      <c r="N1688" s="9" t="s">
        <v>812</v>
      </c>
    </row>
    <row r="1689" ht="25" customHeight="1" spans="1:14">
      <c r="A1689" s="9" t="s">
        <v>371</v>
      </c>
      <c r="B1689" s="9" t="s">
        <v>370</v>
      </c>
      <c r="C1689" s="10">
        <v>44372</v>
      </c>
      <c r="D1689" s="15">
        <v>1.002</v>
      </c>
      <c r="E1689" s="15">
        <v>1.002</v>
      </c>
      <c r="F1689" s="15">
        <v>1.002</v>
      </c>
      <c r="G1689" s="11">
        <v>0</v>
      </c>
      <c r="H1689" s="9">
        <f>MAX($F$1644:F1689)</f>
        <v>1.002</v>
      </c>
      <c r="I1689" s="11">
        <f t="shared" si="41"/>
        <v>0</v>
      </c>
      <c r="J1689" s="9"/>
      <c r="K1689" s="11"/>
      <c r="L1689" s="9"/>
      <c r="M1689" s="11"/>
      <c r="N1689" s="9" t="s">
        <v>812</v>
      </c>
    </row>
    <row r="1690" ht="25" customHeight="1" spans="1:14">
      <c r="A1690" s="9" t="s">
        <v>371</v>
      </c>
      <c r="B1690" s="9" t="s">
        <v>370</v>
      </c>
      <c r="C1690" s="10">
        <v>44375</v>
      </c>
      <c r="D1690" s="15">
        <v>1.003</v>
      </c>
      <c r="E1690" s="15">
        <v>1.003</v>
      </c>
      <c r="F1690" s="15">
        <v>1.003</v>
      </c>
      <c r="G1690" s="11">
        <v>0.001</v>
      </c>
      <c r="H1690" s="9">
        <f>MAX($F$1644:F1690)</f>
        <v>1.003</v>
      </c>
      <c r="I1690" s="11">
        <f t="shared" si="41"/>
        <v>0</v>
      </c>
      <c r="J1690" s="9"/>
      <c r="K1690" s="11"/>
      <c r="L1690" s="9"/>
      <c r="M1690" s="11"/>
      <c r="N1690" s="9" t="s">
        <v>812</v>
      </c>
    </row>
    <row r="1691" ht="25" customHeight="1" spans="1:14">
      <c r="A1691" s="9" t="s">
        <v>371</v>
      </c>
      <c r="B1691" s="9" t="s">
        <v>370</v>
      </c>
      <c r="C1691" s="10">
        <v>44376</v>
      </c>
      <c r="D1691" s="15">
        <v>1.003</v>
      </c>
      <c r="E1691" s="15">
        <v>1.003</v>
      </c>
      <c r="F1691" s="15">
        <v>1.003</v>
      </c>
      <c r="G1691" s="11">
        <v>0</v>
      </c>
      <c r="H1691" s="9">
        <f>MAX($F$1644:F1691)</f>
        <v>1.003</v>
      </c>
      <c r="I1691" s="11">
        <f t="shared" si="41"/>
        <v>0</v>
      </c>
      <c r="J1691" s="9"/>
      <c r="K1691" s="11"/>
      <c r="L1691" s="9"/>
      <c r="M1691" s="11"/>
      <c r="N1691" s="9" t="s">
        <v>812</v>
      </c>
    </row>
    <row r="1692" ht="25" customHeight="1" spans="1:14">
      <c r="A1692" s="9" t="s">
        <v>371</v>
      </c>
      <c r="B1692" s="9" t="s">
        <v>370</v>
      </c>
      <c r="C1692" s="10">
        <v>44377</v>
      </c>
      <c r="D1692" s="15">
        <v>1.003</v>
      </c>
      <c r="E1692" s="15">
        <v>1.003</v>
      </c>
      <c r="F1692" s="15">
        <v>1.003</v>
      </c>
      <c r="G1692" s="11">
        <v>0</v>
      </c>
      <c r="H1692" s="9">
        <f>MAX($F$1644:F1692)</f>
        <v>1.003</v>
      </c>
      <c r="I1692" s="11">
        <f t="shared" si="41"/>
        <v>0</v>
      </c>
      <c r="J1692" s="9"/>
      <c r="K1692" s="11"/>
      <c r="L1692" s="9"/>
      <c r="M1692" s="11"/>
      <c r="N1692" s="9" t="s">
        <v>812</v>
      </c>
    </row>
    <row r="1693" ht="25" customHeight="1" spans="1:14">
      <c r="A1693" s="9" t="s">
        <v>371</v>
      </c>
      <c r="B1693" s="9" t="s">
        <v>370</v>
      </c>
      <c r="C1693" s="10">
        <v>44378</v>
      </c>
      <c r="D1693" s="15">
        <v>1.003</v>
      </c>
      <c r="E1693" s="15">
        <v>1.003</v>
      </c>
      <c r="F1693" s="15">
        <v>1.003</v>
      </c>
      <c r="G1693" s="11">
        <v>0</v>
      </c>
      <c r="H1693" s="9">
        <f>MAX($F$1644:F1693)</f>
        <v>1.003</v>
      </c>
      <c r="I1693" s="11">
        <f t="shared" si="41"/>
        <v>0</v>
      </c>
      <c r="J1693" s="9"/>
      <c r="K1693" s="11"/>
      <c r="L1693" s="9"/>
      <c r="M1693" s="11"/>
      <c r="N1693" s="9" t="s">
        <v>812</v>
      </c>
    </row>
    <row r="1694" ht="25" customHeight="1" spans="1:14">
      <c r="A1694" s="9" t="s">
        <v>371</v>
      </c>
      <c r="B1694" s="9" t="s">
        <v>370</v>
      </c>
      <c r="C1694" s="10">
        <v>44379</v>
      </c>
      <c r="D1694" s="15">
        <v>1.003</v>
      </c>
      <c r="E1694" s="15">
        <v>1.003</v>
      </c>
      <c r="F1694" s="15">
        <v>1.003</v>
      </c>
      <c r="G1694" s="11">
        <v>0</v>
      </c>
      <c r="H1694" s="9">
        <f>MAX($F$1644:F1694)</f>
        <v>1.003</v>
      </c>
      <c r="I1694" s="11">
        <f t="shared" si="41"/>
        <v>0</v>
      </c>
      <c r="J1694" s="9"/>
      <c r="K1694" s="11"/>
      <c r="L1694" s="9"/>
      <c r="M1694" s="11"/>
      <c r="N1694" s="9" t="s">
        <v>812</v>
      </c>
    </row>
    <row r="1695" ht="25" customHeight="1" spans="1:14">
      <c r="A1695" s="9" t="s">
        <v>371</v>
      </c>
      <c r="B1695" s="9" t="s">
        <v>370</v>
      </c>
      <c r="C1695" s="10">
        <v>44382</v>
      </c>
      <c r="D1695" s="15">
        <v>1.003</v>
      </c>
      <c r="E1695" s="15">
        <v>1.003</v>
      </c>
      <c r="F1695" s="15">
        <v>1.003</v>
      </c>
      <c r="G1695" s="11">
        <v>0</v>
      </c>
      <c r="H1695" s="9">
        <f>MAX($F$1644:F1695)</f>
        <v>1.003</v>
      </c>
      <c r="I1695" s="11">
        <f t="shared" si="41"/>
        <v>0</v>
      </c>
      <c r="J1695" s="9"/>
      <c r="K1695" s="11"/>
      <c r="L1695" s="9"/>
      <c r="M1695" s="11"/>
      <c r="N1695" s="9" t="s">
        <v>812</v>
      </c>
    </row>
    <row r="1696" ht="25" customHeight="1" spans="1:14">
      <c r="A1696" s="9" t="s">
        <v>371</v>
      </c>
      <c r="B1696" s="9" t="s">
        <v>370</v>
      </c>
      <c r="C1696" s="10">
        <v>44383</v>
      </c>
      <c r="D1696" s="15">
        <v>1.003</v>
      </c>
      <c r="E1696" s="15">
        <v>1.003</v>
      </c>
      <c r="F1696" s="15">
        <v>1.003</v>
      </c>
      <c r="G1696" s="11">
        <v>0</v>
      </c>
      <c r="H1696" s="9">
        <f>MAX($F$1644:F1696)</f>
        <v>1.003</v>
      </c>
      <c r="I1696" s="11">
        <f t="shared" si="41"/>
        <v>0</v>
      </c>
      <c r="J1696" s="9"/>
      <c r="K1696" s="11"/>
      <c r="L1696" s="9"/>
      <c r="M1696" s="11"/>
      <c r="N1696" s="9" t="s">
        <v>812</v>
      </c>
    </row>
    <row r="1697" ht="25" customHeight="1" spans="1:14">
      <c r="A1697" s="9" t="s">
        <v>371</v>
      </c>
      <c r="B1697" s="9" t="s">
        <v>370</v>
      </c>
      <c r="C1697" s="10">
        <v>44384</v>
      </c>
      <c r="D1697" s="15">
        <v>1.003</v>
      </c>
      <c r="E1697" s="15">
        <v>1.003</v>
      </c>
      <c r="F1697" s="15">
        <v>1.003</v>
      </c>
      <c r="G1697" s="11">
        <v>0</v>
      </c>
      <c r="H1697" s="9">
        <f>MAX($F$1644:F1697)</f>
        <v>1.003</v>
      </c>
      <c r="I1697" s="11">
        <f t="shared" si="41"/>
        <v>0</v>
      </c>
      <c r="J1697" s="9"/>
      <c r="K1697" s="11"/>
      <c r="L1697" s="9"/>
      <c r="M1697" s="11"/>
      <c r="N1697" s="9" t="s">
        <v>812</v>
      </c>
    </row>
    <row r="1698" ht="25" customHeight="1" spans="1:14">
      <c r="A1698" s="9" t="s">
        <v>371</v>
      </c>
      <c r="B1698" s="9" t="s">
        <v>370</v>
      </c>
      <c r="C1698" s="10">
        <v>44385</v>
      </c>
      <c r="D1698" s="15">
        <v>1.003</v>
      </c>
      <c r="E1698" s="15">
        <v>1.003</v>
      </c>
      <c r="F1698" s="15">
        <v>1.003</v>
      </c>
      <c r="G1698" s="11">
        <v>0</v>
      </c>
      <c r="H1698" s="9">
        <f>MAX($F$1644:F1698)</f>
        <v>1.003</v>
      </c>
      <c r="I1698" s="11">
        <f t="shared" si="41"/>
        <v>0</v>
      </c>
      <c r="J1698" s="9"/>
      <c r="K1698" s="11"/>
      <c r="L1698" s="9"/>
      <c r="M1698" s="11"/>
      <c r="N1698" s="9" t="s">
        <v>812</v>
      </c>
    </row>
    <row r="1699" ht="25" customHeight="1" spans="1:14">
      <c r="A1699" s="9" t="s">
        <v>371</v>
      </c>
      <c r="B1699" s="9" t="s">
        <v>370</v>
      </c>
      <c r="C1699" s="10">
        <v>44386</v>
      </c>
      <c r="D1699" s="15">
        <v>1.003</v>
      </c>
      <c r="E1699" s="15">
        <v>1.003</v>
      </c>
      <c r="F1699" s="15">
        <v>1.003</v>
      </c>
      <c r="G1699" s="11">
        <v>0</v>
      </c>
      <c r="H1699" s="9">
        <f>MAX($F$1644:F1699)</f>
        <v>1.003</v>
      </c>
      <c r="I1699" s="11">
        <f t="shared" si="41"/>
        <v>0</v>
      </c>
      <c r="J1699" s="9"/>
      <c r="K1699" s="11"/>
      <c r="L1699" s="9"/>
      <c r="M1699" s="11"/>
      <c r="N1699" s="9" t="s">
        <v>812</v>
      </c>
    </row>
    <row r="1700" ht="25" customHeight="1" spans="1:14">
      <c r="A1700" s="9" t="s">
        <v>371</v>
      </c>
      <c r="B1700" s="9" t="s">
        <v>370</v>
      </c>
      <c r="C1700" s="10">
        <v>44389</v>
      </c>
      <c r="D1700" s="15">
        <v>1.003</v>
      </c>
      <c r="E1700" s="15">
        <v>1.003</v>
      </c>
      <c r="F1700" s="15">
        <v>1.003</v>
      </c>
      <c r="G1700" s="11">
        <v>0</v>
      </c>
      <c r="H1700" s="9">
        <f>MAX($F$1644:F1700)</f>
        <v>1.003</v>
      </c>
      <c r="I1700" s="11">
        <f t="shared" si="41"/>
        <v>0</v>
      </c>
      <c r="J1700" s="9"/>
      <c r="K1700" s="11"/>
      <c r="L1700" s="9"/>
      <c r="M1700" s="11"/>
      <c r="N1700" s="9" t="s">
        <v>812</v>
      </c>
    </row>
    <row r="1701" ht="25" customHeight="1" spans="1:14">
      <c r="A1701" s="9" t="s">
        <v>371</v>
      </c>
      <c r="B1701" s="9" t="s">
        <v>370</v>
      </c>
      <c r="C1701" s="10">
        <v>44390</v>
      </c>
      <c r="D1701" s="15">
        <v>1.003</v>
      </c>
      <c r="E1701" s="15">
        <v>1.003</v>
      </c>
      <c r="F1701" s="15">
        <v>1.003</v>
      </c>
      <c r="G1701" s="11">
        <v>0</v>
      </c>
      <c r="H1701" s="9">
        <f>MAX($F$1644:F1701)</f>
        <v>1.003</v>
      </c>
      <c r="I1701" s="11">
        <f t="shared" si="41"/>
        <v>0</v>
      </c>
      <c r="J1701" s="9"/>
      <c r="K1701" s="11"/>
      <c r="L1701" s="9"/>
      <c r="M1701" s="11"/>
      <c r="N1701" s="9" t="s">
        <v>812</v>
      </c>
    </row>
    <row r="1702" ht="25" customHeight="1" spans="1:14">
      <c r="A1702" s="9" t="s">
        <v>371</v>
      </c>
      <c r="B1702" s="9" t="s">
        <v>370</v>
      </c>
      <c r="C1702" s="10">
        <v>44391</v>
      </c>
      <c r="D1702" s="15">
        <v>1.003</v>
      </c>
      <c r="E1702" s="15">
        <v>1.003</v>
      </c>
      <c r="F1702" s="15">
        <v>1.003</v>
      </c>
      <c r="G1702" s="11">
        <v>0</v>
      </c>
      <c r="H1702" s="9">
        <f>MAX($F$1644:F1702)</f>
        <v>1.003</v>
      </c>
      <c r="I1702" s="11">
        <f t="shared" si="41"/>
        <v>0</v>
      </c>
      <c r="J1702" s="9"/>
      <c r="K1702" s="11"/>
      <c r="L1702" s="9"/>
      <c r="M1702" s="11"/>
      <c r="N1702" s="9" t="s">
        <v>812</v>
      </c>
    </row>
    <row r="1703" ht="25" customHeight="1" spans="1:14">
      <c r="A1703" s="9" t="s">
        <v>371</v>
      </c>
      <c r="B1703" s="9" t="s">
        <v>370</v>
      </c>
      <c r="C1703" s="10">
        <v>44392</v>
      </c>
      <c r="D1703" s="15">
        <v>1.003</v>
      </c>
      <c r="E1703" s="15">
        <v>1.003</v>
      </c>
      <c r="F1703" s="15">
        <v>1.003</v>
      </c>
      <c r="G1703" s="11">
        <v>0</v>
      </c>
      <c r="H1703" s="9">
        <f>MAX($F$1644:F1703)</f>
        <v>1.003</v>
      </c>
      <c r="I1703" s="11">
        <f t="shared" si="41"/>
        <v>0</v>
      </c>
      <c r="J1703" s="9"/>
      <c r="K1703" s="11"/>
      <c r="L1703" s="9"/>
      <c r="M1703" s="11"/>
      <c r="N1703" s="9" t="s">
        <v>812</v>
      </c>
    </row>
    <row r="1704" ht="25" customHeight="1" spans="1:14">
      <c r="A1704" s="9" t="s">
        <v>371</v>
      </c>
      <c r="B1704" s="9" t="s">
        <v>370</v>
      </c>
      <c r="C1704" s="10">
        <v>44393</v>
      </c>
      <c r="D1704" s="15">
        <v>1.003</v>
      </c>
      <c r="E1704" s="15">
        <v>1.003</v>
      </c>
      <c r="F1704" s="15">
        <v>1.003</v>
      </c>
      <c r="G1704" s="11">
        <v>0</v>
      </c>
      <c r="H1704" s="9">
        <f>MAX($F$1644:F1704)</f>
        <v>1.003</v>
      </c>
      <c r="I1704" s="11">
        <f t="shared" si="41"/>
        <v>0</v>
      </c>
      <c r="J1704" s="9"/>
      <c r="K1704" s="11"/>
      <c r="L1704" s="9"/>
      <c r="M1704" s="11"/>
      <c r="N1704" s="9" t="s">
        <v>812</v>
      </c>
    </row>
    <row r="1705" ht="25" customHeight="1" spans="1:14">
      <c r="A1705" s="9" t="s">
        <v>371</v>
      </c>
      <c r="B1705" s="9" t="s">
        <v>370</v>
      </c>
      <c r="C1705" s="10">
        <v>44396</v>
      </c>
      <c r="D1705" s="15">
        <v>1.004</v>
      </c>
      <c r="E1705" s="15">
        <v>1.004</v>
      </c>
      <c r="F1705" s="15">
        <v>1.004</v>
      </c>
      <c r="G1705" s="11">
        <v>0.001</v>
      </c>
      <c r="H1705" s="9">
        <f>MAX($F$1644:F1705)</f>
        <v>1.004</v>
      </c>
      <c r="I1705" s="11">
        <f t="shared" si="41"/>
        <v>0</v>
      </c>
      <c r="J1705" s="9"/>
      <c r="K1705" s="11"/>
      <c r="L1705" s="9"/>
      <c r="M1705" s="11"/>
      <c r="N1705" s="9" t="s">
        <v>812</v>
      </c>
    </row>
    <row r="1706" ht="25" customHeight="1" spans="1:14">
      <c r="A1706" s="9" t="s">
        <v>371</v>
      </c>
      <c r="B1706" s="9" t="s">
        <v>370</v>
      </c>
      <c r="C1706" s="10">
        <v>44397</v>
      </c>
      <c r="D1706" s="15">
        <v>1.004</v>
      </c>
      <c r="E1706" s="15">
        <v>1.004</v>
      </c>
      <c r="F1706" s="15">
        <v>1.004</v>
      </c>
      <c r="G1706" s="11">
        <v>0</v>
      </c>
      <c r="H1706" s="9">
        <f>MAX($F$1644:F1706)</f>
        <v>1.004</v>
      </c>
      <c r="I1706" s="11">
        <f t="shared" si="41"/>
        <v>0</v>
      </c>
      <c r="J1706" s="9"/>
      <c r="K1706" s="11"/>
      <c r="L1706" s="9"/>
      <c r="M1706" s="11"/>
      <c r="N1706" s="9" t="s">
        <v>812</v>
      </c>
    </row>
    <row r="1707" ht="25" customHeight="1" spans="1:14">
      <c r="A1707" s="9" t="s">
        <v>371</v>
      </c>
      <c r="B1707" s="9" t="s">
        <v>370</v>
      </c>
      <c r="C1707" s="10">
        <v>44398</v>
      </c>
      <c r="D1707" s="15">
        <v>1.004</v>
      </c>
      <c r="E1707" s="15">
        <v>1.004</v>
      </c>
      <c r="F1707" s="15">
        <v>1.004</v>
      </c>
      <c r="G1707" s="11">
        <v>0</v>
      </c>
      <c r="H1707" s="9">
        <f>MAX($F$1644:F1707)</f>
        <v>1.004</v>
      </c>
      <c r="I1707" s="11">
        <f t="shared" si="41"/>
        <v>0</v>
      </c>
      <c r="J1707" s="9"/>
      <c r="K1707" s="11"/>
      <c r="L1707" s="9"/>
      <c r="M1707" s="11"/>
      <c r="N1707" s="9" t="s">
        <v>812</v>
      </c>
    </row>
    <row r="1708" ht="25" customHeight="1" spans="1:14">
      <c r="A1708" s="9" t="s">
        <v>371</v>
      </c>
      <c r="B1708" s="9" t="s">
        <v>370</v>
      </c>
      <c r="C1708" s="10">
        <v>44399</v>
      </c>
      <c r="D1708" s="15">
        <v>1.004</v>
      </c>
      <c r="E1708" s="15">
        <v>1.004</v>
      </c>
      <c r="F1708" s="15">
        <v>1.004</v>
      </c>
      <c r="G1708" s="11">
        <v>0</v>
      </c>
      <c r="H1708" s="9">
        <f>MAX($F$1644:F1708)</f>
        <v>1.004</v>
      </c>
      <c r="I1708" s="11">
        <f t="shared" si="41"/>
        <v>0</v>
      </c>
      <c r="J1708" s="9"/>
      <c r="K1708" s="11"/>
      <c r="L1708" s="9"/>
      <c r="M1708" s="11"/>
      <c r="N1708" s="9" t="s">
        <v>812</v>
      </c>
    </row>
    <row r="1709" ht="25" customHeight="1" spans="1:14">
      <c r="A1709" s="9" t="s">
        <v>371</v>
      </c>
      <c r="B1709" s="9" t="s">
        <v>370</v>
      </c>
      <c r="C1709" s="10">
        <v>44400</v>
      </c>
      <c r="D1709" s="15">
        <v>1.004</v>
      </c>
      <c r="E1709" s="15">
        <v>1.004</v>
      </c>
      <c r="F1709" s="15">
        <v>1.004</v>
      </c>
      <c r="G1709" s="11">
        <v>0</v>
      </c>
      <c r="H1709" s="9">
        <f>MAX($F$1644:F1709)</f>
        <v>1.004</v>
      </c>
      <c r="I1709" s="11">
        <f t="shared" si="41"/>
        <v>0</v>
      </c>
      <c r="J1709" s="9"/>
      <c r="K1709" s="11"/>
      <c r="L1709" s="9"/>
      <c r="M1709" s="11"/>
      <c r="N1709" s="9" t="s">
        <v>812</v>
      </c>
    </row>
    <row r="1710" ht="25" customHeight="1" spans="1:14">
      <c r="A1710" s="9" t="s">
        <v>371</v>
      </c>
      <c r="B1710" s="9" t="s">
        <v>370</v>
      </c>
      <c r="C1710" s="10">
        <v>44403</v>
      </c>
      <c r="D1710" s="15">
        <v>1.004</v>
      </c>
      <c r="E1710" s="15">
        <v>1.004</v>
      </c>
      <c r="F1710" s="15">
        <v>1.004</v>
      </c>
      <c r="G1710" s="11">
        <v>0</v>
      </c>
      <c r="H1710" s="9">
        <f>MAX($F$1644:F1710)</f>
        <v>1.004</v>
      </c>
      <c r="I1710" s="11">
        <f t="shared" si="41"/>
        <v>0</v>
      </c>
      <c r="J1710" s="9"/>
      <c r="K1710" s="11"/>
      <c r="L1710" s="9"/>
      <c r="M1710" s="11"/>
      <c r="N1710" s="9" t="s">
        <v>812</v>
      </c>
    </row>
    <row r="1711" ht="25" customHeight="1" spans="1:14">
      <c r="A1711" s="9" t="s">
        <v>371</v>
      </c>
      <c r="B1711" s="9" t="s">
        <v>370</v>
      </c>
      <c r="C1711" s="10">
        <v>44404</v>
      </c>
      <c r="D1711" s="15">
        <v>1.004</v>
      </c>
      <c r="E1711" s="15">
        <v>1.004</v>
      </c>
      <c r="F1711" s="15">
        <v>1.004</v>
      </c>
      <c r="G1711" s="11">
        <v>0</v>
      </c>
      <c r="H1711" s="9">
        <f>MAX($F$1644:F1711)</f>
        <v>1.004</v>
      </c>
      <c r="I1711" s="11">
        <f t="shared" si="41"/>
        <v>0</v>
      </c>
      <c r="J1711" s="9"/>
      <c r="K1711" s="11"/>
      <c r="L1711" s="9"/>
      <c r="M1711" s="11"/>
      <c r="N1711" s="9" t="s">
        <v>812</v>
      </c>
    </row>
    <row r="1712" ht="25" customHeight="1" spans="1:14">
      <c r="A1712" s="9" t="s">
        <v>371</v>
      </c>
      <c r="B1712" s="9" t="s">
        <v>370</v>
      </c>
      <c r="C1712" s="10">
        <v>44405</v>
      </c>
      <c r="D1712" s="15">
        <v>1.004</v>
      </c>
      <c r="E1712" s="15">
        <v>1.004</v>
      </c>
      <c r="F1712" s="15">
        <v>1.004</v>
      </c>
      <c r="G1712" s="11">
        <v>0</v>
      </c>
      <c r="H1712" s="9">
        <f>MAX($F$1644:F1712)</f>
        <v>1.004</v>
      </c>
      <c r="I1712" s="11">
        <f t="shared" si="41"/>
        <v>0</v>
      </c>
      <c r="J1712" s="9"/>
      <c r="K1712" s="11"/>
      <c r="L1712" s="9"/>
      <c r="M1712" s="11"/>
      <c r="N1712" s="9" t="s">
        <v>812</v>
      </c>
    </row>
    <row r="1713" ht="25" customHeight="1" spans="1:14">
      <c r="A1713" s="9" t="s">
        <v>371</v>
      </c>
      <c r="B1713" s="9" t="s">
        <v>370</v>
      </c>
      <c r="C1713" s="10">
        <v>44406</v>
      </c>
      <c r="D1713" s="15">
        <v>1.004</v>
      </c>
      <c r="E1713" s="15">
        <v>1.004</v>
      </c>
      <c r="F1713" s="15">
        <v>1.004</v>
      </c>
      <c r="G1713" s="11">
        <v>0</v>
      </c>
      <c r="H1713" s="9">
        <f>MAX($F$1644:F1713)</f>
        <v>1.004</v>
      </c>
      <c r="I1713" s="11">
        <f t="shared" si="41"/>
        <v>0</v>
      </c>
      <c r="J1713" s="9"/>
      <c r="K1713" s="11"/>
      <c r="L1713" s="9"/>
      <c r="M1713" s="11"/>
      <c r="N1713" s="9" t="s">
        <v>812</v>
      </c>
    </row>
    <row r="1714" ht="25" customHeight="1" spans="1:14">
      <c r="A1714" s="9" t="s">
        <v>371</v>
      </c>
      <c r="B1714" s="9" t="s">
        <v>370</v>
      </c>
      <c r="C1714" s="10">
        <v>44407</v>
      </c>
      <c r="D1714" s="15">
        <v>1.004</v>
      </c>
      <c r="E1714" s="15">
        <v>1.004</v>
      </c>
      <c r="F1714" s="15">
        <v>1.004</v>
      </c>
      <c r="G1714" s="11">
        <v>0</v>
      </c>
      <c r="H1714" s="9">
        <f>MAX($F$1644:F1714)</f>
        <v>1.004</v>
      </c>
      <c r="I1714" s="11">
        <f t="shared" si="41"/>
        <v>0</v>
      </c>
      <c r="J1714" s="9"/>
      <c r="K1714" s="11"/>
      <c r="L1714" s="9"/>
      <c r="M1714" s="11"/>
      <c r="N1714" s="9" t="s">
        <v>812</v>
      </c>
    </row>
    <row r="1715" ht="25" customHeight="1" spans="1:14">
      <c r="A1715" s="9" t="s">
        <v>371</v>
      </c>
      <c r="B1715" s="9" t="s">
        <v>370</v>
      </c>
      <c r="C1715" s="10">
        <v>44410</v>
      </c>
      <c r="D1715" s="15">
        <v>1.004</v>
      </c>
      <c r="E1715" s="15">
        <v>1.004</v>
      </c>
      <c r="F1715" s="15">
        <v>1.004</v>
      </c>
      <c r="G1715" s="11">
        <v>0</v>
      </c>
      <c r="H1715" s="9">
        <f>MAX($F$1644:F1715)</f>
        <v>1.004</v>
      </c>
      <c r="I1715" s="11">
        <f t="shared" si="41"/>
        <v>0</v>
      </c>
      <c r="J1715" s="9"/>
      <c r="K1715" s="11"/>
      <c r="L1715" s="9"/>
      <c r="M1715" s="11"/>
      <c r="N1715" s="9" t="s">
        <v>812</v>
      </c>
    </row>
    <row r="1716" ht="25" customHeight="1" spans="1:14">
      <c r="A1716" s="9" t="s">
        <v>371</v>
      </c>
      <c r="B1716" s="9" t="s">
        <v>370</v>
      </c>
      <c r="C1716" s="10">
        <v>44411</v>
      </c>
      <c r="D1716" s="15">
        <v>1.004</v>
      </c>
      <c r="E1716" s="15">
        <v>1.004</v>
      </c>
      <c r="F1716" s="15">
        <v>1.004</v>
      </c>
      <c r="G1716" s="11">
        <v>0</v>
      </c>
      <c r="H1716" s="9">
        <f>MAX($F$1644:F1716)</f>
        <v>1.004</v>
      </c>
      <c r="I1716" s="11">
        <f t="shared" si="41"/>
        <v>0</v>
      </c>
      <c r="J1716" s="9"/>
      <c r="K1716" s="11"/>
      <c r="L1716" s="9"/>
      <c r="M1716" s="11"/>
      <c r="N1716" s="9" t="s">
        <v>812</v>
      </c>
    </row>
    <row r="1717" ht="25" customHeight="1" spans="1:14">
      <c r="A1717" s="9" t="s">
        <v>371</v>
      </c>
      <c r="B1717" s="9" t="s">
        <v>370</v>
      </c>
      <c r="C1717" s="10">
        <v>44412</v>
      </c>
      <c r="D1717" s="15">
        <v>1.004</v>
      </c>
      <c r="E1717" s="15">
        <v>1.004</v>
      </c>
      <c r="F1717" s="15">
        <v>1.004</v>
      </c>
      <c r="G1717" s="11">
        <v>0</v>
      </c>
      <c r="H1717" s="9">
        <f>MAX($F$1644:F1717)</f>
        <v>1.004</v>
      </c>
      <c r="I1717" s="11">
        <f t="shared" si="41"/>
        <v>0</v>
      </c>
      <c r="J1717" s="9"/>
      <c r="K1717" s="11"/>
      <c r="L1717" s="9"/>
      <c r="M1717" s="11"/>
      <c r="N1717" s="9" t="s">
        <v>812</v>
      </c>
    </row>
    <row r="1718" ht="25" customHeight="1" spans="1:14">
      <c r="A1718" s="9" t="s">
        <v>371</v>
      </c>
      <c r="B1718" s="9" t="s">
        <v>370</v>
      </c>
      <c r="C1718" s="10">
        <v>44413</v>
      </c>
      <c r="D1718" s="15">
        <v>1.004</v>
      </c>
      <c r="E1718" s="15">
        <v>1.004</v>
      </c>
      <c r="F1718" s="15">
        <v>1.004</v>
      </c>
      <c r="G1718" s="11">
        <v>0</v>
      </c>
      <c r="H1718" s="9">
        <f>MAX($F$1644:F1718)</f>
        <v>1.004</v>
      </c>
      <c r="I1718" s="11">
        <f t="shared" si="41"/>
        <v>0</v>
      </c>
      <c r="J1718" s="9"/>
      <c r="K1718" s="11"/>
      <c r="L1718" s="9"/>
      <c r="M1718" s="11"/>
      <c r="N1718" s="9" t="s">
        <v>812</v>
      </c>
    </row>
    <row r="1719" ht="25" customHeight="1" spans="1:14">
      <c r="A1719" s="9" t="s">
        <v>371</v>
      </c>
      <c r="B1719" s="9" t="s">
        <v>370</v>
      </c>
      <c r="C1719" s="10">
        <v>44414</v>
      </c>
      <c r="D1719" s="15">
        <v>1.004</v>
      </c>
      <c r="E1719" s="15">
        <v>1.004</v>
      </c>
      <c r="F1719" s="15">
        <v>1.004</v>
      </c>
      <c r="G1719" s="11">
        <v>0</v>
      </c>
      <c r="H1719" s="9">
        <f>MAX($F$1644:F1719)</f>
        <v>1.004</v>
      </c>
      <c r="I1719" s="11">
        <f t="shared" si="41"/>
        <v>0</v>
      </c>
      <c r="J1719" s="9"/>
      <c r="K1719" s="11"/>
      <c r="L1719" s="9"/>
      <c r="M1719" s="11"/>
      <c r="N1719" s="9" t="s">
        <v>812</v>
      </c>
    </row>
    <row r="1720" ht="25" customHeight="1" spans="1:14">
      <c r="A1720" s="9" t="s">
        <v>371</v>
      </c>
      <c r="B1720" s="9" t="s">
        <v>370</v>
      </c>
      <c r="C1720" s="10">
        <v>44417</v>
      </c>
      <c r="D1720" s="15">
        <v>1.004</v>
      </c>
      <c r="E1720" s="15">
        <v>1.004</v>
      </c>
      <c r="F1720" s="15">
        <v>1.004</v>
      </c>
      <c r="G1720" s="11">
        <v>0</v>
      </c>
      <c r="H1720" s="9">
        <f>MAX($F$1644:F1720)</f>
        <v>1.004</v>
      </c>
      <c r="I1720" s="11">
        <f t="shared" si="41"/>
        <v>0</v>
      </c>
      <c r="J1720" s="9"/>
      <c r="K1720" s="11"/>
      <c r="L1720" s="9"/>
      <c r="M1720" s="11"/>
      <c r="N1720" s="9" t="s">
        <v>812</v>
      </c>
    </row>
    <row r="1721" ht="25" customHeight="1" spans="1:14">
      <c r="A1721" s="9" t="s">
        <v>371</v>
      </c>
      <c r="B1721" s="9" t="s">
        <v>370</v>
      </c>
      <c r="C1721" s="10">
        <v>44418</v>
      </c>
      <c r="D1721" s="15">
        <v>1.004</v>
      </c>
      <c r="E1721" s="15">
        <v>1.004</v>
      </c>
      <c r="F1721" s="15">
        <v>1.004</v>
      </c>
      <c r="G1721" s="11">
        <v>0</v>
      </c>
      <c r="H1721" s="9">
        <f>MAX($F$1644:F1721)</f>
        <v>1.004</v>
      </c>
      <c r="I1721" s="11">
        <f t="shared" si="41"/>
        <v>0</v>
      </c>
      <c r="J1721" s="9"/>
      <c r="K1721" s="11"/>
      <c r="L1721" s="9"/>
      <c r="M1721" s="11"/>
      <c r="N1721" s="9" t="s">
        <v>812</v>
      </c>
    </row>
    <row r="1722" ht="25" customHeight="1" spans="1:14">
      <c r="A1722" s="9" t="s">
        <v>371</v>
      </c>
      <c r="B1722" s="9" t="s">
        <v>370</v>
      </c>
      <c r="C1722" s="10">
        <v>44419</v>
      </c>
      <c r="D1722" s="15">
        <v>1.004</v>
      </c>
      <c r="E1722" s="15">
        <v>1.004</v>
      </c>
      <c r="F1722" s="15">
        <v>1.004</v>
      </c>
      <c r="G1722" s="11">
        <v>0</v>
      </c>
      <c r="H1722" s="9">
        <f>MAX($F$1644:F1722)</f>
        <v>1.004</v>
      </c>
      <c r="I1722" s="11">
        <f t="shared" si="41"/>
        <v>0</v>
      </c>
      <c r="J1722" s="9"/>
      <c r="K1722" s="11"/>
      <c r="L1722" s="9"/>
      <c r="M1722" s="11"/>
      <c r="N1722" s="9" t="s">
        <v>812</v>
      </c>
    </row>
    <row r="1723" ht="25" customHeight="1" spans="1:14">
      <c r="A1723" s="9" t="s">
        <v>371</v>
      </c>
      <c r="B1723" s="9" t="s">
        <v>370</v>
      </c>
      <c r="C1723" s="10">
        <v>44420</v>
      </c>
      <c r="D1723" s="15">
        <v>1.004</v>
      </c>
      <c r="E1723" s="15">
        <v>1.004</v>
      </c>
      <c r="F1723" s="15">
        <v>1.004</v>
      </c>
      <c r="G1723" s="11">
        <v>0</v>
      </c>
      <c r="H1723" s="9">
        <f>MAX($F$1644:F1723)</f>
        <v>1.004</v>
      </c>
      <c r="I1723" s="11">
        <f t="shared" si="41"/>
        <v>0</v>
      </c>
      <c r="J1723" s="9"/>
      <c r="K1723" s="11"/>
      <c r="L1723" s="9"/>
      <c r="M1723" s="11"/>
      <c r="N1723" s="9" t="s">
        <v>812</v>
      </c>
    </row>
    <row r="1724" ht="25" customHeight="1" spans="1:14">
      <c r="A1724" s="9" t="s">
        <v>371</v>
      </c>
      <c r="B1724" s="9" t="s">
        <v>370</v>
      </c>
      <c r="C1724" s="10">
        <v>44421</v>
      </c>
      <c r="D1724" s="15">
        <v>1.003</v>
      </c>
      <c r="E1724" s="15">
        <v>1.003</v>
      </c>
      <c r="F1724" s="15">
        <v>1.003</v>
      </c>
      <c r="G1724" s="11">
        <v>-0.001</v>
      </c>
      <c r="H1724" s="9">
        <f>MAX($F$1644:F1724)</f>
        <v>1.004</v>
      </c>
      <c r="I1724" s="11">
        <f t="shared" si="41"/>
        <v>0.00099601593625509</v>
      </c>
      <c r="J1724" s="9"/>
      <c r="K1724" s="11"/>
      <c r="L1724" s="9"/>
      <c r="M1724" s="11"/>
      <c r="N1724" s="9" t="s">
        <v>812</v>
      </c>
    </row>
    <row r="1725" ht="25" customHeight="1" spans="1:14">
      <c r="A1725" s="9" t="s">
        <v>371</v>
      </c>
      <c r="B1725" s="9" t="s">
        <v>370</v>
      </c>
      <c r="C1725" s="10">
        <v>44424</v>
      </c>
      <c r="D1725" s="15">
        <v>1.004</v>
      </c>
      <c r="E1725" s="15">
        <v>1.004</v>
      </c>
      <c r="F1725" s="15">
        <v>1.004</v>
      </c>
      <c r="G1725" s="11">
        <v>0.001</v>
      </c>
      <c r="H1725" s="9">
        <f>MAX($F$1644:F1725)</f>
        <v>1.004</v>
      </c>
      <c r="I1725" s="11">
        <f t="shared" si="41"/>
        <v>0</v>
      </c>
      <c r="J1725" s="9"/>
      <c r="K1725" s="11"/>
      <c r="L1725" s="9"/>
      <c r="M1725" s="11"/>
      <c r="N1725" s="9" t="s">
        <v>812</v>
      </c>
    </row>
    <row r="1726" ht="25" customHeight="1" spans="1:14">
      <c r="A1726" s="9" t="s">
        <v>371</v>
      </c>
      <c r="B1726" s="9" t="s">
        <v>370</v>
      </c>
      <c r="C1726" s="10">
        <v>44425</v>
      </c>
      <c r="D1726" s="15">
        <v>1.005</v>
      </c>
      <c r="E1726" s="15">
        <v>1.005</v>
      </c>
      <c r="F1726" s="15">
        <v>1.005</v>
      </c>
      <c r="G1726" s="11">
        <v>0.001</v>
      </c>
      <c r="H1726" s="9">
        <f>MAX($F$1644:F1726)</f>
        <v>1.005</v>
      </c>
      <c r="I1726" s="11">
        <f t="shared" si="41"/>
        <v>0</v>
      </c>
      <c r="J1726" s="9"/>
      <c r="K1726" s="11"/>
      <c r="L1726" s="9"/>
      <c r="M1726" s="11"/>
      <c r="N1726" s="9" t="s">
        <v>812</v>
      </c>
    </row>
    <row r="1727" ht="25" customHeight="1" spans="1:14">
      <c r="A1727" s="9" t="s">
        <v>371</v>
      </c>
      <c r="B1727" s="9" t="s">
        <v>370</v>
      </c>
      <c r="C1727" s="10">
        <v>44426</v>
      </c>
      <c r="D1727" s="15">
        <v>1.005</v>
      </c>
      <c r="E1727" s="15">
        <v>1.005</v>
      </c>
      <c r="F1727" s="15">
        <v>1.005</v>
      </c>
      <c r="G1727" s="11">
        <v>0</v>
      </c>
      <c r="H1727" s="9">
        <f>MAX($F$1644:F1727)</f>
        <v>1.005</v>
      </c>
      <c r="I1727" s="11">
        <f t="shared" si="41"/>
        <v>0</v>
      </c>
      <c r="J1727" s="9"/>
      <c r="K1727" s="11"/>
      <c r="L1727" s="9"/>
      <c r="M1727" s="11"/>
      <c r="N1727" s="9" t="s">
        <v>812</v>
      </c>
    </row>
    <row r="1728" ht="25" customHeight="1" spans="1:14">
      <c r="A1728" s="9" t="s">
        <v>371</v>
      </c>
      <c r="B1728" s="9" t="s">
        <v>370</v>
      </c>
      <c r="C1728" s="10">
        <v>44427</v>
      </c>
      <c r="D1728" s="15">
        <v>1.005</v>
      </c>
      <c r="E1728" s="15">
        <v>1.005</v>
      </c>
      <c r="F1728" s="15">
        <v>1.005</v>
      </c>
      <c r="G1728" s="11">
        <v>0</v>
      </c>
      <c r="H1728" s="9">
        <f>MAX($F$1644:F1728)</f>
        <v>1.005</v>
      </c>
      <c r="I1728" s="11">
        <f t="shared" si="41"/>
        <v>0</v>
      </c>
      <c r="J1728" s="9"/>
      <c r="K1728" s="11"/>
      <c r="L1728" s="9"/>
      <c r="M1728" s="11"/>
      <c r="N1728" s="9" t="s">
        <v>812</v>
      </c>
    </row>
    <row r="1729" ht="25" customHeight="1" spans="1:14">
      <c r="A1729" s="9" t="s">
        <v>371</v>
      </c>
      <c r="B1729" s="9" t="s">
        <v>370</v>
      </c>
      <c r="C1729" s="10">
        <v>44428</v>
      </c>
      <c r="D1729" s="15">
        <v>1.003</v>
      </c>
      <c r="E1729" s="15">
        <v>1.003</v>
      </c>
      <c r="F1729" s="15">
        <v>1.003</v>
      </c>
      <c r="G1729" s="11">
        <v>-0.002</v>
      </c>
      <c r="H1729" s="9">
        <f>MAX($F$1644:F1729)</f>
        <v>1.005</v>
      </c>
      <c r="I1729" s="11">
        <f t="shared" si="41"/>
        <v>0.00199004975124373</v>
      </c>
      <c r="J1729" s="9"/>
      <c r="K1729" s="11"/>
      <c r="L1729" s="9"/>
      <c r="M1729" s="11"/>
      <c r="N1729" s="9" t="s">
        <v>812</v>
      </c>
    </row>
    <row r="1730" ht="25" customHeight="1" spans="1:14">
      <c r="A1730" s="9" t="s">
        <v>371</v>
      </c>
      <c r="B1730" s="9" t="s">
        <v>370</v>
      </c>
      <c r="C1730" s="10">
        <v>44431</v>
      </c>
      <c r="D1730" s="15">
        <v>1.006</v>
      </c>
      <c r="E1730" s="15">
        <v>1.006</v>
      </c>
      <c r="F1730" s="15">
        <v>1.006</v>
      </c>
      <c r="G1730" s="11">
        <v>0.003</v>
      </c>
      <c r="H1730" s="9">
        <f>MAX($F$1644:F1730)</f>
        <v>1.006</v>
      </c>
      <c r="I1730" s="11">
        <f t="shared" ref="I1730:I1793" si="42">1-F1730/H1730</f>
        <v>0</v>
      </c>
      <c r="J1730" s="9"/>
      <c r="K1730" s="11"/>
      <c r="L1730" s="9"/>
      <c r="M1730" s="11"/>
      <c r="N1730" s="9" t="s">
        <v>812</v>
      </c>
    </row>
    <row r="1731" ht="25" customHeight="1" spans="1:14">
      <c r="A1731" s="9" t="s">
        <v>371</v>
      </c>
      <c r="B1731" s="9" t="s">
        <v>370</v>
      </c>
      <c r="C1731" s="10">
        <v>44432</v>
      </c>
      <c r="D1731" s="15">
        <v>1.007</v>
      </c>
      <c r="E1731" s="15">
        <v>1.007</v>
      </c>
      <c r="F1731" s="15">
        <v>1.007</v>
      </c>
      <c r="G1731" s="11">
        <v>0.001</v>
      </c>
      <c r="H1731" s="9">
        <f>MAX($F$1644:F1731)</f>
        <v>1.007</v>
      </c>
      <c r="I1731" s="11">
        <f t="shared" si="42"/>
        <v>0</v>
      </c>
      <c r="J1731" s="9"/>
      <c r="K1731" s="11"/>
      <c r="L1731" s="9"/>
      <c r="M1731" s="11"/>
      <c r="N1731" s="9" t="s">
        <v>812</v>
      </c>
    </row>
    <row r="1732" ht="25" customHeight="1" spans="1:14">
      <c r="A1732" s="9" t="s">
        <v>371</v>
      </c>
      <c r="B1732" s="9" t="s">
        <v>370</v>
      </c>
      <c r="C1732" s="10">
        <v>44433</v>
      </c>
      <c r="D1732" s="15">
        <v>1.007</v>
      </c>
      <c r="E1732" s="15">
        <v>1.007</v>
      </c>
      <c r="F1732" s="15">
        <v>1.007</v>
      </c>
      <c r="G1732" s="11">
        <v>0</v>
      </c>
      <c r="H1732" s="9">
        <f>MAX($F$1644:F1732)</f>
        <v>1.007</v>
      </c>
      <c r="I1732" s="11">
        <f t="shared" si="42"/>
        <v>0</v>
      </c>
      <c r="J1732" s="9"/>
      <c r="K1732" s="11"/>
      <c r="L1732" s="9"/>
      <c r="M1732" s="11"/>
      <c r="N1732" s="9" t="s">
        <v>812</v>
      </c>
    </row>
    <row r="1733" ht="25" customHeight="1" spans="1:14">
      <c r="A1733" s="9" t="s">
        <v>371</v>
      </c>
      <c r="B1733" s="9" t="s">
        <v>370</v>
      </c>
      <c r="C1733" s="10">
        <v>44434</v>
      </c>
      <c r="D1733" s="15">
        <v>1.008</v>
      </c>
      <c r="E1733" s="15">
        <v>1.008</v>
      </c>
      <c r="F1733" s="15">
        <v>1.008</v>
      </c>
      <c r="G1733" s="11">
        <v>0.001</v>
      </c>
      <c r="H1733" s="9">
        <f>MAX($F$1644:F1733)</f>
        <v>1.008</v>
      </c>
      <c r="I1733" s="11">
        <f t="shared" si="42"/>
        <v>0</v>
      </c>
      <c r="J1733" s="9"/>
      <c r="K1733" s="11"/>
      <c r="L1733" s="9"/>
      <c r="M1733" s="11"/>
      <c r="N1733" s="9" t="s">
        <v>812</v>
      </c>
    </row>
    <row r="1734" ht="25" customHeight="1" spans="1:14">
      <c r="A1734" s="9" t="s">
        <v>371</v>
      </c>
      <c r="B1734" s="9" t="s">
        <v>370</v>
      </c>
      <c r="C1734" s="10">
        <v>44435</v>
      </c>
      <c r="D1734" s="15">
        <v>1.008</v>
      </c>
      <c r="E1734" s="15">
        <v>1.008</v>
      </c>
      <c r="F1734" s="15">
        <v>1.008</v>
      </c>
      <c r="G1734" s="11">
        <v>0</v>
      </c>
      <c r="H1734" s="9">
        <f>MAX($F$1644:F1734)</f>
        <v>1.008</v>
      </c>
      <c r="I1734" s="11">
        <f t="shared" si="42"/>
        <v>0</v>
      </c>
      <c r="J1734" s="9"/>
      <c r="K1734" s="11"/>
      <c r="L1734" s="9"/>
      <c r="M1734" s="11"/>
      <c r="N1734" s="9" t="s">
        <v>812</v>
      </c>
    </row>
    <row r="1735" ht="25" customHeight="1" spans="1:14">
      <c r="A1735" s="9" t="s">
        <v>371</v>
      </c>
      <c r="B1735" s="9" t="s">
        <v>370</v>
      </c>
      <c r="C1735" s="10">
        <v>44438</v>
      </c>
      <c r="D1735" s="15">
        <v>1.011</v>
      </c>
      <c r="E1735" s="15">
        <v>1.011</v>
      </c>
      <c r="F1735" s="15">
        <v>1.011</v>
      </c>
      <c r="G1735" s="11">
        <v>0.003</v>
      </c>
      <c r="H1735" s="9">
        <f>MAX($F$1644:F1735)</f>
        <v>1.011</v>
      </c>
      <c r="I1735" s="11">
        <f t="shared" si="42"/>
        <v>0</v>
      </c>
      <c r="J1735" s="9"/>
      <c r="K1735" s="11"/>
      <c r="L1735" s="9"/>
      <c r="M1735" s="11"/>
      <c r="N1735" s="9" t="s">
        <v>812</v>
      </c>
    </row>
    <row r="1736" ht="25" customHeight="1" spans="1:14">
      <c r="A1736" s="9" t="s">
        <v>371</v>
      </c>
      <c r="B1736" s="9" t="s">
        <v>370</v>
      </c>
      <c r="C1736" s="10">
        <v>44439</v>
      </c>
      <c r="D1736" s="15">
        <v>1.008</v>
      </c>
      <c r="E1736" s="15">
        <v>1.008</v>
      </c>
      <c r="F1736" s="15">
        <v>1.008</v>
      </c>
      <c r="G1736" s="11">
        <v>-0.003</v>
      </c>
      <c r="H1736" s="9">
        <f>MAX($F$1644:F1736)</f>
        <v>1.011</v>
      </c>
      <c r="I1736" s="11">
        <f t="shared" si="42"/>
        <v>0.00296735905044498</v>
      </c>
      <c r="J1736" s="9"/>
      <c r="K1736" s="11"/>
      <c r="L1736" s="9"/>
      <c r="M1736" s="11"/>
      <c r="N1736" s="9" t="s">
        <v>812</v>
      </c>
    </row>
    <row r="1737" ht="25" customHeight="1" spans="1:14">
      <c r="A1737" s="9" t="s">
        <v>371</v>
      </c>
      <c r="B1737" s="9" t="s">
        <v>370</v>
      </c>
      <c r="C1737" s="10">
        <v>44440</v>
      </c>
      <c r="D1737" s="15">
        <v>1.011</v>
      </c>
      <c r="E1737" s="15">
        <v>1.011</v>
      </c>
      <c r="F1737" s="15">
        <v>1.011</v>
      </c>
      <c r="G1737" s="11">
        <v>0.003</v>
      </c>
      <c r="H1737" s="9">
        <f>MAX($F$1644:F1737)</f>
        <v>1.011</v>
      </c>
      <c r="I1737" s="11">
        <f t="shared" si="42"/>
        <v>0</v>
      </c>
      <c r="J1737" s="9"/>
      <c r="K1737" s="11"/>
      <c r="L1737" s="9"/>
      <c r="M1737" s="11"/>
      <c r="N1737" s="9" t="s">
        <v>812</v>
      </c>
    </row>
    <row r="1738" ht="25" customHeight="1" spans="1:14">
      <c r="A1738" s="9" t="s">
        <v>371</v>
      </c>
      <c r="B1738" s="9" t="s">
        <v>370</v>
      </c>
      <c r="C1738" s="10">
        <v>44441</v>
      </c>
      <c r="D1738" s="15">
        <v>1.011</v>
      </c>
      <c r="E1738" s="15">
        <v>1.011</v>
      </c>
      <c r="F1738" s="15">
        <v>1.011</v>
      </c>
      <c r="G1738" s="11">
        <v>0</v>
      </c>
      <c r="H1738" s="9">
        <f>MAX($F$1644:F1738)</f>
        <v>1.011</v>
      </c>
      <c r="I1738" s="11">
        <f t="shared" si="42"/>
        <v>0</v>
      </c>
      <c r="J1738" s="9"/>
      <c r="K1738" s="11"/>
      <c r="L1738" s="9"/>
      <c r="M1738" s="11"/>
      <c r="N1738" s="9" t="s">
        <v>812</v>
      </c>
    </row>
    <row r="1739" ht="25" customHeight="1" spans="1:14">
      <c r="A1739" s="9" t="s">
        <v>371</v>
      </c>
      <c r="B1739" s="9" t="s">
        <v>370</v>
      </c>
      <c r="C1739" s="10">
        <v>44442</v>
      </c>
      <c r="D1739" s="15">
        <v>1.01</v>
      </c>
      <c r="E1739" s="15">
        <v>1.01</v>
      </c>
      <c r="F1739" s="15">
        <v>1.01</v>
      </c>
      <c r="G1739" s="11">
        <v>-0.001</v>
      </c>
      <c r="H1739" s="9">
        <f>MAX($F$1644:F1739)</f>
        <v>1.011</v>
      </c>
      <c r="I1739" s="11">
        <f t="shared" si="42"/>
        <v>0.000989119683481587</v>
      </c>
      <c r="J1739" s="9"/>
      <c r="K1739" s="11"/>
      <c r="L1739" s="9"/>
      <c r="M1739" s="11"/>
      <c r="N1739" s="9" t="s">
        <v>812</v>
      </c>
    </row>
    <row r="1740" ht="25" customHeight="1" spans="1:14">
      <c r="A1740" s="9" t="s">
        <v>371</v>
      </c>
      <c r="B1740" s="9" t="s">
        <v>370</v>
      </c>
      <c r="C1740" s="10">
        <v>44445</v>
      </c>
      <c r="D1740" s="15">
        <v>1.01</v>
      </c>
      <c r="E1740" s="15">
        <v>1.01</v>
      </c>
      <c r="F1740" s="15">
        <v>1.01</v>
      </c>
      <c r="G1740" s="11">
        <v>0</v>
      </c>
      <c r="H1740" s="9">
        <f>MAX($F$1644:F1740)</f>
        <v>1.011</v>
      </c>
      <c r="I1740" s="11">
        <f t="shared" si="42"/>
        <v>0.000989119683481587</v>
      </c>
      <c r="J1740" s="9"/>
      <c r="K1740" s="11"/>
      <c r="L1740" s="9"/>
      <c r="M1740" s="11"/>
      <c r="N1740" s="9" t="s">
        <v>812</v>
      </c>
    </row>
    <row r="1741" ht="25" customHeight="1" spans="1:14">
      <c r="A1741" s="9" t="s">
        <v>371</v>
      </c>
      <c r="B1741" s="9" t="s">
        <v>370</v>
      </c>
      <c r="C1741" s="10">
        <v>44446</v>
      </c>
      <c r="D1741" s="15">
        <v>1.01</v>
      </c>
      <c r="E1741" s="15">
        <v>1.01</v>
      </c>
      <c r="F1741" s="15">
        <v>1.01</v>
      </c>
      <c r="G1741" s="11">
        <v>0</v>
      </c>
      <c r="H1741" s="9">
        <f>MAX($F$1644:F1741)</f>
        <v>1.011</v>
      </c>
      <c r="I1741" s="11">
        <f t="shared" si="42"/>
        <v>0.000989119683481587</v>
      </c>
      <c r="J1741" s="9"/>
      <c r="K1741" s="11"/>
      <c r="L1741" s="9"/>
      <c r="M1741" s="11"/>
      <c r="N1741" s="9" t="s">
        <v>812</v>
      </c>
    </row>
    <row r="1742" ht="25" customHeight="1" spans="1:14">
      <c r="A1742" s="9" t="s">
        <v>371</v>
      </c>
      <c r="B1742" s="9" t="s">
        <v>370</v>
      </c>
      <c r="C1742" s="10">
        <v>44447</v>
      </c>
      <c r="D1742" s="15">
        <v>1.013</v>
      </c>
      <c r="E1742" s="15">
        <v>1.013</v>
      </c>
      <c r="F1742" s="15">
        <v>1.013</v>
      </c>
      <c r="G1742" s="11">
        <v>0.003</v>
      </c>
      <c r="H1742" s="9">
        <f>MAX($F$1644:F1742)</f>
        <v>1.013</v>
      </c>
      <c r="I1742" s="11">
        <f t="shared" si="42"/>
        <v>0</v>
      </c>
      <c r="J1742" s="9"/>
      <c r="K1742" s="11"/>
      <c r="L1742" s="9"/>
      <c r="M1742" s="11"/>
      <c r="N1742" s="9" t="s">
        <v>812</v>
      </c>
    </row>
    <row r="1743" ht="25" customHeight="1" spans="1:14">
      <c r="A1743" s="9" t="s">
        <v>371</v>
      </c>
      <c r="B1743" s="9" t="s">
        <v>370</v>
      </c>
      <c r="C1743" s="10">
        <v>44448</v>
      </c>
      <c r="D1743" s="15">
        <v>1.015</v>
      </c>
      <c r="E1743" s="15">
        <v>1.015</v>
      </c>
      <c r="F1743" s="15">
        <v>1.015</v>
      </c>
      <c r="G1743" s="11">
        <v>0.002</v>
      </c>
      <c r="H1743" s="9">
        <f>MAX($F$1644:F1743)</f>
        <v>1.015</v>
      </c>
      <c r="I1743" s="11">
        <f t="shared" si="42"/>
        <v>0</v>
      </c>
      <c r="J1743" s="9"/>
      <c r="K1743" s="11"/>
      <c r="L1743" s="9"/>
      <c r="M1743" s="11"/>
      <c r="N1743" s="9" t="s">
        <v>812</v>
      </c>
    </row>
    <row r="1744" ht="25" customHeight="1" spans="1:14">
      <c r="A1744" s="9" t="s">
        <v>371</v>
      </c>
      <c r="B1744" s="9" t="s">
        <v>370</v>
      </c>
      <c r="C1744" s="10">
        <v>44449</v>
      </c>
      <c r="D1744" s="15">
        <v>1.012</v>
      </c>
      <c r="E1744" s="15">
        <v>1.012</v>
      </c>
      <c r="F1744" s="15">
        <v>1.012</v>
      </c>
      <c r="G1744" s="11">
        <v>-0.003</v>
      </c>
      <c r="H1744" s="9">
        <f>MAX($F$1644:F1744)</f>
        <v>1.015</v>
      </c>
      <c r="I1744" s="11">
        <f t="shared" si="42"/>
        <v>0.00295566502463041</v>
      </c>
      <c r="J1744" s="9"/>
      <c r="K1744" s="11"/>
      <c r="L1744" s="9"/>
      <c r="M1744" s="11"/>
      <c r="N1744" s="9" t="s">
        <v>812</v>
      </c>
    </row>
    <row r="1745" ht="25" customHeight="1" spans="1:14">
      <c r="A1745" s="9" t="s">
        <v>371</v>
      </c>
      <c r="B1745" s="9" t="s">
        <v>370</v>
      </c>
      <c r="C1745" s="10">
        <v>44452</v>
      </c>
      <c r="D1745" s="15">
        <v>1.014</v>
      </c>
      <c r="E1745" s="15">
        <v>1.014</v>
      </c>
      <c r="F1745" s="15">
        <v>1.014</v>
      </c>
      <c r="G1745" s="11">
        <v>0.002</v>
      </c>
      <c r="H1745" s="9">
        <f>MAX($F$1644:F1745)</f>
        <v>1.015</v>
      </c>
      <c r="I1745" s="11">
        <f t="shared" si="42"/>
        <v>0.000985221674876691</v>
      </c>
      <c r="J1745" s="9"/>
      <c r="K1745" s="11"/>
      <c r="L1745" s="9"/>
      <c r="M1745" s="11"/>
      <c r="N1745" s="9" t="s">
        <v>812</v>
      </c>
    </row>
    <row r="1746" ht="25" customHeight="1" spans="1:14">
      <c r="A1746" s="9" t="s">
        <v>371</v>
      </c>
      <c r="B1746" s="9" t="s">
        <v>370</v>
      </c>
      <c r="C1746" s="10">
        <v>44453</v>
      </c>
      <c r="D1746" s="15">
        <v>1.014</v>
      </c>
      <c r="E1746" s="15">
        <v>1.014</v>
      </c>
      <c r="F1746" s="15">
        <v>1.014</v>
      </c>
      <c r="G1746" s="11">
        <v>0</v>
      </c>
      <c r="H1746" s="9">
        <f>MAX($F$1644:F1746)</f>
        <v>1.015</v>
      </c>
      <c r="I1746" s="11">
        <f t="shared" si="42"/>
        <v>0.000985221674876691</v>
      </c>
      <c r="J1746" s="9"/>
      <c r="K1746" s="11"/>
      <c r="L1746" s="9"/>
      <c r="M1746" s="11"/>
      <c r="N1746" s="9" t="s">
        <v>812</v>
      </c>
    </row>
    <row r="1747" ht="25" customHeight="1" spans="1:14">
      <c r="A1747" s="9" t="s">
        <v>371</v>
      </c>
      <c r="B1747" s="9" t="s">
        <v>370</v>
      </c>
      <c r="C1747" s="10">
        <v>44454</v>
      </c>
      <c r="D1747" s="15">
        <v>1.013</v>
      </c>
      <c r="E1747" s="15">
        <v>1.013</v>
      </c>
      <c r="F1747" s="15">
        <v>1.013</v>
      </c>
      <c r="G1747" s="11">
        <v>-0.001</v>
      </c>
      <c r="H1747" s="9">
        <f>MAX($F$1644:F1747)</f>
        <v>1.015</v>
      </c>
      <c r="I1747" s="11">
        <f t="shared" si="42"/>
        <v>0.00197044334975371</v>
      </c>
      <c r="J1747" s="9"/>
      <c r="K1747" s="11"/>
      <c r="L1747" s="9"/>
      <c r="M1747" s="11"/>
      <c r="N1747" s="9" t="s">
        <v>812</v>
      </c>
    </row>
    <row r="1748" ht="25" customHeight="1" spans="1:14">
      <c r="A1748" s="9" t="s">
        <v>371</v>
      </c>
      <c r="B1748" s="9" t="s">
        <v>370</v>
      </c>
      <c r="C1748" s="10">
        <v>44455</v>
      </c>
      <c r="D1748" s="15">
        <v>1.016</v>
      </c>
      <c r="E1748" s="15">
        <v>1.016</v>
      </c>
      <c r="F1748" s="15">
        <v>1.016</v>
      </c>
      <c r="G1748" s="11">
        <v>0.003</v>
      </c>
      <c r="H1748" s="9">
        <f>MAX($F$1644:F1748)</f>
        <v>1.016</v>
      </c>
      <c r="I1748" s="11">
        <f t="shared" si="42"/>
        <v>0</v>
      </c>
      <c r="J1748" s="9"/>
      <c r="K1748" s="11"/>
      <c r="L1748" s="9"/>
      <c r="M1748" s="11"/>
      <c r="N1748" s="9" t="s">
        <v>812</v>
      </c>
    </row>
    <row r="1749" ht="25" customHeight="1" spans="1:14">
      <c r="A1749" s="9" t="s">
        <v>371</v>
      </c>
      <c r="B1749" s="9" t="s">
        <v>370</v>
      </c>
      <c r="C1749" s="10">
        <v>44456</v>
      </c>
      <c r="D1749" s="15">
        <v>1.018</v>
      </c>
      <c r="E1749" s="15">
        <v>1.018</v>
      </c>
      <c r="F1749" s="15">
        <v>1.018</v>
      </c>
      <c r="G1749" s="11">
        <v>0.002</v>
      </c>
      <c r="H1749" s="9">
        <f>MAX($F$1644:F1749)</f>
        <v>1.018</v>
      </c>
      <c r="I1749" s="11">
        <f t="shared" si="42"/>
        <v>0</v>
      </c>
      <c r="J1749" s="9"/>
      <c r="K1749" s="11"/>
      <c r="L1749" s="9"/>
      <c r="M1749" s="11"/>
      <c r="N1749" s="9" t="s">
        <v>812</v>
      </c>
    </row>
    <row r="1750" ht="25" customHeight="1" spans="1:14">
      <c r="A1750" s="9" t="s">
        <v>371</v>
      </c>
      <c r="B1750" s="9" t="s">
        <v>370</v>
      </c>
      <c r="C1750" s="10">
        <v>44461</v>
      </c>
      <c r="D1750" s="15">
        <v>1.021</v>
      </c>
      <c r="E1750" s="15">
        <v>1.021</v>
      </c>
      <c r="F1750" s="15">
        <v>1.021</v>
      </c>
      <c r="G1750" s="11">
        <v>0.0029</v>
      </c>
      <c r="H1750" s="9">
        <f>MAX($F$1644:F1750)</f>
        <v>1.021</v>
      </c>
      <c r="I1750" s="11">
        <f t="shared" si="42"/>
        <v>0</v>
      </c>
      <c r="J1750" s="9"/>
      <c r="K1750" s="11"/>
      <c r="L1750" s="9"/>
      <c r="M1750" s="11"/>
      <c r="N1750" s="9" t="s">
        <v>812</v>
      </c>
    </row>
    <row r="1751" ht="25" customHeight="1" spans="1:14">
      <c r="A1751" s="9" t="s">
        <v>371</v>
      </c>
      <c r="B1751" s="9" t="s">
        <v>370</v>
      </c>
      <c r="C1751" s="10">
        <v>44462</v>
      </c>
      <c r="D1751" s="15">
        <v>1.021</v>
      </c>
      <c r="E1751" s="15">
        <v>1.021</v>
      </c>
      <c r="F1751" s="15">
        <v>1.021</v>
      </c>
      <c r="G1751" s="11">
        <v>0</v>
      </c>
      <c r="H1751" s="9">
        <f>MAX($F$1644:F1751)</f>
        <v>1.021</v>
      </c>
      <c r="I1751" s="11">
        <f t="shared" si="42"/>
        <v>0</v>
      </c>
      <c r="J1751" s="9"/>
      <c r="K1751" s="11"/>
      <c r="L1751" s="9"/>
      <c r="M1751" s="11"/>
      <c r="N1751" s="9" t="s">
        <v>812</v>
      </c>
    </row>
    <row r="1752" ht="25" customHeight="1" spans="1:14">
      <c r="A1752" s="9" t="s">
        <v>371</v>
      </c>
      <c r="B1752" s="9" t="s">
        <v>370</v>
      </c>
      <c r="C1752" s="10">
        <v>44463</v>
      </c>
      <c r="D1752" s="15">
        <v>1.02</v>
      </c>
      <c r="E1752" s="15">
        <v>1.02</v>
      </c>
      <c r="F1752" s="15">
        <v>1.02</v>
      </c>
      <c r="G1752" s="11">
        <v>-0.001</v>
      </c>
      <c r="H1752" s="9">
        <f>MAX($F$1644:F1752)</f>
        <v>1.021</v>
      </c>
      <c r="I1752" s="11">
        <f t="shared" si="42"/>
        <v>0.000979431929480801</v>
      </c>
      <c r="J1752" s="9"/>
      <c r="K1752" s="11"/>
      <c r="L1752" s="9"/>
      <c r="M1752" s="11"/>
      <c r="N1752" s="9" t="s">
        <v>812</v>
      </c>
    </row>
    <row r="1753" ht="25" customHeight="1" spans="1:14">
      <c r="A1753" s="9" t="s">
        <v>371</v>
      </c>
      <c r="B1753" s="9" t="s">
        <v>370</v>
      </c>
      <c r="C1753" s="10">
        <v>44466</v>
      </c>
      <c r="D1753" s="15">
        <v>1.023</v>
      </c>
      <c r="E1753" s="15">
        <v>1.023</v>
      </c>
      <c r="F1753" s="15">
        <v>1.023</v>
      </c>
      <c r="G1753" s="11">
        <v>0.0029</v>
      </c>
      <c r="H1753" s="9">
        <f>MAX($F$1644:F1753)</f>
        <v>1.023</v>
      </c>
      <c r="I1753" s="11">
        <f t="shared" si="42"/>
        <v>0</v>
      </c>
      <c r="J1753" s="9"/>
      <c r="K1753" s="11"/>
      <c r="L1753" s="9"/>
      <c r="M1753" s="11"/>
      <c r="N1753" s="9" t="s">
        <v>812</v>
      </c>
    </row>
    <row r="1754" ht="25" customHeight="1" spans="1:14">
      <c r="A1754" s="9" t="s">
        <v>371</v>
      </c>
      <c r="B1754" s="9" t="s">
        <v>370</v>
      </c>
      <c r="C1754" s="10">
        <v>44467</v>
      </c>
      <c r="D1754" s="15">
        <v>1.022</v>
      </c>
      <c r="E1754" s="15">
        <v>1.022</v>
      </c>
      <c r="F1754" s="15">
        <v>1.022</v>
      </c>
      <c r="G1754" s="11">
        <v>-0.001</v>
      </c>
      <c r="H1754" s="9">
        <f>MAX($F$1644:F1754)</f>
        <v>1.023</v>
      </c>
      <c r="I1754" s="11">
        <f t="shared" si="42"/>
        <v>0.000977517106549253</v>
      </c>
      <c r="J1754" s="9"/>
      <c r="K1754" s="11"/>
      <c r="L1754" s="9"/>
      <c r="M1754" s="11"/>
      <c r="N1754" s="9" t="s">
        <v>812</v>
      </c>
    </row>
    <row r="1755" ht="25" customHeight="1" spans="1:14">
      <c r="A1755" s="9" t="s">
        <v>371</v>
      </c>
      <c r="B1755" s="9" t="s">
        <v>370</v>
      </c>
      <c r="C1755" s="10">
        <v>44468</v>
      </c>
      <c r="D1755" s="15">
        <v>1.023</v>
      </c>
      <c r="E1755" s="15">
        <v>1.023</v>
      </c>
      <c r="F1755" s="15">
        <v>1.023</v>
      </c>
      <c r="G1755" s="11">
        <v>0.001</v>
      </c>
      <c r="H1755" s="9">
        <f>MAX($F$1644:F1755)</f>
        <v>1.023</v>
      </c>
      <c r="I1755" s="11">
        <f t="shared" si="42"/>
        <v>0</v>
      </c>
      <c r="J1755" s="9"/>
      <c r="K1755" s="11"/>
      <c r="L1755" s="9"/>
      <c r="M1755" s="11"/>
      <c r="N1755" s="9" t="s">
        <v>812</v>
      </c>
    </row>
    <row r="1756" ht="25" customHeight="1" spans="1:14">
      <c r="A1756" s="9" t="s">
        <v>371</v>
      </c>
      <c r="B1756" s="9" t="s">
        <v>370</v>
      </c>
      <c r="C1756" s="10">
        <v>44469</v>
      </c>
      <c r="D1756" s="15">
        <v>1.025</v>
      </c>
      <c r="E1756" s="15">
        <v>1.025</v>
      </c>
      <c r="F1756" s="15">
        <v>1.025</v>
      </c>
      <c r="G1756" s="11">
        <v>0.002</v>
      </c>
      <c r="H1756" s="9">
        <f>MAX($F$1644:F1756)</f>
        <v>1.025</v>
      </c>
      <c r="I1756" s="11">
        <f t="shared" si="42"/>
        <v>0</v>
      </c>
      <c r="J1756" s="9"/>
      <c r="K1756" s="11"/>
      <c r="L1756" s="9"/>
      <c r="M1756" s="11"/>
      <c r="N1756" s="9" t="s">
        <v>812</v>
      </c>
    </row>
    <row r="1757" ht="25" customHeight="1" spans="1:14">
      <c r="A1757" s="9" t="s">
        <v>371</v>
      </c>
      <c r="B1757" s="9" t="s">
        <v>370</v>
      </c>
      <c r="C1757" s="10">
        <v>44477</v>
      </c>
      <c r="D1757" s="15">
        <v>1.026</v>
      </c>
      <c r="E1757" s="15">
        <v>1.026</v>
      </c>
      <c r="F1757" s="15">
        <v>1.026</v>
      </c>
      <c r="G1757" s="11">
        <v>0.001</v>
      </c>
      <c r="H1757" s="9">
        <f>MAX($F$1644:F1757)</f>
        <v>1.026</v>
      </c>
      <c r="I1757" s="11">
        <f t="shared" si="42"/>
        <v>0</v>
      </c>
      <c r="J1757" s="9"/>
      <c r="K1757" s="11"/>
      <c r="L1757" s="9"/>
      <c r="M1757" s="11"/>
      <c r="N1757" s="9" t="s">
        <v>812</v>
      </c>
    </row>
    <row r="1758" ht="25" customHeight="1" spans="1:14">
      <c r="A1758" s="9" t="s">
        <v>371</v>
      </c>
      <c r="B1758" s="9" t="s">
        <v>370</v>
      </c>
      <c r="C1758" s="10">
        <v>44483</v>
      </c>
      <c r="D1758" s="15">
        <v>1.031</v>
      </c>
      <c r="E1758" s="15">
        <v>1.031</v>
      </c>
      <c r="F1758" s="15">
        <v>1.031</v>
      </c>
      <c r="G1758" s="11">
        <v>0.0049</v>
      </c>
      <c r="H1758" s="9">
        <f>MAX($F$1644:F1758)</f>
        <v>1.031</v>
      </c>
      <c r="I1758" s="11">
        <f t="shared" si="42"/>
        <v>0</v>
      </c>
      <c r="J1758" s="9"/>
      <c r="K1758" s="11"/>
      <c r="L1758" s="9"/>
      <c r="M1758" s="11"/>
      <c r="N1758" s="9" t="s">
        <v>812</v>
      </c>
    </row>
    <row r="1759" ht="25" customHeight="1" spans="1:14">
      <c r="A1759" s="9" t="s">
        <v>371</v>
      </c>
      <c r="B1759" s="9" t="s">
        <v>370</v>
      </c>
      <c r="C1759" s="10">
        <v>44484</v>
      </c>
      <c r="D1759" s="15">
        <v>1.031</v>
      </c>
      <c r="E1759" s="15">
        <v>1.031</v>
      </c>
      <c r="F1759" s="15">
        <v>1.031</v>
      </c>
      <c r="G1759" s="11">
        <v>0</v>
      </c>
      <c r="H1759" s="9">
        <f>MAX($F$1644:F1759)</f>
        <v>1.031</v>
      </c>
      <c r="I1759" s="11">
        <f t="shared" si="42"/>
        <v>0</v>
      </c>
      <c r="J1759" s="9"/>
      <c r="K1759" s="11"/>
      <c r="L1759" s="9"/>
      <c r="M1759" s="11"/>
      <c r="N1759" s="9" t="s">
        <v>812</v>
      </c>
    </row>
    <row r="1760" ht="25" customHeight="1" spans="1:14">
      <c r="A1760" s="9" t="s">
        <v>371</v>
      </c>
      <c r="B1760" s="9" t="s">
        <v>370</v>
      </c>
      <c r="C1760" s="10">
        <v>44490</v>
      </c>
      <c r="D1760" s="15">
        <v>1.035</v>
      </c>
      <c r="E1760" s="15">
        <v>1.035</v>
      </c>
      <c r="F1760" s="15">
        <v>1.035</v>
      </c>
      <c r="G1760" s="11">
        <v>0.0039</v>
      </c>
      <c r="H1760" s="9">
        <f>MAX($F$1644:F1760)</f>
        <v>1.035</v>
      </c>
      <c r="I1760" s="11">
        <f t="shared" si="42"/>
        <v>0</v>
      </c>
      <c r="J1760" s="9"/>
      <c r="K1760" s="11"/>
      <c r="L1760" s="9"/>
      <c r="M1760" s="11"/>
      <c r="N1760" s="9" t="s">
        <v>812</v>
      </c>
    </row>
    <row r="1761" ht="25" customHeight="1" spans="1:14">
      <c r="A1761" s="9" t="s">
        <v>371</v>
      </c>
      <c r="B1761" s="9" t="s">
        <v>370</v>
      </c>
      <c r="C1761" s="10">
        <v>44491</v>
      </c>
      <c r="D1761" s="15">
        <v>1.034</v>
      </c>
      <c r="E1761" s="15">
        <v>1.034</v>
      </c>
      <c r="F1761" s="15">
        <v>1.034</v>
      </c>
      <c r="G1761" s="11">
        <v>-0.001</v>
      </c>
      <c r="H1761" s="9">
        <f>MAX($F$1644:F1761)</f>
        <v>1.035</v>
      </c>
      <c r="I1761" s="11">
        <f t="shared" si="42"/>
        <v>0.000966183574879098</v>
      </c>
      <c r="J1761" s="9"/>
      <c r="K1761" s="11"/>
      <c r="L1761" s="9"/>
      <c r="M1761" s="11"/>
      <c r="N1761" s="9" t="s">
        <v>812</v>
      </c>
    </row>
    <row r="1762" ht="25" customHeight="1" spans="1:14">
      <c r="A1762" s="9" t="s">
        <v>371</v>
      </c>
      <c r="B1762" s="9" t="s">
        <v>370</v>
      </c>
      <c r="C1762" s="10">
        <v>44497</v>
      </c>
      <c r="D1762" s="15">
        <v>1.034</v>
      </c>
      <c r="E1762" s="15">
        <v>1.034</v>
      </c>
      <c r="F1762" s="15">
        <v>1.034</v>
      </c>
      <c r="G1762" s="11">
        <v>0</v>
      </c>
      <c r="H1762" s="9">
        <f>MAX($F$1644:F1762)</f>
        <v>1.035</v>
      </c>
      <c r="I1762" s="11">
        <f t="shared" si="42"/>
        <v>0.000966183574879098</v>
      </c>
      <c r="J1762" s="9"/>
      <c r="K1762" s="11"/>
      <c r="L1762" s="9"/>
      <c r="M1762" s="11"/>
      <c r="N1762" s="9" t="s">
        <v>812</v>
      </c>
    </row>
    <row r="1763" ht="25" customHeight="1" spans="1:14">
      <c r="A1763" s="9" t="s">
        <v>371</v>
      </c>
      <c r="B1763" s="9" t="s">
        <v>370</v>
      </c>
      <c r="C1763" s="10">
        <v>44498</v>
      </c>
      <c r="D1763" s="15">
        <v>1.037</v>
      </c>
      <c r="E1763" s="15">
        <v>1.037</v>
      </c>
      <c r="F1763" s="15">
        <v>1.037</v>
      </c>
      <c r="G1763" s="11">
        <v>0.0029</v>
      </c>
      <c r="H1763" s="9">
        <f>MAX($F$1644:F1763)</f>
        <v>1.037</v>
      </c>
      <c r="I1763" s="11">
        <f t="shared" si="42"/>
        <v>0</v>
      </c>
      <c r="J1763" s="9"/>
      <c r="K1763" s="11"/>
      <c r="L1763" s="9"/>
      <c r="M1763" s="11"/>
      <c r="N1763" s="9" t="s">
        <v>812</v>
      </c>
    </row>
    <row r="1764" ht="25" customHeight="1" spans="1:14">
      <c r="A1764" s="9" t="s">
        <v>371</v>
      </c>
      <c r="B1764" s="9" t="s">
        <v>370</v>
      </c>
      <c r="C1764" s="10">
        <v>44504</v>
      </c>
      <c r="D1764" s="15">
        <v>1.039</v>
      </c>
      <c r="E1764" s="15">
        <v>1.039</v>
      </c>
      <c r="F1764" s="15">
        <v>1.039</v>
      </c>
      <c r="G1764" s="11">
        <v>0.0019</v>
      </c>
      <c r="H1764" s="9">
        <f>MAX($F$1644:F1764)</f>
        <v>1.039</v>
      </c>
      <c r="I1764" s="11">
        <f t="shared" si="42"/>
        <v>0</v>
      </c>
      <c r="J1764" s="9"/>
      <c r="K1764" s="11"/>
      <c r="L1764" s="9"/>
      <c r="M1764" s="11"/>
      <c r="N1764" s="9" t="s">
        <v>812</v>
      </c>
    </row>
    <row r="1765" ht="25" customHeight="1" spans="1:14">
      <c r="A1765" s="9" t="s">
        <v>371</v>
      </c>
      <c r="B1765" s="9" t="s">
        <v>370</v>
      </c>
      <c r="C1765" s="10">
        <v>44505</v>
      </c>
      <c r="D1765" s="15">
        <v>1.04</v>
      </c>
      <c r="E1765" s="15">
        <v>1.04</v>
      </c>
      <c r="F1765" s="15">
        <v>1.04</v>
      </c>
      <c r="G1765" s="11">
        <v>0.001</v>
      </c>
      <c r="H1765" s="9">
        <f>MAX($F$1644:F1765)</f>
        <v>1.04</v>
      </c>
      <c r="I1765" s="11">
        <f t="shared" si="42"/>
        <v>0</v>
      </c>
      <c r="J1765" s="9"/>
      <c r="K1765" s="11"/>
      <c r="L1765" s="9"/>
      <c r="M1765" s="11"/>
      <c r="N1765" s="9" t="s">
        <v>812</v>
      </c>
    </row>
    <row r="1766" ht="25" customHeight="1" spans="1:14">
      <c r="A1766" s="9" t="s">
        <v>371</v>
      </c>
      <c r="B1766" s="9" t="s">
        <v>370</v>
      </c>
      <c r="C1766" s="10">
        <v>44511</v>
      </c>
      <c r="D1766" s="15">
        <v>1.044</v>
      </c>
      <c r="E1766" s="15">
        <v>1.044</v>
      </c>
      <c r="F1766" s="15">
        <v>1.044</v>
      </c>
      <c r="G1766" s="11">
        <v>0.0038</v>
      </c>
      <c r="H1766" s="9">
        <f>MAX($F$1644:F1766)</f>
        <v>1.044</v>
      </c>
      <c r="I1766" s="11">
        <f t="shared" si="42"/>
        <v>0</v>
      </c>
      <c r="J1766" s="9"/>
      <c r="K1766" s="11"/>
      <c r="L1766" s="9"/>
      <c r="M1766" s="11"/>
      <c r="N1766" s="9" t="s">
        <v>812</v>
      </c>
    </row>
    <row r="1767" ht="25" customHeight="1" spans="1:14">
      <c r="A1767" s="9" t="s">
        <v>371</v>
      </c>
      <c r="B1767" s="9" t="s">
        <v>370</v>
      </c>
      <c r="C1767" s="10">
        <v>44512</v>
      </c>
      <c r="D1767" s="15">
        <v>1.043</v>
      </c>
      <c r="E1767" s="15">
        <v>1.043</v>
      </c>
      <c r="F1767" s="15">
        <v>1.043</v>
      </c>
      <c r="G1767" s="11">
        <v>-0.001</v>
      </c>
      <c r="H1767" s="9">
        <f>MAX($F$1644:F1767)</f>
        <v>1.044</v>
      </c>
      <c r="I1767" s="11">
        <f t="shared" si="42"/>
        <v>0.000957854406130387</v>
      </c>
      <c r="J1767" s="9"/>
      <c r="K1767" s="11"/>
      <c r="L1767" s="9"/>
      <c r="M1767" s="11"/>
      <c r="N1767" s="9" t="s">
        <v>812</v>
      </c>
    </row>
    <row r="1768" ht="25" customHeight="1" spans="1:14">
      <c r="A1768" s="9" t="s">
        <v>371</v>
      </c>
      <c r="B1768" s="9" t="s">
        <v>370</v>
      </c>
      <c r="C1768" s="10">
        <v>44518</v>
      </c>
      <c r="D1768" s="15">
        <v>1.045</v>
      </c>
      <c r="E1768" s="15">
        <v>1.045</v>
      </c>
      <c r="F1768" s="15">
        <v>1.045</v>
      </c>
      <c r="G1768" s="11">
        <v>0.0019</v>
      </c>
      <c r="H1768" s="9">
        <f>MAX($F$1644:F1768)</f>
        <v>1.045</v>
      </c>
      <c r="I1768" s="11">
        <f t="shared" si="42"/>
        <v>0</v>
      </c>
      <c r="J1768" s="9"/>
      <c r="K1768" s="11"/>
      <c r="L1768" s="9"/>
      <c r="M1768" s="11"/>
      <c r="N1768" s="9" t="s">
        <v>812</v>
      </c>
    </row>
    <row r="1769" ht="25" customHeight="1" spans="1:14">
      <c r="A1769" s="9" t="s">
        <v>371</v>
      </c>
      <c r="B1769" s="9" t="s">
        <v>370</v>
      </c>
      <c r="C1769" s="10">
        <v>44519</v>
      </c>
      <c r="D1769" s="15">
        <v>1.046</v>
      </c>
      <c r="E1769" s="15">
        <v>1.046</v>
      </c>
      <c r="F1769" s="15">
        <v>1.046</v>
      </c>
      <c r="G1769" s="11">
        <v>0.001</v>
      </c>
      <c r="H1769" s="9">
        <f>MAX($F$1644:F1769)</f>
        <v>1.046</v>
      </c>
      <c r="I1769" s="11">
        <f t="shared" si="42"/>
        <v>0</v>
      </c>
      <c r="J1769" s="9"/>
      <c r="K1769" s="11"/>
      <c r="L1769" s="9"/>
      <c r="M1769" s="11"/>
      <c r="N1769" s="9" t="s">
        <v>812</v>
      </c>
    </row>
    <row r="1770" ht="25" customHeight="1" spans="1:14">
      <c r="A1770" s="9" t="s">
        <v>371</v>
      </c>
      <c r="B1770" s="9" t="s">
        <v>370</v>
      </c>
      <c r="C1770" s="10">
        <v>44525</v>
      </c>
      <c r="D1770" s="15">
        <v>1.046</v>
      </c>
      <c r="E1770" s="15">
        <v>1.046</v>
      </c>
      <c r="F1770" s="15">
        <v>1.046</v>
      </c>
      <c r="G1770" s="11">
        <v>0</v>
      </c>
      <c r="H1770" s="9">
        <f>MAX($F$1644:F1770)</f>
        <v>1.046</v>
      </c>
      <c r="I1770" s="11">
        <f t="shared" si="42"/>
        <v>0</v>
      </c>
      <c r="J1770" s="9"/>
      <c r="K1770" s="11"/>
      <c r="L1770" s="9"/>
      <c r="M1770" s="11"/>
      <c r="N1770" s="9" t="s">
        <v>812</v>
      </c>
    </row>
    <row r="1771" ht="25" customHeight="1" spans="1:14">
      <c r="A1771" s="9" t="s">
        <v>371</v>
      </c>
      <c r="B1771" s="9" t="s">
        <v>370</v>
      </c>
      <c r="C1771" s="10">
        <v>44526</v>
      </c>
      <c r="D1771" s="15">
        <v>1.047</v>
      </c>
      <c r="E1771" s="15">
        <v>1.047</v>
      </c>
      <c r="F1771" s="15">
        <v>1.047</v>
      </c>
      <c r="G1771" s="11">
        <v>0.001</v>
      </c>
      <c r="H1771" s="9">
        <f>MAX($F$1644:F1771)</f>
        <v>1.047</v>
      </c>
      <c r="I1771" s="11">
        <f t="shared" si="42"/>
        <v>0</v>
      </c>
      <c r="J1771" s="9"/>
      <c r="K1771" s="11"/>
      <c r="L1771" s="9"/>
      <c r="M1771" s="11"/>
      <c r="N1771" s="9" t="s">
        <v>812</v>
      </c>
    </row>
    <row r="1772" ht="25" customHeight="1" spans="1:14">
      <c r="A1772" s="9" t="s">
        <v>371</v>
      </c>
      <c r="B1772" s="9" t="s">
        <v>370</v>
      </c>
      <c r="C1772" s="10">
        <v>44530</v>
      </c>
      <c r="D1772" s="15">
        <v>1.043</v>
      </c>
      <c r="E1772" s="15">
        <v>1.043</v>
      </c>
      <c r="F1772" s="15">
        <v>1.043</v>
      </c>
      <c r="G1772" s="11">
        <v>-0.0038</v>
      </c>
      <c r="H1772" s="9">
        <f>MAX($F$1644:F1772)</f>
        <v>1.047</v>
      </c>
      <c r="I1772" s="11">
        <f t="shared" si="42"/>
        <v>0.00382043935052534</v>
      </c>
      <c r="J1772" s="9"/>
      <c r="K1772" s="11"/>
      <c r="L1772" s="9"/>
      <c r="M1772" s="11"/>
      <c r="N1772" s="9" t="s">
        <v>812</v>
      </c>
    </row>
    <row r="1773" ht="25" customHeight="1" spans="1:14">
      <c r="A1773" s="9" t="s">
        <v>371</v>
      </c>
      <c r="B1773" s="9" t="s">
        <v>370</v>
      </c>
      <c r="C1773" s="10">
        <v>44532</v>
      </c>
      <c r="D1773" s="15">
        <v>1.048</v>
      </c>
      <c r="E1773" s="15">
        <v>1.048</v>
      </c>
      <c r="F1773" s="15">
        <v>1.048</v>
      </c>
      <c r="G1773" s="11">
        <v>0.0048</v>
      </c>
      <c r="H1773" s="9">
        <f>MAX($F$1644:F1773)</f>
        <v>1.048</v>
      </c>
      <c r="I1773" s="11">
        <f t="shared" si="42"/>
        <v>0</v>
      </c>
      <c r="J1773" s="9"/>
      <c r="K1773" s="11"/>
      <c r="L1773" s="9"/>
      <c r="M1773" s="11"/>
      <c r="N1773" s="9" t="s">
        <v>812</v>
      </c>
    </row>
    <row r="1774" ht="25" customHeight="1" spans="1:14">
      <c r="A1774" s="9" t="s">
        <v>371</v>
      </c>
      <c r="B1774" s="9" t="s">
        <v>370</v>
      </c>
      <c r="C1774" s="10">
        <v>44533</v>
      </c>
      <c r="D1774" s="15">
        <v>1.05</v>
      </c>
      <c r="E1774" s="15">
        <v>1.05</v>
      </c>
      <c r="F1774" s="15">
        <v>1.05</v>
      </c>
      <c r="G1774" s="11">
        <v>0.0019</v>
      </c>
      <c r="H1774" s="9">
        <f>MAX($F$1644:F1774)</f>
        <v>1.05</v>
      </c>
      <c r="I1774" s="11">
        <f t="shared" si="42"/>
        <v>0</v>
      </c>
      <c r="J1774" s="9"/>
      <c r="K1774" s="11"/>
      <c r="L1774" s="9"/>
      <c r="M1774" s="11"/>
      <c r="N1774" s="9" t="s">
        <v>812</v>
      </c>
    </row>
    <row r="1775" ht="25" customHeight="1" spans="1:14">
      <c r="A1775" s="9" t="s">
        <v>371</v>
      </c>
      <c r="B1775" s="9" t="s">
        <v>370</v>
      </c>
      <c r="C1775" s="10">
        <v>44539</v>
      </c>
      <c r="D1775" s="15">
        <v>1.047</v>
      </c>
      <c r="E1775" s="15">
        <v>1.047</v>
      </c>
      <c r="F1775" s="15">
        <v>1.047</v>
      </c>
      <c r="G1775" s="11">
        <v>-0.0029</v>
      </c>
      <c r="H1775" s="9">
        <f>MAX($F$1644:F1775)</f>
        <v>1.05</v>
      </c>
      <c r="I1775" s="11">
        <f t="shared" si="42"/>
        <v>0.002857142857143</v>
      </c>
      <c r="J1775" s="9"/>
      <c r="K1775" s="11"/>
      <c r="L1775" s="9"/>
      <c r="M1775" s="11"/>
      <c r="N1775" s="9" t="s">
        <v>812</v>
      </c>
    </row>
    <row r="1776" ht="25" customHeight="1" spans="1:14">
      <c r="A1776" s="9" t="s">
        <v>371</v>
      </c>
      <c r="B1776" s="9" t="s">
        <v>370</v>
      </c>
      <c r="C1776" s="10">
        <v>44540</v>
      </c>
      <c r="D1776" s="15">
        <v>1.05</v>
      </c>
      <c r="E1776" s="15">
        <v>1.05</v>
      </c>
      <c r="F1776" s="15">
        <v>1.05</v>
      </c>
      <c r="G1776" s="11">
        <v>0.0029</v>
      </c>
      <c r="H1776" s="9">
        <f>MAX($F$1644:F1776)</f>
        <v>1.05</v>
      </c>
      <c r="I1776" s="11">
        <f t="shared" si="42"/>
        <v>0</v>
      </c>
      <c r="J1776" s="9"/>
      <c r="K1776" s="11"/>
      <c r="L1776" s="9"/>
      <c r="M1776" s="11"/>
      <c r="N1776" s="9" t="s">
        <v>812</v>
      </c>
    </row>
    <row r="1777" ht="25" customHeight="1" spans="1:14">
      <c r="A1777" s="9" t="s">
        <v>371</v>
      </c>
      <c r="B1777" s="9" t="s">
        <v>370</v>
      </c>
      <c r="C1777" s="10">
        <v>44546</v>
      </c>
      <c r="D1777" s="15">
        <v>1.051</v>
      </c>
      <c r="E1777" s="15">
        <v>1.051</v>
      </c>
      <c r="F1777" s="15">
        <v>1.051</v>
      </c>
      <c r="G1777" s="11">
        <v>0.001</v>
      </c>
      <c r="H1777" s="9">
        <f>MAX($F$1644:F1777)</f>
        <v>1.051</v>
      </c>
      <c r="I1777" s="11">
        <f t="shared" si="42"/>
        <v>0</v>
      </c>
      <c r="J1777" s="9"/>
      <c r="K1777" s="11"/>
      <c r="L1777" s="9"/>
      <c r="M1777" s="11"/>
      <c r="N1777" s="9" t="s">
        <v>812</v>
      </c>
    </row>
    <row r="1778" ht="25" customHeight="1" spans="1:14">
      <c r="A1778" s="9" t="s">
        <v>371</v>
      </c>
      <c r="B1778" s="9" t="s">
        <v>370</v>
      </c>
      <c r="C1778" s="10">
        <v>44547</v>
      </c>
      <c r="D1778" s="15">
        <v>1.051</v>
      </c>
      <c r="E1778" s="15">
        <v>1.051</v>
      </c>
      <c r="F1778" s="15">
        <v>1.051</v>
      </c>
      <c r="G1778" s="11">
        <v>0</v>
      </c>
      <c r="H1778" s="9">
        <f>MAX($F$1644:F1778)</f>
        <v>1.051</v>
      </c>
      <c r="I1778" s="11">
        <f t="shared" si="42"/>
        <v>0</v>
      </c>
      <c r="J1778" s="9"/>
      <c r="K1778" s="11"/>
      <c r="L1778" s="9"/>
      <c r="M1778" s="11"/>
      <c r="N1778" s="9" t="s">
        <v>812</v>
      </c>
    </row>
    <row r="1779" ht="25" customHeight="1" spans="1:14">
      <c r="A1779" s="9" t="s">
        <v>371</v>
      </c>
      <c r="B1779" s="9" t="s">
        <v>370</v>
      </c>
      <c r="C1779" s="10">
        <v>44553</v>
      </c>
      <c r="D1779" s="15">
        <v>1.055</v>
      </c>
      <c r="E1779" s="15">
        <v>1.055</v>
      </c>
      <c r="F1779" s="15">
        <v>1.055</v>
      </c>
      <c r="G1779" s="11">
        <v>0.0038</v>
      </c>
      <c r="H1779" s="9">
        <f>MAX($F$1644:F1779)</f>
        <v>1.055</v>
      </c>
      <c r="I1779" s="11">
        <f t="shared" si="42"/>
        <v>0</v>
      </c>
      <c r="J1779" s="9"/>
      <c r="K1779" s="11"/>
      <c r="L1779" s="9"/>
      <c r="M1779" s="11"/>
      <c r="N1779" s="9" t="s">
        <v>812</v>
      </c>
    </row>
    <row r="1780" ht="25" customHeight="1" spans="1:14">
      <c r="A1780" s="9" t="s">
        <v>371</v>
      </c>
      <c r="B1780" s="9" t="s">
        <v>370</v>
      </c>
      <c r="C1780" s="10">
        <v>44554</v>
      </c>
      <c r="D1780" s="15">
        <v>1.051</v>
      </c>
      <c r="E1780" s="15">
        <v>1.051</v>
      </c>
      <c r="F1780" s="15">
        <v>1.051</v>
      </c>
      <c r="G1780" s="11">
        <v>-0.0038</v>
      </c>
      <c r="H1780" s="9">
        <f>MAX($F$1644:F1780)</f>
        <v>1.055</v>
      </c>
      <c r="I1780" s="11">
        <f t="shared" si="42"/>
        <v>0.00379146919431284</v>
      </c>
      <c r="J1780" s="9"/>
      <c r="K1780" s="11"/>
      <c r="L1780" s="9"/>
      <c r="M1780" s="11"/>
      <c r="N1780" s="9" t="s">
        <v>812</v>
      </c>
    </row>
    <row r="1781" ht="25" customHeight="1" spans="1:14">
      <c r="A1781" s="9" t="s">
        <v>371</v>
      </c>
      <c r="B1781" s="9" t="s">
        <v>370</v>
      </c>
      <c r="C1781" s="10">
        <v>44560</v>
      </c>
      <c r="D1781" s="15">
        <v>1.054</v>
      </c>
      <c r="E1781" s="15">
        <v>1.054</v>
      </c>
      <c r="F1781" s="15">
        <v>1.054</v>
      </c>
      <c r="G1781" s="11">
        <v>0.0029</v>
      </c>
      <c r="H1781" s="9">
        <f>MAX($F$1644:F1781)</f>
        <v>1.055</v>
      </c>
      <c r="I1781" s="11">
        <f t="shared" si="42"/>
        <v>0.000947867298578098</v>
      </c>
      <c r="J1781" s="9"/>
      <c r="K1781" s="11"/>
      <c r="L1781" s="9"/>
      <c r="M1781" s="11"/>
      <c r="N1781" s="9" t="s">
        <v>812</v>
      </c>
    </row>
    <row r="1782" ht="25" customHeight="1" spans="1:14">
      <c r="A1782" s="9" t="s">
        <v>371</v>
      </c>
      <c r="B1782" s="9" t="s">
        <v>370</v>
      </c>
      <c r="C1782" s="10">
        <v>44561</v>
      </c>
      <c r="D1782" s="15">
        <v>1.052</v>
      </c>
      <c r="E1782" s="15">
        <v>1.052</v>
      </c>
      <c r="F1782" s="15">
        <v>1.052</v>
      </c>
      <c r="G1782" s="11">
        <v>-0.0019</v>
      </c>
      <c r="H1782" s="9">
        <f>MAX($F$1644:F1782)</f>
        <v>1.055</v>
      </c>
      <c r="I1782" s="11">
        <f t="shared" si="42"/>
        <v>0.00284360189573452</v>
      </c>
      <c r="J1782" s="9"/>
      <c r="K1782" s="11"/>
      <c r="L1782" s="9"/>
      <c r="M1782" s="11"/>
      <c r="N1782" s="9" t="s">
        <v>812</v>
      </c>
    </row>
    <row r="1783" ht="25" customHeight="1" spans="1:14">
      <c r="A1783" s="9" t="s">
        <v>371</v>
      </c>
      <c r="B1783" s="9" t="s">
        <v>370</v>
      </c>
      <c r="C1783" s="10">
        <v>44567</v>
      </c>
      <c r="D1783" s="15">
        <v>1.055</v>
      </c>
      <c r="E1783" s="15">
        <v>1.055</v>
      </c>
      <c r="F1783" s="15">
        <v>1.055</v>
      </c>
      <c r="G1783" s="11">
        <v>0.0029</v>
      </c>
      <c r="H1783" s="9">
        <f>MAX($F$1644:F1783)</f>
        <v>1.055</v>
      </c>
      <c r="I1783" s="11">
        <f t="shared" si="42"/>
        <v>0</v>
      </c>
      <c r="J1783" s="9"/>
      <c r="K1783" s="11"/>
      <c r="L1783" s="9"/>
      <c r="M1783" s="11"/>
      <c r="N1783" s="9" t="s">
        <v>812</v>
      </c>
    </row>
    <row r="1784" ht="25" customHeight="1" spans="1:14">
      <c r="A1784" s="9" t="s">
        <v>371</v>
      </c>
      <c r="B1784" s="9" t="s">
        <v>370</v>
      </c>
      <c r="C1784" s="10">
        <v>44568</v>
      </c>
      <c r="D1784" s="15">
        <v>1.055</v>
      </c>
      <c r="E1784" s="15">
        <v>1.055</v>
      </c>
      <c r="F1784" s="15">
        <v>1.055</v>
      </c>
      <c r="G1784" s="11">
        <v>0</v>
      </c>
      <c r="H1784" s="9">
        <f>MAX($F$1644:F1784)</f>
        <v>1.055</v>
      </c>
      <c r="I1784" s="11">
        <f t="shared" si="42"/>
        <v>0</v>
      </c>
      <c r="J1784" s="9"/>
      <c r="K1784" s="11"/>
      <c r="L1784" s="9"/>
      <c r="M1784" s="11"/>
      <c r="N1784" s="9" t="s">
        <v>812</v>
      </c>
    </row>
    <row r="1785" ht="25" customHeight="1" spans="1:14">
      <c r="A1785" s="9" t="s">
        <v>371</v>
      </c>
      <c r="B1785" s="9" t="s">
        <v>370</v>
      </c>
      <c r="C1785" s="10">
        <v>44574</v>
      </c>
      <c r="D1785" s="15">
        <v>1.061</v>
      </c>
      <c r="E1785" s="15">
        <v>1.061</v>
      </c>
      <c r="F1785" s="15">
        <v>1.061</v>
      </c>
      <c r="G1785" s="11">
        <v>0.0057</v>
      </c>
      <c r="H1785" s="9">
        <f>MAX($F$1644:F1785)</f>
        <v>1.061</v>
      </c>
      <c r="I1785" s="11">
        <f t="shared" si="42"/>
        <v>0</v>
      </c>
      <c r="J1785" s="9"/>
      <c r="K1785" s="11"/>
      <c r="L1785" s="9"/>
      <c r="M1785" s="11"/>
      <c r="N1785" s="9" t="s">
        <v>812</v>
      </c>
    </row>
    <row r="1786" ht="25" customHeight="1" spans="1:14">
      <c r="A1786" s="9" t="s">
        <v>371</v>
      </c>
      <c r="B1786" s="9" t="s">
        <v>370</v>
      </c>
      <c r="C1786" s="10">
        <v>44575</v>
      </c>
      <c r="D1786" s="15">
        <v>1.059</v>
      </c>
      <c r="E1786" s="15">
        <v>1.059</v>
      </c>
      <c r="F1786" s="15">
        <v>1.059</v>
      </c>
      <c r="G1786" s="11">
        <v>-0.0019</v>
      </c>
      <c r="H1786" s="9">
        <f>MAX($F$1644:F1786)</f>
        <v>1.061</v>
      </c>
      <c r="I1786" s="11">
        <f t="shared" si="42"/>
        <v>0.001885014137606</v>
      </c>
      <c r="J1786" s="9"/>
      <c r="K1786" s="11"/>
      <c r="L1786" s="9"/>
      <c r="M1786" s="11"/>
      <c r="N1786" s="9" t="s">
        <v>812</v>
      </c>
    </row>
    <row r="1787" ht="25" customHeight="1" spans="1:14">
      <c r="A1787" s="9" t="s">
        <v>371</v>
      </c>
      <c r="B1787" s="9" t="s">
        <v>370</v>
      </c>
      <c r="C1787" s="10">
        <v>44581</v>
      </c>
      <c r="D1787" s="15">
        <v>1.057</v>
      </c>
      <c r="E1787" s="15">
        <v>1.057</v>
      </c>
      <c r="F1787" s="15">
        <v>1.057</v>
      </c>
      <c r="G1787" s="11">
        <v>-0.0019</v>
      </c>
      <c r="H1787" s="9">
        <f>MAX($F$1644:F1787)</f>
        <v>1.061</v>
      </c>
      <c r="I1787" s="11">
        <f t="shared" si="42"/>
        <v>0.00377002827521211</v>
      </c>
      <c r="J1787" s="9"/>
      <c r="K1787" s="11"/>
      <c r="L1787" s="9"/>
      <c r="M1787" s="11"/>
      <c r="N1787" s="9" t="s">
        <v>812</v>
      </c>
    </row>
    <row r="1788" ht="25" customHeight="1" spans="1:14">
      <c r="A1788" s="9" t="s">
        <v>371</v>
      </c>
      <c r="B1788" s="9" t="s">
        <v>370</v>
      </c>
      <c r="C1788" s="10">
        <v>44582</v>
      </c>
      <c r="D1788" s="15">
        <v>1.059</v>
      </c>
      <c r="E1788" s="15">
        <v>1.059</v>
      </c>
      <c r="F1788" s="15">
        <v>1.059</v>
      </c>
      <c r="G1788" s="11">
        <v>0.0019</v>
      </c>
      <c r="H1788" s="9">
        <f>MAX($F$1644:F1788)</f>
        <v>1.061</v>
      </c>
      <c r="I1788" s="11">
        <f t="shared" si="42"/>
        <v>0.001885014137606</v>
      </c>
      <c r="J1788" s="9"/>
      <c r="K1788" s="11"/>
      <c r="L1788" s="9"/>
      <c r="M1788" s="11"/>
      <c r="N1788" s="9" t="s">
        <v>812</v>
      </c>
    </row>
    <row r="1789" ht="25" customHeight="1" spans="1:14">
      <c r="A1789" s="9" t="s">
        <v>371</v>
      </c>
      <c r="B1789" s="9" t="s">
        <v>370</v>
      </c>
      <c r="C1789" s="10">
        <v>44588</v>
      </c>
      <c r="D1789" s="15">
        <v>1.063</v>
      </c>
      <c r="E1789" s="15">
        <v>1.063</v>
      </c>
      <c r="F1789" s="15">
        <v>1.063</v>
      </c>
      <c r="G1789" s="11">
        <v>0.0038</v>
      </c>
      <c r="H1789" s="9">
        <f>MAX($F$1644:F1789)</f>
        <v>1.063</v>
      </c>
      <c r="I1789" s="11">
        <f t="shared" si="42"/>
        <v>0</v>
      </c>
      <c r="J1789" s="9"/>
      <c r="K1789" s="11"/>
      <c r="L1789" s="9"/>
      <c r="M1789" s="11"/>
      <c r="N1789" s="9" t="s">
        <v>812</v>
      </c>
    </row>
    <row r="1790" ht="25" customHeight="1" spans="1:14">
      <c r="A1790" s="9" t="s">
        <v>371</v>
      </c>
      <c r="B1790" s="9" t="s">
        <v>370</v>
      </c>
      <c r="C1790" s="10">
        <v>44589</v>
      </c>
      <c r="D1790" s="15">
        <v>1.064</v>
      </c>
      <c r="E1790" s="15">
        <v>1.064</v>
      </c>
      <c r="F1790" s="15">
        <v>1.064</v>
      </c>
      <c r="G1790" s="11">
        <v>0.0009</v>
      </c>
      <c r="H1790" s="9">
        <f>MAX($F$1644:F1790)</f>
        <v>1.064</v>
      </c>
      <c r="I1790" s="11">
        <f t="shared" si="42"/>
        <v>0</v>
      </c>
      <c r="J1790" s="9"/>
      <c r="K1790" s="11"/>
      <c r="L1790" s="9"/>
      <c r="M1790" s="11"/>
      <c r="N1790" s="9" t="s">
        <v>812</v>
      </c>
    </row>
    <row r="1791" ht="25" customHeight="1" spans="1:14">
      <c r="A1791" s="9" t="s">
        <v>371</v>
      </c>
      <c r="B1791" s="9" t="s">
        <v>370</v>
      </c>
      <c r="C1791" s="10">
        <v>44599</v>
      </c>
      <c r="D1791" s="15">
        <v>1.063</v>
      </c>
      <c r="E1791" s="15">
        <v>1.063</v>
      </c>
      <c r="F1791" s="15">
        <v>1.063</v>
      </c>
      <c r="G1791" s="11">
        <v>-0.0009</v>
      </c>
      <c r="H1791" s="9">
        <f>MAX($F$1644:F1791)</f>
        <v>1.064</v>
      </c>
      <c r="I1791" s="11">
        <f t="shared" si="42"/>
        <v>0.000939849624060241</v>
      </c>
      <c r="J1791" s="9"/>
      <c r="K1791" s="11"/>
      <c r="L1791" s="9"/>
      <c r="M1791" s="11"/>
      <c r="N1791" s="9" t="s">
        <v>812</v>
      </c>
    </row>
    <row r="1792" ht="25" customHeight="1" spans="1:14">
      <c r="A1792" s="9" t="s">
        <v>371</v>
      </c>
      <c r="B1792" s="9" t="s">
        <v>370</v>
      </c>
      <c r="C1792" s="10">
        <v>44602</v>
      </c>
      <c r="D1792" s="15">
        <v>1.064</v>
      </c>
      <c r="E1792" s="15">
        <v>1.064</v>
      </c>
      <c r="F1792" s="15">
        <v>1.064</v>
      </c>
      <c r="G1792" s="11">
        <v>0.0009</v>
      </c>
      <c r="H1792" s="9">
        <f>MAX($F$1644:F1792)</f>
        <v>1.064</v>
      </c>
      <c r="I1792" s="11">
        <f t="shared" si="42"/>
        <v>0</v>
      </c>
      <c r="J1792" s="9"/>
      <c r="K1792" s="11"/>
      <c r="L1792" s="9"/>
      <c r="M1792" s="11"/>
      <c r="N1792" s="9" t="s">
        <v>812</v>
      </c>
    </row>
    <row r="1793" ht="25" customHeight="1" spans="1:14">
      <c r="A1793" s="9" t="s">
        <v>371</v>
      </c>
      <c r="B1793" s="9" t="s">
        <v>370</v>
      </c>
      <c r="C1793" s="10">
        <v>44603</v>
      </c>
      <c r="D1793" s="15">
        <v>1.064</v>
      </c>
      <c r="E1793" s="15">
        <v>1.064</v>
      </c>
      <c r="F1793" s="15">
        <v>1.064</v>
      </c>
      <c r="G1793" s="11">
        <v>0</v>
      </c>
      <c r="H1793" s="9">
        <f>MAX($F$1644:F1793)</f>
        <v>1.064</v>
      </c>
      <c r="I1793" s="11">
        <f t="shared" si="42"/>
        <v>0</v>
      </c>
      <c r="J1793" s="9"/>
      <c r="K1793" s="11"/>
      <c r="L1793" s="9"/>
      <c r="M1793" s="11"/>
      <c r="N1793" s="9" t="s">
        <v>812</v>
      </c>
    </row>
    <row r="1794" ht="25" customHeight="1" spans="1:14">
      <c r="A1794" s="9" t="s">
        <v>371</v>
      </c>
      <c r="B1794" s="9" t="s">
        <v>370</v>
      </c>
      <c r="C1794" s="10">
        <v>44609</v>
      </c>
      <c r="D1794" s="15">
        <v>1.065</v>
      </c>
      <c r="E1794" s="15">
        <v>1.065</v>
      </c>
      <c r="F1794" s="15">
        <v>1.065</v>
      </c>
      <c r="G1794" s="11">
        <v>0.0009</v>
      </c>
      <c r="H1794" s="9">
        <f>MAX($F$1644:F1794)</f>
        <v>1.065</v>
      </c>
      <c r="I1794" s="11">
        <f t="shared" ref="I1794:I1857" si="43">1-F1794/H1794</f>
        <v>0</v>
      </c>
      <c r="J1794" s="9"/>
      <c r="K1794" s="11"/>
      <c r="L1794" s="9"/>
      <c r="M1794" s="11"/>
      <c r="N1794" s="9" t="s">
        <v>812</v>
      </c>
    </row>
    <row r="1795" ht="25" customHeight="1" spans="1:14">
      <c r="A1795" s="9" t="s">
        <v>371</v>
      </c>
      <c r="B1795" s="9" t="s">
        <v>370</v>
      </c>
      <c r="C1795" s="10">
        <v>44610</v>
      </c>
      <c r="D1795" s="15">
        <v>1.067</v>
      </c>
      <c r="E1795" s="15">
        <v>1.067</v>
      </c>
      <c r="F1795" s="15">
        <v>1.067</v>
      </c>
      <c r="G1795" s="11">
        <v>0.0019</v>
      </c>
      <c r="H1795" s="9">
        <f>MAX($F$1644:F1795)</f>
        <v>1.067</v>
      </c>
      <c r="I1795" s="11">
        <f t="shared" si="43"/>
        <v>0</v>
      </c>
      <c r="J1795" s="9"/>
      <c r="K1795" s="11"/>
      <c r="L1795" s="9"/>
      <c r="M1795" s="11"/>
      <c r="N1795" s="9" t="s">
        <v>812</v>
      </c>
    </row>
    <row r="1796" ht="25" customHeight="1" spans="1:14">
      <c r="A1796" s="9" t="s">
        <v>371</v>
      </c>
      <c r="B1796" s="9" t="s">
        <v>370</v>
      </c>
      <c r="C1796" s="10">
        <v>44616</v>
      </c>
      <c r="D1796" s="15">
        <v>1.068</v>
      </c>
      <c r="E1796" s="15">
        <v>1.068</v>
      </c>
      <c r="F1796" s="15">
        <v>1.068</v>
      </c>
      <c r="G1796" s="11">
        <v>0.0009</v>
      </c>
      <c r="H1796" s="9">
        <f>MAX($F$1644:F1796)</f>
        <v>1.068</v>
      </c>
      <c r="I1796" s="11">
        <f t="shared" si="43"/>
        <v>0</v>
      </c>
      <c r="J1796" s="9"/>
      <c r="K1796" s="11"/>
      <c r="L1796" s="9"/>
      <c r="M1796" s="11"/>
      <c r="N1796" s="9" t="s">
        <v>812</v>
      </c>
    </row>
    <row r="1797" ht="25" customHeight="1" spans="1:14">
      <c r="A1797" s="9" t="s">
        <v>371</v>
      </c>
      <c r="B1797" s="9" t="s">
        <v>370</v>
      </c>
      <c r="C1797" s="10">
        <v>44617</v>
      </c>
      <c r="D1797" s="15">
        <v>1.068</v>
      </c>
      <c r="E1797" s="15">
        <v>1.068</v>
      </c>
      <c r="F1797" s="15">
        <v>1.068</v>
      </c>
      <c r="G1797" s="11">
        <v>0</v>
      </c>
      <c r="H1797" s="9">
        <f>MAX($F$1644:F1797)</f>
        <v>1.068</v>
      </c>
      <c r="I1797" s="11">
        <f t="shared" si="43"/>
        <v>0</v>
      </c>
      <c r="J1797" s="9"/>
      <c r="K1797" s="11"/>
      <c r="L1797" s="9"/>
      <c r="M1797" s="11"/>
      <c r="N1797" s="9" t="s">
        <v>812</v>
      </c>
    </row>
    <row r="1798" ht="25" customHeight="1" spans="1:14">
      <c r="A1798" s="9" t="s">
        <v>371</v>
      </c>
      <c r="B1798" s="9" t="s">
        <v>370</v>
      </c>
      <c r="C1798" s="10">
        <v>44620</v>
      </c>
      <c r="D1798" s="15">
        <v>1.068</v>
      </c>
      <c r="E1798" s="15">
        <v>1.068</v>
      </c>
      <c r="F1798" s="15">
        <v>1.068</v>
      </c>
      <c r="G1798" s="11">
        <v>0</v>
      </c>
      <c r="H1798" s="9">
        <f>MAX($F$1644:F1798)</f>
        <v>1.068</v>
      </c>
      <c r="I1798" s="11">
        <f t="shared" si="43"/>
        <v>0</v>
      </c>
      <c r="J1798" s="9"/>
      <c r="K1798" s="11"/>
      <c r="L1798" s="9"/>
      <c r="M1798" s="11"/>
      <c r="N1798" s="9" t="s">
        <v>812</v>
      </c>
    </row>
    <row r="1799" ht="25" customHeight="1" spans="1:14">
      <c r="A1799" s="9" t="s">
        <v>371</v>
      </c>
      <c r="B1799" s="9" t="s">
        <v>370</v>
      </c>
      <c r="C1799" s="10">
        <v>44623</v>
      </c>
      <c r="D1799" s="15">
        <v>1.068</v>
      </c>
      <c r="E1799" s="15">
        <v>1.068</v>
      </c>
      <c r="F1799" s="15">
        <v>1.068</v>
      </c>
      <c r="G1799" s="11">
        <v>0</v>
      </c>
      <c r="H1799" s="9">
        <f>MAX($F$1644:F1799)</f>
        <v>1.068</v>
      </c>
      <c r="I1799" s="11">
        <f t="shared" si="43"/>
        <v>0</v>
      </c>
      <c r="J1799" s="9"/>
      <c r="K1799" s="11"/>
      <c r="L1799" s="9"/>
      <c r="M1799" s="11"/>
      <c r="N1799" s="9" t="s">
        <v>812</v>
      </c>
    </row>
    <row r="1800" ht="25" customHeight="1" spans="1:14">
      <c r="A1800" s="9" t="s">
        <v>371</v>
      </c>
      <c r="B1800" s="9" t="s">
        <v>370</v>
      </c>
      <c r="C1800" s="10">
        <v>44624</v>
      </c>
      <c r="D1800" s="15">
        <v>1.069</v>
      </c>
      <c r="E1800" s="15">
        <v>1.069</v>
      </c>
      <c r="F1800" s="15">
        <v>1.069</v>
      </c>
      <c r="G1800" s="11">
        <v>0.0009</v>
      </c>
      <c r="H1800" s="9">
        <f>MAX($F$1644:F1800)</f>
        <v>1.069</v>
      </c>
      <c r="I1800" s="11">
        <f t="shared" si="43"/>
        <v>0</v>
      </c>
      <c r="J1800" s="9"/>
      <c r="K1800" s="11"/>
      <c r="L1800" s="9"/>
      <c r="M1800" s="11"/>
      <c r="N1800" s="9" t="s">
        <v>812</v>
      </c>
    </row>
    <row r="1801" ht="25" customHeight="1" spans="1:14">
      <c r="A1801" s="9" t="s">
        <v>371</v>
      </c>
      <c r="B1801" s="9" t="s">
        <v>370</v>
      </c>
      <c r="C1801" s="10">
        <v>44630</v>
      </c>
      <c r="D1801" s="15">
        <v>1.074</v>
      </c>
      <c r="E1801" s="15">
        <v>1.074</v>
      </c>
      <c r="F1801" s="15">
        <v>1.074</v>
      </c>
      <c r="G1801" s="11">
        <v>0.0047</v>
      </c>
      <c r="H1801" s="9">
        <f>MAX($F$1644:F1801)</f>
        <v>1.074</v>
      </c>
      <c r="I1801" s="11">
        <f t="shared" si="43"/>
        <v>0</v>
      </c>
      <c r="J1801" s="9"/>
      <c r="K1801" s="11"/>
      <c r="L1801" s="9"/>
      <c r="M1801" s="11"/>
      <c r="N1801" s="9" t="s">
        <v>812</v>
      </c>
    </row>
    <row r="1802" ht="25" customHeight="1" spans="1:14">
      <c r="A1802" s="9" t="s">
        <v>371</v>
      </c>
      <c r="B1802" s="9" t="s">
        <v>370</v>
      </c>
      <c r="C1802" s="10">
        <v>44631</v>
      </c>
      <c r="D1802" s="15">
        <v>1.078</v>
      </c>
      <c r="E1802" s="15">
        <v>1.078</v>
      </c>
      <c r="F1802" s="15">
        <v>1.078</v>
      </c>
      <c r="G1802" s="11">
        <v>0.0037</v>
      </c>
      <c r="H1802" s="9">
        <f>MAX($F$1644:F1802)</f>
        <v>1.078</v>
      </c>
      <c r="I1802" s="11">
        <f t="shared" si="43"/>
        <v>0</v>
      </c>
      <c r="J1802" s="9"/>
      <c r="K1802" s="11"/>
      <c r="L1802" s="9"/>
      <c r="M1802" s="11"/>
      <c r="N1802" s="9" t="s">
        <v>812</v>
      </c>
    </row>
    <row r="1803" ht="25" customHeight="1" spans="1:14">
      <c r="A1803" s="9" t="s">
        <v>371</v>
      </c>
      <c r="B1803" s="9" t="s">
        <v>370</v>
      </c>
      <c r="C1803" s="10">
        <v>44637</v>
      </c>
      <c r="D1803" s="15">
        <v>1.084</v>
      </c>
      <c r="E1803" s="15">
        <v>1.084</v>
      </c>
      <c r="F1803" s="15">
        <v>1.084</v>
      </c>
      <c r="G1803" s="11">
        <v>0.0056</v>
      </c>
      <c r="H1803" s="9">
        <f>MAX($F$1644:F1803)</f>
        <v>1.084</v>
      </c>
      <c r="I1803" s="11">
        <f t="shared" si="43"/>
        <v>0</v>
      </c>
      <c r="J1803" s="9"/>
      <c r="K1803" s="11"/>
      <c r="L1803" s="9"/>
      <c r="M1803" s="11"/>
      <c r="N1803" s="9" t="s">
        <v>812</v>
      </c>
    </row>
    <row r="1804" ht="25" customHeight="1" spans="1:14">
      <c r="A1804" s="9" t="s">
        <v>371</v>
      </c>
      <c r="B1804" s="9" t="s">
        <v>370</v>
      </c>
      <c r="C1804" s="10">
        <v>44638</v>
      </c>
      <c r="D1804" s="15">
        <v>1.085</v>
      </c>
      <c r="E1804" s="15">
        <v>1.085</v>
      </c>
      <c r="F1804" s="15">
        <v>1.085</v>
      </c>
      <c r="G1804" s="11">
        <v>0.0009</v>
      </c>
      <c r="H1804" s="9">
        <f>MAX($F$1644:F1804)</f>
        <v>1.085</v>
      </c>
      <c r="I1804" s="11">
        <f t="shared" si="43"/>
        <v>0</v>
      </c>
      <c r="J1804" s="9"/>
      <c r="K1804" s="11"/>
      <c r="L1804" s="9"/>
      <c r="M1804" s="11"/>
      <c r="N1804" s="9" t="s">
        <v>812</v>
      </c>
    </row>
    <row r="1805" ht="25" customHeight="1" spans="1:14">
      <c r="A1805" s="9" t="s">
        <v>371</v>
      </c>
      <c r="B1805" s="9" t="s">
        <v>370</v>
      </c>
      <c r="C1805" s="10">
        <v>44644</v>
      </c>
      <c r="D1805" s="15">
        <v>1.086</v>
      </c>
      <c r="E1805" s="15">
        <v>1.086</v>
      </c>
      <c r="F1805" s="15">
        <v>1.086</v>
      </c>
      <c r="G1805" s="11">
        <v>0.0009</v>
      </c>
      <c r="H1805" s="9">
        <f>MAX($F$1644:F1805)</f>
        <v>1.086</v>
      </c>
      <c r="I1805" s="11">
        <f t="shared" si="43"/>
        <v>0</v>
      </c>
      <c r="J1805" s="9"/>
      <c r="K1805" s="11"/>
      <c r="L1805" s="9"/>
      <c r="M1805" s="11"/>
      <c r="N1805" s="9" t="s">
        <v>812</v>
      </c>
    </row>
    <row r="1806" ht="25" customHeight="1" spans="1:14">
      <c r="A1806" s="9" t="s">
        <v>371</v>
      </c>
      <c r="B1806" s="9" t="s">
        <v>370</v>
      </c>
      <c r="C1806" s="10">
        <v>44645</v>
      </c>
      <c r="D1806" s="15">
        <v>1.086</v>
      </c>
      <c r="E1806" s="15">
        <v>1.086</v>
      </c>
      <c r="F1806" s="15">
        <v>1.086</v>
      </c>
      <c r="G1806" s="11">
        <v>0</v>
      </c>
      <c r="H1806" s="9">
        <f>MAX($F$1644:F1806)</f>
        <v>1.086</v>
      </c>
      <c r="I1806" s="11">
        <f t="shared" si="43"/>
        <v>0</v>
      </c>
      <c r="J1806" s="9"/>
      <c r="K1806" s="11"/>
      <c r="L1806" s="9"/>
      <c r="M1806" s="11"/>
      <c r="N1806" s="9" t="s">
        <v>812</v>
      </c>
    </row>
    <row r="1807" ht="25" customHeight="1" spans="1:14">
      <c r="A1807" s="9" t="s">
        <v>371</v>
      </c>
      <c r="B1807" s="9" t="s">
        <v>370</v>
      </c>
      <c r="C1807" s="10">
        <v>44651</v>
      </c>
      <c r="D1807" s="15">
        <v>1.09</v>
      </c>
      <c r="E1807" s="15">
        <v>1.09</v>
      </c>
      <c r="F1807" s="15">
        <v>1.09</v>
      </c>
      <c r="G1807" s="11">
        <v>0.0037</v>
      </c>
      <c r="H1807" s="9">
        <f>MAX($F$1644:F1807)</f>
        <v>1.09</v>
      </c>
      <c r="I1807" s="11">
        <f t="shared" si="43"/>
        <v>0</v>
      </c>
      <c r="J1807" s="9"/>
      <c r="K1807" s="11"/>
      <c r="L1807" s="9"/>
      <c r="M1807" s="11"/>
      <c r="N1807" s="9" t="s">
        <v>812</v>
      </c>
    </row>
    <row r="1808" ht="25" customHeight="1" spans="1:14">
      <c r="A1808" s="9" t="s">
        <v>371</v>
      </c>
      <c r="B1808" s="9" t="s">
        <v>370</v>
      </c>
      <c r="C1808" s="10">
        <v>44652</v>
      </c>
      <c r="D1808" s="15">
        <v>1.091</v>
      </c>
      <c r="E1808" s="15">
        <v>1.091</v>
      </c>
      <c r="F1808" s="15">
        <v>1.091</v>
      </c>
      <c r="G1808" s="11">
        <v>0.0009</v>
      </c>
      <c r="H1808" s="9">
        <f>MAX($F$1644:F1808)</f>
        <v>1.091</v>
      </c>
      <c r="I1808" s="11">
        <f t="shared" si="43"/>
        <v>0</v>
      </c>
      <c r="J1808" s="9"/>
      <c r="K1808" s="11"/>
      <c r="L1808" s="9"/>
      <c r="M1808" s="11"/>
      <c r="N1808" s="9" t="s">
        <v>812</v>
      </c>
    </row>
    <row r="1809" ht="25" customHeight="1" spans="1:14">
      <c r="A1809" s="9" t="s">
        <v>371</v>
      </c>
      <c r="B1809" s="9" t="s">
        <v>370</v>
      </c>
      <c r="C1809" s="10">
        <v>44658</v>
      </c>
      <c r="D1809" s="15">
        <v>1.092</v>
      </c>
      <c r="E1809" s="15">
        <v>1.092</v>
      </c>
      <c r="F1809" s="15">
        <v>1.092</v>
      </c>
      <c r="G1809" s="11">
        <v>0.0009</v>
      </c>
      <c r="H1809" s="9">
        <f>MAX($F$1644:F1809)</f>
        <v>1.092</v>
      </c>
      <c r="I1809" s="11">
        <f t="shared" si="43"/>
        <v>0</v>
      </c>
      <c r="J1809" s="9"/>
      <c r="K1809" s="11"/>
      <c r="L1809" s="9"/>
      <c r="M1809" s="11"/>
      <c r="N1809" s="9" t="s">
        <v>812</v>
      </c>
    </row>
    <row r="1810" ht="25" customHeight="1" spans="1:14">
      <c r="A1810" s="9" t="s">
        <v>371</v>
      </c>
      <c r="B1810" s="9" t="s">
        <v>370</v>
      </c>
      <c r="C1810" s="10">
        <v>44659</v>
      </c>
      <c r="D1810" s="15">
        <v>1.093</v>
      </c>
      <c r="E1810" s="15">
        <v>1.093</v>
      </c>
      <c r="F1810" s="15">
        <v>1.093</v>
      </c>
      <c r="G1810" s="11">
        <v>0.0009</v>
      </c>
      <c r="H1810" s="9">
        <f>MAX($F$1644:F1810)</f>
        <v>1.093</v>
      </c>
      <c r="I1810" s="11">
        <f t="shared" si="43"/>
        <v>0</v>
      </c>
      <c r="J1810" s="9"/>
      <c r="K1810" s="11"/>
      <c r="L1810" s="9"/>
      <c r="M1810" s="11"/>
      <c r="N1810" s="9" t="s">
        <v>812</v>
      </c>
    </row>
    <row r="1811" ht="25" customHeight="1" spans="1:14">
      <c r="A1811" s="9" t="s">
        <v>371</v>
      </c>
      <c r="B1811" s="9" t="s">
        <v>370</v>
      </c>
      <c r="C1811" s="10">
        <v>44665</v>
      </c>
      <c r="D1811" s="15">
        <v>1.091</v>
      </c>
      <c r="E1811" s="15">
        <v>1.091</v>
      </c>
      <c r="F1811" s="15">
        <v>1.091</v>
      </c>
      <c r="G1811" s="11">
        <v>-0.0018</v>
      </c>
      <c r="H1811" s="9">
        <f>MAX($F$1644:F1811)</f>
        <v>1.093</v>
      </c>
      <c r="I1811" s="11">
        <f t="shared" si="43"/>
        <v>0.00182982616651417</v>
      </c>
      <c r="J1811" s="9"/>
      <c r="K1811" s="11"/>
      <c r="L1811" s="9"/>
      <c r="M1811" s="11"/>
      <c r="N1811" s="9" t="s">
        <v>812</v>
      </c>
    </row>
    <row r="1812" ht="25" customHeight="1" spans="1:14">
      <c r="A1812" s="9" t="s">
        <v>371</v>
      </c>
      <c r="B1812" s="9" t="s">
        <v>370</v>
      </c>
      <c r="C1812" s="10">
        <v>44666</v>
      </c>
      <c r="D1812" s="15">
        <v>1.095</v>
      </c>
      <c r="E1812" s="15">
        <v>1.095</v>
      </c>
      <c r="F1812" s="15">
        <v>1.095</v>
      </c>
      <c r="G1812" s="11">
        <v>0.0037</v>
      </c>
      <c r="H1812" s="9">
        <f>MAX($F$1644:F1812)</f>
        <v>1.095</v>
      </c>
      <c r="I1812" s="11">
        <f t="shared" si="43"/>
        <v>0</v>
      </c>
      <c r="J1812" s="9"/>
      <c r="K1812" s="11"/>
      <c r="L1812" s="9"/>
      <c r="M1812" s="11"/>
      <c r="N1812" s="9" t="s">
        <v>812</v>
      </c>
    </row>
    <row r="1813" ht="25" customHeight="1" spans="1:14">
      <c r="A1813" s="9" t="s">
        <v>371</v>
      </c>
      <c r="B1813" s="9" t="s">
        <v>370</v>
      </c>
      <c r="C1813" s="10">
        <v>44672</v>
      </c>
      <c r="D1813" s="15">
        <v>1.095</v>
      </c>
      <c r="E1813" s="15">
        <v>1.095</v>
      </c>
      <c r="F1813" s="15">
        <v>1.095</v>
      </c>
      <c r="G1813" s="11">
        <v>0</v>
      </c>
      <c r="H1813" s="9">
        <f>MAX($F$1644:F1813)</f>
        <v>1.095</v>
      </c>
      <c r="I1813" s="11">
        <f t="shared" si="43"/>
        <v>0</v>
      </c>
      <c r="J1813" s="9"/>
      <c r="K1813" s="11"/>
      <c r="L1813" s="9"/>
      <c r="M1813" s="11"/>
      <c r="N1813" s="9" t="s">
        <v>812</v>
      </c>
    </row>
    <row r="1814" ht="25" customHeight="1" spans="1:14">
      <c r="A1814" s="9" t="s">
        <v>371</v>
      </c>
      <c r="B1814" s="9" t="s">
        <v>370</v>
      </c>
      <c r="C1814" s="10">
        <v>44673</v>
      </c>
      <c r="D1814" s="15">
        <v>1.099</v>
      </c>
      <c r="E1814" s="15">
        <v>1.099</v>
      </c>
      <c r="F1814" s="15">
        <v>1.099</v>
      </c>
      <c r="G1814" s="11">
        <v>0.0037</v>
      </c>
      <c r="H1814" s="9">
        <f>MAX($F$1644:F1814)</f>
        <v>1.099</v>
      </c>
      <c r="I1814" s="11">
        <f t="shared" si="43"/>
        <v>0</v>
      </c>
      <c r="J1814" s="9"/>
      <c r="K1814" s="11"/>
      <c r="L1814" s="9"/>
      <c r="M1814" s="11"/>
      <c r="N1814" s="9" t="s">
        <v>812</v>
      </c>
    </row>
    <row r="1815" ht="25" customHeight="1" spans="1:14">
      <c r="A1815" s="9" t="s">
        <v>371</v>
      </c>
      <c r="B1815" s="9" t="s">
        <v>370</v>
      </c>
      <c r="C1815" s="10">
        <v>44679</v>
      </c>
      <c r="D1815" s="15">
        <v>1.105</v>
      </c>
      <c r="E1815" s="15">
        <v>1.105</v>
      </c>
      <c r="F1815" s="15">
        <v>1.105</v>
      </c>
      <c r="G1815" s="11">
        <v>0.0055</v>
      </c>
      <c r="H1815" s="9">
        <f>MAX($F$1644:F1815)</f>
        <v>1.105</v>
      </c>
      <c r="I1815" s="11">
        <f t="shared" si="43"/>
        <v>0</v>
      </c>
      <c r="J1815" s="9"/>
      <c r="K1815" s="11"/>
      <c r="L1815" s="9"/>
      <c r="M1815" s="11"/>
      <c r="N1815" s="9" t="s">
        <v>812</v>
      </c>
    </row>
    <row r="1816" ht="25" customHeight="1" spans="1:14">
      <c r="A1816" s="9" t="s">
        <v>371</v>
      </c>
      <c r="B1816" s="9" t="s">
        <v>370</v>
      </c>
      <c r="C1816" s="10">
        <v>44680</v>
      </c>
      <c r="D1816" s="15">
        <v>1.104</v>
      </c>
      <c r="E1816" s="15">
        <v>1.104</v>
      </c>
      <c r="F1816" s="15">
        <v>1.104</v>
      </c>
      <c r="G1816" s="11">
        <v>-0.0009</v>
      </c>
      <c r="H1816" s="9">
        <f>MAX($F$1644:F1816)</f>
        <v>1.105</v>
      </c>
      <c r="I1816" s="11">
        <f t="shared" si="43"/>
        <v>0.000904977375565497</v>
      </c>
      <c r="J1816" s="9"/>
      <c r="K1816" s="11"/>
      <c r="L1816" s="9"/>
      <c r="M1816" s="11"/>
      <c r="N1816" s="9" t="s">
        <v>812</v>
      </c>
    </row>
    <row r="1817" ht="25" customHeight="1" spans="1:14">
      <c r="A1817" s="9" t="s">
        <v>371</v>
      </c>
      <c r="B1817" s="9" t="s">
        <v>370</v>
      </c>
      <c r="C1817" s="10">
        <v>44686</v>
      </c>
      <c r="D1817" s="15">
        <v>1.105</v>
      </c>
      <c r="E1817" s="15">
        <v>1.105</v>
      </c>
      <c r="F1817" s="15">
        <v>1.105</v>
      </c>
      <c r="G1817" s="11">
        <v>0.0009</v>
      </c>
      <c r="H1817" s="9">
        <f>MAX($F$1644:F1817)</f>
        <v>1.105</v>
      </c>
      <c r="I1817" s="11">
        <f t="shared" si="43"/>
        <v>0</v>
      </c>
      <c r="J1817" s="9"/>
      <c r="K1817" s="11"/>
      <c r="L1817" s="9"/>
      <c r="M1817" s="11"/>
      <c r="N1817" s="9" t="s">
        <v>812</v>
      </c>
    </row>
    <row r="1818" ht="25" customHeight="1" spans="1:14">
      <c r="A1818" s="9" t="s">
        <v>371</v>
      </c>
      <c r="B1818" s="9" t="s">
        <v>370</v>
      </c>
      <c r="C1818" s="10">
        <v>44687</v>
      </c>
      <c r="D1818" s="15">
        <v>1.105</v>
      </c>
      <c r="E1818" s="15">
        <v>1.105</v>
      </c>
      <c r="F1818" s="15">
        <v>1.105</v>
      </c>
      <c r="G1818" s="11">
        <v>0</v>
      </c>
      <c r="H1818" s="9">
        <f>MAX($F$1644:F1818)</f>
        <v>1.105</v>
      </c>
      <c r="I1818" s="11">
        <f t="shared" si="43"/>
        <v>0</v>
      </c>
      <c r="J1818" s="9"/>
      <c r="K1818" s="11"/>
      <c r="L1818" s="9"/>
      <c r="M1818" s="11"/>
      <c r="N1818" s="9" t="s">
        <v>812</v>
      </c>
    </row>
    <row r="1819" ht="25" customHeight="1" spans="1:14">
      <c r="A1819" s="9" t="s">
        <v>371</v>
      </c>
      <c r="B1819" s="9" t="s">
        <v>370</v>
      </c>
      <c r="C1819" s="10">
        <v>44693</v>
      </c>
      <c r="D1819" s="15">
        <v>1.106</v>
      </c>
      <c r="E1819" s="15">
        <v>1.106</v>
      </c>
      <c r="F1819" s="15">
        <v>1.106</v>
      </c>
      <c r="G1819" s="11">
        <v>0.0009</v>
      </c>
      <c r="H1819" s="9">
        <f>MAX($F$1644:F1819)</f>
        <v>1.106</v>
      </c>
      <c r="I1819" s="11">
        <f t="shared" si="43"/>
        <v>0</v>
      </c>
      <c r="J1819" s="9"/>
      <c r="K1819" s="11"/>
      <c r="L1819" s="9"/>
      <c r="M1819" s="11"/>
      <c r="N1819" s="9" t="s">
        <v>812</v>
      </c>
    </row>
    <row r="1820" ht="25" customHeight="1" spans="1:14">
      <c r="A1820" s="9" t="s">
        <v>371</v>
      </c>
      <c r="B1820" s="9" t="s">
        <v>370</v>
      </c>
      <c r="C1820" s="10">
        <v>44694</v>
      </c>
      <c r="D1820" s="15">
        <v>1.107</v>
      </c>
      <c r="E1820" s="15">
        <v>1.107</v>
      </c>
      <c r="F1820" s="15">
        <v>1.107</v>
      </c>
      <c r="G1820" s="11">
        <v>0.0009</v>
      </c>
      <c r="H1820" s="9">
        <f>MAX($F$1644:F1820)</f>
        <v>1.107</v>
      </c>
      <c r="I1820" s="11">
        <f t="shared" si="43"/>
        <v>0</v>
      </c>
      <c r="J1820" s="9"/>
      <c r="K1820" s="11"/>
      <c r="L1820" s="9"/>
      <c r="M1820" s="11"/>
      <c r="N1820" s="9" t="s">
        <v>812</v>
      </c>
    </row>
    <row r="1821" ht="25" customHeight="1" spans="1:14">
      <c r="A1821" s="9" t="s">
        <v>371</v>
      </c>
      <c r="B1821" s="9" t="s">
        <v>370</v>
      </c>
      <c r="C1821" s="10">
        <v>44700</v>
      </c>
      <c r="D1821" s="15">
        <v>1.11</v>
      </c>
      <c r="E1821" s="15">
        <v>1.11</v>
      </c>
      <c r="F1821" s="15">
        <v>1.11</v>
      </c>
      <c r="G1821" s="11">
        <v>0.0027</v>
      </c>
      <c r="H1821" s="9">
        <f>MAX($F$1644:F1821)</f>
        <v>1.11</v>
      </c>
      <c r="I1821" s="11">
        <f t="shared" si="43"/>
        <v>0</v>
      </c>
      <c r="J1821" s="9"/>
      <c r="K1821" s="11"/>
      <c r="L1821" s="9"/>
      <c r="M1821" s="11"/>
      <c r="N1821" s="9" t="s">
        <v>812</v>
      </c>
    </row>
    <row r="1822" ht="25" customHeight="1" spans="1:14">
      <c r="A1822" s="9" t="s">
        <v>371</v>
      </c>
      <c r="B1822" s="9" t="s">
        <v>370</v>
      </c>
      <c r="C1822" s="10">
        <v>44701</v>
      </c>
      <c r="D1822" s="15">
        <v>1.11</v>
      </c>
      <c r="E1822" s="15">
        <v>1.11</v>
      </c>
      <c r="F1822" s="15">
        <v>1.11</v>
      </c>
      <c r="G1822" s="11">
        <v>0</v>
      </c>
      <c r="H1822" s="9">
        <f>MAX($F$1644:F1822)</f>
        <v>1.11</v>
      </c>
      <c r="I1822" s="11">
        <f t="shared" si="43"/>
        <v>0</v>
      </c>
      <c r="J1822" s="9"/>
      <c r="K1822" s="11"/>
      <c r="L1822" s="9"/>
      <c r="M1822" s="11"/>
      <c r="N1822" s="9" t="s">
        <v>812</v>
      </c>
    </row>
    <row r="1823" ht="25" customHeight="1" spans="1:14">
      <c r="A1823" s="9" t="s">
        <v>371</v>
      </c>
      <c r="B1823" s="9" t="s">
        <v>370</v>
      </c>
      <c r="C1823" s="10">
        <v>44707</v>
      </c>
      <c r="D1823" s="15">
        <v>1.109</v>
      </c>
      <c r="E1823" s="15">
        <v>1.109</v>
      </c>
      <c r="F1823" s="15">
        <v>1.109</v>
      </c>
      <c r="G1823" s="11">
        <v>-0.0009</v>
      </c>
      <c r="H1823" s="9">
        <f>MAX($F$1644:F1823)</f>
        <v>1.11</v>
      </c>
      <c r="I1823" s="11">
        <f t="shared" si="43"/>
        <v>0.000900900900901003</v>
      </c>
      <c r="J1823" s="9"/>
      <c r="K1823" s="11"/>
      <c r="L1823" s="9"/>
      <c r="M1823" s="11"/>
      <c r="N1823" s="9" t="s">
        <v>812</v>
      </c>
    </row>
    <row r="1824" ht="25" customHeight="1" spans="1:14">
      <c r="A1824" s="9" t="s">
        <v>371</v>
      </c>
      <c r="B1824" s="9" t="s">
        <v>370</v>
      </c>
      <c r="C1824" s="10">
        <v>44708</v>
      </c>
      <c r="D1824" s="15">
        <v>1.11</v>
      </c>
      <c r="E1824" s="15">
        <v>1.11</v>
      </c>
      <c r="F1824" s="15">
        <v>1.11</v>
      </c>
      <c r="G1824" s="11">
        <v>0.0009</v>
      </c>
      <c r="H1824" s="9">
        <f>MAX($F$1644:F1824)</f>
        <v>1.11</v>
      </c>
      <c r="I1824" s="11">
        <f t="shared" si="43"/>
        <v>0</v>
      </c>
      <c r="J1824" s="9"/>
      <c r="K1824" s="11"/>
      <c r="L1824" s="9"/>
      <c r="M1824" s="11"/>
      <c r="N1824" s="9" t="s">
        <v>812</v>
      </c>
    </row>
    <row r="1825" ht="25" customHeight="1" spans="1:14">
      <c r="A1825" s="9" t="s">
        <v>371</v>
      </c>
      <c r="B1825" s="9" t="s">
        <v>370</v>
      </c>
      <c r="C1825" s="10">
        <v>44712</v>
      </c>
      <c r="D1825" s="15">
        <v>1.109</v>
      </c>
      <c r="E1825" s="15">
        <v>1.109</v>
      </c>
      <c r="F1825" s="15">
        <v>1.109</v>
      </c>
      <c r="G1825" s="11">
        <v>-0.0009</v>
      </c>
      <c r="H1825" s="9">
        <f>MAX($F$1644:F1825)</f>
        <v>1.11</v>
      </c>
      <c r="I1825" s="11">
        <f t="shared" si="43"/>
        <v>0.000900900900901003</v>
      </c>
      <c r="J1825" s="9"/>
      <c r="K1825" s="11"/>
      <c r="L1825" s="9"/>
      <c r="M1825" s="11"/>
      <c r="N1825" s="9" t="s">
        <v>812</v>
      </c>
    </row>
    <row r="1826" ht="25" customHeight="1" spans="1:14">
      <c r="A1826" s="9" t="s">
        <v>371</v>
      </c>
      <c r="B1826" s="9" t="s">
        <v>370</v>
      </c>
      <c r="C1826" s="10">
        <v>44714</v>
      </c>
      <c r="D1826" s="15">
        <v>1.111</v>
      </c>
      <c r="E1826" s="15">
        <v>1.111</v>
      </c>
      <c r="F1826" s="15">
        <v>1.111</v>
      </c>
      <c r="G1826" s="11">
        <v>0.0018</v>
      </c>
      <c r="H1826" s="9">
        <f>MAX($F$1644:F1826)</f>
        <v>1.111</v>
      </c>
      <c r="I1826" s="11">
        <f t="shared" si="43"/>
        <v>0</v>
      </c>
      <c r="J1826" s="9"/>
      <c r="K1826" s="11"/>
      <c r="L1826" s="9"/>
      <c r="M1826" s="11"/>
      <c r="N1826" s="9" t="s">
        <v>812</v>
      </c>
    </row>
    <row r="1827" ht="25" customHeight="1" spans="1:14">
      <c r="A1827" s="9" t="s">
        <v>371</v>
      </c>
      <c r="B1827" s="9" t="s">
        <v>370</v>
      </c>
      <c r="C1827" s="10">
        <v>44721</v>
      </c>
      <c r="D1827" s="15">
        <v>1.112</v>
      </c>
      <c r="E1827" s="15">
        <v>1.112</v>
      </c>
      <c r="F1827" s="15">
        <v>1.112</v>
      </c>
      <c r="G1827" s="11">
        <v>0.0009</v>
      </c>
      <c r="H1827" s="9">
        <f>MAX($F$1644:F1827)</f>
        <v>1.112</v>
      </c>
      <c r="I1827" s="11">
        <f t="shared" si="43"/>
        <v>0</v>
      </c>
      <c r="J1827" s="9"/>
      <c r="K1827" s="11"/>
      <c r="L1827" s="9"/>
      <c r="M1827" s="11"/>
      <c r="N1827" s="9" t="s">
        <v>812</v>
      </c>
    </row>
    <row r="1828" ht="25" customHeight="1" spans="1:14">
      <c r="A1828" s="9" t="s">
        <v>371</v>
      </c>
      <c r="B1828" s="9" t="s">
        <v>370</v>
      </c>
      <c r="C1828" s="10">
        <v>44722</v>
      </c>
      <c r="D1828" s="15">
        <v>1.113</v>
      </c>
      <c r="E1828" s="15">
        <v>1.113</v>
      </c>
      <c r="F1828" s="15">
        <v>1.113</v>
      </c>
      <c r="G1828" s="11">
        <v>0.0009</v>
      </c>
      <c r="H1828" s="9">
        <f>MAX($F$1644:F1828)</f>
        <v>1.113</v>
      </c>
      <c r="I1828" s="11">
        <f t="shared" si="43"/>
        <v>0</v>
      </c>
      <c r="J1828" s="9"/>
      <c r="K1828" s="11"/>
      <c r="L1828" s="9"/>
      <c r="M1828" s="11"/>
      <c r="N1828" s="9" t="s">
        <v>812</v>
      </c>
    </row>
    <row r="1829" ht="25" customHeight="1" spans="1:14">
      <c r="A1829" s="9" t="s">
        <v>371</v>
      </c>
      <c r="B1829" s="9" t="s">
        <v>370</v>
      </c>
      <c r="C1829" s="10">
        <v>44728</v>
      </c>
      <c r="D1829" s="15">
        <v>1.118</v>
      </c>
      <c r="E1829" s="15">
        <v>1.118</v>
      </c>
      <c r="F1829" s="15">
        <v>1.118</v>
      </c>
      <c r="G1829" s="11">
        <v>0.0045</v>
      </c>
      <c r="H1829" s="9">
        <f>MAX($F$1644:F1829)</f>
        <v>1.118</v>
      </c>
      <c r="I1829" s="11">
        <f t="shared" si="43"/>
        <v>0</v>
      </c>
      <c r="J1829" s="9"/>
      <c r="K1829" s="11"/>
      <c r="L1829" s="9"/>
      <c r="M1829" s="11"/>
      <c r="N1829" s="9" t="s">
        <v>812</v>
      </c>
    </row>
    <row r="1830" ht="25" customHeight="1" spans="1:14">
      <c r="A1830" s="9" t="s">
        <v>371</v>
      </c>
      <c r="B1830" s="9" t="s">
        <v>370</v>
      </c>
      <c r="C1830" s="10">
        <v>44729</v>
      </c>
      <c r="D1830" s="15">
        <v>1.118</v>
      </c>
      <c r="E1830" s="15">
        <v>1.118</v>
      </c>
      <c r="F1830" s="15">
        <v>1.118</v>
      </c>
      <c r="G1830" s="11">
        <v>0</v>
      </c>
      <c r="H1830" s="9">
        <f>MAX($F$1644:F1830)</f>
        <v>1.118</v>
      </c>
      <c r="I1830" s="11">
        <f t="shared" si="43"/>
        <v>0</v>
      </c>
      <c r="J1830" s="9"/>
      <c r="K1830" s="11"/>
      <c r="L1830" s="9"/>
      <c r="M1830" s="11"/>
      <c r="N1830" s="9" t="s">
        <v>812</v>
      </c>
    </row>
    <row r="1831" ht="25" customHeight="1" spans="1:14">
      <c r="A1831" s="9" t="s">
        <v>371</v>
      </c>
      <c r="B1831" s="9" t="s">
        <v>370</v>
      </c>
      <c r="C1831" s="10">
        <v>44735</v>
      </c>
      <c r="D1831" s="15">
        <v>1.119</v>
      </c>
      <c r="E1831" s="15">
        <v>1.119</v>
      </c>
      <c r="F1831" s="15">
        <v>1.119</v>
      </c>
      <c r="G1831" s="11">
        <v>0.0009</v>
      </c>
      <c r="H1831" s="9">
        <f>MAX($F$1644:F1831)</f>
        <v>1.119</v>
      </c>
      <c r="I1831" s="11">
        <f t="shared" si="43"/>
        <v>0</v>
      </c>
      <c r="J1831" s="9"/>
      <c r="K1831" s="11"/>
      <c r="L1831" s="9"/>
      <c r="M1831" s="11"/>
      <c r="N1831" s="9" t="s">
        <v>812</v>
      </c>
    </row>
    <row r="1832" ht="25" customHeight="1" spans="1:14">
      <c r="A1832" s="9" t="s">
        <v>371</v>
      </c>
      <c r="B1832" s="9" t="s">
        <v>370</v>
      </c>
      <c r="C1832" s="10">
        <v>44736</v>
      </c>
      <c r="D1832" s="15">
        <v>1.118</v>
      </c>
      <c r="E1832" s="15">
        <v>1.118</v>
      </c>
      <c r="F1832" s="15">
        <v>1.118</v>
      </c>
      <c r="G1832" s="11">
        <v>-0.0009</v>
      </c>
      <c r="H1832" s="9">
        <f>MAX($F$1644:F1832)</f>
        <v>1.119</v>
      </c>
      <c r="I1832" s="11">
        <f t="shared" si="43"/>
        <v>0.000893655049150954</v>
      </c>
      <c r="J1832" s="9"/>
      <c r="K1832" s="11"/>
      <c r="L1832" s="9"/>
      <c r="M1832" s="11"/>
      <c r="N1832" s="9" t="s">
        <v>812</v>
      </c>
    </row>
    <row r="1833" ht="25" customHeight="1" spans="1:14">
      <c r="A1833" s="9" t="s">
        <v>371</v>
      </c>
      <c r="B1833" s="9" t="s">
        <v>370</v>
      </c>
      <c r="C1833" s="10">
        <v>44742</v>
      </c>
      <c r="D1833" s="15">
        <v>1.123</v>
      </c>
      <c r="E1833" s="15">
        <v>1.123</v>
      </c>
      <c r="F1833" s="15">
        <v>1.123</v>
      </c>
      <c r="G1833" s="11">
        <v>0.0045</v>
      </c>
      <c r="H1833" s="9">
        <f>MAX($F$1644:F1833)</f>
        <v>1.123</v>
      </c>
      <c r="I1833" s="11">
        <f t="shared" si="43"/>
        <v>0</v>
      </c>
      <c r="J1833" s="9"/>
      <c r="K1833" s="11"/>
      <c r="L1833" s="9"/>
      <c r="M1833" s="11"/>
      <c r="N1833" s="9" t="s">
        <v>812</v>
      </c>
    </row>
    <row r="1834" ht="25" customHeight="1" spans="1:14">
      <c r="A1834" s="9" t="s">
        <v>371</v>
      </c>
      <c r="B1834" s="9" t="s">
        <v>370</v>
      </c>
      <c r="C1834" s="10">
        <v>44743</v>
      </c>
      <c r="D1834" s="15">
        <v>1.119</v>
      </c>
      <c r="E1834" s="15">
        <v>1.119</v>
      </c>
      <c r="F1834" s="15">
        <v>1.119</v>
      </c>
      <c r="G1834" s="11">
        <v>-0.0036</v>
      </c>
      <c r="H1834" s="9">
        <f>MAX($F$1644:F1834)</f>
        <v>1.123</v>
      </c>
      <c r="I1834" s="11">
        <f t="shared" si="43"/>
        <v>0.00356188780053424</v>
      </c>
      <c r="J1834" s="9"/>
      <c r="K1834" s="11"/>
      <c r="L1834" s="9"/>
      <c r="M1834" s="11"/>
      <c r="N1834" s="9" t="s">
        <v>812</v>
      </c>
    </row>
    <row r="1835" ht="25" customHeight="1" spans="1:14">
      <c r="A1835" s="9" t="s">
        <v>371</v>
      </c>
      <c r="B1835" s="9" t="s">
        <v>370</v>
      </c>
      <c r="C1835" s="10">
        <v>44749</v>
      </c>
      <c r="D1835" s="15">
        <v>1.122</v>
      </c>
      <c r="E1835" s="15">
        <v>1.122</v>
      </c>
      <c r="F1835" s="15">
        <v>1.122</v>
      </c>
      <c r="G1835" s="11">
        <v>0.0027</v>
      </c>
      <c r="H1835" s="9">
        <f>MAX($F$1644:F1835)</f>
        <v>1.123</v>
      </c>
      <c r="I1835" s="11">
        <f t="shared" si="43"/>
        <v>0.000890471950133476</v>
      </c>
      <c r="J1835" s="9"/>
      <c r="K1835" s="11"/>
      <c r="L1835" s="9"/>
      <c r="M1835" s="11"/>
      <c r="N1835" s="9" t="s">
        <v>812</v>
      </c>
    </row>
    <row r="1836" ht="25" customHeight="1" spans="1:14">
      <c r="A1836" s="9" t="s">
        <v>371</v>
      </c>
      <c r="B1836" s="9" t="s">
        <v>370</v>
      </c>
      <c r="C1836" s="10">
        <v>44750</v>
      </c>
      <c r="D1836" s="15">
        <v>1.123</v>
      </c>
      <c r="E1836" s="15">
        <v>1.123</v>
      </c>
      <c r="F1836" s="15">
        <v>1.123</v>
      </c>
      <c r="G1836" s="11">
        <v>0.0009</v>
      </c>
      <c r="H1836" s="9">
        <f>MAX($F$1644:F1836)</f>
        <v>1.123</v>
      </c>
      <c r="I1836" s="11">
        <f t="shared" si="43"/>
        <v>0</v>
      </c>
      <c r="J1836" s="9"/>
      <c r="K1836" s="11"/>
      <c r="L1836" s="9"/>
      <c r="M1836" s="11"/>
      <c r="N1836" s="9" t="s">
        <v>812</v>
      </c>
    </row>
    <row r="1837" ht="25" customHeight="1" spans="1:14">
      <c r="A1837" s="9" t="s">
        <v>371</v>
      </c>
      <c r="B1837" s="9" t="s">
        <v>370</v>
      </c>
      <c r="C1837" s="10">
        <v>44756</v>
      </c>
      <c r="D1837" s="15">
        <v>1.12</v>
      </c>
      <c r="E1837" s="15">
        <v>1.12</v>
      </c>
      <c r="F1837" s="15">
        <v>1.12</v>
      </c>
      <c r="G1837" s="11">
        <v>-0.0027</v>
      </c>
      <c r="H1837" s="9">
        <f>MAX($F$1644:F1837)</f>
        <v>1.123</v>
      </c>
      <c r="I1837" s="11">
        <f t="shared" si="43"/>
        <v>0.00267141585040065</v>
      </c>
      <c r="J1837" s="9"/>
      <c r="K1837" s="11"/>
      <c r="L1837" s="9"/>
      <c r="M1837" s="11"/>
      <c r="N1837" s="9" t="s">
        <v>812</v>
      </c>
    </row>
    <row r="1838" ht="25" customHeight="1" spans="1:14">
      <c r="A1838" s="9" t="s">
        <v>371</v>
      </c>
      <c r="B1838" s="9" t="s">
        <v>370</v>
      </c>
      <c r="C1838" s="10">
        <v>44757</v>
      </c>
      <c r="D1838" s="15">
        <v>1.133</v>
      </c>
      <c r="E1838" s="15">
        <v>1.133</v>
      </c>
      <c r="F1838" s="15">
        <v>1.133</v>
      </c>
      <c r="G1838" s="11">
        <v>0.0116</v>
      </c>
      <c r="H1838" s="9">
        <f>MAX($F$1644:F1838)</f>
        <v>1.133</v>
      </c>
      <c r="I1838" s="11">
        <f t="shared" si="43"/>
        <v>0</v>
      </c>
      <c r="J1838" s="9"/>
      <c r="K1838" s="11"/>
      <c r="L1838" s="9"/>
      <c r="M1838" s="11"/>
      <c r="N1838" s="9" t="s">
        <v>812</v>
      </c>
    </row>
    <row r="1839" ht="25" customHeight="1" spans="1:14">
      <c r="A1839" s="9" t="s">
        <v>371</v>
      </c>
      <c r="B1839" s="9" t="s">
        <v>370</v>
      </c>
      <c r="C1839" s="10">
        <v>44763</v>
      </c>
      <c r="D1839" s="15">
        <v>1.128</v>
      </c>
      <c r="E1839" s="15">
        <v>1.128</v>
      </c>
      <c r="F1839" s="15">
        <v>1.128</v>
      </c>
      <c r="G1839" s="11">
        <v>-0.0044</v>
      </c>
      <c r="H1839" s="9">
        <f>MAX($F$1644:F1839)</f>
        <v>1.133</v>
      </c>
      <c r="I1839" s="11">
        <f t="shared" si="43"/>
        <v>0.00441306266548991</v>
      </c>
      <c r="J1839" s="9"/>
      <c r="K1839" s="11"/>
      <c r="L1839" s="9"/>
      <c r="M1839" s="11"/>
      <c r="N1839" s="9" t="s">
        <v>812</v>
      </c>
    </row>
    <row r="1840" ht="25" customHeight="1" spans="1:14">
      <c r="A1840" s="9" t="s">
        <v>371</v>
      </c>
      <c r="B1840" s="9" t="s">
        <v>370</v>
      </c>
      <c r="C1840" s="10">
        <v>44764</v>
      </c>
      <c r="D1840" s="15">
        <v>1.123</v>
      </c>
      <c r="E1840" s="15">
        <v>1.123</v>
      </c>
      <c r="F1840" s="15">
        <v>1.123</v>
      </c>
      <c r="G1840" s="11">
        <v>-0.0044</v>
      </c>
      <c r="H1840" s="9">
        <f>MAX($F$1644:F1840)</f>
        <v>1.133</v>
      </c>
      <c r="I1840" s="11">
        <f t="shared" si="43"/>
        <v>0.00882612533097971</v>
      </c>
      <c r="J1840" s="9"/>
      <c r="K1840" s="11"/>
      <c r="L1840" s="9"/>
      <c r="M1840" s="11"/>
      <c r="N1840" s="9" t="s">
        <v>812</v>
      </c>
    </row>
    <row r="1841" ht="25" customHeight="1" spans="1:14">
      <c r="A1841" s="9" t="s">
        <v>371</v>
      </c>
      <c r="B1841" s="9" t="s">
        <v>370</v>
      </c>
      <c r="C1841" s="10">
        <v>44770</v>
      </c>
      <c r="D1841" s="15">
        <v>1.126</v>
      </c>
      <c r="E1841" s="15">
        <v>1.126</v>
      </c>
      <c r="F1841" s="15">
        <v>1.126</v>
      </c>
      <c r="G1841" s="11">
        <v>0.0027</v>
      </c>
      <c r="H1841" s="9">
        <f>MAX($F$1644:F1841)</f>
        <v>1.133</v>
      </c>
      <c r="I1841" s="11">
        <f t="shared" si="43"/>
        <v>0.00617828773168594</v>
      </c>
      <c r="J1841" s="9"/>
      <c r="K1841" s="11"/>
      <c r="L1841" s="9"/>
      <c r="M1841" s="11"/>
      <c r="N1841" s="9" t="s">
        <v>812</v>
      </c>
    </row>
    <row r="1842" ht="25" customHeight="1" spans="1:14">
      <c r="A1842" s="9" t="s">
        <v>371</v>
      </c>
      <c r="B1842" s="9" t="s">
        <v>370</v>
      </c>
      <c r="C1842" s="10">
        <v>44771</v>
      </c>
      <c r="D1842" s="15">
        <v>1.126</v>
      </c>
      <c r="E1842" s="15">
        <v>1.126</v>
      </c>
      <c r="F1842" s="15">
        <v>1.126</v>
      </c>
      <c r="G1842" s="11">
        <v>0</v>
      </c>
      <c r="H1842" s="9">
        <f>MAX($F$1644:F1842)</f>
        <v>1.133</v>
      </c>
      <c r="I1842" s="11">
        <f t="shared" si="43"/>
        <v>0.00617828773168594</v>
      </c>
      <c r="J1842" s="9"/>
      <c r="K1842" s="11"/>
      <c r="L1842" s="9"/>
      <c r="M1842" s="11"/>
      <c r="N1842" s="9" t="s">
        <v>812</v>
      </c>
    </row>
    <row r="1843" ht="25" customHeight="1" spans="1:14">
      <c r="A1843" s="9" t="s">
        <v>371</v>
      </c>
      <c r="B1843" s="9" t="s">
        <v>370</v>
      </c>
      <c r="C1843" s="10">
        <v>44777</v>
      </c>
      <c r="D1843" s="15">
        <v>1.125</v>
      </c>
      <c r="E1843" s="15">
        <v>1.125</v>
      </c>
      <c r="F1843" s="15">
        <v>1.125</v>
      </c>
      <c r="G1843" s="11">
        <v>-0.0009</v>
      </c>
      <c r="H1843" s="9">
        <f>MAX($F$1644:F1843)</f>
        <v>1.133</v>
      </c>
      <c r="I1843" s="11">
        <f t="shared" si="43"/>
        <v>0.00706090026478379</v>
      </c>
      <c r="J1843" s="9"/>
      <c r="K1843" s="11"/>
      <c r="L1843" s="9"/>
      <c r="M1843" s="11"/>
      <c r="N1843" s="9" t="s">
        <v>812</v>
      </c>
    </row>
    <row r="1844" ht="25" customHeight="1" spans="1:14">
      <c r="A1844" s="9" t="s">
        <v>371</v>
      </c>
      <c r="B1844" s="9" t="s">
        <v>370</v>
      </c>
      <c r="C1844" s="10">
        <v>44778</v>
      </c>
      <c r="D1844" s="15">
        <v>1.125</v>
      </c>
      <c r="E1844" s="15">
        <v>1.125</v>
      </c>
      <c r="F1844" s="15">
        <v>1.125</v>
      </c>
      <c r="G1844" s="11">
        <v>0</v>
      </c>
      <c r="H1844" s="9">
        <f>MAX($F$1644:F1844)</f>
        <v>1.133</v>
      </c>
      <c r="I1844" s="11">
        <f t="shared" si="43"/>
        <v>0.00706090026478379</v>
      </c>
      <c r="J1844" s="9"/>
      <c r="K1844" s="11"/>
      <c r="L1844" s="9"/>
      <c r="M1844" s="11"/>
      <c r="N1844" s="9" t="s">
        <v>812</v>
      </c>
    </row>
    <row r="1845" ht="25" customHeight="1" spans="1:14">
      <c r="A1845" s="9" t="s">
        <v>371</v>
      </c>
      <c r="B1845" s="9" t="s">
        <v>370</v>
      </c>
      <c r="C1845" s="10">
        <v>44784</v>
      </c>
      <c r="D1845" s="15">
        <v>1.127</v>
      </c>
      <c r="E1845" s="15">
        <v>1.127</v>
      </c>
      <c r="F1845" s="15">
        <v>1.127</v>
      </c>
      <c r="G1845" s="11">
        <v>0.0018</v>
      </c>
      <c r="H1845" s="9">
        <f>MAX($F$1644:F1845)</f>
        <v>1.133</v>
      </c>
      <c r="I1845" s="11">
        <f t="shared" si="43"/>
        <v>0.00529567519858787</v>
      </c>
      <c r="J1845" s="9"/>
      <c r="K1845" s="11"/>
      <c r="L1845" s="9"/>
      <c r="M1845" s="11"/>
      <c r="N1845" s="9" t="s">
        <v>812</v>
      </c>
    </row>
    <row r="1846" ht="25" customHeight="1" spans="1:14">
      <c r="A1846" s="9" t="s">
        <v>371</v>
      </c>
      <c r="B1846" s="9" t="s">
        <v>370</v>
      </c>
      <c r="C1846" s="10">
        <v>44785</v>
      </c>
      <c r="D1846" s="15">
        <v>1.127</v>
      </c>
      <c r="E1846" s="15">
        <v>1.127</v>
      </c>
      <c r="F1846" s="15">
        <v>1.127</v>
      </c>
      <c r="G1846" s="11">
        <v>0</v>
      </c>
      <c r="H1846" s="9">
        <f>MAX($F$1644:F1846)</f>
        <v>1.133</v>
      </c>
      <c r="I1846" s="11">
        <f t="shared" si="43"/>
        <v>0.00529567519858787</v>
      </c>
      <c r="J1846" s="9"/>
      <c r="K1846" s="11"/>
      <c r="L1846" s="9"/>
      <c r="M1846" s="11"/>
      <c r="N1846" s="9" t="s">
        <v>812</v>
      </c>
    </row>
    <row r="1847" ht="25" customHeight="1" spans="1:14">
      <c r="A1847" s="9" t="s">
        <v>371</v>
      </c>
      <c r="B1847" s="9" t="s">
        <v>370</v>
      </c>
      <c r="C1847" s="10">
        <v>44791</v>
      </c>
      <c r="D1847" s="15">
        <v>1.128</v>
      </c>
      <c r="E1847" s="15">
        <v>1.128</v>
      </c>
      <c r="F1847" s="15">
        <v>1.128</v>
      </c>
      <c r="G1847" s="11">
        <v>0.0009</v>
      </c>
      <c r="H1847" s="9">
        <f>MAX($F$1644:F1847)</f>
        <v>1.133</v>
      </c>
      <c r="I1847" s="11">
        <f t="shared" si="43"/>
        <v>0.00441306266548991</v>
      </c>
      <c r="J1847" s="9"/>
      <c r="K1847" s="11"/>
      <c r="L1847" s="9"/>
      <c r="M1847" s="11"/>
      <c r="N1847" s="9" t="s">
        <v>812</v>
      </c>
    </row>
    <row r="1848" ht="25" customHeight="1" spans="1:14">
      <c r="A1848" s="9" t="s">
        <v>371</v>
      </c>
      <c r="B1848" s="9" t="s">
        <v>370</v>
      </c>
      <c r="C1848" s="10">
        <v>44792</v>
      </c>
      <c r="D1848" s="15">
        <v>1.128</v>
      </c>
      <c r="E1848" s="15">
        <v>1.128</v>
      </c>
      <c r="F1848" s="15">
        <v>1.128</v>
      </c>
      <c r="G1848" s="11">
        <v>0</v>
      </c>
      <c r="H1848" s="9">
        <f>MAX($F$1644:F1848)</f>
        <v>1.133</v>
      </c>
      <c r="I1848" s="11">
        <f t="shared" si="43"/>
        <v>0.00441306266548991</v>
      </c>
      <c r="J1848" s="9"/>
      <c r="K1848" s="11"/>
      <c r="L1848" s="9"/>
      <c r="M1848" s="11"/>
      <c r="N1848" s="9" t="s">
        <v>812</v>
      </c>
    </row>
    <row r="1849" ht="25" customHeight="1" spans="1:14">
      <c r="A1849" s="9" t="s">
        <v>371</v>
      </c>
      <c r="B1849" s="9" t="s">
        <v>370</v>
      </c>
      <c r="C1849" s="10">
        <v>44798</v>
      </c>
      <c r="D1849" s="15">
        <v>1.13</v>
      </c>
      <c r="E1849" s="15">
        <v>1.13</v>
      </c>
      <c r="F1849" s="15">
        <v>1.13</v>
      </c>
      <c r="G1849" s="11">
        <v>0.0018</v>
      </c>
      <c r="H1849" s="9">
        <f>MAX($F$1644:F1849)</f>
        <v>1.133</v>
      </c>
      <c r="I1849" s="11">
        <f t="shared" si="43"/>
        <v>0.00264783759929399</v>
      </c>
      <c r="J1849" s="9"/>
      <c r="K1849" s="11"/>
      <c r="L1849" s="9"/>
      <c r="M1849" s="11"/>
      <c r="N1849" s="9" t="s">
        <v>812</v>
      </c>
    </row>
    <row r="1850" ht="25" customHeight="1" spans="1:14">
      <c r="A1850" s="9" t="s">
        <v>371</v>
      </c>
      <c r="B1850" s="9" t="s">
        <v>370</v>
      </c>
      <c r="C1850" s="10">
        <v>44799</v>
      </c>
      <c r="D1850" s="15">
        <v>1.129</v>
      </c>
      <c r="E1850" s="15">
        <v>1.129</v>
      </c>
      <c r="F1850" s="15">
        <v>1.129</v>
      </c>
      <c r="G1850" s="11">
        <v>-0.0009</v>
      </c>
      <c r="H1850" s="9">
        <f>MAX($F$1644:F1850)</f>
        <v>1.133</v>
      </c>
      <c r="I1850" s="11">
        <f t="shared" si="43"/>
        <v>0.00353045013239184</v>
      </c>
      <c r="J1850" s="9"/>
      <c r="K1850" s="11"/>
      <c r="L1850" s="9"/>
      <c r="M1850" s="11"/>
      <c r="N1850" s="9" t="s">
        <v>812</v>
      </c>
    </row>
    <row r="1851" ht="25" customHeight="1" spans="1:14">
      <c r="A1851" s="9" t="s">
        <v>371</v>
      </c>
      <c r="B1851" s="9" t="s">
        <v>370</v>
      </c>
      <c r="C1851" s="10">
        <v>44804</v>
      </c>
      <c r="D1851" s="15">
        <v>1.13</v>
      </c>
      <c r="E1851" s="15">
        <v>1.13</v>
      </c>
      <c r="F1851" s="15">
        <v>1.13</v>
      </c>
      <c r="G1851" s="11">
        <v>0.0009</v>
      </c>
      <c r="H1851" s="9">
        <f>MAX($F$1644:F1851)</f>
        <v>1.133</v>
      </c>
      <c r="I1851" s="11">
        <f t="shared" si="43"/>
        <v>0.00264783759929399</v>
      </c>
      <c r="J1851" s="9"/>
      <c r="K1851" s="11"/>
      <c r="L1851" s="9"/>
      <c r="M1851" s="11"/>
      <c r="N1851" s="9" t="s">
        <v>812</v>
      </c>
    </row>
    <row r="1852" ht="25" customHeight="1" spans="1:14">
      <c r="A1852" s="9" t="s">
        <v>371</v>
      </c>
      <c r="B1852" s="9" t="s">
        <v>370</v>
      </c>
      <c r="C1852" s="10">
        <v>44805</v>
      </c>
      <c r="D1852" s="15">
        <v>1.133</v>
      </c>
      <c r="E1852" s="15">
        <v>1.133</v>
      </c>
      <c r="F1852" s="15">
        <v>1.133</v>
      </c>
      <c r="G1852" s="11">
        <v>0.0027</v>
      </c>
      <c r="H1852" s="9">
        <f>MAX($F$1644:F1852)</f>
        <v>1.133</v>
      </c>
      <c r="I1852" s="11">
        <f t="shared" si="43"/>
        <v>0</v>
      </c>
      <c r="J1852" s="9"/>
      <c r="K1852" s="11"/>
      <c r="L1852" s="9"/>
      <c r="M1852" s="11"/>
      <c r="N1852" s="9" t="s">
        <v>812</v>
      </c>
    </row>
    <row r="1853" ht="25" customHeight="1" spans="1:14">
      <c r="A1853" s="9" t="s">
        <v>371</v>
      </c>
      <c r="B1853" s="9" t="s">
        <v>370</v>
      </c>
      <c r="C1853" s="10">
        <v>44806</v>
      </c>
      <c r="D1853" s="15">
        <v>1.124</v>
      </c>
      <c r="E1853" s="15">
        <v>1.124</v>
      </c>
      <c r="F1853" s="15">
        <v>1.124</v>
      </c>
      <c r="G1853" s="11">
        <v>-0.0079</v>
      </c>
      <c r="H1853" s="9">
        <f>MAX($F$1644:F1853)</f>
        <v>1.133</v>
      </c>
      <c r="I1853" s="11">
        <f t="shared" si="43"/>
        <v>0.00794351279788164</v>
      </c>
      <c r="J1853" s="9"/>
      <c r="K1853" s="11"/>
      <c r="L1853" s="9"/>
      <c r="M1853" s="11"/>
      <c r="N1853" s="9" t="s">
        <v>812</v>
      </c>
    </row>
    <row r="1854" ht="25" customHeight="1" spans="1:14">
      <c r="A1854" s="9" t="s">
        <v>371</v>
      </c>
      <c r="B1854" s="9" t="s">
        <v>370</v>
      </c>
      <c r="C1854" s="10">
        <v>44812</v>
      </c>
      <c r="D1854" s="15">
        <v>1.131</v>
      </c>
      <c r="E1854" s="15">
        <v>1.131</v>
      </c>
      <c r="F1854" s="15">
        <v>1.131</v>
      </c>
      <c r="G1854" s="11">
        <v>0.0062</v>
      </c>
      <c r="H1854" s="9">
        <f>MAX($F$1644:F1854)</f>
        <v>1.133</v>
      </c>
      <c r="I1854" s="11">
        <f t="shared" si="43"/>
        <v>0.00176522506619592</v>
      </c>
      <c r="J1854" s="9"/>
      <c r="K1854" s="11"/>
      <c r="L1854" s="9"/>
      <c r="M1854" s="11"/>
      <c r="N1854" s="9" t="s">
        <v>812</v>
      </c>
    </row>
    <row r="1855" ht="25" customHeight="1" spans="1:14">
      <c r="A1855" s="9" t="s">
        <v>371</v>
      </c>
      <c r="B1855" s="9" t="s">
        <v>370</v>
      </c>
      <c r="C1855" s="10">
        <v>44813</v>
      </c>
      <c r="D1855" s="15">
        <v>1.131</v>
      </c>
      <c r="E1855" s="15">
        <v>1.131</v>
      </c>
      <c r="F1855" s="15">
        <v>1.131</v>
      </c>
      <c r="G1855" s="11">
        <v>0</v>
      </c>
      <c r="H1855" s="9">
        <f>MAX($F$1644:F1855)</f>
        <v>1.133</v>
      </c>
      <c r="I1855" s="11">
        <f t="shared" si="43"/>
        <v>0.00176522506619592</v>
      </c>
      <c r="J1855" s="9"/>
      <c r="K1855" s="11"/>
      <c r="L1855" s="9"/>
      <c r="M1855" s="11"/>
      <c r="N1855" s="9" t="s">
        <v>812</v>
      </c>
    </row>
    <row r="1856" ht="25" customHeight="1" spans="1:14">
      <c r="A1856" s="9" t="s">
        <v>371</v>
      </c>
      <c r="B1856" s="9" t="s">
        <v>370</v>
      </c>
      <c r="C1856" s="10">
        <v>44819</v>
      </c>
      <c r="D1856" s="15">
        <v>1.13</v>
      </c>
      <c r="E1856" s="15">
        <v>1.13</v>
      </c>
      <c r="F1856" s="15">
        <v>1.13</v>
      </c>
      <c r="G1856" s="11">
        <v>-0.0009</v>
      </c>
      <c r="H1856" s="9">
        <f>MAX($F$1644:F1856)</f>
        <v>1.133</v>
      </c>
      <c r="I1856" s="11">
        <f t="shared" si="43"/>
        <v>0.00264783759929399</v>
      </c>
      <c r="J1856" s="9"/>
      <c r="K1856" s="11"/>
      <c r="L1856" s="9"/>
      <c r="M1856" s="11"/>
      <c r="N1856" s="9" t="s">
        <v>812</v>
      </c>
    </row>
    <row r="1857" ht="25" customHeight="1" spans="1:14">
      <c r="A1857" s="9" t="s">
        <v>371</v>
      </c>
      <c r="B1857" s="9" t="s">
        <v>370</v>
      </c>
      <c r="C1857" s="10">
        <v>44820</v>
      </c>
      <c r="D1857" s="15">
        <v>1.134</v>
      </c>
      <c r="E1857" s="15">
        <v>1.134</v>
      </c>
      <c r="F1857" s="15">
        <v>1.134</v>
      </c>
      <c r="G1857" s="11">
        <v>0.0035</v>
      </c>
      <c r="H1857" s="9">
        <f>MAX($F$1644:F1857)</f>
        <v>1.134</v>
      </c>
      <c r="I1857" s="11">
        <f t="shared" si="43"/>
        <v>0</v>
      </c>
      <c r="J1857" s="9"/>
      <c r="K1857" s="11"/>
      <c r="L1857" s="9"/>
      <c r="M1857" s="11"/>
      <c r="N1857" s="9" t="s">
        <v>812</v>
      </c>
    </row>
    <row r="1858" ht="25" customHeight="1" spans="1:14">
      <c r="A1858" s="9" t="s">
        <v>371</v>
      </c>
      <c r="B1858" s="9" t="s">
        <v>370</v>
      </c>
      <c r="C1858" s="10">
        <v>44826</v>
      </c>
      <c r="D1858" s="15">
        <v>1.132</v>
      </c>
      <c r="E1858" s="15">
        <v>1.132</v>
      </c>
      <c r="F1858" s="15">
        <v>1.132</v>
      </c>
      <c r="G1858" s="11">
        <v>-0.0018</v>
      </c>
      <c r="H1858" s="9">
        <f>MAX($F$1644:F1858)</f>
        <v>1.134</v>
      </c>
      <c r="I1858" s="11">
        <f t="shared" ref="I1858:I1921" si="44">1-F1858/H1858</f>
        <v>0.00176366843033515</v>
      </c>
      <c r="J1858" s="9"/>
      <c r="K1858" s="11"/>
      <c r="L1858" s="9"/>
      <c r="M1858" s="11"/>
      <c r="N1858" s="9" t="s">
        <v>812</v>
      </c>
    </row>
    <row r="1859" ht="25" customHeight="1" spans="1:14">
      <c r="A1859" s="9" t="s">
        <v>371</v>
      </c>
      <c r="B1859" s="9" t="s">
        <v>370</v>
      </c>
      <c r="C1859" s="10">
        <v>44827</v>
      </c>
      <c r="D1859" s="15">
        <v>1.133</v>
      </c>
      <c r="E1859" s="15">
        <v>1.133</v>
      </c>
      <c r="F1859" s="15">
        <v>1.133</v>
      </c>
      <c r="G1859" s="11">
        <v>0.0009</v>
      </c>
      <c r="H1859" s="9">
        <f>MAX($F$1644:F1859)</f>
        <v>1.134</v>
      </c>
      <c r="I1859" s="11">
        <f t="shared" si="44"/>
        <v>0.00088183421516741</v>
      </c>
      <c r="J1859" s="9"/>
      <c r="K1859" s="11"/>
      <c r="L1859" s="9"/>
      <c r="M1859" s="11"/>
      <c r="N1859" s="9" t="s">
        <v>812</v>
      </c>
    </row>
    <row r="1860" ht="25" customHeight="1" spans="1:14">
      <c r="A1860" s="9" t="s">
        <v>371</v>
      </c>
      <c r="B1860" s="9" t="s">
        <v>370</v>
      </c>
      <c r="C1860" s="10">
        <v>44833</v>
      </c>
      <c r="D1860" s="15">
        <v>1.134</v>
      </c>
      <c r="E1860" s="15">
        <v>1.134</v>
      </c>
      <c r="F1860" s="15">
        <v>1.134</v>
      </c>
      <c r="G1860" s="11">
        <v>0.0009</v>
      </c>
      <c r="H1860" s="9">
        <f>MAX($F$1644:F1860)</f>
        <v>1.134</v>
      </c>
      <c r="I1860" s="11">
        <f t="shared" si="44"/>
        <v>0</v>
      </c>
      <c r="J1860" s="9"/>
      <c r="K1860" s="11"/>
      <c r="L1860" s="9"/>
      <c r="M1860" s="11"/>
      <c r="N1860" s="9" t="s">
        <v>812</v>
      </c>
    </row>
    <row r="1861" ht="25" customHeight="1" spans="1:14">
      <c r="A1861" s="9" t="s">
        <v>371</v>
      </c>
      <c r="B1861" s="9" t="s">
        <v>370</v>
      </c>
      <c r="C1861" s="10">
        <v>44834</v>
      </c>
      <c r="D1861" s="15">
        <v>1.137</v>
      </c>
      <c r="E1861" s="15">
        <v>1.137</v>
      </c>
      <c r="F1861" s="15">
        <v>1.137</v>
      </c>
      <c r="G1861" s="11">
        <v>0.0026</v>
      </c>
      <c r="H1861" s="9">
        <f>MAX($F$1644:F1861)</f>
        <v>1.137</v>
      </c>
      <c r="I1861" s="11">
        <f t="shared" si="44"/>
        <v>0</v>
      </c>
      <c r="J1861" s="9"/>
      <c r="K1861" s="11"/>
      <c r="L1861" s="9"/>
      <c r="M1861" s="11"/>
      <c r="N1861" s="9" t="s">
        <v>812</v>
      </c>
    </row>
    <row r="1862" ht="25" customHeight="1" spans="1:14">
      <c r="A1862" s="9" t="s">
        <v>371</v>
      </c>
      <c r="B1862" s="9" t="s">
        <v>370</v>
      </c>
      <c r="C1862" s="10">
        <v>44847</v>
      </c>
      <c r="D1862" s="15">
        <v>1.137</v>
      </c>
      <c r="E1862" s="15">
        <v>1.137</v>
      </c>
      <c r="F1862" s="15">
        <v>1.137</v>
      </c>
      <c r="G1862" s="11">
        <v>0</v>
      </c>
      <c r="H1862" s="9">
        <f>MAX($F$1644:F1862)</f>
        <v>1.137</v>
      </c>
      <c r="I1862" s="11">
        <f t="shared" si="44"/>
        <v>0</v>
      </c>
      <c r="J1862" s="9"/>
      <c r="K1862" s="11"/>
      <c r="L1862" s="9"/>
      <c r="M1862" s="11"/>
      <c r="N1862" s="9" t="s">
        <v>812</v>
      </c>
    </row>
    <row r="1863" ht="25" customHeight="1" spans="1:14">
      <c r="A1863" s="9" t="s">
        <v>371</v>
      </c>
      <c r="B1863" s="9" t="s">
        <v>370</v>
      </c>
      <c r="C1863" s="10">
        <v>44848</v>
      </c>
      <c r="D1863" s="15">
        <v>1.135</v>
      </c>
      <c r="E1863" s="15">
        <v>1.135</v>
      </c>
      <c r="F1863" s="15">
        <v>1.135</v>
      </c>
      <c r="G1863" s="11">
        <v>-0.0018</v>
      </c>
      <c r="H1863" s="9">
        <f>MAX($F$1644:F1863)</f>
        <v>1.137</v>
      </c>
      <c r="I1863" s="11">
        <f t="shared" si="44"/>
        <v>0.00175901495162711</v>
      </c>
      <c r="J1863" s="9"/>
      <c r="K1863" s="11"/>
      <c r="L1863" s="9"/>
      <c r="M1863" s="11"/>
      <c r="N1863" s="9" t="s">
        <v>812</v>
      </c>
    </row>
    <row r="1864" ht="25" customHeight="1" spans="1:14">
      <c r="A1864" s="9" t="s">
        <v>371</v>
      </c>
      <c r="B1864" s="9" t="s">
        <v>370</v>
      </c>
      <c r="C1864" s="10">
        <v>44854</v>
      </c>
      <c r="D1864" s="15">
        <v>1.139</v>
      </c>
      <c r="E1864" s="15">
        <v>1.139</v>
      </c>
      <c r="F1864" s="15">
        <v>1.139</v>
      </c>
      <c r="G1864" s="11">
        <v>0.0035</v>
      </c>
      <c r="H1864" s="9">
        <f>MAX($F$1644:F1864)</f>
        <v>1.139</v>
      </c>
      <c r="I1864" s="11">
        <f t="shared" si="44"/>
        <v>0</v>
      </c>
      <c r="J1864" s="9"/>
      <c r="K1864" s="11"/>
      <c r="L1864" s="9"/>
      <c r="M1864" s="11"/>
      <c r="N1864" s="9" t="s">
        <v>812</v>
      </c>
    </row>
    <row r="1865" ht="25" customHeight="1" spans="1:14">
      <c r="A1865" s="9" t="s">
        <v>371</v>
      </c>
      <c r="B1865" s="9" t="s">
        <v>370</v>
      </c>
      <c r="C1865" s="10">
        <v>44855</v>
      </c>
      <c r="D1865" s="15">
        <v>1.137</v>
      </c>
      <c r="E1865" s="15">
        <v>1.137</v>
      </c>
      <c r="F1865" s="15">
        <v>1.137</v>
      </c>
      <c r="G1865" s="11">
        <v>-0.0018</v>
      </c>
      <c r="H1865" s="9">
        <f>MAX($F$1644:F1865)</f>
        <v>1.139</v>
      </c>
      <c r="I1865" s="11">
        <f t="shared" si="44"/>
        <v>0.00175592625109744</v>
      </c>
      <c r="J1865" s="9"/>
      <c r="K1865" s="11"/>
      <c r="L1865" s="9"/>
      <c r="M1865" s="11"/>
      <c r="N1865" s="9" t="s">
        <v>812</v>
      </c>
    </row>
    <row r="1866" ht="25" customHeight="1" spans="1:14">
      <c r="A1866" s="9" t="s">
        <v>371</v>
      </c>
      <c r="B1866" s="9" t="s">
        <v>370</v>
      </c>
      <c r="C1866" s="10">
        <v>44861</v>
      </c>
      <c r="D1866" s="15">
        <v>1.14</v>
      </c>
      <c r="E1866" s="15">
        <v>1.14</v>
      </c>
      <c r="F1866" s="15">
        <v>1.14</v>
      </c>
      <c r="G1866" s="11">
        <v>0.0026</v>
      </c>
      <c r="H1866" s="9">
        <f>MAX($F$1644:F1866)</f>
        <v>1.14</v>
      </c>
      <c r="I1866" s="11">
        <f t="shared" si="44"/>
        <v>0</v>
      </c>
      <c r="J1866" s="9"/>
      <c r="K1866" s="11"/>
      <c r="L1866" s="9"/>
      <c r="M1866" s="11"/>
      <c r="N1866" s="9" t="s">
        <v>812</v>
      </c>
    </row>
    <row r="1867" ht="25" customHeight="1" spans="1:14">
      <c r="A1867" s="9" t="s">
        <v>371</v>
      </c>
      <c r="B1867" s="9" t="s">
        <v>370</v>
      </c>
      <c r="C1867" s="10">
        <v>44862</v>
      </c>
      <c r="D1867" s="15">
        <v>1.141</v>
      </c>
      <c r="E1867" s="15">
        <v>1.141</v>
      </c>
      <c r="F1867" s="15">
        <v>1.141</v>
      </c>
      <c r="G1867" s="11">
        <v>0.0009</v>
      </c>
      <c r="H1867" s="9">
        <f>MAX($F$1644:F1867)</f>
        <v>1.141</v>
      </c>
      <c r="I1867" s="11">
        <f t="shared" si="44"/>
        <v>0</v>
      </c>
      <c r="J1867" s="9"/>
      <c r="K1867" s="11"/>
      <c r="L1867" s="9"/>
      <c r="M1867" s="11"/>
      <c r="N1867" s="9" t="s">
        <v>812</v>
      </c>
    </row>
    <row r="1868" ht="25" customHeight="1" spans="1:14">
      <c r="A1868" s="9" t="s">
        <v>371</v>
      </c>
      <c r="B1868" s="9" t="s">
        <v>370</v>
      </c>
      <c r="C1868" s="10">
        <v>44865</v>
      </c>
      <c r="D1868" s="15">
        <v>1.14</v>
      </c>
      <c r="E1868" s="15">
        <v>1.14</v>
      </c>
      <c r="F1868" s="15">
        <v>1.14</v>
      </c>
      <c r="G1868" s="11">
        <v>-0.0009</v>
      </c>
      <c r="H1868" s="9">
        <f>MAX($F$1644:F1868)</f>
        <v>1.141</v>
      </c>
      <c r="I1868" s="11">
        <f t="shared" si="44"/>
        <v>0.000876424189307778</v>
      </c>
      <c r="J1868" s="9"/>
      <c r="K1868" s="11"/>
      <c r="L1868" s="9"/>
      <c r="M1868" s="11"/>
      <c r="N1868" s="9" t="s">
        <v>812</v>
      </c>
    </row>
    <row r="1869" ht="25" customHeight="1" spans="1:14">
      <c r="A1869" s="9" t="s">
        <v>371</v>
      </c>
      <c r="B1869" s="9" t="s">
        <v>370</v>
      </c>
      <c r="C1869" s="10">
        <v>44868</v>
      </c>
      <c r="D1869" s="15">
        <v>1.14</v>
      </c>
      <c r="E1869" s="15">
        <v>1.14</v>
      </c>
      <c r="F1869" s="15">
        <v>1.14</v>
      </c>
      <c r="G1869" s="11">
        <v>0</v>
      </c>
      <c r="H1869" s="9">
        <f>MAX($F$1644:F1869)</f>
        <v>1.141</v>
      </c>
      <c r="I1869" s="11">
        <f t="shared" si="44"/>
        <v>0.000876424189307778</v>
      </c>
      <c r="J1869" s="9"/>
      <c r="K1869" s="11"/>
      <c r="L1869" s="9"/>
      <c r="M1869" s="11"/>
      <c r="N1869" s="9" t="s">
        <v>812</v>
      </c>
    </row>
    <row r="1870" ht="25" customHeight="1" spans="1:14">
      <c r="A1870" s="9" t="s">
        <v>371</v>
      </c>
      <c r="B1870" s="9" t="s">
        <v>370</v>
      </c>
      <c r="C1870" s="10">
        <v>44869</v>
      </c>
      <c r="D1870" s="15">
        <v>1.14</v>
      </c>
      <c r="E1870" s="15">
        <v>1.14</v>
      </c>
      <c r="F1870" s="15">
        <v>1.14</v>
      </c>
      <c r="G1870" s="11">
        <v>0</v>
      </c>
      <c r="H1870" s="9">
        <f>MAX($F$1644:F1870)</f>
        <v>1.141</v>
      </c>
      <c r="I1870" s="11">
        <f t="shared" si="44"/>
        <v>0.000876424189307778</v>
      </c>
      <c r="J1870" s="9"/>
      <c r="K1870" s="11"/>
      <c r="L1870" s="9"/>
      <c r="M1870" s="11"/>
      <c r="N1870" s="9" t="s">
        <v>812</v>
      </c>
    </row>
    <row r="1871" ht="25" customHeight="1" spans="1:14">
      <c r="A1871" s="9" t="s">
        <v>371</v>
      </c>
      <c r="B1871" s="9" t="s">
        <v>370</v>
      </c>
      <c r="C1871" s="10">
        <v>44875</v>
      </c>
      <c r="D1871" s="15">
        <v>1.141</v>
      </c>
      <c r="E1871" s="15">
        <v>1.141</v>
      </c>
      <c r="F1871" s="15">
        <v>1.141</v>
      </c>
      <c r="G1871" s="11">
        <v>0.0009</v>
      </c>
      <c r="H1871" s="9">
        <f>MAX($F$1644:F1871)</f>
        <v>1.141</v>
      </c>
      <c r="I1871" s="11">
        <f t="shared" si="44"/>
        <v>0</v>
      </c>
      <c r="J1871" s="9"/>
      <c r="K1871" s="11"/>
      <c r="L1871" s="9"/>
      <c r="M1871" s="11"/>
      <c r="N1871" s="9" t="s">
        <v>812</v>
      </c>
    </row>
    <row r="1872" ht="25" customHeight="1" spans="1:14">
      <c r="A1872" s="9" t="s">
        <v>371</v>
      </c>
      <c r="B1872" s="9" t="s">
        <v>370</v>
      </c>
      <c r="C1872" s="10">
        <v>44876</v>
      </c>
      <c r="D1872" s="15">
        <v>1.139</v>
      </c>
      <c r="E1872" s="15">
        <v>1.139</v>
      </c>
      <c r="F1872" s="15">
        <v>1.139</v>
      </c>
      <c r="G1872" s="11">
        <v>-0.0018</v>
      </c>
      <c r="H1872" s="9">
        <f>MAX($F$1644:F1872)</f>
        <v>1.141</v>
      </c>
      <c r="I1872" s="11">
        <f t="shared" si="44"/>
        <v>0.00175284837861522</v>
      </c>
      <c r="J1872" s="9"/>
      <c r="K1872" s="11"/>
      <c r="L1872" s="9"/>
      <c r="M1872" s="11"/>
      <c r="N1872" s="9" t="s">
        <v>812</v>
      </c>
    </row>
    <row r="1873" ht="25" customHeight="1" spans="1:14">
      <c r="A1873" s="9" t="s">
        <v>371</v>
      </c>
      <c r="B1873" s="9" t="s">
        <v>370</v>
      </c>
      <c r="C1873" s="10">
        <v>44882</v>
      </c>
      <c r="D1873" s="15">
        <v>1.142</v>
      </c>
      <c r="E1873" s="15">
        <v>1.142</v>
      </c>
      <c r="F1873" s="15">
        <v>1.142</v>
      </c>
      <c r="G1873" s="11">
        <v>0.0026</v>
      </c>
      <c r="H1873" s="9">
        <f>MAX($F$1644:F1873)</f>
        <v>1.142</v>
      </c>
      <c r="I1873" s="11">
        <f t="shared" si="44"/>
        <v>0</v>
      </c>
      <c r="J1873" s="9"/>
      <c r="K1873" s="11"/>
      <c r="L1873" s="9"/>
      <c r="M1873" s="11"/>
      <c r="N1873" s="9" t="s">
        <v>812</v>
      </c>
    </row>
    <row r="1874" ht="25" customHeight="1" spans="1:14">
      <c r="A1874" s="9" t="s">
        <v>371</v>
      </c>
      <c r="B1874" s="9" t="s">
        <v>370</v>
      </c>
      <c r="C1874" s="10">
        <v>44883</v>
      </c>
      <c r="D1874" s="15">
        <v>1.143</v>
      </c>
      <c r="E1874" s="15">
        <v>1.143</v>
      </c>
      <c r="F1874" s="15">
        <v>1.143</v>
      </c>
      <c r="G1874" s="11">
        <v>0.0009</v>
      </c>
      <c r="H1874" s="9">
        <f>MAX($F$1644:F1874)</f>
        <v>1.143</v>
      </c>
      <c r="I1874" s="11">
        <f t="shared" si="44"/>
        <v>0</v>
      </c>
      <c r="J1874" s="9"/>
      <c r="K1874" s="11"/>
      <c r="L1874" s="9"/>
      <c r="M1874" s="11"/>
      <c r="N1874" s="9" t="s">
        <v>812</v>
      </c>
    </row>
    <row r="1875" ht="25" customHeight="1" spans="1:14">
      <c r="A1875" s="9" t="s">
        <v>371</v>
      </c>
      <c r="B1875" s="9" t="s">
        <v>370</v>
      </c>
      <c r="C1875" s="10">
        <v>44889</v>
      </c>
      <c r="D1875" s="15">
        <v>1.144</v>
      </c>
      <c r="E1875" s="15">
        <v>1.144</v>
      </c>
      <c r="F1875" s="15">
        <v>1.144</v>
      </c>
      <c r="G1875" s="11">
        <v>0.0009</v>
      </c>
      <c r="H1875" s="9">
        <f>MAX($F$1644:F1875)</f>
        <v>1.144</v>
      </c>
      <c r="I1875" s="11">
        <f t="shared" si="44"/>
        <v>0</v>
      </c>
      <c r="J1875" s="9"/>
      <c r="K1875" s="11"/>
      <c r="L1875" s="9"/>
      <c r="M1875" s="11"/>
      <c r="N1875" s="9" t="s">
        <v>812</v>
      </c>
    </row>
    <row r="1876" ht="25" customHeight="1" spans="1:14">
      <c r="A1876" s="9" t="s">
        <v>371</v>
      </c>
      <c r="B1876" s="9" t="s">
        <v>370</v>
      </c>
      <c r="C1876" s="10">
        <v>44890</v>
      </c>
      <c r="D1876" s="15">
        <v>1.144</v>
      </c>
      <c r="E1876" s="15">
        <v>1.144</v>
      </c>
      <c r="F1876" s="15">
        <v>1.144</v>
      </c>
      <c r="G1876" s="11">
        <v>0</v>
      </c>
      <c r="H1876" s="9">
        <f>MAX($F$1644:F1876)</f>
        <v>1.144</v>
      </c>
      <c r="I1876" s="11">
        <f t="shared" si="44"/>
        <v>0</v>
      </c>
      <c r="J1876" s="9"/>
      <c r="K1876" s="11"/>
      <c r="L1876" s="9"/>
      <c r="M1876" s="11"/>
      <c r="N1876" s="9" t="s">
        <v>812</v>
      </c>
    </row>
    <row r="1877" ht="25" customHeight="1" spans="1:14">
      <c r="A1877" s="9" t="s">
        <v>371</v>
      </c>
      <c r="B1877" s="9" t="s">
        <v>370</v>
      </c>
      <c r="C1877" s="10">
        <v>44895</v>
      </c>
      <c r="D1877" s="15">
        <v>1.145</v>
      </c>
      <c r="E1877" s="15">
        <v>1.145</v>
      </c>
      <c r="F1877" s="15">
        <v>1.145</v>
      </c>
      <c r="G1877" s="11">
        <v>0.0009</v>
      </c>
      <c r="H1877" s="9">
        <f>MAX($F$1644:F1877)</f>
        <v>1.145</v>
      </c>
      <c r="I1877" s="11">
        <f t="shared" si="44"/>
        <v>0</v>
      </c>
      <c r="J1877" s="9"/>
      <c r="K1877" s="11"/>
      <c r="L1877" s="9"/>
      <c r="M1877" s="11"/>
      <c r="N1877" s="9" t="s">
        <v>812</v>
      </c>
    </row>
    <row r="1878" ht="25" customHeight="1" spans="1:14">
      <c r="A1878" s="9" t="s">
        <v>371</v>
      </c>
      <c r="B1878" s="9" t="s">
        <v>370</v>
      </c>
      <c r="C1878" s="10">
        <v>44896</v>
      </c>
      <c r="D1878" s="15">
        <v>1.145</v>
      </c>
      <c r="E1878" s="15">
        <v>1.145</v>
      </c>
      <c r="F1878" s="15">
        <v>1.145</v>
      </c>
      <c r="G1878" s="11">
        <v>0</v>
      </c>
      <c r="H1878" s="9">
        <f>MAX($F$1644:F1878)</f>
        <v>1.145</v>
      </c>
      <c r="I1878" s="11">
        <f t="shared" si="44"/>
        <v>0</v>
      </c>
      <c r="J1878" s="9"/>
      <c r="K1878" s="11"/>
      <c r="L1878" s="9"/>
      <c r="M1878" s="11"/>
      <c r="N1878" s="9" t="s">
        <v>812</v>
      </c>
    </row>
    <row r="1879" ht="25" customHeight="1" spans="1:14">
      <c r="A1879" s="9" t="s">
        <v>371</v>
      </c>
      <c r="B1879" s="9" t="s">
        <v>370</v>
      </c>
      <c r="C1879" s="10">
        <v>44897</v>
      </c>
      <c r="D1879" s="15">
        <v>1.145</v>
      </c>
      <c r="E1879" s="15">
        <v>1.145</v>
      </c>
      <c r="F1879" s="15">
        <v>1.145</v>
      </c>
      <c r="G1879" s="11">
        <v>0</v>
      </c>
      <c r="H1879" s="9">
        <f>MAX($F$1644:F1879)</f>
        <v>1.145</v>
      </c>
      <c r="I1879" s="11">
        <f t="shared" si="44"/>
        <v>0</v>
      </c>
      <c r="J1879" s="9"/>
      <c r="K1879" s="11"/>
      <c r="L1879" s="9"/>
      <c r="M1879" s="11"/>
      <c r="N1879" s="9" t="s">
        <v>812</v>
      </c>
    </row>
    <row r="1880" ht="25" customHeight="1" spans="1:14">
      <c r="A1880" s="9" t="s">
        <v>371</v>
      </c>
      <c r="B1880" s="9" t="s">
        <v>370</v>
      </c>
      <c r="C1880" s="10">
        <v>44903</v>
      </c>
      <c r="D1880" s="15">
        <v>1.146</v>
      </c>
      <c r="E1880" s="15">
        <v>1.146</v>
      </c>
      <c r="F1880" s="15">
        <v>1.146</v>
      </c>
      <c r="G1880" s="11">
        <v>0.0009</v>
      </c>
      <c r="H1880" s="9">
        <f>MAX($F$1644:F1880)</f>
        <v>1.146</v>
      </c>
      <c r="I1880" s="11">
        <f t="shared" si="44"/>
        <v>0</v>
      </c>
      <c r="J1880" s="9"/>
      <c r="K1880" s="11"/>
      <c r="L1880" s="9"/>
      <c r="M1880" s="11"/>
      <c r="N1880" s="9" t="s">
        <v>812</v>
      </c>
    </row>
    <row r="1881" ht="25" customHeight="1" spans="1:14">
      <c r="A1881" s="9" t="s">
        <v>371</v>
      </c>
      <c r="B1881" s="9" t="s">
        <v>370</v>
      </c>
      <c r="C1881" s="10">
        <v>44904</v>
      </c>
      <c r="D1881" s="15">
        <v>1.147</v>
      </c>
      <c r="E1881" s="15">
        <v>1.147</v>
      </c>
      <c r="F1881" s="15">
        <v>1.147</v>
      </c>
      <c r="G1881" s="11">
        <v>0.0009</v>
      </c>
      <c r="H1881" s="9">
        <f>MAX($F$1644:F1881)</f>
        <v>1.147</v>
      </c>
      <c r="I1881" s="11">
        <f t="shared" si="44"/>
        <v>0</v>
      </c>
      <c r="J1881" s="9"/>
      <c r="K1881" s="11"/>
      <c r="L1881" s="9"/>
      <c r="M1881" s="11"/>
      <c r="N1881" s="9" t="s">
        <v>812</v>
      </c>
    </row>
    <row r="1882" ht="25" customHeight="1" spans="1:14">
      <c r="A1882" s="9" t="s">
        <v>371</v>
      </c>
      <c r="B1882" s="9" t="s">
        <v>370</v>
      </c>
      <c r="C1882" s="10">
        <v>44910</v>
      </c>
      <c r="D1882" s="15">
        <v>1.144</v>
      </c>
      <c r="E1882" s="15">
        <v>1.144</v>
      </c>
      <c r="F1882" s="15">
        <v>1.144</v>
      </c>
      <c r="G1882" s="11">
        <v>-0.0026</v>
      </c>
      <c r="H1882" s="9">
        <f>MAX($F$1644:F1882)</f>
        <v>1.147</v>
      </c>
      <c r="I1882" s="11">
        <f t="shared" si="44"/>
        <v>0.00261551874455113</v>
      </c>
      <c r="J1882" s="9"/>
      <c r="K1882" s="11"/>
      <c r="L1882" s="9"/>
      <c r="M1882" s="11"/>
      <c r="N1882" s="9" t="s">
        <v>812</v>
      </c>
    </row>
    <row r="1883" ht="25" customHeight="1" spans="1:14">
      <c r="A1883" s="9" t="s">
        <v>371</v>
      </c>
      <c r="B1883" s="9" t="s">
        <v>370</v>
      </c>
      <c r="C1883" s="10">
        <v>44911</v>
      </c>
      <c r="D1883" s="15">
        <v>1.142</v>
      </c>
      <c r="E1883" s="15">
        <v>1.142</v>
      </c>
      <c r="F1883" s="15">
        <v>1.142</v>
      </c>
      <c r="G1883" s="11">
        <v>-0.0017</v>
      </c>
      <c r="H1883" s="9">
        <f>MAX($F$1644:F1883)</f>
        <v>1.147</v>
      </c>
      <c r="I1883" s="11">
        <f t="shared" si="44"/>
        <v>0.0043591979075851</v>
      </c>
      <c r="J1883" s="9"/>
      <c r="K1883" s="11"/>
      <c r="L1883" s="9"/>
      <c r="M1883" s="11"/>
      <c r="N1883" s="9" t="s">
        <v>812</v>
      </c>
    </row>
    <row r="1884" ht="25" customHeight="1" spans="1:14">
      <c r="A1884" s="9" t="s">
        <v>371</v>
      </c>
      <c r="B1884" s="9" t="s">
        <v>370</v>
      </c>
      <c r="C1884" s="10">
        <v>44917</v>
      </c>
      <c r="D1884" s="15">
        <v>1.141</v>
      </c>
      <c r="E1884" s="15">
        <v>1.141</v>
      </c>
      <c r="F1884" s="15">
        <v>1.141</v>
      </c>
      <c r="G1884" s="11">
        <v>-0.0009</v>
      </c>
      <c r="H1884" s="9">
        <f>MAX($F$1644:F1884)</f>
        <v>1.147</v>
      </c>
      <c r="I1884" s="11">
        <f t="shared" si="44"/>
        <v>0.00523103748910203</v>
      </c>
      <c r="J1884" s="9"/>
      <c r="K1884" s="11"/>
      <c r="L1884" s="9"/>
      <c r="M1884" s="11"/>
      <c r="N1884" s="9" t="s">
        <v>812</v>
      </c>
    </row>
    <row r="1885" ht="25" customHeight="1" spans="1:14">
      <c r="A1885" s="9" t="s">
        <v>371</v>
      </c>
      <c r="B1885" s="9" t="s">
        <v>370</v>
      </c>
      <c r="C1885" s="10">
        <v>44918</v>
      </c>
      <c r="D1885" s="15">
        <v>1.142</v>
      </c>
      <c r="E1885" s="15">
        <v>1.142</v>
      </c>
      <c r="F1885" s="15">
        <v>1.142</v>
      </c>
      <c r="G1885" s="11">
        <v>0.0009</v>
      </c>
      <c r="H1885" s="9">
        <f>MAX($F$1644:F1885)</f>
        <v>1.147</v>
      </c>
      <c r="I1885" s="11">
        <f t="shared" si="44"/>
        <v>0.0043591979075851</v>
      </c>
      <c r="J1885" s="9"/>
      <c r="K1885" s="11"/>
      <c r="L1885" s="9"/>
      <c r="M1885" s="11"/>
      <c r="N1885" s="9" t="s">
        <v>812</v>
      </c>
    </row>
    <row r="1886" ht="25" customHeight="1" spans="1:14">
      <c r="A1886" s="9" t="s">
        <v>371</v>
      </c>
      <c r="B1886" s="9" t="s">
        <v>370</v>
      </c>
      <c r="C1886" s="10">
        <v>44924</v>
      </c>
      <c r="D1886" s="15">
        <v>1.142</v>
      </c>
      <c r="E1886" s="15">
        <v>1.142</v>
      </c>
      <c r="F1886" s="15">
        <v>1.142</v>
      </c>
      <c r="G1886" s="11">
        <v>0</v>
      </c>
      <c r="H1886" s="9">
        <f>MAX($F$1644:F1886)</f>
        <v>1.147</v>
      </c>
      <c r="I1886" s="11">
        <f t="shared" si="44"/>
        <v>0.0043591979075851</v>
      </c>
      <c r="J1886" s="9"/>
      <c r="K1886" s="11"/>
      <c r="L1886" s="9"/>
      <c r="M1886" s="11"/>
      <c r="N1886" s="9" t="s">
        <v>812</v>
      </c>
    </row>
    <row r="1887" ht="25" customHeight="1" spans="1:14">
      <c r="A1887" s="9" t="s">
        <v>371</v>
      </c>
      <c r="B1887" s="9" t="s">
        <v>370</v>
      </c>
      <c r="C1887" s="10">
        <v>44925</v>
      </c>
      <c r="D1887" s="15">
        <v>1.143</v>
      </c>
      <c r="E1887" s="15">
        <v>1.143</v>
      </c>
      <c r="F1887" s="15">
        <v>1.143</v>
      </c>
      <c r="G1887" s="11">
        <v>0.0009</v>
      </c>
      <c r="H1887" s="9">
        <f>MAX($F$1644:F1887)</f>
        <v>1.147</v>
      </c>
      <c r="I1887" s="11">
        <f t="shared" si="44"/>
        <v>0.00348735832606806</v>
      </c>
      <c r="J1887" s="9"/>
      <c r="K1887" s="11"/>
      <c r="L1887" s="9"/>
      <c r="M1887" s="11"/>
      <c r="N1887" s="9" t="s">
        <v>812</v>
      </c>
    </row>
    <row r="1888" ht="25" customHeight="1" spans="1:14">
      <c r="A1888" s="9" t="s">
        <v>371</v>
      </c>
      <c r="B1888" s="9" t="s">
        <v>370</v>
      </c>
      <c r="C1888" s="10">
        <v>44931</v>
      </c>
      <c r="D1888" s="15">
        <v>1.142</v>
      </c>
      <c r="E1888" s="15">
        <v>1.142</v>
      </c>
      <c r="F1888" s="15">
        <v>1.142</v>
      </c>
      <c r="G1888" s="11">
        <v>-0.0009</v>
      </c>
      <c r="H1888" s="9">
        <f>MAX($F$1644:F1888)</f>
        <v>1.147</v>
      </c>
      <c r="I1888" s="11">
        <f t="shared" si="44"/>
        <v>0.0043591979075851</v>
      </c>
      <c r="J1888" s="9"/>
      <c r="K1888" s="11"/>
      <c r="L1888" s="9"/>
      <c r="M1888" s="11"/>
      <c r="N1888" s="9" t="s">
        <v>812</v>
      </c>
    </row>
    <row r="1889" ht="25" customHeight="1" spans="1:14">
      <c r="A1889" s="9" t="s">
        <v>371</v>
      </c>
      <c r="B1889" s="9" t="s">
        <v>370</v>
      </c>
      <c r="C1889" s="10">
        <v>44932</v>
      </c>
      <c r="D1889" s="15">
        <v>1.143</v>
      </c>
      <c r="E1889" s="15">
        <v>1.143</v>
      </c>
      <c r="F1889" s="15">
        <v>1.143</v>
      </c>
      <c r="G1889" s="11">
        <v>0.0009</v>
      </c>
      <c r="H1889" s="9">
        <f>MAX($F$1644:F1889)</f>
        <v>1.147</v>
      </c>
      <c r="I1889" s="11">
        <f t="shared" si="44"/>
        <v>0.00348735832606806</v>
      </c>
      <c r="J1889" s="9"/>
      <c r="K1889" s="11"/>
      <c r="L1889" s="9"/>
      <c r="M1889" s="11"/>
      <c r="N1889" s="9" t="s">
        <v>812</v>
      </c>
    </row>
    <row r="1890" ht="25" customHeight="1" spans="1:14">
      <c r="A1890" s="9" t="s">
        <v>371</v>
      </c>
      <c r="B1890" s="9" t="s">
        <v>370</v>
      </c>
      <c r="C1890" s="10">
        <v>44938</v>
      </c>
      <c r="D1890" s="15">
        <v>1.141</v>
      </c>
      <c r="E1890" s="15">
        <v>1.141</v>
      </c>
      <c r="F1890" s="15">
        <v>1.141</v>
      </c>
      <c r="G1890" s="11">
        <v>-0.0017</v>
      </c>
      <c r="H1890" s="9">
        <f>MAX($F$1644:F1890)</f>
        <v>1.147</v>
      </c>
      <c r="I1890" s="11">
        <f t="shared" si="44"/>
        <v>0.00523103748910203</v>
      </c>
      <c r="J1890" s="9"/>
      <c r="K1890" s="11"/>
      <c r="L1890" s="9"/>
      <c r="M1890" s="11"/>
      <c r="N1890" s="9" t="s">
        <v>812</v>
      </c>
    </row>
    <row r="1891" ht="25" customHeight="1" spans="1:14">
      <c r="A1891" s="9" t="s">
        <v>371</v>
      </c>
      <c r="B1891" s="9" t="s">
        <v>370</v>
      </c>
      <c r="C1891" s="10">
        <v>44939</v>
      </c>
      <c r="D1891" s="15">
        <v>1.148</v>
      </c>
      <c r="E1891" s="15">
        <v>1.148</v>
      </c>
      <c r="F1891" s="15">
        <v>1.148</v>
      </c>
      <c r="G1891" s="11">
        <v>0.0061</v>
      </c>
      <c r="H1891" s="9">
        <f>MAX($F$1644:F1891)</f>
        <v>1.148</v>
      </c>
      <c r="I1891" s="11">
        <f t="shared" si="44"/>
        <v>0</v>
      </c>
      <c r="J1891" s="9"/>
      <c r="K1891" s="11"/>
      <c r="L1891" s="9"/>
      <c r="M1891" s="11"/>
      <c r="N1891" s="9" t="s">
        <v>812</v>
      </c>
    </row>
    <row r="1892" ht="25" customHeight="1" spans="1:14">
      <c r="A1892" s="9" t="s">
        <v>371</v>
      </c>
      <c r="B1892" s="9" t="s">
        <v>370</v>
      </c>
      <c r="C1892" s="10">
        <v>44945</v>
      </c>
      <c r="D1892" s="15">
        <v>1.146</v>
      </c>
      <c r="E1892" s="15">
        <v>1.146</v>
      </c>
      <c r="F1892" s="15">
        <v>1.146</v>
      </c>
      <c r="G1892" s="11">
        <v>-0.0017</v>
      </c>
      <c r="H1892" s="9">
        <f>MAX($F$1644:F1892)</f>
        <v>1.148</v>
      </c>
      <c r="I1892" s="11">
        <f t="shared" si="44"/>
        <v>0.00174216027874563</v>
      </c>
      <c r="J1892" s="9"/>
      <c r="K1892" s="11"/>
      <c r="L1892" s="9"/>
      <c r="M1892" s="11"/>
      <c r="N1892" s="9" t="s">
        <v>812</v>
      </c>
    </row>
    <row r="1893" ht="25" customHeight="1" spans="1:14">
      <c r="A1893" s="9" t="s">
        <v>371</v>
      </c>
      <c r="B1893" s="9" t="s">
        <v>370</v>
      </c>
      <c r="C1893" s="10">
        <v>44946</v>
      </c>
      <c r="D1893" s="15">
        <v>1.141</v>
      </c>
      <c r="E1893" s="15">
        <v>1.141</v>
      </c>
      <c r="F1893" s="15">
        <v>1.141</v>
      </c>
      <c r="G1893" s="11">
        <v>-0.0044</v>
      </c>
      <c r="H1893" s="9">
        <f>MAX($F$1644:F1893)</f>
        <v>1.148</v>
      </c>
      <c r="I1893" s="11">
        <f t="shared" si="44"/>
        <v>0.00609756097560965</v>
      </c>
      <c r="J1893" s="9"/>
      <c r="K1893" s="11"/>
      <c r="L1893" s="9"/>
      <c r="M1893" s="11"/>
      <c r="N1893" s="9" t="s">
        <v>812</v>
      </c>
    </row>
    <row r="1894" ht="25" customHeight="1" spans="1:14">
      <c r="A1894" s="9" t="s">
        <v>371</v>
      </c>
      <c r="B1894" s="9" t="s">
        <v>370</v>
      </c>
      <c r="C1894" s="10">
        <v>44957</v>
      </c>
      <c r="D1894" s="15">
        <v>1.142</v>
      </c>
      <c r="E1894" s="15">
        <v>1.142</v>
      </c>
      <c r="F1894" s="15">
        <v>1.142</v>
      </c>
      <c r="G1894" s="11">
        <v>0.0009</v>
      </c>
      <c r="H1894" s="9">
        <f>MAX($F$1644:F1894)</f>
        <v>1.148</v>
      </c>
      <c r="I1894" s="11">
        <f t="shared" si="44"/>
        <v>0.00522648083623689</v>
      </c>
      <c r="J1894" s="9"/>
      <c r="K1894" s="11"/>
      <c r="L1894" s="9"/>
      <c r="M1894" s="11"/>
      <c r="N1894" s="9" t="s">
        <v>812</v>
      </c>
    </row>
    <row r="1895" ht="25" customHeight="1" spans="1:14">
      <c r="A1895" s="9" t="s">
        <v>371</v>
      </c>
      <c r="B1895" s="9" t="s">
        <v>370</v>
      </c>
      <c r="C1895" s="10">
        <v>44959</v>
      </c>
      <c r="D1895" s="15">
        <v>1.144</v>
      </c>
      <c r="E1895" s="15">
        <v>1.144</v>
      </c>
      <c r="F1895" s="15">
        <v>1.144</v>
      </c>
      <c r="G1895" s="11">
        <v>0.0018</v>
      </c>
      <c r="H1895" s="9">
        <f>MAX($F$1644:F1895)</f>
        <v>1.148</v>
      </c>
      <c r="I1895" s="11">
        <f t="shared" si="44"/>
        <v>0.00348432055749126</v>
      </c>
      <c r="J1895" s="9"/>
      <c r="K1895" s="11"/>
      <c r="L1895" s="9"/>
      <c r="M1895" s="11"/>
      <c r="N1895" s="9" t="s">
        <v>812</v>
      </c>
    </row>
    <row r="1896" ht="25" customHeight="1" spans="1:14">
      <c r="A1896" s="9" t="s">
        <v>371</v>
      </c>
      <c r="B1896" s="9" t="s">
        <v>370</v>
      </c>
      <c r="C1896" s="10">
        <v>44960</v>
      </c>
      <c r="D1896" s="15">
        <v>1.144</v>
      </c>
      <c r="E1896" s="15">
        <v>1.144</v>
      </c>
      <c r="F1896" s="15">
        <v>1.144</v>
      </c>
      <c r="G1896" s="11">
        <v>0</v>
      </c>
      <c r="H1896" s="9">
        <f>MAX($F$1644:F1896)</f>
        <v>1.148</v>
      </c>
      <c r="I1896" s="11">
        <f t="shared" si="44"/>
        <v>0.00348432055749126</v>
      </c>
      <c r="J1896" s="9"/>
      <c r="K1896" s="11"/>
      <c r="L1896" s="9"/>
      <c r="M1896" s="11"/>
      <c r="N1896" s="9" t="s">
        <v>812</v>
      </c>
    </row>
    <row r="1897" ht="25" customHeight="1" spans="1:14">
      <c r="A1897" s="9" t="s">
        <v>371</v>
      </c>
      <c r="B1897" s="9" t="s">
        <v>370</v>
      </c>
      <c r="C1897" s="10">
        <v>44966</v>
      </c>
      <c r="D1897" s="15">
        <v>1.145</v>
      </c>
      <c r="E1897" s="15">
        <v>1.145</v>
      </c>
      <c r="F1897" s="15">
        <v>1.145</v>
      </c>
      <c r="G1897" s="11">
        <v>0.0009</v>
      </c>
      <c r="H1897" s="9">
        <f>MAX($F$1644:F1897)</f>
        <v>1.148</v>
      </c>
      <c r="I1897" s="11">
        <f t="shared" si="44"/>
        <v>0.00261324041811839</v>
      </c>
      <c r="J1897" s="9"/>
      <c r="K1897" s="11"/>
      <c r="L1897" s="9"/>
      <c r="M1897" s="11"/>
      <c r="N1897" s="9" t="s">
        <v>812</v>
      </c>
    </row>
    <row r="1898" ht="25" customHeight="1" spans="1:14">
      <c r="A1898" s="9" t="s">
        <v>371</v>
      </c>
      <c r="B1898" s="9" t="s">
        <v>370</v>
      </c>
      <c r="C1898" s="10">
        <v>44967</v>
      </c>
      <c r="D1898" s="15">
        <v>1.146</v>
      </c>
      <c r="E1898" s="15">
        <v>1.146</v>
      </c>
      <c r="F1898" s="15">
        <v>1.146</v>
      </c>
      <c r="G1898" s="11">
        <v>0.0009</v>
      </c>
      <c r="H1898" s="9">
        <f>MAX($F$1644:F1898)</f>
        <v>1.148</v>
      </c>
      <c r="I1898" s="11">
        <f t="shared" si="44"/>
        <v>0.00174216027874563</v>
      </c>
      <c r="J1898" s="9"/>
      <c r="K1898" s="11"/>
      <c r="L1898" s="9"/>
      <c r="M1898" s="11"/>
      <c r="N1898" s="9" t="s">
        <v>812</v>
      </c>
    </row>
    <row r="1899" ht="25" customHeight="1" spans="1:14">
      <c r="A1899" s="9" t="s">
        <v>371</v>
      </c>
      <c r="B1899" s="9" t="s">
        <v>370</v>
      </c>
      <c r="C1899" s="10">
        <v>44973</v>
      </c>
      <c r="D1899" s="15">
        <v>1.142</v>
      </c>
      <c r="E1899" s="15">
        <v>1.142</v>
      </c>
      <c r="F1899" s="15">
        <v>1.142</v>
      </c>
      <c r="G1899" s="11">
        <v>-0.0035</v>
      </c>
      <c r="H1899" s="9">
        <f>MAX($F$1644:F1899)</f>
        <v>1.148</v>
      </c>
      <c r="I1899" s="11">
        <f t="shared" si="44"/>
        <v>0.00522648083623689</v>
      </c>
      <c r="J1899" s="9"/>
      <c r="K1899" s="11"/>
      <c r="L1899" s="9"/>
      <c r="M1899" s="11"/>
      <c r="N1899" s="9" t="s">
        <v>812</v>
      </c>
    </row>
    <row r="1900" ht="25" customHeight="1" spans="1:14">
      <c r="A1900" s="9" t="s">
        <v>371</v>
      </c>
      <c r="B1900" s="9" t="s">
        <v>370</v>
      </c>
      <c r="C1900" s="10">
        <v>44974</v>
      </c>
      <c r="D1900" s="15">
        <v>1.143</v>
      </c>
      <c r="E1900" s="15">
        <v>1.143</v>
      </c>
      <c r="F1900" s="15">
        <v>1.143</v>
      </c>
      <c r="G1900" s="11">
        <v>0.0009</v>
      </c>
      <c r="H1900" s="9">
        <f>MAX($F$1644:F1900)</f>
        <v>1.148</v>
      </c>
      <c r="I1900" s="11">
        <f t="shared" si="44"/>
        <v>0.00435540069686402</v>
      </c>
      <c r="J1900" s="9"/>
      <c r="K1900" s="11"/>
      <c r="L1900" s="9"/>
      <c r="M1900" s="11"/>
      <c r="N1900" s="9" t="s">
        <v>812</v>
      </c>
    </row>
    <row r="1901" ht="25" customHeight="1" spans="1:14">
      <c r="A1901" s="9" t="s">
        <v>371</v>
      </c>
      <c r="B1901" s="9" t="s">
        <v>370</v>
      </c>
      <c r="C1901" s="10">
        <v>44980</v>
      </c>
      <c r="D1901" s="15">
        <v>1.149</v>
      </c>
      <c r="E1901" s="15">
        <v>1.149</v>
      </c>
      <c r="F1901" s="15">
        <v>1.149</v>
      </c>
      <c r="G1901" s="11">
        <v>0.0052</v>
      </c>
      <c r="H1901" s="9">
        <f>MAX($F$1644:F1901)</f>
        <v>1.149</v>
      </c>
      <c r="I1901" s="11">
        <f t="shared" si="44"/>
        <v>0</v>
      </c>
      <c r="J1901" s="9"/>
      <c r="K1901" s="11"/>
      <c r="L1901" s="9"/>
      <c r="M1901" s="11"/>
      <c r="N1901" s="9" t="s">
        <v>812</v>
      </c>
    </row>
    <row r="1902" ht="25" customHeight="1" spans="1:14">
      <c r="A1902" s="9" t="s">
        <v>371</v>
      </c>
      <c r="B1902" s="9" t="s">
        <v>370</v>
      </c>
      <c r="C1902" s="10">
        <v>44981</v>
      </c>
      <c r="D1902" s="15">
        <v>1.147</v>
      </c>
      <c r="E1902" s="15">
        <v>1.147</v>
      </c>
      <c r="F1902" s="15">
        <v>1.147</v>
      </c>
      <c r="G1902" s="11">
        <v>-0.0017</v>
      </c>
      <c r="H1902" s="9">
        <f>MAX($F$1644:F1902)</f>
        <v>1.149</v>
      </c>
      <c r="I1902" s="11">
        <f t="shared" si="44"/>
        <v>0.00174064403829421</v>
      </c>
      <c r="J1902" s="9"/>
      <c r="K1902" s="11"/>
      <c r="L1902" s="9"/>
      <c r="M1902" s="11"/>
      <c r="N1902" s="9" t="s">
        <v>812</v>
      </c>
    </row>
    <row r="1903" ht="25" customHeight="1" spans="1:14">
      <c r="A1903" s="9" t="s">
        <v>371</v>
      </c>
      <c r="B1903" s="9" t="s">
        <v>370</v>
      </c>
      <c r="C1903" s="10">
        <v>44985</v>
      </c>
      <c r="D1903" s="15">
        <v>1.149</v>
      </c>
      <c r="E1903" s="15">
        <v>1.149</v>
      </c>
      <c r="F1903" s="15">
        <v>1.149</v>
      </c>
      <c r="G1903" s="11">
        <v>0.0017</v>
      </c>
      <c r="H1903" s="9">
        <f>MAX($F$1644:F1903)</f>
        <v>1.149</v>
      </c>
      <c r="I1903" s="11">
        <f t="shared" si="44"/>
        <v>0</v>
      </c>
      <c r="J1903" s="9"/>
      <c r="K1903" s="11"/>
      <c r="L1903" s="9"/>
      <c r="M1903" s="11"/>
      <c r="N1903" s="9" t="s">
        <v>812</v>
      </c>
    </row>
    <row r="1904" ht="25" customHeight="1" spans="1:14">
      <c r="A1904" s="9" t="s">
        <v>371</v>
      </c>
      <c r="B1904" s="9" t="s">
        <v>370</v>
      </c>
      <c r="C1904" s="10">
        <v>44987</v>
      </c>
      <c r="D1904" s="15">
        <v>1.146</v>
      </c>
      <c r="E1904" s="15">
        <v>1.146</v>
      </c>
      <c r="F1904" s="15">
        <v>1.146</v>
      </c>
      <c r="G1904" s="11">
        <v>-0.0026</v>
      </c>
      <c r="H1904" s="9">
        <f>MAX($F$1644:F1904)</f>
        <v>1.149</v>
      </c>
      <c r="I1904" s="11">
        <f t="shared" si="44"/>
        <v>0.00261096605744138</v>
      </c>
      <c r="J1904" s="9"/>
      <c r="K1904" s="11"/>
      <c r="L1904" s="9"/>
      <c r="M1904" s="11"/>
      <c r="N1904" s="9" t="s">
        <v>812</v>
      </c>
    </row>
    <row r="1905" ht="25" customHeight="1" spans="1:14">
      <c r="A1905" s="9" t="s">
        <v>371</v>
      </c>
      <c r="B1905" s="9" t="s">
        <v>370</v>
      </c>
      <c r="C1905" s="10">
        <v>44988</v>
      </c>
      <c r="D1905" s="15">
        <v>1.144</v>
      </c>
      <c r="E1905" s="15">
        <v>1.144</v>
      </c>
      <c r="F1905" s="15">
        <v>1.144</v>
      </c>
      <c r="G1905" s="11">
        <v>-0.0017</v>
      </c>
      <c r="H1905" s="9">
        <f>MAX($F$1644:F1905)</f>
        <v>1.149</v>
      </c>
      <c r="I1905" s="11">
        <f t="shared" si="44"/>
        <v>0.00435161009573548</v>
      </c>
      <c r="J1905" s="9"/>
      <c r="K1905" s="11"/>
      <c r="L1905" s="9"/>
      <c r="M1905" s="11"/>
      <c r="N1905" s="9" t="s">
        <v>812</v>
      </c>
    </row>
    <row r="1906" ht="25" customHeight="1" spans="1:14">
      <c r="A1906" s="9" t="s">
        <v>371</v>
      </c>
      <c r="B1906" s="9" t="s">
        <v>370</v>
      </c>
      <c r="C1906" s="10">
        <v>44994</v>
      </c>
      <c r="D1906" s="15">
        <v>1.145</v>
      </c>
      <c r="E1906" s="15">
        <v>1.145</v>
      </c>
      <c r="F1906" s="15">
        <v>1.145</v>
      </c>
      <c r="G1906" s="11">
        <v>0.0009</v>
      </c>
      <c r="H1906" s="9">
        <f>MAX($F$1644:F1906)</f>
        <v>1.149</v>
      </c>
      <c r="I1906" s="11">
        <f t="shared" si="44"/>
        <v>0.00348128807658832</v>
      </c>
      <c r="J1906" s="9"/>
      <c r="K1906" s="11"/>
      <c r="L1906" s="9"/>
      <c r="M1906" s="11"/>
      <c r="N1906" s="9" t="s">
        <v>812</v>
      </c>
    </row>
    <row r="1907" ht="25" customHeight="1" spans="1:14">
      <c r="A1907" s="9" t="s">
        <v>371</v>
      </c>
      <c r="B1907" s="9" t="s">
        <v>370</v>
      </c>
      <c r="C1907" s="10">
        <v>44995</v>
      </c>
      <c r="D1907" s="15">
        <v>1.145</v>
      </c>
      <c r="E1907" s="15">
        <v>1.145</v>
      </c>
      <c r="F1907" s="15">
        <v>1.145</v>
      </c>
      <c r="G1907" s="11">
        <v>0</v>
      </c>
      <c r="H1907" s="9">
        <f>MAX($F$1644:F1907)</f>
        <v>1.149</v>
      </c>
      <c r="I1907" s="11">
        <f t="shared" si="44"/>
        <v>0.00348128807658832</v>
      </c>
      <c r="J1907" s="9"/>
      <c r="K1907" s="11"/>
      <c r="L1907" s="9"/>
      <c r="M1907" s="11"/>
      <c r="N1907" s="9" t="s">
        <v>812</v>
      </c>
    </row>
    <row r="1908" ht="25" customHeight="1" spans="1:14">
      <c r="A1908" s="9" t="s">
        <v>371</v>
      </c>
      <c r="B1908" s="9" t="s">
        <v>370</v>
      </c>
      <c r="C1908" s="10">
        <v>45001</v>
      </c>
      <c r="D1908" s="15">
        <v>1.144</v>
      </c>
      <c r="E1908" s="15">
        <v>1.144</v>
      </c>
      <c r="F1908" s="15">
        <v>1.144</v>
      </c>
      <c r="G1908" s="11">
        <v>-0.0009</v>
      </c>
      <c r="H1908" s="9">
        <f>MAX($F$1644:F1908)</f>
        <v>1.149</v>
      </c>
      <c r="I1908" s="11">
        <f t="shared" si="44"/>
        <v>0.00435161009573548</v>
      </c>
      <c r="J1908" s="9"/>
      <c r="K1908" s="11"/>
      <c r="L1908" s="9"/>
      <c r="M1908" s="11"/>
      <c r="N1908" s="9" t="s">
        <v>812</v>
      </c>
    </row>
    <row r="1909" ht="25" customHeight="1" spans="1:14">
      <c r="A1909" s="9" t="s">
        <v>371</v>
      </c>
      <c r="B1909" s="9" t="s">
        <v>370</v>
      </c>
      <c r="C1909" s="10">
        <v>45002</v>
      </c>
      <c r="D1909" s="15">
        <v>1.147</v>
      </c>
      <c r="E1909" s="15">
        <v>1.147</v>
      </c>
      <c r="F1909" s="15">
        <v>1.147</v>
      </c>
      <c r="G1909" s="11">
        <v>0.0026</v>
      </c>
      <c r="H1909" s="9">
        <f>MAX($F$1644:F1909)</f>
        <v>1.149</v>
      </c>
      <c r="I1909" s="11">
        <f t="shared" si="44"/>
        <v>0.00174064403829421</v>
      </c>
      <c r="J1909" s="9"/>
      <c r="K1909" s="11"/>
      <c r="L1909" s="9"/>
      <c r="M1909" s="11"/>
      <c r="N1909" s="9" t="s">
        <v>812</v>
      </c>
    </row>
    <row r="1910" ht="25" customHeight="1" spans="1:14">
      <c r="A1910" s="9" t="s">
        <v>371</v>
      </c>
      <c r="B1910" s="9" t="s">
        <v>370</v>
      </c>
      <c r="C1910" s="10">
        <v>45008</v>
      </c>
      <c r="D1910" s="15">
        <v>1.147</v>
      </c>
      <c r="E1910" s="15">
        <v>1.147</v>
      </c>
      <c r="F1910" s="15">
        <v>1.147</v>
      </c>
      <c r="G1910" s="11">
        <v>0</v>
      </c>
      <c r="H1910" s="9">
        <f>MAX($F$1644:F1910)</f>
        <v>1.149</v>
      </c>
      <c r="I1910" s="11">
        <f t="shared" si="44"/>
        <v>0.00174064403829421</v>
      </c>
      <c r="J1910" s="9"/>
      <c r="K1910" s="11"/>
      <c r="L1910" s="9"/>
      <c r="M1910" s="11"/>
      <c r="N1910" s="9" t="s">
        <v>812</v>
      </c>
    </row>
    <row r="1911" ht="25" customHeight="1" spans="1:14">
      <c r="A1911" s="9" t="s">
        <v>371</v>
      </c>
      <c r="B1911" s="9" t="s">
        <v>370</v>
      </c>
      <c r="C1911" s="10">
        <v>45009</v>
      </c>
      <c r="D1911" s="15">
        <v>1.146</v>
      </c>
      <c r="E1911" s="15">
        <v>1.146</v>
      </c>
      <c r="F1911" s="15">
        <v>1.146</v>
      </c>
      <c r="G1911" s="11">
        <v>-0.0009</v>
      </c>
      <c r="H1911" s="9">
        <f>MAX($F$1644:F1911)</f>
        <v>1.149</v>
      </c>
      <c r="I1911" s="11">
        <f t="shared" si="44"/>
        <v>0.00261096605744138</v>
      </c>
      <c r="J1911" s="9"/>
      <c r="K1911" s="11"/>
      <c r="L1911" s="9"/>
      <c r="M1911" s="11"/>
      <c r="N1911" s="9" t="s">
        <v>812</v>
      </c>
    </row>
    <row r="1912" ht="25" customHeight="1" spans="1:14">
      <c r="A1912" s="9" t="s">
        <v>371</v>
      </c>
      <c r="B1912" s="9" t="s">
        <v>370</v>
      </c>
      <c r="C1912" s="10">
        <v>45015</v>
      </c>
      <c r="D1912" s="15">
        <v>1.151</v>
      </c>
      <c r="E1912" s="15">
        <v>1.151</v>
      </c>
      <c r="F1912" s="15">
        <v>1.151</v>
      </c>
      <c r="G1912" s="11">
        <v>0.0044</v>
      </c>
      <c r="H1912" s="9">
        <f>MAX($F$1644:F1912)</f>
        <v>1.151</v>
      </c>
      <c r="I1912" s="11">
        <f t="shared" si="44"/>
        <v>0</v>
      </c>
      <c r="J1912" s="9"/>
      <c r="K1912" s="11"/>
      <c r="L1912" s="9"/>
      <c r="M1912" s="11"/>
      <c r="N1912" s="9" t="s">
        <v>812</v>
      </c>
    </row>
    <row r="1913" ht="25" customHeight="1" spans="1:14">
      <c r="A1913" s="9" t="s">
        <v>371</v>
      </c>
      <c r="B1913" s="9" t="s">
        <v>370</v>
      </c>
      <c r="C1913" s="10">
        <v>45016</v>
      </c>
      <c r="D1913" s="15">
        <v>1.148</v>
      </c>
      <c r="E1913" s="15">
        <v>1.148</v>
      </c>
      <c r="F1913" s="15">
        <v>1.148</v>
      </c>
      <c r="G1913" s="11">
        <v>-0.0026</v>
      </c>
      <c r="H1913" s="9">
        <f>MAX($F$1644:F1913)</f>
        <v>1.151</v>
      </c>
      <c r="I1913" s="11">
        <f t="shared" si="44"/>
        <v>0.00260642919200704</v>
      </c>
      <c r="J1913" s="9"/>
      <c r="K1913" s="11"/>
      <c r="L1913" s="9"/>
      <c r="M1913" s="11"/>
      <c r="N1913" s="9" t="s">
        <v>812</v>
      </c>
    </row>
    <row r="1914" ht="25" customHeight="1" spans="1:14">
      <c r="A1914" s="9" t="s">
        <v>371</v>
      </c>
      <c r="B1914" s="9" t="s">
        <v>370</v>
      </c>
      <c r="C1914" s="10">
        <v>45022</v>
      </c>
      <c r="D1914" s="15">
        <v>1.146</v>
      </c>
      <c r="E1914" s="15">
        <v>1.146</v>
      </c>
      <c r="F1914" s="15">
        <v>1.146</v>
      </c>
      <c r="G1914" s="11">
        <v>-0.0017</v>
      </c>
      <c r="H1914" s="9">
        <f>MAX($F$1644:F1914)</f>
        <v>1.151</v>
      </c>
      <c r="I1914" s="11">
        <f t="shared" si="44"/>
        <v>0.00434404865334503</v>
      </c>
      <c r="J1914" s="9"/>
      <c r="K1914" s="11"/>
      <c r="L1914" s="9"/>
      <c r="M1914" s="11"/>
      <c r="N1914" s="9" t="s">
        <v>812</v>
      </c>
    </row>
    <row r="1915" ht="25" customHeight="1" spans="1:14">
      <c r="A1915" s="9" t="s">
        <v>371</v>
      </c>
      <c r="B1915" s="9" t="s">
        <v>370</v>
      </c>
      <c r="C1915" s="10">
        <v>45023</v>
      </c>
      <c r="D1915" s="15">
        <v>1.146</v>
      </c>
      <c r="E1915" s="15">
        <v>1.146</v>
      </c>
      <c r="F1915" s="15">
        <v>1.146</v>
      </c>
      <c r="G1915" s="11">
        <v>0</v>
      </c>
      <c r="H1915" s="9">
        <f>MAX($F$1644:F1915)</f>
        <v>1.151</v>
      </c>
      <c r="I1915" s="11">
        <f t="shared" si="44"/>
        <v>0.00434404865334503</v>
      </c>
      <c r="J1915" s="9"/>
      <c r="K1915" s="11"/>
      <c r="L1915" s="9"/>
      <c r="M1915" s="11"/>
      <c r="N1915" s="9" t="s">
        <v>812</v>
      </c>
    </row>
    <row r="1916" ht="25" customHeight="1" spans="1:14">
      <c r="A1916" s="9" t="s">
        <v>371</v>
      </c>
      <c r="B1916" s="9" t="s">
        <v>370</v>
      </c>
      <c r="C1916" s="10">
        <v>45029</v>
      </c>
      <c r="D1916" s="15">
        <v>1.147</v>
      </c>
      <c r="E1916" s="15">
        <v>1.147</v>
      </c>
      <c r="F1916" s="15">
        <v>1.147</v>
      </c>
      <c r="G1916" s="11">
        <v>0.0009</v>
      </c>
      <c r="H1916" s="9">
        <f>MAX($F$1644:F1916)</f>
        <v>1.151</v>
      </c>
      <c r="I1916" s="11">
        <f t="shared" si="44"/>
        <v>0.00347523892267598</v>
      </c>
      <c r="J1916" s="9"/>
      <c r="K1916" s="11"/>
      <c r="L1916" s="9"/>
      <c r="M1916" s="11"/>
      <c r="N1916" s="9" t="s">
        <v>812</v>
      </c>
    </row>
    <row r="1917" ht="25" customHeight="1" spans="1:14">
      <c r="A1917" s="9" t="s">
        <v>371</v>
      </c>
      <c r="B1917" s="9" t="s">
        <v>370</v>
      </c>
      <c r="C1917" s="10">
        <v>45030</v>
      </c>
      <c r="D1917" s="15">
        <v>1.146</v>
      </c>
      <c r="E1917" s="15">
        <v>1.146</v>
      </c>
      <c r="F1917" s="15">
        <v>1.146</v>
      </c>
      <c r="G1917" s="11">
        <v>-0.0009</v>
      </c>
      <c r="H1917" s="9">
        <f>MAX($F$1644:F1917)</f>
        <v>1.151</v>
      </c>
      <c r="I1917" s="11">
        <f t="shared" si="44"/>
        <v>0.00434404865334503</v>
      </c>
      <c r="J1917" s="9"/>
      <c r="K1917" s="11"/>
      <c r="L1917" s="9"/>
      <c r="M1917" s="11"/>
      <c r="N1917" s="9" t="s">
        <v>812</v>
      </c>
    </row>
    <row r="1918" ht="25" customHeight="1" spans="1:14">
      <c r="A1918" s="9" t="s">
        <v>371</v>
      </c>
      <c r="B1918" s="9" t="s">
        <v>370</v>
      </c>
      <c r="C1918" s="10">
        <v>45036</v>
      </c>
      <c r="D1918" s="15">
        <v>1.146</v>
      </c>
      <c r="E1918" s="15">
        <v>1.146</v>
      </c>
      <c r="F1918" s="15">
        <v>1.146</v>
      </c>
      <c r="G1918" s="11">
        <v>0</v>
      </c>
      <c r="H1918" s="9">
        <f>MAX($F$1644:F1918)</f>
        <v>1.151</v>
      </c>
      <c r="I1918" s="11">
        <f t="shared" si="44"/>
        <v>0.00434404865334503</v>
      </c>
      <c r="J1918" s="9"/>
      <c r="K1918" s="11"/>
      <c r="L1918" s="9"/>
      <c r="M1918" s="11"/>
      <c r="N1918" s="9" t="s">
        <v>812</v>
      </c>
    </row>
    <row r="1919" ht="25" customHeight="1" spans="1:14">
      <c r="A1919" s="9" t="s">
        <v>371</v>
      </c>
      <c r="B1919" s="9" t="s">
        <v>370</v>
      </c>
      <c r="C1919" s="10">
        <v>45037</v>
      </c>
      <c r="D1919" s="15">
        <v>1.144</v>
      </c>
      <c r="E1919" s="15">
        <v>1.144</v>
      </c>
      <c r="F1919" s="15">
        <v>1.144</v>
      </c>
      <c r="G1919" s="11">
        <v>-0.0017</v>
      </c>
      <c r="H1919" s="9">
        <f>MAX($F$1644:F1919)</f>
        <v>1.151</v>
      </c>
      <c r="I1919" s="11">
        <f t="shared" si="44"/>
        <v>0.00608166811468303</v>
      </c>
      <c r="J1919" s="9"/>
      <c r="K1919" s="11"/>
      <c r="L1919" s="9"/>
      <c r="M1919" s="11"/>
      <c r="N1919" s="9" t="s">
        <v>812</v>
      </c>
    </row>
    <row r="1920" ht="25" customHeight="1" spans="1:14">
      <c r="A1920" s="9" t="s">
        <v>371</v>
      </c>
      <c r="B1920" s="9" t="s">
        <v>370</v>
      </c>
      <c r="C1920" s="10">
        <v>45043</v>
      </c>
      <c r="D1920" s="15">
        <v>1.149</v>
      </c>
      <c r="E1920" s="15">
        <v>1.149</v>
      </c>
      <c r="F1920" s="15">
        <v>1.149</v>
      </c>
      <c r="G1920" s="11">
        <v>0.0044</v>
      </c>
      <c r="H1920" s="9">
        <f>MAX($F$1644:F1920)</f>
        <v>1.151</v>
      </c>
      <c r="I1920" s="11">
        <f t="shared" si="44"/>
        <v>0.00173761946133799</v>
      </c>
      <c r="J1920" s="9"/>
      <c r="K1920" s="11"/>
      <c r="L1920" s="9"/>
      <c r="M1920" s="11"/>
      <c r="N1920" s="9" t="s">
        <v>812</v>
      </c>
    </row>
    <row r="1921" ht="25" customHeight="1" spans="1:14">
      <c r="A1921" s="9" t="s">
        <v>371</v>
      </c>
      <c r="B1921" s="9" t="s">
        <v>370</v>
      </c>
      <c r="C1921" s="10">
        <v>45044</v>
      </c>
      <c r="D1921" s="15">
        <v>1.148</v>
      </c>
      <c r="E1921" s="15">
        <v>1.148</v>
      </c>
      <c r="F1921" s="15">
        <v>1.148</v>
      </c>
      <c r="G1921" s="11">
        <v>-0.0009</v>
      </c>
      <c r="H1921" s="9">
        <f>MAX($F$1644:F1921)</f>
        <v>1.151</v>
      </c>
      <c r="I1921" s="11">
        <f t="shared" si="44"/>
        <v>0.00260642919200704</v>
      </c>
      <c r="J1921" s="9"/>
      <c r="K1921" s="11"/>
      <c r="L1921" s="9"/>
      <c r="M1921" s="11"/>
      <c r="N1921" s="9" t="s">
        <v>812</v>
      </c>
    </row>
    <row r="1922" ht="25" customHeight="1" spans="1:14">
      <c r="A1922" s="9" t="s">
        <v>371</v>
      </c>
      <c r="B1922" s="9" t="s">
        <v>370</v>
      </c>
      <c r="C1922" s="10">
        <v>45050</v>
      </c>
      <c r="D1922" s="15">
        <v>1.148</v>
      </c>
      <c r="E1922" s="15">
        <v>1.148</v>
      </c>
      <c r="F1922" s="15">
        <v>1.148</v>
      </c>
      <c r="G1922" s="11">
        <v>0</v>
      </c>
      <c r="H1922" s="9">
        <f>MAX($F$1644:F1922)</f>
        <v>1.151</v>
      </c>
      <c r="I1922" s="11">
        <f t="shared" ref="I1922:I1985" si="45">1-F1922/H1922</f>
        <v>0.00260642919200704</v>
      </c>
      <c r="J1922" s="9"/>
      <c r="K1922" s="11"/>
      <c r="L1922" s="9"/>
      <c r="M1922" s="11"/>
      <c r="N1922" s="9" t="s">
        <v>812</v>
      </c>
    </row>
    <row r="1923" ht="25" customHeight="1" spans="1:14">
      <c r="A1923" s="9" t="s">
        <v>371</v>
      </c>
      <c r="B1923" s="9" t="s">
        <v>370</v>
      </c>
      <c r="C1923" s="10">
        <v>45051</v>
      </c>
      <c r="D1923" s="15">
        <v>1.147</v>
      </c>
      <c r="E1923" s="15">
        <v>1.147</v>
      </c>
      <c r="F1923" s="15">
        <v>1.147</v>
      </c>
      <c r="G1923" s="11">
        <v>-0.0009</v>
      </c>
      <c r="H1923" s="9">
        <f>MAX($F$1644:F1923)</f>
        <v>1.151</v>
      </c>
      <c r="I1923" s="11">
        <f t="shared" si="45"/>
        <v>0.00347523892267598</v>
      </c>
      <c r="J1923" s="9"/>
      <c r="K1923" s="11"/>
      <c r="L1923" s="9"/>
      <c r="M1923" s="11"/>
      <c r="N1923" s="9" t="s">
        <v>812</v>
      </c>
    </row>
    <row r="1924" ht="25" customHeight="1" spans="1:14">
      <c r="A1924" s="9" t="s">
        <v>371</v>
      </c>
      <c r="B1924" s="9" t="s">
        <v>370</v>
      </c>
      <c r="C1924" s="10">
        <v>45057</v>
      </c>
      <c r="D1924" s="15">
        <v>1.149</v>
      </c>
      <c r="E1924" s="15">
        <v>1.149</v>
      </c>
      <c r="F1924" s="15">
        <v>1.149</v>
      </c>
      <c r="G1924" s="11">
        <v>0.0017</v>
      </c>
      <c r="H1924" s="9">
        <f>MAX($F$1644:F1924)</f>
        <v>1.151</v>
      </c>
      <c r="I1924" s="11">
        <f t="shared" si="45"/>
        <v>0.00173761946133799</v>
      </c>
      <c r="J1924" s="9"/>
      <c r="K1924" s="11"/>
      <c r="L1924" s="9"/>
      <c r="M1924" s="11"/>
      <c r="N1924" s="9" t="s">
        <v>812</v>
      </c>
    </row>
    <row r="1925" ht="25" customHeight="1" spans="1:14">
      <c r="A1925" s="9" t="s">
        <v>371</v>
      </c>
      <c r="B1925" s="9" t="s">
        <v>370</v>
      </c>
      <c r="C1925" s="10">
        <v>45058</v>
      </c>
      <c r="D1925" s="15">
        <v>1.149</v>
      </c>
      <c r="E1925" s="15">
        <v>1.149</v>
      </c>
      <c r="F1925" s="15">
        <v>1.149</v>
      </c>
      <c r="G1925" s="11">
        <v>0</v>
      </c>
      <c r="H1925" s="9">
        <f>MAX($F$1644:F1925)</f>
        <v>1.151</v>
      </c>
      <c r="I1925" s="11">
        <f t="shared" si="45"/>
        <v>0.00173761946133799</v>
      </c>
      <c r="J1925" s="9"/>
      <c r="K1925" s="11"/>
      <c r="L1925" s="9"/>
      <c r="M1925" s="11"/>
      <c r="N1925" s="9" t="s">
        <v>812</v>
      </c>
    </row>
    <row r="1926" ht="25" customHeight="1" spans="1:14">
      <c r="A1926" s="9" t="s">
        <v>371</v>
      </c>
      <c r="B1926" s="9" t="s">
        <v>370</v>
      </c>
      <c r="C1926" s="10">
        <v>45064</v>
      </c>
      <c r="D1926" s="15">
        <v>1.149</v>
      </c>
      <c r="E1926" s="15">
        <v>1.149</v>
      </c>
      <c r="F1926" s="15">
        <v>1.149</v>
      </c>
      <c r="G1926" s="11">
        <v>0</v>
      </c>
      <c r="H1926" s="9">
        <f>MAX($F$1644:F1926)</f>
        <v>1.151</v>
      </c>
      <c r="I1926" s="11">
        <f t="shared" si="45"/>
        <v>0.00173761946133799</v>
      </c>
      <c r="J1926" s="9"/>
      <c r="K1926" s="11"/>
      <c r="L1926" s="9"/>
      <c r="M1926" s="11"/>
      <c r="N1926" s="9" t="s">
        <v>812</v>
      </c>
    </row>
    <row r="1927" ht="25" customHeight="1" spans="1:14">
      <c r="A1927" s="9" t="s">
        <v>371</v>
      </c>
      <c r="B1927" s="9" t="s">
        <v>370</v>
      </c>
      <c r="C1927" s="10">
        <v>45065</v>
      </c>
      <c r="D1927" s="15">
        <v>1.149</v>
      </c>
      <c r="E1927" s="15">
        <v>1.149</v>
      </c>
      <c r="F1927" s="15">
        <v>1.149</v>
      </c>
      <c r="G1927" s="11">
        <v>0</v>
      </c>
      <c r="H1927" s="9">
        <f>MAX($F$1644:F1927)</f>
        <v>1.151</v>
      </c>
      <c r="I1927" s="11">
        <f t="shared" si="45"/>
        <v>0.00173761946133799</v>
      </c>
      <c r="J1927" s="9"/>
      <c r="K1927" s="11"/>
      <c r="L1927" s="9"/>
      <c r="M1927" s="11"/>
      <c r="N1927" s="9" t="s">
        <v>812</v>
      </c>
    </row>
    <row r="1928" ht="25" customHeight="1" spans="1:14">
      <c r="A1928" s="9" t="s">
        <v>371</v>
      </c>
      <c r="B1928" s="9" t="s">
        <v>370</v>
      </c>
      <c r="C1928" s="10">
        <v>45071</v>
      </c>
      <c r="D1928" s="15">
        <v>1.151</v>
      </c>
      <c r="E1928" s="15">
        <v>1.151</v>
      </c>
      <c r="F1928" s="15">
        <v>1.151</v>
      </c>
      <c r="G1928" s="11">
        <v>0.0017</v>
      </c>
      <c r="H1928" s="9">
        <f>MAX($F$1644:F1928)</f>
        <v>1.151</v>
      </c>
      <c r="I1928" s="11">
        <f t="shared" si="45"/>
        <v>0</v>
      </c>
      <c r="J1928" s="9"/>
      <c r="K1928" s="11"/>
      <c r="L1928" s="9"/>
      <c r="M1928" s="11"/>
      <c r="N1928" s="9" t="s">
        <v>812</v>
      </c>
    </row>
    <row r="1929" ht="25" customHeight="1" spans="1:14">
      <c r="A1929" s="9" t="s">
        <v>371</v>
      </c>
      <c r="B1929" s="9" t="s">
        <v>370</v>
      </c>
      <c r="C1929" s="10">
        <v>45072</v>
      </c>
      <c r="D1929" s="15">
        <v>1.151</v>
      </c>
      <c r="E1929" s="15">
        <v>1.151</v>
      </c>
      <c r="F1929" s="15">
        <v>1.151</v>
      </c>
      <c r="G1929" s="11">
        <v>0</v>
      </c>
      <c r="H1929" s="9">
        <f>MAX($F$1644:F1929)</f>
        <v>1.151</v>
      </c>
      <c r="I1929" s="11">
        <f t="shared" si="45"/>
        <v>0</v>
      </c>
      <c r="J1929" s="9"/>
      <c r="K1929" s="11"/>
      <c r="L1929" s="9"/>
      <c r="M1929" s="11"/>
      <c r="N1929" s="9" t="s">
        <v>812</v>
      </c>
    </row>
    <row r="1930" ht="25" customHeight="1" spans="1:14">
      <c r="A1930" s="9" t="s">
        <v>371</v>
      </c>
      <c r="B1930" s="9" t="s">
        <v>370</v>
      </c>
      <c r="C1930" s="10">
        <v>45077</v>
      </c>
      <c r="D1930" s="15">
        <v>1.152</v>
      </c>
      <c r="E1930" s="15">
        <v>1.152</v>
      </c>
      <c r="F1930" s="15">
        <v>1.152</v>
      </c>
      <c r="G1930" s="11">
        <v>0.0009</v>
      </c>
      <c r="H1930" s="9">
        <f>MAX($F$1644:F1930)</f>
        <v>1.152</v>
      </c>
      <c r="I1930" s="11">
        <f t="shared" si="45"/>
        <v>0</v>
      </c>
      <c r="J1930" s="9"/>
      <c r="K1930" s="11"/>
      <c r="L1930" s="9"/>
      <c r="M1930" s="11"/>
      <c r="N1930" s="9" t="s">
        <v>812</v>
      </c>
    </row>
    <row r="1931" ht="25" customHeight="1" spans="1:14">
      <c r="A1931" s="9" t="s">
        <v>371</v>
      </c>
      <c r="B1931" s="9" t="s">
        <v>370</v>
      </c>
      <c r="C1931" s="10">
        <v>45078</v>
      </c>
      <c r="D1931" s="15">
        <v>1.151</v>
      </c>
      <c r="E1931" s="15">
        <v>1.151</v>
      </c>
      <c r="F1931" s="15">
        <v>1.151</v>
      </c>
      <c r="G1931" s="11">
        <v>-0.0009</v>
      </c>
      <c r="H1931" s="9">
        <f>MAX($F$1644:F1931)</f>
        <v>1.152</v>
      </c>
      <c r="I1931" s="11">
        <f t="shared" si="45"/>
        <v>0.000868055555555469</v>
      </c>
      <c r="J1931" s="9"/>
      <c r="K1931" s="11"/>
      <c r="L1931" s="9"/>
      <c r="M1931" s="11"/>
      <c r="N1931" s="9" t="s">
        <v>812</v>
      </c>
    </row>
    <row r="1932" ht="25" customHeight="1" spans="1:14">
      <c r="A1932" s="9" t="s">
        <v>371</v>
      </c>
      <c r="B1932" s="9" t="s">
        <v>370</v>
      </c>
      <c r="C1932" s="10">
        <v>45079</v>
      </c>
      <c r="D1932" s="15">
        <v>1.149</v>
      </c>
      <c r="E1932" s="15">
        <v>1.149</v>
      </c>
      <c r="F1932" s="15">
        <v>1.149</v>
      </c>
      <c r="G1932" s="11">
        <v>-0.0017</v>
      </c>
      <c r="H1932" s="9">
        <f>MAX($F$1644:F1932)</f>
        <v>1.152</v>
      </c>
      <c r="I1932" s="11">
        <f t="shared" si="45"/>
        <v>0.00260416666666652</v>
      </c>
      <c r="J1932" s="9"/>
      <c r="K1932" s="11"/>
      <c r="L1932" s="9"/>
      <c r="M1932" s="11"/>
      <c r="N1932" s="9" t="s">
        <v>812</v>
      </c>
    </row>
    <row r="1933" ht="25" customHeight="1" spans="1:14">
      <c r="A1933" s="9" t="s">
        <v>371</v>
      </c>
      <c r="B1933" s="9" t="s">
        <v>370</v>
      </c>
      <c r="C1933" s="10">
        <v>45085</v>
      </c>
      <c r="D1933" s="15">
        <v>1.153</v>
      </c>
      <c r="E1933" s="15">
        <v>1.153</v>
      </c>
      <c r="F1933" s="15">
        <v>1.153</v>
      </c>
      <c r="G1933" s="11">
        <v>0.0035</v>
      </c>
      <c r="H1933" s="9">
        <f>MAX($F$1644:F1933)</f>
        <v>1.153</v>
      </c>
      <c r="I1933" s="11">
        <f t="shared" si="45"/>
        <v>0</v>
      </c>
      <c r="J1933" s="9"/>
      <c r="K1933" s="11"/>
      <c r="L1933" s="9"/>
      <c r="M1933" s="11"/>
      <c r="N1933" s="9" t="s">
        <v>812</v>
      </c>
    </row>
    <row r="1934" ht="25" customHeight="1" spans="1:14">
      <c r="A1934" s="9" t="s">
        <v>371</v>
      </c>
      <c r="B1934" s="9" t="s">
        <v>370</v>
      </c>
      <c r="C1934" s="10">
        <v>45086</v>
      </c>
      <c r="D1934" s="15">
        <v>1.154</v>
      </c>
      <c r="E1934" s="15">
        <v>1.154</v>
      </c>
      <c r="F1934" s="15">
        <v>1.154</v>
      </c>
      <c r="G1934" s="11">
        <v>0.0009</v>
      </c>
      <c r="H1934" s="9">
        <f>MAX($F$1644:F1934)</f>
        <v>1.154</v>
      </c>
      <c r="I1934" s="11">
        <f t="shared" si="45"/>
        <v>0</v>
      </c>
      <c r="J1934" s="9"/>
      <c r="K1934" s="11"/>
      <c r="L1934" s="9"/>
      <c r="M1934" s="11"/>
      <c r="N1934" s="9" t="s">
        <v>812</v>
      </c>
    </row>
    <row r="1935" ht="25" customHeight="1" spans="1:14">
      <c r="A1935" s="9" t="s">
        <v>371</v>
      </c>
      <c r="B1935" s="9" t="s">
        <v>370</v>
      </c>
      <c r="C1935" s="10">
        <v>45092</v>
      </c>
      <c r="D1935" s="15">
        <v>1.154</v>
      </c>
      <c r="E1935" s="15">
        <v>1.154</v>
      </c>
      <c r="F1935" s="15">
        <v>1.154</v>
      </c>
      <c r="G1935" s="11">
        <v>0</v>
      </c>
      <c r="H1935" s="9">
        <f>MAX($F$1644:F1935)</f>
        <v>1.154</v>
      </c>
      <c r="I1935" s="11">
        <f t="shared" si="45"/>
        <v>0</v>
      </c>
      <c r="J1935" s="9"/>
      <c r="K1935" s="11"/>
      <c r="L1935" s="9"/>
      <c r="M1935" s="11"/>
      <c r="N1935" s="9" t="s">
        <v>812</v>
      </c>
    </row>
    <row r="1936" ht="25" customHeight="1" spans="1:14">
      <c r="A1936" s="9" t="s">
        <v>371</v>
      </c>
      <c r="B1936" s="9" t="s">
        <v>370</v>
      </c>
      <c r="C1936" s="10">
        <v>45093</v>
      </c>
      <c r="D1936" s="15">
        <v>1.152</v>
      </c>
      <c r="E1936" s="15">
        <v>1.152</v>
      </c>
      <c r="F1936" s="15">
        <v>1.152</v>
      </c>
      <c r="G1936" s="11">
        <v>-0.0017</v>
      </c>
      <c r="H1936" s="9">
        <f>MAX($F$1644:F1936)</f>
        <v>1.154</v>
      </c>
      <c r="I1936" s="11">
        <f t="shared" si="45"/>
        <v>0.00173310225303291</v>
      </c>
      <c r="J1936" s="9"/>
      <c r="K1936" s="11"/>
      <c r="L1936" s="9"/>
      <c r="M1936" s="11"/>
      <c r="N1936" s="9" t="s">
        <v>812</v>
      </c>
    </row>
    <row r="1937" ht="25" customHeight="1" spans="1:14">
      <c r="A1937" s="9" t="s">
        <v>371</v>
      </c>
      <c r="B1937" s="9" t="s">
        <v>370</v>
      </c>
      <c r="C1937" s="10">
        <v>45098</v>
      </c>
      <c r="D1937" s="15">
        <v>1.156</v>
      </c>
      <c r="E1937" s="15">
        <v>1.156</v>
      </c>
      <c r="F1937" s="15">
        <v>1.156</v>
      </c>
      <c r="G1937" s="11">
        <v>0.0035</v>
      </c>
      <c r="H1937" s="9">
        <f>MAX($F$1644:F1937)</f>
        <v>1.156</v>
      </c>
      <c r="I1937" s="11">
        <f t="shared" si="45"/>
        <v>0</v>
      </c>
      <c r="J1937" s="9"/>
      <c r="K1937" s="11"/>
      <c r="L1937" s="9"/>
      <c r="M1937" s="11"/>
      <c r="N1937" s="9" t="s">
        <v>812</v>
      </c>
    </row>
    <row r="1938" ht="25" customHeight="1" spans="1:14">
      <c r="A1938" s="9" t="s">
        <v>371</v>
      </c>
      <c r="B1938" s="9" t="s">
        <v>370</v>
      </c>
      <c r="C1938" s="10">
        <v>45103</v>
      </c>
      <c r="D1938" s="15">
        <v>1.155</v>
      </c>
      <c r="E1938" s="15">
        <v>1.155</v>
      </c>
      <c r="F1938" s="15">
        <v>1.155</v>
      </c>
      <c r="G1938" s="11">
        <v>-0.0009</v>
      </c>
      <c r="H1938" s="9">
        <f>MAX($F$1644:F1938)</f>
        <v>1.156</v>
      </c>
      <c r="I1938" s="11">
        <f t="shared" si="45"/>
        <v>0.000865051903114145</v>
      </c>
      <c r="J1938" s="9"/>
      <c r="K1938" s="11"/>
      <c r="L1938" s="9"/>
      <c r="M1938" s="11"/>
      <c r="N1938" s="9" t="s">
        <v>812</v>
      </c>
    </row>
    <row r="1939" ht="25" customHeight="1" spans="1:14">
      <c r="A1939" s="9" t="s">
        <v>371</v>
      </c>
      <c r="B1939" s="9" t="s">
        <v>370</v>
      </c>
      <c r="C1939" s="10">
        <v>45106</v>
      </c>
      <c r="D1939" s="15">
        <v>1.155</v>
      </c>
      <c r="E1939" s="15">
        <v>1.155</v>
      </c>
      <c r="F1939" s="15">
        <v>1.155</v>
      </c>
      <c r="G1939" s="11">
        <v>0</v>
      </c>
      <c r="H1939" s="9">
        <f>MAX($F$1644:F1939)</f>
        <v>1.156</v>
      </c>
      <c r="I1939" s="11">
        <f t="shared" si="45"/>
        <v>0.000865051903114145</v>
      </c>
      <c r="J1939" s="9"/>
      <c r="K1939" s="11"/>
      <c r="L1939" s="9"/>
      <c r="M1939" s="11"/>
      <c r="N1939" s="9" t="s">
        <v>812</v>
      </c>
    </row>
    <row r="1940" ht="25" customHeight="1" spans="1:14">
      <c r="A1940" s="9" t="s">
        <v>371</v>
      </c>
      <c r="B1940" s="9" t="s">
        <v>370</v>
      </c>
      <c r="C1940" s="10">
        <v>45107</v>
      </c>
      <c r="D1940" s="15">
        <v>1.156</v>
      </c>
      <c r="E1940" s="15">
        <v>1.156</v>
      </c>
      <c r="F1940" s="15">
        <v>1.156</v>
      </c>
      <c r="G1940" s="11">
        <v>0.0009</v>
      </c>
      <c r="H1940" s="9">
        <f>MAX($F$1644:F1940)</f>
        <v>1.156</v>
      </c>
      <c r="I1940" s="11">
        <f t="shared" si="45"/>
        <v>0</v>
      </c>
      <c r="J1940" s="9"/>
      <c r="K1940" s="11"/>
      <c r="L1940" s="9"/>
      <c r="M1940" s="11"/>
      <c r="N1940" s="9" t="s">
        <v>812</v>
      </c>
    </row>
    <row r="1941" ht="25" customHeight="1" spans="1:14">
      <c r="A1941" s="9" t="s">
        <v>371</v>
      </c>
      <c r="B1941" s="9" t="s">
        <v>370</v>
      </c>
      <c r="C1941" s="10">
        <v>45113</v>
      </c>
      <c r="D1941" s="15">
        <v>1.155</v>
      </c>
      <c r="E1941" s="15">
        <v>1.155</v>
      </c>
      <c r="F1941" s="15">
        <v>1.155</v>
      </c>
      <c r="G1941" s="11">
        <v>-0.0009</v>
      </c>
      <c r="H1941" s="9">
        <f>MAX($F$1644:F1941)</f>
        <v>1.156</v>
      </c>
      <c r="I1941" s="11">
        <f t="shared" si="45"/>
        <v>0.000865051903114145</v>
      </c>
      <c r="J1941" s="9"/>
      <c r="K1941" s="11"/>
      <c r="L1941" s="9"/>
      <c r="M1941" s="11"/>
      <c r="N1941" s="9" t="s">
        <v>812</v>
      </c>
    </row>
    <row r="1942" ht="25" customHeight="1" spans="1:14">
      <c r="A1942" s="9" t="s">
        <v>371</v>
      </c>
      <c r="B1942" s="9" t="s">
        <v>370</v>
      </c>
      <c r="C1942" s="10">
        <v>45114</v>
      </c>
      <c r="D1942" s="15">
        <v>1.156</v>
      </c>
      <c r="E1942" s="15">
        <v>1.156</v>
      </c>
      <c r="F1942" s="15">
        <v>1.156</v>
      </c>
      <c r="G1942" s="11">
        <v>0.0009</v>
      </c>
      <c r="H1942" s="9">
        <f>MAX($F$1644:F1942)</f>
        <v>1.156</v>
      </c>
      <c r="I1942" s="11">
        <f t="shared" si="45"/>
        <v>0</v>
      </c>
      <c r="J1942" s="9"/>
      <c r="K1942" s="11"/>
      <c r="L1942" s="9"/>
      <c r="M1942" s="11"/>
      <c r="N1942" s="9" t="s">
        <v>812</v>
      </c>
    </row>
    <row r="1943" ht="25" customHeight="1" spans="1:14">
      <c r="A1943" s="9" t="s">
        <v>371</v>
      </c>
      <c r="B1943" s="9" t="s">
        <v>370</v>
      </c>
      <c r="C1943" s="10">
        <v>45120</v>
      </c>
      <c r="D1943" s="15">
        <v>1.155</v>
      </c>
      <c r="E1943" s="15">
        <v>1.155</v>
      </c>
      <c r="F1943" s="15">
        <v>1.155</v>
      </c>
      <c r="G1943" s="11">
        <v>-0.0009</v>
      </c>
      <c r="H1943" s="9">
        <f>MAX($F$1644:F1943)</f>
        <v>1.156</v>
      </c>
      <c r="I1943" s="11">
        <f t="shared" si="45"/>
        <v>0.000865051903114145</v>
      </c>
      <c r="J1943" s="9"/>
      <c r="K1943" s="11"/>
      <c r="L1943" s="9"/>
      <c r="M1943" s="11"/>
      <c r="N1943" s="9" t="s">
        <v>812</v>
      </c>
    </row>
    <row r="1944" ht="25" customHeight="1" spans="1:14">
      <c r="A1944" s="9" t="s">
        <v>371</v>
      </c>
      <c r="B1944" s="9" t="s">
        <v>370</v>
      </c>
      <c r="C1944" s="10">
        <v>45121</v>
      </c>
      <c r="D1944" s="15">
        <v>1.155</v>
      </c>
      <c r="E1944" s="15">
        <v>1.155</v>
      </c>
      <c r="F1944" s="15">
        <v>1.155</v>
      </c>
      <c r="G1944" s="11">
        <v>0</v>
      </c>
      <c r="H1944" s="9">
        <f>MAX($F$1644:F1944)</f>
        <v>1.156</v>
      </c>
      <c r="I1944" s="11">
        <f t="shared" si="45"/>
        <v>0.000865051903114145</v>
      </c>
      <c r="J1944" s="9"/>
      <c r="K1944" s="11"/>
      <c r="L1944" s="9"/>
      <c r="M1944" s="11"/>
      <c r="N1944" s="9" t="s">
        <v>812</v>
      </c>
    </row>
    <row r="1945" ht="25" customHeight="1" spans="1:14">
      <c r="A1945" s="9" t="s">
        <v>371</v>
      </c>
      <c r="B1945" s="9" t="s">
        <v>370</v>
      </c>
      <c r="C1945" s="10">
        <v>45127</v>
      </c>
      <c r="D1945" s="15">
        <v>1.151</v>
      </c>
      <c r="E1945" s="15">
        <v>1.151</v>
      </c>
      <c r="F1945" s="15">
        <v>1.151</v>
      </c>
      <c r="G1945" s="11">
        <v>-0.0035</v>
      </c>
      <c r="H1945" s="9">
        <f>MAX($F$1644:F1945)</f>
        <v>1.156</v>
      </c>
      <c r="I1945" s="11">
        <f t="shared" si="45"/>
        <v>0.00432525951557083</v>
      </c>
      <c r="J1945" s="9"/>
      <c r="K1945" s="11"/>
      <c r="L1945" s="9"/>
      <c r="M1945" s="11"/>
      <c r="N1945" s="9" t="s">
        <v>812</v>
      </c>
    </row>
    <row r="1946" ht="25" customHeight="1" spans="1:14">
      <c r="A1946" s="9" t="s">
        <v>371</v>
      </c>
      <c r="B1946" s="9" t="s">
        <v>370</v>
      </c>
      <c r="C1946" s="10">
        <v>45128</v>
      </c>
      <c r="D1946" s="15">
        <v>1.157</v>
      </c>
      <c r="E1946" s="15">
        <v>1.157</v>
      </c>
      <c r="F1946" s="15">
        <v>1.157</v>
      </c>
      <c r="G1946" s="11">
        <v>0.0052</v>
      </c>
      <c r="H1946" s="9">
        <f>MAX($F$1644:F1946)</f>
        <v>1.157</v>
      </c>
      <c r="I1946" s="11">
        <f t="shared" si="45"/>
        <v>0</v>
      </c>
      <c r="J1946" s="9"/>
      <c r="K1946" s="11"/>
      <c r="L1946" s="9"/>
      <c r="M1946" s="11"/>
      <c r="N1946" s="9" t="s">
        <v>812</v>
      </c>
    </row>
    <row r="1947" ht="25" customHeight="1" spans="1:14">
      <c r="A1947" s="9" t="s">
        <v>371</v>
      </c>
      <c r="B1947" s="9" t="s">
        <v>370</v>
      </c>
      <c r="C1947" s="10">
        <v>45134</v>
      </c>
      <c r="D1947" s="15">
        <v>1.158</v>
      </c>
      <c r="E1947" s="15">
        <v>1.158</v>
      </c>
      <c r="F1947" s="15">
        <v>1.158</v>
      </c>
      <c r="G1947" s="11">
        <v>0.0009</v>
      </c>
      <c r="H1947" s="9">
        <f>MAX($F$1644:F1947)</f>
        <v>1.158</v>
      </c>
      <c r="I1947" s="11">
        <f t="shared" si="45"/>
        <v>0</v>
      </c>
      <c r="J1947" s="9"/>
      <c r="K1947" s="11"/>
      <c r="L1947" s="9"/>
      <c r="M1947" s="11"/>
      <c r="N1947" s="9" t="s">
        <v>812</v>
      </c>
    </row>
    <row r="1948" ht="25" customHeight="1" spans="1:14">
      <c r="A1948" s="9" t="s">
        <v>371</v>
      </c>
      <c r="B1948" s="9" t="s">
        <v>370</v>
      </c>
      <c r="C1948" s="10">
        <v>45135</v>
      </c>
      <c r="D1948" s="15">
        <v>1.159</v>
      </c>
      <c r="E1948" s="15">
        <v>1.159</v>
      </c>
      <c r="F1948" s="15">
        <v>1.159</v>
      </c>
      <c r="G1948" s="11">
        <v>0.0009</v>
      </c>
      <c r="H1948" s="9">
        <f>MAX($F$1644:F1948)</f>
        <v>1.159</v>
      </c>
      <c r="I1948" s="11">
        <f t="shared" si="45"/>
        <v>0</v>
      </c>
      <c r="J1948" s="9"/>
      <c r="K1948" s="11"/>
      <c r="L1948" s="9"/>
      <c r="M1948" s="11"/>
      <c r="N1948" s="9" t="s">
        <v>812</v>
      </c>
    </row>
    <row r="1949" ht="25" customHeight="1" spans="1:14">
      <c r="A1949" s="9" t="s">
        <v>371</v>
      </c>
      <c r="B1949" s="9" t="s">
        <v>370</v>
      </c>
      <c r="C1949" s="10">
        <v>45138</v>
      </c>
      <c r="D1949" s="15">
        <v>1.159</v>
      </c>
      <c r="E1949" s="15">
        <v>1.159</v>
      </c>
      <c r="F1949" s="15">
        <v>1.159</v>
      </c>
      <c r="G1949" s="11">
        <v>0</v>
      </c>
      <c r="H1949" s="9">
        <f>MAX($F$1644:F1949)</f>
        <v>1.159</v>
      </c>
      <c r="I1949" s="11">
        <f t="shared" si="45"/>
        <v>0</v>
      </c>
      <c r="J1949" s="9"/>
      <c r="K1949" s="11"/>
      <c r="L1949" s="9"/>
      <c r="M1949" s="11"/>
      <c r="N1949" s="9" t="s">
        <v>812</v>
      </c>
    </row>
    <row r="1950" ht="25" customHeight="1" spans="1:14">
      <c r="A1950" s="9" t="s">
        <v>371</v>
      </c>
      <c r="B1950" s="9" t="s">
        <v>370</v>
      </c>
      <c r="C1950" s="10">
        <v>45141</v>
      </c>
      <c r="D1950" s="15">
        <v>1.159</v>
      </c>
      <c r="E1950" s="15">
        <v>1.159</v>
      </c>
      <c r="F1950" s="15">
        <v>1.159</v>
      </c>
      <c r="G1950" s="11">
        <v>0</v>
      </c>
      <c r="H1950" s="9">
        <f>MAX($F$1644:F1950)</f>
        <v>1.159</v>
      </c>
      <c r="I1950" s="11">
        <f t="shared" si="45"/>
        <v>0</v>
      </c>
      <c r="J1950" s="9"/>
      <c r="K1950" s="11"/>
      <c r="L1950" s="9"/>
      <c r="M1950" s="11"/>
      <c r="N1950" s="9" t="s">
        <v>812</v>
      </c>
    </row>
    <row r="1951" ht="25" customHeight="1" spans="1:14">
      <c r="A1951" s="9" t="s">
        <v>371</v>
      </c>
      <c r="B1951" s="9" t="s">
        <v>370</v>
      </c>
      <c r="C1951" s="10">
        <v>45142</v>
      </c>
      <c r="D1951" s="15">
        <v>1.161</v>
      </c>
      <c r="E1951" s="15">
        <v>1.161</v>
      </c>
      <c r="F1951" s="15">
        <v>1.161</v>
      </c>
      <c r="G1951" s="11">
        <v>0.0017</v>
      </c>
      <c r="H1951" s="9">
        <f>MAX($F$1644:F1951)</f>
        <v>1.161</v>
      </c>
      <c r="I1951" s="11">
        <f t="shared" si="45"/>
        <v>0</v>
      </c>
      <c r="J1951" s="9"/>
      <c r="K1951" s="11"/>
      <c r="L1951" s="9"/>
      <c r="M1951" s="11"/>
      <c r="N1951" s="9" t="s">
        <v>812</v>
      </c>
    </row>
    <row r="1952" ht="25" customHeight="1" spans="1:14">
      <c r="A1952" s="9" t="s">
        <v>371</v>
      </c>
      <c r="B1952" s="9" t="s">
        <v>370</v>
      </c>
      <c r="C1952" s="10">
        <v>45148</v>
      </c>
      <c r="D1952" s="15">
        <v>1.158</v>
      </c>
      <c r="E1952" s="15">
        <v>1.158</v>
      </c>
      <c r="F1952" s="15">
        <v>1.158</v>
      </c>
      <c r="G1952" s="11">
        <v>-0.0026</v>
      </c>
      <c r="H1952" s="9">
        <f>MAX($F$1644:F1952)</f>
        <v>1.161</v>
      </c>
      <c r="I1952" s="11">
        <f t="shared" si="45"/>
        <v>0.00258397932816545</v>
      </c>
      <c r="J1952" s="9"/>
      <c r="K1952" s="11"/>
      <c r="L1952" s="9"/>
      <c r="M1952" s="11"/>
      <c r="N1952" s="9" t="s">
        <v>812</v>
      </c>
    </row>
    <row r="1953" ht="25" customHeight="1" spans="1:14">
      <c r="A1953" s="9" t="s">
        <v>371</v>
      </c>
      <c r="B1953" s="9" t="s">
        <v>370</v>
      </c>
      <c r="C1953" s="10">
        <v>45149</v>
      </c>
      <c r="D1953" s="15">
        <v>1.164</v>
      </c>
      <c r="E1953" s="15">
        <v>1.164</v>
      </c>
      <c r="F1953" s="15">
        <v>1.164</v>
      </c>
      <c r="G1953" s="11">
        <v>0.0052</v>
      </c>
      <c r="H1953" s="9">
        <f>MAX($F$1644:F1953)</f>
        <v>1.164</v>
      </c>
      <c r="I1953" s="11">
        <f t="shared" si="45"/>
        <v>0</v>
      </c>
      <c r="J1953" s="9"/>
      <c r="K1953" s="11"/>
      <c r="L1953" s="9"/>
      <c r="M1953" s="11"/>
      <c r="N1953" s="9" t="s">
        <v>812</v>
      </c>
    </row>
    <row r="1954" ht="25" customHeight="1" spans="1:14">
      <c r="A1954" s="9" t="s">
        <v>371</v>
      </c>
      <c r="B1954" s="9" t="s">
        <v>370</v>
      </c>
      <c r="C1954" s="10">
        <v>45155</v>
      </c>
      <c r="D1954" s="15">
        <v>1.163</v>
      </c>
      <c r="E1954" s="15">
        <v>1.163</v>
      </c>
      <c r="F1954" s="15">
        <v>1.163</v>
      </c>
      <c r="G1954" s="11">
        <v>-0.0009</v>
      </c>
      <c r="H1954" s="9">
        <f>MAX($F$1644:F1954)</f>
        <v>1.164</v>
      </c>
      <c r="I1954" s="11">
        <f t="shared" si="45"/>
        <v>0.000859106529209508</v>
      </c>
      <c r="J1954" s="9"/>
      <c r="K1954" s="11"/>
      <c r="L1954" s="9"/>
      <c r="M1954" s="11"/>
      <c r="N1954" s="9" t="s">
        <v>812</v>
      </c>
    </row>
    <row r="1955" ht="25" customHeight="1" spans="1:14">
      <c r="A1955" s="9" t="s">
        <v>371</v>
      </c>
      <c r="B1955" s="9" t="s">
        <v>370</v>
      </c>
      <c r="C1955" s="10">
        <v>45156</v>
      </c>
      <c r="D1955" s="15">
        <v>1.163</v>
      </c>
      <c r="E1955" s="15">
        <v>1.163</v>
      </c>
      <c r="F1955" s="15">
        <v>1.163</v>
      </c>
      <c r="G1955" s="11">
        <v>0</v>
      </c>
      <c r="H1955" s="9">
        <f>MAX($F$1644:F1955)</f>
        <v>1.164</v>
      </c>
      <c r="I1955" s="11">
        <f t="shared" si="45"/>
        <v>0.000859106529209508</v>
      </c>
      <c r="J1955" s="9"/>
      <c r="K1955" s="11"/>
      <c r="L1955" s="9"/>
      <c r="M1955" s="11"/>
      <c r="N1955" s="9" t="s">
        <v>812</v>
      </c>
    </row>
    <row r="1956" ht="25" customHeight="1" spans="1:14">
      <c r="A1956" s="9" t="s">
        <v>371</v>
      </c>
      <c r="B1956" s="9" t="s">
        <v>370</v>
      </c>
      <c r="C1956" s="10">
        <v>45162</v>
      </c>
      <c r="D1956" s="15">
        <v>1.163</v>
      </c>
      <c r="E1956" s="15">
        <v>1.163</v>
      </c>
      <c r="F1956" s="15">
        <v>1.163</v>
      </c>
      <c r="G1956" s="11">
        <v>0</v>
      </c>
      <c r="H1956" s="9">
        <f>MAX($F$1644:F1956)</f>
        <v>1.164</v>
      </c>
      <c r="I1956" s="11">
        <f t="shared" si="45"/>
        <v>0.000859106529209508</v>
      </c>
      <c r="J1956" s="9"/>
      <c r="K1956" s="11"/>
      <c r="L1956" s="9"/>
      <c r="M1956" s="11"/>
      <c r="N1956" s="9" t="s">
        <v>812</v>
      </c>
    </row>
    <row r="1957" ht="25" customHeight="1" spans="1:14">
      <c r="A1957" s="9" t="s">
        <v>371</v>
      </c>
      <c r="B1957" s="9" t="s">
        <v>370</v>
      </c>
      <c r="C1957" s="10">
        <v>45163</v>
      </c>
      <c r="D1957" s="15">
        <v>1.165</v>
      </c>
      <c r="E1957" s="15">
        <v>1.165</v>
      </c>
      <c r="F1957" s="15">
        <v>1.165</v>
      </c>
      <c r="G1957" s="11">
        <v>0.0017</v>
      </c>
      <c r="H1957" s="9">
        <f>MAX($F$1644:F1957)</f>
        <v>1.165</v>
      </c>
      <c r="I1957" s="11">
        <f t="shared" si="45"/>
        <v>0</v>
      </c>
      <c r="J1957" s="9"/>
      <c r="K1957" s="11"/>
      <c r="L1957" s="9"/>
      <c r="M1957" s="11"/>
      <c r="N1957" s="9" t="s">
        <v>812</v>
      </c>
    </row>
    <row r="1958" ht="25" customHeight="1" spans="1:14">
      <c r="A1958" s="9" t="s">
        <v>371</v>
      </c>
      <c r="B1958" s="9" t="s">
        <v>370</v>
      </c>
      <c r="C1958" s="10">
        <v>45169</v>
      </c>
      <c r="D1958" s="15">
        <v>1.171</v>
      </c>
      <c r="E1958" s="15">
        <v>1.171</v>
      </c>
      <c r="F1958" s="15">
        <v>1.171</v>
      </c>
      <c r="G1958" s="11">
        <v>0.0052</v>
      </c>
      <c r="H1958" s="9">
        <f>MAX($F$1644:F1958)</f>
        <v>1.171</v>
      </c>
      <c r="I1958" s="11">
        <f t="shared" si="45"/>
        <v>0</v>
      </c>
      <c r="J1958" s="9"/>
      <c r="K1958" s="11"/>
      <c r="L1958" s="9"/>
      <c r="M1958" s="11"/>
      <c r="N1958" s="9" t="s">
        <v>812</v>
      </c>
    </row>
    <row r="1959" ht="25" customHeight="1" spans="1:14">
      <c r="A1959" s="9" t="s">
        <v>371</v>
      </c>
      <c r="B1959" s="9" t="s">
        <v>370</v>
      </c>
      <c r="C1959" s="10">
        <v>45170</v>
      </c>
      <c r="D1959" s="15">
        <v>1.171</v>
      </c>
      <c r="E1959" s="15">
        <v>1.171</v>
      </c>
      <c r="F1959" s="15">
        <v>1.171</v>
      </c>
      <c r="G1959" s="11">
        <v>0</v>
      </c>
      <c r="H1959" s="9">
        <f>MAX($F$1644:F1959)</f>
        <v>1.171</v>
      </c>
      <c r="I1959" s="11">
        <f t="shared" si="45"/>
        <v>0</v>
      </c>
      <c r="J1959" s="9"/>
      <c r="K1959" s="11"/>
      <c r="L1959" s="9">
        <f>MAX($F$1959:F1959)</f>
        <v>1.171</v>
      </c>
      <c r="M1959" s="11">
        <f t="shared" ref="M1959:M2022" si="46">1-F1959/L1959</f>
        <v>0</v>
      </c>
      <c r="N1959" s="9" t="s">
        <v>812</v>
      </c>
    </row>
    <row r="1960" ht="25" customHeight="1" spans="1:14">
      <c r="A1960" s="9" t="s">
        <v>371</v>
      </c>
      <c r="B1960" s="9" t="s">
        <v>370</v>
      </c>
      <c r="C1960" s="10">
        <v>45176</v>
      </c>
      <c r="D1960" s="15">
        <v>1.173</v>
      </c>
      <c r="E1960" s="15">
        <v>1.173</v>
      </c>
      <c r="F1960" s="15">
        <v>1.173</v>
      </c>
      <c r="G1960" s="11">
        <v>0.0017</v>
      </c>
      <c r="H1960" s="9">
        <f>MAX($F$1644:F1960)</f>
        <v>1.173</v>
      </c>
      <c r="I1960" s="11">
        <f t="shared" si="45"/>
        <v>0</v>
      </c>
      <c r="J1960" s="9"/>
      <c r="K1960" s="11"/>
      <c r="L1960" s="9">
        <f>MAX($F$1959:F1960)</f>
        <v>1.173</v>
      </c>
      <c r="M1960" s="11">
        <f t="shared" si="46"/>
        <v>0</v>
      </c>
      <c r="N1960" s="9" t="s">
        <v>812</v>
      </c>
    </row>
    <row r="1961" ht="25" customHeight="1" spans="1:14">
      <c r="A1961" s="9" t="s">
        <v>371</v>
      </c>
      <c r="B1961" s="9" t="s">
        <v>370</v>
      </c>
      <c r="C1961" s="10">
        <v>45177</v>
      </c>
      <c r="D1961" s="15">
        <v>1.172</v>
      </c>
      <c r="E1961" s="15">
        <v>1.172</v>
      </c>
      <c r="F1961" s="15">
        <v>1.172</v>
      </c>
      <c r="G1961" s="11">
        <v>-0.0009</v>
      </c>
      <c r="H1961" s="9">
        <f>MAX($F$1644:F1961)</f>
        <v>1.173</v>
      </c>
      <c r="I1961" s="11">
        <f t="shared" si="45"/>
        <v>0.000852514919011171</v>
      </c>
      <c r="J1961" s="9"/>
      <c r="K1961" s="11"/>
      <c r="L1961" s="9">
        <f>MAX($F$1959:F1961)</f>
        <v>1.173</v>
      </c>
      <c r="M1961" s="11">
        <f t="shared" si="46"/>
        <v>0.000852514919011171</v>
      </c>
      <c r="N1961" s="9" t="s">
        <v>812</v>
      </c>
    </row>
    <row r="1962" ht="25" customHeight="1" spans="1:14">
      <c r="A1962" s="9" t="s">
        <v>371</v>
      </c>
      <c r="B1962" s="9" t="s">
        <v>370</v>
      </c>
      <c r="C1962" s="10">
        <v>45183</v>
      </c>
      <c r="D1962" s="15">
        <v>1.172</v>
      </c>
      <c r="E1962" s="15">
        <v>1.172</v>
      </c>
      <c r="F1962" s="15">
        <v>1.172</v>
      </c>
      <c r="G1962" s="11">
        <v>0</v>
      </c>
      <c r="H1962" s="9">
        <f>MAX($F$1644:F1962)</f>
        <v>1.173</v>
      </c>
      <c r="I1962" s="11">
        <f t="shared" si="45"/>
        <v>0.000852514919011171</v>
      </c>
      <c r="J1962" s="9"/>
      <c r="K1962" s="11"/>
      <c r="L1962" s="9">
        <f>MAX($F$1959:F1962)</f>
        <v>1.173</v>
      </c>
      <c r="M1962" s="11">
        <f t="shared" si="46"/>
        <v>0.000852514919011171</v>
      </c>
      <c r="N1962" s="9" t="s">
        <v>812</v>
      </c>
    </row>
    <row r="1963" ht="25" customHeight="1" spans="1:14">
      <c r="A1963" s="9" t="s">
        <v>371</v>
      </c>
      <c r="B1963" s="9" t="s">
        <v>370</v>
      </c>
      <c r="C1963" s="10">
        <v>45184</v>
      </c>
      <c r="D1963" s="15">
        <v>1.175</v>
      </c>
      <c r="E1963" s="15">
        <v>1.175</v>
      </c>
      <c r="F1963" s="15">
        <v>1.175</v>
      </c>
      <c r="G1963" s="11">
        <v>0.0026</v>
      </c>
      <c r="H1963" s="9">
        <f>MAX($F$1644:F1963)</f>
        <v>1.175</v>
      </c>
      <c r="I1963" s="11">
        <f t="shared" si="45"/>
        <v>0</v>
      </c>
      <c r="J1963" s="9"/>
      <c r="K1963" s="11"/>
      <c r="L1963" s="9">
        <f>MAX($F$1959:F1963)</f>
        <v>1.175</v>
      </c>
      <c r="M1963" s="11">
        <f t="shared" si="46"/>
        <v>0</v>
      </c>
      <c r="N1963" s="9" t="s">
        <v>812</v>
      </c>
    </row>
    <row r="1964" ht="25" customHeight="1" spans="1:14">
      <c r="A1964" s="9" t="s">
        <v>371</v>
      </c>
      <c r="B1964" s="9" t="s">
        <v>370</v>
      </c>
      <c r="C1964" s="10">
        <v>45190</v>
      </c>
      <c r="D1964" s="15">
        <v>1.17</v>
      </c>
      <c r="E1964" s="15">
        <v>1.17</v>
      </c>
      <c r="F1964" s="15">
        <v>1.17</v>
      </c>
      <c r="G1964" s="11">
        <v>-0.0043</v>
      </c>
      <c r="H1964" s="9">
        <f>MAX($F$1644:F1964)</f>
        <v>1.175</v>
      </c>
      <c r="I1964" s="11">
        <f t="shared" si="45"/>
        <v>0.00425531914893629</v>
      </c>
      <c r="J1964" s="9"/>
      <c r="K1964" s="11"/>
      <c r="L1964" s="9">
        <f>MAX($F$1959:F1964)</f>
        <v>1.175</v>
      </c>
      <c r="M1964" s="11">
        <f t="shared" si="46"/>
        <v>0.00425531914893629</v>
      </c>
      <c r="N1964" s="9" t="s">
        <v>812</v>
      </c>
    </row>
    <row r="1965" ht="25" customHeight="1" spans="1:14">
      <c r="A1965" s="9" t="s">
        <v>371</v>
      </c>
      <c r="B1965" s="9" t="s">
        <v>370</v>
      </c>
      <c r="C1965" s="10">
        <v>45191</v>
      </c>
      <c r="D1965" s="15">
        <v>1.178</v>
      </c>
      <c r="E1965" s="15">
        <v>1.178</v>
      </c>
      <c r="F1965" s="15">
        <v>1.178</v>
      </c>
      <c r="G1965" s="11">
        <v>0.0068</v>
      </c>
      <c r="H1965" s="9">
        <f>MAX($F$1644:F1965)</f>
        <v>1.178</v>
      </c>
      <c r="I1965" s="11">
        <f t="shared" si="45"/>
        <v>0</v>
      </c>
      <c r="J1965" s="9"/>
      <c r="K1965" s="11"/>
      <c r="L1965" s="9">
        <f>MAX($F$1959:F1965)</f>
        <v>1.178</v>
      </c>
      <c r="M1965" s="11">
        <f t="shared" si="46"/>
        <v>0</v>
      </c>
      <c r="N1965" s="9" t="s">
        <v>812</v>
      </c>
    </row>
    <row r="1966" ht="25" customHeight="1" spans="1:14">
      <c r="A1966" s="9" t="s">
        <v>371</v>
      </c>
      <c r="B1966" s="9" t="s">
        <v>370</v>
      </c>
      <c r="C1966" s="10">
        <v>45197</v>
      </c>
      <c r="D1966" s="15">
        <v>1.173</v>
      </c>
      <c r="E1966" s="15">
        <v>1.173</v>
      </c>
      <c r="F1966" s="15">
        <v>1.173</v>
      </c>
      <c r="G1966" s="11">
        <v>-0.0042</v>
      </c>
      <c r="H1966" s="9">
        <f>MAX($F$1644:F1966)</f>
        <v>1.178</v>
      </c>
      <c r="I1966" s="11">
        <f t="shared" si="45"/>
        <v>0.00424448217317475</v>
      </c>
      <c r="J1966" s="9"/>
      <c r="K1966" s="11"/>
      <c r="L1966" s="9">
        <f>MAX($F$1959:F1966)</f>
        <v>1.178</v>
      </c>
      <c r="M1966" s="11">
        <f t="shared" si="46"/>
        <v>0.00424448217317475</v>
      </c>
      <c r="N1966" s="9" t="s">
        <v>812</v>
      </c>
    </row>
    <row r="1967" ht="25" customHeight="1" spans="1:14">
      <c r="A1967" s="9" t="s">
        <v>371</v>
      </c>
      <c r="B1967" s="9" t="s">
        <v>370</v>
      </c>
      <c r="C1967" s="10">
        <v>45211</v>
      </c>
      <c r="D1967" s="15">
        <v>1.174</v>
      </c>
      <c r="E1967" s="15">
        <v>1.174</v>
      </c>
      <c r="F1967" s="15">
        <v>1.174</v>
      </c>
      <c r="G1967" s="11">
        <v>0.0009</v>
      </c>
      <c r="H1967" s="9">
        <f>MAX($F$1644:F1967)</f>
        <v>1.178</v>
      </c>
      <c r="I1967" s="11">
        <f t="shared" si="45"/>
        <v>0.00339558573853993</v>
      </c>
      <c r="J1967" s="9"/>
      <c r="K1967" s="11"/>
      <c r="L1967" s="9">
        <f>MAX($F$1959:F1967)</f>
        <v>1.178</v>
      </c>
      <c r="M1967" s="11">
        <f t="shared" si="46"/>
        <v>0.00339558573853993</v>
      </c>
      <c r="N1967" s="9" t="s">
        <v>812</v>
      </c>
    </row>
    <row r="1968" ht="25" customHeight="1" spans="1:14">
      <c r="A1968" s="9" t="s">
        <v>371</v>
      </c>
      <c r="B1968" s="9" t="s">
        <v>370</v>
      </c>
      <c r="C1968" s="10">
        <v>45212</v>
      </c>
      <c r="D1968" s="15">
        <v>1.175</v>
      </c>
      <c r="E1968" s="15">
        <v>1.175</v>
      </c>
      <c r="F1968" s="15">
        <v>1.175</v>
      </c>
      <c r="G1968" s="11">
        <v>0.0009</v>
      </c>
      <c r="H1968" s="9">
        <f>MAX($F$1644:F1968)</f>
        <v>1.178</v>
      </c>
      <c r="I1968" s="11">
        <f t="shared" si="45"/>
        <v>0.00254668930390478</v>
      </c>
      <c r="J1968" s="9"/>
      <c r="K1968" s="11"/>
      <c r="L1968" s="9">
        <f>MAX($F$1959:F1968)</f>
        <v>1.178</v>
      </c>
      <c r="M1968" s="11">
        <f t="shared" si="46"/>
        <v>0.00254668930390478</v>
      </c>
      <c r="N1968" s="9" t="s">
        <v>812</v>
      </c>
    </row>
    <row r="1969" ht="25" customHeight="1" spans="1:14">
      <c r="A1969" s="9" t="s">
        <v>371</v>
      </c>
      <c r="B1969" s="9" t="s">
        <v>370</v>
      </c>
      <c r="C1969" s="10">
        <v>45218</v>
      </c>
      <c r="D1969" s="15">
        <v>1.171</v>
      </c>
      <c r="E1969" s="15">
        <v>1.171</v>
      </c>
      <c r="F1969" s="15">
        <v>1.171</v>
      </c>
      <c r="G1969" s="11">
        <v>-0.0034</v>
      </c>
      <c r="H1969" s="9">
        <f>MAX($F$1644:F1969)</f>
        <v>1.178</v>
      </c>
      <c r="I1969" s="11">
        <f t="shared" si="45"/>
        <v>0.00594227504244471</v>
      </c>
      <c r="J1969" s="9"/>
      <c r="K1969" s="11"/>
      <c r="L1969" s="9">
        <f>MAX($F$1959:F1969)</f>
        <v>1.178</v>
      </c>
      <c r="M1969" s="11">
        <f t="shared" si="46"/>
        <v>0.00594227504244471</v>
      </c>
      <c r="N1969" s="9" t="s">
        <v>812</v>
      </c>
    </row>
    <row r="1970" ht="25" customHeight="1" spans="1:14">
      <c r="A1970" s="9" t="s">
        <v>371</v>
      </c>
      <c r="B1970" s="9" t="s">
        <v>370</v>
      </c>
      <c r="C1970" s="10">
        <v>45219</v>
      </c>
      <c r="D1970" s="15">
        <v>1.177</v>
      </c>
      <c r="E1970" s="15">
        <v>1.177</v>
      </c>
      <c r="F1970" s="15">
        <v>1.177</v>
      </c>
      <c r="G1970" s="11">
        <v>0.0051</v>
      </c>
      <c r="H1970" s="9">
        <f>MAX($F$1644:F1970)</f>
        <v>1.178</v>
      </c>
      <c r="I1970" s="11">
        <f t="shared" si="45"/>
        <v>0.000848896434634927</v>
      </c>
      <c r="J1970" s="9"/>
      <c r="K1970" s="11"/>
      <c r="L1970" s="9">
        <f>MAX($F$1959:F1970)</f>
        <v>1.178</v>
      </c>
      <c r="M1970" s="11">
        <f t="shared" si="46"/>
        <v>0.000848896434634927</v>
      </c>
      <c r="N1970" s="9" t="s">
        <v>812</v>
      </c>
    </row>
    <row r="1971" ht="25" customHeight="1" spans="1:14">
      <c r="A1971" s="9" t="s">
        <v>371</v>
      </c>
      <c r="B1971" s="9" t="s">
        <v>370</v>
      </c>
      <c r="C1971" s="10">
        <v>45225</v>
      </c>
      <c r="D1971" s="15">
        <v>1.178</v>
      </c>
      <c r="E1971" s="15">
        <v>1.178</v>
      </c>
      <c r="F1971" s="15">
        <v>1.178</v>
      </c>
      <c r="G1971" s="11">
        <v>0.0008</v>
      </c>
      <c r="H1971" s="9">
        <f>MAX($F$1644:F1971)</f>
        <v>1.178</v>
      </c>
      <c r="I1971" s="11">
        <f t="shared" si="45"/>
        <v>0</v>
      </c>
      <c r="J1971" s="9"/>
      <c r="K1971" s="11"/>
      <c r="L1971" s="9">
        <f>MAX($F$1959:F1971)</f>
        <v>1.178</v>
      </c>
      <c r="M1971" s="11">
        <f t="shared" si="46"/>
        <v>0</v>
      </c>
      <c r="N1971" s="9" t="s">
        <v>812</v>
      </c>
    </row>
    <row r="1972" ht="25" customHeight="1" spans="1:14">
      <c r="A1972" s="9" t="s">
        <v>371</v>
      </c>
      <c r="B1972" s="9" t="s">
        <v>370</v>
      </c>
      <c r="C1972" s="10">
        <v>45226</v>
      </c>
      <c r="D1972" s="15">
        <v>1.175</v>
      </c>
      <c r="E1972" s="15">
        <v>1.175</v>
      </c>
      <c r="F1972" s="15">
        <v>1.175</v>
      </c>
      <c r="G1972" s="11">
        <v>-0.0025</v>
      </c>
      <c r="H1972" s="9">
        <f>MAX($F$1644:F1972)</f>
        <v>1.178</v>
      </c>
      <c r="I1972" s="11">
        <f t="shared" si="45"/>
        <v>0.00254668930390478</v>
      </c>
      <c r="J1972" s="9"/>
      <c r="K1972" s="11"/>
      <c r="L1972" s="9">
        <f>MAX($F$1959:F1972)</f>
        <v>1.178</v>
      </c>
      <c r="M1972" s="11">
        <f t="shared" si="46"/>
        <v>0.00254668930390478</v>
      </c>
      <c r="N1972" s="9" t="s">
        <v>812</v>
      </c>
    </row>
    <row r="1973" ht="25" customHeight="1" spans="1:14">
      <c r="A1973" s="9" t="s">
        <v>371</v>
      </c>
      <c r="B1973" s="9" t="s">
        <v>370</v>
      </c>
      <c r="C1973" s="10">
        <v>45230</v>
      </c>
      <c r="D1973" s="15">
        <v>1.178</v>
      </c>
      <c r="E1973" s="15">
        <v>1.178</v>
      </c>
      <c r="F1973" s="15">
        <v>1.178</v>
      </c>
      <c r="G1973" s="11">
        <v>0.0026</v>
      </c>
      <c r="H1973" s="9">
        <f>MAX($F$1644:F1973)</f>
        <v>1.178</v>
      </c>
      <c r="I1973" s="11">
        <f t="shared" si="45"/>
        <v>0</v>
      </c>
      <c r="J1973" s="9"/>
      <c r="K1973" s="11"/>
      <c r="L1973" s="9">
        <f>MAX($F$1959:F1973)</f>
        <v>1.178</v>
      </c>
      <c r="M1973" s="11">
        <f t="shared" si="46"/>
        <v>0</v>
      </c>
      <c r="N1973" s="9" t="s">
        <v>812</v>
      </c>
    </row>
    <row r="1974" ht="25" customHeight="1" spans="1:14">
      <c r="A1974" s="9" t="s">
        <v>371</v>
      </c>
      <c r="B1974" s="9" t="s">
        <v>370</v>
      </c>
      <c r="C1974" s="10">
        <v>45232</v>
      </c>
      <c r="D1974" s="15">
        <v>1.178</v>
      </c>
      <c r="E1974" s="15">
        <v>1.178</v>
      </c>
      <c r="F1974" s="15">
        <v>1.178</v>
      </c>
      <c r="G1974" s="11">
        <v>0</v>
      </c>
      <c r="H1974" s="9">
        <f>MAX($F$1644:F1974)</f>
        <v>1.178</v>
      </c>
      <c r="I1974" s="11">
        <f t="shared" si="45"/>
        <v>0</v>
      </c>
      <c r="J1974" s="9"/>
      <c r="K1974" s="11"/>
      <c r="L1974" s="9">
        <f>MAX($F$1959:F1974)</f>
        <v>1.178</v>
      </c>
      <c r="M1974" s="11">
        <f t="shared" si="46"/>
        <v>0</v>
      </c>
      <c r="N1974" s="9" t="s">
        <v>812</v>
      </c>
    </row>
    <row r="1975" ht="25" customHeight="1" spans="1:14">
      <c r="A1975" s="9" t="s">
        <v>371</v>
      </c>
      <c r="B1975" s="9" t="s">
        <v>370</v>
      </c>
      <c r="C1975" s="10">
        <v>45233</v>
      </c>
      <c r="D1975" s="15">
        <v>1.177</v>
      </c>
      <c r="E1975" s="15">
        <v>1.177</v>
      </c>
      <c r="F1975" s="15">
        <v>1.177</v>
      </c>
      <c r="G1975" s="11">
        <v>-0.0008</v>
      </c>
      <c r="H1975" s="9">
        <f>MAX($F$1644:F1975)</f>
        <v>1.178</v>
      </c>
      <c r="I1975" s="11">
        <f t="shared" si="45"/>
        <v>0.000848896434634927</v>
      </c>
      <c r="J1975" s="9"/>
      <c r="K1975" s="11"/>
      <c r="L1975" s="9">
        <f>MAX($F$1959:F1975)</f>
        <v>1.178</v>
      </c>
      <c r="M1975" s="11">
        <f t="shared" si="46"/>
        <v>0.000848896434634927</v>
      </c>
      <c r="N1975" s="9" t="s">
        <v>812</v>
      </c>
    </row>
    <row r="1976" ht="25" customHeight="1" spans="1:14">
      <c r="A1976" s="9" t="s">
        <v>371</v>
      </c>
      <c r="B1976" s="9" t="s">
        <v>370</v>
      </c>
      <c r="C1976" s="10">
        <v>45239</v>
      </c>
      <c r="D1976" s="15">
        <v>1.178</v>
      </c>
      <c r="E1976" s="15">
        <v>1.178</v>
      </c>
      <c r="F1976" s="15">
        <v>1.178</v>
      </c>
      <c r="G1976" s="11">
        <v>0.0008</v>
      </c>
      <c r="H1976" s="9">
        <f>MAX($F$1644:F1976)</f>
        <v>1.178</v>
      </c>
      <c r="I1976" s="11">
        <f t="shared" si="45"/>
        <v>0</v>
      </c>
      <c r="J1976" s="9"/>
      <c r="K1976" s="11"/>
      <c r="L1976" s="9">
        <f>MAX($F$1959:F1976)</f>
        <v>1.178</v>
      </c>
      <c r="M1976" s="11">
        <f t="shared" si="46"/>
        <v>0</v>
      </c>
      <c r="N1976" s="9" t="s">
        <v>812</v>
      </c>
    </row>
    <row r="1977" ht="25" customHeight="1" spans="1:14">
      <c r="A1977" s="9" t="s">
        <v>371</v>
      </c>
      <c r="B1977" s="9" t="s">
        <v>370</v>
      </c>
      <c r="C1977" s="10">
        <v>45240</v>
      </c>
      <c r="D1977" s="15">
        <v>1.18</v>
      </c>
      <c r="E1977" s="15">
        <v>1.18</v>
      </c>
      <c r="F1977" s="15">
        <v>1.18</v>
      </c>
      <c r="G1977" s="11">
        <v>0.0017</v>
      </c>
      <c r="H1977" s="9">
        <f>MAX($F$1644:F1977)</f>
        <v>1.18</v>
      </c>
      <c r="I1977" s="11">
        <f t="shared" si="45"/>
        <v>0</v>
      </c>
      <c r="J1977" s="9"/>
      <c r="K1977" s="11"/>
      <c r="L1977" s="9">
        <f>MAX($F$1959:F1977)</f>
        <v>1.18</v>
      </c>
      <c r="M1977" s="11">
        <f t="shared" si="46"/>
        <v>0</v>
      </c>
      <c r="N1977" s="9" t="s">
        <v>812</v>
      </c>
    </row>
    <row r="1978" ht="25" customHeight="1" spans="1:14">
      <c r="A1978" s="9" t="s">
        <v>371</v>
      </c>
      <c r="B1978" s="9" t="s">
        <v>370</v>
      </c>
      <c r="C1978" s="10">
        <v>45246</v>
      </c>
      <c r="D1978" s="15">
        <v>1.178</v>
      </c>
      <c r="E1978" s="15">
        <v>1.178</v>
      </c>
      <c r="F1978" s="15">
        <v>1.178</v>
      </c>
      <c r="G1978" s="11">
        <v>-0.0017</v>
      </c>
      <c r="H1978" s="9">
        <f>MAX($F$1644:F1978)</f>
        <v>1.18</v>
      </c>
      <c r="I1978" s="11">
        <f t="shared" si="45"/>
        <v>0.00169491525423726</v>
      </c>
      <c r="J1978" s="9"/>
      <c r="K1978" s="11"/>
      <c r="L1978" s="9">
        <f>MAX($F$1959:F1978)</f>
        <v>1.18</v>
      </c>
      <c r="M1978" s="11">
        <f t="shared" si="46"/>
        <v>0.00169491525423726</v>
      </c>
      <c r="N1978" s="9" t="s">
        <v>812</v>
      </c>
    </row>
    <row r="1979" ht="25" customHeight="1" spans="1:14">
      <c r="A1979" s="9" t="s">
        <v>371</v>
      </c>
      <c r="B1979" s="9" t="s">
        <v>370</v>
      </c>
      <c r="C1979" s="10">
        <v>45247</v>
      </c>
      <c r="D1979" s="15">
        <v>1.181</v>
      </c>
      <c r="E1979" s="15">
        <v>1.181</v>
      </c>
      <c r="F1979" s="15">
        <v>1.181</v>
      </c>
      <c r="G1979" s="11">
        <v>0.0025</v>
      </c>
      <c r="H1979" s="9">
        <f>MAX($F$1644:F1979)</f>
        <v>1.181</v>
      </c>
      <c r="I1979" s="11">
        <f t="shared" si="45"/>
        <v>0</v>
      </c>
      <c r="J1979" s="9"/>
      <c r="K1979" s="11"/>
      <c r="L1979" s="9">
        <f>MAX($F$1959:F1979)</f>
        <v>1.181</v>
      </c>
      <c r="M1979" s="11">
        <f t="shared" si="46"/>
        <v>0</v>
      </c>
      <c r="N1979" s="9" t="s">
        <v>812</v>
      </c>
    </row>
    <row r="1980" ht="25" customHeight="1" spans="1:14">
      <c r="A1980" s="9" t="s">
        <v>371</v>
      </c>
      <c r="B1980" s="9" t="s">
        <v>370</v>
      </c>
      <c r="C1980" s="10">
        <v>45253</v>
      </c>
      <c r="D1980" s="15">
        <v>1.179</v>
      </c>
      <c r="E1980" s="15">
        <v>1.179</v>
      </c>
      <c r="F1980" s="15">
        <v>1.179</v>
      </c>
      <c r="G1980" s="11">
        <v>-0.0017</v>
      </c>
      <c r="H1980" s="9">
        <f>MAX($F$1644:F1980)</f>
        <v>1.181</v>
      </c>
      <c r="I1980" s="11">
        <f t="shared" si="45"/>
        <v>0.00169348010160886</v>
      </c>
      <c r="J1980" s="9"/>
      <c r="K1980" s="11"/>
      <c r="L1980" s="9">
        <f>MAX($F$1959:F1980)</f>
        <v>1.181</v>
      </c>
      <c r="M1980" s="11">
        <f t="shared" si="46"/>
        <v>0.00169348010160886</v>
      </c>
      <c r="N1980" s="9" t="s">
        <v>812</v>
      </c>
    </row>
    <row r="1981" ht="25" customHeight="1" spans="1:14">
      <c r="A1981" s="9" t="s">
        <v>371</v>
      </c>
      <c r="B1981" s="9" t="s">
        <v>370</v>
      </c>
      <c r="C1981" s="10">
        <v>45254</v>
      </c>
      <c r="D1981" s="15">
        <v>1.18</v>
      </c>
      <c r="E1981" s="15">
        <v>1.18</v>
      </c>
      <c r="F1981" s="15">
        <v>1.18</v>
      </c>
      <c r="G1981" s="11">
        <v>0.0008</v>
      </c>
      <c r="H1981" s="9">
        <f>MAX($F$1644:F1981)</f>
        <v>1.181</v>
      </c>
      <c r="I1981" s="11">
        <f t="shared" si="45"/>
        <v>0.00084674005080454</v>
      </c>
      <c r="J1981" s="9"/>
      <c r="K1981" s="11"/>
      <c r="L1981" s="9">
        <f>MAX($F$1959:F1981)</f>
        <v>1.181</v>
      </c>
      <c r="M1981" s="11">
        <f t="shared" si="46"/>
        <v>0.00084674005080454</v>
      </c>
      <c r="N1981" s="9" t="s">
        <v>812</v>
      </c>
    </row>
    <row r="1982" ht="25" customHeight="1" spans="1:14">
      <c r="A1982" s="9" t="s">
        <v>371</v>
      </c>
      <c r="B1982" s="9" t="s">
        <v>370</v>
      </c>
      <c r="C1982" s="10">
        <v>45260</v>
      </c>
      <c r="D1982" s="15">
        <v>1.179</v>
      </c>
      <c r="E1982" s="15">
        <v>1.179</v>
      </c>
      <c r="F1982" s="15">
        <v>1.179</v>
      </c>
      <c r="G1982" s="11">
        <v>-0.0008</v>
      </c>
      <c r="H1982" s="9">
        <f>MAX($F$1644:F1982)</f>
        <v>1.181</v>
      </c>
      <c r="I1982" s="11">
        <f t="shared" si="45"/>
        <v>0.00169348010160886</v>
      </c>
      <c r="J1982" s="9"/>
      <c r="K1982" s="11"/>
      <c r="L1982" s="9">
        <f>MAX($F$1959:F1982)</f>
        <v>1.181</v>
      </c>
      <c r="M1982" s="11">
        <f t="shared" si="46"/>
        <v>0.00169348010160886</v>
      </c>
      <c r="N1982" s="9" t="s">
        <v>812</v>
      </c>
    </row>
    <row r="1983" ht="25" customHeight="1" spans="1:14">
      <c r="A1983" s="9" t="s">
        <v>371</v>
      </c>
      <c r="B1983" s="9" t="s">
        <v>370</v>
      </c>
      <c r="C1983" s="10">
        <v>45261</v>
      </c>
      <c r="D1983" s="15">
        <v>1.179</v>
      </c>
      <c r="E1983" s="15">
        <v>1.179</v>
      </c>
      <c r="F1983" s="15">
        <v>1.179</v>
      </c>
      <c r="G1983" s="11">
        <v>0</v>
      </c>
      <c r="H1983" s="9">
        <f>MAX($F$1644:F1983)</f>
        <v>1.181</v>
      </c>
      <c r="I1983" s="11">
        <f t="shared" si="45"/>
        <v>0.00169348010160886</v>
      </c>
      <c r="J1983" s="9"/>
      <c r="K1983" s="11"/>
      <c r="L1983" s="9">
        <f>MAX($F$1959:F1983)</f>
        <v>1.181</v>
      </c>
      <c r="M1983" s="11">
        <f t="shared" si="46"/>
        <v>0.00169348010160886</v>
      </c>
      <c r="N1983" s="9" t="s">
        <v>812</v>
      </c>
    </row>
    <row r="1984" ht="25" customHeight="1" spans="1:14">
      <c r="A1984" s="9" t="s">
        <v>371</v>
      </c>
      <c r="B1984" s="9" t="s">
        <v>370</v>
      </c>
      <c r="C1984" s="10">
        <v>45267</v>
      </c>
      <c r="D1984" s="15">
        <v>1.178</v>
      </c>
      <c r="E1984" s="15">
        <v>1.178</v>
      </c>
      <c r="F1984" s="15">
        <v>1.178</v>
      </c>
      <c r="G1984" s="11">
        <v>-0.0008</v>
      </c>
      <c r="H1984" s="9">
        <f>MAX($F$1644:F1984)</f>
        <v>1.181</v>
      </c>
      <c r="I1984" s="11">
        <f t="shared" si="45"/>
        <v>0.00254022015241329</v>
      </c>
      <c r="J1984" s="9"/>
      <c r="K1984" s="11"/>
      <c r="L1984" s="9">
        <f>MAX($F$1959:F1984)</f>
        <v>1.181</v>
      </c>
      <c r="M1984" s="11">
        <f t="shared" si="46"/>
        <v>0.00254022015241329</v>
      </c>
      <c r="N1984" s="9" t="s">
        <v>812</v>
      </c>
    </row>
    <row r="1985" ht="25" customHeight="1" spans="1:14">
      <c r="A1985" s="9" t="s">
        <v>371</v>
      </c>
      <c r="B1985" s="9" t="s">
        <v>370</v>
      </c>
      <c r="C1985" s="10">
        <v>45268</v>
      </c>
      <c r="D1985" s="15">
        <v>1.18</v>
      </c>
      <c r="E1985" s="15">
        <v>1.18</v>
      </c>
      <c r="F1985" s="15">
        <v>1.18</v>
      </c>
      <c r="G1985" s="11">
        <v>0.0017</v>
      </c>
      <c r="H1985" s="9">
        <f>MAX($F$1644:F1985)</f>
        <v>1.181</v>
      </c>
      <c r="I1985" s="11">
        <f t="shared" si="45"/>
        <v>0.00084674005080454</v>
      </c>
      <c r="J1985" s="9"/>
      <c r="K1985" s="11"/>
      <c r="L1985" s="9">
        <f>MAX($F$1959:F1985)</f>
        <v>1.181</v>
      </c>
      <c r="M1985" s="11">
        <f t="shared" si="46"/>
        <v>0.00084674005080454</v>
      </c>
      <c r="N1985" s="9" t="s">
        <v>812</v>
      </c>
    </row>
    <row r="1986" ht="25" customHeight="1" spans="1:14">
      <c r="A1986" s="9" t="s">
        <v>371</v>
      </c>
      <c r="B1986" s="9" t="s">
        <v>370</v>
      </c>
      <c r="C1986" s="10">
        <v>45274</v>
      </c>
      <c r="D1986" s="15">
        <v>1.182</v>
      </c>
      <c r="E1986" s="15">
        <v>1.182</v>
      </c>
      <c r="F1986" s="15">
        <v>1.182</v>
      </c>
      <c r="G1986" s="11">
        <v>0.0017</v>
      </c>
      <c r="H1986" s="9">
        <f>MAX($F$1644:F1986)</f>
        <v>1.182</v>
      </c>
      <c r="I1986" s="11">
        <f t="shared" ref="I1986:I2049" si="47">1-F1986/H1986</f>
        <v>0</v>
      </c>
      <c r="J1986" s="9"/>
      <c r="K1986" s="11"/>
      <c r="L1986" s="9">
        <f>MAX($F$1959:F1986)</f>
        <v>1.182</v>
      </c>
      <c r="M1986" s="11">
        <f t="shared" si="46"/>
        <v>0</v>
      </c>
      <c r="N1986" s="9" t="s">
        <v>812</v>
      </c>
    </row>
    <row r="1987" ht="25" customHeight="1" spans="1:14">
      <c r="A1987" s="9" t="s">
        <v>371</v>
      </c>
      <c r="B1987" s="9" t="s">
        <v>370</v>
      </c>
      <c r="C1987" s="10">
        <v>45275</v>
      </c>
      <c r="D1987" s="15">
        <v>1.184</v>
      </c>
      <c r="E1987" s="15">
        <v>1.184</v>
      </c>
      <c r="F1987" s="15">
        <v>1.184</v>
      </c>
      <c r="G1987" s="11">
        <v>0.0017</v>
      </c>
      <c r="H1987" s="9">
        <f>MAX($F$1644:F1987)</f>
        <v>1.184</v>
      </c>
      <c r="I1987" s="11">
        <f t="shared" si="47"/>
        <v>0</v>
      </c>
      <c r="J1987" s="9"/>
      <c r="K1987" s="11"/>
      <c r="L1987" s="9">
        <f>MAX($F$1959:F1987)</f>
        <v>1.184</v>
      </c>
      <c r="M1987" s="11">
        <f t="shared" si="46"/>
        <v>0</v>
      </c>
      <c r="N1987" s="9" t="s">
        <v>812</v>
      </c>
    </row>
    <row r="1988" ht="25" customHeight="1" spans="1:14">
      <c r="A1988" s="9" t="s">
        <v>371</v>
      </c>
      <c r="B1988" s="9" t="s">
        <v>370</v>
      </c>
      <c r="C1988" s="10">
        <v>45281</v>
      </c>
      <c r="D1988" s="15">
        <v>1.183</v>
      </c>
      <c r="E1988" s="15">
        <v>1.183</v>
      </c>
      <c r="F1988" s="15">
        <v>1.183</v>
      </c>
      <c r="G1988" s="11">
        <v>-0.0008</v>
      </c>
      <c r="H1988" s="9">
        <f>MAX($F$1644:F1988)</f>
        <v>1.184</v>
      </c>
      <c r="I1988" s="11">
        <f t="shared" si="47"/>
        <v>0.000844594594594517</v>
      </c>
      <c r="J1988" s="9"/>
      <c r="K1988" s="11"/>
      <c r="L1988" s="9">
        <f>MAX($F$1959:F1988)</f>
        <v>1.184</v>
      </c>
      <c r="M1988" s="11">
        <f t="shared" si="46"/>
        <v>0.000844594594594517</v>
      </c>
      <c r="N1988" s="9" t="s">
        <v>812</v>
      </c>
    </row>
    <row r="1989" ht="25" customHeight="1" spans="1:14">
      <c r="A1989" s="9" t="s">
        <v>371</v>
      </c>
      <c r="B1989" s="9" t="s">
        <v>370</v>
      </c>
      <c r="C1989" s="10">
        <v>45282</v>
      </c>
      <c r="D1989" s="15">
        <v>1.184</v>
      </c>
      <c r="E1989" s="15">
        <v>1.184</v>
      </c>
      <c r="F1989" s="15">
        <v>1.184</v>
      </c>
      <c r="G1989" s="11">
        <v>0.0008</v>
      </c>
      <c r="H1989" s="9">
        <f>MAX($F$1644:F1989)</f>
        <v>1.184</v>
      </c>
      <c r="I1989" s="11">
        <f t="shared" si="47"/>
        <v>0</v>
      </c>
      <c r="J1989" s="9"/>
      <c r="K1989" s="11"/>
      <c r="L1989" s="9">
        <f>MAX($F$1959:F1989)</f>
        <v>1.184</v>
      </c>
      <c r="M1989" s="11">
        <f t="shared" si="46"/>
        <v>0</v>
      </c>
      <c r="N1989" s="9" t="s">
        <v>812</v>
      </c>
    </row>
    <row r="1990" ht="25" customHeight="1" spans="1:14">
      <c r="A1990" s="9" t="s">
        <v>371</v>
      </c>
      <c r="B1990" s="9" t="s">
        <v>370</v>
      </c>
      <c r="C1990" s="10">
        <v>45288</v>
      </c>
      <c r="D1990" s="15">
        <v>1.185</v>
      </c>
      <c r="E1990" s="15">
        <v>1.185</v>
      </c>
      <c r="F1990" s="15">
        <v>1.185</v>
      </c>
      <c r="G1990" s="11">
        <v>0.0008</v>
      </c>
      <c r="H1990" s="9">
        <f>MAX($F$1644:F1990)</f>
        <v>1.185</v>
      </c>
      <c r="I1990" s="11">
        <f t="shared" si="47"/>
        <v>0</v>
      </c>
      <c r="J1990" s="9"/>
      <c r="K1990" s="11"/>
      <c r="L1990" s="9">
        <f>MAX($F$1959:F1990)</f>
        <v>1.185</v>
      </c>
      <c r="M1990" s="11">
        <f t="shared" si="46"/>
        <v>0</v>
      </c>
      <c r="N1990" s="9" t="s">
        <v>812</v>
      </c>
    </row>
    <row r="1991" ht="25" customHeight="1" spans="1:14">
      <c r="A1991" s="9" t="s">
        <v>371</v>
      </c>
      <c r="B1991" s="9" t="s">
        <v>370</v>
      </c>
      <c r="C1991" s="10">
        <v>45289</v>
      </c>
      <c r="D1991" s="15">
        <v>1.185</v>
      </c>
      <c r="E1991" s="15">
        <v>1.185</v>
      </c>
      <c r="F1991" s="15">
        <v>1.185</v>
      </c>
      <c r="G1991" s="11">
        <v>0</v>
      </c>
      <c r="H1991" s="9">
        <f>MAX($F$1644:F1991)</f>
        <v>1.185</v>
      </c>
      <c r="I1991" s="11">
        <f t="shared" si="47"/>
        <v>0</v>
      </c>
      <c r="J1991" s="9"/>
      <c r="K1991" s="11"/>
      <c r="L1991" s="9">
        <f>MAX($F$1959:F1991)</f>
        <v>1.185</v>
      </c>
      <c r="M1991" s="11">
        <f t="shared" si="46"/>
        <v>0</v>
      </c>
      <c r="N1991" s="9" t="s">
        <v>812</v>
      </c>
    </row>
    <row r="1992" ht="25" customHeight="1" spans="1:14">
      <c r="A1992" s="9" t="s">
        <v>371</v>
      </c>
      <c r="B1992" s="9" t="s">
        <v>370</v>
      </c>
      <c r="C1992" s="10">
        <v>45295</v>
      </c>
      <c r="D1992" s="15">
        <v>1.185</v>
      </c>
      <c r="E1992" s="15">
        <v>1.185</v>
      </c>
      <c r="F1992" s="15">
        <v>1.185</v>
      </c>
      <c r="G1992" s="11">
        <v>0</v>
      </c>
      <c r="H1992" s="9">
        <f>MAX($F$1644:F1992)</f>
        <v>1.185</v>
      </c>
      <c r="I1992" s="11">
        <f t="shared" si="47"/>
        <v>0</v>
      </c>
      <c r="J1992" s="9"/>
      <c r="K1992" s="11"/>
      <c r="L1992" s="9">
        <f>MAX($F$1959:F1992)</f>
        <v>1.185</v>
      </c>
      <c r="M1992" s="11">
        <f t="shared" si="46"/>
        <v>0</v>
      </c>
      <c r="N1992" s="9" t="s">
        <v>812</v>
      </c>
    </row>
    <row r="1993" ht="25" customHeight="1" spans="1:14">
      <c r="A1993" s="9" t="s">
        <v>371</v>
      </c>
      <c r="B1993" s="9" t="s">
        <v>370</v>
      </c>
      <c r="C1993" s="10">
        <v>45296</v>
      </c>
      <c r="D1993" s="15">
        <v>1.186</v>
      </c>
      <c r="E1993" s="15">
        <v>1.186</v>
      </c>
      <c r="F1993" s="15">
        <v>1.186</v>
      </c>
      <c r="G1993" s="11">
        <v>0.0008</v>
      </c>
      <c r="H1993" s="9">
        <f>MAX($F$1644:F1993)</f>
        <v>1.186</v>
      </c>
      <c r="I1993" s="11">
        <f t="shared" si="47"/>
        <v>0</v>
      </c>
      <c r="J1993" s="9"/>
      <c r="K1993" s="11"/>
      <c r="L1993" s="9">
        <f>MAX($F$1959:F1993)</f>
        <v>1.186</v>
      </c>
      <c r="M1993" s="11">
        <f t="shared" si="46"/>
        <v>0</v>
      </c>
      <c r="N1993" s="9" t="s">
        <v>812</v>
      </c>
    </row>
    <row r="1994" ht="25" customHeight="1" spans="1:14">
      <c r="A1994" s="9" t="s">
        <v>371</v>
      </c>
      <c r="B1994" s="9" t="s">
        <v>370</v>
      </c>
      <c r="C1994" s="10">
        <v>45302</v>
      </c>
      <c r="D1994" s="15">
        <v>1.19</v>
      </c>
      <c r="E1994" s="15">
        <v>1.19</v>
      </c>
      <c r="F1994" s="15">
        <v>1.19</v>
      </c>
      <c r="G1994" s="11">
        <v>0.0034</v>
      </c>
      <c r="H1994" s="9">
        <f>MAX($F$1644:F1994)</f>
        <v>1.19</v>
      </c>
      <c r="I1994" s="11">
        <f t="shared" si="47"/>
        <v>0</v>
      </c>
      <c r="J1994" s="9"/>
      <c r="K1994" s="11"/>
      <c r="L1994" s="9">
        <f>MAX($F$1959:F1994)</f>
        <v>1.19</v>
      </c>
      <c r="M1994" s="11">
        <f t="shared" si="46"/>
        <v>0</v>
      </c>
      <c r="N1994" s="9" t="s">
        <v>812</v>
      </c>
    </row>
    <row r="1995" ht="25" customHeight="1" spans="1:14">
      <c r="A1995" s="9" t="s">
        <v>371</v>
      </c>
      <c r="B1995" s="9" t="s">
        <v>370</v>
      </c>
      <c r="C1995" s="10">
        <v>45303</v>
      </c>
      <c r="D1995" s="15">
        <v>1.189</v>
      </c>
      <c r="E1995" s="15">
        <v>1.189</v>
      </c>
      <c r="F1995" s="15">
        <v>1.189</v>
      </c>
      <c r="G1995" s="11">
        <v>-0.0008</v>
      </c>
      <c r="H1995" s="9">
        <f>MAX($F$1644:F1995)</f>
        <v>1.19</v>
      </c>
      <c r="I1995" s="11">
        <f t="shared" si="47"/>
        <v>0.000840336134453668</v>
      </c>
      <c r="J1995" s="9"/>
      <c r="K1995" s="11"/>
      <c r="L1995" s="9">
        <f>MAX($F$1959:F1995)</f>
        <v>1.19</v>
      </c>
      <c r="M1995" s="11">
        <f t="shared" si="46"/>
        <v>0.000840336134453668</v>
      </c>
      <c r="N1995" s="9" t="s">
        <v>812</v>
      </c>
    </row>
    <row r="1996" ht="25" customHeight="1" spans="1:14">
      <c r="A1996" s="9" t="s">
        <v>371</v>
      </c>
      <c r="B1996" s="9" t="s">
        <v>370</v>
      </c>
      <c r="C1996" s="10">
        <v>45309</v>
      </c>
      <c r="D1996" s="15">
        <v>1.188</v>
      </c>
      <c r="E1996" s="15">
        <v>1.188</v>
      </c>
      <c r="F1996" s="15">
        <v>1.188</v>
      </c>
      <c r="G1996" s="11">
        <v>-0.0008</v>
      </c>
      <c r="H1996" s="9">
        <f>MAX($F$1644:F1996)</f>
        <v>1.19</v>
      </c>
      <c r="I1996" s="11">
        <f t="shared" si="47"/>
        <v>0.00168067226890756</v>
      </c>
      <c r="J1996" s="9"/>
      <c r="K1996" s="11"/>
      <c r="L1996" s="9">
        <f>MAX($F$1959:F1996)</f>
        <v>1.19</v>
      </c>
      <c r="M1996" s="11">
        <f t="shared" si="46"/>
        <v>0.00168067226890756</v>
      </c>
      <c r="N1996" s="9" t="s">
        <v>812</v>
      </c>
    </row>
    <row r="1997" ht="25" customHeight="1" spans="1:14">
      <c r="A1997" s="9" t="s">
        <v>371</v>
      </c>
      <c r="B1997" s="9" t="s">
        <v>370</v>
      </c>
      <c r="C1997" s="10">
        <v>45310</v>
      </c>
      <c r="D1997" s="15">
        <v>1.185</v>
      </c>
      <c r="E1997" s="15">
        <v>1.185</v>
      </c>
      <c r="F1997" s="15">
        <v>1.185</v>
      </c>
      <c r="G1997" s="11">
        <v>-0.0025</v>
      </c>
      <c r="H1997" s="9">
        <f>MAX($F$1644:F1997)</f>
        <v>1.19</v>
      </c>
      <c r="I1997" s="11">
        <f t="shared" si="47"/>
        <v>0.00420168067226878</v>
      </c>
      <c r="J1997" s="9"/>
      <c r="K1997" s="11"/>
      <c r="L1997" s="9">
        <f>MAX($F$1959:F1997)</f>
        <v>1.19</v>
      </c>
      <c r="M1997" s="11">
        <f t="shared" si="46"/>
        <v>0.00420168067226878</v>
      </c>
      <c r="N1997" s="9" t="s">
        <v>812</v>
      </c>
    </row>
    <row r="1998" ht="25" customHeight="1" spans="1:14">
      <c r="A1998" s="9" t="s">
        <v>371</v>
      </c>
      <c r="B1998" s="9" t="s">
        <v>370</v>
      </c>
      <c r="C1998" s="10">
        <v>45316</v>
      </c>
      <c r="D1998" s="15">
        <v>1.199</v>
      </c>
      <c r="E1998" s="15">
        <v>1.199</v>
      </c>
      <c r="F1998" s="15">
        <v>1.199</v>
      </c>
      <c r="G1998" s="11">
        <v>0.0118</v>
      </c>
      <c r="H1998" s="9">
        <f>MAX($F$1644:F1998)</f>
        <v>1.199</v>
      </c>
      <c r="I1998" s="11">
        <f t="shared" si="47"/>
        <v>0</v>
      </c>
      <c r="J1998" s="9"/>
      <c r="K1998" s="11"/>
      <c r="L1998" s="9">
        <f>MAX($F$1959:F1998)</f>
        <v>1.199</v>
      </c>
      <c r="M1998" s="11">
        <f t="shared" si="46"/>
        <v>0</v>
      </c>
      <c r="N1998" s="9" t="s">
        <v>812</v>
      </c>
    </row>
    <row r="1999" ht="25" customHeight="1" spans="1:14">
      <c r="A1999" s="9" t="s">
        <v>371</v>
      </c>
      <c r="B1999" s="9" t="s">
        <v>370</v>
      </c>
      <c r="C1999" s="10">
        <v>45317</v>
      </c>
      <c r="D1999" s="15">
        <v>1.197</v>
      </c>
      <c r="E1999" s="15">
        <v>1.197</v>
      </c>
      <c r="F1999" s="15">
        <v>1.197</v>
      </c>
      <c r="G1999" s="11">
        <v>-0.0017</v>
      </c>
      <c r="H1999" s="9">
        <f>MAX($F$1644:F1999)</f>
        <v>1.199</v>
      </c>
      <c r="I1999" s="11">
        <f t="shared" si="47"/>
        <v>0.00166805671392822</v>
      </c>
      <c r="J1999" s="9"/>
      <c r="K1999" s="11"/>
      <c r="L1999" s="9">
        <f>MAX($F$1959:F1999)</f>
        <v>1.199</v>
      </c>
      <c r="M1999" s="11">
        <f t="shared" si="46"/>
        <v>0.00166805671392822</v>
      </c>
      <c r="N1999" s="9" t="s">
        <v>812</v>
      </c>
    </row>
    <row r="2000" ht="25" customHeight="1" spans="1:14">
      <c r="A2000" s="9" t="s">
        <v>371</v>
      </c>
      <c r="B2000" s="9" t="s">
        <v>370</v>
      </c>
      <c r="C2000" s="10">
        <v>45322</v>
      </c>
      <c r="D2000" s="15">
        <v>1.201</v>
      </c>
      <c r="E2000" s="15">
        <v>1.201</v>
      </c>
      <c r="F2000" s="15">
        <v>1.201</v>
      </c>
      <c r="G2000" s="11">
        <v>0.0033</v>
      </c>
      <c r="H2000" s="9">
        <f>MAX($F$1644:F2000)</f>
        <v>1.201</v>
      </c>
      <c r="I2000" s="11">
        <f t="shared" si="47"/>
        <v>0</v>
      </c>
      <c r="J2000" s="9"/>
      <c r="K2000" s="11"/>
      <c r="L2000" s="9">
        <f>MAX($F$1959:F2000)</f>
        <v>1.201</v>
      </c>
      <c r="M2000" s="11">
        <f t="shared" si="46"/>
        <v>0</v>
      </c>
      <c r="N2000" s="9" t="s">
        <v>812</v>
      </c>
    </row>
    <row r="2001" ht="25" customHeight="1" spans="1:14">
      <c r="A2001" s="9" t="s">
        <v>371</v>
      </c>
      <c r="B2001" s="9" t="s">
        <v>370</v>
      </c>
      <c r="C2001" s="10">
        <v>45323</v>
      </c>
      <c r="D2001" s="15">
        <v>1.2</v>
      </c>
      <c r="E2001" s="15">
        <v>1.2</v>
      </c>
      <c r="F2001" s="15">
        <v>1.2</v>
      </c>
      <c r="G2001" s="11">
        <v>-0.0008</v>
      </c>
      <c r="H2001" s="9">
        <f>MAX($F$1644:F2001)</f>
        <v>1.201</v>
      </c>
      <c r="I2001" s="11">
        <f t="shared" si="47"/>
        <v>0.000832639467110874</v>
      </c>
      <c r="J2001" s="9"/>
      <c r="K2001" s="11"/>
      <c r="L2001" s="9">
        <f>MAX($F$1959:F2001)</f>
        <v>1.201</v>
      </c>
      <c r="M2001" s="11">
        <f t="shared" si="46"/>
        <v>0.000832639467110874</v>
      </c>
      <c r="N2001" s="9" t="s">
        <v>812</v>
      </c>
    </row>
    <row r="2002" ht="25" customHeight="1" spans="1:14">
      <c r="A2002" s="9" t="s">
        <v>371</v>
      </c>
      <c r="B2002" s="9" t="s">
        <v>370</v>
      </c>
      <c r="C2002" s="10">
        <v>45324</v>
      </c>
      <c r="D2002" s="15">
        <v>1.193</v>
      </c>
      <c r="E2002" s="15">
        <v>1.193</v>
      </c>
      <c r="F2002" s="15">
        <v>1.193</v>
      </c>
      <c r="G2002" s="11">
        <v>-0.0058</v>
      </c>
      <c r="H2002" s="9">
        <f>MAX($F$1644:F2002)</f>
        <v>1.201</v>
      </c>
      <c r="I2002" s="11">
        <f t="shared" si="47"/>
        <v>0.00666111573688588</v>
      </c>
      <c r="J2002" s="9"/>
      <c r="K2002" s="11"/>
      <c r="L2002" s="9">
        <f>MAX($F$1959:F2002)</f>
        <v>1.201</v>
      </c>
      <c r="M2002" s="11">
        <f t="shared" si="46"/>
        <v>0.00666111573688588</v>
      </c>
      <c r="N2002" s="9" t="s">
        <v>812</v>
      </c>
    </row>
    <row r="2003" ht="25" customHeight="1" spans="1:14">
      <c r="A2003" s="9" t="s">
        <v>371</v>
      </c>
      <c r="B2003" s="9" t="s">
        <v>370</v>
      </c>
      <c r="C2003" s="10">
        <v>45330</v>
      </c>
      <c r="D2003" s="15">
        <v>1.204</v>
      </c>
      <c r="E2003" s="15">
        <v>1.204</v>
      </c>
      <c r="F2003" s="15">
        <v>1.204</v>
      </c>
      <c r="G2003" s="11">
        <v>0.0092</v>
      </c>
      <c r="H2003" s="9">
        <f>MAX($F$1644:F2003)</f>
        <v>1.204</v>
      </c>
      <c r="I2003" s="11">
        <f t="shared" si="47"/>
        <v>0</v>
      </c>
      <c r="J2003" s="9"/>
      <c r="K2003" s="11"/>
      <c r="L2003" s="9">
        <f>MAX($F$1959:F2003)</f>
        <v>1.204</v>
      </c>
      <c r="M2003" s="11">
        <f t="shared" si="46"/>
        <v>0</v>
      </c>
      <c r="N2003" s="9" t="s">
        <v>812</v>
      </c>
    </row>
    <row r="2004" ht="25" customHeight="1" spans="1:14">
      <c r="A2004" s="9" t="s">
        <v>371</v>
      </c>
      <c r="B2004" s="9" t="s">
        <v>370</v>
      </c>
      <c r="C2004" s="10">
        <v>45344</v>
      </c>
      <c r="D2004" s="15">
        <v>1.213</v>
      </c>
      <c r="E2004" s="15">
        <v>1.213</v>
      </c>
      <c r="F2004" s="15">
        <v>1.213</v>
      </c>
      <c r="G2004" s="11">
        <v>0.0075</v>
      </c>
      <c r="H2004" s="9">
        <f>MAX($F$1644:F2004)</f>
        <v>1.213</v>
      </c>
      <c r="I2004" s="11">
        <f t="shared" si="47"/>
        <v>0</v>
      </c>
      <c r="J2004" s="9"/>
      <c r="K2004" s="11"/>
      <c r="L2004" s="9">
        <f>MAX($F$1959:F2004)</f>
        <v>1.213</v>
      </c>
      <c r="M2004" s="11">
        <f t="shared" si="46"/>
        <v>0</v>
      </c>
      <c r="N2004" s="9" t="s">
        <v>812</v>
      </c>
    </row>
    <row r="2005" ht="25" customHeight="1" spans="1:14">
      <c r="A2005" s="9" t="s">
        <v>371</v>
      </c>
      <c r="B2005" s="9" t="s">
        <v>370</v>
      </c>
      <c r="C2005" s="10">
        <v>45345</v>
      </c>
      <c r="D2005" s="15">
        <v>1.21</v>
      </c>
      <c r="E2005" s="15">
        <v>1.21</v>
      </c>
      <c r="F2005" s="15">
        <v>1.21</v>
      </c>
      <c r="G2005" s="11">
        <v>-0.0025</v>
      </c>
      <c r="H2005" s="9">
        <f>MAX($F$1644:F2005)</f>
        <v>1.213</v>
      </c>
      <c r="I2005" s="11">
        <f t="shared" si="47"/>
        <v>0.00247320692497943</v>
      </c>
      <c r="J2005" s="9"/>
      <c r="K2005" s="11"/>
      <c r="L2005" s="9">
        <f>MAX($F$1959:F2005)</f>
        <v>1.213</v>
      </c>
      <c r="M2005" s="11">
        <f t="shared" si="46"/>
        <v>0.00247320692497943</v>
      </c>
      <c r="N2005" s="9" t="s">
        <v>812</v>
      </c>
    </row>
    <row r="2006" ht="25" customHeight="1" spans="1:14">
      <c r="A2006" s="9" t="s">
        <v>371</v>
      </c>
      <c r="B2006" s="9" t="s">
        <v>370</v>
      </c>
      <c r="C2006" s="10">
        <v>45351</v>
      </c>
      <c r="D2006" s="15">
        <v>1.219</v>
      </c>
      <c r="E2006" s="15">
        <v>1.219</v>
      </c>
      <c r="F2006" s="15">
        <v>1.219</v>
      </c>
      <c r="G2006" s="11">
        <v>0.0074</v>
      </c>
      <c r="H2006" s="9">
        <f>MAX($F$1644:F2006)</f>
        <v>1.219</v>
      </c>
      <c r="I2006" s="11">
        <f t="shared" si="47"/>
        <v>0</v>
      </c>
      <c r="J2006" s="9"/>
      <c r="K2006" s="11"/>
      <c r="L2006" s="9">
        <f>MAX($F$1959:F2006)</f>
        <v>1.219</v>
      </c>
      <c r="M2006" s="11">
        <f t="shared" si="46"/>
        <v>0</v>
      </c>
      <c r="N2006" s="9" t="s">
        <v>812</v>
      </c>
    </row>
    <row r="2007" ht="25" customHeight="1" spans="1:14">
      <c r="A2007" s="9" t="s">
        <v>371</v>
      </c>
      <c r="B2007" s="9" t="s">
        <v>370</v>
      </c>
      <c r="C2007" s="10">
        <v>45352</v>
      </c>
      <c r="D2007" s="15">
        <v>1.218</v>
      </c>
      <c r="E2007" s="15">
        <v>1.218</v>
      </c>
      <c r="F2007" s="15">
        <v>1.218</v>
      </c>
      <c r="G2007" s="11">
        <v>-0.0008</v>
      </c>
      <c r="H2007" s="9">
        <f>MAX($F$1644:F2007)</f>
        <v>1.219</v>
      </c>
      <c r="I2007" s="11">
        <f t="shared" si="47"/>
        <v>0.000820344544708917</v>
      </c>
      <c r="J2007" s="9"/>
      <c r="K2007" s="11"/>
      <c r="L2007" s="9">
        <f>MAX($F$1959:F2007)</f>
        <v>1.219</v>
      </c>
      <c r="M2007" s="11">
        <f t="shared" si="46"/>
        <v>0.000820344544708917</v>
      </c>
      <c r="N2007" s="9" t="s">
        <v>812</v>
      </c>
    </row>
    <row r="2008" ht="25" customHeight="1" spans="1:14">
      <c r="A2008" s="9" t="s">
        <v>371</v>
      </c>
      <c r="B2008" s="9" t="s">
        <v>370</v>
      </c>
      <c r="C2008" s="10">
        <v>45358</v>
      </c>
      <c r="D2008" s="15">
        <v>1.216</v>
      </c>
      <c r="E2008" s="15">
        <v>1.216</v>
      </c>
      <c r="F2008" s="15">
        <v>1.216</v>
      </c>
      <c r="G2008" s="11">
        <v>-0.0016</v>
      </c>
      <c r="H2008" s="9">
        <f>MAX($F$1644:F2008)</f>
        <v>1.219</v>
      </c>
      <c r="I2008" s="11">
        <f t="shared" si="47"/>
        <v>0.00246103363412642</v>
      </c>
      <c r="J2008" s="9"/>
      <c r="K2008" s="11"/>
      <c r="L2008" s="9">
        <f>MAX($F$1959:F2008)</f>
        <v>1.219</v>
      </c>
      <c r="M2008" s="11">
        <f t="shared" si="46"/>
        <v>0.00246103363412642</v>
      </c>
      <c r="N2008" s="9" t="s">
        <v>812</v>
      </c>
    </row>
    <row r="2009" ht="25" customHeight="1" spans="1:14">
      <c r="A2009" s="9" t="s">
        <v>371</v>
      </c>
      <c r="B2009" s="9" t="s">
        <v>370</v>
      </c>
      <c r="C2009" s="10">
        <v>45359</v>
      </c>
      <c r="D2009" s="15">
        <v>1.215</v>
      </c>
      <c r="E2009" s="15">
        <v>1.215</v>
      </c>
      <c r="F2009" s="15">
        <v>1.215</v>
      </c>
      <c r="G2009" s="11">
        <v>-0.0008</v>
      </c>
      <c r="H2009" s="9">
        <f>MAX($F$1644:F2009)</f>
        <v>1.219</v>
      </c>
      <c r="I2009" s="11">
        <f t="shared" si="47"/>
        <v>0.00328137817883511</v>
      </c>
      <c r="J2009" s="9"/>
      <c r="K2009" s="11"/>
      <c r="L2009" s="9">
        <f>MAX($F$1959:F2009)</f>
        <v>1.219</v>
      </c>
      <c r="M2009" s="11">
        <f t="shared" si="46"/>
        <v>0.00328137817883511</v>
      </c>
      <c r="N2009" s="9" t="s">
        <v>812</v>
      </c>
    </row>
    <row r="2010" ht="25" customHeight="1" spans="1:14">
      <c r="A2010" s="9" t="s">
        <v>371</v>
      </c>
      <c r="B2010" s="9" t="s">
        <v>370</v>
      </c>
      <c r="C2010" s="10">
        <v>45365</v>
      </c>
      <c r="D2010" s="15">
        <v>1.216</v>
      </c>
      <c r="E2010" s="15">
        <v>1.216</v>
      </c>
      <c r="F2010" s="15">
        <v>1.216</v>
      </c>
      <c r="G2010" s="11">
        <v>0.0008</v>
      </c>
      <c r="H2010" s="9">
        <f>MAX($F$1644:F2010)</f>
        <v>1.219</v>
      </c>
      <c r="I2010" s="11">
        <f t="shared" si="47"/>
        <v>0.00246103363412642</v>
      </c>
      <c r="J2010" s="9"/>
      <c r="K2010" s="11"/>
      <c r="L2010" s="9">
        <f>MAX($F$1959:F2010)</f>
        <v>1.219</v>
      </c>
      <c r="M2010" s="11">
        <f t="shared" si="46"/>
        <v>0.00246103363412642</v>
      </c>
      <c r="N2010" s="9" t="s">
        <v>812</v>
      </c>
    </row>
    <row r="2011" ht="25" customHeight="1" spans="1:14">
      <c r="A2011" s="9" t="s">
        <v>371</v>
      </c>
      <c r="B2011" s="9" t="s">
        <v>370</v>
      </c>
      <c r="C2011" s="10">
        <v>45366</v>
      </c>
      <c r="D2011" s="15">
        <v>1.216</v>
      </c>
      <c r="E2011" s="15">
        <v>1.216</v>
      </c>
      <c r="F2011" s="15">
        <v>1.216</v>
      </c>
      <c r="G2011" s="11">
        <v>0</v>
      </c>
      <c r="H2011" s="9">
        <f>MAX($F$1644:F2011)</f>
        <v>1.219</v>
      </c>
      <c r="I2011" s="11">
        <f t="shared" si="47"/>
        <v>0.00246103363412642</v>
      </c>
      <c r="J2011" s="9"/>
      <c r="K2011" s="11"/>
      <c r="L2011" s="9">
        <f>MAX($F$1959:F2011)</f>
        <v>1.219</v>
      </c>
      <c r="M2011" s="11">
        <f t="shared" si="46"/>
        <v>0.00246103363412642</v>
      </c>
      <c r="N2011" s="9" t="s">
        <v>812</v>
      </c>
    </row>
    <row r="2012" ht="25" customHeight="1" spans="1:14">
      <c r="A2012" s="9" t="s">
        <v>371</v>
      </c>
      <c r="B2012" s="9" t="s">
        <v>370</v>
      </c>
      <c r="C2012" s="10">
        <v>45372</v>
      </c>
      <c r="D2012" s="15">
        <v>1.212</v>
      </c>
      <c r="E2012" s="15">
        <v>1.212</v>
      </c>
      <c r="F2012" s="15">
        <v>1.212</v>
      </c>
      <c r="G2012" s="11">
        <v>-0.0033</v>
      </c>
      <c r="H2012" s="9">
        <f>MAX($F$1644:F2012)</f>
        <v>1.219</v>
      </c>
      <c r="I2012" s="11">
        <f t="shared" si="47"/>
        <v>0.00574241181296153</v>
      </c>
      <c r="J2012" s="9"/>
      <c r="K2012" s="11"/>
      <c r="L2012" s="9">
        <f>MAX($F$1959:F2012)</f>
        <v>1.219</v>
      </c>
      <c r="M2012" s="11">
        <f t="shared" si="46"/>
        <v>0.00574241181296153</v>
      </c>
      <c r="N2012" s="9" t="s">
        <v>812</v>
      </c>
    </row>
    <row r="2013" ht="25" customHeight="1" spans="1:14">
      <c r="A2013" s="9" t="s">
        <v>371</v>
      </c>
      <c r="B2013" s="9" t="s">
        <v>370</v>
      </c>
      <c r="C2013" s="10">
        <v>45373</v>
      </c>
      <c r="D2013" s="15">
        <v>1.214</v>
      </c>
      <c r="E2013" s="15">
        <v>1.214</v>
      </c>
      <c r="F2013" s="15">
        <v>1.214</v>
      </c>
      <c r="G2013" s="11">
        <v>0.0017</v>
      </c>
      <c r="H2013" s="9">
        <f>MAX($F$1644:F2013)</f>
        <v>1.219</v>
      </c>
      <c r="I2013" s="11">
        <f t="shared" si="47"/>
        <v>0.00410172272354403</v>
      </c>
      <c r="J2013" s="9"/>
      <c r="K2013" s="11"/>
      <c r="L2013" s="9">
        <f>MAX($F$1959:F2013)</f>
        <v>1.219</v>
      </c>
      <c r="M2013" s="11">
        <f t="shared" si="46"/>
        <v>0.00410172272354403</v>
      </c>
      <c r="N2013" s="9" t="s">
        <v>812</v>
      </c>
    </row>
    <row r="2014" ht="25" customHeight="1" spans="1:14">
      <c r="A2014" s="9" t="s">
        <v>371</v>
      </c>
      <c r="B2014" s="9" t="s">
        <v>370</v>
      </c>
      <c r="C2014" s="10">
        <v>45379</v>
      </c>
      <c r="D2014" s="15">
        <v>1.213</v>
      </c>
      <c r="E2014" s="15">
        <v>1.213</v>
      </c>
      <c r="F2014" s="15">
        <v>1.213</v>
      </c>
      <c r="G2014" s="11">
        <v>-0.0008</v>
      </c>
      <c r="H2014" s="9">
        <f>MAX($F$1644:F2014)</f>
        <v>1.219</v>
      </c>
      <c r="I2014" s="11">
        <f t="shared" si="47"/>
        <v>0.00492206726825262</v>
      </c>
      <c r="J2014" s="9"/>
      <c r="K2014" s="11"/>
      <c r="L2014" s="9">
        <f>MAX($F$1959:F2014)</f>
        <v>1.219</v>
      </c>
      <c r="M2014" s="11">
        <f t="shared" si="46"/>
        <v>0.00492206726825262</v>
      </c>
      <c r="N2014" s="9" t="s">
        <v>812</v>
      </c>
    </row>
    <row r="2015" ht="25" customHeight="1" spans="1:14">
      <c r="A2015" s="9" t="s">
        <v>371</v>
      </c>
      <c r="B2015" s="9" t="s">
        <v>370</v>
      </c>
      <c r="C2015" s="10">
        <v>45380</v>
      </c>
      <c r="D2015" s="15">
        <v>1.213</v>
      </c>
      <c r="E2015" s="15">
        <v>1.213</v>
      </c>
      <c r="F2015" s="15">
        <v>1.213</v>
      </c>
      <c r="G2015" s="11">
        <v>0</v>
      </c>
      <c r="H2015" s="9">
        <f>MAX($F$1644:F2015)</f>
        <v>1.219</v>
      </c>
      <c r="I2015" s="11">
        <f t="shared" si="47"/>
        <v>0.00492206726825262</v>
      </c>
      <c r="J2015" s="9"/>
      <c r="K2015" s="11"/>
      <c r="L2015" s="9">
        <f>MAX($F$1959:F2015)</f>
        <v>1.219</v>
      </c>
      <c r="M2015" s="11">
        <f t="shared" si="46"/>
        <v>0.00492206726825262</v>
      </c>
      <c r="N2015" s="9" t="s">
        <v>812</v>
      </c>
    </row>
    <row r="2016" ht="25" customHeight="1" spans="1:14">
      <c r="A2016" s="9" t="s">
        <v>371</v>
      </c>
      <c r="B2016" s="9" t="s">
        <v>370</v>
      </c>
      <c r="C2016" s="10">
        <v>45385</v>
      </c>
      <c r="D2016" s="15">
        <v>1.212</v>
      </c>
      <c r="E2016" s="15">
        <v>1.212</v>
      </c>
      <c r="F2016" s="15">
        <v>1.212</v>
      </c>
      <c r="G2016" s="11">
        <v>-0.0008</v>
      </c>
      <c r="H2016" s="9">
        <f>MAX($F$1644:F2016)</f>
        <v>1.219</v>
      </c>
      <c r="I2016" s="11">
        <f t="shared" si="47"/>
        <v>0.00574241181296153</v>
      </c>
      <c r="J2016" s="9"/>
      <c r="K2016" s="11"/>
      <c r="L2016" s="9">
        <f>MAX($F$1959:F2016)</f>
        <v>1.219</v>
      </c>
      <c r="M2016" s="11">
        <f t="shared" si="46"/>
        <v>0.00574241181296153</v>
      </c>
      <c r="N2016" s="9" t="s">
        <v>812</v>
      </c>
    </row>
    <row r="2017" ht="25" customHeight="1" spans="1:14">
      <c r="A2017" s="9" t="s">
        <v>371</v>
      </c>
      <c r="B2017" s="9" t="s">
        <v>370</v>
      </c>
      <c r="C2017" s="10">
        <v>45390</v>
      </c>
      <c r="D2017" s="15">
        <v>1.213</v>
      </c>
      <c r="E2017" s="15">
        <v>1.213</v>
      </c>
      <c r="F2017" s="15">
        <v>1.213</v>
      </c>
      <c r="G2017" s="11">
        <v>0.0008</v>
      </c>
      <c r="H2017" s="9">
        <f>MAX($F$1644:F2017)</f>
        <v>1.219</v>
      </c>
      <c r="I2017" s="11">
        <f t="shared" si="47"/>
        <v>0.00492206726825262</v>
      </c>
      <c r="J2017" s="9"/>
      <c r="K2017" s="11"/>
      <c r="L2017" s="9">
        <f>MAX($F$1959:F2017)</f>
        <v>1.219</v>
      </c>
      <c r="M2017" s="11">
        <f t="shared" si="46"/>
        <v>0.00492206726825262</v>
      </c>
      <c r="N2017" s="9" t="s">
        <v>812</v>
      </c>
    </row>
    <row r="2018" ht="25" customHeight="1" spans="1:14">
      <c r="A2018" s="9" t="s">
        <v>371</v>
      </c>
      <c r="B2018" s="9" t="s">
        <v>370</v>
      </c>
      <c r="C2018" s="10">
        <v>45393</v>
      </c>
      <c r="D2018" s="15">
        <v>1.212</v>
      </c>
      <c r="E2018" s="15">
        <v>1.212</v>
      </c>
      <c r="F2018" s="15">
        <v>1.212</v>
      </c>
      <c r="G2018" s="11">
        <v>-0.0008</v>
      </c>
      <c r="H2018" s="9">
        <f>MAX($F$1644:F2018)</f>
        <v>1.219</v>
      </c>
      <c r="I2018" s="11">
        <f t="shared" si="47"/>
        <v>0.00574241181296153</v>
      </c>
      <c r="J2018" s="9"/>
      <c r="K2018" s="11"/>
      <c r="L2018" s="9">
        <f>MAX($F$1959:F2018)</f>
        <v>1.219</v>
      </c>
      <c r="M2018" s="11">
        <f t="shared" si="46"/>
        <v>0.00574241181296153</v>
      </c>
      <c r="N2018" s="9" t="s">
        <v>812</v>
      </c>
    </row>
    <row r="2019" ht="25" customHeight="1" spans="1:14">
      <c r="A2019" s="9" t="s">
        <v>371</v>
      </c>
      <c r="B2019" s="9" t="s">
        <v>370</v>
      </c>
      <c r="C2019" s="10">
        <v>45394</v>
      </c>
      <c r="D2019" s="15">
        <v>1.214</v>
      </c>
      <c r="E2019" s="15">
        <v>1.214</v>
      </c>
      <c r="F2019" s="15">
        <v>1.214</v>
      </c>
      <c r="G2019" s="11">
        <v>0.0017</v>
      </c>
      <c r="H2019" s="9">
        <f>MAX($F$1644:F2019)</f>
        <v>1.219</v>
      </c>
      <c r="I2019" s="11">
        <f t="shared" si="47"/>
        <v>0.00410172272354403</v>
      </c>
      <c r="J2019" s="9"/>
      <c r="K2019" s="11"/>
      <c r="L2019" s="9">
        <f>MAX($F$1959:F2019)</f>
        <v>1.219</v>
      </c>
      <c r="M2019" s="11">
        <f t="shared" si="46"/>
        <v>0.00410172272354403</v>
      </c>
      <c r="N2019" s="9" t="s">
        <v>812</v>
      </c>
    </row>
    <row r="2020" ht="25" customHeight="1" spans="1:14">
      <c r="A2020" s="9" t="s">
        <v>371</v>
      </c>
      <c r="B2020" s="9" t="s">
        <v>370</v>
      </c>
      <c r="C2020" s="10">
        <v>45400</v>
      </c>
      <c r="D2020" s="15">
        <v>1.213</v>
      </c>
      <c r="E2020" s="15">
        <v>1.213</v>
      </c>
      <c r="F2020" s="15">
        <v>1.213</v>
      </c>
      <c r="G2020" s="11">
        <v>-0.0008</v>
      </c>
      <c r="H2020" s="9">
        <f>MAX($F$1644:F2020)</f>
        <v>1.219</v>
      </c>
      <c r="I2020" s="11">
        <f t="shared" si="47"/>
        <v>0.00492206726825262</v>
      </c>
      <c r="J2020" s="9"/>
      <c r="K2020" s="11"/>
      <c r="L2020" s="9">
        <f>MAX($F$1959:F2020)</f>
        <v>1.219</v>
      </c>
      <c r="M2020" s="11">
        <f t="shared" si="46"/>
        <v>0.00492206726825262</v>
      </c>
      <c r="N2020" s="9" t="s">
        <v>812</v>
      </c>
    </row>
    <row r="2021" ht="25" customHeight="1" spans="1:14">
      <c r="A2021" s="9" t="s">
        <v>371</v>
      </c>
      <c r="B2021" s="9" t="s">
        <v>370</v>
      </c>
      <c r="C2021" s="10">
        <v>45401</v>
      </c>
      <c r="D2021" s="15">
        <v>1.217</v>
      </c>
      <c r="E2021" s="15">
        <v>1.217</v>
      </c>
      <c r="F2021" s="15">
        <v>1.217</v>
      </c>
      <c r="G2021" s="11">
        <v>0.0033</v>
      </c>
      <c r="H2021" s="9">
        <f>MAX($F$1644:F2021)</f>
        <v>1.219</v>
      </c>
      <c r="I2021" s="11">
        <f t="shared" si="47"/>
        <v>0.0016406890894175</v>
      </c>
      <c r="J2021" s="9"/>
      <c r="K2021" s="11"/>
      <c r="L2021" s="9">
        <f>MAX($F$1959:F2021)</f>
        <v>1.219</v>
      </c>
      <c r="M2021" s="11">
        <f t="shared" si="46"/>
        <v>0.0016406890894175</v>
      </c>
      <c r="N2021" s="9" t="s">
        <v>812</v>
      </c>
    </row>
    <row r="2022" ht="25" customHeight="1" spans="1:14">
      <c r="A2022" s="9" t="s">
        <v>371</v>
      </c>
      <c r="B2022" s="9" t="s">
        <v>370</v>
      </c>
      <c r="C2022" s="10">
        <v>45407</v>
      </c>
      <c r="D2022" s="15">
        <v>1.216</v>
      </c>
      <c r="E2022" s="15">
        <v>1.216</v>
      </c>
      <c r="F2022" s="15">
        <v>1.216</v>
      </c>
      <c r="G2022" s="11">
        <v>-0.0008</v>
      </c>
      <c r="H2022" s="9">
        <f>MAX($F$1644:F2022)</f>
        <v>1.219</v>
      </c>
      <c r="I2022" s="11">
        <f t="shared" si="47"/>
        <v>0.00246103363412642</v>
      </c>
      <c r="J2022" s="9"/>
      <c r="K2022" s="11"/>
      <c r="L2022" s="9">
        <f>MAX($F$1959:F2022)</f>
        <v>1.219</v>
      </c>
      <c r="M2022" s="11">
        <f t="shared" si="46"/>
        <v>0.00246103363412642</v>
      </c>
      <c r="N2022" s="9" t="s">
        <v>812</v>
      </c>
    </row>
    <row r="2023" ht="25" customHeight="1" spans="1:14">
      <c r="A2023" s="9" t="s">
        <v>371</v>
      </c>
      <c r="B2023" s="9" t="s">
        <v>370</v>
      </c>
      <c r="C2023" s="10">
        <v>45408</v>
      </c>
      <c r="D2023" s="15">
        <v>1.218</v>
      </c>
      <c r="E2023" s="15">
        <v>1.218</v>
      </c>
      <c r="F2023" s="15">
        <v>1.218</v>
      </c>
      <c r="G2023" s="11">
        <v>0.0016</v>
      </c>
      <c r="H2023" s="9">
        <f>MAX($F$1644:F2023)</f>
        <v>1.219</v>
      </c>
      <c r="I2023" s="11">
        <f t="shared" si="47"/>
        <v>0.000820344544708917</v>
      </c>
      <c r="J2023" s="9"/>
      <c r="K2023" s="11"/>
      <c r="L2023" s="9">
        <f>MAX($F$1959:F2023)</f>
        <v>1.219</v>
      </c>
      <c r="M2023" s="11">
        <f t="shared" ref="M2023:M2086" si="48">1-F2023/L2023</f>
        <v>0.000820344544708917</v>
      </c>
      <c r="N2023" s="9" t="s">
        <v>812</v>
      </c>
    </row>
    <row r="2024" ht="25" customHeight="1" spans="1:14">
      <c r="A2024" s="9" t="s">
        <v>371</v>
      </c>
      <c r="B2024" s="9" t="s">
        <v>370</v>
      </c>
      <c r="C2024" s="10">
        <v>45412</v>
      </c>
      <c r="D2024" s="15">
        <v>1.22</v>
      </c>
      <c r="E2024" s="15">
        <v>1.22</v>
      </c>
      <c r="F2024" s="15">
        <v>1.22</v>
      </c>
      <c r="G2024" s="11">
        <v>0.0016</v>
      </c>
      <c r="H2024" s="9">
        <f>MAX($F$1644:F2024)</f>
        <v>1.22</v>
      </c>
      <c r="I2024" s="11">
        <f t="shared" si="47"/>
        <v>0</v>
      </c>
      <c r="J2024" s="9"/>
      <c r="K2024" s="11"/>
      <c r="L2024" s="9">
        <f>MAX($F$1959:F2024)</f>
        <v>1.22</v>
      </c>
      <c r="M2024" s="11">
        <f t="shared" si="48"/>
        <v>0</v>
      </c>
      <c r="N2024" s="9" t="s">
        <v>812</v>
      </c>
    </row>
    <row r="2025" ht="25" customHeight="1" spans="1:14">
      <c r="A2025" s="9" t="s">
        <v>371</v>
      </c>
      <c r="B2025" s="9" t="s">
        <v>370</v>
      </c>
      <c r="C2025" s="10">
        <v>45418</v>
      </c>
      <c r="D2025" s="15">
        <v>1.221</v>
      </c>
      <c r="E2025" s="15">
        <v>1.221</v>
      </c>
      <c r="F2025" s="15">
        <v>1.221</v>
      </c>
      <c r="G2025" s="11">
        <v>0.0008</v>
      </c>
      <c r="H2025" s="9">
        <f>MAX($F$1644:F2025)</f>
        <v>1.221</v>
      </c>
      <c r="I2025" s="11">
        <f t="shared" si="47"/>
        <v>0</v>
      </c>
      <c r="J2025" s="9"/>
      <c r="K2025" s="11"/>
      <c r="L2025" s="9">
        <f>MAX($F$1959:F2025)</f>
        <v>1.221</v>
      </c>
      <c r="M2025" s="11">
        <f t="shared" si="48"/>
        <v>0</v>
      </c>
      <c r="N2025" s="9" t="s">
        <v>812</v>
      </c>
    </row>
    <row r="2026" ht="25" customHeight="1" spans="1:14">
      <c r="A2026" s="9" t="s">
        <v>371</v>
      </c>
      <c r="B2026" s="9" t="s">
        <v>370</v>
      </c>
      <c r="C2026" s="10">
        <v>45421</v>
      </c>
      <c r="D2026" s="15">
        <v>1.224</v>
      </c>
      <c r="E2026" s="15">
        <v>1.224</v>
      </c>
      <c r="F2026" s="15">
        <v>1.224</v>
      </c>
      <c r="G2026" s="11">
        <v>0.0025</v>
      </c>
      <c r="H2026" s="9">
        <f>MAX($F$1644:F2026)</f>
        <v>1.224</v>
      </c>
      <c r="I2026" s="11">
        <f t="shared" si="47"/>
        <v>0</v>
      </c>
      <c r="J2026" s="9"/>
      <c r="K2026" s="11"/>
      <c r="L2026" s="9">
        <f>MAX($F$1959:F2026)</f>
        <v>1.224</v>
      </c>
      <c r="M2026" s="11">
        <f t="shared" si="48"/>
        <v>0</v>
      </c>
      <c r="N2026" s="9" t="s">
        <v>812</v>
      </c>
    </row>
    <row r="2027" ht="25" customHeight="1" spans="1:14">
      <c r="A2027" s="9" t="s">
        <v>371</v>
      </c>
      <c r="B2027" s="9" t="s">
        <v>370</v>
      </c>
      <c r="C2027" s="10">
        <v>45422</v>
      </c>
      <c r="D2027" s="15">
        <v>1.223</v>
      </c>
      <c r="E2027" s="15">
        <v>1.223</v>
      </c>
      <c r="F2027" s="15">
        <v>1.223</v>
      </c>
      <c r="G2027" s="11">
        <v>-0.0008</v>
      </c>
      <c r="H2027" s="9">
        <f>MAX($F$1644:F2027)</f>
        <v>1.224</v>
      </c>
      <c r="I2027" s="11">
        <f t="shared" si="47"/>
        <v>0.000816993464052174</v>
      </c>
      <c r="J2027" s="9"/>
      <c r="K2027" s="11"/>
      <c r="L2027" s="9">
        <f>MAX($F$1959:F2027)</f>
        <v>1.224</v>
      </c>
      <c r="M2027" s="11">
        <f t="shared" si="48"/>
        <v>0.000816993464052174</v>
      </c>
      <c r="N2027" s="9" t="s">
        <v>812</v>
      </c>
    </row>
    <row r="2028" ht="25" customHeight="1" spans="1:14">
      <c r="A2028" s="9" t="s">
        <v>371</v>
      </c>
      <c r="B2028" s="9" t="s">
        <v>370</v>
      </c>
      <c r="C2028" s="10">
        <v>45428</v>
      </c>
      <c r="D2028" s="15">
        <v>1.224</v>
      </c>
      <c r="E2028" s="15">
        <v>1.224</v>
      </c>
      <c r="F2028" s="15">
        <v>1.224</v>
      </c>
      <c r="G2028" s="11">
        <v>0.0008</v>
      </c>
      <c r="H2028" s="9">
        <f>MAX($F$1644:F2028)</f>
        <v>1.224</v>
      </c>
      <c r="I2028" s="11">
        <f t="shared" si="47"/>
        <v>0</v>
      </c>
      <c r="J2028" s="9"/>
      <c r="K2028" s="11"/>
      <c r="L2028" s="9">
        <f>MAX($F$1959:F2028)</f>
        <v>1.224</v>
      </c>
      <c r="M2028" s="11">
        <f t="shared" si="48"/>
        <v>0</v>
      </c>
      <c r="N2028" s="9" t="s">
        <v>812</v>
      </c>
    </row>
    <row r="2029" ht="25" customHeight="1" spans="1:14">
      <c r="A2029" s="9" t="s">
        <v>371</v>
      </c>
      <c r="B2029" s="9" t="s">
        <v>370</v>
      </c>
      <c r="C2029" s="10">
        <v>45429</v>
      </c>
      <c r="D2029" s="15">
        <v>1.22</v>
      </c>
      <c r="E2029" s="15">
        <v>1.22</v>
      </c>
      <c r="F2029" s="15">
        <v>1.22</v>
      </c>
      <c r="G2029" s="11">
        <v>-0.0033</v>
      </c>
      <c r="H2029" s="9">
        <f>MAX($F$1644:F2029)</f>
        <v>1.224</v>
      </c>
      <c r="I2029" s="11">
        <f t="shared" si="47"/>
        <v>0.00326797385620914</v>
      </c>
      <c r="J2029" s="9"/>
      <c r="K2029" s="11"/>
      <c r="L2029" s="9">
        <f>MAX($F$1959:F2029)</f>
        <v>1.224</v>
      </c>
      <c r="M2029" s="11">
        <f t="shared" si="48"/>
        <v>0.00326797385620914</v>
      </c>
      <c r="N2029" s="9" t="s">
        <v>812</v>
      </c>
    </row>
    <row r="2030" ht="25" customHeight="1" spans="1:14">
      <c r="A2030" s="9" t="s">
        <v>371</v>
      </c>
      <c r="B2030" s="9" t="s">
        <v>370</v>
      </c>
      <c r="C2030" s="10">
        <v>45435</v>
      </c>
      <c r="D2030" s="15">
        <v>1.221</v>
      </c>
      <c r="E2030" s="15">
        <v>1.221</v>
      </c>
      <c r="F2030" s="15">
        <v>1.221</v>
      </c>
      <c r="G2030" s="11">
        <v>0.0008</v>
      </c>
      <c r="H2030" s="9">
        <f>MAX($F$1644:F2030)</f>
        <v>1.224</v>
      </c>
      <c r="I2030" s="11">
        <f t="shared" si="47"/>
        <v>0.00245098039215674</v>
      </c>
      <c r="J2030" s="9"/>
      <c r="K2030" s="11"/>
      <c r="L2030" s="9">
        <f>MAX($F$1959:F2030)</f>
        <v>1.224</v>
      </c>
      <c r="M2030" s="11">
        <f t="shared" si="48"/>
        <v>0.00245098039215674</v>
      </c>
      <c r="N2030" s="9" t="s">
        <v>812</v>
      </c>
    </row>
    <row r="2031" ht="25" customHeight="1" spans="1:14">
      <c r="A2031" s="9" t="s">
        <v>371</v>
      </c>
      <c r="B2031" s="9" t="s">
        <v>370</v>
      </c>
      <c r="C2031" s="10">
        <v>45436</v>
      </c>
      <c r="D2031" s="15">
        <v>1.229</v>
      </c>
      <c r="E2031" s="15">
        <v>1.229</v>
      </c>
      <c r="F2031" s="15">
        <v>1.229</v>
      </c>
      <c r="G2031" s="11">
        <v>0.0066</v>
      </c>
      <c r="H2031" s="9">
        <f>MAX($F$1644:F2031)</f>
        <v>1.229</v>
      </c>
      <c r="I2031" s="11">
        <f t="shared" si="47"/>
        <v>0</v>
      </c>
      <c r="J2031" s="9"/>
      <c r="K2031" s="11"/>
      <c r="L2031" s="9">
        <f>MAX($F$1959:F2031)</f>
        <v>1.229</v>
      </c>
      <c r="M2031" s="11">
        <f t="shared" si="48"/>
        <v>0</v>
      </c>
      <c r="N2031" s="9" t="s">
        <v>812</v>
      </c>
    </row>
    <row r="2032" ht="25" customHeight="1" spans="1:14">
      <c r="A2032" s="9" t="s">
        <v>371</v>
      </c>
      <c r="B2032" s="9" t="s">
        <v>370</v>
      </c>
      <c r="C2032" s="10">
        <v>45442</v>
      </c>
      <c r="D2032" s="15">
        <v>1.222</v>
      </c>
      <c r="E2032" s="15">
        <v>1.222</v>
      </c>
      <c r="F2032" s="15">
        <v>1.222</v>
      </c>
      <c r="G2032" s="11">
        <v>-0.0057</v>
      </c>
      <c r="H2032" s="9">
        <f>MAX($F$1644:F2032)</f>
        <v>1.229</v>
      </c>
      <c r="I2032" s="11">
        <f t="shared" si="47"/>
        <v>0.00569568755085448</v>
      </c>
      <c r="J2032" s="9"/>
      <c r="K2032" s="11"/>
      <c r="L2032" s="9">
        <f>MAX($F$1959:F2032)</f>
        <v>1.229</v>
      </c>
      <c r="M2032" s="11">
        <f t="shared" si="48"/>
        <v>0.00569568755085448</v>
      </c>
      <c r="N2032" s="9" t="s">
        <v>812</v>
      </c>
    </row>
    <row r="2033" ht="25" customHeight="1" spans="1:14">
      <c r="A2033" s="9" t="s">
        <v>371</v>
      </c>
      <c r="B2033" s="9" t="s">
        <v>370</v>
      </c>
      <c r="C2033" s="10">
        <v>45443</v>
      </c>
      <c r="D2033" s="15">
        <v>1.224</v>
      </c>
      <c r="E2033" s="15">
        <v>1.224</v>
      </c>
      <c r="F2033" s="15">
        <v>1.224</v>
      </c>
      <c r="G2033" s="11">
        <v>0.0016</v>
      </c>
      <c r="H2033" s="9">
        <f>MAX($F$1644:F2033)</f>
        <v>1.229</v>
      </c>
      <c r="I2033" s="11">
        <f t="shared" si="47"/>
        <v>0.00406834825061031</v>
      </c>
      <c r="J2033" s="9"/>
      <c r="K2033" s="11"/>
      <c r="L2033" s="9">
        <f>MAX($F$1959:F2033)</f>
        <v>1.229</v>
      </c>
      <c r="M2033" s="11">
        <f t="shared" si="48"/>
        <v>0.00406834825061031</v>
      </c>
      <c r="N2033" s="9" t="s">
        <v>812</v>
      </c>
    </row>
    <row r="2034" ht="25" customHeight="1" spans="1:14">
      <c r="A2034" s="9" t="s">
        <v>371</v>
      </c>
      <c r="B2034" s="9" t="s">
        <v>370</v>
      </c>
      <c r="C2034" s="10">
        <v>45449</v>
      </c>
      <c r="D2034" s="15">
        <v>1.223</v>
      </c>
      <c r="E2034" s="15">
        <v>1.223</v>
      </c>
      <c r="F2034" s="15">
        <v>1.223</v>
      </c>
      <c r="G2034" s="11">
        <v>-0.0008</v>
      </c>
      <c r="H2034" s="9">
        <f>MAX($F$1644:F2034)</f>
        <v>1.229</v>
      </c>
      <c r="I2034" s="11">
        <f t="shared" si="47"/>
        <v>0.00488201790073228</v>
      </c>
      <c r="J2034" s="9"/>
      <c r="K2034" s="11"/>
      <c r="L2034" s="9">
        <f>MAX($F$1959:F2034)</f>
        <v>1.229</v>
      </c>
      <c r="M2034" s="11">
        <f t="shared" si="48"/>
        <v>0.00488201790073228</v>
      </c>
      <c r="N2034" s="9" t="s">
        <v>812</v>
      </c>
    </row>
    <row r="2035" ht="25" customHeight="1" spans="1:14">
      <c r="A2035" s="9" t="s">
        <v>371</v>
      </c>
      <c r="B2035" s="9" t="s">
        <v>370</v>
      </c>
      <c r="C2035" s="10">
        <v>45450</v>
      </c>
      <c r="D2035" s="15">
        <v>1.224</v>
      </c>
      <c r="E2035" s="15">
        <v>1.224</v>
      </c>
      <c r="F2035" s="15">
        <v>1.224</v>
      </c>
      <c r="G2035" s="11">
        <v>0.0008</v>
      </c>
      <c r="H2035" s="9">
        <f>MAX($F$1644:F2035)</f>
        <v>1.229</v>
      </c>
      <c r="I2035" s="11">
        <f t="shared" si="47"/>
        <v>0.00406834825061031</v>
      </c>
      <c r="J2035" s="9"/>
      <c r="K2035" s="11"/>
      <c r="L2035" s="9">
        <f>MAX($F$1959:F2035)</f>
        <v>1.229</v>
      </c>
      <c r="M2035" s="11">
        <f t="shared" si="48"/>
        <v>0.00406834825061031</v>
      </c>
      <c r="N2035" s="9" t="s">
        <v>812</v>
      </c>
    </row>
    <row r="2036" ht="25" customHeight="1" spans="1:14">
      <c r="A2036" s="9" t="s">
        <v>371</v>
      </c>
      <c r="B2036" s="9" t="s">
        <v>370</v>
      </c>
      <c r="C2036" s="10">
        <v>45456</v>
      </c>
      <c r="D2036" s="15">
        <v>1.219</v>
      </c>
      <c r="E2036" s="15">
        <v>1.219</v>
      </c>
      <c r="F2036" s="15">
        <v>1.219</v>
      </c>
      <c r="G2036" s="11">
        <v>-0.0041</v>
      </c>
      <c r="H2036" s="9">
        <f>MAX($F$1644:F2036)</f>
        <v>1.229</v>
      </c>
      <c r="I2036" s="11">
        <f t="shared" si="47"/>
        <v>0.00813669650122051</v>
      </c>
      <c r="J2036" s="9"/>
      <c r="K2036" s="11"/>
      <c r="L2036" s="9">
        <f>MAX($F$1959:F2036)</f>
        <v>1.229</v>
      </c>
      <c r="M2036" s="11">
        <f t="shared" si="48"/>
        <v>0.00813669650122051</v>
      </c>
      <c r="N2036" s="9" t="s">
        <v>812</v>
      </c>
    </row>
    <row r="2037" ht="25" customHeight="1" spans="1:14">
      <c r="A2037" s="9" t="s">
        <v>371</v>
      </c>
      <c r="B2037" s="9" t="s">
        <v>370</v>
      </c>
      <c r="C2037" s="10">
        <v>45457</v>
      </c>
      <c r="D2037" s="15">
        <v>1.221</v>
      </c>
      <c r="E2037" s="15">
        <v>1.221</v>
      </c>
      <c r="F2037" s="15">
        <v>1.221</v>
      </c>
      <c r="G2037" s="11">
        <v>0.0016</v>
      </c>
      <c r="H2037" s="9">
        <f>MAX($F$1644:F2037)</f>
        <v>1.229</v>
      </c>
      <c r="I2037" s="11">
        <f t="shared" si="47"/>
        <v>0.00650935720097645</v>
      </c>
      <c r="J2037" s="9"/>
      <c r="K2037" s="11"/>
      <c r="L2037" s="9">
        <f>MAX($F$1959:F2037)</f>
        <v>1.229</v>
      </c>
      <c r="M2037" s="11">
        <f t="shared" si="48"/>
        <v>0.00650935720097645</v>
      </c>
      <c r="N2037" s="9" t="s">
        <v>812</v>
      </c>
    </row>
    <row r="2038" ht="25" customHeight="1" spans="1:14">
      <c r="A2038" s="9" t="s">
        <v>371</v>
      </c>
      <c r="B2038" s="9" t="s">
        <v>370</v>
      </c>
      <c r="C2038" s="10">
        <v>45463</v>
      </c>
      <c r="D2038" s="15">
        <v>1.222</v>
      </c>
      <c r="E2038" s="15">
        <v>1.222</v>
      </c>
      <c r="F2038" s="15">
        <v>1.222</v>
      </c>
      <c r="G2038" s="11">
        <v>0.0008</v>
      </c>
      <c r="H2038" s="9">
        <f>MAX($F$1644:F2038)</f>
        <v>1.229</v>
      </c>
      <c r="I2038" s="11">
        <f t="shared" si="47"/>
        <v>0.00569568755085448</v>
      </c>
      <c r="J2038" s="9"/>
      <c r="K2038" s="11"/>
      <c r="L2038" s="9">
        <f>MAX($F$1959:F2038)</f>
        <v>1.229</v>
      </c>
      <c r="M2038" s="11">
        <f t="shared" si="48"/>
        <v>0.00569568755085448</v>
      </c>
      <c r="N2038" s="9" t="s">
        <v>812</v>
      </c>
    </row>
    <row r="2039" ht="25" customHeight="1" spans="1:14">
      <c r="A2039" s="9" t="s">
        <v>371</v>
      </c>
      <c r="B2039" s="9" t="s">
        <v>370</v>
      </c>
      <c r="C2039" s="10">
        <v>45464</v>
      </c>
      <c r="D2039" s="15">
        <v>1.222</v>
      </c>
      <c r="E2039" s="15">
        <v>1.222</v>
      </c>
      <c r="F2039" s="15">
        <v>1.222</v>
      </c>
      <c r="G2039" s="11">
        <v>0</v>
      </c>
      <c r="H2039" s="9">
        <f>MAX($F$1644:F2039)</f>
        <v>1.229</v>
      </c>
      <c r="I2039" s="11">
        <f t="shared" si="47"/>
        <v>0.00569568755085448</v>
      </c>
      <c r="J2039" s="9"/>
      <c r="K2039" s="11"/>
      <c r="L2039" s="9">
        <f>MAX($F$1959:F2039)</f>
        <v>1.229</v>
      </c>
      <c r="M2039" s="11">
        <f t="shared" si="48"/>
        <v>0.00569568755085448</v>
      </c>
      <c r="N2039" s="9" t="s">
        <v>812</v>
      </c>
    </row>
    <row r="2040" ht="25" customHeight="1" spans="1:14">
      <c r="A2040" s="9" t="s">
        <v>371</v>
      </c>
      <c r="B2040" s="9" t="s">
        <v>370</v>
      </c>
      <c r="C2040" s="10">
        <v>45470</v>
      </c>
      <c r="D2040" s="15">
        <v>1.227</v>
      </c>
      <c r="E2040" s="15">
        <v>1.227</v>
      </c>
      <c r="F2040" s="15">
        <v>1.227</v>
      </c>
      <c r="G2040" s="11">
        <v>0.0041</v>
      </c>
      <c r="H2040" s="9">
        <f>MAX($F$1644:F2040)</f>
        <v>1.229</v>
      </c>
      <c r="I2040" s="11">
        <f t="shared" si="47"/>
        <v>0.00162733930024406</v>
      </c>
      <c r="J2040" s="9"/>
      <c r="K2040" s="11"/>
      <c r="L2040" s="9">
        <f>MAX($F$1959:F2040)</f>
        <v>1.229</v>
      </c>
      <c r="M2040" s="11">
        <f t="shared" si="48"/>
        <v>0.00162733930024406</v>
      </c>
      <c r="N2040" s="9" t="s">
        <v>812</v>
      </c>
    </row>
    <row r="2041" ht="25" customHeight="1" spans="1:14">
      <c r="A2041" s="9" t="s">
        <v>371</v>
      </c>
      <c r="B2041" s="9" t="s">
        <v>370</v>
      </c>
      <c r="C2041" s="10">
        <v>45471</v>
      </c>
      <c r="D2041" s="15">
        <v>1.226</v>
      </c>
      <c r="E2041" s="15">
        <v>1.226</v>
      </c>
      <c r="F2041" s="15">
        <v>1.226</v>
      </c>
      <c r="G2041" s="11">
        <v>-0.0008</v>
      </c>
      <c r="H2041" s="9">
        <f>MAX($F$1644:F2041)</f>
        <v>1.229</v>
      </c>
      <c r="I2041" s="11">
        <f t="shared" si="47"/>
        <v>0.00244100895036625</v>
      </c>
      <c r="J2041" s="9"/>
      <c r="K2041" s="11"/>
      <c r="L2041" s="9">
        <f>MAX($F$1959:F2041)</f>
        <v>1.229</v>
      </c>
      <c r="M2041" s="11">
        <f t="shared" si="48"/>
        <v>0.00244100895036625</v>
      </c>
      <c r="N2041" s="9" t="s">
        <v>812</v>
      </c>
    </row>
    <row r="2042" ht="25" customHeight="1" spans="1:14">
      <c r="A2042" s="9" t="s">
        <v>371</v>
      </c>
      <c r="B2042" s="9" t="s">
        <v>370</v>
      </c>
      <c r="C2042" s="10">
        <v>45477</v>
      </c>
      <c r="D2042" s="15">
        <v>1.229</v>
      </c>
      <c r="E2042" s="15">
        <v>1.229</v>
      </c>
      <c r="F2042" s="15">
        <v>1.229</v>
      </c>
      <c r="G2042" s="11">
        <v>0.0024</v>
      </c>
      <c r="H2042" s="9">
        <f>MAX($F$1644:F2042)</f>
        <v>1.229</v>
      </c>
      <c r="I2042" s="11">
        <f t="shared" si="47"/>
        <v>0</v>
      </c>
      <c r="J2042" s="9"/>
      <c r="K2042" s="11"/>
      <c r="L2042" s="9">
        <f>MAX($F$1959:F2042)</f>
        <v>1.229</v>
      </c>
      <c r="M2042" s="11">
        <f t="shared" si="48"/>
        <v>0</v>
      </c>
      <c r="N2042" s="9" t="s">
        <v>812</v>
      </c>
    </row>
    <row r="2043" ht="25" customHeight="1" spans="1:14">
      <c r="A2043" s="9" t="s">
        <v>371</v>
      </c>
      <c r="B2043" s="9" t="s">
        <v>370</v>
      </c>
      <c r="C2043" s="10">
        <v>45478</v>
      </c>
      <c r="D2043" s="15">
        <v>1.229</v>
      </c>
      <c r="E2043" s="15">
        <v>1.229</v>
      </c>
      <c r="F2043" s="15">
        <v>1.229</v>
      </c>
      <c r="G2043" s="11">
        <v>0</v>
      </c>
      <c r="H2043" s="9">
        <f>MAX($F$1644:F2043)</f>
        <v>1.229</v>
      </c>
      <c r="I2043" s="11">
        <f t="shared" si="47"/>
        <v>0</v>
      </c>
      <c r="J2043" s="9"/>
      <c r="K2043" s="11"/>
      <c r="L2043" s="9">
        <f>MAX($F$1959:F2043)</f>
        <v>1.229</v>
      </c>
      <c r="M2043" s="11">
        <f t="shared" si="48"/>
        <v>0</v>
      </c>
      <c r="N2043" s="9" t="s">
        <v>812</v>
      </c>
    </row>
    <row r="2044" ht="25" customHeight="1" spans="1:14">
      <c r="A2044" s="9" t="s">
        <v>371</v>
      </c>
      <c r="B2044" s="9" t="s">
        <v>370</v>
      </c>
      <c r="C2044" s="10">
        <v>45484</v>
      </c>
      <c r="D2044" s="15">
        <v>1.231</v>
      </c>
      <c r="E2044" s="15">
        <v>1.231</v>
      </c>
      <c r="F2044" s="15">
        <v>1.231</v>
      </c>
      <c r="G2044" s="11">
        <v>0.0016</v>
      </c>
      <c r="H2044" s="9">
        <f>MAX($F$1644:F2044)</f>
        <v>1.231</v>
      </c>
      <c r="I2044" s="11">
        <f t="shared" si="47"/>
        <v>0</v>
      </c>
      <c r="J2044" s="9"/>
      <c r="K2044" s="11"/>
      <c r="L2044" s="9">
        <f>MAX($F$1959:F2044)</f>
        <v>1.231</v>
      </c>
      <c r="M2044" s="11">
        <f t="shared" si="48"/>
        <v>0</v>
      </c>
      <c r="N2044" s="9" t="s">
        <v>812</v>
      </c>
    </row>
    <row r="2045" ht="25" customHeight="1" spans="1:14">
      <c r="A2045" s="9" t="s">
        <v>371</v>
      </c>
      <c r="B2045" s="9" t="s">
        <v>370</v>
      </c>
      <c r="C2045" s="10">
        <v>45485</v>
      </c>
      <c r="D2045" s="15">
        <v>1.229</v>
      </c>
      <c r="E2045" s="15">
        <v>1.229</v>
      </c>
      <c r="F2045" s="15">
        <v>1.229</v>
      </c>
      <c r="G2045" s="11">
        <v>-0.0016</v>
      </c>
      <c r="H2045" s="9">
        <f>MAX($F$1644:F2045)</f>
        <v>1.231</v>
      </c>
      <c r="I2045" s="11">
        <f t="shared" si="47"/>
        <v>0.00162469536961818</v>
      </c>
      <c r="J2045" s="9"/>
      <c r="K2045" s="11"/>
      <c r="L2045" s="9">
        <f>MAX($F$1959:F2045)</f>
        <v>1.231</v>
      </c>
      <c r="M2045" s="11">
        <f t="shared" si="48"/>
        <v>0.00162469536961818</v>
      </c>
      <c r="N2045" s="9" t="s">
        <v>812</v>
      </c>
    </row>
    <row r="2046" ht="25" customHeight="1" spans="1:14">
      <c r="A2046" s="9" t="s">
        <v>371</v>
      </c>
      <c r="B2046" s="9" t="s">
        <v>370</v>
      </c>
      <c r="C2046" s="10">
        <v>45491</v>
      </c>
      <c r="D2046" s="15">
        <v>1.233</v>
      </c>
      <c r="E2046" s="15">
        <v>1.233</v>
      </c>
      <c r="F2046" s="15">
        <v>1.233</v>
      </c>
      <c r="G2046" s="11">
        <v>0.0033</v>
      </c>
      <c r="H2046" s="9">
        <f>MAX($F$1644:F2046)</f>
        <v>1.233</v>
      </c>
      <c r="I2046" s="11">
        <f t="shared" si="47"/>
        <v>0</v>
      </c>
      <c r="J2046" s="9"/>
      <c r="K2046" s="11"/>
      <c r="L2046" s="9">
        <f>MAX($F$1959:F2046)</f>
        <v>1.233</v>
      </c>
      <c r="M2046" s="11">
        <f t="shared" si="48"/>
        <v>0</v>
      </c>
      <c r="N2046" s="9" t="s">
        <v>812</v>
      </c>
    </row>
    <row r="2047" ht="25" customHeight="1" spans="1:14">
      <c r="A2047" s="9" t="s">
        <v>371</v>
      </c>
      <c r="B2047" s="9" t="s">
        <v>370</v>
      </c>
      <c r="C2047" s="10">
        <v>45492</v>
      </c>
      <c r="D2047" s="15">
        <v>1.233</v>
      </c>
      <c r="E2047" s="15">
        <v>1.233</v>
      </c>
      <c r="F2047" s="15">
        <v>1.233</v>
      </c>
      <c r="G2047" s="11">
        <v>0</v>
      </c>
      <c r="H2047" s="9">
        <f>MAX($F$1644:F2047)</f>
        <v>1.233</v>
      </c>
      <c r="I2047" s="11">
        <f t="shared" si="47"/>
        <v>0</v>
      </c>
      <c r="J2047" s="9"/>
      <c r="K2047" s="11"/>
      <c r="L2047" s="9">
        <f>MAX($F$1959:F2047)</f>
        <v>1.233</v>
      </c>
      <c r="M2047" s="11">
        <f t="shared" si="48"/>
        <v>0</v>
      </c>
      <c r="N2047" s="9" t="s">
        <v>812</v>
      </c>
    </row>
    <row r="2048" ht="25" customHeight="1" spans="1:14">
      <c r="A2048" s="9" t="s">
        <v>371</v>
      </c>
      <c r="B2048" s="9" t="s">
        <v>370</v>
      </c>
      <c r="C2048" s="10">
        <v>45498</v>
      </c>
      <c r="D2048" s="15">
        <v>1.235</v>
      </c>
      <c r="E2048" s="15">
        <v>1.235</v>
      </c>
      <c r="F2048" s="15">
        <v>1.235</v>
      </c>
      <c r="G2048" s="11">
        <v>0.0016</v>
      </c>
      <c r="H2048" s="9">
        <f>MAX($F$1644:F2048)</f>
        <v>1.235</v>
      </c>
      <c r="I2048" s="11">
        <f t="shared" si="47"/>
        <v>0</v>
      </c>
      <c r="J2048" s="9"/>
      <c r="K2048" s="11"/>
      <c r="L2048" s="9">
        <f>MAX($F$1959:F2048)</f>
        <v>1.235</v>
      </c>
      <c r="M2048" s="11">
        <f t="shared" si="48"/>
        <v>0</v>
      </c>
      <c r="N2048" s="9" t="s">
        <v>812</v>
      </c>
    </row>
    <row r="2049" ht="25" customHeight="1" spans="1:14">
      <c r="A2049" s="9" t="s">
        <v>371</v>
      </c>
      <c r="B2049" s="9" t="s">
        <v>370</v>
      </c>
      <c r="C2049" s="10">
        <v>45499</v>
      </c>
      <c r="D2049" s="15">
        <v>1.233</v>
      </c>
      <c r="E2049" s="15">
        <v>1.233</v>
      </c>
      <c r="F2049" s="15">
        <v>1.233</v>
      </c>
      <c r="G2049" s="11">
        <v>-0.0016</v>
      </c>
      <c r="H2049" s="9">
        <f>MAX($F$1644:F2049)</f>
        <v>1.235</v>
      </c>
      <c r="I2049" s="11">
        <f t="shared" si="47"/>
        <v>0.00161943319838054</v>
      </c>
      <c r="J2049" s="9"/>
      <c r="K2049" s="11"/>
      <c r="L2049" s="9">
        <f>MAX($F$1959:F2049)</f>
        <v>1.235</v>
      </c>
      <c r="M2049" s="11">
        <f t="shared" si="48"/>
        <v>0.00161943319838054</v>
      </c>
      <c r="N2049" s="9" t="s">
        <v>812</v>
      </c>
    </row>
    <row r="2050" ht="25" customHeight="1" spans="1:14">
      <c r="A2050" s="9" t="s">
        <v>371</v>
      </c>
      <c r="B2050" s="9" t="s">
        <v>370</v>
      </c>
      <c r="C2050" s="10">
        <v>45504</v>
      </c>
      <c r="D2050" s="15">
        <v>1.241</v>
      </c>
      <c r="E2050" s="15">
        <v>1.241</v>
      </c>
      <c r="F2050" s="15">
        <v>1.241</v>
      </c>
      <c r="G2050" s="11">
        <v>0.0065</v>
      </c>
      <c r="H2050" s="9">
        <f>MAX($F$1644:F2050)</f>
        <v>1.241</v>
      </c>
      <c r="I2050" s="11">
        <f t="shared" ref="I2050:I2113" si="49">1-F2050/H2050</f>
        <v>0</v>
      </c>
      <c r="J2050" s="9"/>
      <c r="K2050" s="11"/>
      <c r="L2050" s="9">
        <f>MAX($F$1959:F2050)</f>
        <v>1.241</v>
      </c>
      <c r="M2050" s="11">
        <f t="shared" si="48"/>
        <v>0</v>
      </c>
      <c r="N2050" s="9" t="s">
        <v>812</v>
      </c>
    </row>
    <row r="2051" ht="25" customHeight="1" spans="1:14">
      <c r="A2051" s="9" t="s">
        <v>371</v>
      </c>
      <c r="B2051" s="9" t="s">
        <v>370</v>
      </c>
      <c r="C2051" s="10">
        <v>45506</v>
      </c>
      <c r="D2051" s="15">
        <v>1.244</v>
      </c>
      <c r="E2051" s="15">
        <v>1.244</v>
      </c>
      <c r="F2051" s="15">
        <v>1.244</v>
      </c>
      <c r="G2051" s="11">
        <v>0.0024</v>
      </c>
      <c r="H2051" s="9">
        <f>MAX($F$1644:F2051)</f>
        <v>1.244</v>
      </c>
      <c r="I2051" s="11">
        <f t="shared" si="49"/>
        <v>0</v>
      </c>
      <c r="J2051" s="9"/>
      <c r="K2051" s="11"/>
      <c r="L2051" s="9">
        <f>MAX($F$1959:F2051)</f>
        <v>1.244</v>
      </c>
      <c r="M2051" s="11">
        <f t="shared" si="48"/>
        <v>0</v>
      </c>
      <c r="N2051" s="9" t="s">
        <v>812</v>
      </c>
    </row>
    <row r="2052" ht="25" customHeight="1" spans="1:14">
      <c r="A2052" s="9" t="s">
        <v>371</v>
      </c>
      <c r="B2052" s="9" t="s">
        <v>370</v>
      </c>
      <c r="C2052" s="10">
        <v>45513</v>
      </c>
      <c r="D2052" s="15">
        <v>1.243</v>
      </c>
      <c r="E2052" s="15">
        <v>1.243</v>
      </c>
      <c r="F2052" s="15">
        <v>1.243</v>
      </c>
      <c r="G2052" s="11">
        <v>-0.0008</v>
      </c>
      <c r="H2052" s="9">
        <f>MAX($F$1644:F2052)</f>
        <v>1.244</v>
      </c>
      <c r="I2052" s="11">
        <f t="shared" si="49"/>
        <v>0.000803858520900258</v>
      </c>
      <c r="J2052" s="9"/>
      <c r="K2052" s="11"/>
      <c r="L2052" s="9">
        <f>MAX($F$1959:F2052)</f>
        <v>1.244</v>
      </c>
      <c r="M2052" s="11">
        <f t="shared" si="48"/>
        <v>0.000803858520900258</v>
      </c>
      <c r="N2052" s="9" t="s">
        <v>812</v>
      </c>
    </row>
    <row r="2053" ht="25" customHeight="1" spans="1:14">
      <c r="A2053" s="9" t="s">
        <v>371</v>
      </c>
      <c r="B2053" s="9" t="s">
        <v>370</v>
      </c>
      <c r="C2053" s="10">
        <v>45520</v>
      </c>
      <c r="D2053" s="15">
        <v>1.242</v>
      </c>
      <c r="E2053" s="15">
        <v>1.242</v>
      </c>
      <c r="F2053" s="15">
        <v>1.242</v>
      </c>
      <c r="G2053" s="11">
        <v>-0.0008</v>
      </c>
      <c r="H2053" s="9">
        <f>MAX($F$1644:F2053)</f>
        <v>1.244</v>
      </c>
      <c r="I2053" s="11">
        <f t="shared" si="49"/>
        <v>0.00160771704180063</v>
      </c>
      <c r="J2053" s="9"/>
      <c r="K2053" s="11"/>
      <c r="L2053" s="9">
        <f>MAX($F$1959:F2053)</f>
        <v>1.244</v>
      </c>
      <c r="M2053" s="11">
        <f t="shared" si="48"/>
        <v>0.00160771704180063</v>
      </c>
      <c r="N2053" s="9" t="s">
        <v>812</v>
      </c>
    </row>
    <row r="2054" ht="25" customHeight="1" spans="1:14">
      <c r="A2054" s="9" t="s">
        <v>371</v>
      </c>
      <c r="B2054" s="9" t="s">
        <v>370</v>
      </c>
      <c r="C2054" s="10">
        <v>45527</v>
      </c>
      <c r="D2054" s="15">
        <v>1.244</v>
      </c>
      <c r="E2054" s="15">
        <v>1.244</v>
      </c>
      <c r="F2054" s="15">
        <v>1.244</v>
      </c>
      <c r="G2054" s="11">
        <v>0.0016</v>
      </c>
      <c r="H2054" s="9">
        <f>MAX($F$1644:F2054)</f>
        <v>1.244</v>
      </c>
      <c r="I2054" s="11">
        <f t="shared" si="49"/>
        <v>0</v>
      </c>
      <c r="J2054" s="9"/>
      <c r="K2054" s="11"/>
      <c r="L2054" s="9">
        <f>MAX($F$1959:F2054)</f>
        <v>1.244</v>
      </c>
      <c r="M2054" s="11">
        <f t="shared" si="48"/>
        <v>0</v>
      </c>
      <c r="N2054" s="9" t="s">
        <v>812</v>
      </c>
    </row>
    <row r="2055" ht="25" customHeight="1" spans="1:14">
      <c r="A2055" s="9" t="s">
        <v>371</v>
      </c>
      <c r="B2055" s="9" t="s">
        <v>370</v>
      </c>
      <c r="C2055" s="10">
        <v>45534</v>
      </c>
      <c r="D2055" s="15">
        <v>1.246</v>
      </c>
      <c r="E2055" s="15">
        <v>1.246</v>
      </c>
      <c r="F2055" s="15">
        <v>1.246</v>
      </c>
      <c r="G2055" s="11">
        <v>0.0016</v>
      </c>
      <c r="H2055" s="9">
        <f>MAX($F$1644:F2055)</f>
        <v>1.246</v>
      </c>
      <c r="I2055" s="11">
        <f t="shared" si="49"/>
        <v>0</v>
      </c>
      <c r="J2055" s="9"/>
      <c r="K2055" s="11"/>
      <c r="L2055" s="9">
        <f>MAX($F$1959:F2055)</f>
        <v>1.246</v>
      </c>
      <c r="M2055" s="11">
        <f t="shared" si="48"/>
        <v>0</v>
      </c>
      <c r="N2055" s="9" t="s">
        <v>812</v>
      </c>
    </row>
    <row r="2056" ht="25" customHeight="1" spans="1:14">
      <c r="A2056" s="9" t="s">
        <v>371</v>
      </c>
      <c r="B2056" s="9" t="s">
        <v>370</v>
      </c>
      <c r="C2056" s="10">
        <v>45541</v>
      </c>
      <c r="D2056" s="15">
        <v>1.248</v>
      </c>
      <c r="E2056" s="15">
        <v>1.248</v>
      </c>
      <c r="F2056" s="15">
        <v>1.248</v>
      </c>
      <c r="G2056" s="11">
        <v>0.0016</v>
      </c>
      <c r="H2056" s="9">
        <f>MAX($F$1644:F2056)</f>
        <v>1.248</v>
      </c>
      <c r="I2056" s="11">
        <f t="shared" si="49"/>
        <v>0</v>
      </c>
      <c r="J2056" s="9"/>
      <c r="K2056" s="11"/>
      <c r="L2056" s="9">
        <f>MAX($F$1959:F2056)</f>
        <v>1.248</v>
      </c>
      <c r="M2056" s="11">
        <f t="shared" si="48"/>
        <v>0</v>
      </c>
      <c r="N2056" s="9" t="s">
        <v>812</v>
      </c>
    </row>
    <row r="2057" ht="25" customHeight="1" spans="1:14">
      <c r="A2057" s="9" t="s">
        <v>371</v>
      </c>
      <c r="B2057" s="9" t="s">
        <v>370</v>
      </c>
      <c r="C2057" s="10">
        <v>45548</v>
      </c>
      <c r="D2057" s="15">
        <v>1.243</v>
      </c>
      <c r="E2057" s="15">
        <v>1.243</v>
      </c>
      <c r="F2057" s="15">
        <v>1.243</v>
      </c>
      <c r="G2057" s="11">
        <v>-0.004</v>
      </c>
      <c r="H2057" s="9">
        <f>MAX($F$1644:F2057)</f>
        <v>1.248</v>
      </c>
      <c r="I2057" s="11">
        <f t="shared" si="49"/>
        <v>0.00400641025641013</v>
      </c>
      <c r="J2057" s="9"/>
      <c r="K2057" s="11"/>
      <c r="L2057" s="9">
        <f>MAX($F$1959:F2057)</f>
        <v>1.248</v>
      </c>
      <c r="M2057" s="11">
        <f t="shared" si="48"/>
        <v>0.00400641025641013</v>
      </c>
      <c r="N2057" s="9" t="s">
        <v>812</v>
      </c>
    </row>
    <row r="2058" ht="25" customHeight="1" spans="1:14">
      <c r="A2058" s="9" t="s">
        <v>371</v>
      </c>
      <c r="B2058" s="9" t="s">
        <v>370</v>
      </c>
      <c r="C2058" s="10">
        <v>45555</v>
      </c>
      <c r="D2058" s="15">
        <v>1.239</v>
      </c>
      <c r="E2058" s="15">
        <v>1.239</v>
      </c>
      <c r="F2058" s="15">
        <v>1.239</v>
      </c>
      <c r="G2058" s="11">
        <v>-0.0032</v>
      </c>
      <c r="H2058" s="9">
        <f>MAX($F$1644:F2058)</f>
        <v>1.248</v>
      </c>
      <c r="I2058" s="11">
        <f t="shared" si="49"/>
        <v>0.00721153846153832</v>
      </c>
      <c r="J2058" s="9"/>
      <c r="K2058" s="11"/>
      <c r="L2058" s="9">
        <f>MAX($F$1959:F2058)</f>
        <v>1.248</v>
      </c>
      <c r="M2058" s="11">
        <f t="shared" si="48"/>
        <v>0.00721153846153832</v>
      </c>
      <c r="N2058" s="9" t="s">
        <v>812</v>
      </c>
    </row>
    <row r="2059" ht="25" customHeight="1" spans="1:14">
      <c r="A2059" s="9" t="s">
        <v>371</v>
      </c>
      <c r="B2059" s="9" t="s">
        <v>370</v>
      </c>
      <c r="C2059" s="10">
        <v>45562</v>
      </c>
      <c r="D2059" s="15">
        <v>1.265</v>
      </c>
      <c r="E2059" s="15">
        <v>1.265</v>
      </c>
      <c r="F2059" s="15">
        <v>1.265</v>
      </c>
      <c r="G2059" s="11">
        <v>0.021</v>
      </c>
      <c r="H2059" s="9">
        <f>MAX($F$1644:F2059)</f>
        <v>1.265</v>
      </c>
      <c r="I2059" s="11">
        <f t="shared" si="49"/>
        <v>0</v>
      </c>
      <c r="J2059" s="9"/>
      <c r="K2059" s="11"/>
      <c r="L2059" s="9">
        <f>MAX($F$1959:F2059)</f>
        <v>1.265</v>
      </c>
      <c r="M2059" s="11">
        <f t="shared" si="48"/>
        <v>0</v>
      </c>
      <c r="N2059" s="9" t="s">
        <v>812</v>
      </c>
    </row>
    <row r="2060" ht="25" customHeight="1" spans="1:14">
      <c r="A2060" s="9" t="s">
        <v>371</v>
      </c>
      <c r="B2060" s="9" t="s">
        <v>370</v>
      </c>
      <c r="C2060" s="10">
        <v>45565</v>
      </c>
      <c r="D2060" s="15">
        <v>1.276</v>
      </c>
      <c r="E2060" s="15">
        <v>1.276</v>
      </c>
      <c r="F2060" s="15">
        <v>1.276</v>
      </c>
      <c r="G2060" s="11">
        <v>0.0087</v>
      </c>
      <c r="H2060" s="9">
        <f>MAX($F$1644:F2060)</f>
        <v>1.276</v>
      </c>
      <c r="I2060" s="11">
        <f t="shared" si="49"/>
        <v>0</v>
      </c>
      <c r="J2060" s="9"/>
      <c r="K2060" s="11"/>
      <c r="L2060" s="9">
        <f>MAX($F$1959:F2060)</f>
        <v>1.276</v>
      </c>
      <c r="M2060" s="11">
        <f t="shared" si="48"/>
        <v>0</v>
      </c>
      <c r="N2060" s="9" t="s">
        <v>812</v>
      </c>
    </row>
    <row r="2061" ht="25" customHeight="1" spans="1:14">
      <c r="A2061" s="9" t="s">
        <v>371</v>
      </c>
      <c r="B2061" s="9" t="s">
        <v>370</v>
      </c>
      <c r="C2061" s="10">
        <v>45576</v>
      </c>
      <c r="D2061" s="15">
        <v>1.286</v>
      </c>
      <c r="E2061" s="15">
        <v>1.286</v>
      </c>
      <c r="F2061" s="15">
        <v>1.286</v>
      </c>
      <c r="G2061" s="11">
        <v>0.0078</v>
      </c>
      <c r="H2061" s="9">
        <f>MAX($F$1644:F2061)</f>
        <v>1.286</v>
      </c>
      <c r="I2061" s="11">
        <f t="shared" si="49"/>
        <v>0</v>
      </c>
      <c r="J2061" s="9"/>
      <c r="K2061" s="11"/>
      <c r="L2061" s="9">
        <f>MAX($F$1959:F2061)</f>
        <v>1.286</v>
      </c>
      <c r="M2061" s="11">
        <f t="shared" si="48"/>
        <v>0</v>
      </c>
      <c r="N2061" s="9" t="s">
        <v>812</v>
      </c>
    </row>
    <row r="2062" ht="25" customHeight="1" spans="1:14">
      <c r="A2062" s="9" t="s">
        <v>371</v>
      </c>
      <c r="B2062" s="9" t="s">
        <v>370</v>
      </c>
      <c r="C2062" s="10">
        <v>45583</v>
      </c>
      <c r="D2062" s="15">
        <v>1.305</v>
      </c>
      <c r="E2062" s="15">
        <v>1.305</v>
      </c>
      <c r="F2062" s="15">
        <v>1.305</v>
      </c>
      <c r="G2062" s="11">
        <v>0.0148</v>
      </c>
      <c r="H2062" s="9">
        <f>MAX($F$1644:F2062)</f>
        <v>1.305</v>
      </c>
      <c r="I2062" s="11">
        <f t="shared" si="49"/>
        <v>0</v>
      </c>
      <c r="J2062" s="9"/>
      <c r="K2062" s="11"/>
      <c r="L2062" s="9">
        <f>MAX($F$1959:F2062)</f>
        <v>1.305</v>
      </c>
      <c r="M2062" s="11">
        <f t="shared" si="48"/>
        <v>0</v>
      </c>
      <c r="N2062" s="9" t="s">
        <v>812</v>
      </c>
    </row>
    <row r="2063" ht="25" customHeight="1" spans="1:14">
      <c r="A2063" s="9" t="s">
        <v>371</v>
      </c>
      <c r="B2063" s="9" t="s">
        <v>370</v>
      </c>
      <c r="C2063" s="10">
        <v>45590</v>
      </c>
      <c r="D2063" s="15">
        <v>1.304</v>
      </c>
      <c r="E2063" s="15">
        <v>1.304</v>
      </c>
      <c r="F2063" s="15">
        <v>1.304</v>
      </c>
      <c r="G2063" s="11">
        <v>-0.0008</v>
      </c>
      <c r="H2063" s="9">
        <f>MAX($F$1644:F2063)</f>
        <v>1.305</v>
      </c>
      <c r="I2063" s="11">
        <f t="shared" si="49"/>
        <v>0.000766283524904154</v>
      </c>
      <c r="J2063" s="9"/>
      <c r="K2063" s="11"/>
      <c r="L2063" s="9">
        <f>MAX($F$1959:F2063)</f>
        <v>1.305</v>
      </c>
      <c r="M2063" s="11">
        <f t="shared" si="48"/>
        <v>0.000766283524904154</v>
      </c>
      <c r="N2063" s="9" t="s">
        <v>812</v>
      </c>
    </row>
    <row r="2064" ht="25" customHeight="1" spans="1:14">
      <c r="A2064" s="9" t="s">
        <v>371</v>
      </c>
      <c r="B2064" s="9" t="s">
        <v>370</v>
      </c>
      <c r="C2064" s="10">
        <v>45596</v>
      </c>
      <c r="D2064" s="15">
        <v>1.307</v>
      </c>
      <c r="E2064" s="15">
        <v>1.307</v>
      </c>
      <c r="F2064" s="15">
        <v>1.307</v>
      </c>
      <c r="G2064" s="11">
        <v>0.0023</v>
      </c>
      <c r="H2064" s="9">
        <f>MAX($F$1644:F2064)</f>
        <v>1.307</v>
      </c>
      <c r="I2064" s="11">
        <f t="shared" si="49"/>
        <v>0</v>
      </c>
      <c r="J2064" s="9"/>
      <c r="K2064" s="11"/>
      <c r="L2064" s="9">
        <f>MAX($F$1959:F2064)</f>
        <v>1.307</v>
      </c>
      <c r="M2064" s="11">
        <f t="shared" si="48"/>
        <v>0</v>
      </c>
      <c r="N2064" s="9" t="s">
        <v>812</v>
      </c>
    </row>
    <row r="2065" ht="25" customHeight="1" spans="1:14">
      <c r="A2065" s="9" t="s">
        <v>371</v>
      </c>
      <c r="B2065" s="9" t="s">
        <v>370</v>
      </c>
      <c r="C2065" s="10">
        <v>45597</v>
      </c>
      <c r="D2065" s="15">
        <v>1.304</v>
      </c>
      <c r="E2065" s="15">
        <v>1.304</v>
      </c>
      <c r="F2065" s="15">
        <v>1.304</v>
      </c>
      <c r="G2065" s="11">
        <v>-0.0023</v>
      </c>
      <c r="H2065" s="9">
        <f>MAX($F$1644:F2065)</f>
        <v>1.307</v>
      </c>
      <c r="I2065" s="11">
        <f t="shared" si="49"/>
        <v>0.00229533282325933</v>
      </c>
      <c r="J2065" s="9"/>
      <c r="K2065" s="11"/>
      <c r="L2065" s="9">
        <f>MAX($F$1959:F2065)</f>
        <v>1.307</v>
      </c>
      <c r="M2065" s="11">
        <f t="shared" si="48"/>
        <v>0.00229533282325933</v>
      </c>
      <c r="N2065" s="9" t="s">
        <v>812</v>
      </c>
    </row>
    <row r="2066" ht="25" customHeight="1" spans="1:14">
      <c r="A2066" s="9" t="s">
        <v>371</v>
      </c>
      <c r="B2066" s="9" t="s">
        <v>370</v>
      </c>
      <c r="C2066" s="10">
        <v>45604</v>
      </c>
      <c r="D2066" s="15">
        <v>1.321</v>
      </c>
      <c r="E2066" s="15">
        <v>1.321</v>
      </c>
      <c r="F2066" s="15">
        <v>1.321</v>
      </c>
      <c r="G2066" s="11">
        <v>0.013</v>
      </c>
      <c r="H2066" s="9">
        <f>MAX($F$1644:F2066)</f>
        <v>1.321</v>
      </c>
      <c r="I2066" s="11">
        <f t="shared" si="49"/>
        <v>0</v>
      </c>
      <c r="J2066" s="9"/>
      <c r="K2066" s="11"/>
      <c r="L2066" s="9">
        <f>MAX($F$1959:F2066)</f>
        <v>1.321</v>
      </c>
      <c r="M2066" s="11">
        <f t="shared" si="48"/>
        <v>0</v>
      </c>
      <c r="N2066" s="9" t="s">
        <v>812</v>
      </c>
    </row>
    <row r="2067" ht="25" customHeight="1" spans="1:14">
      <c r="A2067" s="9" t="s">
        <v>371</v>
      </c>
      <c r="B2067" s="9" t="s">
        <v>370</v>
      </c>
      <c r="C2067" s="10">
        <v>45611</v>
      </c>
      <c r="D2067" s="15">
        <v>1.323</v>
      </c>
      <c r="E2067" s="15">
        <v>1.323</v>
      </c>
      <c r="F2067" s="15">
        <v>1.323</v>
      </c>
      <c r="G2067" s="11">
        <v>0.0015</v>
      </c>
      <c r="H2067" s="9">
        <f>MAX($F$1644:F2067)</f>
        <v>1.323</v>
      </c>
      <c r="I2067" s="11">
        <f t="shared" si="49"/>
        <v>0</v>
      </c>
      <c r="J2067" s="9"/>
      <c r="K2067" s="11"/>
      <c r="L2067" s="9">
        <f>MAX($F$1959:F2067)</f>
        <v>1.323</v>
      </c>
      <c r="M2067" s="11">
        <f t="shared" si="48"/>
        <v>0</v>
      </c>
      <c r="N2067" s="9" t="s">
        <v>812</v>
      </c>
    </row>
    <row r="2068" ht="25" customHeight="1" spans="1:14">
      <c r="A2068" s="9" t="s">
        <v>371</v>
      </c>
      <c r="B2068" s="9" t="s">
        <v>370</v>
      </c>
      <c r="C2068" s="10">
        <v>45618</v>
      </c>
      <c r="D2068" s="15">
        <v>1.338</v>
      </c>
      <c r="E2068" s="15">
        <v>1.338</v>
      </c>
      <c r="F2068" s="15">
        <v>1.338</v>
      </c>
      <c r="G2068" s="11">
        <v>0.0113</v>
      </c>
      <c r="H2068" s="9">
        <f>MAX($F$1644:F2068)</f>
        <v>1.338</v>
      </c>
      <c r="I2068" s="11">
        <f t="shared" si="49"/>
        <v>0</v>
      </c>
      <c r="J2068" s="9"/>
      <c r="K2068" s="11"/>
      <c r="L2068" s="9">
        <f>MAX($F$1959:F2068)</f>
        <v>1.338</v>
      </c>
      <c r="M2068" s="11">
        <f t="shared" si="48"/>
        <v>0</v>
      </c>
      <c r="N2068" s="9" t="s">
        <v>812</v>
      </c>
    </row>
    <row r="2069" ht="25" customHeight="1" spans="1:14">
      <c r="A2069" s="9" t="s">
        <v>371</v>
      </c>
      <c r="B2069" s="9" t="s">
        <v>370</v>
      </c>
      <c r="C2069" s="10">
        <v>45625</v>
      </c>
      <c r="D2069" s="15">
        <v>1.339</v>
      </c>
      <c r="E2069" s="15">
        <v>1.339</v>
      </c>
      <c r="F2069" s="15">
        <v>1.339</v>
      </c>
      <c r="G2069" s="11">
        <v>0.0007</v>
      </c>
      <c r="H2069" s="9">
        <f>MAX($F$1644:F2069)</f>
        <v>1.339</v>
      </c>
      <c r="I2069" s="11">
        <f t="shared" si="49"/>
        <v>0</v>
      </c>
      <c r="J2069" s="9"/>
      <c r="K2069" s="11"/>
      <c r="L2069" s="9">
        <f>MAX($F$1959:F2069)</f>
        <v>1.339</v>
      </c>
      <c r="M2069" s="11">
        <f t="shared" si="48"/>
        <v>0</v>
      </c>
      <c r="N2069" s="9" t="s">
        <v>812</v>
      </c>
    </row>
    <row r="2070" ht="25" customHeight="1" spans="1:14">
      <c r="A2070" s="9" t="s">
        <v>371</v>
      </c>
      <c r="B2070" s="9" t="s">
        <v>370</v>
      </c>
      <c r="C2070" s="10">
        <v>45632</v>
      </c>
      <c r="D2070" s="15">
        <v>1.337</v>
      </c>
      <c r="E2070" s="15">
        <v>1.337</v>
      </c>
      <c r="F2070" s="15">
        <v>1.337</v>
      </c>
      <c r="G2070" s="11">
        <v>-0.0015</v>
      </c>
      <c r="H2070" s="9">
        <f>MAX($F$1644:F2070)</f>
        <v>1.339</v>
      </c>
      <c r="I2070" s="11">
        <f t="shared" si="49"/>
        <v>0.00149365197908891</v>
      </c>
      <c r="J2070" s="9"/>
      <c r="K2070" s="11"/>
      <c r="L2070" s="9">
        <f>MAX($F$1959:F2070)</f>
        <v>1.339</v>
      </c>
      <c r="M2070" s="11">
        <f t="shared" si="48"/>
        <v>0.00149365197908891</v>
      </c>
      <c r="N2070" s="9" t="s">
        <v>812</v>
      </c>
    </row>
    <row r="2071" ht="25" customHeight="1" spans="1:14">
      <c r="A2071" s="9" t="s">
        <v>371</v>
      </c>
      <c r="B2071" s="9" t="s">
        <v>370</v>
      </c>
      <c r="C2071" s="10">
        <v>45639</v>
      </c>
      <c r="D2071" s="15">
        <v>1.341</v>
      </c>
      <c r="E2071" s="15">
        <v>1.341</v>
      </c>
      <c r="F2071" s="15">
        <v>1.341</v>
      </c>
      <c r="G2071" s="11">
        <v>0.003</v>
      </c>
      <c r="H2071" s="9">
        <f>MAX($F$1644:F2071)</f>
        <v>1.341</v>
      </c>
      <c r="I2071" s="11">
        <f t="shared" si="49"/>
        <v>0</v>
      </c>
      <c r="J2071" s="9"/>
      <c r="K2071" s="11"/>
      <c r="L2071" s="9">
        <f>MAX($F$1959:F2071)</f>
        <v>1.341</v>
      </c>
      <c r="M2071" s="11">
        <f t="shared" si="48"/>
        <v>0</v>
      </c>
      <c r="N2071" s="9" t="s">
        <v>812</v>
      </c>
    </row>
    <row r="2072" ht="25" customHeight="1" spans="1:14">
      <c r="A2072" s="9" t="s">
        <v>371</v>
      </c>
      <c r="B2072" s="9" t="s">
        <v>370</v>
      </c>
      <c r="C2072" s="10">
        <v>45646</v>
      </c>
      <c r="D2072" s="15">
        <v>1.336</v>
      </c>
      <c r="E2072" s="15">
        <v>1.336</v>
      </c>
      <c r="F2072" s="15">
        <v>1.336</v>
      </c>
      <c r="G2072" s="11">
        <v>-0.0037</v>
      </c>
      <c r="H2072" s="9">
        <f>MAX($F$1644:F2072)</f>
        <v>1.341</v>
      </c>
      <c r="I2072" s="11">
        <f t="shared" si="49"/>
        <v>0.00372856077554051</v>
      </c>
      <c r="J2072" s="9"/>
      <c r="K2072" s="11"/>
      <c r="L2072" s="9">
        <f>MAX($F$1959:F2072)</f>
        <v>1.341</v>
      </c>
      <c r="M2072" s="11">
        <f t="shared" si="48"/>
        <v>0.00372856077554051</v>
      </c>
      <c r="N2072" s="9" t="s">
        <v>812</v>
      </c>
    </row>
    <row r="2073" ht="25" customHeight="1" spans="1:14">
      <c r="A2073" s="9" t="s">
        <v>371</v>
      </c>
      <c r="B2073" s="9" t="s">
        <v>370</v>
      </c>
      <c r="C2073" s="10">
        <v>45653</v>
      </c>
      <c r="D2073" s="15">
        <v>1.334</v>
      </c>
      <c r="E2073" s="15">
        <v>1.334</v>
      </c>
      <c r="F2073" s="15">
        <v>1.334</v>
      </c>
      <c r="G2073" s="11">
        <v>-0.0015</v>
      </c>
      <c r="H2073" s="9">
        <f>MAX($F$1644:F2073)</f>
        <v>1.341</v>
      </c>
      <c r="I2073" s="11">
        <f t="shared" si="49"/>
        <v>0.00521998508575683</v>
      </c>
      <c r="J2073" s="9"/>
      <c r="K2073" s="11"/>
      <c r="L2073" s="9">
        <f>MAX($F$1959:F2073)</f>
        <v>1.341</v>
      </c>
      <c r="M2073" s="11">
        <f t="shared" si="48"/>
        <v>0.00521998508575683</v>
      </c>
      <c r="N2073" s="9" t="s">
        <v>812</v>
      </c>
    </row>
    <row r="2074" ht="25" customHeight="1" spans="1:14">
      <c r="A2074" s="9" t="s">
        <v>371</v>
      </c>
      <c r="B2074" s="9" t="s">
        <v>370</v>
      </c>
      <c r="C2074" s="10">
        <v>45657</v>
      </c>
      <c r="D2074" s="15">
        <v>1.341</v>
      </c>
      <c r="E2074" s="15">
        <v>1.341</v>
      </c>
      <c r="F2074" s="15">
        <v>1.341</v>
      </c>
      <c r="G2074" s="11">
        <v>0.0052</v>
      </c>
      <c r="H2074" s="9">
        <f>MAX($F$1644:F2074)</f>
        <v>1.341</v>
      </c>
      <c r="I2074" s="11">
        <f t="shared" si="49"/>
        <v>0</v>
      </c>
      <c r="J2074" s="9"/>
      <c r="K2074" s="11"/>
      <c r="L2074" s="9">
        <f>MAX($F$1959:F2074)</f>
        <v>1.341</v>
      </c>
      <c r="M2074" s="11">
        <f t="shared" si="48"/>
        <v>0</v>
      </c>
      <c r="N2074" s="9" t="s">
        <v>812</v>
      </c>
    </row>
    <row r="2075" ht="25" customHeight="1" spans="1:14">
      <c r="A2075" s="9" t="s">
        <v>371</v>
      </c>
      <c r="B2075" s="9" t="s">
        <v>370</v>
      </c>
      <c r="C2075" s="10">
        <v>45660</v>
      </c>
      <c r="D2075" s="15">
        <v>1.347</v>
      </c>
      <c r="E2075" s="15">
        <v>1.347</v>
      </c>
      <c r="F2075" s="15">
        <v>1.347</v>
      </c>
      <c r="G2075" s="11">
        <v>0.0045</v>
      </c>
      <c r="H2075" s="9">
        <f>MAX($F$1644:F2075)</f>
        <v>1.347</v>
      </c>
      <c r="I2075" s="11">
        <f t="shared" si="49"/>
        <v>0</v>
      </c>
      <c r="J2075" s="9"/>
      <c r="K2075" s="11"/>
      <c r="L2075" s="9">
        <f>MAX($F$1959:F2075)</f>
        <v>1.347</v>
      </c>
      <c r="M2075" s="11">
        <f t="shared" si="48"/>
        <v>0</v>
      </c>
      <c r="N2075" s="9" t="s">
        <v>812</v>
      </c>
    </row>
    <row r="2076" ht="25" customHeight="1" spans="1:14">
      <c r="A2076" s="9" t="s">
        <v>371</v>
      </c>
      <c r="B2076" s="9" t="s">
        <v>370</v>
      </c>
      <c r="C2076" s="10">
        <v>45667</v>
      </c>
      <c r="D2076" s="15">
        <v>1.341</v>
      </c>
      <c r="E2076" s="15">
        <v>1.341</v>
      </c>
      <c r="F2076" s="15">
        <v>1.341</v>
      </c>
      <c r="G2076" s="11">
        <v>-0.0045</v>
      </c>
      <c r="H2076" s="9">
        <f>MAX($F$1644:F2076)</f>
        <v>1.347</v>
      </c>
      <c r="I2076" s="11">
        <f t="shared" si="49"/>
        <v>0.00445434298440983</v>
      </c>
      <c r="J2076" s="9"/>
      <c r="K2076" s="11"/>
      <c r="L2076" s="9">
        <f>MAX($F$1959:F2076)</f>
        <v>1.347</v>
      </c>
      <c r="M2076" s="11">
        <f t="shared" si="48"/>
        <v>0.00445434298440983</v>
      </c>
      <c r="N2076" s="9" t="s">
        <v>812</v>
      </c>
    </row>
    <row r="2077" ht="25" customHeight="1" spans="1:14">
      <c r="A2077" s="9" t="s">
        <v>371</v>
      </c>
      <c r="B2077" s="9" t="s">
        <v>370</v>
      </c>
      <c r="C2077" s="10">
        <v>45674</v>
      </c>
      <c r="D2077" s="15">
        <v>1.347</v>
      </c>
      <c r="E2077" s="15">
        <v>1.347</v>
      </c>
      <c r="F2077" s="15">
        <v>1.347</v>
      </c>
      <c r="G2077" s="11">
        <v>0.0045</v>
      </c>
      <c r="H2077" s="9">
        <f>MAX($F$1644:F2077)</f>
        <v>1.347</v>
      </c>
      <c r="I2077" s="11">
        <f t="shared" si="49"/>
        <v>0</v>
      </c>
      <c r="J2077" s="9"/>
      <c r="K2077" s="11"/>
      <c r="L2077" s="9">
        <f>MAX($F$1959:F2077)</f>
        <v>1.347</v>
      </c>
      <c r="M2077" s="11">
        <f t="shared" si="48"/>
        <v>0</v>
      </c>
      <c r="N2077" s="9" t="s">
        <v>812</v>
      </c>
    </row>
    <row r="2078" ht="25" customHeight="1" spans="1:14">
      <c r="A2078" s="9" t="s">
        <v>371</v>
      </c>
      <c r="B2078" s="9" t="s">
        <v>370</v>
      </c>
      <c r="C2078" s="10">
        <v>45681</v>
      </c>
      <c r="D2078" s="15">
        <v>1.343</v>
      </c>
      <c r="E2078" s="15">
        <v>1.343</v>
      </c>
      <c r="F2078" s="15">
        <v>1.343</v>
      </c>
      <c r="G2078" s="11">
        <v>-0.003</v>
      </c>
      <c r="H2078" s="9">
        <f>MAX($F$1644:F2078)</f>
        <v>1.347</v>
      </c>
      <c r="I2078" s="11">
        <f t="shared" si="49"/>
        <v>0.00296956198960652</v>
      </c>
      <c r="J2078" s="9"/>
      <c r="K2078" s="11"/>
      <c r="L2078" s="9">
        <f>MAX($F$1959:F2078)</f>
        <v>1.347</v>
      </c>
      <c r="M2078" s="11">
        <f t="shared" si="48"/>
        <v>0.00296956198960652</v>
      </c>
      <c r="N2078" s="9" t="s">
        <v>812</v>
      </c>
    </row>
    <row r="2079" ht="25" customHeight="1" spans="1:14">
      <c r="A2079" s="9" t="s">
        <v>371</v>
      </c>
      <c r="B2079" s="9" t="s">
        <v>370</v>
      </c>
      <c r="C2079" s="10">
        <v>45684</v>
      </c>
      <c r="D2079" s="15">
        <v>1.351</v>
      </c>
      <c r="E2079" s="15">
        <v>1.351</v>
      </c>
      <c r="F2079" s="15">
        <v>1.351</v>
      </c>
      <c r="G2079" s="11">
        <v>0.006</v>
      </c>
      <c r="H2079" s="9">
        <f>MAX($F$1644:F2079)</f>
        <v>1.351</v>
      </c>
      <c r="I2079" s="11">
        <f t="shared" si="49"/>
        <v>0</v>
      </c>
      <c r="J2079" s="9"/>
      <c r="K2079" s="11"/>
      <c r="L2079" s="9">
        <f>MAX($F$1959:F2079)</f>
        <v>1.351</v>
      </c>
      <c r="M2079" s="11">
        <f t="shared" si="48"/>
        <v>0</v>
      </c>
      <c r="N2079" s="9" t="s">
        <v>812</v>
      </c>
    </row>
    <row r="2080" ht="25" customHeight="1" spans="1:14">
      <c r="A2080" s="9" t="s">
        <v>371</v>
      </c>
      <c r="B2080" s="9" t="s">
        <v>370</v>
      </c>
      <c r="C2080" s="10">
        <v>45695</v>
      </c>
      <c r="D2080" s="15">
        <v>1.35</v>
      </c>
      <c r="E2080" s="15">
        <v>1.35</v>
      </c>
      <c r="F2080" s="15">
        <v>1.35</v>
      </c>
      <c r="G2080" s="11">
        <v>-0.0007</v>
      </c>
      <c r="H2080" s="9">
        <f>MAX($F$1644:F2080)</f>
        <v>1.351</v>
      </c>
      <c r="I2080" s="11">
        <f t="shared" si="49"/>
        <v>0.000740192450036981</v>
      </c>
      <c r="J2080" s="9"/>
      <c r="K2080" s="11"/>
      <c r="L2080" s="9">
        <f>MAX($F$1959:F2080)</f>
        <v>1.351</v>
      </c>
      <c r="M2080" s="11">
        <f t="shared" si="48"/>
        <v>0.000740192450036981</v>
      </c>
      <c r="N2080" s="9" t="s">
        <v>812</v>
      </c>
    </row>
    <row r="2081" ht="25" customHeight="1" spans="1:14">
      <c r="A2081" s="9" t="s">
        <v>371</v>
      </c>
      <c r="B2081" s="9" t="s">
        <v>370</v>
      </c>
      <c r="C2081" s="10">
        <v>45702</v>
      </c>
      <c r="D2081" s="15">
        <v>1.355</v>
      </c>
      <c r="E2081" s="15">
        <v>1.355</v>
      </c>
      <c r="F2081" s="15">
        <v>1.355</v>
      </c>
      <c r="G2081" s="11">
        <v>0.0037</v>
      </c>
      <c r="H2081" s="9">
        <f>MAX($F$1644:F2081)</f>
        <v>1.355</v>
      </c>
      <c r="I2081" s="11">
        <f t="shared" si="49"/>
        <v>0</v>
      </c>
      <c r="J2081" s="9"/>
      <c r="K2081" s="11"/>
      <c r="L2081" s="9">
        <f>MAX($F$1959:F2081)</f>
        <v>1.355</v>
      </c>
      <c r="M2081" s="11">
        <f t="shared" si="48"/>
        <v>0</v>
      </c>
      <c r="N2081" s="9" t="s">
        <v>812</v>
      </c>
    </row>
    <row r="2082" ht="25" customHeight="1" spans="1:14">
      <c r="A2082" s="9" t="s">
        <v>371</v>
      </c>
      <c r="B2082" s="9" t="s">
        <v>370</v>
      </c>
      <c r="C2082" s="10">
        <v>45709</v>
      </c>
      <c r="D2082" s="15">
        <v>1.36</v>
      </c>
      <c r="E2082" s="15">
        <v>1.36</v>
      </c>
      <c r="F2082" s="15">
        <v>1.36</v>
      </c>
      <c r="G2082" s="11">
        <v>0.0037</v>
      </c>
      <c r="H2082" s="9">
        <f>MAX($F$1644:F2082)</f>
        <v>1.36</v>
      </c>
      <c r="I2082" s="11">
        <f t="shared" si="49"/>
        <v>0</v>
      </c>
      <c r="J2082" s="9"/>
      <c r="K2082" s="11"/>
      <c r="L2082" s="9">
        <f>MAX($F$1959:F2082)</f>
        <v>1.36</v>
      </c>
      <c r="M2082" s="11">
        <f t="shared" si="48"/>
        <v>0</v>
      </c>
      <c r="N2082" s="9" t="s">
        <v>812</v>
      </c>
    </row>
    <row r="2083" ht="25" customHeight="1" spans="1:14">
      <c r="A2083" s="9" t="s">
        <v>371</v>
      </c>
      <c r="B2083" s="9" t="s">
        <v>370</v>
      </c>
      <c r="C2083" s="10">
        <v>45714</v>
      </c>
      <c r="D2083" s="15">
        <v>1.02</v>
      </c>
      <c r="E2083" s="15">
        <v>1.355</v>
      </c>
      <c r="F2083" s="15">
        <v>1.355</v>
      </c>
      <c r="G2083" s="11">
        <v>-0.0037</v>
      </c>
      <c r="H2083" s="9">
        <f>MAX($F$1644:F2083)</f>
        <v>1.36</v>
      </c>
      <c r="I2083" s="11">
        <f t="shared" si="49"/>
        <v>0.00367647058823539</v>
      </c>
      <c r="J2083" s="9"/>
      <c r="K2083" s="11"/>
      <c r="L2083" s="9">
        <f>MAX($F$1959:F2083)</f>
        <v>1.36</v>
      </c>
      <c r="M2083" s="11">
        <f t="shared" si="48"/>
        <v>0.00367647058823539</v>
      </c>
      <c r="N2083" s="9" t="s">
        <v>812</v>
      </c>
    </row>
    <row r="2084" ht="25" customHeight="1" spans="1:14">
      <c r="A2084" s="9" t="s">
        <v>371</v>
      </c>
      <c r="B2084" s="9" t="s">
        <v>370</v>
      </c>
      <c r="C2084" s="10">
        <v>45716</v>
      </c>
      <c r="D2084" s="15">
        <v>1.024</v>
      </c>
      <c r="E2084" s="15">
        <v>1.359</v>
      </c>
      <c r="F2084" s="15">
        <v>1.3603</v>
      </c>
      <c r="G2084" s="11">
        <v>0.0039</v>
      </c>
      <c r="H2084" s="9">
        <f>MAX($F$1644:F2084)</f>
        <v>1.3603</v>
      </c>
      <c r="I2084" s="11">
        <f t="shared" si="49"/>
        <v>0</v>
      </c>
      <c r="J2084" s="9"/>
      <c r="K2084" s="11"/>
      <c r="L2084" s="9">
        <f>MAX($F$1959:F2084)</f>
        <v>1.3603</v>
      </c>
      <c r="M2084" s="11">
        <f t="shared" si="48"/>
        <v>0</v>
      </c>
      <c r="N2084" s="9" t="s">
        <v>812</v>
      </c>
    </row>
    <row r="2085" ht="25" customHeight="1" spans="1:14">
      <c r="A2085" s="9" t="s">
        <v>371</v>
      </c>
      <c r="B2085" s="9" t="s">
        <v>370</v>
      </c>
      <c r="C2085" s="10">
        <v>45723</v>
      </c>
      <c r="D2085" s="15">
        <v>1.027</v>
      </c>
      <c r="E2085" s="15">
        <v>1.362</v>
      </c>
      <c r="F2085" s="15">
        <v>1.3643</v>
      </c>
      <c r="G2085" s="11">
        <v>0.0029</v>
      </c>
      <c r="H2085" s="9">
        <f>MAX($F$1644:F2085)</f>
        <v>1.3643</v>
      </c>
      <c r="I2085" s="11">
        <f t="shared" si="49"/>
        <v>0</v>
      </c>
      <c r="J2085" s="9"/>
      <c r="K2085" s="11"/>
      <c r="L2085" s="9">
        <f>MAX($F$1959:F2085)</f>
        <v>1.3643</v>
      </c>
      <c r="M2085" s="11">
        <f t="shared" si="48"/>
        <v>0</v>
      </c>
      <c r="N2085" s="9" t="s">
        <v>812</v>
      </c>
    </row>
    <row r="2086" ht="25" customHeight="1" spans="1:14">
      <c r="A2086" s="9" t="s">
        <v>371</v>
      </c>
      <c r="B2086" s="9" t="s">
        <v>370</v>
      </c>
      <c r="C2086" s="10">
        <v>45730</v>
      </c>
      <c r="D2086" s="15">
        <v>1.026</v>
      </c>
      <c r="E2086" s="15">
        <v>1.361</v>
      </c>
      <c r="F2086" s="15">
        <v>1.363</v>
      </c>
      <c r="G2086" s="11">
        <v>-0.001</v>
      </c>
      <c r="H2086" s="9">
        <f>MAX($F$1644:F2086)</f>
        <v>1.3643</v>
      </c>
      <c r="I2086" s="11">
        <f t="shared" si="49"/>
        <v>0.000952869603459749</v>
      </c>
      <c r="J2086" s="9"/>
      <c r="K2086" s="11"/>
      <c r="L2086" s="9">
        <f>MAX($F$1959:F2086)</f>
        <v>1.3643</v>
      </c>
      <c r="M2086" s="11">
        <f t="shared" si="48"/>
        <v>0.000952869603459749</v>
      </c>
      <c r="N2086" s="9" t="s">
        <v>812</v>
      </c>
    </row>
    <row r="2087" ht="25" customHeight="1" spans="1:14">
      <c r="A2087" s="9" t="s">
        <v>371</v>
      </c>
      <c r="B2087" s="9" t="s">
        <v>370</v>
      </c>
      <c r="C2087" s="10">
        <v>45737</v>
      </c>
      <c r="D2087" s="15">
        <v>1.029</v>
      </c>
      <c r="E2087" s="15">
        <v>1.364</v>
      </c>
      <c r="F2087" s="15">
        <v>1.367</v>
      </c>
      <c r="G2087" s="11">
        <v>0.0029</v>
      </c>
      <c r="H2087" s="9">
        <f>MAX($F$1644:F2087)</f>
        <v>1.367</v>
      </c>
      <c r="I2087" s="11">
        <f t="shared" si="49"/>
        <v>0</v>
      </c>
      <c r="J2087" s="9"/>
      <c r="K2087" s="11"/>
      <c r="L2087" s="9">
        <f>MAX($F$1959:F2087)</f>
        <v>1.367</v>
      </c>
      <c r="M2087" s="11">
        <f t="shared" ref="M2087:M2150" si="50">1-F2087/L2087</f>
        <v>0</v>
      </c>
      <c r="N2087" s="9" t="s">
        <v>812</v>
      </c>
    </row>
    <row r="2088" ht="25" customHeight="1" spans="1:14">
      <c r="A2088" s="9" t="s">
        <v>371</v>
      </c>
      <c r="B2088" s="9" t="s">
        <v>370</v>
      </c>
      <c r="C2088" s="10">
        <v>45744</v>
      </c>
      <c r="D2088" s="15">
        <v>1.026</v>
      </c>
      <c r="E2088" s="15">
        <v>1.361</v>
      </c>
      <c r="F2088" s="15">
        <v>1.363</v>
      </c>
      <c r="G2088" s="11">
        <v>-0.0029</v>
      </c>
      <c r="H2088" s="9">
        <f>MAX($F$1644:F2088)</f>
        <v>1.367</v>
      </c>
      <c r="I2088" s="11">
        <f t="shared" si="49"/>
        <v>0.00292611558156552</v>
      </c>
      <c r="J2088" s="9"/>
      <c r="K2088" s="11"/>
      <c r="L2088" s="9">
        <f>MAX($F$1959:F2088)</f>
        <v>1.367</v>
      </c>
      <c r="M2088" s="11">
        <f t="shared" si="50"/>
        <v>0.00292611558156552</v>
      </c>
      <c r="N2088" s="9" t="s">
        <v>812</v>
      </c>
    </row>
    <row r="2089" ht="25" customHeight="1" spans="1:14">
      <c r="A2089" s="9" t="s">
        <v>371</v>
      </c>
      <c r="B2089" s="9" t="s">
        <v>370</v>
      </c>
      <c r="C2089" s="10">
        <v>45747</v>
      </c>
      <c r="D2089" s="15">
        <v>1.024</v>
      </c>
      <c r="E2089" s="15">
        <v>1.359</v>
      </c>
      <c r="F2089" s="15">
        <v>1.3603</v>
      </c>
      <c r="G2089" s="11">
        <v>-0.0019</v>
      </c>
      <c r="H2089" s="9">
        <f>MAX($F$1644:F2089)</f>
        <v>1.367</v>
      </c>
      <c r="I2089" s="11">
        <f t="shared" si="49"/>
        <v>0.00490124359912214</v>
      </c>
      <c r="J2089" s="9"/>
      <c r="K2089" s="11"/>
      <c r="L2089" s="9">
        <f>MAX($F$1959:F2089)</f>
        <v>1.367</v>
      </c>
      <c r="M2089" s="11">
        <f t="shared" si="50"/>
        <v>0.00490124359912214</v>
      </c>
      <c r="N2089" s="9" t="s">
        <v>812</v>
      </c>
    </row>
    <row r="2090" ht="25" customHeight="1" spans="1:14">
      <c r="A2090" s="9" t="s">
        <v>371</v>
      </c>
      <c r="B2090" s="9" t="s">
        <v>370</v>
      </c>
      <c r="C2090" s="10">
        <v>45750</v>
      </c>
      <c r="D2090" s="15">
        <v>1.021</v>
      </c>
      <c r="E2090" s="15">
        <v>1.356</v>
      </c>
      <c r="F2090" s="15">
        <v>1.3563</v>
      </c>
      <c r="G2090" s="11">
        <v>-0.0029</v>
      </c>
      <c r="H2090" s="9">
        <f>MAX($F$1644:F2090)</f>
        <v>1.367</v>
      </c>
      <c r="I2090" s="11">
        <f t="shared" si="49"/>
        <v>0.00782735918068755</v>
      </c>
      <c r="J2090" s="9"/>
      <c r="K2090" s="11"/>
      <c r="L2090" s="9">
        <f>MAX($F$1959:F2090)</f>
        <v>1.367</v>
      </c>
      <c r="M2090" s="11">
        <f t="shared" si="50"/>
        <v>0.00782735918068755</v>
      </c>
      <c r="N2090" s="9" t="s">
        <v>812</v>
      </c>
    </row>
    <row r="2091" ht="25" customHeight="1" spans="1:14">
      <c r="A2091" s="9" t="s">
        <v>371</v>
      </c>
      <c r="B2091" s="9" t="s">
        <v>370</v>
      </c>
      <c r="C2091" s="10">
        <v>45758</v>
      </c>
      <c r="D2091" s="15">
        <v>1.021</v>
      </c>
      <c r="E2091" s="15">
        <v>1.356</v>
      </c>
      <c r="F2091" s="15">
        <v>1.3563</v>
      </c>
      <c r="G2091" s="11">
        <v>0</v>
      </c>
      <c r="H2091" s="9">
        <f>MAX($F$1644:F2091)</f>
        <v>1.367</v>
      </c>
      <c r="I2091" s="11">
        <f t="shared" si="49"/>
        <v>0.00782735918068755</v>
      </c>
      <c r="J2091" s="9"/>
      <c r="K2091" s="11"/>
      <c r="L2091" s="9">
        <f>MAX($F$1959:F2091)</f>
        <v>1.367</v>
      </c>
      <c r="M2091" s="11">
        <f t="shared" si="50"/>
        <v>0.00782735918068755</v>
      </c>
      <c r="N2091" s="9" t="s">
        <v>812</v>
      </c>
    </row>
    <row r="2092" ht="25" customHeight="1" spans="1:14">
      <c r="A2092" s="9" t="s">
        <v>371</v>
      </c>
      <c r="B2092" s="9" t="s">
        <v>370</v>
      </c>
      <c r="C2092" s="10">
        <v>45765</v>
      </c>
      <c r="D2092" s="15">
        <v>1.02</v>
      </c>
      <c r="E2092" s="15">
        <v>1.355</v>
      </c>
      <c r="F2092" s="15">
        <v>1.355</v>
      </c>
      <c r="G2092" s="11">
        <v>-0.001</v>
      </c>
      <c r="H2092" s="9">
        <f>MAX($F$1644:F2092)</f>
        <v>1.367</v>
      </c>
      <c r="I2092" s="11">
        <f t="shared" si="49"/>
        <v>0.00877834674469646</v>
      </c>
      <c r="J2092" s="9"/>
      <c r="K2092" s="11"/>
      <c r="L2092" s="9">
        <f>MAX($F$1959:F2092)</f>
        <v>1.367</v>
      </c>
      <c r="M2092" s="11">
        <f t="shared" si="50"/>
        <v>0.00877834674469646</v>
      </c>
      <c r="N2092" s="9" t="s">
        <v>812</v>
      </c>
    </row>
    <row r="2093" ht="25" customHeight="1" spans="1:14">
      <c r="A2093" s="9" t="s">
        <v>371</v>
      </c>
      <c r="B2093" s="9" t="s">
        <v>370</v>
      </c>
      <c r="C2093" s="10">
        <v>45772</v>
      </c>
      <c r="D2093" s="15">
        <v>1.019</v>
      </c>
      <c r="E2093" s="15">
        <v>1.354</v>
      </c>
      <c r="F2093" s="15">
        <v>1.3537</v>
      </c>
      <c r="G2093" s="11">
        <v>-0.001</v>
      </c>
      <c r="H2093" s="9">
        <f>MAX($F$1644:F2093)</f>
        <v>1.367</v>
      </c>
      <c r="I2093" s="11">
        <f t="shared" si="49"/>
        <v>0.00972933430870526</v>
      </c>
      <c r="J2093" s="9"/>
      <c r="K2093" s="11"/>
      <c r="L2093" s="9">
        <f>MAX($F$1959:F2093)</f>
        <v>1.367</v>
      </c>
      <c r="M2093" s="11">
        <f t="shared" si="50"/>
        <v>0.00972933430870526</v>
      </c>
      <c r="N2093" s="9" t="s">
        <v>812</v>
      </c>
    </row>
    <row r="2094" ht="25" customHeight="1" spans="1:14">
      <c r="A2094" s="9" t="s">
        <v>371</v>
      </c>
      <c r="B2094" s="9" t="s">
        <v>370</v>
      </c>
      <c r="C2094" s="10">
        <v>45777</v>
      </c>
      <c r="D2094" s="15">
        <v>1.017</v>
      </c>
      <c r="E2094" s="15">
        <v>1.352</v>
      </c>
      <c r="F2094" s="15">
        <v>1.351</v>
      </c>
      <c r="G2094" s="11">
        <v>-0.002</v>
      </c>
      <c r="H2094" s="9">
        <f>MAX($F$1644:F2094)</f>
        <v>1.367</v>
      </c>
      <c r="I2094" s="11">
        <f t="shared" si="49"/>
        <v>0.0117044623262619</v>
      </c>
      <c r="J2094" s="9"/>
      <c r="K2094" s="11"/>
      <c r="L2094" s="9">
        <f>MAX($F$1959:F2094)</f>
        <v>1.367</v>
      </c>
      <c r="M2094" s="11">
        <f t="shared" si="50"/>
        <v>0.0117044623262619</v>
      </c>
      <c r="N2094" s="9" t="s">
        <v>812</v>
      </c>
    </row>
    <row r="2095" ht="25" customHeight="1" spans="1:14">
      <c r="A2095" s="9" t="s">
        <v>371</v>
      </c>
      <c r="B2095" s="9" t="s">
        <v>370</v>
      </c>
      <c r="C2095" s="10">
        <v>45786</v>
      </c>
      <c r="D2095" s="15">
        <v>1.021</v>
      </c>
      <c r="E2095" s="15">
        <v>1.356</v>
      </c>
      <c r="F2095" s="15">
        <v>1.3563</v>
      </c>
      <c r="G2095" s="11">
        <v>0.0039</v>
      </c>
      <c r="H2095" s="9">
        <f>MAX($F$1644:F2095)</f>
        <v>1.367</v>
      </c>
      <c r="I2095" s="11">
        <f t="shared" si="49"/>
        <v>0.00782735918068755</v>
      </c>
      <c r="J2095" s="9"/>
      <c r="K2095" s="11"/>
      <c r="L2095" s="9">
        <f>MAX($F$1959:F2095)</f>
        <v>1.367</v>
      </c>
      <c r="M2095" s="11">
        <f t="shared" si="50"/>
        <v>0.00782735918068755</v>
      </c>
      <c r="N2095" s="9" t="s">
        <v>812</v>
      </c>
    </row>
    <row r="2096" ht="25" customHeight="1" spans="1:14">
      <c r="A2096" s="9" t="s">
        <v>371</v>
      </c>
      <c r="B2096" s="9" t="s">
        <v>370</v>
      </c>
      <c r="C2096" s="10">
        <v>45793</v>
      </c>
      <c r="D2096" s="15">
        <v>1.02</v>
      </c>
      <c r="E2096" s="15">
        <v>1.355</v>
      </c>
      <c r="F2096" s="15">
        <v>1.355</v>
      </c>
      <c r="G2096" s="11">
        <v>-0.001</v>
      </c>
      <c r="H2096" s="9">
        <f>MAX($F$1644:F2096)</f>
        <v>1.367</v>
      </c>
      <c r="I2096" s="11">
        <f t="shared" si="49"/>
        <v>0.00877834674469646</v>
      </c>
      <c r="J2096" s="9"/>
      <c r="K2096" s="11"/>
      <c r="L2096" s="9">
        <f>MAX($F$1959:F2096)</f>
        <v>1.367</v>
      </c>
      <c r="M2096" s="11">
        <f t="shared" si="50"/>
        <v>0.00877834674469646</v>
      </c>
      <c r="N2096" s="9" t="s">
        <v>812</v>
      </c>
    </row>
    <row r="2097" ht="25" customHeight="1" spans="1:14">
      <c r="A2097" s="9" t="s">
        <v>371</v>
      </c>
      <c r="B2097" s="9" t="s">
        <v>370</v>
      </c>
      <c r="C2097" s="10">
        <v>45800</v>
      </c>
      <c r="D2097" s="15">
        <v>1.021</v>
      </c>
      <c r="E2097" s="15">
        <v>1.356</v>
      </c>
      <c r="F2097" s="15">
        <v>1.3563</v>
      </c>
      <c r="G2097" s="11">
        <v>0.001</v>
      </c>
      <c r="H2097" s="9">
        <f>MAX($F$1644:F2097)</f>
        <v>1.367</v>
      </c>
      <c r="I2097" s="11">
        <f t="shared" si="49"/>
        <v>0.00782735918068755</v>
      </c>
      <c r="J2097" s="9"/>
      <c r="K2097" s="11"/>
      <c r="L2097" s="9">
        <f>MAX($F$1959:F2097)</f>
        <v>1.367</v>
      </c>
      <c r="M2097" s="11">
        <f t="shared" si="50"/>
        <v>0.00782735918068755</v>
      </c>
      <c r="N2097" s="9" t="s">
        <v>812</v>
      </c>
    </row>
    <row r="2098" ht="25" customHeight="1" spans="1:14">
      <c r="A2098" s="9" t="s">
        <v>371</v>
      </c>
      <c r="B2098" s="9" t="s">
        <v>370</v>
      </c>
      <c r="C2098" s="10">
        <v>45807</v>
      </c>
      <c r="D2098" s="15">
        <v>1.019</v>
      </c>
      <c r="E2098" s="15">
        <v>1.354</v>
      </c>
      <c r="F2098" s="15">
        <v>1.3537</v>
      </c>
      <c r="G2098" s="11">
        <v>-0.002</v>
      </c>
      <c r="H2098" s="9">
        <f>MAX($F$1644:F2098)</f>
        <v>1.367</v>
      </c>
      <c r="I2098" s="11">
        <f t="shared" si="49"/>
        <v>0.00972933430870526</v>
      </c>
      <c r="J2098" s="9"/>
      <c r="K2098" s="11"/>
      <c r="L2098" s="9">
        <f>MAX($F$1959:F2098)</f>
        <v>1.367</v>
      </c>
      <c r="M2098" s="11">
        <f t="shared" si="50"/>
        <v>0.00972933430870526</v>
      </c>
      <c r="N2098" s="9" t="s">
        <v>812</v>
      </c>
    </row>
    <row r="2099" ht="25" customHeight="1" spans="1:14">
      <c r="A2099" s="9" t="s">
        <v>371</v>
      </c>
      <c r="B2099" s="9" t="s">
        <v>370</v>
      </c>
      <c r="C2099" s="10">
        <v>45814</v>
      </c>
      <c r="D2099" s="15">
        <v>1.021</v>
      </c>
      <c r="E2099" s="15">
        <v>1.356</v>
      </c>
      <c r="F2099" s="15">
        <v>1.3563</v>
      </c>
      <c r="G2099" s="11">
        <v>0.002</v>
      </c>
      <c r="H2099" s="9">
        <f>MAX($F$1644:F2099)</f>
        <v>1.367</v>
      </c>
      <c r="I2099" s="11">
        <f t="shared" si="49"/>
        <v>0.00782735918068755</v>
      </c>
      <c r="J2099" s="9"/>
      <c r="K2099" s="11"/>
      <c r="L2099" s="9">
        <f>MAX($F$1959:F2099)</f>
        <v>1.367</v>
      </c>
      <c r="M2099" s="11">
        <f t="shared" si="50"/>
        <v>0.00782735918068755</v>
      </c>
      <c r="N2099" s="9" t="s">
        <v>812</v>
      </c>
    </row>
    <row r="2100" ht="25" customHeight="1" spans="1:14">
      <c r="A2100" s="9" t="s">
        <v>371</v>
      </c>
      <c r="B2100" s="9" t="s">
        <v>370</v>
      </c>
      <c r="C2100" s="10">
        <v>45821</v>
      </c>
      <c r="D2100" s="15">
        <v>1.02</v>
      </c>
      <c r="E2100" s="15">
        <v>1.355</v>
      </c>
      <c r="F2100" s="15">
        <v>1.355</v>
      </c>
      <c r="G2100" s="11">
        <v>-0.001</v>
      </c>
      <c r="H2100" s="9">
        <f>MAX($F$1644:F2100)</f>
        <v>1.367</v>
      </c>
      <c r="I2100" s="11">
        <f t="shared" si="49"/>
        <v>0.00877834674469646</v>
      </c>
      <c r="J2100" s="9"/>
      <c r="K2100" s="11"/>
      <c r="L2100" s="9">
        <f>MAX($F$1959:F2100)</f>
        <v>1.367</v>
      </c>
      <c r="M2100" s="11">
        <f t="shared" si="50"/>
        <v>0.00877834674469646</v>
      </c>
      <c r="N2100" s="9" t="s">
        <v>812</v>
      </c>
    </row>
    <row r="2101" ht="25" customHeight="1" spans="1:14">
      <c r="A2101" s="9" t="s">
        <v>371</v>
      </c>
      <c r="B2101" s="9" t="s">
        <v>370</v>
      </c>
      <c r="C2101" s="10">
        <v>45828</v>
      </c>
      <c r="D2101" s="15">
        <v>1.022</v>
      </c>
      <c r="E2101" s="15">
        <v>1.357</v>
      </c>
      <c r="F2101" s="15">
        <v>1.3577</v>
      </c>
      <c r="G2101" s="11">
        <v>0.002</v>
      </c>
      <c r="H2101" s="9">
        <f>MAX($F$1644:F2101)</f>
        <v>1.367</v>
      </c>
      <c r="I2101" s="11">
        <f t="shared" si="49"/>
        <v>0.00680321872713974</v>
      </c>
      <c r="J2101" s="9"/>
      <c r="K2101" s="11"/>
      <c r="L2101" s="9">
        <f>MAX($F$1959:F2101)</f>
        <v>1.367</v>
      </c>
      <c r="M2101" s="11">
        <f t="shared" si="50"/>
        <v>0.00680321872713974</v>
      </c>
      <c r="N2101" s="9" t="s">
        <v>812</v>
      </c>
    </row>
    <row r="2102" ht="25" customHeight="1" spans="1:14">
      <c r="A2102" s="9" t="s">
        <v>371</v>
      </c>
      <c r="B2102" s="9" t="s">
        <v>370</v>
      </c>
      <c r="C2102" s="10">
        <v>45835</v>
      </c>
      <c r="D2102" s="15">
        <v>1.026</v>
      </c>
      <c r="E2102" s="15">
        <v>1.361</v>
      </c>
      <c r="F2102" s="15">
        <v>1.363</v>
      </c>
      <c r="G2102" s="11">
        <v>0.0039</v>
      </c>
      <c r="H2102" s="9">
        <f>MAX($F$1644:F2102)</f>
        <v>1.367</v>
      </c>
      <c r="I2102" s="11">
        <f t="shared" si="49"/>
        <v>0.00292611558156552</v>
      </c>
      <c r="J2102" s="9"/>
      <c r="K2102" s="11"/>
      <c r="L2102" s="9">
        <f>MAX($F$1959:F2102)</f>
        <v>1.367</v>
      </c>
      <c r="M2102" s="11">
        <f t="shared" si="50"/>
        <v>0.00292611558156552</v>
      </c>
      <c r="N2102" s="9" t="s">
        <v>812</v>
      </c>
    </row>
    <row r="2103" ht="25" customHeight="1" spans="1:14">
      <c r="A2103" s="9" t="s">
        <v>371</v>
      </c>
      <c r="B2103" s="9" t="s">
        <v>370</v>
      </c>
      <c r="C2103" s="10">
        <v>45838</v>
      </c>
      <c r="D2103" s="15">
        <v>1.028</v>
      </c>
      <c r="E2103" s="15">
        <v>1.363</v>
      </c>
      <c r="F2103" s="15">
        <v>1.3656</v>
      </c>
      <c r="G2103" s="11">
        <v>0.0019</v>
      </c>
      <c r="H2103" s="9">
        <f>MAX($F$1644:F2103)</f>
        <v>1.367</v>
      </c>
      <c r="I2103" s="11">
        <f t="shared" si="49"/>
        <v>0.00102414045354793</v>
      </c>
      <c r="J2103" s="9"/>
      <c r="K2103" s="11"/>
      <c r="L2103" s="9">
        <f>MAX($F$1959:F2103)</f>
        <v>1.367</v>
      </c>
      <c r="M2103" s="11">
        <f t="shared" si="50"/>
        <v>0.00102414045354793</v>
      </c>
      <c r="N2103" s="9" t="s">
        <v>812</v>
      </c>
    </row>
    <row r="2104" ht="25" customHeight="1" spans="1:14">
      <c r="A2104" s="9" t="s">
        <v>371</v>
      </c>
      <c r="B2104" s="9" t="s">
        <v>370</v>
      </c>
      <c r="C2104" s="10">
        <v>45842</v>
      </c>
      <c r="D2104" s="15">
        <v>1.026</v>
      </c>
      <c r="E2104" s="15">
        <v>1.361</v>
      </c>
      <c r="F2104" s="15">
        <v>1.363</v>
      </c>
      <c r="G2104" s="11">
        <v>-0.0019</v>
      </c>
      <c r="H2104" s="9">
        <f>MAX($F$1644:F2104)</f>
        <v>1.367</v>
      </c>
      <c r="I2104" s="11">
        <f t="shared" si="49"/>
        <v>0.00292611558156552</v>
      </c>
      <c r="J2104" s="9"/>
      <c r="K2104" s="11"/>
      <c r="L2104" s="9">
        <f>MAX($F$1959:F2104)</f>
        <v>1.367</v>
      </c>
      <c r="M2104" s="11">
        <f t="shared" si="50"/>
        <v>0.00292611558156552</v>
      </c>
      <c r="N2104" s="9" t="s">
        <v>812</v>
      </c>
    </row>
    <row r="2105" ht="25" customHeight="1" spans="1:14">
      <c r="A2105" s="9" t="s">
        <v>371</v>
      </c>
      <c r="B2105" s="9" t="s">
        <v>370</v>
      </c>
      <c r="C2105" s="10">
        <v>45849</v>
      </c>
      <c r="D2105" s="15">
        <v>1.027</v>
      </c>
      <c r="E2105" s="15">
        <v>1.362</v>
      </c>
      <c r="F2105" s="15">
        <v>1.3643</v>
      </c>
      <c r="G2105" s="11">
        <v>0.001</v>
      </c>
      <c r="H2105" s="9">
        <f>MAX($F$1644:F2105)</f>
        <v>1.367</v>
      </c>
      <c r="I2105" s="11">
        <f t="shared" si="49"/>
        <v>0.00197512801755662</v>
      </c>
      <c r="J2105" s="9"/>
      <c r="K2105" s="11"/>
      <c r="L2105" s="9">
        <f>MAX($F$1959:F2105)</f>
        <v>1.367</v>
      </c>
      <c r="M2105" s="11">
        <f t="shared" si="50"/>
        <v>0.00197512801755662</v>
      </c>
      <c r="N2105" s="9" t="s">
        <v>812</v>
      </c>
    </row>
    <row r="2106" ht="25" customHeight="1" spans="1:14">
      <c r="A2106" s="9" t="s">
        <v>371</v>
      </c>
      <c r="B2106" s="9" t="s">
        <v>370</v>
      </c>
      <c r="C2106" s="10">
        <v>45856</v>
      </c>
      <c r="D2106" s="15">
        <v>1.028</v>
      </c>
      <c r="E2106" s="15">
        <v>1.363</v>
      </c>
      <c r="F2106" s="15">
        <v>1.3656</v>
      </c>
      <c r="G2106" s="11">
        <v>0.001</v>
      </c>
      <c r="H2106" s="9">
        <f>MAX($F$1644:F2106)</f>
        <v>1.367</v>
      </c>
      <c r="I2106" s="11">
        <f t="shared" si="49"/>
        <v>0.00102414045354793</v>
      </c>
      <c r="J2106" s="9"/>
      <c r="K2106" s="11"/>
      <c r="L2106" s="9">
        <f>MAX($F$1959:F2106)</f>
        <v>1.367</v>
      </c>
      <c r="M2106" s="11">
        <f t="shared" si="50"/>
        <v>0.00102414045354793</v>
      </c>
      <c r="N2106" s="9" t="s">
        <v>812</v>
      </c>
    </row>
    <row r="2107" ht="25" customHeight="1" spans="1:14">
      <c r="A2107" s="9" t="s">
        <v>371</v>
      </c>
      <c r="B2107" s="9" t="s">
        <v>370</v>
      </c>
      <c r="C2107" s="10">
        <v>45863</v>
      </c>
      <c r="D2107" s="15">
        <v>1.024</v>
      </c>
      <c r="E2107" s="15">
        <v>1.359</v>
      </c>
      <c r="F2107" s="15">
        <v>1.3603</v>
      </c>
      <c r="G2107" s="11">
        <v>-0.0039</v>
      </c>
      <c r="H2107" s="9">
        <f>MAX($F$1644:F2107)</f>
        <v>1.367</v>
      </c>
      <c r="I2107" s="11">
        <f t="shared" si="49"/>
        <v>0.00490124359912214</v>
      </c>
      <c r="J2107" s="9"/>
      <c r="K2107" s="11"/>
      <c r="L2107" s="9">
        <f>MAX($F$1959:F2107)</f>
        <v>1.367</v>
      </c>
      <c r="M2107" s="11">
        <f t="shared" si="50"/>
        <v>0.00490124359912214</v>
      </c>
      <c r="N2107" s="9" t="s">
        <v>812</v>
      </c>
    </row>
    <row r="2108" ht="25" customHeight="1" spans="1:14">
      <c r="A2108" s="9" t="s">
        <v>371</v>
      </c>
      <c r="B2108" s="9" t="s">
        <v>370</v>
      </c>
      <c r="C2108" s="10">
        <v>45869</v>
      </c>
      <c r="D2108" s="15">
        <v>1.022</v>
      </c>
      <c r="E2108" s="15">
        <v>1.357</v>
      </c>
      <c r="F2108" s="15">
        <v>1.3577</v>
      </c>
      <c r="G2108" s="11">
        <v>-0.002</v>
      </c>
      <c r="H2108" s="9">
        <f>MAX($F$1644:F2108)</f>
        <v>1.367</v>
      </c>
      <c r="I2108" s="11">
        <f t="shared" si="49"/>
        <v>0.00680321872713974</v>
      </c>
      <c r="J2108" s="9"/>
      <c r="K2108" s="11"/>
      <c r="L2108" s="9">
        <f>MAX($F$1959:F2108)</f>
        <v>1.367</v>
      </c>
      <c r="M2108" s="11">
        <f t="shared" si="50"/>
        <v>0.00680321872713974</v>
      </c>
      <c r="N2108" s="9" t="s">
        <v>812</v>
      </c>
    </row>
    <row r="2109" ht="25" customHeight="1" spans="1:14">
      <c r="A2109" s="9" t="s">
        <v>371</v>
      </c>
      <c r="B2109" s="9" t="s">
        <v>370</v>
      </c>
      <c r="C2109" s="10">
        <v>45870</v>
      </c>
      <c r="D2109" s="15">
        <v>1.024</v>
      </c>
      <c r="E2109" s="15">
        <v>1.359</v>
      </c>
      <c r="F2109" s="15">
        <v>1.3603</v>
      </c>
      <c r="G2109" s="11">
        <v>0.002</v>
      </c>
      <c r="H2109" s="9">
        <f>MAX($F$1644:F2109)</f>
        <v>1.367</v>
      </c>
      <c r="I2109" s="11">
        <f t="shared" si="49"/>
        <v>0.00490124359912214</v>
      </c>
      <c r="J2109" s="9"/>
      <c r="K2109" s="11"/>
      <c r="L2109" s="9">
        <f>MAX($F$1959:F2109)</f>
        <v>1.367</v>
      </c>
      <c r="M2109" s="11">
        <f t="shared" si="50"/>
        <v>0.00490124359912214</v>
      </c>
      <c r="N2109" s="9" t="s">
        <v>812</v>
      </c>
    </row>
    <row r="2110" ht="25" customHeight="1" spans="1:14">
      <c r="A2110" s="9" t="s">
        <v>371</v>
      </c>
      <c r="B2110" s="9" t="s">
        <v>370</v>
      </c>
      <c r="C2110" s="10">
        <v>45877</v>
      </c>
      <c r="D2110" s="15">
        <v>1.031</v>
      </c>
      <c r="E2110" s="15">
        <v>1.366</v>
      </c>
      <c r="F2110" s="15">
        <v>1.3696</v>
      </c>
      <c r="G2110" s="11">
        <v>0.0068</v>
      </c>
      <c r="H2110" s="9">
        <f>MAX($F$1644:F2110)</f>
        <v>1.3696</v>
      </c>
      <c r="I2110" s="11">
        <f t="shared" si="49"/>
        <v>0</v>
      </c>
      <c r="J2110" s="9"/>
      <c r="K2110" s="11"/>
      <c r="L2110" s="9">
        <f>MAX($F$1959:F2110)</f>
        <v>1.3696</v>
      </c>
      <c r="M2110" s="11">
        <f t="shared" si="50"/>
        <v>0</v>
      </c>
      <c r="N2110" s="9" t="s">
        <v>812</v>
      </c>
    </row>
    <row r="2111" ht="25" customHeight="1" spans="1:14">
      <c r="A2111" s="9" t="s">
        <v>371</v>
      </c>
      <c r="B2111" s="9" t="s">
        <v>370</v>
      </c>
      <c r="C2111" s="10">
        <v>45884</v>
      </c>
      <c r="D2111" s="15">
        <v>1.028</v>
      </c>
      <c r="E2111" s="15">
        <v>1.363</v>
      </c>
      <c r="F2111" s="15">
        <v>1.3656</v>
      </c>
      <c r="G2111" s="11">
        <v>-0.0029</v>
      </c>
      <c r="H2111" s="9">
        <f>MAX($F$1644:F2111)</f>
        <v>1.3696</v>
      </c>
      <c r="I2111" s="11">
        <f t="shared" si="49"/>
        <v>0.00292056074766356</v>
      </c>
      <c r="J2111" s="9"/>
      <c r="K2111" s="11"/>
      <c r="L2111" s="9">
        <f>MAX($F$1959:F2111)</f>
        <v>1.3696</v>
      </c>
      <c r="M2111" s="11">
        <f t="shared" si="50"/>
        <v>0.00292056074766356</v>
      </c>
      <c r="N2111" s="9" t="s">
        <v>812</v>
      </c>
    </row>
    <row r="2112" ht="25" customHeight="1" spans="1:14">
      <c r="A2112" s="9" t="s">
        <v>371</v>
      </c>
      <c r="B2112" s="9" t="s">
        <v>370</v>
      </c>
      <c r="C2112" s="10">
        <v>45891</v>
      </c>
      <c r="D2112" s="15">
        <v>1.029</v>
      </c>
      <c r="E2112" s="15">
        <v>1.364</v>
      </c>
      <c r="F2112" s="15">
        <v>1.367</v>
      </c>
      <c r="G2112" s="11">
        <v>0.001</v>
      </c>
      <c r="H2112" s="9">
        <f>MAX($F$1644:F2112)</f>
        <v>1.3696</v>
      </c>
      <c r="I2112" s="11">
        <f t="shared" si="49"/>
        <v>0.00189836448598124</v>
      </c>
      <c r="J2112" s="9"/>
      <c r="K2112" s="11"/>
      <c r="L2112" s="9">
        <f>MAX($F$1959:F2112)</f>
        <v>1.3696</v>
      </c>
      <c r="M2112" s="11">
        <f t="shared" si="50"/>
        <v>0.00189836448598124</v>
      </c>
      <c r="N2112" s="9" t="s">
        <v>812</v>
      </c>
    </row>
    <row r="2113" ht="25" customHeight="1" spans="1:14">
      <c r="A2113" s="9" t="s">
        <v>371</v>
      </c>
      <c r="B2113" s="9" t="s">
        <v>370</v>
      </c>
      <c r="C2113" s="10">
        <v>45898</v>
      </c>
      <c r="D2113" s="15">
        <v>1.022</v>
      </c>
      <c r="E2113" s="15">
        <v>1.357</v>
      </c>
      <c r="F2113" s="15">
        <v>1.3577</v>
      </c>
      <c r="G2113" s="11">
        <v>-0.0068</v>
      </c>
      <c r="H2113" s="9">
        <f>MAX($F$1644:F2113)</f>
        <v>1.3696</v>
      </c>
      <c r="I2113" s="11">
        <f t="shared" si="49"/>
        <v>0.00868866822429903</v>
      </c>
      <c r="J2113" s="9">
        <f>MAX($F$2113:F2113)</f>
        <v>1.3577</v>
      </c>
      <c r="K2113" s="11">
        <f t="shared" ref="K2113:K2173" si="51">1-F2113/J2113</f>
        <v>0</v>
      </c>
      <c r="L2113" s="9">
        <f>MAX($F$1959:F2113)</f>
        <v>1.3696</v>
      </c>
      <c r="M2113" s="11">
        <f t="shared" si="50"/>
        <v>0.00868866822429903</v>
      </c>
      <c r="N2113" s="9" t="s">
        <v>812</v>
      </c>
    </row>
    <row r="2114" ht="25" customHeight="1" spans="1:14">
      <c r="A2114" s="9" t="s">
        <v>371</v>
      </c>
      <c r="B2114" s="9" t="s">
        <v>370</v>
      </c>
      <c r="C2114" s="10">
        <v>45905</v>
      </c>
      <c r="D2114" s="15">
        <v>1.035</v>
      </c>
      <c r="E2114" s="15">
        <v>1.37</v>
      </c>
      <c r="F2114" s="15">
        <v>1.3749</v>
      </c>
      <c r="G2114" s="11">
        <v>0.0127</v>
      </c>
      <c r="H2114" s="9">
        <f>MAX($F$1644:F2114)</f>
        <v>1.3749</v>
      </c>
      <c r="I2114" s="11">
        <f t="shared" ref="I2114:I2177" si="52">1-F2114/H2114</f>
        <v>0</v>
      </c>
      <c r="J2114" s="9">
        <f>MAX($F$2113:F2114)</f>
        <v>1.3749</v>
      </c>
      <c r="K2114" s="11">
        <f t="shared" si="51"/>
        <v>0</v>
      </c>
      <c r="L2114" s="9">
        <f>MAX($F$1959:F2114)</f>
        <v>1.3749</v>
      </c>
      <c r="M2114" s="11">
        <f t="shared" si="50"/>
        <v>0</v>
      </c>
      <c r="N2114" s="9" t="s">
        <v>812</v>
      </c>
    </row>
    <row r="2115" ht="25" customHeight="1" spans="1:14">
      <c r="A2115" s="9" t="s">
        <v>371</v>
      </c>
      <c r="B2115" s="9" t="s">
        <v>370</v>
      </c>
      <c r="C2115" s="10">
        <v>45912</v>
      </c>
      <c r="D2115" s="15">
        <v>1.047</v>
      </c>
      <c r="E2115" s="15">
        <v>1.382</v>
      </c>
      <c r="F2115" s="15">
        <v>1.3909</v>
      </c>
      <c r="G2115" s="11">
        <v>0.0116</v>
      </c>
      <c r="H2115" s="9">
        <f>MAX($F$1644:F2115)</f>
        <v>1.3909</v>
      </c>
      <c r="I2115" s="11">
        <f t="shared" si="52"/>
        <v>0</v>
      </c>
      <c r="J2115" s="9">
        <f>MAX($F$2113:F2115)</f>
        <v>1.3909</v>
      </c>
      <c r="K2115" s="11">
        <f t="shared" si="51"/>
        <v>0</v>
      </c>
      <c r="L2115" s="9">
        <f>MAX($F$1959:F2115)</f>
        <v>1.3909</v>
      </c>
      <c r="M2115" s="11">
        <f t="shared" si="50"/>
        <v>0</v>
      </c>
      <c r="N2115" s="9" t="s">
        <v>812</v>
      </c>
    </row>
    <row r="2116" ht="25" customHeight="1" spans="1:14">
      <c r="A2116" s="9" t="s">
        <v>371</v>
      </c>
      <c r="B2116" s="9" t="s">
        <v>370</v>
      </c>
      <c r="C2116" s="10">
        <v>45919</v>
      </c>
      <c r="D2116" s="15">
        <v>1.043</v>
      </c>
      <c r="E2116" s="15">
        <v>1.378</v>
      </c>
      <c r="F2116" s="15">
        <v>1.3856</v>
      </c>
      <c r="G2116" s="11">
        <v>-0.0038</v>
      </c>
      <c r="H2116" s="9">
        <f>MAX($F$1644:F2116)</f>
        <v>1.3909</v>
      </c>
      <c r="I2116" s="11">
        <f t="shared" si="52"/>
        <v>0.00381048242145376</v>
      </c>
      <c r="J2116" s="9">
        <f>MAX($F$2113:F2116)</f>
        <v>1.3909</v>
      </c>
      <c r="K2116" s="11">
        <f t="shared" si="51"/>
        <v>0.00381048242145376</v>
      </c>
      <c r="L2116" s="9">
        <f>MAX($F$1959:F2116)</f>
        <v>1.3909</v>
      </c>
      <c r="M2116" s="11">
        <f t="shared" si="50"/>
        <v>0.00381048242145376</v>
      </c>
      <c r="N2116" s="9" t="s">
        <v>812</v>
      </c>
    </row>
    <row r="2117" ht="25" customHeight="1" spans="1:14">
      <c r="A2117" s="9" t="s">
        <v>371</v>
      </c>
      <c r="B2117" s="9" t="s">
        <v>370</v>
      </c>
      <c r="C2117" s="10">
        <v>45926</v>
      </c>
      <c r="D2117" s="15">
        <v>1.046</v>
      </c>
      <c r="E2117" s="15">
        <v>1.381</v>
      </c>
      <c r="F2117" s="15">
        <v>1.3895</v>
      </c>
      <c r="G2117" s="11">
        <v>0.0029</v>
      </c>
      <c r="H2117" s="9">
        <f>MAX($F$1644:F2117)</f>
        <v>1.3909</v>
      </c>
      <c r="I2117" s="11">
        <f t="shared" si="52"/>
        <v>0.00100654252642174</v>
      </c>
      <c r="J2117" s="9">
        <f>MAX($F$2113:F2117)</f>
        <v>1.3909</v>
      </c>
      <c r="K2117" s="11">
        <f t="shared" si="51"/>
        <v>0.00100654252642174</v>
      </c>
      <c r="L2117" s="9">
        <f>MAX($F$1959:F2117)</f>
        <v>1.3909</v>
      </c>
      <c r="M2117" s="11">
        <f t="shared" si="50"/>
        <v>0.00100654252642174</v>
      </c>
      <c r="N2117" s="9" t="s">
        <v>812</v>
      </c>
    </row>
    <row r="2118" ht="25" customHeight="1" spans="1:14">
      <c r="A2118" s="9" t="s">
        <v>371</v>
      </c>
      <c r="B2118" s="9" t="s">
        <v>370</v>
      </c>
      <c r="C2118" s="10">
        <v>45930</v>
      </c>
      <c r="D2118" s="15">
        <v>1.052</v>
      </c>
      <c r="E2118" s="15">
        <v>1.387</v>
      </c>
      <c r="F2118" s="15">
        <v>1.3975</v>
      </c>
      <c r="G2118" s="11">
        <v>0.0057</v>
      </c>
      <c r="H2118" s="9">
        <f>MAX($F$1644:F2118)</f>
        <v>1.3975</v>
      </c>
      <c r="I2118" s="11">
        <f t="shared" si="52"/>
        <v>0</v>
      </c>
      <c r="J2118" s="9">
        <f>MAX($F$2113:F2118)</f>
        <v>1.3975</v>
      </c>
      <c r="K2118" s="11">
        <f t="shared" si="51"/>
        <v>0</v>
      </c>
      <c r="L2118" s="9">
        <f>MAX($F$1959:F2118)</f>
        <v>1.3975</v>
      </c>
      <c r="M2118" s="11">
        <f t="shared" si="50"/>
        <v>0</v>
      </c>
      <c r="N2118" s="9" t="s">
        <v>812</v>
      </c>
    </row>
    <row r="2119" ht="25" customHeight="1" spans="1:14">
      <c r="A2119" s="9" t="s">
        <v>371</v>
      </c>
      <c r="B2119" s="9" t="s">
        <v>370</v>
      </c>
      <c r="C2119" s="10">
        <v>45940</v>
      </c>
      <c r="D2119" s="15">
        <v>1.056</v>
      </c>
      <c r="E2119" s="15">
        <v>1.391</v>
      </c>
      <c r="F2119" s="15">
        <v>1.4028</v>
      </c>
      <c r="G2119" s="11">
        <v>0.0038</v>
      </c>
      <c r="H2119" s="9">
        <f>MAX($F$1644:F2119)</f>
        <v>1.4028</v>
      </c>
      <c r="I2119" s="11">
        <f t="shared" si="52"/>
        <v>0</v>
      </c>
      <c r="J2119" s="9">
        <f>MAX($F$2113:F2119)</f>
        <v>1.4028</v>
      </c>
      <c r="K2119" s="11">
        <f t="shared" si="51"/>
        <v>0</v>
      </c>
      <c r="L2119" s="9">
        <f>MAX($F$1959:F2119)</f>
        <v>1.4028</v>
      </c>
      <c r="M2119" s="11">
        <f t="shared" si="50"/>
        <v>0</v>
      </c>
      <c r="N2119" s="9" t="s">
        <v>812</v>
      </c>
    </row>
    <row r="2120" ht="25" customHeight="1" spans="1:14">
      <c r="A2120" s="9" t="s">
        <v>371</v>
      </c>
      <c r="B2120" s="9" t="s">
        <v>370</v>
      </c>
      <c r="C2120" s="10">
        <v>45947</v>
      </c>
      <c r="D2120" s="15">
        <v>1.059</v>
      </c>
      <c r="E2120" s="15">
        <v>1.394</v>
      </c>
      <c r="F2120" s="15">
        <v>1.4068</v>
      </c>
      <c r="G2120" s="11">
        <v>0.0028</v>
      </c>
      <c r="H2120" s="9">
        <f>MAX($F$1644:F2120)</f>
        <v>1.4068</v>
      </c>
      <c r="I2120" s="11">
        <f t="shared" si="52"/>
        <v>0</v>
      </c>
      <c r="J2120" s="9">
        <f>MAX($F$2113:F2120)</f>
        <v>1.4068</v>
      </c>
      <c r="K2120" s="11">
        <f t="shared" si="51"/>
        <v>0</v>
      </c>
      <c r="L2120" s="9">
        <f>MAX($F$1959:F2120)</f>
        <v>1.4068</v>
      </c>
      <c r="M2120" s="11">
        <f t="shared" si="50"/>
        <v>0</v>
      </c>
      <c r="N2120" s="9" t="s">
        <v>812</v>
      </c>
    </row>
    <row r="2121" ht="25" customHeight="1" spans="1:14">
      <c r="A2121" s="9" t="s">
        <v>371</v>
      </c>
      <c r="B2121" s="9" t="s">
        <v>370</v>
      </c>
      <c r="C2121" s="10">
        <v>45954</v>
      </c>
      <c r="D2121" s="15">
        <v>1.056</v>
      </c>
      <c r="E2121" s="15">
        <v>1.391</v>
      </c>
      <c r="F2121" s="15">
        <v>1.4028</v>
      </c>
      <c r="G2121" s="11">
        <v>-0.0028</v>
      </c>
      <c r="H2121" s="9">
        <f>MAX($F$1644:F2121)</f>
        <v>1.4068</v>
      </c>
      <c r="I2121" s="11">
        <f t="shared" si="52"/>
        <v>0.0028433323855559</v>
      </c>
      <c r="J2121" s="9">
        <f>MAX($F$2113:F2121)</f>
        <v>1.4068</v>
      </c>
      <c r="K2121" s="11">
        <f t="shared" si="51"/>
        <v>0.0028433323855559</v>
      </c>
      <c r="L2121" s="9">
        <f>MAX($F$1959:F2121)</f>
        <v>1.4068</v>
      </c>
      <c r="M2121" s="11">
        <f t="shared" si="50"/>
        <v>0.0028433323855559</v>
      </c>
      <c r="N2121" s="9" t="s">
        <v>812</v>
      </c>
    </row>
    <row r="2122" ht="25" customHeight="1" spans="1:14">
      <c r="A2122" s="9" t="s">
        <v>371</v>
      </c>
      <c r="B2122" s="9" t="s">
        <v>370</v>
      </c>
      <c r="C2122" s="10">
        <v>45961</v>
      </c>
      <c r="D2122" s="15">
        <v>1.053</v>
      </c>
      <c r="E2122" s="15">
        <v>1.388</v>
      </c>
      <c r="F2122" s="15">
        <v>1.3988</v>
      </c>
      <c r="G2122" s="11">
        <v>-0.0028</v>
      </c>
      <c r="H2122" s="9">
        <f>MAX($F$1644:F2122)</f>
        <v>1.4068</v>
      </c>
      <c r="I2122" s="11">
        <f t="shared" si="52"/>
        <v>0.00568666477111179</v>
      </c>
      <c r="J2122" s="9">
        <f>MAX($F$2113:F2122)</f>
        <v>1.4068</v>
      </c>
      <c r="K2122" s="11">
        <f t="shared" si="51"/>
        <v>0.00568666477111179</v>
      </c>
      <c r="L2122" s="9">
        <f>MAX($F$1959:F2122)</f>
        <v>1.4068</v>
      </c>
      <c r="M2122" s="11">
        <f t="shared" si="50"/>
        <v>0.00568666477111179</v>
      </c>
      <c r="N2122" s="9" t="s">
        <v>812</v>
      </c>
    </row>
    <row r="2123" ht="25" customHeight="1" spans="1:14">
      <c r="A2123" s="9" t="s">
        <v>371</v>
      </c>
      <c r="B2123" s="9" t="s">
        <v>370</v>
      </c>
      <c r="C2123" s="10">
        <v>45968</v>
      </c>
      <c r="D2123" s="15">
        <v>1.057</v>
      </c>
      <c r="E2123" s="15">
        <v>1.392</v>
      </c>
      <c r="F2123" s="15">
        <v>1.4042</v>
      </c>
      <c r="G2123" s="11">
        <v>0.0038</v>
      </c>
      <c r="H2123" s="9">
        <f>MAX($F$1644:F2123)</f>
        <v>1.4068</v>
      </c>
      <c r="I2123" s="11">
        <f t="shared" si="52"/>
        <v>0.00184816605061144</v>
      </c>
      <c r="J2123" s="9">
        <f>MAX($F$2113:F2123)</f>
        <v>1.4068</v>
      </c>
      <c r="K2123" s="11">
        <f t="shared" si="51"/>
        <v>0.00184816605061144</v>
      </c>
      <c r="L2123" s="9">
        <f>MAX($F$1959:F2123)</f>
        <v>1.4068</v>
      </c>
      <c r="M2123" s="11">
        <f t="shared" si="50"/>
        <v>0.00184816605061144</v>
      </c>
      <c r="N2123" s="9" t="s">
        <v>812</v>
      </c>
    </row>
    <row r="2124" ht="25" customHeight="1" spans="1:14">
      <c r="A2124" s="9" t="s">
        <v>371</v>
      </c>
      <c r="B2124" s="9" t="s">
        <v>370</v>
      </c>
      <c r="C2124" s="10">
        <v>45975</v>
      </c>
      <c r="D2124" s="15">
        <v>1.06</v>
      </c>
      <c r="E2124" s="15">
        <v>1.395</v>
      </c>
      <c r="F2124" s="15">
        <v>1.4081</v>
      </c>
      <c r="G2124" s="11">
        <v>0.0028</v>
      </c>
      <c r="H2124" s="9">
        <f>MAX($F$1644:F2124)</f>
        <v>1.4081</v>
      </c>
      <c r="I2124" s="11">
        <f t="shared" si="52"/>
        <v>0</v>
      </c>
      <c r="J2124" s="9">
        <f>MAX($F$2113:F2124)</f>
        <v>1.4081</v>
      </c>
      <c r="K2124" s="11">
        <f t="shared" si="51"/>
        <v>0</v>
      </c>
      <c r="L2124" s="9">
        <f>MAX($F$1959:F2124)</f>
        <v>1.4081</v>
      </c>
      <c r="M2124" s="11">
        <f t="shared" si="50"/>
        <v>0</v>
      </c>
      <c r="N2124" s="9" t="s">
        <v>812</v>
      </c>
    </row>
    <row r="2125" ht="25" customHeight="1" spans="1:14">
      <c r="A2125" s="9" t="s">
        <v>371</v>
      </c>
      <c r="B2125" s="9" t="s">
        <v>370</v>
      </c>
      <c r="C2125" s="10">
        <v>45982</v>
      </c>
      <c r="D2125" s="15">
        <v>1.058</v>
      </c>
      <c r="E2125" s="15">
        <v>1.393</v>
      </c>
      <c r="F2125" s="15">
        <v>1.4055</v>
      </c>
      <c r="G2125" s="11">
        <v>-0.0019</v>
      </c>
      <c r="H2125" s="9">
        <f>MAX($F$1644:F2125)</f>
        <v>1.4081</v>
      </c>
      <c r="I2125" s="11">
        <f t="shared" si="52"/>
        <v>0.0018464597684823</v>
      </c>
      <c r="J2125" s="9">
        <f>MAX($F$2113:F2125)</f>
        <v>1.4081</v>
      </c>
      <c r="K2125" s="11">
        <f t="shared" si="51"/>
        <v>0.0018464597684823</v>
      </c>
      <c r="L2125" s="9">
        <f>MAX($F$1959:F2125)</f>
        <v>1.4081</v>
      </c>
      <c r="M2125" s="11">
        <f t="shared" si="50"/>
        <v>0.0018464597684823</v>
      </c>
      <c r="N2125" s="9" t="s">
        <v>812</v>
      </c>
    </row>
    <row r="2126" ht="25" customHeight="1" spans="1:14">
      <c r="A2126" s="9" t="s">
        <v>371</v>
      </c>
      <c r="B2126" s="9" t="s">
        <v>370</v>
      </c>
      <c r="C2126" s="10">
        <v>45989</v>
      </c>
      <c r="D2126" s="15">
        <v>1.057</v>
      </c>
      <c r="E2126" s="15">
        <v>1.392</v>
      </c>
      <c r="F2126" s="15">
        <v>1.4042</v>
      </c>
      <c r="G2126" s="11">
        <v>-0.0009</v>
      </c>
      <c r="H2126" s="9">
        <f>MAX($F$1644:F2126)</f>
        <v>1.4081</v>
      </c>
      <c r="I2126" s="11">
        <f t="shared" si="52"/>
        <v>0.00276968965272351</v>
      </c>
      <c r="J2126" s="9">
        <f>MAX($F$2113:F2126)</f>
        <v>1.4081</v>
      </c>
      <c r="K2126" s="11">
        <f t="shared" si="51"/>
        <v>0.00276968965272351</v>
      </c>
      <c r="L2126" s="9">
        <f>MAX($F$1959:F2126)</f>
        <v>1.4081</v>
      </c>
      <c r="M2126" s="11">
        <f t="shared" si="50"/>
        <v>0.00276968965272351</v>
      </c>
      <c r="N2126" s="9" t="s">
        <v>812</v>
      </c>
    </row>
    <row r="2127" ht="25" customHeight="1" spans="1:14">
      <c r="A2127" s="9" t="s">
        <v>371</v>
      </c>
      <c r="B2127" s="9" t="s">
        <v>370</v>
      </c>
      <c r="C2127" s="10">
        <v>45996</v>
      </c>
      <c r="D2127" s="15">
        <v>1.062</v>
      </c>
      <c r="E2127" s="15">
        <v>1.397</v>
      </c>
      <c r="F2127" s="15">
        <v>1.4108</v>
      </c>
      <c r="G2127" s="11">
        <v>0.0047</v>
      </c>
      <c r="H2127" s="9">
        <f>MAX($F$1644:F2127)</f>
        <v>1.4108</v>
      </c>
      <c r="I2127" s="11">
        <f t="shared" si="52"/>
        <v>0</v>
      </c>
      <c r="J2127" s="9">
        <f>MAX($F$2113:F2127)</f>
        <v>1.4108</v>
      </c>
      <c r="K2127" s="11">
        <f t="shared" si="51"/>
        <v>0</v>
      </c>
      <c r="L2127" s="9">
        <f>MAX($F$1959:F2127)</f>
        <v>1.4108</v>
      </c>
      <c r="M2127" s="11">
        <f t="shared" si="50"/>
        <v>0</v>
      </c>
      <c r="N2127" s="9" t="s">
        <v>812</v>
      </c>
    </row>
    <row r="2128" ht="25" customHeight="1" spans="1:14">
      <c r="A2128" s="9" t="s">
        <v>371</v>
      </c>
      <c r="B2128" s="9" t="s">
        <v>370</v>
      </c>
      <c r="C2128" s="10">
        <v>46003</v>
      </c>
      <c r="D2128" s="15">
        <v>1.063</v>
      </c>
      <c r="E2128" s="15">
        <v>1.398</v>
      </c>
      <c r="F2128" s="15">
        <v>1.4121</v>
      </c>
      <c r="G2128" s="11">
        <v>0.0009</v>
      </c>
      <c r="H2128" s="9">
        <f>MAX($F$1644:F2128)</f>
        <v>1.4121</v>
      </c>
      <c r="I2128" s="11">
        <f t="shared" si="52"/>
        <v>0</v>
      </c>
      <c r="J2128" s="9">
        <f>MAX($F$2113:F2128)</f>
        <v>1.4121</v>
      </c>
      <c r="K2128" s="11">
        <f t="shared" si="51"/>
        <v>0</v>
      </c>
      <c r="L2128" s="9">
        <f>MAX($F$1959:F2128)</f>
        <v>1.4121</v>
      </c>
      <c r="M2128" s="11">
        <f t="shared" si="50"/>
        <v>0</v>
      </c>
      <c r="N2128" s="9" t="s">
        <v>812</v>
      </c>
    </row>
    <row r="2129" ht="25" customHeight="1" spans="1:14">
      <c r="A2129" s="9" t="s">
        <v>371</v>
      </c>
      <c r="B2129" s="9" t="s">
        <v>370</v>
      </c>
      <c r="C2129" s="10">
        <v>46010</v>
      </c>
      <c r="D2129" s="15">
        <v>1.061</v>
      </c>
      <c r="E2129" s="15">
        <v>1.396</v>
      </c>
      <c r="F2129" s="15">
        <v>1.4095</v>
      </c>
      <c r="G2129" s="11">
        <v>-0.0019</v>
      </c>
      <c r="H2129" s="9">
        <f>MAX($F$1644:F2129)</f>
        <v>1.4121</v>
      </c>
      <c r="I2129" s="11">
        <f t="shared" si="52"/>
        <v>0.00184122937469011</v>
      </c>
      <c r="J2129" s="9">
        <f>MAX($F$2113:F2129)</f>
        <v>1.4121</v>
      </c>
      <c r="K2129" s="11">
        <f t="shared" si="51"/>
        <v>0.00184122937469011</v>
      </c>
      <c r="L2129" s="9">
        <f>MAX($F$1959:F2129)</f>
        <v>1.4121</v>
      </c>
      <c r="M2129" s="11">
        <f t="shared" si="50"/>
        <v>0.00184122937469011</v>
      </c>
      <c r="N2129" s="9" t="s">
        <v>812</v>
      </c>
    </row>
    <row r="2130" ht="25" customHeight="1" spans="1:14">
      <c r="A2130" s="9" t="s">
        <v>371</v>
      </c>
      <c r="B2130" s="9" t="s">
        <v>370</v>
      </c>
      <c r="C2130" s="10">
        <v>46017</v>
      </c>
      <c r="D2130" s="15">
        <v>1.071</v>
      </c>
      <c r="E2130" s="15">
        <v>1.406</v>
      </c>
      <c r="F2130" s="15">
        <v>1.4227</v>
      </c>
      <c r="G2130" s="11">
        <v>0.0094</v>
      </c>
      <c r="H2130" s="9">
        <f>MAX($F$1644:F2130)</f>
        <v>1.4227</v>
      </c>
      <c r="I2130" s="11">
        <f t="shared" si="52"/>
        <v>0</v>
      </c>
      <c r="J2130" s="9">
        <f>MAX($F$2113:F2130)</f>
        <v>1.4227</v>
      </c>
      <c r="K2130" s="11">
        <f t="shared" si="51"/>
        <v>0</v>
      </c>
      <c r="L2130" s="9">
        <f>MAX($F$1959:F2130)</f>
        <v>1.4227</v>
      </c>
      <c r="M2130" s="11">
        <f t="shared" si="50"/>
        <v>0</v>
      </c>
      <c r="N2130" s="9" t="s">
        <v>812</v>
      </c>
    </row>
    <row r="2131" ht="25" customHeight="1" spans="1:14">
      <c r="A2131" s="9" t="s">
        <v>371</v>
      </c>
      <c r="B2131" s="9" t="s">
        <v>370</v>
      </c>
      <c r="C2131" s="10">
        <v>46022</v>
      </c>
      <c r="D2131" s="15">
        <v>1.067</v>
      </c>
      <c r="E2131" s="15">
        <v>1.402</v>
      </c>
      <c r="F2131" s="15">
        <v>1.4174</v>
      </c>
      <c r="G2131" s="11">
        <v>-0.0037</v>
      </c>
      <c r="H2131" s="9">
        <f>MAX($F$1644:F2131)</f>
        <v>1.4227</v>
      </c>
      <c r="I2131" s="11">
        <f t="shared" si="52"/>
        <v>0.00372531102832652</v>
      </c>
      <c r="J2131" s="9">
        <f>MAX($F$2113:F2131)</f>
        <v>1.4227</v>
      </c>
      <c r="K2131" s="11">
        <f t="shared" si="51"/>
        <v>0.00372531102832652</v>
      </c>
      <c r="L2131" s="9">
        <f>MAX($F$1959:F2131)</f>
        <v>1.4227</v>
      </c>
      <c r="M2131" s="11">
        <f t="shared" si="50"/>
        <v>0.00372531102832652</v>
      </c>
      <c r="N2131" s="9" t="s">
        <v>812</v>
      </c>
    </row>
    <row r="2132" ht="25" customHeight="1" spans="1:14">
      <c r="A2132" s="9" t="s">
        <v>371</v>
      </c>
      <c r="B2132" s="9" t="s">
        <v>370</v>
      </c>
      <c r="C2132" s="10">
        <v>46031</v>
      </c>
      <c r="D2132" s="15">
        <v>1.067</v>
      </c>
      <c r="E2132" s="15">
        <v>1.402</v>
      </c>
      <c r="F2132" s="15">
        <v>1.4174</v>
      </c>
      <c r="G2132" s="11">
        <v>0</v>
      </c>
      <c r="H2132" s="9">
        <f>MAX($F$1644:F2132)</f>
        <v>1.4227</v>
      </c>
      <c r="I2132" s="11">
        <f t="shared" si="52"/>
        <v>0.00372531102832652</v>
      </c>
      <c r="J2132" s="9">
        <f>MAX($F$2113:F2132)</f>
        <v>1.4227</v>
      </c>
      <c r="K2132" s="11">
        <f t="shared" si="51"/>
        <v>0.00372531102832652</v>
      </c>
      <c r="L2132" s="9">
        <f>MAX($F$1959:F2132)</f>
        <v>1.4227</v>
      </c>
      <c r="M2132" s="11">
        <f t="shared" si="50"/>
        <v>0.00372531102832652</v>
      </c>
      <c r="N2132" s="9" t="s">
        <v>812</v>
      </c>
    </row>
    <row r="2133" ht="25" customHeight="1" spans="1:14">
      <c r="A2133" s="9" t="s">
        <v>371</v>
      </c>
      <c r="B2133" s="9" t="s">
        <v>370</v>
      </c>
      <c r="C2133" s="10">
        <v>46038</v>
      </c>
      <c r="D2133" s="15">
        <v>1.07</v>
      </c>
      <c r="E2133" s="15">
        <v>1.405</v>
      </c>
      <c r="F2133" s="15">
        <v>1.4214</v>
      </c>
      <c r="G2133" s="11">
        <v>0.0028</v>
      </c>
      <c r="H2133" s="9">
        <f>MAX($F$1644:F2133)</f>
        <v>1.4227</v>
      </c>
      <c r="I2133" s="11">
        <f t="shared" si="52"/>
        <v>0.000913755535249972</v>
      </c>
      <c r="J2133" s="9">
        <f>MAX($F$2113:F2133)</f>
        <v>1.4227</v>
      </c>
      <c r="K2133" s="11">
        <f t="shared" si="51"/>
        <v>0.000913755535249972</v>
      </c>
      <c r="L2133" s="9">
        <f>MAX($F$1959:F2133)</f>
        <v>1.4227</v>
      </c>
      <c r="M2133" s="11">
        <f t="shared" si="50"/>
        <v>0.000913755535249972</v>
      </c>
      <c r="N2133" s="9" t="s">
        <v>812</v>
      </c>
    </row>
    <row r="2134" ht="25" customHeight="1" spans="1:14">
      <c r="A2134" s="9" t="s">
        <v>371</v>
      </c>
      <c r="B2134" s="9" t="s">
        <v>370</v>
      </c>
      <c r="C2134" s="10">
        <v>46045</v>
      </c>
      <c r="D2134" s="15">
        <v>1.077</v>
      </c>
      <c r="E2134" s="15">
        <v>1.412</v>
      </c>
      <c r="F2134" s="15">
        <v>1.4307</v>
      </c>
      <c r="G2134" s="11">
        <v>0.0065</v>
      </c>
      <c r="H2134" s="9">
        <f>MAX($F$1644:F2134)</f>
        <v>1.4307</v>
      </c>
      <c r="I2134" s="11">
        <f t="shared" si="52"/>
        <v>0</v>
      </c>
      <c r="J2134" s="9">
        <f>MAX($F$2113:F2134)</f>
        <v>1.4307</v>
      </c>
      <c r="K2134" s="11">
        <f t="shared" si="51"/>
        <v>0</v>
      </c>
      <c r="L2134" s="9">
        <f>MAX($F$1959:F2134)</f>
        <v>1.4307</v>
      </c>
      <c r="M2134" s="11">
        <f t="shared" si="50"/>
        <v>0</v>
      </c>
      <c r="N2134" s="9" t="s">
        <v>812</v>
      </c>
    </row>
    <row r="2135" ht="25" customHeight="1" spans="1:14">
      <c r="A2135" s="9" t="s">
        <v>371</v>
      </c>
      <c r="B2135" s="9" t="s">
        <v>370</v>
      </c>
      <c r="C2135" s="10">
        <v>46052</v>
      </c>
      <c r="D2135" s="15">
        <v>1.093</v>
      </c>
      <c r="E2135" s="15">
        <v>1.428</v>
      </c>
      <c r="F2135" s="15">
        <v>1.452</v>
      </c>
      <c r="G2135" s="11">
        <v>0.0149</v>
      </c>
      <c r="H2135" s="9">
        <f>MAX($F$1644:F2135)</f>
        <v>1.452</v>
      </c>
      <c r="I2135" s="11">
        <f t="shared" si="52"/>
        <v>0</v>
      </c>
      <c r="J2135" s="9">
        <f>MAX($F$2113:F2135)</f>
        <v>1.452</v>
      </c>
      <c r="K2135" s="11">
        <f t="shared" si="51"/>
        <v>0</v>
      </c>
      <c r="L2135" s="9">
        <f>MAX($F$1959:F2135)</f>
        <v>1.452</v>
      </c>
      <c r="M2135" s="11">
        <f t="shared" si="50"/>
        <v>0</v>
      </c>
      <c r="N2135" s="9" t="s">
        <v>812</v>
      </c>
    </row>
    <row r="2136" ht="25" customHeight="1" spans="1:14">
      <c r="A2136" s="9" t="s">
        <v>371</v>
      </c>
      <c r="B2136" s="9" t="s">
        <v>370</v>
      </c>
      <c r="C2136" s="10">
        <v>46059</v>
      </c>
      <c r="D2136" s="15">
        <v>1.07</v>
      </c>
      <c r="E2136" s="15">
        <v>1.405</v>
      </c>
      <c r="F2136" s="15">
        <v>1.4214</v>
      </c>
      <c r="G2136" s="11">
        <v>-0.021</v>
      </c>
      <c r="H2136" s="9">
        <f>MAX($F$1644:F2136)</f>
        <v>1.452</v>
      </c>
      <c r="I2136" s="11">
        <f t="shared" si="52"/>
        <v>0.0210743801652892</v>
      </c>
      <c r="J2136" s="9">
        <f>MAX($F$2113:F2136)</f>
        <v>1.452</v>
      </c>
      <c r="K2136" s="11">
        <f t="shared" si="51"/>
        <v>0.0210743801652892</v>
      </c>
      <c r="L2136" s="9">
        <f>MAX($F$1959:F2136)</f>
        <v>1.452</v>
      </c>
      <c r="M2136" s="11">
        <f t="shared" si="50"/>
        <v>0.0210743801652892</v>
      </c>
      <c r="N2136" s="9" t="s">
        <v>812</v>
      </c>
    </row>
    <row r="2137" ht="25" customHeight="1" spans="1:14">
      <c r="A2137" s="9" t="s">
        <v>371</v>
      </c>
      <c r="B2137" s="9" t="s">
        <v>370</v>
      </c>
      <c r="C2137" s="10">
        <v>46066</v>
      </c>
      <c r="D2137" s="15">
        <v>1.08</v>
      </c>
      <c r="E2137" s="15">
        <v>1.415</v>
      </c>
      <c r="F2137" s="15">
        <v>1.4347</v>
      </c>
      <c r="G2137" s="11">
        <v>0.0093</v>
      </c>
      <c r="H2137" s="9">
        <f>MAX($F$1644:F2137)</f>
        <v>1.452</v>
      </c>
      <c r="I2137" s="11">
        <f t="shared" si="52"/>
        <v>0.011914600550964</v>
      </c>
      <c r="J2137" s="9">
        <f>MAX($F$2113:F2137)</f>
        <v>1.452</v>
      </c>
      <c r="K2137" s="11">
        <f t="shared" si="51"/>
        <v>0.011914600550964</v>
      </c>
      <c r="L2137" s="9">
        <f>MAX($F$1959:F2137)</f>
        <v>1.452</v>
      </c>
      <c r="M2137" s="11">
        <f t="shared" si="50"/>
        <v>0.011914600550964</v>
      </c>
      <c r="N2137" s="9" t="s">
        <v>812</v>
      </c>
    </row>
    <row r="2138" ht="25" customHeight="1" spans="1:14">
      <c r="A2138" s="9" t="s">
        <v>371</v>
      </c>
      <c r="B2138" s="9" t="s">
        <v>370</v>
      </c>
      <c r="C2138" s="10">
        <v>46080</v>
      </c>
      <c r="D2138" s="15">
        <v>1.097</v>
      </c>
      <c r="E2138" s="15">
        <v>1.432</v>
      </c>
      <c r="F2138" s="15">
        <v>1.4573</v>
      </c>
      <c r="G2138" s="11">
        <v>0.0157</v>
      </c>
      <c r="H2138" s="9">
        <f>MAX($F$1644:F2138)</f>
        <v>1.4573</v>
      </c>
      <c r="I2138" s="11">
        <f t="shared" si="52"/>
        <v>0</v>
      </c>
      <c r="J2138" s="9">
        <f>MAX($F$2113:F2138)</f>
        <v>1.4573</v>
      </c>
      <c r="K2138" s="11">
        <f t="shared" si="51"/>
        <v>0</v>
      </c>
      <c r="L2138" s="9">
        <f>MAX($F$1959:F2138)</f>
        <v>1.4573</v>
      </c>
      <c r="M2138" s="11">
        <f t="shared" si="50"/>
        <v>0</v>
      </c>
      <c r="N2138" s="9" t="s">
        <v>812</v>
      </c>
    </row>
    <row r="2139" ht="25" customHeight="1" spans="1:14">
      <c r="A2139" s="9" t="s">
        <v>371</v>
      </c>
      <c r="B2139" s="9" t="s">
        <v>370</v>
      </c>
      <c r="C2139" s="10">
        <v>46087</v>
      </c>
      <c r="D2139" s="15">
        <v>1.111</v>
      </c>
      <c r="E2139" s="15">
        <v>1.446</v>
      </c>
      <c r="F2139" s="15">
        <v>1.4759</v>
      </c>
      <c r="G2139" s="11">
        <v>0.0128</v>
      </c>
      <c r="H2139" s="9">
        <f>MAX($F$1644:F2139)</f>
        <v>1.4759</v>
      </c>
      <c r="I2139" s="11">
        <f t="shared" si="52"/>
        <v>0</v>
      </c>
      <c r="J2139" s="9">
        <f>MAX($F$2113:F2139)</f>
        <v>1.4759</v>
      </c>
      <c r="K2139" s="11">
        <f t="shared" si="51"/>
        <v>0</v>
      </c>
      <c r="L2139" s="9">
        <f>MAX($F$1959:F2139)</f>
        <v>1.4759</v>
      </c>
      <c r="M2139" s="11">
        <f t="shared" si="50"/>
        <v>0</v>
      </c>
      <c r="N2139" s="9" t="s">
        <v>812</v>
      </c>
    </row>
    <row r="2140" ht="25" customHeight="1" spans="1:14">
      <c r="A2140" s="9" t="s">
        <v>371</v>
      </c>
      <c r="B2140" s="9" t="s">
        <v>370</v>
      </c>
      <c r="C2140" s="10">
        <v>46094</v>
      </c>
      <c r="D2140" s="15">
        <v>1.119</v>
      </c>
      <c r="E2140" s="15">
        <v>1.454</v>
      </c>
      <c r="F2140" s="15">
        <v>1.4865</v>
      </c>
      <c r="G2140" s="11">
        <v>0.0072</v>
      </c>
      <c r="H2140" s="9">
        <f>MAX($F$1644:F2140)</f>
        <v>1.4865</v>
      </c>
      <c r="I2140" s="11">
        <f t="shared" si="52"/>
        <v>0</v>
      </c>
      <c r="J2140" s="9">
        <f>MAX($F$2113:F2140)</f>
        <v>1.4865</v>
      </c>
      <c r="K2140" s="11">
        <f t="shared" si="51"/>
        <v>0</v>
      </c>
      <c r="L2140" s="9">
        <f>MAX($F$1959:F2140)</f>
        <v>1.4865</v>
      </c>
      <c r="M2140" s="11">
        <f t="shared" si="50"/>
        <v>0</v>
      </c>
      <c r="N2140" s="9" t="s">
        <v>812</v>
      </c>
    </row>
    <row r="2141" ht="25" customHeight="1" spans="1:14">
      <c r="A2141" s="9" t="s">
        <v>371</v>
      </c>
      <c r="B2141" s="9" t="s">
        <v>370</v>
      </c>
      <c r="C2141" s="10">
        <v>46101</v>
      </c>
      <c r="D2141" s="15">
        <v>1.094</v>
      </c>
      <c r="E2141" s="15">
        <v>1.429</v>
      </c>
      <c r="F2141" s="15">
        <v>1.4533</v>
      </c>
      <c r="G2141" s="11">
        <v>-0.0223</v>
      </c>
      <c r="H2141" s="9">
        <f>MAX($F$1644:F2141)</f>
        <v>1.4865</v>
      </c>
      <c r="I2141" s="11">
        <f t="shared" si="52"/>
        <v>0.0223343424150689</v>
      </c>
      <c r="J2141" s="9">
        <f>MAX($F$2113:F2141)</f>
        <v>1.4865</v>
      </c>
      <c r="K2141" s="11">
        <f t="shared" si="51"/>
        <v>0.0223343424150689</v>
      </c>
      <c r="L2141" s="9">
        <f>MAX($F$1959:F2141)</f>
        <v>1.4865</v>
      </c>
      <c r="M2141" s="11">
        <f t="shared" si="50"/>
        <v>0.0223343424150689</v>
      </c>
      <c r="N2141" s="9" t="s">
        <v>812</v>
      </c>
    </row>
    <row r="2142" ht="25" customHeight="1" spans="1:14">
      <c r="A2142" s="9" t="s">
        <v>371</v>
      </c>
      <c r="B2142" s="9" t="s">
        <v>370</v>
      </c>
      <c r="C2142" s="10">
        <v>46108</v>
      </c>
      <c r="D2142" s="15">
        <v>1.097</v>
      </c>
      <c r="E2142" s="15">
        <v>1.432</v>
      </c>
      <c r="F2142" s="15">
        <v>1.4573</v>
      </c>
      <c r="G2142" s="11">
        <v>0.0027</v>
      </c>
      <c r="H2142" s="9">
        <f>MAX($F$1644:F2142)</f>
        <v>1.4865</v>
      </c>
      <c r="I2142" s="11">
        <f t="shared" si="52"/>
        <v>0.0196434577867474</v>
      </c>
      <c r="J2142" s="9">
        <f>MAX($F$2113:F2142)</f>
        <v>1.4865</v>
      </c>
      <c r="K2142" s="11">
        <f t="shared" si="51"/>
        <v>0.0196434577867474</v>
      </c>
      <c r="L2142" s="9">
        <f>MAX($F$1959:F2142)</f>
        <v>1.4865</v>
      </c>
      <c r="M2142" s="11">
        <f t="shared" si="50"/>
        <v>0.0196434577867474</v>
      </c>
      <c r="N2142" s="9" t="s">
        <v>812</v>
      </c>
    </row>
    <row r="2143" ht="25" customHeight="1" spans="1:14">
      <c r="A2143" s="9" t="s">
        <v>371</v>
      </c>
      <c r="B2143" s="9" t="s">
        <v>370</v>
      </c>
      <c r="C2143" s="10">
        <v>46112</v>
      </c>
      <c r="D2143" s="15">
        <v>1.099</v>
      </c>
      <c r="E2143" s="15">
        <v>1.434</v>
      </c>
      <c r="F2143" s="15">
        <v>1.4599</v>
      </c>
      <c r="G2143" s="11">
        <v>0.0018</v>
      </c>
      <c r="H2143" s="9">
        <f>MAX($F$1644:F2143)</f>
        <v>1.4865</v>
      </c>
      <c r="I2143" s="11">
        <f t="shared" si="52"/>
        <v>0.0178943827783383</v>
      </c>
      <c r="J2143" s="9">
        <f>MAX($F$2113:F2143)</f>
        <v>1.4865</v>
      </c>
      <c r="K2143" s="11">
        <f t="shared" si="51"/>
        <v>0.0178943827783383</v>
      </c>
      <c r="L2143" s="9">
        <f>MAX($F$1959:F2143)</f>
        <v>1.4865</v>
      </c>
      <c r="M2143" s="11">
        <f t="shared" si="50"/>
        <v>0.0178943827783383</v>
      </c>
      <c r="N2143" s="9" t="s">
        <v>812</v>
      </c>
    </row>
    <row r="2144" ht="25" customHeight="1" spans="1:14">
      <c r="A2144" s="9" t="s">
        <v>371</v>
      </c>
      <c r="B2144" s="9" t="s">
        <v>370</v>
      </c>
      <c r="C2144" s="10">
        <v>46115</v>
      </c>
      <c r="D2144" s="15">
        <v>1.101</v>
      </c>
      <c r="E2144" s="15">
        <v>1.436</v>
      </c>
      <c r="F2144" s="15">
        <v>1.4626</v>
      </c>
      <c r="G2144" s="11">
        <v>0.0018</v>
      </c>
      <c r="H2144" s="9">
        <f>MAX($F$1644:F2144)</f>
        <v>1.4865</v>
      </c>
      <c r="I2144" s="11">
        <f t="shared" si="52"/>
        <v>0.0160780356542214</v>
      </c>
      <c r="J2144" s="9">
        <f>MAX($F$2113:F2144)</f>
        <v>1.4865</v>
      </c>
      <c r="K2144" s="11">
        <f t="shared" si="51"/>
        <v>0.0160780356542214</v>
      </c>
      <c r="L2144" s="9">
        <f>MAX($F$1959:F2144)</f>
        <v>1.4865</v>
      </c>
      <c r="M2144" s="11">
        <f t="shared" si="50"/>
        <v>0.0160780356542214</v>
      </c>
      <c r="N2144" s="9" t="s">
        <v>812</v>
      </c>
    </row>
    <row r="2145" ht="25" customHeight="1" spans="1:14">
      <c r="A2145" s="9" t="s">
        <v>371</v>
      </c>
      <c r="B2145" s="9" t="s">
        <v>370</v>
      </c>
      <c r="C2145" s="10">
        <v>46122</v>
      </c>
      <c r="D2145" s="15">
        <v>1.095</v>
      </c>
      <c r="E2145" s="15">
        <v>1.43</v>
      </c>
      <c r="F2145" s="15">
        <v>1.4546</v>
      </c>
      <c r="G2145" s="11">
        <v>-0.0054</v>
      </c>
      <c r="H2145" s="9">
        <f>MAX($F$1644:F2145)</f>
        <v>1.4865</v>
      </c>
      <c r="I2145" s="11">
        <f t="shared" si="52"/>
        <v>0.0214598049108645</v>
      </c>
      <c r="J2145" s="9">
        <f>MAX($F$2113:F2145)</f>
        <v>1.4865</v>
      </c>
      <c r="K2145" s="11">
        <f t="shared" si="51"/>
        <v>0.0214598049108645</v>
      </c>
      <c r="L2145" s="9">
        <f>MAX($F$1959:F2145)</f>
        <v>1.4865</v>
      </c>
      <c r="M2145" s="11">
        <f t="shared" si="50"/>
        <v>0.0214598049108645</v>
      </c>
      <c r="N2145" s="9" t="s">
        <v>812</v>
      </c>
    </row>
    <row r="2146" ht="25" customHeight="1" spans="1:14">
      <c r="A2146" s="9" t="s">
        <v>371</v>
      </c>
      <c r="B2146" s="9" t="s">
        <v>370</v>
      </c>
      <c r="C2146" s="10">
        <v>46129</v>
      </c>
      <c r="D2146" s="15">
        <v>1.095</v>
      </c>
      <c r="E2146" s="15">
        <v>1.43</v>
      </c>
      <c r="F2146" s="15">
        <v>1.4546</v>
      </c>
      <c r="G2146" s="11">
        <v>0</v>
      </c>
      <c r="H2146" s="9">
        <f>MAX($F$1644:F2146)</f>
        <v>1.4865</v>
      </c>
      <c r="I2146" s="11">
        <f t="shared" si="52"/>
        <v>0.0214598049108645</v>
      </c>
      <c r="J2146" s="9">
        <f>MAX($F$2113:F2146)</f>
        <v>1.4865</v>
      </c>
      <c r="K2146" s="11">
        <f t="shared" si="51"/>
        <v>0.0214598049108645</v>
      </c>
      <c r="L2146" s="9">
        <f>MAX($F$1959:F2146)</f>
        <v>1.4865</v>
      </c>
      <c r="M2146" s="11">
        <f t="shared" si="50"/>
        <v>0.0214598049108645</v>
      </c>
      <c r="N2146" s="9" t="s">
        <v>812</v>
      </c>
    </row>
    <row r="2147" ht="25" customHeight="1" spans="1:14">
      <c r="A2147" s="9" t="s">
        <v>371</v>
      </c>
      <c r="B2147" s="9" t="s">
        <v>370</v>
      </c>
      <c r="C2147" s="10">
        <v>46136</v>
      </c>
      <c r="D2147" s="15">
        <v>1.094</v>
      </c>
      <c r="E2147" s="15">
        <v>1.429</v>
      </c>
      <c r="F2147" s="15">
        <v>1.4533</v>
      </c>
      <c r="G2147" s="11">
        <v>-0.0009</v>
      </c>
      <c r="H2147" s="9">
        <f>MAX($F$1644:F2147)</f>
        <v>1.4865</v>
      </c>
      <c r="I2147" s="11">
        <f t="shared" si="52"/>
        <v>0.0223343424150689</v>
      </c>
      <c r="J2147" s="9">
        <f>MAX($F$2113:F2147)</f>
        <v>1.4865</v>
      </c>
      <c r="K2147" s="11">
        <f t="shared" si="51"/>
        <v>0.0223343424150689</v>
      </c>
      <c r="L2147" s="9">
        <f>MAX($F$1959:F2147)</f>
        <v>1.4865</v>
      </c>
      <c r="M2147" s="11">
        <f t="shared" si="50"/>
        <v>0.0223343424150689</v>
      </c>
      <c r="N2147" s="9" t="s">
        <v>812</v>
      </c>
    </row>
    <row r="2148" ht="25" customHeight="1" spans="1:14">
      <c r="A2148" s="9" t="s">
        <v>371</v>
      </c>
      <c r="B2148" s="9" t="s">
        <v>370</v>
      </c>
      <c r="C2148" s="10">
        <v>46142</v>
      </c>
      <c r="D2148" s="15">
        <v>1.093</v>
      </c>
      <c r="E2148" s="15">
        <v>1.428</v>
      </c>
      <c r="F2148" s="15">
        <v>1.452</v>
      </c>
      <c r="G2148" s="11">
        <v>-0.0009</v>
      </c>
      <c r="H2148" s="9">
        <f>MAX($F$1644:F2148)</f>
        <v>1.4865</v>
      </c>
      <c r="I2148" s="11">
        <f t="shared" si="52"/>
        <v>0.0232088799192735</v>
      </c>
      <c r="J2148" s="9">
        <f>MAX($F$2113:F2148)</f>
        <v>1.4865</v>
      </c>
      <c r="K2148" s="11">
        <f t="shared" si="51"/>
        <v>0.0232088799192735</v>
      </c>
      <c r="L2148" s="9">
        <f>MAX($F$1959:F2148)</f>
        <v>1.4865</v>
      </c>
      <c r="M2148" s="11">
        <f t="shared" si="50"/>
        <v>0.0232088799192735</v>
      </c>
      <c r="N2148" s="9" t="s">
        <v>812</v>
      </c>
    </row>
    <row r="2149" ht="25" customHeight="1" spans="1:14">
      <c r="A2149" s="9" t="s">
        <v>371</v>
      </c>
      <c r="B2149" s="9" t="s">
        <v>370</v>
      </c>
      <c r="C2149" s="10">
        <v>46150</v>
      </c>
      <c r="D2149" s="15">
        <v>1.088</v>
      </c>
      <c r="E2149" s="15">
        <v>1.423</v>
      </c>
      <c r="F2149" s="15">
        <v>1.4453</v>
      </c>
      <c r="G2149" s="11">
        <v>-0.0046</v>
      </c>
      <c r="H2149" s="9">
        <f>MAX($F$1644:F2149)</f>
        <v>1.4865</v>
      </c>
      <c r="I2149" s="11">
        <f t="shared" si="52"/>
        <v>0.0277161116717121</v>
      </c>
      <c r="J2149" s="9">
        <f>MAX($F$2113:F2149)</f>
        <v>1.4865</v>
      </c>
      <c r="K2149" s="11">
        <f t="shared" si="51"/>
        <v>0.0277161116717121</v>
      </c>
      <c r="L2149" s="9">
        <f>MAX($F$1959:F2149)</f>
        <v>1.4865</v>
      </c>
      <c r="M2149" s="11">
        <f t="shared" si="50"/>
        <v>0.0277161116717121</v>
      </c>
      <c r="N2149" s="9" t="s">
        <v>812</v>
      </c>
    </row>
    <row r="2150" ht="25" customHeight="1" spans="1:14">
      <c r="A2150" s="9" t="s">
        <v>371</v>
      </c>
      <c r="B2150" s="9" t="s">
        <v>370</v>
      </c>
      <c r="C2150" s="10">
        <v>46157</v>
      </c>
      <c r="D2150" s="15">
        <v>1.089</v>
      </c>
      <c r="E2150" s="15">
        <v>1.424</v>
      </c>
      <c r="F2150" s="15">
        <v>1.4467</v>
      </c>
      <c r="G2150" s="11">
        <v>0.0009</v>
      </c>
      <c r="H2150" s="9">
        <f>MAX($F$1644:F2150)</f>
        <v>1.4865</v>
      </c>
      <c r="I2150" s="11">
        <f t="shared" si="52"/>
        <v>0.0267743020517994</v>
      </c>
      <c r="J2150" s="9">
        <f>MAX($F$2113:F2150)</f>
        <v>1.4865</v>
      </c>
      <c r="K2150" s="11">
        <f t="shared" si="51"/>
        <v>0.0267743020517994</v>
      </c>
      <c r="L2150" s="9">
        <f>MAX($F$1959:F2150)</f>
        <v>1.4865</v>
      </c>
      <c r="M2150" s="11">
        <f t="shared" si="50"/>
        <v>0.0267743020517994</v>
      </c>
      <c r="N2150" s="9" t="s">
        <v>812</v>
      </c>
    </row>
    <row r="2151" ht="25" customHeight="1" spans="1:14">
      <c r="A2151" s="9" t="s">
        <v>371</v>
      </c>
      <c r="B2151" s="9" t="s">
        <v>370</v>
      </c>
      <c r="C2151" s="10">
        <v>46164</v>
      </c>
      <c r="D2151" s="15">
        <v>1.088</v>
      </c>
      <c r="E2151" s="15">
        <v>1.423</v>
      </c>
      <c r="F2151" s="15">
        <v>1.4453</v>
      </c>
      <c r="G2151" s="11">
        <v>-0.0009</v>
      </c>
      <c r="H2151" s="9">
        <f>MAX($F$1644:F2151)</f>
        <v>1.4865</v>
      </c>
      <c r="I2151" s="11">
        <f t="shared" si="52"/>
        <v>0.0277161116717121</v>
      </c>
      <c r="J2151" s="9">
        <f>MAX($F$2113:F2151)</f>
        <v>1.4865</v>
      </c>
      <c r="K2151" s="11">
        <f t="shared" si="51"/>
        <v>0.0277161116717121</v>
      </c>
      <c r="L2151" s="9">
        <f>MAX($F$1959:F2151)</f>
        <v>1.4865</v>
      </c>
      <c r="M2151" s="11">
        <f t="shared" ref="M2151:M2173" si="53">1-F2151/L2151</f>
        <v>0.0277161116717121</v>
      </c>
      <c r="N2151" s="9" t="s">
        <v>812</v>
      </c>
    </row>
    <row r="2152" ht="25" customHeight="1" spans="1:14">
      <c r="A2152" s="9" t="s">
        <v>371</v>
      </c>
      <c r="B2152" s="9" t="s">
        <v>370</v>
      </c>
      <c r="C2152" s="10">
        <v>46171</v>
      </c>
      <c r="D2152" s="15">
        <v>1.084</v>
      </c>
      <c r="E2152" s="15">
        <v>1.419</v>
      </c>
      <c r="F2152" s="15">
        <v>1.44</v>
      </c>
      <c r="G2152" s="11">
        <v>-0.0037</v>
      </c>
      <c r="H2152" s="9">
        <f>MAX($F$1644:F2152)</f>
        <v>1.4865</v>
      </c>
      <c r="I2152" s="11">
        <f t="shared" si="52"/>
        <v>0.0312815338042381</v>
      </c>
      <c r="J2152" s="9">
        <f>MAX($F$2113:F2152)</f>
        <v>1.4865</v>
      </c>
      <c r="K2152" s="11">
        <f t="shared" si="51"/>
        <v>0.0312815338042381</v>
      </c>
      <c r="L2152" s="9">
        <f>MAX($F$1959:F2152)</f>
        <v>1.4865</v>
      </c>
      <c r="M2152" s="11">
        <f t="shared" si="53"/>
        <v>0.0312815338042381</v>
      </c>
      <c r="N2152" s="9" t="s">
        <v>812</v>
      </c>
    </row>
    <row r="2153" ht="25" customHeight="1" spans="1:14">
      <c r="A2153" s="9" t="s">
        <v>371</v>
      </c>
      <c r="B2153" s="9" t="s">
        <v>370</v>
      </c>
      <c r="C2153" s="10">
        <v>46178</v>
      </c>
      <c r="D2153" s="15">
        <v>1.082</v>
      </c>
      <c r="E2153" s="15">
        <v>1.417</v>
      </c>
      <c r="F2153" s="15">
        <v>1.4374</v>
      </c>
      <c r="G2153" s="11">
        <v>-0.0018</v>
      </c>
      <c r="H2153" s="9">
        <f>MAX($F$1644:F2153)</f>
        <v>1.4865</v>
      </c>
      <c r="I2153" s="11">
        <f t="shared" si="52"/>
        <v>0.0330306088126471</v>
      </c>
      <c r="J2153" s="9">
        <f>MAX($F$2113:F2153)</f>
        <v>1.4865</v>
      </c>
      <c r="K2153" s="11">
        <f t="shared" si="51"/>
        <v>0.0330306088126471</v>
      </c>
      <c r="L2153" s="9">
        <f>MAX($F$1959:F2153)</f>
        <v>1.4865</v>
      </c>
      <c r="M2153" s="11">
        <f t="shared" si="53"/>
        <v>0.0330306088126471</v>
      </c>
      <c r="N2153" s="9" t="s">
        <v>812</v>
      </c>
    </row>
    <row r="2154" ht="25" customHeight="1" spans="1:14">
      <c r="A2154" s="9" t="s">
        <v>371</v>
      </c>
      <c r="B2154" s="9" t="s">
        <v>370</v>
      </c>
      <c r="C2154" s="10">
        <v>46185</v>
      </c>
      <c r="D2154" s="15">
        <v>1.076</v>
      </c>
      <c r="E2154" s="15">
        <v>1.411</v>
      </c>
      <c r="F2154" s="15">
        <v>1.4294</v>
      </c>
      <c r="G2154" s="11">
        <v>-0.0055</v>
      </c>
      <c r="H2154" s="9">
        <f>MAX($F$1644:F2154)</f>
        <v>1.4865</v>
      </c>
      <c r="I2154" s="11">
        <f t="shared" si="52"/>
        <v>0.0384123780692902</v>
      </c>
      <c r="J2154" s="9">
        <f>MAX($F$2113:F2154)</f>
        <v>1.4865</v>
      </c>
      <c r="K2154" s="11">
        <f t="shared" si="51"/>
        <v>0.0384123780692902</v>
      </c>
      <c r="L2154" s="9">
        <f>MAX($F$1959:F2154)</f>
        <v>1.4865</v>
      </c>
      <c r="M2154" s="11">
        <f t="shared" si="53"/>
        <v>0.0384123780692902</v>
      </c>
      <c r="N2154" s="9" t="s">
        <v>812</v>
      </c>
    </row>
    <row r="2155" ht="25" customHeight="1" spans="1:14">
      <c r="A2155" s="9" t="s">
        <v>371</v>
      </c>
      <c r="B2155" s="9" t="s">
        <v>370</v>
      </c>
      <c r="C2155" s="10">
        <v>46191</v>
      </c>
      <c r="D2155" s="15">
        <v>1.076</v>
      </c>
      <c r="E2155" s="15">
        <v>1.411</v>
      </c>
      <c r="F2155" s="15">
        <v>1.4294</v>
      </c>
      <c r="G2155" s="11">
        <v>0</v>
      </c>
      <c r="H2155" s="9">
        <f>MAX($F$1644:F2155)</f>
        <v>1.4865</v>
      </c>
      <c r="I2155" s="11">
        <f t="shared" si="52"/>
        <v>0.0384123780692902</v>
      </c>
      <c r="J2155" s="9">
        <f>MAX($F$2113:F2155)</f>
        <v>1.4865</v>
      </c>
      <c r="K2155" s="11">
        <f t="shared" si="51"/>
        <v>0.0384123780692902</v>
      </c>
      <c r="L2155" s="9">
        <f>MAX($F$1959:F2155)</f>
        <v>1.4865</v>
      </c>
      <c r="M2155" s="11">
        <f t="shared" si="53"/>
        <v>0.0384123780692902</v>
      </c>
      <c r="N2155" s="9" t="s">
        <v>812</v>
      </c>
    </row>
    <row r="2156" ht="25" customHeight="1" spans="1:14">
      <c r="A2156" s="9" t="s">
        <v>371</v>
      </c>
      <c r="B2156" s="9" t="s">
        <v>370</v>
      </c>
      <c r="C2156" s="10">
        <v>46199</v>
      </c>
      <c r="D2156" s="15">
        <v>1.075</v>
      </c>
      <c r="E2156" s="15">
        <v>1.41</v>
      </c>
      <c r="F2156" s="15">
        <v>1.4281</v>
      </c>
      <c r="G2156" s="11">
        <v>-0.0009</v>
      </c>
      <c r="H2156" s="9">
        <f>MAX($F$1644:F2156)</f>
        <v>1.4865</v>
      </c>
      <c r="I2156" s="11">
        <f t="shared" si="52"/>
        <v>0.0392869155734948</v>
      </c>
      <c r="J2156" s="9">
        <f>MAX($F$2113:F2156)</f>
        <v>1.4865</v>
      </c>
      <c r="K2156" s="11">
        <f t="shared" si="51"/>
        <v>0.0392869155734948</v>
      </c>
      <c r="L2156" s="9">
        <f>MAX($F$1959:F2156)</f>
        <v>1.4865</v>
      </c>
      <c r="M2156" s="11">
        <f t="shared" si="53"/>
        <v>0.0392869155734948</v>
      </c>
      <c r="N2156" s="9" t="s">
        <v>812</v>
      </c>
    </row>
    <row r="2157" ht="25" customHeight="1" spans="1:14">
      <c r="A2157" s="9" t="s">
        <v>371</v>
      </c>
      <c r="B2157" s="9" t="s">
        <v>370</v>
      </c>
      <c r="C2157" s="10">
        <v>46206</v>
      </c>
      <c r="D2157" s="15">
        <v>1.074</v>
      </c>
      <c r="E2157" s="15">
        <v>1.409</v>
      </c>
      <c r="F2157" s="15">
        <v>1.4267</v>
      </c>
      <c r="G2157" s="11">
        <v>-0.0009</v>
      </c>
      <c r="H2157" s="9">
        <f>MAX($F$1644:F2157)</f>
        <v>1.4865</v>
      </c>
      <c r="I2157" s="11">
        <f t="shared" si="52"/>
        <v>0.0402287251934073</v>
      </c>
      <c r="J2157" s="9">
        <f>MAX($F$2113:F2157)</f>
        <v>1.4865</v>
      </c>
      <c r="K2157" s="11">
        <f t="shared" si="51"/>
        <v>0.0402287251934073</v>
      </c>
      <c r="L2157" s="9">
        <f>MAX($F$1959:F2157)</f>
        <v>1.4865</v>
      </c>
      <c r="M2157" s="11">
        <f t="shared" si="53"/>
        <v>0.0402287251934073</v>
      </c>
      <c r="N2157" s="9" t="s">
        <v>812</v>
      </c>
    </row>
    <row r="2158" ht="25" customHeight="1" spans="1:14">
      <c r="A2158" s="9" t="s">
        <v>371</v>
      </c>
      <c r="B2158" s="9" t="s">
        <v>370</v>
      </c>
      <c r="C2158" s="10">
        <v>46213</v>
      </c>
      <c r="D2158" s="15">
        <v>1.075</v>
      </c>
      <c r="E2158" s="15">
        <v>1.41</v>
      </c>
      <c r="F2158" s="15">
        <v>1.4281</v>
      </c>
      <c r="G2158" s="11">
        <v>0.0009</v>
      </c>
      <c r="H2158" s="9">
        <f>MAX($F$1644:F2158)</f>
        <v>1.4865</v>
      </c>
      <c r="I2158" s="11">
        <f t="shared" si="52"/>
        <v>0.0392869155734948</v>
      </c>
      <c r="J2158" s="9">
        <f>MAX($F$2113:F2158)</f>
        <v>1.4865</v>
      </c>
      <c r="K2158" s="11">
        <f t="shared" si="51"/>
        <v>0.0392869155734948</v>
      </c>
      <c r="L2158" s="9">
        <f>MAX($F$1959:F2158)</f>
        <v>1.4865</v>
      </c>
      <c r="M2158" s="11">
        <f t="shared" si="53"/>
        <v>0.0392869155734948</v>
      </c>
      <c r="N2158" s="9" t="s">
        <v>812</v>
      </c>
    </row>
    <row r="2159" ht="25" customHeight="1" spans="1:14">
      <c r="A2159" s="9" t="s">
        <v>371</v>
      </c>
      <c r="B2159" s="9" t="s">
        <v>370</v>
      </c>
      <c r="C2159" s="10">
        <v>46220</v>
      </c>
      <c r="D2159" s="15">
        <v>1.084</v>
      </c>
      <c r="E2159" s="15">
        <v>1.419</v>
      </c>
      <c r="F2159" s="15">
        <v>1.44</v>
      </c>
      <c r="G2159" s="11">
        <v>0.0084</v>
      </c>
      <c r="H2159" s="9">
        <f>MAX($F$1644:F2159)</f>
        <v>1.4865</v>
      </c>
      <c r="I2159" s="11">
        <f t="shared" si="52"/>
        <v>0.0312815338042381</v>
      </c>
      <c r="J2159" s="9">
        <f>MAX($F$2113:F2159)</f>
        <v>1.4865</v>
      </c>
      <c r="K2159" s="11">
        <f t="shared" si="51"/>
        <v>0.0312815338042381</v>
      </c>
      <c r="L2159" s="9">
        <f>MAX($F$1959:F2159)</f>
        <v>1.4865</v>
      </c>
      <c r="M2159" s="11">
        <f t="shared" si="53"/>
        <v>0.0312815338042381</v>
      </c>
      <c r="N2159" s="9" t="s">
        <v>812</v>
      </c>
    </row>
    <row r="2160" ht="25" customHeight="1" spans="1:14">
      <c r="A2160" s="9" t="s">
        <v>371</v>
      </c>
      <c r="B2160" s="9" t="s">
        <v>370</v>
      </c>
      <c r="C2160" s="10">
        <v>46225</v>
      </c>
      <c r="D2160" s="15">
        <v>1.087</v>
      </c>
      <c r="E2160" s="15">
        <v>1.422</v>
      </c>
      <c r="F2160" s="15">
        <v>1.444</v>
      </c>
      <c r="G2160" s="11">
        <v>0.0028</v>
      </c>
      <c r="H2160" s="9">
        <f>MAX($F$1644:F2160)</f>
        <v>1.4865</v>
      </c>
      <c r="I2160" s="11">
        <f t="shared" si="52"/>
        <v>0.0285906491759166</v>
      </c>
      <c r="J2160" s="9">
        <f>MAX($F$2113:F2160)</f>
        <v>1.4865</v>
      </c>
      <c r="K2160" s="11">
        <f t="shared" si="51"/>
        <v>0.0285906491759166</v>
      </c>
      <c r="L2160" s="9">
        <f>MAX($F$1959:F2160)</f>
        <v>1.4865</v>
      </c>
      <c r="M2160" s="11">
        <f t="shared" si="53"/>
        <v>0.0285906491759166</v>
      </c>
      <c r="N2160" s="9" t="s">
        <v>812</v>
      </c>
    </row>
    <row r="2161" ht="25" customHeight="1" spans="1:14">
      <c r="A2161" s="9" t="s">
        <v>371</v>
      </c>
      <c r="B2161" s="9" t="s">
        <v>370</v>
      </c>
      <c r="C2161" s="10">
        <v>46227</v>
      </c>
      <c r="D2161" s="15">
        <v>1.083</v>
      </c>
      <c r="E2161" s="15">
        <v>1.418</v>
      </c>
      <c r="F2161" s="15">
        <v>1.4387</v>
      </c>
      <c r="G2161" s="11">
        <v>-0.0037</v>
      </c>
      <c r="H2161" s="9">
        <f>MAX($F$1644:F2161)</f>
        <v>1.4865</v>
      </c>
      <c r="I2161" s="11">
        <f t="shared" si="52"/>
        <v>0.0321560713084426</v>
      </c>
      <c r="J2161" s="9">
        <f>MAX($F$2113:F2161)</f>
        <v>1.4865</v>
      </c>
      <c r="K2161" s="11">
        <f t="shared" si="51"/>
        <v>0.0321560713084426</v>
      </c>
      <c r="L2161" s="9">
        <f>MAX($F$1959:F2161)</f>
        <v>1.4865</v>
      </c>
      <c r="M2161" s="11">
        <f t="shared" si="53"/>
        <v>0.0321560713084426</v>
      </c>
      <c r="N2161" s="9" t="s">
        <v>812</v>
      </c>
    </row>
    <row r="2162" ht="25" customHeight="1" spans="1:14">
      <c r="A2162" s="9" t="s">
        <v>371</v>
      </c>
      <c r="B2162" s="9" t="s">
        <v>370</v>
      </c>
      <c r="C2162" s="10">
        <v>46232</v>
      </c>
      <c r="D2162" s="15">
        <v>1.079</v>
      </c>
      <c r="E2162" s="15">
        <v>1.414</v>
      </c>
      <c r="F2162" s="15">
        <v>1.4334</v>
      </c>
      <c r="G2162" s="11">
        <v>-0.0037</v>
      </c>
      <c r="H2162" s="9">
        <f>MAX($F$1644:F2162)</f>
        <v>1.4865</v>
      </c>
      <c r="I2162" s="11">
        <f t="shared" si="52"/>
        <v>0.0357214934409686</v>
      </c>
      <c r="J2162" s="9">
        <f>MAX($F$2113:F2162)</f>
        <v>1.4865</v>
      </c>
      <c r="K2162" s="11">
        <f t="shared" si="51"/>
        <v>0.0357214934409686</v>
      </c>
      <c r="L2162" s="9">
        <f>MAX($F$1959:F2162)</f>
        <v>1.4865</v>
      </c>
      <c r="M2162" s="11">
        <f t="shared" si="53"/>
        <v>0.0357214934409686</v>
      </c>
      <c r="N2162" s="9" t="s">
        <v>812</v>
      </c>
    </row>
    <row r="2163" ht="25" customHeight="1" spans="1:14">
      <c r="A2163" s="9" t="s">
        <v>371</v>
      </c>
      <c r="B2163" s="9" t="s">
        <v>370</v>
      </c>
      <c r="C2163" s="10">
        <v>46234</v>
      </c>
      <c r="D2163" s="15">
        <v>1.082</v>
      </c>
      <c r="E2163" s="15">
        <v>1.417</v>
      </c>
      <c r="F2163" s="15">
        <v>1.4374</v>
      </c>
      <c r="G2163" s="11">
        <v>0.0028</v>
      </c>
      <c r="H2163" s="9">
        <f>MAX($F$1644:F2163)</f>
        <v>1.4865</v>
      </c>
      <c r="I2163" s="11">
        <f t="shared" si="52"/>
        <v>0.0330306088126471</v>
      </c>
      <c r="J2163" s="9">
        <f>MAX($F$2113:F2163)</f>
        <v>1.4865</v>
      </c>
      <c r="K2163" s="11">
        <f t="shared" si="51"/>
        <v>0.0330306088126471</v>
      </c>
      <c r="L2163" s="9">
        <f>MAX($F$1959:F2163)</f>
        <v>1.4865</v>
      </c>
      <c r="M2163" s="11">
        <f t="shared" si="53"/>
        <v>0.0330306088126471</v>
      </c>
      <c r="N2163" s="9" t="s">
        <v>812</v>
      </c>
    </row>
    <row r="2164" ht="25" customHeight="1" spans="1:14">
      <c r="A2164" s="9" t="s">
        <v>371</v>
      </c>
      <c r="B2164" s="9" t="s">
        <v>370</v>
      </c>
      <c r="C2164" s="10">
        <v>46239</v>
      </c>
      <c r="D2164" s="15">
        <v>1.098</v>
      </c>
      <c r="E2164" s="15">
        <v>1.433</v>
      </c>
      <c r="F2164" s="15">
        <v>1.4586</v>
      </c>
      <c r="G2164" s="11">
        <v>0.0148</v>
      </c>
      <c r="H2164" s="9">
        <f>MAX($F$1644:F2164)</f>
        <v>1.4865</v>
      </c>
      <c r="I2164" s="11">
        <f t="shared" si="52"/>
        <v>0.018768920282543</v>
      </c>
      <c r="J2164" s="9">
        <f>MAX($F$2113:F2164)</f>
        <v>1.4865</v>
      </c>
      <c r="K2164" s="11">
        <f t="shared" si="51"/>
        <v>0.018768920282543</v>
      </c>
      <c r="L2164" s="9">
        <f>MAX($F$1959:F2164)</f>
        <v>1.4865</v>
      </c>
      <c r="M2164" s="11">
        <f t="shared" si="53"/>
        <v>0.018768920282543</v>
      </c>
      <c r="N2164" s="9" t="s">
        <v>812</v>
      </c>
    </row>
    <row r="2165" ht="25" customHeight="1" spans="1:14">
      <c r="A2165" s="9" t="s">
        <v>371</v>
      </c>
      <c r="B2165" s="9" t="s">
        <v>370</v>
      </c>
      <c r="C2165" s="10">
        <v>46241</v>
      </c>
      <c r="D2165" s="15">
        <v>1.106</v>
      </c>
      <c r="E2165" s="15">
        <v>1.441</v>
      </c>
      <c r="F2165" s="15">
        <v>1.4692</v>
      </c>
      <c r="G2165" s="11">
        <v>0.0073</v>
      </c>
      <c r="H2165" s="9">
        <f>MAX($F$1644:F2165)</f>
        <v>1.4865</v>
      </c>
      <c r="I2165" s="11">
        <f t="shared" si="52"/>
        <v>0.0116380760174907</v>
      </c>
      <c r="J2165" s="9">
        <f>MAX($F$2113:F2165)</f>
        <v>1.4865</v>
      </c>
      <c r="K2165" s="11">
        <f t="shared" si="51"/>
        <v>0.0116380760174907</v>
      </c>
      <c r="L2165" s="9">
        <f>MAX($F$1959:F2165)</f>
        <v>1.4865</v>
      </c>
      <c r="M2165" s="11">
        <f t="shared" si="53"/>
        <v>0.0116380760174907</v>
      </c>
      <c r="N2165" s="9" t="s">
        <v>812</v>
      </c>
    </row>
    <row r="2166" ht="25" customHeight="1" spans="1:14">
      <c r="A2166" s="9" t="s">
        <v>371</v>
      </c>
      <c r="B2166" s="9" t="s">
        <v>370</v>
      </c>
      <c r="C2166" s="10">
        <v>46246</v>
      </c>
      <c r="D2166" s="15">
        <v>1.115</v>
      </c>
      <c r="E2166" s="15">
        <v>1.45</v>
      </c>
      <c r="F2166" s="15">
        <v>1.4812</v>
      </c>
      <c r="G2166" s="11">
        <v>0.0081</v>
      </c>
      <c r="H2166" s="9">
        <f>MAX($F$1644:F2166)</f>
        <v>1.4865</v>
      </c>
      <c r="I2166" s="11">
        <f t="shared" si="52"/>
        <v>0.00356542213252597</v>
      </c>
      <c r="J2166" s="9">
        <f>MAX($F$2113:F2166)</f>
        <v>1.4865</v>
      </c>
      <c r="K2166" s="11">
        <f t="shared" si="51"/>
        <v>0.00356542213252597</v>
      </c>
      <c r="L2166" s="9">
        <f>MAX($F$1959:F2166)</f>
        <v>1.4865</v>
      </c>
      <c r="M2166" s="11">
        <f t="shared" si="53"/>
        <v>0.00356542213252597</v>
      </c>
      <c r="N2166" s="9" t="s">
        <v>812</v>
      </c>
    </row>
    <row r="2167" ht="25" customHeight="1" spans="1:14">
      <c r="A2167" s="9" t="s">
        <v>371</v>
      </c>
      <c r="B2167" s="9" t="s">
        <v>370</v>
      </c>
      <c r="C2167" s="10">
        <v>46248</v>
      </c>
      <c r="D2167" s="15">
        <v>1.115</v>
      </c>
      <c r="E2167" s="15">
        <v>1.45</v>
      </c>
      <c r="F2167" s="15">
        <v>1.4812</v>
      </c>
      <c r="G2167" s="11">
        <v>0</v>
      </c>
      <c r="H2167" s="9">
        <f>MAX($F$1644:F2167)</f>
        <v>1.4865</v>
      </c>
      <c r="I2167" s="11">
        <f t="shared" si="52"/>
        <v>0.00356542213252597</v>
      </c>
      <c r="J2167" s="9">
        <f>MAX($F$2113:F2167)</f>
        <v>1.4865</v>
      </c>
      <c r="K2167" s="11">
        <f t="shared" si="51"/>
        <v>0.00356542213252597</v>
      </c>
      <c r="L2167" s="9">
        <f>MAX($F$1959:F2167)</f>
        <v>1.4865</v>
      </c>
      <c r="M2167" s="11">
        <f t="shared" si="53"/>
        <v>0.00356542213252597</v>
      </c>
      <c r="N2167" s="9" t="s">
        <v>812</v>
      </c>
    </row>
    <row r="2168" ht="25" customHeight="1" spans="1:14">
      <c r="A2168" s="9" t="s">
        <v>371</v>
      </c>
      <c r="B2168" s="9" t="s">
        <v>370</v>
      </c>
      <c r="C2168" s="10">
        <v>46253</v>
      </c>
      <c r="D2168" s="15">
        <v>1.118</v>
      </c>
      <c r="E2168" s="15">
        <v>1.453</v>
      </c>
      <c r="F2168" s="15">
        <v>1.4852</v>
      </c>
      <c r="G2168" s="11">
        <v>0.0027</v>
      </c>
      <c r="H2168" s="9">
        <f>MAX($F$1644:F2168)</f>
        <v>1.4865</v>
      </c>
      <c r="I2168" s="11">
        <f t="shared" si="52"/>
        <v>0.000874537504204409</v>
      </c>
      <c r="J2168" s="9">
        <f>MAX($F$2113:F2168)</f>
        <v>1.4865</v>
      </c>
      <c r="K2168" s="11">
        <f t="shared" si="51"/>
        <v>0.000874537504204409</v>
      </c>
      <c r="L2168" s="9">
        <f>MAX($F$1959:F2168)</f>
        <v>1.4865</v>
      </c>
      <c r="M2168" s="11">
        <f t="shared" si="53"/>
        <v>0.000874537504204409</v>
      </c>
      <c r="N2168" s="9" t="s">
        <v>812</v>
      </c>
    </row>
    <row r="2169" ht="25" customHeight="1" spans="1:14">
      <c r="A2169" s="9" t="s">
        <v>371</v>
      </c>
      <c r="B2169" s="9" t="s">
        <v>370</v>
      </c>
      <c r="C2169" s="10">
        <v>46255</v>
      </c>
      <c r="D2169" s="15">
        <v>1.122</v>
      </c>
      <c r="E2169" s="15">
        <v>1.457</v>
      </c>
      <c r="F2169" s="15">
        <v>1.4905</v>
      </c>
      <c r="G2169" s="11">
        <v>0.0036</v>
      </c>
      <c r="H2169" s="9">
        <f>MAX($F$1644:F2169)</f>
        <v>1.4905</v>
      </c>
      <c r="I2169" s="11">
        <f t="shared" si="52"/>
        <v>0</v>
      </c>
      <c r="J2169" s="9">
        <f>MAX($F$2113:F2169)</f>
        <v>1.4905</v>
      </c>
      <c r="K2169" s="11">
        <f t="shared" si="51"/>
        <v>0</v>
      </c>
      <c r="L2169" s="9">
        <f>MAX($F$1959:F2169)</f>
        <v>1.4905</v>
      </c>
      <c r="M2169" s="11">
        <f t="shared" si="53"/>
        <v>0</v>
      </c>
      <c r="N2169" s="9" t="s">
        <v>812</v>
      </c>
    </row>
    <row r="2170" ht="25" customHeight="1" spans="1:14">
      <c r="A2170" s="9" t="s">
        <v>371</v>
      </c>
      <c r="B2170" s="9" t="s">
        <v>370</v>
      </c>
      <c r="C2170" s="10">
        <v>46260</v>
      </c>
      <c r="D2170" s="15">
        <v>1.121</v>
      </c>
      <c r="E2170" s="15">
        <v>1.456</v>
      </c>
      <c r="F2170" s="15">
        <v>1.4892</v>
      </c>
      <c r="G2170" s="11">
        <v>-0.0009</v>
      </c>
      <c r="H2170" s="9">
        <f>MAX($F$1644:F2170)</f>
        <v>1.4905</v>
      </c>
      <c r="I2170" s="11">
        <f t="shared" si="52"/>
        <v>0.000872190540087137</v>
      </c>
      <c r="J2170" s="9">
        <f>MAX($F$2113:F2170)</f>
        <v>1.4905</v>
      </c>
      <c r="K2170" s="11">
        <f t="shared" si="51"/>
        <v>0.000872190540087137</v>
      </c>
      <c r="L2170" s="9">
        <f>MAX($F$1959:F2170)</f>
        <v>1.4905</v>
      </c>
      <c r="M2170" s="11">
        <f t="shared" si="53"/>
        <v>0.000872190540087137</v>
      </c>
      <c r="N2170" s="9" t="s">
        <v>812</v>
      </c>
    </row>
    <row r="2171" ht="25" customHeight="1" spans="1:14">
      <c r="A2171" s="9" t="s">
        <v>371</v>
      </c>
      <c r="B2171" s="9" t="s">
        <v>370</v>
      </c>
      <c r="C2171" s="10">
        <v>46262</v>
      </c>
      <c r="D2171" s="15">
        <v>1.124</v>
      </c>
      <c r="E2171" s="15">
        <v>1.459</v>
      </c>
      <c r="F2171" s="15">
        <v>1.4932</v>
      </c>
      <c r="G2171" s="11">
        <v>0.0027</v>
      </c>
      <c r="H2171" s="9">
        <f>MAX($F$1644:F2171)</f>
        <v>1.4932</v>
      </c>
      <c r="I2171" s="11">
        <f t="shared" si="52"/>
        <v>0</v>
      </c>
      <c r="J2171" s="9">
        <f>MAX($F$2113:F2171)</f>
        <v>1.4932</v>
      </c>
      <c r="K2171" s="11">
        <f t="shared" si="51"/>
        <v>0</v>
      </c>
      <c r="L2171" s="9">
        <f>MAX($F$1959:F2171)</f>
        <v>1.4932</v>
      </c>
      <c r="M2171" s="11">
        <f t="shared" si="53"/>
        <v>0</v>
      </c>
      <c r="N2171" s="9" t="s">
        <v>812</v>
      </c>
    </row>
    <row r="2172" ht="25" customHeight="1" spans="1:14">
      <c r="A2172" s="9" t="s">
        <v>371</v>
      </c>
      <c r="B2172" s="9" t="s">
        <v>370</v>
      </c>
      <c r="C2172" s="10">
        <v>46265</v>
      </c>
      <c r="D2172" s="15">
        <v>1.127</v>
      </c>
      <c r="E2172" s="15">
        <v>1.462</v>
      </c>
      <c r="F2172" s="15">
        <v>1.4971</v>
      </c>
      <c r="G2172" s="11">
        <v>0.0027</v>
      </c>
      <c r="H2172" s="9">
        <f>MAX($F$1644:F2172)</f>
        <v>1.4971</v>
      </c>
      <c r="I2172" s="11">
        <f t="shared" si="52"/>
        <v>0</v>
      </c>
      <c r="J2172" s="9">
        <f>MAX($F$2113:F2172)</f>
        <v>1.4971</v>
      </c>
      <c r="K2172" s="11">
        <f t="shared" si="51"/>
        <v>0</v>
      </c>
      <c r="L2172" s="9">
        <f>MAX($F$1959:F2172)</f>
        <v>1.4971</v>
      </c>
      <c r="M2172" s="11">
        <f t="shared" si="53"/>
        <v>0</v>
      </c>
      <c r="N2172" s="9" t="s">
        <v>812</v>
      </c>
    </row>
    <row r="2173" ht="25" customHeight="1" spans="1:14">
      <c r="A2173" s="9" t="s">
        <v>371</v>
      </c>
      <c r="B2173" s="9" t="s">
        <v>370</v>
      </c>
      <c r="C2173" s="10">
        <v>46267</v>
      </c>
      <c r="D2173" s="15">
        <v>1.125</v>
      </c>
      <c r="E2173" s="15">
        <v>1.46</v>
      </c>
      <c r="F2173" s="15">
        <v>1.4945</v>
      </c>
      <c r="G2173" s="11">
        <v>-0.0018</v>
      </c>
      <c r="H2173" s="9">
        <f>MAX($F$1644:F2173)</f>
        <v>1.4971</v>
      </c>
      <c r="I2173" s="11">
        <f t="shared" si="52"/>
        <v>0.0017366909358093</v>
      </c>
      <c r="J2173" s="9">
        <f>MAX($F$2113:F2173)</f>
        <v>1.4971</v>
      </c>
      <c r="K2173" s="11">
        <f t="shared" si="51"/>
        <v>0.0017366909358093</v>
      </c>
      <c r="L2173" s="9">
        <f>MAX($F$1959:F2173)</f>
        <v>1.4971</v>
      </c>
      <c r="M2173" s="11">
        <f t="shared" si="53"/>
        <v>0.0017366909358093</v>
      </c>
      <c r="N2173" s="9" t="s">
        <v>812</v>
      </c>
    </row>
    <row r="2174" ht="25" customHeight="1" spans="1:14">
      <c r="A2174" s="9" t="s">
        <v>53</v>
      </c>
      <c r="B2174" s="9" t="s">
        <v>49</v>
      </c>
      <c r="C2174" s="10">
        <v>44897</v>
      </c>
      <c r="D2174" s="15">
        <v>1</v>
      </c>
      <c r="E2174" s="15">
        <v>1</v>
      </c>
      <c r="F2174" s="15">
        <v>1</v>
      </c>
      <c r="G2174" s="11"/>
      <c r="H2174" s="9">
        <f>MAX($F$2174:F2174)</f>
        <v>1</v>
      </c>
      <c r="I2174" s="11">
        <f t="shared" si="52"/>
        <v>0</v>
      </c>
      <c r="J2174" s="9"/>
      <c r="K2174" s="11"/>
      <c r="L2174" s="9"/>
      <c r="M2174" s="11"/>
      <c r="N2174" s="9" t="s">
        <v>789</v>
      </c>
    </row>
    <row r="2175" ht="25" customHeight="1" spans="1:14">
      <c r="A2175" s="9" t="s">
        <v>53</v>
      </c>
      <c r="B2175" s="9" t="s">
        <v>49</v>
      </c>
      <c r="C2175" s="10">
        <v>44900</v>
      </c>
      <c r="D2175" s="15">
        <v>0.9999</v>
      </c>
      <c r="E2175" s="15">
        <v>0.9999</v>
      </c>
      <c r="F2175" s="15">
        <v>0.9999</v>
      </c>
      <c r="G2175" s="11">
        <v>-0.0001</v>
      </c>
      <c r="H2175" s="9">
        <f>MAX($F$2174:F2175)</f>
        <v>1</v>
      </c>
      <c r="I2175" s="11">
        <f t="shared" si="52"/>
        <v>9.9999999999989e-5</v>
      </c>
      <c r="J2175" s="9"/>
      <c r="K2175" s="11"/>
      <c r="L2175" s="9"/>
      <c r="M2175" s="11"/>
      <c r="N2175" s="9" t="s">
        <v>789</v>
      </c>
    </row>
    <row r="2176" ht="25" customHeight="1" spans="1:14">
      <c r="A2176" s="9" t="s">
        <v>53</v>
      </c>
      <c r="B2176" s="9" t="s">
        <v>49</v>
      </c>
      <c r="C2176" s="10">
        <v>44901</v>
      </c>
      <c r="D2176" s="15">
        <v>0.9998</v>
      </c>
      <c r="E2176" s="15">
        <v>0.9998</v>
      </c>
      <c r="F2176" s="15">
        <v>0.9998</v>
      </c>
      <c r="G2176" s="11">
        <v>-0.0001</v>
      </c>
      <c r="H2176" s="9">
        <f>MAX($F$2174:F2176)</f>
        <v>1</v>
      </c>
      <c r="I2176" s="11">
        <f t="shared" si="52"/>
        <v>0.000199999999999978</v>
      </c>
      <c r="J2176" s="9"/>
      <c r="K2176" s="11"/>
      <c r="L2176" s="9"/>
      <c r="M2176" s="11"/>
      <c r="N2176" s="9" t="s">
        <v>789</v>
      </c>
    </row>
    <row r="2177" ht="25" customHeight="1" spans="1:14">
      <c r="A2177" s="9" t="s">
        <v>53</v>
      </c>
      <c r="B2177" s="9" t="s">
        <v>49</v>
      </c>
      <c r="C2177" s="10">
        <v>44902</v>
      </c>
      <c r="D2177" s="15">
        <v>0.9998</v>
      </c>
      <c r="E2177" s="15">
        <v>0.9998</v>
      </c>
      <c r="F2177" s="15">
        <v>0.9998</v>
      </c>
      <c r="G2177" s="11">
        <v>0</v>
      </c>
      <c r="H2177" s="9">
        <f>MAX($F$2174:F2177)</f>
        <v>1</v>
      </c>
      <c r="I2177" s="11">
        <f t="shared" si="52"/>
        <v>0.000199999999999978</v>
      </c>
      <c r="J2177" s="9"/>
      <c r="K2177" s="11"/>
      <c r="L2177" s="9"/>
      <c r="M2177" s="11"/>
      <c r="N2177" s="9" t="s">
        <v>789</v>
      </c>
    </row>
    <row r="2178" ht="25" customHeight="1" spans="1:14">
      <c r="A2178" s="9" t="s">
        <v>53</v>
      </c>
      <c r="B2178" s="9" t="s">
        <v>49</v>
      </c>
      <c r="C2178" s="10">
        <v>44903</v>
      </c>
      <c r="D2178" s="15">
        <v>0.9997</v>
      </c>
      <c r="E2178" s="15">
        <v>0.9997</v>
      </c>
      <c r="F2178" s="15">
        <v>0.9997</v>
      </c>
      <c r="G2178" s="11">
        <v>-0.0001</v>
      </c>
      <c r="H2178" s="9">
        <f>MAX($F$2174:F2178)</f>
        <v>1</v>
      </c>
      <c r="I2178" s="11">
        <f t="shared" ref="I2178:I2241" si="54">1-F2178/H2178</f>
        <v>0.000299999999999967</v>
      </c>
      <c r="J2178" s="9"/>
      <c r="K2178" s="11"/>
      <c r="L2178" s="9"/>
      <c r="M2178" s="11"/>
      <c r="N2178" s="9" t="s">
        <v>789</v>
      </c>
    </row>
    <row r="2179" ht="25" customHeight="1" spans="1:14">
      <c r="A2179" s="9" t="s">
        <v>53</v>
      </c>
      <c r="B2179" s="9" t="s">
        <v>49</v>
      </c>
      <c r="C2179" s="10">
        <v>44904</v>
      </c>
      <c r="D2179" s="15">
        <v>0.9997</v>
      </c>
      <c r="E2179" s="15">
        <v>0.9997</v>
      </c>
      <c r="F2179" s="15">
        <v>0.9997</v>
      </c>
      <c r="G2179" s="11">
        <v>0</v>
      </c>
      <c r="H2179" s="9">
        <f>MAX($F$2174:F2179)</f>
        <v>1</v>
      </c>
      <c r="I2179" s="11">
        <f t="shared" si="54"/>
        <v>0.000299999999999967</v>
      </c>
      <c r="J2179" s="9"/>
      <c r="K2179" s="11"/>
      <c r="L2179" s="9"/>
      <c r="M2179" s="11"/>
      <c r="N2179" s="9" t="s">
        <v>789</v>
      </c>
    </row>
    <row r="2180" ht="25" customHeight="1" spans="1:14">
      <c r="A2180" s="9" t="s">
        <v>53</v>
      </c>
      <c r="B2180" s="9" t="s">
        <v>49</v>
      </c>
      <c r="C2180" s="10">
        <v>44907</v>
      </c>
      <c r="D2180" s="15">
        <v>0.9981</v>
      </c>
      <c r="E2180" s="15">
        <v>0.9981</v>
      </c>
      <c r="F2180" s="15">
        <v>0.9981</v>
      </c>
      <c r="G2180" s="11">
        <v>-0.0016</v>
      </c>
      <c r="H2180" s="9">
        <f>MAX($F$2174:F2180)</f>
        <v>1</v>
      </c>
      <c r="I2180" s="11">
        <f t="shared" si="54"/>
        <v>0.00190000000000001</v>
      </c>
      <c r="J2180" s="9"/>
      <c r="K2180" s="11"/>
      <c r="L2180" s="9"/>
      <c r="M2180" s="11"/>
      <c r="N2180" s="9" t="s">
        <v>789</v>
      </c>
    </row>
    <row r="2181" ht="25" customHeight="1" spans="1:14">
      <c r="A2181" s="9" t="s">
        <v>53</v>
      </c>
      <c r="B2181" s="9" t="s">
        <v>49</v>
      </c>
      <c r="C2181" s="10">
        <v>44908</v>
      </c>
      <c r="D2181" s="15">
        <v>0.9981</v>
      </c>
      <c r="E2181" s="15">
        <v>0.9981</v>
      </c>
      <c r="F2181" s="15">
        <v>0.9981</v>
      </c>
      <c r="G2181" s="11">
        <v>0</v>
      </c>
      <c r="H2181" s="9">
        <f>MAX($F$2174:F2181)</f>
        <v>1</v>
      </c>
      <c r="I2181" s="11">
        <f t="shared" si="54"/>
        <v>0.00190000000000001</v>
      </c>
      <c r="J2181" s="9"/>
      <c r="K2181" s="11"/>
      <c r="L2181" s="9"/>
      <c r="M2181" s="11"/>
      <c r="N2181" s="9" t="s">
        <v>789</v>
      </c>
    </row>
    <row r="2182" ht="25" customHeight="1" spans="1:14">
      <c r="A2182" s="9" t="s">
        <v>53</v>
      </c>
      <c r="B2182" s="9" t="s">
        <v>49</v>
      </c>
      <c r="C2182" s="10">
        <v>44909</v>
      </c>
      <c r="D2182" s="15">
        <v>0.9981</v>
      </c>
      <c r="E2182" s="15">
        <v>0.9981</v>
      </c>
      <c r="F2182" s="15">
        <v>0.9981</v>
      </c>
      <c r="G2182" s="11">
        <v>0</v>
      </c>
      <c r="H2182" s="9">
        <f>MAX($F$2174:F2182)</f>
        <v>1</v>
      </c>
      <c r="I2182" s="11">
        <f t="shared" si="54"/>
        <v>0.00190000000000001</v>
      </c>
      <c r="J2182" s="9"/>
      <c r="K2182" s="11"/>
      <c r="L2182" s="9"/>
      <c r="M2182" s="11"/>
      <c r="N2182" s="9" t="s">
        <v>789</v>
      </c>
    </row>
    <row r="2183" ht="25" customHeight="1" spans="1:14">
      <c r="A2183" s="9" t="s">
        <v>53</v>
      </c>
      <c r="B2183" s="9" t="s">
        <v>49</v>
      </c>
      <c r="C2183" s="10">
        <v>44910</v>
      </c>
      <c r="D2183" s="15">
        <v>0.998</v>
      </c>
      <c r="E2183" s="15">
        <v>0.998</v>
      </c>
      <c r="F2183" s="15">
        <v>0.998</v>
      </c>
      <c r="G2183" s="11">
        <v>-0.0001</v>
      </c>
      <c r="H2183" s="9">
        <f>MAX($F$2174:F2183)</f>
        <v>1</v>
      </c>
      <c r="I2183" s="11">
        <f t="shared" si="54"/>
        <v>0.002</v>
      </c>
      <c r="J2183" s="9"/>
      <c r="K2183" s="11"/>
      <c r="L2183" s="9"/>
      <c r="M2183" s="11"/>
      <c r="N2183" s="9" t="s">
        <v>789</v>
      </c>
    </row>
    <row r="2184" ht="25" customHeight="1" spans="1:14">
      <c r="A2184" s="9" t="s">
        <v>53</v>
      </c>
      <c r="B2184" s="9" t="s">
        <v>49</v>
      </c>
      <c r="C2184" s="10">
        <v>44911</v>
      </c>
      <c r="D2184" s="15">
        <v>0.998</v>
      </c>
      <c r="E2184" s="15">
        <v>0.998</v>
      </c>
      <c r="F2184" s="15">
        <v>0.998</v>
      </c>
      <c r="G2184" s="11">
        <v>0</v>
      </c>
      <c r="H2184" s="9">
        <f>MAX($F$2174:F2184)</f>
        <v>1</v>
      </c>
      <c r="I2184" s="11">
        <f t="shared" si="54"/>
        <v>0.002</v>
      </c>
      <c r="J2184" s="9"/>
      <c r="K2184" s="11"/>
      <c r="L2184" s="9"/>
      <c r="M2184" s="11"/>
      <c r="N2184" s="9" t="s">
        <v>789</v>
      </c>
    </row>
    <row r="2185" ht="25" customHeight="1" spans="1:14">
      <c r="A2185" s="9" t="s">
        <v>53</v>
      </c>
      <c r="B2185" s="9" t="s">
        <v>49</v>
      </c>
      <c r="C2185" s="10">
        <v>44914</v>
      </c>
      <c r="D2185" s="15">
        <v>0.9978</v>
      </c>
      <c r="E2185" s="15">
        <v>0.9978</v>
      </c>
      <c r="F2185" s="15">
        <v>0.9978</v>
      </c>
      <c r="G2185" s="11">
        <v>-0.0002</v>
      </c>
      <c r="H2185" s="9">
        <f>MAX($F$2174:F2185)</f>
        <v>1</v>
      </c>
      <c r="I2185" s="11">
        <f t="shared" si="54"/>
        <v>0.00219999999999998</v>
      </c>
      <c r="J2185" s="9"/>
      <c r="K2185" s="11"/>
      <c r="L2185" s="9"/>
      <c r="M2185" s="11"/>
      <c r="N2185" s="9" t="s">
        <v>789</v>
      </c>
    </row>
    <row r="2186" ht="25" customHeight="1" spans="1:14">
      <c r="A2186" s="9" t="s">
        <v>53</v>
      </c>
      <c r="B2186" s="9" t="s">
        <v>49</v>
      </c>
      <c r="C2186" s="10">
        <v>44915</v>
      </c>
      <c r="D2186" s="15">
        <v>0.9978</v>
      </c>
      <c r="E2186" s="15">
        <v>0.9978</v>
      </c>
      <c r="F2186" s="15">
        <v>0.9978</v>
      </c>
      <c r="G2186" s="11">
        <v>0</v>
      </c>
      <c r="H2186" s="9">
        <f>MAX($F$2174:F2186)</f>
        <v>1</v>
      </c>
      <c r="I2186" s="11">
        <f t="shared" si="54"/>
        <v>0.00219999999999998</v>
      </c>
      <c r="J2186" s="9"/>
      <c r="K2186" s="11"/>
      <c r="L2186" s="9"/>
      <c r="M2186" s="11"/>
      <c r="N2186" s="9" t="s">
        <v>789</v>
      </c>
    </row>
    <row r="2187" ht="25" customHeight="1" spans="1:14">
      <c r="A2187" s="9" t="s">
        <v>53</v>
      </c>
      <c r="B2187" s="9" t="s">
        <v>49</v>
      </c>
      <c r="C2187" s="10">
        <v>44916</v>
      </c>
      <c r="D2187" s="15">
        <v>0.9977</v>
      </c>
      <c r="E2187" s="15">
        <v>0.9977</v>
      </c>
      <c r="F2187" s="15">
        <v>0.9977</v>
      </c>
      <c r="G2187" s="11">
        <v>-0.0001</v>
      </c>
      <c r="H2187" s="9">
        <f>MAX($F$2174:F2187)</f>
        <v>1</v>
      </c>
      <c r="I2187" s="11">
        <f t="shared" si="54"/>
        <v>0.00229999999999997</v>
      </c>
      <c r="J2187" s="9"/>
      <c r="K2187" s="11"/>
      <c r="L2187" s="9"/>
      <c r="M2187" s="11"/>
      <c r="N2187" s="9" t="s">
        <v>789</v>
      </c>
    </row>
    <row r="2188" ht="25" customHeight="1" spans="1:14">
      <c r="A2188" s="9" t="s">
        <v>53</v>
      </c>
      <c r="B2188" s="9" t="s">
        <v>49</v>
      </c>
      <c r="C2188" s="10">
        <v>44917</v>
      </c>
      <c r="D2188" s="15">
        <v>0.9977</v>
      </c>
      <c r="E2188" s="15">
        <v>0.9977</v>
      </c>
      <c r="F2188" s="15">
        <v>0.9977</v>
      </c>
      <c r="G2188" s="11">
        <v>0</v>
      </c>
      <c r="H2188" s="9">
        <f>MAX($F$2174:F2188)</f>
        <v>1</v>
      </c>
      <c r="I2188" s="11">
        <f t="shared" si="54"/>
        <v>0.00229999999999997</v>
      </c>
      <c r="J2188" s="9"/>
      <c r="K2188" s="11"/>
      <c r="L2188" s="9"/>
      <c r="M2188" s="11"/>
      <c r="N2188" s="9" t="s">
        <v>789</v>
      </c>
    </row>
    <row r="2189" ht="25" customHeight="1" spans="1:14">
      <c r="A2189" s="9" t="s">
        <v>53</v>
      </c>
      <c r="B2189" s="9" t="s">
        <v>49</v>
      </c>
      <c r="C2189" s="10">
        <v>44918</v>
      </c>
      <c r="D2189" s="15">
        <v>0.9968</v>
      </c>
      <c r="E2189" s="15">
        <v>0.9968</v>
      </c>
      <c r="F2189" s="15">
        <v>0.9968</v>
      </c>
      <c r="G2189" s="11">
        <v>-0.0009</v>
      </c>
      <c r="H2189" s="9">
        <f>MAX($F$2174:F2189)</f>
        <v>1</v>
      </c>
      <c r="I2189" s="11">
        <f t="shared" si="54"/>
        <v>0.00319999999999998</v>
      </c>
      <c r="J2189" s="9"/>
      <c r="K2189" s="11"/>
      <c r="L2189" s="9"/>
      <c r="M2189" s="11"/>
      <c r="N2189" s="9" t="s">
        <v>789</v>
      </c>
    </row>
    <row r="2190" ht="25" customHeight="1" spans="1:14">
      <c r="A2190" s="9" t="s">
        <v>53</v>
      </c>
      <c r="B2190" s="9" t="s">
        <v>49</v>
      </c>
      <c r="C2190" s="10">
        <v>44921</v>
      </c>
      <c r="D2190" s="15">
        <v>0.9967</v>
      </c>
      <c r="E2190" s="15">
        <v>0.9967</v>
      </c>
      <c r="F2190" s="15">
        <v>0.9967</v>
      </c>
      <c r="G2190" s="11">
        <v>-0.0001</v>
      </c>
      <c r="H2190" s="9">
        <f>MAX($F$2174:F2190)</f>
        <v>1</v>
      </c>
      <c r="I2190" s="11">
        <f t="shared" si="54"/>
        <v>0.00329999999999997</v>
      </c>
      <c r="J2190" s="9"/>
      <c r="K2190" s="11"/>
      <c r="L2190" s="9"/>
      <c r="M2190" s="11"/>
      <c r="N2190" s="9" t="s">
        <v>789</v>
      </c>
    </row>
    <row r="2191" ht="25" customHeight="1" spans="1:14">
      <c r="A2191" s="9" t="s">
        <v>53</v>
      </c>
      <c r="B2191" s="9" t="s">
        <v>49</v>
      </c>
      <c r="C2191" s="10">
        <v>44922</v>
      </c>
      <c r="D2191" s="15">
        <v>0.9966</v>
      </c>
      <c r="E2191" s="15">
        <v>0.9966</v>
      </c>
      <c r="F2191" s="15">
        <v>0.9966</v>
      </c>
      <c r="G2191" s="11">
        <v>-0.0001</v>
      </c>
      <c r="H2191" s="9">
        <f>MAX($F$2174:F2191)</f>
        <v>1</v>
      </c>
      <c r="I2191" s="11">
        <f t="shared" si="54"/>
        <v>0.00339999999999996</v>
      </c>
      <c r="J2191" s="9"/>
      <c r="K2191" s="11"/>
      <c r="L2191" s="9"/>
      <c r="M2191" s="11"/>
      <c r="N2191" s="9" t="s">
        <v>789</v>
      </c>
    </row>
    <row r="2192" ht="25" customHeight="1" spans="1:14">
      <c r="A2192" s="9" t="s">
        <v>53</v>
      </c>
      <c r="B2192" s="9" t="s">
        <v>49</v>
      </c>
      <c r="C2192" s="10">
        <v>44923</v>
      </c>
      <c r="D2192" s="15">
        <v>0.9966</v>
      </c>
      <c r="E2192" s="15">
        <v>0.9966</v>
      </c>
      <c r="F2192" s="15">
        <v>0.9966</v>
      </c>
      <c r="G2192" s="11">
        <v>0</v>
      </c>
      <c r="H2192" s="9">
        <f>MAX($F$2174:F2192)</f>
        <v>1</v>
      </c>
      <c r="I2192" s="11">
        <f t="shared" si="54"/>
        <v>0.00339999999999996</v>
      </c>
      <c r="J2192" s="9"/>
      <c r="K2192" s="11"/>
      <c r="L2192" s="9"/>
      <c r="M2192" s="11"/>
      <c r="N2192" s="9" t="s">
        <v>789</v>
      </c>
    </row>
    <row r="2193" ht="25" customHeight="1" spans="1:14">
      <c r="A2193" s="9" t="s">
        <v>53</v>
      </c>
      <c r="B2193" s="9" t="s">
        <v>49</v>
      </c>
      <c r="C2193" s="10">
        <v>44924</v>
      </c>
      <c r="D2193" s="15">
        <v>0.9965</v>
      </c>
      <c r="E2193" s="15">
        <v>0.9965</v>
      </c>
      <c r="F2193" s="15">
        <v>0.9965</v>
      </c>
      <c r="G2193" s="11">
        <v>-0.0001</v>
      </c>
      <c r="H2193" s="9">
        <f>MAX($F$2174:F2193)</f>
        <v>1</v>
      </c>
      <c r="I2193" s="11">
        <f t="shared" si="54"/>
        <v>0.00349999999999995</v>
      </c>
      <c r="J2193" s="9"/>
      <c r="K2193" s="11"/>
      <c r="L2193" s="9"/>
      <c r="M2193" s="11"/>
      <c r="N2193" s="9" t="s">
        <v>789</v>
      </c>
    </row>
    <row r="2194" ht="25" customHeight="1" spans="1:14">
      <c r="A2194" s="9" t="s">
        <v>53</v>
      </c>
      <c r="B2194" s="9" t="s">
        <v>49</v>
      </c>
      <c r="C2194" s="10">
        <v>44925</v>
      </c>
      <c r="D2194" s="15">
        <v>0.9965</v>
      </c>
      <c r="E2194" s="15">
        <v>0.9965</v>
      </c>
      <c r="F2194" s="15">
        <v>0.9965</v>
      </c>
      <c r="G2194" s="11">
        <v>0</v>
      </c>
      <c r="H2194" s="9">
        <f>MAX($F$2174:F2194)</f>
        <v>1</v>
      </c>
      <c r="I2194" s="11">
        <f t="shared" si="54"/>
        <v>0.00349999999999995</v>
      </c>
      <c r="J2194" s="9"/>
      <c r="K2194" s="11"/>
      <c r="L2194" s="9"/>
      <c r="M2194" s="11"/>
      <c r="N2194" s="9" t="s">
        <v>789</v>
      </c>
    </row>
    <row r="2195" ht="25" customHeight="1" spans="1:14">
      <c r="A2195" s="9" t="s">
        <v>53</v>
      </c>
      <c r="B2195" s="9" t="s">
        <v>49</v>
      </c>
      <c r="C2195" s="10">
        <v>44929</v>
      </c>
      <c r="D2195" s="15">
        <v>0.9963</v>
      </c>
      <c r="E2195" s="15">
        <v>0.9963</v>
      </c>
      <c r="F2195" s="15">
        <v>0.9963</v>
      </c>
      <c r="G2195" s="11">
        <v>-0.0002</v>
      </c>
      <c r="H2195" s="9">
        <f>MAX($F$2174:F2195)</f>
        <v>1</v>
      </c>
      <c r="I2195" s="11">
        <f t="shared" si="54"/>
        <v>0.00370000000000004</v>
      </c>
      <c r="J2195" s="9"/>
      <c r="K2195" s="11"/>
      <c r="L2195" s="9"/>
      <c r="M2195" s="11"/>
      <c r="N2195" s="9" t="s">
        <v>789</v>
      </c>
    </row>
    <row r="2196" ht="25" customHeight="1" spans="1:14">
      <c r="A2196" s="9" t="s">
        <v>53</v>
      </c>
      <c r="B2196" s="9" t="s">
        <v>49</v>
      </c>
      <c r="C2196" s="10">
        <v>44930</v>
      </c>
      <c r="D2196" s="15">
        <v>0.9962</v>
      </c>
      <c r="E2196" s="15">
        <v>0.9962</v>
      </c>
      <c r="F2196" s="15">
        <v>0.9962</v>
      </c>
      <c r="G2196" s="11">
        <v>-0.0001</v>
      </c>
      <c r="H2196" s="9">
        <f>MAX($F$2174:F2196)</f>
        <v>1</v>
      </c>
      <c r="I2196" s="11">
        <f t="shared" si="54"/>
        <v>0.00380000000000003</v>
      </c>
      <c r="J2196" s="9"/>
      <c r="K2196" s="11"/>
      <c r="L2196" s="9"/>
      <c r="M2196" s="11"/>
      <c r="N2196" s="9" t="s">
        <v>789</v>
      </c>
    </row>
    <row r="2197" ht="25" customHeight="1" spans="1:14">
      <c r="A2197" s="9" t="s">
        <v>53</v>
      </c>
      <c r="B2197" s="9" t="s">
        <v>49</v>
      </c>
      <c r="C2197" s="10">
        <v>44931</v>
      </c>
      <c r="D2197" s="15">
        <v>0.9962</v>
      </c>
      <c r="E2197" s="15">
        <v>0.9962</v>
      </c>
      <c r="F2197" s="15">
        <v>0.9962</v>
      </c>
      <c r="G2197" s="11">
        <v>0</v>
      </c>
      <c r="H2197" s="9">
        <f>MAX($F$2174:F2197)</f>
        <v>1</v>
      </c>
      <c r="I2197" s="11">
        <f t="shared" si="54"/>
        <v>0.00380000000000003</v>
      </c>
      <c r="J2197" s="9"/>
      <c r="K2197" s="11"/>
      <c r="L2197" s="9"/>
      <c r="M2197" s="11"/>
      <c r="N2197" s="9" t="s">
        <v>789</v>
      </c>
    </row>
    <row r="2198" ht="25" customHeight="1" spans="1:14">
      <c r="A2198" s="9" t="s">
        <v>53</v>
      </c>
      <c r="B2198" s="9" t="s">
        <v>49</v>
      </c>
      <c r="C2198" s="10">
        <v>44932</v>
      </c>
      <c r="D2198" s="15">
        <v>0.9962</v>
      </c>
      <c r="E2198" s="15">
        <v>0.9962</v>
      </c>
      <c r="F2198" s="15">
        <v>0.9962</v>
      </c>
      <c r="G2198" s="11">
        <v>0</v>
      </c>
      <c r="H2198" s="9">
        <f>MAX($F$2174:F2198)</f>
        <v>1</v>
      </c>
      <c r="I2198" s="11">
        <f t="shared" si="54"/>
        <v>0.00380000000000003</v>
      </c>
      <c r="J2198" s="9"/>
      <c r="K2198" s="11"/>
      <c r="L2198" s="9"/>
      <c r="M2198" s="11"/>
      <c r="N2198" s="9" t="s">
        <v>789</v>
      </c>
    </row>
    <row r="2199" ht="25" customHeight="1" spans="1:14">
      <c r="A2199" s="9" t="s">
        <v>53</v>
      </c>
      <c r="B2199" s="9" t="s">
        <v>49</v>
      </c>
      <c r="C2199" s="10">
        <v>44935</v>
      </c>
      <c r="D2199" s="15">
        <v>0.9953</v>
      </c>
      <c r="E2199" s="15">
        <v>0.9953</v>
      </c>
      <c r="F2199" s="15">
        <v>0.9953</v>
      </c>
      <c r="G2199" s="11">
        <v>-0.0009</v>
      </c>
      <c r="H2199" s="9">
        <f>MAX($F$2174:F2199)</f>
        <v>1</v>
      </c>
      <c r="I2199" s="11">
        <f t="shared" si="54"/>
        <v>0.00470000000000004</v>
      </c>
      <c r="J2199" s="9"/>
      <c r="K2199" s="11"/>
      <c r="L2199" s="9"/>
      <c r="M2199" s="11"/>
      <c r="N2199" s="9" t="s">
        <v>789</v>
      </c>
    </row>
    <row r="2200" ht="25" customHeight="1" spans="1:14">
      <c r="A2200" s="9" t="s">
        <v>53</v>
      </c>
      <c r="B2200" s="9" t="s">
        <v>49</v>
      </c>
      <c r="C2200" s="10">
        <v>44936</v>
      </c>
      <c r="D2200" s="15">
        <v>0.9953</v>
      </c>
      <c r="E2200" s="15">
        <v>0.9953</v>
      </c>
      <c r="F2200" s="15">
        <v>0.9953</v>
      </c>
      <c r="G2200" s="11">
        <v>0</v>
      </c>
      <c r="H2200" s="9">
        <f>MAX($F$2174:F2200)</f>
        <v>1</v>
      </c>
      <c r="I2200" s="11">
        <f t="shared" si="54"/>
        <v>0.00470000000000004</v>
      </c>
      <c r="J2200" s="9"/>
      <c r="K2200" s="11"/>
      <c r="L2200" s="9"/>
      <c r="M2200" s="11"/>
      <c r="N2200" s="9" t="s">
        <v>789</v>
      </c>
    </row>
    <row r="2201" ht="25" customHeight="1" spans="1:14">
      <c r="A2201" s="9" t="s">
        <v>53</v>
      </c>
      <c r="B2201" s="9" t="s">
        <v>49</v>
      </c>
      <c r="C2201" s="10">
        <v>44937</v>
      </c>
      <c r="D2201" s="15">
        <v>0.9952</v>
      </c>
      <c r="E2201" s="15">
        <v>0.9952</v>
      </c>
      <c r="F2201" s="15">
        <v>0.9952</v>
      </c>
      <c r="G2201" s="11">
        <v>-0.0001</v>
      </c>
      <c r="H2201" s="9">
        <f>MAX($F$2174:F2201)</f>
        <v>1</v>
      </c>
      <c r="I2201" s="11">
        <f t="shared" si="54"/>
        <v>0.00480000000000003</v>
      </c>
      <c r="J2201" s="9"/>
      <c r="K2201" s="11"/>
      <c r="L2201" s="9"/>
      <c r="M2201" s="11"/>
      <c r="N2201" s="9" t="s">
        <v>789</v>
      </c>
    </row>
    <row r="2202" ht="25" customHeight="1" spans="1:14">
      <c r="A2202" s="9" t="s">
        <v>53</v>
      </c>
      <c r="B2202" s="9" t="s">
        <v>49</v>
      </c>
      <c r="C2202" s="10">
        <v>44938</v>
      </c>
      <c r="D2202" s="15">
        <v>0.9952</v>
      </c>
      <c r="E2202" s="15">
        <v>0.9952</v>
      </c>
      <c r="F2202" s="15">
        <v>0.9952</v>
      </c>
      <c r="G2202" s="11">
        <v>0</v>
      </c>
      <c r="H2202" s="9">
        <f>MAX($F$2174:F2202)</f>
        <v>1</v>
      </c>
      <c r="I2202" s="11">
        <f t="shared" si="54"/>
        <v>0.00480000000000003</v>
      </c>
      <c r="J2202" s="9"/>
      <c r="K2202" s="11"/>
      <c r="L2202" s="9"/>
      <c r="M2202" s="11"/>
      <c r="N2202" s="9" t="s">
        <v>789</v>
      </c>
    </row>
    <row r="2203" ht="25" customHeight="1" spans="1:14">
      <c r="A2203" s="9" t="s">
        <v>53</v>
      </c>
      <c r="B2203" s="9" t="s">
        <v>49</v>
      </c>
      <c r="C2203" s="10">
        <v>44939</v>
      </c>
      <c r="D2203" s="15">
        <v>0.9951</v>
      </c>
      <c r="E2203" s="15">
        <v>0.9951</v>
      </c>
      <c r="F2203" s="15">
        <v>0.9951</v>
      </c>
      <c r="G2203" s="11">
        <v>-0.0001</v>
      </c>
      <c r="H2203" s="9">
        <f>MAX($F$2174:F2203)</f>
        <v>1</v>
      </c>
      <c r="I2203" s="11">
        <f t="shared" si="54"/>
        <v>0.00490000000000002</v>
      </c>
      <c r="J2203" s="9"/>
      <c r="K2203" s="11"/>
      <c r="L2203" s="9"/>
      <c r="M2203" s="11"/>
      <c r="N2203" s="9" t="s">
        <v>789</v>
      </c>
    </row>
    <row r="2204" ht="25" customHeight="1" spans="1:14">
      <c r="A2204" s="9" t="s">
        <v>53</v>
      </c>
      <c r="B2204" s="9" t="s">
        <v>49</v>
      </c>
      <c r="C2204" s="10">
        <v>44942</v>
      </c>
      <c r="D2204" s="15">
        <v>0.995</v>
      </c>
      <c r="E2204" s="15">
        <v>0.995</v>
      </c>
      <c r="F2204" s="15">
        <v>0.995</v>
      </c>
      <c r="G2204" s="11">
        <v>-0.0001</v>
      </c>
      <c r="H2204" s="9">
        <f>MAX($F$2174:F2204)</f>
        <v>1</v>
      </c>
      <c r="I2204" s="11">
        <f t="shared" si="54"/>
        <v>0.005</v>
      </c>
      <c r="J2204" s="9"/>
      <c r="K2204" s="11"/>
      <c r="L2204" s="9"/>
      <c r="M2204" s="11"/>
      <c r="N2204" s="9" t="s">
        <v>789</v>
      </c>
    </row>
    <row r="2205" ht="25" customHeight="1" spans="1:14">
      <c r="A2205" s="9" t="s">
        <v>53</v>
      </c>
      <c r="B2205" s="9" t="s">
        <v>49</v>
      </c>
      <c r="C2205" s="10">
        <v>44943</v>
      </c>
      <c r="D2205" s="15">
        <v>0.9949</v>
      </c>
      <c r="E2205" s="15">
        <v>0.9949</v>
      </c>
      <c r="F2205" s="15">
        <v>0.9949</v>
      </c>
      <c r="G2205" s="11">
        <v>-0.0001</v>
      </c>
      <c r="H2205" s="9">
        <f>MAX($F$2174:F2205)</f>
        <v>1</v>
      </c>
      <c r="I2205" s="11">
        <f t="shared" si="54"/>
        <v>0.00509999999999999</v>
      </c>
      <c r="J2205" s="9"/>
      <c r="K2205" s="11"/>
      <c r="L2205" s="9"/>
      <c r="M2205" s="11"/>
      <c r="N2205" s="9" t="s">
        <v>789</v>
      </c>
    </row>
    <row r="2206" ht="25" customHeight="1" spans="1:14">
      <c r="A2206" s="9" t="s">
        <v>53</v>
      </c>
      <c r="B2206" s="9" t="s">
        <v>49</v>
      </c>
      <c r="C2206" s="10">
        <v>44944</v>
      </c>
      <c r="D2206" s="15">
        <v>0.9949</v>
      </c>
      <c r="E2206" s="15">
        <v>0.9949</v>
      </c>
      <c r="F2206" s="15">
        <v>0.9949</v>
      </c>
      <c r="G2206" s="11">
        <v>0</v>
      </c>
      <c r="H2206" s="9">
        <f>MAX($F$2174:F2206)</f>
        <v>1</v>
      </c>
      <c r="I2206" s="11">
        <f t="shared" si="54"/>
        <v>0.00509999999999999</v>
      </c>
      <c r="J2206" s="9"/>
      <c r="K2206" s="11"/>
      <c r="L2206" s="9"/>
      <c r="M2206" s="11"/>
      <c r="N2206" s="9" t="s">
        <v>789</v>
      </c>
    </row>
    <row r="2207" ht="25" customHeight="1" spans="1:14">
      <c r="A2207" s="9" t="s">
        <v>53</v>
      </c>
      <c r="B2207" s="9" t="s">
        <v>49</v>
      </c>
      <c r="C2207" s="10">
        <v>44945</v>
      </c>
      <c r="D2207" s="15">
        <v>0.9949</v>
      </c>
      <c r="E2207" s="15">
        <v>0.9949</v>
      </c>
      <c r="F2207" s="15">
        <v>0.9949</v>
      </c>
      <c r="G2207" s="11">
        <v>0</v>
      </c>
      <c r="H2207" s="9">
        <f>MAX($F$2174:F2207)</f>
        <v>1</v>
      </c>
      <c r="I2207" s="11">
        <f t="shared" si="54"/>
        <v>0.00509999999999999</v>
      </c>
      <c r="J2207" s="9"/>
      <c r="K2207" s="11"/>
      <c r="L2207" s="9"/>
      <c r="M2207" s="11"/>
      <c r="N2207" s="9" t="s">
        <v>789</v>
      </c>
    </row>
    <row r="2208" ht="25" customHeight="1" spans="1:14">
      <c r="A2208" s="9" t="s">
        <v>53</v>
      </c>
      <c r="B2208" s="9" t="s">
        <v>49</v>
      </c>
      <c r="C2208" s="10">
        <v>44946</v>
      </c>
      <c r="D2208" s="15">
        <v>0.9948</v>
      </c>
      <c r="E2208" s="15">
        <v>0.9948</v>
      </c>
      <c r="F2208" s="15">
        <v>0.9948</v>
      </c>
      <c r="G2208" s="11">
        <v>-0.0001</v>
      </c>
      <c r="H2208" s="9">
        <f>MAX($F$2174:F2208)</f>
        <v>1</v>
      </c>
      <c r="I2208" s="11">
        <f t="shared" si="54"/>
        <v>0.00519999999999998</v>
      </c>
      <c r="J2208" s="9"/>
      <c r="K2208" s="11"/>
      <c r="L2208" s="9"/>
      <c r="M2208" s="11"/>
      <c r="N2208" s="9" t="s">
        <v>789</v>
      </c>
    </row>
    <row r="2209" ht="25" customHeight="1" spans="1:14">
      <c r="A2209" s="9" t="s">
        <v>53</v>
      </c>
      <c r="B2209" s="9" t="s">
        <v>49</v>
      </c>
      <c r="C2209" s="10">
        <v>44956</v>
      </c>
      <c r="D2209" s="15">
        <v>0.9943</v>
      </c>
      <c r="E2209" s="15">
        <v>0.9943</v>
      </c>
      <c r="F2209" s="15">
        <v>0.9943</v>
      </c>
      <c r="G2209" s="11">
        <v>-0.0005</v>
      </c>
      <c r="H2209" s="9">
        <f>MAX($F$2174:F2209)</f>
        <v>1</v>
      </c>
      <c r="I2209" s="11">
        <f t="shared" si="54"/>
        <v>0.00570000000000004</v>
      </c>
      <c r="J2209" s="9"/>
      <c r="K2209" s="11"/>
      <c r="L2209" s="9"/>
      <c r="M2209" s="11"/>
      <c r="N2209" s="9" t="s">
        <v>789</v>
      </c>
    </row>
    <row r="2210" ht="25" customHeight="1" spans="1:14">
      <c r="A2210" s="9" t="s">
        <v>53</v>
      </c>
      <c r="B2210" s="9" t="s">
        <v>49</v>
      </c>
      <c r="C2210" s="10">
        <v>44957</v>
      </c>
      <c r="D2210" s="15">
        <v>0.9943</v>
      </c>
      <c r="E2210" s="15">
        <v>0.9943</v>
      </c>
      <c r="F2210" s="15">
        <v>0.9943</v>
      </c>
      <c r="G2210" s="11">
        <v>0</v>
      </c>
      <c r="H2210" s="9">
        <f>MAX($F$2174:F2210)</f>
        <v>1</v>
      </c>
      <c r="I2210" s="11">
        <f t="shared" si="54"/>
        <v>0.00570000000000004</v>
      </c>
      <c r="J2210" s="9"/>
      <c r="K2210" s="11"/>
      <c r="L2210" s="9"/>
      <c r="M2210" s="11"/>
      <c r="N2210" s="9" t="s">
        <v>789</v>
      </c>
    </row>
    <row r="2211" ht="25" customHeight="1" spans="1:14">
      <c r="A2211" s="9" t="s">
        <v>53</v>
      </c>
      <c r="B2211" s="9" t="s">
        <v>49</v>
      </c>
      <c r="C2211" s="10">
        <v>44958</v>
      </c>
      <c r="D2211" s="15">
        <v>0.9943</v>
      </c>
      <c r="E2211" s="15">
        <v>0.9943</v>
      </c>
      <c r="F2211" s="15">
        <v>0.9943</v>
      </c>
      <c r="G2211" s="11">
        <v>0</v>
      </c>
      <c r="H2211" s="9">
        <f>MAX($F$2174:F2211)</f>
        <v>1</v>
      </c>
      <c r="I2211" s="11">
        <f t="shared" si="54"/>
        <v>0.00570000000000004</v>
      </c>
      <c r="J2211" s="9"/>
      <c r="K2211" s="11"/>
      <c r="L2211" s="9"/>
      <c r="M2211" s="11"/>
      <c r="N2211" s="9" t="s">
        <v>789</v>
      </c>
    </row>
    <row r="2212" ht="25" customHeight="1" spans="1:14">
      <c r="A2212" s="9" t="s">
        <v>53</v>
      </c>
      <c r="B2212" s="9" t="s">
        <v>49</v>
      </c>
      <c r="C2212" s="10">
        <v>44959</v>
      </c>
      <c r="D2212" s="15">
        <v>0.9942</v>
      </c>
      <c r="E2212" s="15">
        <v>0.9942</v>
      </c>
      <c r="F2212" s="15">
        <v>0.9942</v>
      </c>
      <c r="G2212" s="11">
        <v>-0.0001</v>
      </c>
      <c r="H2212" s="9">
        <f>MAX($F$2174:F2212)</f>
        <v>1</v>
      </c>
      <c r="I2212" s="11">
        <f t="shared" si="54"/>
        <v>0.00580000000000003</v>
      </c>
      <c r="J2212" s="9"/>
      <c r="K2212" s="11"/>
      <c r="L2212" s="9"/>
      <c r="M2212" s="11"/>
      <c r="N2212" s="9" t="s">
        <v>789</v>
      </c>
    </row>
    <row r="2213" ht="25" customHeight="1" spans="1:14">
      <c r="A2213" s="9" t="s">
        <v>53</v>
      </c>
      <c r="B2213" s="9" t="s">
        <v>49</v>
      </c>
      <c r="C2213" s="10">
        <v>44960</v>
      </c>
      <c r="D2213" s="15">
        <v>0.9942</v>
      </c>
      <c r="E2213" s="15">
        <v>0.9942</v>
      </c>
      <c r="F2213" s="15">
        <v>0.9942</v>
      </c>
      <c r="G2213" s="11">
        <v>0</v>
      </c>
      <c r="H2213" s="9">
        <f>MAX($F$2174:F2213)</f>
        <v>1</v>
      </c>
      <c r="I2213" s="11">
        <f t="shared" si="54"/>
        <v>0.00580000000000003</v>
      </c>
      <c r="J2213" s="9"/>
      <c r="K2213" s="11"/>
      <c r="L2213" s="9"/>
      <c r="M2213" s="11"/>
      <c r="N2213" s="9" t="s">
        <v>789</v>
      </c>
    </row>
    <row r="2214" ht="25" customHeight="1" spans="1:14">
      <c r="A2214" s="9" t="s">
        <v>53</v>
      </c>
      <c r="B2214" s="9" t="s">
        <v>49</v>
      </c>
      <c r="C2214" s="10">
        <v>44963</v>
      </c>
      <c r="D2214" s="15">
        <v>0.994</v>
      </c>
      <c r="E2214" s="15">
        <v>0.994</v>
      </c>
      <c r="F2214" s="15">
        <v>0.994</v>
      </c>
      <c r="G2214" s="11">
        <v>-0.0002</v>
      </c>
      <c r="H2214" s="9">
        <f>MAX($F$2174:F2214)</f>
        <v>1</v>
      </c>
      <c r="I2214" s="11">
        <f t="shared" si="54"/>
        <v>0.00600000000000001</v>
      </c>
      <c r="J2214" s="9"/>
      <c r="K2214" s="11"/>
      <c r="L2214" s="9"/>
      <c r="M2214" s="11"/>
      <c r="N2214" s="9" t="s">
        <v>789</v>
      </c>
    </row>
    <row r="2215" ht="25" customHeight="1" spans="1:14">
      <c r="A2215" s="9" t="s">
        <v>53</v>
      </c>
      <c r="B2215" s="9" t="s">
        <v>49</v>
      </c>
      <c r="C2215" s="10">
        <v>44964</v>
      </c>
      <c r="D2215" s="15">
        <v>0.994</v>
      </c>
      <c r="E2215" s="15">
        <v>0.994</v>
      </c>
      <c r="F2215" s="15">
        <v>0.994</v>
      </c>
      <c r="G2215" s="11">
        <v>0</v>
      </c>
      <c r="H2215" s="9">
        <f>MAX($F$2174:F2215)</f>
        <v>1</v>
      </c>
      <c r="I2215" s="11">
        <f t="shared" si="54"/>
        <v>0.00600000000000001</v>
      </c>
      <c r="J2215" s="9"/>
      <c r="K2215" s="11"/>
      <c r="L2215" s="9"/>
      <c r="M2215" s="11"/>
      <c r="N2215" s="9" t="s">
        <v>789</v>
      </c>
    </row>
    <row r="2216" ht="25" customHeight="1" spans="1:14">
      <c r="A2216" s="9" t="s">
        <v>53</v>
      </c>
      <c r="B2216" s="9" t="s">
        <v>49</v>
      </c>
      <c r="C2216" s="10">
        <v>44965</v>
      </c>
      <c r="D2216" s="15">
        <v>0.9939</v>
      </c>
      <c r="E2216" s="15">
        <v>0.9939</v>
      </c>
      <c r="F2216" s="15">
        <v>0.9939</v>
      </c>
      <c r="G2216" s="11">
        <v>-0.0001</v>
      </c>
      <c r="H2216" s="9">
        <f>MAX($F$2174:F2216)</f>
        <v>1</v>
      </c>
      <c r="I2216" s="11">
        <f t="shared" si="54"/>
        <v>0.00609999999999999</v>
      </c>
      <c r="J2216" s="9"/>
      <c r="K2216" s="11"/>
      <c r="L2216" s="9"/>
      <c r="M2216" s="11"/>
      <c r="N2216" s="9" t="s">
        <v>789</v>
      </c>
    </row>
    <row r="2217" ht="25" customHeight="1" spans="1:14">
      <c r="A2217" s="9" t="s">
        <v>53</v>
      </c>
      <c r="B2217" s="9" t="s">
        <v>49</v>
      </c>
      <c r="C2217" s="10">
        <v>44966</v>
      </c>
      <c r="D2217" s="15">
        <v>0.9939</v>
      </c>
      <c r="E2217" s="15">
        <v>0.9939</v>
      </c>
      <c r="F2217" s="15">
        <v>0.9939</v>
      </c>
      <c r="G2217" s="11">
        <v>0</v>
      </c>
      <c r="H2217" s="9">
        <f>MAX($F$2174:F2217)</f>
        <v>1</v>
      </c>
      <c r="I2217" s="11">
        <f t="shared" si="54"/>
        <v>0.00609999999999999</v>
      </c>
      <c r="J2217" s="9"/>
      <c r="K2217" s="11"/>
      <c r="L2217" s="9"/>
      <c r="M2217" s="11"/>
      <c r="N2217" s="9" t="s">
        <v>789</v>
      </c>
    </row>
    <row r="2218" ht="25" customHeight="1" spans="1:14">
      <c r="A2218" s="9" t="s">
        <v>53</v>
      </c>
      <c r="B2218" s="9" t="s">
        <v>49</v>
      </c>
      <c r="C2218" s="10">
        <v>44967</v>
      </c>
      <c r="D2218" s="15">
        <v>0.9937</v>
      </c>
      <c r="E2218" s="15">
        <v>0.9937</v>
      </c>
      <c r="F2218" s="15">
        <v>0.9937</v>
      </c>
      <c r="G2218" s="11">
        <v>-0.0002</v>
      </c>
      <c r="H2218" s="9">
        <f>MAX($F$2174:F2218)</f>
        <v>1</v>
      </c>
      <c r="I2218" s="11">
        <f t="shared" si="54"/>
        <v>0.00629999999999997</v>
      </c>
      <c r="J2218" s="9"/>
      <c r="K2218" s="11"/>
      <c r="L2218" s="9"/>
      <c r="M2218" s="11"/>
      <c r="N2218" s="9" t="s">
        <v>789</v>
      </c>
    </row>
    <row r="2219" ht="25" customHeight="1" spans="1:14">
      <c r="A2219" s="9" t="s">
        <v>53</v>
      </c>
      <c r="B2219" s="9" t="s">
        <v>49</v>
      </c>
      <c r="C2219" s="10">
        <v>44970</v>
      </c>
      <c r="D2219" s="15">
        <v>0.9935</v>
      </c>
      <c r="E2219" s="15">
        <v>0.9935</v>
      </c>
      <c r="F2219" s="15">
        <v>0.9935</v>
      </c>
      <c r="G2219" s="11">
        <v>-0.0002</v>
      </c>
      <c r="H2219" s="9">
        <f>MAX($F$2174:F2219)</f>
        <v>1</v>
      </c>
      <c r="I2219" s="11">
        <f t="shared" si="54"/>
        <v>0.00649999999999995</v>
      </c>
      <c r="J2219" s="9"/>
      <c r="K2219" s="11"/>
      <c r="L2219" s="9"/>
      <c r="M2219" s="11"/>
      <c r="N2219" s="9" t="s">
        <v>789</v>
      </c>
    </row>
    <row r="2220" ht="25" customHeight="1" spans="1:14">
      <c r="A2220" s="9" t="s">
        <v>53</v>
      </c>
      <c r="B2220" s="9" t="s">
        <v>49</v>
      </c>
      <c r="C2220" s="10">
        <v>44971</v>
      </c>
      <c r="D2220" s="15">
        <v>0.9935</v>
      </c>
      <c r="E2220" s="15">
        <v>0.9935</v>
      </c>
      <c r="F2220" s="15">
        <v>0.9935</v>
      </c>
      <c r="G2220" s="11">
        <v>0</v>
      </c>
      <c r="H2220" s="9">
        <f>MAX($F$2174:F2220)</f>
        <v>1</v>
      </c>
      <c r="I2220" s="11">
        <f t="shared" si="54"/>
        <v>0.00649999999999995</v>
      </c>
      <c r="J2220" s="9"/>
      <c r="K2220" s="11"/>
      <c r="L2220" s="9"/>
      <c r="M2220" s="11"/>
      <c r="N2220" s="9" t="s">
        <v>789</v>
      </c>
    </row>
    <row r="2221" ht="25" customHeight="1" spans="1:14">
      <c r="A2221" s="9" t="s">
        <v>53</v>
      </c>
      <c r="B2221" s="9" t="s">
        <v>49</v>
      </c>
      <c r="C2221" s="10">
        <v>44972</v>
      </c>
      <c r="D2221" s="15">
        <v>0.9934</v>
      </c>
      <c r="E2221" s="15">
        <v>0.9934</v>
      </c>
      <c r="F2221" s="15">
        <v>0.9934</v>
      </c>
      <c r="G2221" s="11">
        <v>-0.0001</v>
      </c>
      <c r="H2221" s="9">
        <f>MAX($F$2174:F2221)</f>
        <v>1</v>
      </c>
      <c r="I2221" s="11">
        <f t="shared" si="54"/>
        <v>0.00660000000000005</v>
      </c>
      <c r="J2221" s="9"/>
      <c r="K2221" s="11"/>
      <c r="L2221" s="9"/>
      <c r="M2221" s="11"/>
      <c r="N2221" s="9" t="s">
        <v>789</v>
      </c>
    </row>
    <row r="2222" ht="25" customHeight="1" spans="1:14">
      <c r="A2222" s="9" t="s">
        <v>53</v>
      </c>
      <c r="B2222" s="9" t="s">
        <v>49</v>
      </c>
      <c r="C2222" s="10">
        <v>44973</v>
      </c>
      <c r="D2222" s="15">
        <v>0.9934</v>
      </c>
      <c r="E2222" s="15">
        <v>0.9934</v>
      </c>
      <c r="F2222" s="15">
        <v>0.9934</v>
      </c>
      <c r="G2222" s="11">
        <v>0</v>
      </c>
      <c r="H2222" s="9">
        <f>MAX($F$2174:F2222)</f>
        <v>1</v>
      </c>
      <c r="I2222" s="11">
        <f t="shared" si="54"/>
        <v>0.00660000000000005</v>
      </c>
      <c r="J2222" s="9"/>
      <c r="K2222" s="11"/>
      <c r="L2222" s="9"/>
      <c r="M2222" s="11"/>
      <c r="N2222" s="9" t="s">
        <v>789</v>
      </c>
    </row>
    <row r="2223" ht="25" customHeight="1" spans="1:14">
      <c r="A2223" s="9" t="s">
        <v>53</v>
      </c>
      <c r="B2223" s="9" t="s">
        <v>49</v>
      </c>
      <c r="C2223" s="10">
        <v>44974</v>
      </c>
      <c r="D2223" s="15">
        <v>0.9933</v>
      </c>
      <c r="E2223" s="15">
        <v>0.9933</v>
      </c>
      <c r="F2223" s="15">
        <v>0.9933</v>
      </c>
      <c r="G2223" s="11">
        <v>-0.0001</v>
      </c>
      <c r="H2223" s="9">
        <f>MAX($F$2174:F2223)</f>
        <v>1</v>
      </c>
      <c r="I2223" s="11">
        <f t="shared" si="54"/>
        <v>0.00670000000000004</v>
      </c>
      <c r="J2223" s="9"/>
      <c r="K2223" s="11"/>
      <c r="L2223" s="9"/>
      <c r="M2223" s="11"/>
      <c r="N2223" s="9" t="s">
        <v>789</v>
      </c>
    </row>
    <row r="2224" ht="25" customHeight="1" spans="1:14">
      <c r="A2224" s="9" t="s">
        <v>53</v>
      </c>
      <c r="B2224" s="9" t="s">
        <v>49</v>
      </c>
      <c r="C2224" s="10">
        <v>44977</v>
      </c>
      <c r="D2224" s="15">
        <v>0.9932</v>
      </c>
      <c r="E2224" s="15">
        <v>0.9932</v>
      </c>
      <c r="F2224" s="15">
        <v>0.9932</v>
      </c>
      <c r="G2224" s="11">
        <v>-0.0001</v>
      </c>
      <c r="H2224" s="9">
        <f>MAX($F$2174:F2224)</f>
        <v>1</v>
      </c>
      <c r="I2224" s="11">
        <f t="shared" si="54"/>
        <v>0.00680000000000003</v>
      </c>
      <c r="J2224" s="9"/>
      <c r="K2224" s="11"/>
      <c r="L2224" s="9"/>
      <c r="M2224" s="11"/>
      <c r="N2224" s="9" t="s">
        <v>789</v>
      </c>
    </row>
    <row r="2225" ht="25" customHeight="1" spans="1:14">
      <c r="A2225" s="9" t="s">
        <v>53</v>
      </c>
      <c r="B2225" s="9" t="s">
        <v>49</v>
      </c>
      <c r="C2225" s="10">
        <v>44978</v>
      </c>
      <c r="D2225" s="15">
        <v>0.9932</v>
      </c>
      <c r="E2225" s="15">
        <v>0.9932</v>
      </c>
      <c r="F2225" s="15">
        <v>0.9932</v>
      </c>
      <c r="G2225" s="11">
        <v>0</v>
      </c>
      <c r="H2225" s="9">
        <f>MAX($F$2174:F2225)</f>
        <v>1</v>
      </c>
      <c r="I2225" s="11">
        <f t="shared" si="54"/>
        <v>0.00680000000000003</v>
      </c>
      <c r="J2225" s="9"/>
      <c r="K2225" s="11"/>
      <c r="L2225" s="9"/>
      <c r="M2225" s="11"/>
      <c r="N2225" s="9" t="s">
        <v>789</v>
      </c>
    </row>
    <row r="2226" ht="25" customHeight="1" spans="1:14">
      <c r="A2226" s="9" t="s">
        <v>53</v>
      </c>
      <c r="B2226" s="9" t="s">
        <v>49</v>
      </c>
      <c r="C2226" s="10">
        <v>44979</v>
      </c>
      <c r="D2226" s="15">
        <v>0.9931</v>
      </c>
      <c r="E2226" s="15">
        <v>0.9931</v>
      </c>
      <c r="F2226" s="15">
        <v>0.9931</v>
      </c>
      <c r="G2226" s="11">
        <v>-0.0001</v>
      </c>
      <c r="H2226" s="9">
        <f>MAX($F$2174:F2226)</f>
        <v>1</v>
      </c>
      <c r="I2226" s="11">
        <f t="shared" si="54"/>
        <v>0.00690000000000002</v>
      </c>
      <c r="J2226" s="9"/>
      <c r="K2226" s="11"/>
      <c r="L2226" s="9"/>
      <c r="M2226" s="11"/>
      <c r="N2226" s="9" t="s">
        <v>789</v>
      </c>
    </row>
    <row r="2227" ht="25" customHeight="1" spans="1:14">
      <c r="A2227" s="9" t="s">
        <v>53</v>
      </c>
      <c r="B2227" s="9" t="s">
        <v>49</v>
      </c>
      <c r="C2227" s="10">
        <v>44980</v>
      </c>
      <c r="D2227" s="15">
        <v>0.9931</v>
      </c>
      <c r="E2227" s="15">
        <v>0.9931</v>
      </c>
      <c r="F2227" s="15">
        <v>0.9931</v>
      </c>
      <c r="G2227" s="11">
        <v>0</v>
      </c>
      <c r="H2227" s="9">
        <f>MAX($F$2174:F2227)</f>
        <v>1</v>
      </c>
      <c r="I2227" s="11">
        <f t="shared" si="54"/>
        <v>0.00690000000000002</v>
      </c>
      <c r="J2227" s="9"/>
      <c r="K2227" s="11"/>
      <c r="L2227" s="9"/>
      <c r="M2227" s="11"/>
      <c r="N2227" s="9" t="s">
        <v>789</v>
      </c>
    </row>
    <row r="2228" ht="25" customHeight="1" spans="1:14">
      <c r="A2228" s="9" t="s">
        <v>53</v>
      </c>
      <c r="B2228" s="9" t="s">
        <v>49</v>
      </c>
      <c r="C2228" s="10">
        <v>44981</v>
      </c>
      <c r="D2228" s="15">
        <v>0.993</v>
      </c>
      <c r="E2228" s="15">
        <v>0.993</v>
      </c>
      <c r="F2228" s="15">
        <v>0.993</v>
      </c>
      <c r="G2228" s="11">
        <v>-0.0001</v>
      </c>
      <c r="H2228" s="9">
        <f>MAX($F$2174:F2228)</f>
        <v>1</v>
      </c>
      <c r="I2228" s="11">
        <f t="shared" si="54"/>
        <v>0.00700000000000001</v>
      </c>
      <c r="J2228" s="9"/>
      <c r="K2228" s="11"/>
      <c r="L2228" s="9"/>
      <c r="M2228" s="11"/>
      <c r="N2228" s="9" t="s">
        <v>789</v>
      </c>
    </row>
    <row r="2229" ht="25" customHeight="1" spans="1:14">
      <c r="A2229" s="9" t="s">
        <v>53</v>
      </c>
      <c r="B2229" s="9" t="s">
        <v>49</v>
      </c>
      <c r="C2229" s="10">
        <v>44984</v>
      </c>
      <c r="D2229" s="15">
        <v>0.9928</v>
      </c>
      <c r="E2229" s="15">
        <v>0.9928</v>
      </c>
      <c r="F2229" s="15">
        <v>0.9928</v>
      </c>
      <c r="G2229" s="11">
        <v>-0.0002</v>
      </c>
      <c r="H2229" s="9">
        <f>MAX($F$2174:F2229)</f>
        <v>1</v>
      </c>
      <c r="I2229" s="11">
        <f t="shared" si="54"/>
        <v>0.00719999999999998</v>
      </c>
      <c r="J2229" s="9"/>
      <c r="K2229" s="11"/>
      <c r="L2229" s="9"/>
      <c r="M2229" s="11"/>
      <c r="N2229" s="9" t="s">
        <v>789</v>
      </c>
    </row>
    <row r="2230" ht="25" customHeight="1" spans="1:14">
      <c r="A2230" s="9" t="s">
        <v>53</v>
      </c>
      <c r="B2230" s="9" t="s">
        <v>49</v>
      </c>
      <c r="C2230" s="10">
        <v>44985</v>
      </c>
      <c r="D2230" s="15">
        <v>0.9938</v>
      </c>
      <c r="E2230" s="15">
        <v>0.9938</v>
      </c>
      <c r="F2230" s="15">
        <v>0.9938</v>
      </c>
      <c r="G2230" s="11">
        <v>0.001</v>
      </c>
      <c r="H2230" s="9">
        <f>MAX($F$2174:F2230)</f>
        <v>1</v>
      </c>
      <c r="I2230" s="11">
        <f t="shared" si="54"/>
        <v>0.00619999999999998</v>
      </c>
      <c r="J2230" s="9"/>
      <c r="K2230" s="11"/>
      <c r="L2230" s="9"/>
      <c r="M2230" s="11"/>
      <c r="N2230" s="9" t="s">
        <v>789</v>
      </c>
    </row>
    <row r="2231" ht="25" customHeight="1" spans="1:14">
      <c r="A2231" s="9" t="s">
        <v>53</v>
      </c>
      <c r="B2231" s="9" t="s">
        <v>49</v>
      </c>
      <c r="C2231" s="10">
        <v>44986</v>
      </c>
      <c r="D2231" s="15">
        <v>0.9977</v>
      </c>
      <c r="E2231" s="15">
        <v>0.9977</v>
      </c>
      <c r="F2231" s="15">
        <v>0.9977</v>
      </c>
      <c r="G2231" s="11">
        <v>0.0039</v>
      </c>
      <c r="H2231" s="9">
        <f>MAX($F$2174:F2231)</f>
        <v>1</v>
      </c>
      <c r="I2231" s="11">
        <f t="shared" si="54"/>
        <v>0.00229999999999997</v>
      </c>
      <c r="J2231" s="9"/>
      <c r="K2231" s="11"/>
      <c r="L2231" s="9"/>
      <c r="M2231" s="11"/>
      <c r="N2231" s="9" t="s">
        <v>789</v>
      </c>
    </row>
    <row r="2232" ht="25" customHeight="1" spans="1:14">
      <c r="A2232" s="9" t="s">
        <v>53</v>
      </c>
      <c r="B2232" s="9" t="s">
        <v>49</v>
      </c>
      <c r="C2232" s="10">
        <v>44987</v>
      </c>
      <c r="D2232" s="15">
        <v>0.9943</v>
      </c>
      <c r="E2232" s="15">
        <v>0.9943</v>
      </c>
      <c r="F2232" s="15">
        <v>0.9943</v>
      </c>
      <c r="G2232" s="11">
        <v>-0.0034</v>
      </c>
      <c r="H2232" s="9">
        <f>MAX($F$2174:F2232)</f>
        <v>1</v>
      </c>
      <c r="I2232" s="11">
        <f t="shared" si="54"/>
        <v>0.00570000000000004</v>
      </c>
      <c r="J2232" s="9"/>
      <c r="K2232" s="11"/>
      <c r="L2232" s="9"/>
      <c r="M2232" s="11"/>
      <c r="N2232" s="9" t="s">
        <v>789</v>
      </c>
    </row>
    <row r="2233" ht="25" customHeight="1" spans="1:14">
      <c r="A2233" s="9" t="s">
        <v>53</v>
      </c>
      <c r="B2233" s="9" t="s">
        <v>49</v>
      </c>
      <c r="C2233" s="10">
        <v>44988</v>
      </c>
      <c r="D2233" s="15">
        <v>0.9966</v>
      </c>
      <c r="E2233" s="15">
        <v>0.9966</v>
      </c>
      <c r="F2233" s="15">
        <v>0.9966</v>
      </c>
      <c r="G2233" s="11">
        <v>0.0023</v>
      </c>
      <c r="H2233" s="9">
        <f>MAX($F$2174:F2233)</f>
        <v>1</v>
      </c>
      <c r="I2233" s="11">
        <f t="shared" si="54"/>
        <v>0.00339999999999996</v>
      </c>
      <c r="J2233" s="9"/>
      <c r="K2233" s="11"/>
      <c r="L2233" s="9"/>
      <c r="M2233" s="11"/>
      <c r="N2233" s="9" t="s">
        <v>789</v>
      </c>
    </row>
    <row r="2234" ht="25" customHeight="1" spans="1:14">
      <c r="A2234" s="9" t="s">
        <v>53</v>
      </c>
      <c r="B2234" s="9" t="s">
        <v>49</v>
      </c>
      <c r="C2234" s="10">
        <v>44991</v>
      </c>
      <c r="D2234" s="15">
        <v>0.9983</v>
      </c>
      <c r="E2234" s="15">
        <v>0.9983</v>
      </c>
      <c r="F2234" s="15">
        <v>0.9983</v>
      </c>
      <c r="G2234" s="11">
        <v>0.0017</v>
      </c>
      <c r="H2234" s="9">
        <f>MAX($F$2174:F2234)</f>
        <v>1</v>
      </c>
      <c r="I2234" s="11">
        <f t="shared" si="54"/>
        <v>0.00170000000000003</v>
      </c>
      <c r="J2234" s="9"/>
      <c r="K2234" s="11"/>
      <c r="L2234" s="9"/>
      <c r="M2234" s="11"/>
      <c r="N2234" s="9" t="s">
        <v>789</v>
      </c>
    </row>
    <row r="2235" ht="25" customHeight="1" spans="1:14">
      <c r="A2235" s="9" t="s">
        <v>53</v>
      </c>
      <c r="B2235" s="9" t="s">
        <v>49</v>
      </c>
      <c r="C2235" s="10">
        <v>44992</v>
      </c>
      <c r="D2235" s="15">
        <v>0.9948</v>
      </c>
      <c r="E2235" s="15">
        <v>0.9948</v>
      </c>
      <c r="F2235" s="15">
        <v>0.9948</v>
      </c>
      <c r="G2235" s="11">
        <v>-0.0035</v>
      </c>
      <c r="H2235" s="9">
        <f>MAX($F$2174:F2235)</f>
        <v>1</v>
      </c>
      <c r="I2235" s="11">
        <f t="shared" si="54"/>
        <v>0.00519999999999998</v>
      </c>
      <c r="J2235" s="9"/>
      <c r="K2235" s="11"/>
      <c r="L2235" s="9"/>
      <c r="M2235" s="11"/>
      <c r="N2235" s="9" t="s">
        <v>789</v>
      </c>
    </row>
    <row r="2236" ht="25" customHeight="1" spans="1:14">
      <c r="A2236" s="9" t="s">
        <v>53</v>
      </c>
      <c r="B2236" s="9" t="s">
        <v>49</v>
      </c>
      <c r="C2236" s="10">
        <v>44993</v>
      </c>
      <c r="D2236" s="15">
        <v>0.9938</v>
      </c>
      <c r="E2236" s="15">
        <v>0.9938</v>
      </c>
      <c r="F2236" s="15">
        <v>0.9938</v>
      </c>
      <c r="G2236" s="11">
        <v>-0.001</v>
      </c>
      <c r="H2236" s="9">
        <f>MAX($F$2174:F2236)</f>
        <v>1</v>
      </c>
      <c r="I2236" s="11">
        <f t="shared" si="54"/>
        <v>0.00619999999999998</v>
      </c>
      <c r="J2236" s="9"/>
      <c r="K2236" s="11"/>
      <c r="L2236" s="9"/>
      <c r="M2236" s="11"/>
      <c r="N2236" s="9" t="s">
        <v>789</v>
      </c>
    </row>
    <row r="2237" ht="25" customHeight="1" spans="1:14">
      <c r="A2237" s="9" t="s">
        <v>53</v>
      </c>
      <c r="B2237" s="9" t="s">
        <v>49</v>
      </c>
      <c r="C2237" s="10">
        <v>44994</v>
      </c>
      <c r="D2237" s="15">
        <v>0.994</v>
      </c>
      <c r="E2237" s="15">
        <v>0.994</v>
      </c>
      <c r="F2237" s="15">
        <v>0.994</v>
      </c>
      <c r="G2237" s="11">
        <v>0.0002</v>
      </c>
      <c r="H2237" s="9">
        <f>MAX($F$2174:F2237)</f>
        <v>1</v>
      </c>
      <c r="I2237" s="11">
        <f t="shared" si="54"/>
        <v>0.00600000000000001</v>
      </c>
      <c r="J2237" s="9"/>
      <c r="K2237" s="11"/>
      <c r="L2237" s="9"/>
      <c r="M2237" s="11"/>
      <c r="N2237" s="9" t="s">
        <v>789</v>
      </c>
    </row>
    <row r="2238" ht="25" customHeight="1" spans="1:14">
      <c r="A2238" s="9" t="s">
        <v>53</v>
      </c>
      <c r="B2238" s="9" t="s">
        <v>49</v>
      </c>
      <c r="C2238" s="10">
        <v>44995</v>
      </c>
      <c r="D2238" s="15">
        <v>1.0013</v>
      </c>
      <c r="E2238" s="15">
        <v>1.0013</v>
      </c>
      <c r="F2238" s="15">
        <v>1.0013</v>
      </c>
      <c r="G2238" s="11">
        <v>0.0073</v>
      </c>
      <c r="H2238" s="9">
        <f>MAX($F$2174:F2238)</f>
        <v>1.0013</v>
      </c>
      <c r="I2238" s="11">
        <f t="shared" si="54"/>
        <v>0</v>
      </c>
      <c r="J2238" s="9"/>
      <c r="K2238" s="11"/>
      <c r="L2238" s="9"/>
      <c r="M2238" s="11"/>
      <c r="N2238" s="9" t="s">
        <v>789</v>
      </c>
    </row>
    <row r="2239" ht="25" customHeight="1" spans="1:14">
      <c r="A2239" s="9" t="s">
        <v>53</v>
      </c>
      <c r="B2239" s="9" t="s">
        <v>49</v>
      </c>
      <c r="C2239" s="10">
        <v>44998</v>
      </c>
      <c r="D2239" s="15">
        <v>0.9985</v>
      </c>
      <c r="E2239" s="15">
        <v>0.9985</v>
      </c>
      <c r="F2239" s="15">
        <v>0.9985</v>
      </c>
      <c r="G2239" s="11">
        <v>-0.0028</v>
      </c>
      <c r="H2239" s="9">
        <f>MAX($F$2174:F2239)</f>
        <v>1.0013</v>
      </c>
      <c r="I2239" s="11">
        <f t="shared" si="54"/>
        <v>0.00279636472585643</v>
      </c>
      <c r="J2239" s="9"/>
      <c r="K2239" s="11"/>
      <c r="L2239" s="9"/>
      <c r="M2239" s="11"/>
      <c r="N2239" s="9" t="s">
        <v>789</v>
      </c>
    </row>
    <row r="2240" ht="25" customHeight="1" spans="1:14">
      <c r="A2240" s="9" t="s">
        <v>53</v>
      </c>
      <c r="B2240" s="9" t="s">
        <v>49</v>
      </c>
      <c r="C2240" s="10">
        <v>44999</v>
      </c>
      <c r="D2240" s="15">
        <v>0.9911</v>
      </c>
      <c r="E2240" s="15">
        <v>0.9911</v>
      </c>
      <c r="F2240" s="15">
        <v>0.9911</v>
      </c>
      <c r="G2240" s="11">
        <v>-0.0074</v>
      </c>
      <c r="H2240" s="9">
        <f>MAX($F$2174:F2240)</f>
        <v>1.0013</v>
      </c>
      <c r="I2240" s="11">
        <f t="shared" si="54"/>
        <v>0.0101867572156198</v>
      </c>
      <c r="J2240" s="9"/>
      <c r="K2240" s="11"/>
      <c r="L2240" s="9"/>
      <c r="M2240" s="11"/>
      <c r="N2240" s="9" t="s">
        <v>789</v>
      </c>
    </row>
    <row r="2241" ht="25" customHeight="1" spans="1:14">
      <c r="A2241" s="9" t="s">
        <v>53</v>
      </c>
      <c r="B2241" s="9" t="s">
        <v>49</v>
      </c>
      <c r="C2241" s="10">
        <v>45000</v>
      </c>
      <c r="D2241" s="15">
        <v>0.9895</v>
      </c>
      <c r="E2241" s="15">
        <v>0.9895</v>
      </c>
      <c r="F2241" s="15">
        <v>0.9895</v>
      </c>
      <c r="G2241" s="11">
        <v>-0.0016</v>
      </c>
      <c r="H2241" s="9">
        <f>MAX($F$2174:F2241)</f>
        <v>1.0013</v>
      </c>
      <c r="I2241" s="11">
        <f t="shared" si="54"/>
        <v>0.0117846799161091</v>
      </c>
      <c r="J2241" s="9"/>
      <c r="K2241" s="11"/>
      <c r="L2241" s="9"/>
      <c r="M2241" s="11"/>
      <c r="N2241" s="9" t="s">
        <v>789</v>
      </c>
    </row>
    <row r="2242" ht="25" customHeight="1" spans="1:14">
      <c r="A2242" s="9" t="s">
        <v>53</v>
      </c>
      <c r="B2242" s="9" t="s">
        <v>49</v>
      </c>
      <c r="C2242" s="10">
        <v>45001</v>
      </c>
      <c r="D2242" s="15">
        <v>0.9747</v>
      </c>
      <c r="E2242" s="15">
        <v>0.9747</v>
      </c>
      <c r="F2242" s="15">
        <v>0.9747</v>
      </c>
      <c r="G2242" s="11">
        <v>-0.015</v>
      </c>
      <c r="H2242" s="9">
        <f>MAX($F$2174:F2242)</f>
        <v>1.0013</v>
      </c>
      <c r="I2242" s="11">
        <f t="shared" ref="I2242:I2305" si="55">1-F2242/H2242</f>
        <v>0.0265654648956357</v>
      </c>
      <c r="J2242" s="9"/>
      <c r="K2242" s="11"/>
      <c r="L2242" s="9"/>
      <c r="M2242" s="11"/>
      <c r="N2242" s="9" t="s">
        <v>789</v>
      </c>
    </row>
    <row r="2243" ht="25" customHeight="1" spans="1:14">
      <c r="A2243" s="9" t="s">
        <v>53</v>
      </c>
      <c r="B2243" s="9" t="s">
        <v>49</v>
      </c>
      <c r="C2243" s="10">
        <v>45002</v>
      </c>
      <c r="D2243" s="15">
        <v>0.9666</v>
      </c>
      <c r="E2243" s="15">
        <v>0.9666</v>
      </c>
      <c r="F2243" s="15">
        <v>0.9666</v>
      </c>
      <c r="G2243" s="11">
        <v>-0.0083</v>
      </c>
      <c r="H2243" s="9">
        <f>MAX($F$2174:F2243)</f>
        <v>1.0013</v>
      </c>
      <c r="I2243" s="11">
        <f t="shared" si="55"/>
        <v>0.0346549485668631</v>
      </c>
      <c r="J2243" s="9"/>
      <c r="K2243" s="11"/>
      <c r="L2243" s="9"/>
      <c r="M2243" s="11"/>
      <c r="N2243" s="9" t="s">
        <v>789</v>
      </c>
    </row>
    <row r="2244" ht="25" customHeight="1" spans="1:14">
      <c r="A2244" s="9" t="s">
        <v>53</v>
      </c>
      <c r="B2244" s="9" t="s">
        <v>49</v>
      </c>
      <c r="C2244" s="10">
        <v>45005</v>
      </c>
      <c r="D2244" s="15">
        <v>0.9548</v>
      </c>
      <c r="E2244" s="15">
        <v>0.9548</v>
      </c>
      <c r="F2244" s="15">
        <v>0.9548</v>
      </c>
      <c r="G2244" s="11">
        <v>-0.0122</v>
      </c>
      <c r="H2244" s="9">
        <f>MAX($F$2174:F2244)</f>
        <v>1.0013</v>
      </c>
      <c r="I2244" s="11">
        <f t="shared" si="55"/>
        <v>0.0464396284829722</v>
      </c>
      <c r="J2244" s="9"/>
      <c r="K2244" s="11"/>
      <c r="L2244" s="9"/>
      <c r="M2244" s="11"/>
      <c r="N2244" s="9" t="s">
        <v>789</v>
      </c>
    </row>
    <row r="2245" ht="25" customHeight="1" spans="1:14">
      <c r="A2245" s="9" t="s">
        <v>53</v>
      </c>
      <c r="B2245" s="9" t="s">
        <v>49</v>
      </c>
      <c r="C2245" s="10">
        <v>45006</v>
      </c>
      <c r="D2245" s="15">
        <v>0.9547</v>
      </c>
      <c r="E2245" s="15">
        <v>0.9547</v>
      </c>
      <c r="F2245" s="15">
        <v>0.9547</v>
      </c>
      <c r="G2245" s="11">
        <v>-0.0001</v>
      </c>
      <c r="H2245" s="9">
        <f>MAX($F$2174:F2245)</f>
        <v>1.0013</v>
      </c>
      <c r="I2245" s="11">
        <f t="shared" si="55"/>
        <v>0.0465394986517528</v>
      </c>
      <c r="J2245" s="9"/>
      <c r="K2245" s="11"/>
      <c r="L2245" s="9"/>
      <c r="M2245" s="11"/>
      <c r="N2245" s="9" t="s">
        <v>789</v>
      </c>
    </row>
    <row r="2246" ht="25" customHeight="1" spans="1:14">
      <c r="A2246" s="9" t="s">
        <v>53</v>
      </c>
      <c r="B2246" s="9" t="s">
        <v>49</v>
      </c>
      <c r="C2246" s="10">
        <v>45007</v>
      </c>
      <c r="D2246" s="15">
        <v>0.9534</v>
      </c>
      <c r="E2246" s="15">
        <v>0.9534</v>
      </c>
      <c r="F2246" s="15">
        <v>0.9534</v>
      </c>
      <c r="G2246" s="11">
        <v>-0.0014</v>
      </c>
      <c r="H2246" s="9">
        <f>MAX($F$2174:F2246)</f>
        <v>1.0013</v>
      </c>
      <c r="I2246" s="11">
        <f t="shared" si="55"/>
        <v>0.0478378108459003</v>
      </c>
      <c r="J2246" s="9"/>
      <c r="K2246" s="11"/>
      <c r="L2246" s="9"/>
      <c r="M2246" s="11"/>
      <c r="N2246" s="9" t="s">
        <v>789</v>
      </c>
    </row>
    <row r="2247" ht="25" customHeight="1" spans="1:14">
      <c r="A2247" s="9" t="s">
        <v>53</v>
      </c>
      <c r="B2247" s="9" t="s">
        <v>49</v>
      </c>
      <c r="C2247" s="10">
        <v>45008</v>
      </c>
      <c r="D2247" s="15">
        <v>0.9528</v>
      </c>
      <c r="E2247" s="15">
        <v>0.9528</v>
      </c>
      <c r="F2247" s="15">
        <v>0.9528</v>
      </c>
      <c r="G2247" s="11">
        <v>-0.0006</v>
      </c>
      <c r="H2247" s="9">
        <f>MAX($F$2174:F2247)</f>
        <v>1.0013</v>
      </c>
      <c r="I2247" s="11">
        <f t="shared" si="55"/>
        <v>0.0484370318585839</v>
      </c>
      <c r="J2247" s="9"/>
      <c r="K2247" s="11"/>
      <c r="L2247" s="9"/>
      <c r="M2247" s="11"/>
      <c r="N2247" s="9" t="s">
        <v>789</v>
      </c>
    </row>
    <row r="2248" ht="25" customHeight="1" spans="1:14">
      <c r="A2248" s="9" t="s">
        <v>53</v>
      </c>
      <c r="B2248" s="9" t="s">
        <v>49</v>
      </c>
      <c r="C2248" s="10">
        <v>45009</v>
      </c>
      <c r="D2248" s="15">
        <v>0.9573</v>
      </c>
      <c r="E2248" s="15">
        <v>0.9573</v>
      </c>
      <c r="F2248" s="15">
        <v>0.9573</v>
      </c>
      <c r="G2248" s="11">
        <v>0.0047</v>
      </c>
      <c r="H2248" s="9">
        <f>MAX($F$2174:F2248)</f>
        <v>1.0013</v>
      </c>
      <c r="I2248" s="11">
        <f t="shared" si="55"/>
        <v>0.0439428742634576</v>
      </c>
      <c r="J2248" s="9"/>
      <c r="K2248" s="11"/>
      <c r="L2248" s="9"/>
      <c r="M2248" s="11"/>
      <c r="N2248" s="9" t="s">
        <v>789</v>
      </c>
    </row>
    <row r="2249" ht="25" customHeight="1" spans="1:14">
      <c r="A2249" s="9" t="s">
        <v>53</v>
      </c>
      <c r="B2249" s="9" t="s">
        <v>49</v>
      </c>
      <c r="C2249" s="10">
        <v>45012</v>
      </c>
      <c r="D2249" s="15">
        <v>0.9649</v>
      </c>
      <c r="E2249" s="15">
        <v>0.9649</v>
      </c>
      <c r="F2249" s="15">
        <v>0.9649</v>
      </c>
      <c r="G2249" s="11">
        <v>0.0079</v>
      </c>
      <c r="H2249" s="9">
        <f>MAX($F$2174:F2249)</f>
        <v>1.0013</v>
      </c>
      <c r="I2249" s="11">
        <f t="shared" si="55"/>
        <v>0.0363527414361331</v>
      </c>
      <c r="J2249" s="9"/>
      <c r="K2249" s="11"/>
      <c r="L2249" s="9"/>
      <c r="M2249" s="11"/>
      <c r="N2249" s="9" t="s">
        <v>789</v>
      </c>
    </row>
    <row r="2250" ht="25" customHeight="1" spans="1:14">
      <c r="A2250" s="9" t="s">
        <v>53</v>
      </c>
      <c r="B2250" s="9" t="s">
        <v>49</v>
      </c>
      <c r="C2250" s="10">
        <v>45013</v>
      </c>
      <c r="D2250" s="15">
        <v>0.9647</v>
      </c>
      <c r="E2250" s="15">
        <v>0.9647</v>
      </c>
      <c r="F2250" s="15">
        <v>0.9647</v>
      </c>
      <c r="G2250" s="11">
        <v>-0.0002</v>
      </c>
      <c r="H2250" s="9">
        <f>MAX($F$2174:F2250)</f>
        <v>1.0013</v>
      </c>
      <c r="I2250" s="11">
        <f t="shared" si="55"/>
        <v>0.0365524817736943</v>
      </c>
      <c r="J2250" s="9"/>
      <c r="K2250" s="11"/>
      <c r="L2250" s="9"/>
      <c r="M2250" s="11"/>
      <c r="N2250" s="9" t="s">
        <v>789</v>
      </c>
    </row>
    <row r="2251" ht="25" customHeight="1" spans="1:14">
      <c r="A2251" s="9" t="s">
        <v>53</v>
      </c>
      <c r="B2251" s="9" t="s">
        <v>49</v>
      </c>
      <c r="C2251" s="10">
        <v>45014</v>
      </c>
      <c r="D2251" s="15">
        <v>0.9688</v>
      </c>
      <c r="E2251" s="15">
        <v>0.9688</v>
      </c>
      <c r="F2251" s="15">
        <v>0.9688</v>
      </c>
      <c r="G2251" s="11">
        <v>0.0043</v>
      </c>
      <c r="H2251" s="9">
        <f>MAX($F$2174:F2251)</f>
        <v>1.0013</v>
      </c>
      <c r="I2251" s="11">
        <f t="shared" si="55"/>
        <v>0.0324578048536903</v>
      </c>
      <c r="J2251" s="9"/>
      <c r="K2251" s="11"/>
      <c r="L2251" s="9"/>
      <c r="M2251" s="11"/>
      <c r="N2251" s="9" t="s">
        <v>789</v>
      </c>
    </row>
    <row r="2252" ht="25" customHeight="1" spans="1:14">
      <c r="A2252" s="9" t="s">
        <v>53</v>
      </c>
      <c r="B2252" s="9" t="s">
        <v>49</v>
      </c>
      <c r="C2252" s="10">
        <v>45015</v>
      </c>
      <c r="D2252" s="15">
        <v>0.9741</v>
      </c>
      <c r="E2252" s="15">
        <v>0.9741</v>
      </c>
      <c r="F2252" s="15">
        <v>0.9741</v>
      </c>
      <c r="G2252" s="11">
        <v>0.0055</v>
      </c>
      <c r="H2252" s="9">
        <f>MAX($F$2174:F2252)</f>
        <v>1.0013</v>
      </c>
      <c r="I2252" s="11">
        <f t="shared" si="55"/>
        <v>0.0271646859083193</v>
      </c>
      <c r="J2252" s="9"/>
      <c r="K2252" s="11"/>
      <c r="L2252" s="9"/>
      <c r="M2252" s="11"/>
      <c r="N2252" s="9" t="s">
        <v>789</v>
      </c>
    </row>
    <row r="2253" ht="25" customHeight="1" spans="1:14">
      <c r="A2253" s="9" t="s">
        <v>53</v>
      </c>
      <c r="B2253" s="9" t="s">
        <v>49</v>
      </c>
      <c r="C2253" s="10">
        <v>45016</v>
      </c>
      <c r="D2253" s="15">
        <v>0.9785</v>
      </c>
      <c r="E2253" s="15">
        <v>0.9785</v>
      </c>
      <c r="F2253" s="15">
        <v>0.9785</v>
      </c>
      <c r="G2253" s="11">
        <v>0.0045</v>
      </c>
      <c r="H2253" s="9">
        <f>MAX($F$2174:F2253)</f>
        <v>1.0013</v>
      </c>
      <c r="I2253" s="11">
        <f t="shared" si="55"/>
        <v>0.0227703984819735</v>
      </c>
      <c r="J2253" s="9"/>
      <c r="K2253" s="11"/>
      <c r="L2253" s="9"/>
      <c r="M2253" s="11"/>
      <c r="N2253" s="9" t="s">
        <v>789</v>
      </c>
    </row>
    <row r="2254" ht="25" customHeight="1" spans="1:14">
      <c r="A2254" s="9" t="s">
        <v>53</v>
      </c>
      <c r="B2254" s="9" t="s">
        <v>49</v>
      </c>
      <c r="C2254" s="10">
        <v>45019</v>
      </c>
      <c r="D2254" s="15">
        <v>0.9773</v>
      </c>
      <c r="E2254" s="15">
        <v>0.9773</v>
      </c>
      <c r="F2254" s="15">
        <v>0.9773</v>
      </c>
      <c r="G2254" s="11">
        <v>-0.0012</v>
      </c>
      <c r="H2254" s="9">
        <f>MAX($F$2174:F2254)</f>
        <v>1.0013</v>
      </c>
      <c r="I2254" s="11">
        <f t="shared" si="55"/>
        <v>0.0239688405073406</v>
      </c>
      <c r="J2254" s="9"/>
      <c r="K2254" s="11"/>
      <c r="L2254" s="9"/>
      <c r="M2254" s="11"/>
      <c r="N2254" s="9" t="s">
        <v>789</v>
      </c>
    </row>
    <row r="2255" ht="25" customHeight="1" spans="1:14">
      <c r="A2255" s="9" t="s">
        <v>53</v>
      </c>
      <c r="B2255" s="9" t="s">
        <v>49</v>
      </c>
      <c r="C2255" s="10">
        <v>45020</v>
      </c>
      <c r="D2255" s="15">
        <v>0.9866</v>
      </c>
      <c r="E2255" s="15">
        <v>0.9866</v>
      </c>
      <c r="F2255" s="15">
        <v>0.9866</v>
      </c>
      <c r="G2255" s="11">
        <v>0.0095</v>
      </c>
      <c r="H2255" s="9">
        <f>MAX($F$2174:F2255)</f>
        <v>1.0013</v>
      </c>
      <c r="I2255" s="11">
        <f t="shared" si="55"/>
        <v>0.0146809148107461</v>
      </c>
      <c r="J2255" s="9"/>
      <c r="K2255" s="11"/>
      <c r="L2255" s="9"/>
      <c r="M2255" s="11"/>
      <c r="N2255" s="9" t="s">
        <v>789</v>
      </c>
    </row>
    <row r="2256" ht="25" customHeight="1" spans="1:14">
      <c r="A2256" s="9" t="s">
        <v>53</v>
      </c>
      <c r="B2256" s="9" t="s">
        <v>49</v>
      </c>
      <c r="C2256" s="10">
        <v>45022</v>
      </c>
      <c r="D2256" s="15">
        <v>0.9984</v>
      </c>
      <c r="E2256" s="15">
        <v>0.9984</v>
      </c>
      <c r="F2256" s="15">
        <v>0.9984</v>
      </c>
      <c r="G2256" s="11">
        <v>0.012</v>
      </c>
      <c r="H2256" s="9">
        <f>MAX($F$2174:F2256)</f>
        <v>1.0013</v>
      </c>
      <c r="I2256" s="11">
        <f t="shared" si="55"/>
        <v>0.00289623489463708</v>
      </c>
      <c r="J2256" s="9"/>
      <c r="K2256" s="11"/>
      <c r="L2256" s="9"/>
      <c r="M2256" s="11"/>
      <c r="N2256" s="9" t="s">
        <v>789</v>
      </c>
    </row>
    <row r="2257" ht="25" customHeight="1" spans="1:14">
      <c r="A2257" s="9" t="s">
        <v>53</v>
      </c>
      <c r="B2257" s="9" t="s">
        <v>49</v>
      </c>
      <c r="C2257" s="10">
        <v>45023</v>
      </c>
      <c r="D2257" s="15">
        <v>1.0042</v>
      </c>
      <c r="E2257" s="15">
        <v>1.0042</v>
      </c>
      <c r="F2257" s="15">
        <v>1.0042</v>
      </c>
      <c r="G2257" s="11">
        <v>0.0058</v>
      </c>
      <c r="H2257" s="9">
        <f>MAX($F$2174:F2257)</f>
        <v>1.0042</v>
      </c>
      <c r="I2257" s="11">
        <f t="shared" si="55"/>
        <v>0</v>
      </c>
      <c r="J2257" s="9"/>
      <c r="K2257" s="11"/>
      <c r="L2257" s="9"/>
      <c r="M2257" s="11"/>
      <c r="N2257" s="9" t="s">
        <v>789</v>
      </c>
    </row>
    <row r="2258" ht="25" customHeight="1" spans="1:14">
      <c r="A2258" s="9" t="s">
        <v>53</v>
      </c>
      <c r="B2258" s="9" t="s">
        <v>49</v>
      </c>
      <c r="C2258" s="10">
        <v>45026</v>
      </c>
      <c r="D2258" s="15">
        <v>1.0081</v>
      </c>
      <c r="E2258" s="15">
        <v>1.0081</v>
      </c>
      <c r="F2258" s="15">
        <v>1.0081</v>
      </c>
      <c r="G2258" s="11">
        <v>0.0039</v>
      </c>
      <c r="H2258" s="9">
        <f>MAX($F$2174:F2258)</f>
        <v>1.0081</v>
      </c>
      <c r="I2258" s="11">
        <f t="shared" si="55"/>
        <v>0</v>
      </c>
      <c r="J2258" s="9"/>
      <c r="K2258" s="11"/>
      <c r="L2258" s="9"/>
      <c r="M2258" s="11"/>
      <c r="N2258" s="9" t="s">
        <v>789</v>
      </c>
    </row>
    <row r="2259" ht="25" customHeight="1" spans="1:14">
      <c r="A2259" s="9" t="s">
        <v>53</v>
      </c>
      <c r="B2259" s="9" t="s">
        <v>49</v>
      </c>
      <c r="C2259" s="10">
        <v>45027</v>
      </c>
      <c r="D2259" s="15">
        <v>1.004</v>
      </c>
      <c r="E2259" s="15">
        <v>1.004</v>
      </c>
      <c r="F2259" s="15">
        <v>1.004</v>
      </c>
      <c r="G2259" s="11">
        <v>-0.0041</v>
      </c>
      <c r="H2259" s="9">
        <f>MAX($F$2174:F2259)</f>
        <v>1.0081</v>
      </c>
      <c r="I2259" s="11">
        <f t="shared" si="55"/>
        <v>0.00406705683959929</v>
      </c>
      <c r="J2259" s="9"/>
      <c r="K2259" s="11"/>
      <c r="L2259" s="9"/>
      <c r="M2259" s="11"/>
      <c r="N2259" s="9" t="s">
        <v>789</v>
      </c>
    </row>
    <row r="2260" ht="25" customHeight="1" spans="1:14">
      <c r="A2260" s="9" t="s">
        <v>53</v>
      </c>
      <c r="B2260" s="9" t="s">
        <v>49</v>
      </c>
      <c r="C2260" s="10">
        <v>45028</v>
      </c>
      <c r="D2260" s="15">
        <v>1.0032</v>
      </c>
      <c r="E2260" s="15">
        <v>1.0032</v>
      </c>
      <c r="F2260" s="15">
        <v>1.0032</v>
      </c>
      <c r="G2260" s="11">
        <v>-0.0008</v>
      </c>
      <c r="H2260" s="9">
        <f>MAX($F$2174:F2260)</f>
        <v>1.0081</v>
      </c>
      <c r="I2260" s="11">
        <f t="shared" si="55"/>
        <v>0.00486062890586247</v>
      </c>
      <c r="J2260" s="9"/>
      <c r="K2260" s="11"/>
      <c r="L2260" s="9"/>
      <c r="M2260" s="11"/>
      <c r="N2260" s="9" t="s">
        <v>789</v>
      </c>
    </row>
    <row r="2261" ht="25" customHeight="1" spans="1:14">
      <c r="A2261" s="9" t="s">
        <v>53</v>
      </c>
      <c r="B2261" s="9" t="s">
        <v>49</v>
      </c>
      <c r="C2261" s="10">
        <v>45029</v>
      </c>
      <c r="D2261" s="15">
        <v>1.0077</v>
      </c>
      <c r="E2261" s="15">
        <v>1.0077</v>
      </c>
      <c r="F2261" s="15">
        <v>1.0077</v>
      </c>
      <c r="G2261" s="11">
        <v>0.0045</v>
      </c>
      <c r="H2261" s="9">
        <f>MAX($F$2174:F2261)</f>
        <v>1.0081</v>
      </c>
      <c r="I2261" s="11">
        <f t="shared" si="55"/>
        <v>0.000396786033131535</v>
      </c>
      <c r="J2261" s="9"/>
      <c r="K2261" s="11"/>
      <c r="L2261" s="9"/>
      <c r="M2261" s="11"/>
      <c r="N2261" s="9" t="s">
        <v>789</v>
      </c>
    </row>
    <row r="2262" ht="25" customHeight="1" spans="1:14">
      <c r="A2262" s="9" t="s">
        <v>53</v>
      </c>
      <c r="B2262" s="9" t="s">
        <v>49</v>
      </c>
      <c r="C2262" s="10">
        <v>45030</v>
      </c>
      <c r="D2262" s="15">
        <v>1.0182</v>
      </c>
      <c r="E2262" s="15">
        <v>1.0182</v>
      </c>
      <c r="F2262" s="15">
        <v>1.0182</v>
      </c>
      <c r="G2262" s="11">
        <v>0.0104</v>
      </c>
      <c r="H2262" s="9">
        <f>MAX($F$2174:F2262)</f>
        <v>1.0182</v>
      </c>
      <c r="I2262" s="11">
        <f t="shared" si="55"/>
        <v>0</v>
      </c>
      <c r="J2262" s="9"/>
      <c r="K2262" s="11"/>
      <c r="L2262" s="9"/>
      <c r="M2262" s="11"/>
      <c r="N2262" s="9" t="s">
        <v>789</v>
      </c>
    </row>
    <row r="2263" ht="25" customHeight="1" spans="1:14">
      <c r="A2263" s="9" t="s">
        <v>53</v>
      </c>
      <c r="B2263" s="9" t="s">
        <v>49</v>
      </c>
      <c r="C2263" s="10">
        <v>45033</v>
      </c>
      <c r="D2263" s="15">
        <v>1.0189</v>
      </c>
      <c r="E2263" s="15">
        <v>1.0189</v>
      </c>
      <c r="F2263" s="15">
        <v>1.0189</v>
      </c>
      <c r="G2263" s="11">
        <v>0.0007</v>
      </c>
      <c r="H2263" s="9">
        <f>MAX($F$2174:F2263)</f>
        <v>1.0189</v>
      </c>
      <c r="I2263" s="11">
        <f t="shared" si="55"/>
        <v>0</v>
      </c>
      <c r="J2263" s="9"/>
      <c r="K2263" s="11"/>
      <c r="L2263" s="9"/>
      <c r="M2263" s="11"/>
      <c r="N2263" s="9" t="s">
        <v>789</v>
      </c>
    </row>
    <row r="2264" ht="25" customHeight="1" spans="1:14">
      <c r="A2264" s="9" t="s">
        <v>53</v>
      </c>
      <c r="B2264" s="9" t="s">
        <v>49</v>
      </c>
      <c r="C2264" s="10">
        <v>45034</v>
      </c>
      <c r="D2264" s="15">
        <v>1.0168</v>
      </c>
      <c r="E2264" s="15">
        <v>1.0168</v>
      </c>
      <c r="F2264" s="15">
        <v>1.0168</v>
      </c>
      <c r="G2264" s="11">
        <v>-0.0021</v>
      </c>
      <c r="H2264" s="9">
        <f>MAX($F$2174:F2264)</f>
        <v>1.0189</v>
      </c>
      <c r="I2264" s="11">
        <f t="shared" si="55"/>
        <v>0.00206104622632253</v>
      </c>
      <c r="J2264" s="9"/>
      <c r="K2264" s="11"/>
      <c r="L2264" s="9"/>
      <c r="M2264" s="11"/>
      <c r="N2264" s="9" t="s">
        <v>789</v>
      </c>
    </row>
    <row r="2265" ht="25" customHeight="1" spans="1:14">
      <c r="A2265" s="9" t="s">
        <v>53</v>
      </c>
      <c r="B2265" s="9" t="s">
        <v>49</v>
      </c>
      <c r="C2265" s="10">
        <v>45035</v>
      </c>
      <c r="D2265" s="15">
        <v>1.0154</v>
      </c>
      <c r="E2265" s="15">
        <v>1.0154</v>
      </c>
      <c r="F2265" s="15">
        <v>1.0154</v>
      </c>
      <c r="G2265" s="11">
        <v>-0.0014</v>
      </c>
      <c r="H2265" s="9">
        <f>MAX($F$2174:F2265)</f>
        <v>1.0189</v>
      </c>
      <c r="I2265" s="11">
        <f t="shared" si="55"/>
        <v>0.00343507704387069</v>
      </c>
      <c r="J2265" s="9"/>
      <c r="K2265" s="11"/>
      <c r="L2265" s="9"/>
      <c r="M2265" s="11"/>
      <c r="N2265" s="9" t="s">
        <v>789</v>
      </c>
    </row>
    <row r="2266" ht="25" customHeight="1" spans="1:14">
      <c r="A2266" s="9" t="s">
        <v>53</v>
      </c>
      <c r="B2266" s="9" t="s">
        <v>49</v>
      </c>
      <c r="C2266" s="10">
        <v>45036</v>
      </c>
      <c r="D2266" s="15">
        <v>1.0179</v>
      </c>
      <c r="E2266" s="15">
        <v>1.0179</v>
      </c>
      <c r="F2266" s="15">
        <v>1.0179</v>
      </c>
      <c r="G2266" s="11">
        <v>0.0025</v>
      </c>
      <c r="H2266" s="9">
        <f>MAX($F$2174:F2266)</f>
        <v>1.0189</v>
      </c>
      <c r="I2266" s="11">
        <f t="shared" si="55"/>
        <v>0.000981450583963039</v>
      </c>
      <c r="J2266" s="9"/>
      <c r="K2266" s="11"/>
      <c r="L2266" s="9"/>
      <c r="M2266" s="11"/>
      <c r="N2266" s="9" t="s">
        <v>789</v>
      </c>
    </row>
    <row r="2267" ht="25" customHeight="1" spans="1:14">
      <c r="A2267" s="9" t="s">
        <v>53</v>
      </c>
      <c r="B2267" s="9" t="s">
        <v>49</v>
      </c>
      <c r="C2267" s="10">
        <v>45037</v>
      </c>
      <c r="D2267" s="15">
        <v>1.0346</v>
      </c>
      <c r="E2267" s="15">
        <v>1.0346</v>
      </c>
      <c r="F2267" s="15">
        <v>1.0346</v>
      </c>
      <c r="G2267" s="11">
        <v>0.0164</v>
      </c>
      <c r="H2267" s="9">
        <f>MAX($F$2174:F2267)</f>
        <v>1.0346</v>
      </c>
      <c r="I2267" s="11">
        <f t="shared" si="55"/>
        <v>0</v>
      </c>
      <c r="J2267" s="9"/>
      <c r="K2267" s="11"/>
      <c r="L2267" s="9"/>
      <c r="M2267" s="11"/>
      <c r="N2267" s="9" t="s">
        <v>789</v>
      </c>
    </row>
    <row r="2268" ht="25" customHeight="1" spans="1:14">
      <c r="A2268" s="9" t="s">
        <v>53</v>
      </c>
      <c r="B2268" s="9" t="s">
        <v>49</v>
      </c>
      <c r="C2268" s="10">
        <v>45040</v>
      </c>
      <c r="D2268" s="15">
        <v>1.0243</v>
      </c>
      <c r="E2268" s="15">
        <v>1.0243</v>
      </c>
      <c r="F2268" s="15">
        <v>1.0243</v>
      </c>
      <c r="G2268" s="11">
        <v>-0.01</v>
      </c>
      <c r="H2268" s="9">
        <f>MAX($F$2174:F2268)</f>
        <v>1.0346</v>
      </c>
      <c r="I2268" s="11">
        <f t="shared" si="55"/>
        <v>0.00995553837231777</v>
      </c>
      <c r="J2268" s="9"/>
      <c r="K2268" s="11"/>
      <c r="L2268" s="9"/>
      <c r="M2268" s="11"/>
      <c r="N2268" s="9" t="s">
        <v>789</v>
      </c>
    </row>
    <row r="2269" ht="25" customHeight="1" spans="1:14">
      <c r="A2269" s="9" t="s">
        <v>53</v>
      </c>
      <c r="B2269" s="9" t="s">
        <v>49</v>
      </c>
      <c r="C2269" s="10">
        <v>45041</v>
      </c>
      <c r="D2269" s="15">
        <v>1.0113</v>
      </c>
      <c r="E2269" s="15">
        <v>1.0113</v>
      </c>
      <c r="F2269" s="15">
        <v>1.0113</v>
      </c>
      <c r="G2269" s="11">
        <v>-0.0127</v>
      </c>
      <c r="H2269" s="9">
        <f>MAX($F$2174:F2269)</f>
        <v>1.0346</v>
      </c>
      <c r="I2269" s="11">
        <f t="shared" si="55"/>
        <v>0.0225207809781557</v>
      </c>
      <c r="J2269" s="9"/>
      <c r="K2269" s="11"/>
      <c r="L2269" s="9"/>
      <c r="M2269" s="11"/>
      <c r="N2269" s="9" t="s">
        <v>789</v>
      </c>
    </row>
    <row r="2270" ht="25" customHeight="1" spans="1:14">
      <c r="A2270" s="9" t="s">
        <v>53</v>
      </c>
      <c r="B2270" s="9" t="s">
        <v>49</v>
      </c>
      <c r="C2270" s="10">
        <v>45042</v>
      </c>
      <c r="D2270" s="15">
        <v>1.0065</v>
      </c>
      <c r="E2270" s="15">
        <v>1.0065</v>
      </c>
      <c r="F2270" s="15">
        <v>1.0065</v>
      </c>
      <c r="G2270" s="11">
        <v>-0.0047</v>
      </c>
      <c r="H2270" s="9">
        <f>MAX($F$2174:F2270)</f>
        <v>1.0346</v>
      </c>
      <c r="I2270" s="11">
        <f t="shared" si="55"/>
        <v>0.0271602551710807</v>
      </c>
      <c r="J2270" s="9"/>
      <c r="K2270" s="11"/>
      <c r="L2270" s="9"/>
      <c r="M2270" s="11"/>
      <c r="N2270" s="9" t="s">
        <v>789</v>
      </c>
    </row>
    <row r="2271" ht="25" customHeight="1" spans="1:14">
      <c r="A2271" s="9" t="s">
        <v>53</v>
      </c>
      <c r="B2271" s="9" t="s">
        <v>49</v>
      </c>
      <c r="C2271" s="10">
        <v>45043</v>
      </c>
      <c r="D2271" s="15">
        <v>1.0094</v>
      </c>
      <c r="E2271" s="15">
        <v>1.0094</v>
      </c>
      <c r="F2271" s="15">
        <v>1.0094</v>
      </c>
      <c r="G2271" s="11">
        <v>0.0029</v>
      </c>
      <c r="H2271" s="9">
        <f>MAX($F$2174:F2271)</f>
        <v>1.0346</v>
      </c>
      <c r="I2271" s="11">
        <f t="shared" si="55"/>
        <v>0.0243572395128551</v>
      </c>
      <c r="J2271" s="9"/>
      <c r="K2271" s="11"/>
      <c r="L2271" s="9"/>
      <c r="M2271" s="11"/>
      <c r="N2271" s="9" t="s">
        <v>789</v>
      </c>
    </row>
    <row r="2272" ht="25" customHeight="1" spans="1:14">
      <c r="A2272" s="9" t="s">
        <v>53</v>
      </c>
      <c r="B2272" s="9" t="s">
        <v>49</v>
      </c>
      <c r="C2272" s="10">
        <v>45044</v>
      </c>
      <c r="D2272" s="15">
        <v>1.0077</v>
      </c>
      <c r="E2272" s="15">
        <v>1.0077</v>
      </c>
      <c r="F2272" s="15">
        <v>1.0077</v>
      </c>
      <c r="G2272" s="11">
        <v>-0.0017</v>
      </c>
      <c r="H2272" s="9">
        <f>MAX($F$2174:F2272)</f>
        <v>1.0346</v>
      </c>
      <c r="I2272" s="11">
        <f t="shared" si="55"/>
        <v>0.0260003866228493</v>
      </c>
      <c r="J2272" s="9"/>
      <c r="K2272" s="11"/>
      <c r="L2272" s="9"/>
      <c r="M2272" s="11"/>
      <c r="N2272" s="9" t="s">
        <v>789</v>
      </c>
    </row>
    <row r="2273" ht="25" customHeight="1" spans="1:14">
      <c r="A2273" s="9" t="s">
        <v>53</v>
      </c>
      <c r="B2273" s="9" t="s">
        <v>49</v>
      </c>
      <c r="C2273" s="10">
        <v>45050</v>
      </c>
      <c r="D2273" s="15">
        <v>1.0104</v>
      </c>
      <c r="E2273" s="15">
        <v>1.0104</v>
      </c>
      <c r="F2273" s="15">
        <v>1.0104</v>
      </c>
      <c r="G2273" s="11">
        <v>0.0027</v>
      </c>
      <c r="H2273" s="9">
        <f>MAX($F$2174:F2273)</f>
        <v>1.0346</v>
      </c>
      <c r="I2273" s="11">
        <f t="shared" si="55"/>
        <v>0.0233906823893292</v>
      </c>
      <c r="J2273" s="9"/>
      <c r="K2273" s="11"/>
      <c r="L2273" s="9"/>
      <c r="M2273" s="11"/>
      <c r="N2273" s="9" t="s">
        <v>789</v>
      </c>
    </row>
    <row r="2274" ht="25" customHeight="1" spans="1:14">
      <c r="A2274" s="9" t="s">
        <v>53</v>
      </c>
      <c r="B2274" s="9" t="s">
        <v>49</v>
      </c>
      <c r="C2274" s="10">
        <v>45051</v>
      </c>
      <c r="D2274" s="15">
        <v>1.0045</v>
      </c>
      <c r="E2274" s="15">
        <v>1.0045</v>
      </c>
      <c r="F2274" s="15">
        <v>1.0045</v>
      </c>
      <c r="G2274" s="11">
        <v>-0.0058</v>
      </c>
      <c r="H2274" s="9">
        <f>MAX($F$2174:F2274)</f>
        <v>1.0346</v>
      </c>
      <c r="I2274" s="11">
        <f t="shared" si="55"/>
        <v>0.0290933694181327</v>
      </c>
      <c r="J2274" s="9"/>
      <c r="K2274" s="11"/>
      <c r="L2274" s="9"/>
      <c r="M2274" s="11"/>
      <c r="N2274" s="9" t="s">
        <v>789</v>
      </c>
    </row>
    <row r="2275" ht="25" customHeight="1" spans="1:14">
      <c r="A2275" s="9" t="s">
        <v>53</v>
      </c>
      <c r="B2275" s="9" t="s">
        <v>49</v>
      </c>
      <c r="C2275" s="10">
        <v>45054</v>
      </c>
      <c r="D2275" s="15">
        <v>1.0087</v>
      </c>
      <c r="E2275" s="15">
        <v>1.0087</v>
      </c>
      <c r="F2275" s="15">
        <v>1.0087</v>
      </c>
      <c r="G2275" s="11">
        <v>0.0042</v>
      </c>
      <c r="H2275" s="9">
        <f>MAX($F$2174:F2275)</f>
        <v>1.0346</v>
      </c>
      <c r="I2275" s="11">
        <f t="shared" si="55"/>
        <v>0.0250338294993234</v>
      </c>
      <c r="J2275" s="9"/>
      <c r="K2275" s="11"/>
      <c r="L2275" s="9"/>
      <c r="M2275" s="11"/>
      <c r="N2275" s="9" t="s">
        <v>789</v>
      </c>
    </row>
    <row r="2276" ht="25" customHeight="1" spans="1:14">
      <c r="A2276" s="9" t="s">
        <v>53</v>
      </c>
      <c r="B2276" s="9" t="s">
        <v>49</v>
      </c>
      <c r="C2276" s="10">
        <v>45055</v>
      </c>
      <c r="D2276" s="15">
        <v>1.0285</v>
      </c>
      <c r="E2276" s="15">
        <v>1.0285</v>
      </c>
      <c r="F2276" s="15">
        <v>1.0285</v>
      </c>
      <c r="G2276" s="11">
        <v>0.0196</v>
      </c>
      <c r="H2276" s="9">
        <f>MAX($F$2174:F2276)</f>
        <v>1.0346</v>
      </c>
      <c r="I2276" s="11">
        <f t="shared" si="55"/>
        <v>0.00589599845350863</v>
      </c>
      <c r="J2276" s="9"/>
      <c r="K2276" s="11"/>
      <c r="L2276" s="9"/>
      <c r="M2276" s="11"/>
      <c r="N2276" s="9" t="s">
        <v>789</v>
      </c>
    </row>
    <row r="2277" ht="25" customHeight="1" spans="1:14">
      <c r="A2277" s="9" t="s">
        <v>53</v>
      </c>
      <c r="B2277" s="9" t="s">
        <v>49</v>
      </c>
      <c r="C2277" s="10">
        <v>45056</v>
      </c>
      <c r="D2277" s="15">
        <v>1.0277</v>
      </c>
      <c r="E2277" s="15">
        <v>1.0277</v>
      </c>
      <c r="F2277" s="15">
        <v>1.0277</v>
      </c>
      <c r="G2277" s="11">
        <v>-0.0008</v>
      </c>
      <c r="H2277" s="9">
        <f>MAX($F$2174:F2277)</f>
        <v>1.0346</v>
      </c>
      <c r="I2277" s="11">
        <f t="shared" si="55"/>
        <v>0.00666924415232928</v>
      </c>
      <c r="J2277" s="9"/>
      <c r="K2277" s="11"/>
      <c r="L2277" s="9"/>
      <c r="M2277" s="11"/>
      <c r="N2277" s="9" t="s">
        <v>789</v>
      </c>
    </row>
    <row r="2278" ht="25" customHeight="1" spans="1:14">
      <c r="A2278" s="9" t="s">
        <v>53</v>
      </c>
      <c r="B2278" s="9" t="s">
        <v>49</v>
      </c>
      <c r="C2278" s="10">
        <v>45057</v>
      </c>
      <c r="D2278" s="15">
        <v>1.0211</v>
      </c>
      <c r="E2278" s="15">
        <v>1.0211</v>
      </c>
      <c r="F2278" s="15">
        <v>1.0211</v>
      </c>
      <c r="G2278" s="11">
        <v>-0.0064</v>
      </c>
      <c r="H2278" s="9">
        <f>MAX($F$2174:F2278)</f>
        <v>1.0346</v>
      </c>
      <c r="I2278" s="11">
        <f t="shared" si="55"/>
        <v>0.013048521167601</v>
      </c>
      <c r="J2278" s="9"/>
      <c r="K2278" s="11"/>
      <c r="L2278" s="9"/>
      <c r="M2278" s="11"/>
      <c r="N2278" s="9" t="s">
        <v>789</v>
      </c>
    </row>
    <row r="2279" ht="25" customHeight="1" spans="1:14">
      <c r="A2279" s="9" t="s">
        <v>53</v>
      </c>
      <c r="B2279" s="9" t="s">
        <v>49</v>
      </c>
      <c r="C2279" s="10">
        <v>45058</v>
      </c>
      <c r="D2279" s="15">
        <v>1.0153</v>
      </c>
      <c r="E2279" s="15">
        <v>1.0153</v>
      </c>
      <c r="F2279" s="15">
        <v>1.0153</v>
      </c>
      <c r="G2279" s="11">
        <v>-0.0057</v>
      </c>
      <c r="H2279" s="9">
        <f>MAX($F$2174:F2279)</f>
        <v>1.0346</v>
      </c>
      <c r="I2279" s="11">
        <f t="shared" si="55"/>
        <v>0.0186545524840517</v>
      </c>
      <c r="J2279" s="9"/>
      <c r="K2279" s="11"/>
      <c r="L2279" s="9"/>
      <c r="M2279" s="11"/>
      <c r="N2279" s="9" t="s">
        <v>789</v>
      </c>
    </row>
    <row r="2280" ht="25" customHeight="1" spans="1:14">
      <c r="A2280" s="9" t="s">
        <v>53</v>
      </c>
      <c r="B2280" s="9" t="s">
        <v>49</v>
      </c>
      <c r="C2280" s="10">
        <v>45061</v>
      </c>
      <c r="D2280" s="15">
        <v>1.0229</v>
      </c>
      <c r="E2280" s="15">
        <v>1.0229</v>
      </c>
      <c r="F2280" s="15">
        <v>1.0229</v>
      </c>
      <c r="G2280" s="11">
        <v>0.0075</v>
      </c>
      <c r="H2280" s="9">
        <f>MAX($F$2174:F2280)</f>
        <v>1.0346</v>
      </c>
      <c r="I2280" s="11">
        <f t="shared" si="55"/>
        <v>0.0113087183452543</v>
      </c>
      <c r="J2280" s="9"/>
      <c r="K2280" s="11"/>
      <c r="L2280" s="9"/>
      <c r="M2280" s="11"/>
      <c r="N2280" s="9" t="s">
        <v>789</v>
      </c>
    </row>
    <row r="2281" ht="25" customHeight="1" spans="1:14">
      <c r="A2281" s="9" t="s">
        <v>53</v>
      </c>
      <c r="B2281" s="9" t="s">
        <v>49</v>
      </c>
      <c r="C2281" s="10">
        <v>45062</v>
      </c>
      <c r="D2281" s="15">
        <v>1.0269</v>
      </c>
      <c r="E2281" s="15">
        <v>1.0269</v>
      </c>
      <c r="F2281" s="15">
        <v>1.0269</v>
      </c>
      <c r="G2281" s="11">
        <v>0.0039</v>
      </c>
      <c r="H2281" s="9">
        <f>MAX($F$2174:F2281)</f>
        <v>1.0346</v>
      </c>
      <c r="I2281" s="11">
        <f t="shared" si="55"/>
        <v>0.00744248985115026</v>
      </c>
      <c r="J2281" s="9"/>
      <c r="K2281" s="11"/>
      <c r="L2281" s="9"/>
      <c r="M2281" s="11"/>
      <c r="N2281" s="9" t="s">
        <v>789</v>
      </c>
    </row>
    <row r="2282" ht="25" customHeight="1" spans="1:14">
      <c r="A2282" s="9" t="s">
        <v>53</v>
      </c>
      <c r="B2282" s="9" t="s">
        <v>49</v>
      </c>
      <c r="C2282" s="10">
        <v>45063</v>
      </c>
      <c r="D2282" s="15">
        <v>1.0389</v>
      </c>
      <c r="E2282" s="15">
        <v>1.0389</v>
      </c>
      <c r="F2282" s="15">
        <v>1.0389</v>
      </c>
      <c r="G2282" s="11">
        <v>0.0117</v>
      </c>
      <c r="H2282" s="9">
        <f>MAX($F$2174:F2282)</f>
        <v>1.0389</v>
      </c>
      <c r="I2282" s="11">
        <f t="shared" si="55"/>
        <v>0</v>
      </c>
      <c r="J2282" s="9"/>
      <c r="K2282" s="11"/>
      <c r="L2282" s="9"/>
      <c r="M2282" s="11"/>
      <c r="N2282" s="9" t="s">
        <v>789</v>
      </c>
    </row>
    <row r="2283" ht="25" customHeight="1" spans="1:14">
      <c r="A2283" s="9" t="s">
        <v>53</v>
      </c>
      <c r="B2283" s="9" t="s">
        <v>49</v>
      </c>
      <c r="C2283" s="10">
        <v>45064</v>
      </c>
      <c r="D2283" s="15">
        <v>1.0357</v>
      </c>
      <c r="E2283" s="15">
        <v>1.0357</v>
      </c>
      <c r="F2283" s="15">
        <v>1.0357</v>
      </c>
      <c r="G2283" s="11">
        <v>-0.0031</v>
      </c>
      <c r="H2283" s="9">
        <f>MAX($F$2174:F2283)</f>
        <v>1.0389</v>
      </c>
      <c r="I2283" s="11">
        <f t="shared" si="55"/>
        <v>0.00308018096063134</v>
      </c>
      <c r="J2283" s="9"/>
      <c r="K2283" s="11"/>
      <c r="L2283" s="9"/>
      <c r="M2283" s="11"/>
      <c r="N2283" s="9" t="s">
        <v>789</v>
      </c>
    </row>
    <row r="2284" ht="25" customHeight="1" spans="1:14">
      <c r="A2284" s="9" t="s">
        <v>53</v>
      </c>
      <c r="B2284" s="9" t="s">
        <v>49</v>
      </c>
      <c r="C2284" s="10">
        <v>45065</v>
      </c>
      <c r="D2284" s="15">
        <v>1.0278</v>
      </c>
      <c r="E2284" s="15">
        <v>1.0278</v>
      </c>
      <c r="F2284" s="15">
        <v>1.0278</v>
      </c>
      <c r="G2284" s="11">
        <v>-0.0076</v>
      </c>
      <c r="H2284" s="9">
        <f>MAX($F$2174:F2284)</f>
        <v>1.0389</v>
      </c>
      <c r="I2284" s="11">
        <f t="shared" si="55"/>
        <v>0.0106843777071902</v>
      </c>
      <c r="J2284" s="9"/>
      <c r="K2284" s="11"/>
      <c r="L2284" s="9"/>
      <c r="M2284" s="11"/>
      <c r="N2284" s="9" t="s">
        <v>789</v>
      </c>
    </row>
    <row r="2285" ht="25" customHeight="1" spans="1:14">
      <c r="A2285" s="9" t="s">
        <v>53</v>
      </c>
      <c r="B2285" s="9" t="s">
        <v>49</v>
      </c>
      <c r="C2285" s="10">
        <v>45068</v>
      </c>
      <c r="D2285" s="15">
        <v>1.0294</v>
      </c>
      <c r="E2285" s="15">
        <v>1.0294</v>
      </c>
      <c r="F2285" s="15">
        <v>1.0294</v>
      </c>
      <c r="G2285" s="11">
        <v>0.0016</v>
      </c>
      <c r="H2285" s="9">
        <f>MAX($F$2174:F2285)</f>
        <v>1.0389</v>
      </c>
      <c r="I2285" s="11">
        <f t="shared" si="55"/>
        <v>0.00914428722687444</v>
      </c>
      <c r="J2285" s="9"/>
      <c r="K2285" s="11"/>
      <c r="L2285" s="9"/>
      <c r="M2285" s="11"/>
      <c r="N2285" s="9" t="s">
        <v>789</v>
      </c>
    </row>
    <row r="2286" ht="25" customHeight="1" spans="1:14">
      <c r="A2286" s="9" t="s">
        <v>53</v>
      </c>
      <c r="B2286" s="9" t="s">
        <v>49</v>
      </c>
      <c r="C2286" s="10">
        <v>45069</v>
      </c>
      <c r="D2286" s="15">
        <v>1.0264</v>
      </c>
      <c r="E2286" s="15">
        <v>1.0264</v>
      </c>
      <c r="F2286" s="15">
        <v>1.0264</v>
      </c>
      <c r="G2286" s="11">
        <v>-0.0029</v>
      </c>
      <c r="H2286" s="9">
        <f>MAX($F$2174:F2286)</f>
        <v>1.0389</v>
      </c>
      <c r="I2286" s="11">
        <f t="shared" si="55"/>
        <v>0.0120319568774665</v>
      </c>
      <c r="J2286" s="9"/>
      <c r="K2286" s="11"/>
      <c r="L2286" s="9"/>
      <c r="M2286" s="11"/>
      <c r="N2286" s="9" t="s">
        <v>789</v>
      </c>
    </row>
    <row r="2287" ht="25" customHeight="1" spans="1:14">
      <c r="A2287" s="9" t="s">
        <v>53</v>
      </c>
      <c r="B2287" s="9" t="s">
        <v>49</v>
      </c>
      <c r="C2287" s="10">
        <v>45070</v>
      </c>
      <c r="D2287" s="15">
        <v>1.0339</v>
      </c>
      <c r="E2287" s="15">
        <v>1.0339</v>
      </c>
      <c r="F2287" s="15">
        <v>1.0339</v>
      </c>
      <c r="G2287" s="11">
        <v>0.0073</v>
      </c>
      <c r="H2287" s="9">
        <f>MAX($F$2174:F2287)</f>
        <v>1.0389</v>
      </c>
      <c r="I2287" s="11">
        <f t="shared" si="55"/>
        <v>0.00481278275098651</v>
      </c>
      <c r="J2287" s="9"/>
      <c r="K2287" s="11"/>
      <c r="L2287" s="9"/>
      <c r="M2287" s="11"/>
      <c r="N2287" s="9" t="s">
        <v>789</v>
      </c>
    </row>
    <row r="2288" ht="25" customHeight="1" spans="1:14">
      <c r="A2288" s="9" t="s">
        <v>53</v>
      </c>
      <c r="B2288" s="9" t="s">
        <v>49</v>
      </c>
      <c r="C2288" s="10">
        <v>45071</v>
      </c>
      <c r="D2288" s="15">
        <v>1.0325</v>
      </c>
      <c r="E2288" s="15">
        <v>1.0325</v>
      </c>
      <c r="F2288" s="15">
        <v>1.0325</v>
      </c>
      <c r="G2288" s="11">
        <v>-0.0014</v>
      </c>
      <c r="H2288" s="9">
        <f>MAX($F$2174:F2288)</f>
        <v>1.0389</v>
      </c>
      <c r="I2288" s="11">
        <f t="shared" si="55"/>
        <v>0.00616036192126279</v>
      </c>
      <c r="J2288" s="9"/>
      <c r="K2288" s="11"/>
      <c r="L2288" s="9"/>
      <c r="M2288" s="11"/>
      <c r="N2288" s="9" t="s">
        <v>789</v>
      </c>
    </row>
    <row r="2289" ht="25" customHeight="1" spans="1:14">
      <c r="A2289" s="9" t="s">
        <v>53</v>
      </c>
      <c r="B2289" s="9" t="s">
        <v>49</v>
      </c>
      <c r="C2289" s="10">
        <v>45072</v>
      </c>
      <c r="D2289" s="15">
        <v>1.0217</v>
      </c>
      <c r="E2289" s="15">
        <v>1.0217</v>
      </c>
      <c r="F2289" s="15">
        <v>1.0217</v>
      </c>
      <c r="G2289" s="11">
        <v>-0.0105</v>
      </c>
      <c r="H2289" s="9">
        <f>MAX($F$2174:F2289)</f>
        <v>1.0389</v>
      </c>
      <c r="I2289" s="11">
        <f t="shared" si="55"/>
        <v>0.0165559726633938</v>
      </c>
      <c r="J2289" s="9"/>
      <c r="K2289" s="11"/>
      <c r="L2289" s="9"/>
      <c r="M2289" s="11"/>
      <c r="N2289" s="9" t="s">
        <v>789</v>
      </c>
    </row>
    <row r="2290" ht="25" customHeight="1" spans="1:14">
      <c r="A2290" s="9" t="s">
        <v>53</v>
      </c>
      <c r="B2290" s="9" t="s">
        <v>49</v>
      </c>
      <c r="C2290" s="10">
        <v>45075</v>
      </c>
      <c r="D2290" s="15">
        <v>1.0389</v>
      </c>
      <c r="E2290" s="15">
        <v>1.0389</v>
      </c>
      <c r="F2290" s="15">
        <v>1.0389</v>
      </c>
      <c r="G2290" s="11">
        <v>0.0168</v>
      </c>
      <c r="H2290" s="9">
        <f>MAX($F$2174:F2290)</f>
        <v>1.0389</v>
      </c>
      <c r="I2290" s="11">
        <f t="shared" si="55"/>
        <v>0</v>
      </c>
      <c r="J2290" s="9"/>
      <c r="K2290" s="11"/>
      <c r="L2290" s="9"/>
      <c r="M2290" s="11"/>
      <c r="N2290" s="9" t="s">
        <v>789</v>
      </c>
    </row>
    <row r="2291" ht="25" customHeight="1" spans="1:14">
      <c r="A2291" s="9" t="s">
        <v>53</v>
      </c>
      <c r="B2291" s="9" t="s">
        <v>49</v>
      </c>
      <c r="C2291" s="10">
        <v>45076</v>
      </c>
      <c r="D2291" s="15">
        <v>1.0375</v>
      </c>
      <c r="E2291" s="15">
        <v>1.0375</v>
      </c>
      <c r="F2291" s="15">
        <v>1.0375</v>
      </c>
      <c r="G2291" s="11">
        <v>-0.0013</v>
      </c>
      <c r="H2291" s="9">
        <f>MAX($F$2174:F2291)</f>
        <v>1.0389</v>
      </c>
      <c r="I2291" s="11">
        <f t="shared" si="55"/>
        <v>0.00134757917027606</v>
      </c>
      <c r="J2291" s="9"/>
      <c r="K2291" s="11"/>
      <c r="L2291" s="9"/>
      <c r="M2291" s="11"/>
      <c r="N2291" s="9" t="s">
        <v>789</v>
      </c>
    </row>
    <row r="2292" ht="25" customHeight="1" spans="1:14">
      <c r="A2292" s="9" t="s">
        <v>53</v>
      </c>
      <c r="B2292" s="9" t="s">
        <v>49</v>
      </c>
      <c r="C2292" s="10">
        <v>45077</v>
      </c>
      <c r="D2292" s="15">
        <v>1.0397</v>
      </c>
      <c r="E2292" s="15">
        <v>1.0397</v>
      </c>
      <c r="F2292" s="15">
        <v>1.0397</v>
      </c>
      <c r="G2292" s="11">
        <v>0.0021</v>
      </c>
      <c r="H2292" s="9">
        <f>MAX($F$2174:F2292)</f>
        <v>1.0397</v>
      </c>
      <c r="I2292" s="11">
        <f t="shared" si="55"/>
        <v>0</v>
      </c>
      <c r="J2292" s="9"/>
      <c r="K2292" s="11"/>
      <c r="L2292" s="9"/>
      <c r="M2292" s="11"/>
      <c r="N2292" s="9" t="s">
        <v>789</v>
      </c>
    </row>
    <row r="2293" ht="25" customHeight="1" spans="1:14">
      <c r="A2293" s="9" t="s">
        <v>53</v>
      </c>
      <c r="B2293" s="9" t="s">
        <v>49</v>
      </c>
      <c r="C2293" s="10">
        <v>45078</v>
      </c>
      <c r="D2293" s="15">
        <v>1.0424</v>
      </c>
      <c r="E2293" s="15">
        <v>1.0424</v>
      </c>
      <c r="F2293" s="15">
        <v>1.0424</v>
      </c>
      <c r="G2293" s="11">
        <v>0.0026</v>
      </c>
      <c r="H2293" s="9">
        <f>MAX($F$2174:F2293)</f>
        <v>1.0424</v>
      </c>
      <c r="I2293" s="11">
        <f t="shared" si="55"/>
        <v>0</v>
      </c>
      <c r="J2293" s="9"/>
      <c r="K2293" s="11"/>
      <c r="L2293" s="9"/>
      <c r="M2293" s="11"/>
      <c r="N2293" s="9" t="s">
        <v>789</v>
      </c>
    </row>
    <row r="2294" ht="25" customHeight="1" spans="1:14">
      <c r="A2294" s="9" t="s">
        <v>53</v>
      </c>
      <c r="B2294" s="9" t="s">
        <v>49</v>
      </c>
      <c r="C2294" s="10">
        <v>45079</v>
      </c>
      <c r="D2294" s="15">
        <v>1.0406</v>
      </c>
      <c r="E2294" s="15">
        <v>1.0406</v>
      </c>
      <c r="F2294" s="15">
        <v>1.0406</v>
      </c>
      <c r="G2294" s="11">
        <v>-0.0017</v>
      </c>
      <c r="H2294" s="9">
        <f>MAX($F$2174:F2294)</f>
        <v>1.0424</v>
      </c>
      <c r="I2294" s="11">
        <f t="shared" si="55"/>
        <v>0.00172678434382201</v>
      </c>
      <c r="J2294" s="9"/>
      <c r="K2294" s="11"/>
      <c r="L2294" s="9"/>
      <c r="M2294" s="11"/>
      <c r="N2294" s="9" t="s">
        <v>789</v>
      </c>
    </row>
    <row r="2295" ht="25" customHeight="1" spans="1:14">
      <c r="A2295" s="9" t="s">
        <v>53</v>
      </c>
      <c r="B2295" s="9" t="s">
        <v>49</v>
      </c>
      <c r="C2295" s="10">
        <v>45082</v>
      </c>
      <c r="D2295" s="15">
        <v>1.038</v>
      </c>
      <c r="E2295" s="15">
        <v>1.038</v>
      </c>
      <c r="F2295" s="15">
        <v>1.038</v>
      </c>
      <c r="G2295" s="11">
        <v>-0.0025</v>
      </c>
      <c r="H2295" s="9">
        <f>MAX($F$2174:F2295)</f>
        <v>1.0424</v>
      </c>
      <c r="I2295" s="11">
        <f t="shared" si="55"/>
        <v>0.00422102839600913</v>
      </c>
      <c r="J2295" s="9"/>
      <c r="K2295" s="11"/>
      <c r="L2295" s="9"/>
      <c r="M2295" s="11"/>
      <c r="N2295" s="9" t="s">
        <v>789</v>
      </c>
    </row>
    <row r="2296" ht="25" customHeight="1" spans="1:14">
      <c r="A2296" s="9" t="s">
        <v>53</v>
      </c>
      <c r="B2296" s="9" t="s">
        <v>49</v>
      </c>
      <c r="C2296" s="10">
        <v>45083</v>
      </c>
      <c r="D2296" s="15">
        <v>1.0422</v>
      </c>
      <c r="E2296" s="15">
        <v>1.0422</v>
      </c>
      <c r="F2296" s="15">
        <v>1.0422</v>
      </c>
      <c r="G2296" s="11">
        <v>0.004</v>
      </c>
      <c r="H2296" s="9">
        <f>MAX($F$2174:F2296)</f>
        <v>1.0424</v>
      </c>
      <c r="I2296" s="11">
        <f t="shared" si="55"/>
        <v>0.000191864927091334</v>
      </c>
      <c r="J2296" s="9"/>
      <c r="K2296" s="11"/>
      <c r="L2296" s="9"/>
      <c r="M2296" s="11"/>
      <c r="N2296" s="9" t="s">
        <v>789</v>
      </c>
    </row>
    <row r="2297" ht="25" customHeight="1" spans="1:14">
      <c r="A2297" s="9" t="s">
        <v>53</v>
      </c>
      <c r="B2297" s="9" t="s">
        <v>49</v>
      </c>
      <c r="C2297" s="10">
        <v>45084</v>
      </c>
      <c r="D2297" s="15">
        <v>1.0501</v>
      </c>
      <c r="E2297" s="15">
        <v>1.0501</v>
      </c>
      <c r="F2297" s="15">
        <v>1.0501</v>
      </c>
      <c r="G2297" s="11">
        <v>0.0076</v>
      </c>
      <c r="H2297" s="9">
        <f>MAX($F$2174:F2297)</f>
        <v>1.0501</v>
      </c>
      <c r="I2297" s="11">
        <f t="shared" si="55"/>
        <v>0</v>
      </c>
      <c r="J2297" s="9"/>
      <c r="K2297" s="11"/>
      <c r="L2297" s="9"/>
      <c r="M2297" s="11"/>
      <c r="N2297" s="9" t="s">
        <v>789</v>
      </c>
    </row>
    <row r="2298" ht="25" customHeight="1" spans="1:14">
      <c r="A2298" s="9" t="s">
        <v>53</v>
      </c>
      <c r="B2298" s="9" t="s">
        <v>49</v>
      </c>
      <c r="C2298" s="10">
        <v>45085</v>
      </c>
      <c r="D2298" s="15">
        <v>1.0548</v>
      </c>
      <c r="E2298" s="15">
        <v>1.0548</v>
      </c>
      <c r="F2298" s="15">
        <v>1.0548</v>
      </c>
      <c r="G2298" s="11">
        <v>0.0045</v>
      </c>
      <c r="H2298" s="9">
        <f>MAX($F$2174:F2298)</f>
        <v>1.0548</v>
      </c>
      <c r="I2298" s="11">
        <f t="shared" si="55"/>
        <v>0</v>
      </c>
      <c r="J2298" s="9"/>
      <c r="K2298" s="11"/>
      <c r="L2298" s="9"/>
      <c r="M2298" s="11"/>
      <c r="N2298" s="9" t="s">
        <v>789</v>
      </c>
    </row>
    <row r="2299" ht="25" customHeight="1" spans="1:14">
      <c r="A2299" s="9" t="s">
        <v>53</v>
      </c>
      <c r="B2299" s="9" t="s">
        <v>49</v>
      </c>
      <c r="C2299" s="10">
        <v>45086</v>
      </c>
      <c r="D2299" s="15">
        <v>1.0627</v>
      </c>
      <c r="E2299" s="15">
        <v>1.0627</v>
      </c>
      <c r="F2299" s="15">
        <v>1.0627</v>
      </c>
      <c r="G2299" s="11">
        <v>0.0075</v>
      </c>
      <c r="H2299" s="9">
        <f>MAX($F$2174:F2299)</f>
        <v>1.0627</v>
      </c>
      <c r="I2299" s="11">
        <f t="shared" si="55"/>
        <v>0</v>
      </c>
      <c r="J2299" s="9"/>
      <c r="K2299" s="11"/>
      <c r="L2299" s="9"/>
      <c r="M2299" s="11"/>
      <c r="N2299" s="9" t="s">
        <v>789</v>
      </c>
    </row>
    <row r="2300" ht="25" customHeight="1" spans="1:14">
      <c r="A2300" s="9" t="s">
        <v>53</v>
      </c>
      <c r="B2300" s="9" t="s">
        <v>49</v>
      </c>
      <c r="C2300" s="10">
        <v>45089</v>
      </c>
      <c r="D2300" s="15">
        <v>1.0576</v>
      </c>
      <c r="E2300" s="15">
        <v>1.0576</v>
      </c>
      <c r="F2300" s="15">
        <v>1.0576</v>
      </c>
      <c r="G2300" s="11">
        <v>-0.0048</v>
      </c>
      <c r="H2300" s="9">
        <f>MAX($F$2174:F2300)</f>
        <v>1.0627</v>
      </c>
      <c r="I2300" s="11">
        <f t="shared" si="55"/>
        <v>0.00479909664063227</v>
      </c>
      <c r="J2300" s="9"/>
      <c r="K2300" s="11"/>
      <c r="L2300" s="9"/>
      <c r="M2300" s="11"/>
      <c r="N2300" s="9" t="s">
        <v>789</v>
      </c>
    </row>
    <row r="2301" ht="25" customHeight="1" spans="1:14">
      <c r="A2301" s="9" t="s">
        <v>53</v>
      </c>
      <c r="B2301" s="9" t="s">
        <v>49</v>
      </c>
      <c r="C2301" s="10">
        <v>45090</v>
      </c>
      <c r="D2301" s="15">
        <v>1.0567</v>
      </c>
      <c r="E2301" s="15">
        <v>1.0567</v>
      </c>
      <c r="F2301" s="15">
        <v>1.0567</v>
      </c>
      <c r="G2301" s="11">
        <v>-0.0009</v>
      </c>
      <c r="H2301" s="9">
        <f>MAX($F$2174:F2301)</f>
        <v>1.0627</v>
      </c>
      <c r="I2301" s="11">
        <f t="shared" si="55"/>
        <v>0.0056459960478028</v>
      </c>
      <c r="J2301" s="9"/>
      <c r="K2301" s="11"/>
      <c r="L2301" s="9"/>
      <c r="M2301" s="11"/>
      <c r="N2301" s="9" t="s">
        <v>789</v>
      </c>
    </row>
    <row r="2302" ht="25" customHeight="1" spans="1:14">
      <c r="A2302" s="9" t="s">
        <v>53</v>
      </c>
      <c r="B2302" s="9" t="s">
        <v>49</v>
      </c>
      <c r="C2302" s="10">
        <v>45091</v>
      </c>
      <c r="D2302" s="15">
        <v>1.0527</v>
      </c>
      <c r="E2302" s="15">
        <v>1.0527</v>
      </c>
      <c r="F2302" s="15">
        <v>1.0527</v>
      </c>
      <c r="G2302" s="11">
        <v>-0.0038</v>
      </c>
      <c r="H2302" s="9">
        <f>MAX($F$2174:F2302)</f>
        <v>1.0627</v>
      </c>
      <c r="I2302" s="11">
        <f t="shared" si="55"/>
        <v>0.00940999341300464</v>
      </c>
      <c r="J2302" s="9"/>
      <c r="K2302" s="11"/>
      <c r="L2302" s="9"/>
      <c r="M2302" s="11"/>
      <c r="N2302" s="9" t="s">
        <v>789</v>
      </c>
    </row>
    <row r="2303" ht="25" customHeight="1" spans="1:14">
      <c r="A2303" s="9" t="s">
        <v>53</v>
      </c>
      <c r="B2303" s="9" t="s">
        <v>49</v>
      </c>
      <c r="C2303" s="10">
        <v>45092</v>
      </c>
      <c r="D2303" s="15">
        <v>1.0481</v>
      </c>
      <c r="E2303" s="15">
        <v>1.0481</v>
      </c>
      <c r="F2303" s="15">
        <v>1.0481</v>
      </c>
      <c r="G2303" s="11">
        <v>-0.0044</v>
      </c>
      <c r="H2303" s="9">
        <f>MAX($F$2174:F2303)</f>
        <v>1.0627</v>
      </c>
      <c r="I2303" s="11">
        <f t="shared" si="55"/>
        <v>0.0137385903829866</v>
      </c>
      <c r="J2303" s="9"/>
      <c r="K2303" s="11"/>
      <c r="L2303" s="9"/>
      <c r="M2303" s="11"/>
      <c r="N2303" s="9" t="s">
        <v>789</v>
      </c>
    </row>
    <row r="2304" ht="25" customHeight="1" spans="1:14">
      <c r="A2304" s="9" t="s">
        <v>53</v>
      </c>
      <c r="B2304" s="9" t="s">
        <v>49</v>
      </c>
      <c r="C2304" s="10">
        <v>45093</v>
      </c>
      <c r="D2304" s="15">
        <v>1.0516</v>
      </c>
      <c r="E2304" s="15">
        <v>1.0516</v>
      </c>
      <c r="F2304" s="15">
        <v>1.0516</v>
      </c>
      <c r="G2304" s="11">
        <v>0.0033</v>
      </c>
      <c r="H2304" s="9">
        <f>MAX($F$2174:F2304)</f>
        <v>1.0627</v>
      </c>
      <c r="I2304" s="11">
        <f t="shared" si="55"/>
        <v>0.010445092688435</v>
      </c>
      <c r="J2304" s="9"/>
      <c r="K2304" s="11"/>
      <c r="L2304" s="9"/>
      <c r="M2304" s="11"/>
      <c r="N2304" s="9" t="s">
        <v>789</v>
      </c>
    </row>
    <row r="2305" ht="25" customHeight="1" spans="1:14">
      <c r="A2305" s="9" t="s">
        <v>53</v>
      </c>
      <c r="B2305" s="9" t="s">
        <v>49</v>
      </c>
      <c r="C2305" s="10">
        <v>45096</v>
      </c>
      <c r="D2305" s="15">
        <v>1.0567</v>
      </c>
      <c r="E2305" s="15">
        <v>1.0567</v>
      </c>
      <c r="F2305" s="15">
        <v>1.0567</v>
      </c>
      <c r="G2305" s="11">
        <v>0.0048</v>
      </c>
      <c r="H2305" s="9">
        <f>MAX($F$2174:F2305)</f>
        <v>1.0627</v>
      </c>
      <c r="I2305" s="11">
        <f t="shared" si="55"/>
        <v>0.0056459960478028</v>
      </c>
      <c r="J2305" s="9"/>
      <c r="K2305" s="11"/>
      <c r="L2305" s="9"/>
      <c r="M2305" s="11"/>
      <c r="N2305" s="9" t="s">
        <v>789</v>
      </c>
    </row>
    <row r="2306" ht="25" customHeight="1" spans="1:14">
      <c r="A2306" s="9" t="s">
        <v>53</v>
      </c>
      <c r="B2306" s="9" t="s">
        <v>49</v>
      </c>
      <c r="C2306" s="10">
        <v>45097</v>
      </c>
      <c r="D2306" s="15">
        <v>1.0542</v>
      </c>
      <c r="E2306" s="15">
        <v>1.0542</v>
      </c>
      <c r="F2306" s="15">
        <v>1.0542</v>
      </c>
      <c r="G2306" s="11">
        <v>-0.0024</v>
      </c>
      <c r="H2306" s="9">
        <f>MAX($F$2174:F2306)</f>
        <v>1.0627</v>
      </c>
      <c r="I2306" s="11">
        <f t="shared" ref="I2306:I2369" si="56">1-F2306/H2306</f>
        <v>0.00799849440105382</v>
      </c>
      <c r="J2306" s="9"/>
      <c r="K2306" s="11"/>
      <c r="L2306" s="9"/>
      <c r="M2306" s="11"/>
      <c r="N2306" s="9" t="s">
        <v>789</v>
      </c>
    </row>
    <row r="2307" ht="25" customHeight="1" spans="1:14">
      <c r="A2307" s="9" t="s">
        <v>53</v>
      </c>
      <c r="B2307" s="9" t="s">
        <v>49</v>
      </c>
      <c r="C2307" s="10">
        <v>45098</v>
      </c>
      <c r="D2307" s="15">
        <v>1.0571</v>
      </c>
      <c r="E2307" s="15">
        <v>1.0571</v>
      </c>
      <c r="F2307" s="15">
        <v>1.0571</v>
      </c>
      <c r="G2307" s="11">
        <v>0.0028</v>
      </c>
      <c r="H2307" s="9">
        <f>MAX($F$2174:F2307)</f>
        <v>1.0627</v>
      </c>
      <c r="I2307" s="11">
        <f t="shared" si="56"/>
        <v>0.00526959631128265</v>
      </c>
      <c r="J2307" s="9"/>
      <c r="K2307" s="11"/>
      <c r="L2307" s="9"/>
      <c r="M2307" s="11"/>
      <c r="N2307" s="9" t="s">
        <v>789</v>
      </c>
    </row>
    <row r="2308" ht="25" customHeight="1" spans="1:14">
      <c r="A2308" s="9" t="s">
        <v>53</v>
      </c>
      <c r="B2308" s="9" t="s">
        <v>49</v>
      </c>
      <c r="C2308" s="10">
        <v>45103</v>
      </c>
      <c r="D2308" s="15">
        <v>1.0642</v>
      </c>
      <c r="E2308" s="15">
        <v>1.0642</v>
      </c>
      <c r="F2308" s="15">
        <v>1.0642</v>
      </c>
      <c r="G2308" s="11">
        <v>0.0067</v>
      </c>
      <c r="H2308" s="9">
        <f>MAX($F$2174:F2308)</f>
        <v>1.0642</v>
      </c>
      <c r="I2308" s="11">
        <f t="shared" si="56"/>
        <v>0</v>
      </c>
      <c r="J2308" s="9"/>
      <c r="K2308" s="11"/>
      <c r="L2308" s="9"/>
      <c r="M2308" s="11"/>
      <c r="N2308" s="9" t="s">
        <v>789</v>
      </c>
    </row>
    <row r="2309" ht="25" customHeight="1" spans="1:14">
      <c r="A2309" s="9" t="s">
        <v>53</v>
      </c>
      <c r="B2309" s="9" t="s">
        <v>49</v>
      </c>
      <c r="C2309" s="10">
        <v>45104</v>
      </c>
      <c r="D2309" s="15">
        <v>1.0568</v>
      </c>
      <c r="E2309" s="15">
        <v>1.0568</v>
      </c>
      <c r="F2309" s="15">
        <v>1.0568</v>
      </c>
      <c r="G2309" s="11">
        <v>-0.007</v>
      </c>
      <c r="H2309" s="9">
        <f>MAX($F$2174:F2309)</f>
        <v>1.0642</v>
      </c>
      <c r="I2309" s="11">
        <f t="shared" si="56"/>
        <v>0.00695358015410641</v>
      </c>
      <c r="J2309" s="9"/>
      <c r="K2309" s="11"/>
      <c r="L2309" s="9"/>
      <c r="M2309" s="11"/>
      <c r="N2309" s="9" t="s">
        <v>789</v>
      </c>
    </row>
    <row r="2310" ht="25" customHeight="1" spans="1:14">
      <c r="A2310" s="9" t="s">
        <v>53</v>
      </c>
      <c r="B2310" s="9" t="s">
        <v>49</v>
      </c>
      <c r="C2310" s="10">
        <v>45105</v>
      </c>
      <c r="D2310" s="15">
        <v>1.0536</v>
      </c>
      <c r="E2310" s="15">
        <v>1.0536</v>
      </c>
      <c r="F2310" s="15">
        <v>1.0536</v>
      </c>
      <c r="G2310" s="11">
        <v>-0.003</v>
      </c>
      <c r="H2310" s="9">
        <f>MAX($F$2174:F2310)</f>
        <v>1.0642</v>
      </c>
      <c r="I2310" s="11">
        <f t="shared" si="56"/>
        <v>0.00996053373426042</v>
      </c>
      <c r="J2310" s="9"/>
      <c r="K2310" s="11"/>
      <c r="L2310" s="9"/>
      <c r="M2310" s="11"/>
      <c r="N2310" s="9" t="s">
        <v>789</v>
      </c>
    </row>
    <row r="2311" ht="25" customHeight="1" spans="1:14">
      <c r="A2311" s="9" t="s">
        <v>53</v>
      </c>
      <c r="B2311" s="9" t="s">
        <v>49</v>
      </c>
      <c r="C2311" s="10">
        <v>45106</v>
      </c>
      <c r="D2311" s="15">
        <v>1.0489</v>
      </c>
      <c r="E2311" s="15">
        <v>1.0489</v>
      </c>
      <c r="F2311" s="15">
        <v>1.0489</v>
      </c>
      <c r="G2311" s="11">
        <v>-0.0045</v>
      </c>
      <c r="H2311" s="9">
        <f>MAX($F$2174:F2311)</f>
        <v>1.0642</v>
      </c>
      <c r="I2311" s="11">
        <f t="shared" si="56"/>
        <v>0.014376996805112</v>
      </c>
      <c r="J2311" s="9"/>
      <c r="K2311" s="11"/>
      <c r="L2311" s="9"/>
      <c r="M2311" s="11"/>
      <c r="N2311" s="9" t="s">
        <v>789</v>
      </c>
    </row>
    <row r="2312" ht="25" customHeight="1" spans="1:14">
      <c r="A2312" s="9" t="s">
        <v>53</v>
      </c>
      <c r="B2312" s="9" t="s">
        <v>49</v>
      </c>
      <c r="C2312" s="10">
        <v>45107</v>
      </c>
      <c r="D2312" s="15">
        <v>1.0445</v>
      </c>
      <c r="E2312" s="15">
        <v>1.0445</v>
      </c>
      <c r="F2312" s="15">
        <v>1.0445</v>
      </c>
      <c r="G2312" s="11">
        <v>-0.0042</v>
      </c>
      <c r="H2312" s="9">
        <f>MAX($F$2174:F2312)</f>
        <v>1.0642</v>
      </c>
      <c r="I2312" s="11">
        <f t="shared" si="56"/>
        <v>0.0185115579778238</v>
      </c>
      <c r="J2312" s="9"/>
      <c r="K2312" s="11"/>
      <c r="L2312" s="9"/>
      <c r="M2312" s="11"/>
      <c r="N2312" s="9" t="s">
        <v>789</v>
      </c>
    </row>
    <row r="2313" ht="25" customHeight="1" spans="1:14">
      <c r="A2313" s="9" t="s">
        <v>53</v>
      </c>
      <c r="B2313" s="9" t="s">
        <v>49</v>
      </c>
      <c r="C2313" s="10">
        <v>45110</v>
      </c>
      <c r="D2313" s="15">
        <v>1.0454</v>
      </c>
      <c r="E2313" s="15">
        <v>1.0454</v>
      </c>
      <c r="F2313" s="15">
        <v>1.0454</v>
      </c>
      <c r="G2313" s="11">
        <v>0.0009</v>
      </c>
      <c r="H2313" s="9">
        <f>MAX($F$2174:F2313)</f>
        <v>1.0642</v>
      </c>
      <c r="I2313" s="11">
        <f t="shared" si="56"/>
        <v>0.0176658522834053</v>
      </c>
      <c r="J2313" s="9"/>
      <c r="K2313" s="11"/>
      <c r="L2313" s="9"/>
      <c r="M2313" s="11"/>
      <c r="N2313" s="9" t="s">
        <v>789</v>
      </c>
    </row>
    <row r="2314" ht="25" customHeight="1" spans="1:14">
      <c r="A2314" s="9" t="s">
        <v>53</v>
      </c>
      <c r="B2314" s="9" t="s">
        <v>49</v>
      </c>
      <c r="C2314" s="10">
        <v>45111</v>
      </c>
      <c r="D2314" s="15">
        <v>1.0566</v>
      </c>
      <c r="E2314" s="15">
        <v>1.0566</v>
      </c>
      <c r="F2314" s="15">
        <v>1.0566</v>
      </c>
      <c r="G2314" s="11">
        <v>0.0107</v>
      </c>
      <c r="H2314" s="9">
        <f>MAX($F$2174:F2314)</f>
        <v>1.0642</v>
      </c>
      <c r="I2314" s="11">
        <f t="shared" si="56"/>
        <v>0.00714151475286606</v>
      </c>
      <c r="J2314" s="9"/>
      <c r="K2314" s="11"/>
      <c r="L2314" s="9"/>
      <c r="M2314" s="11"/>
      <c r="N2314" s="9" t="s">
        <v>789</v>
      </c>
    </row>
    <row r="2315" ht="25" customHeight="1" spans="1:14">
      <c r="A2315" s="9" t="s">
        <v>53</v>
      </c>
      <c r="B2315" s="9" t="s">
        <v>49</v>
      </c>
      <c r="C2315" s="10">
        <v>45112</v>
      </c>
      <c r="D2315" s="15">
        <v>1.059</v>
      </c>
      <c r="E2315" s="15">
        <v>1.059</v>
      </c>
      <c r="F2315" s="15">
        <v>1.059</v>
      </c>
      <c r="G2315" s="11">
        <v>0.0023</v>
      </c>
      <c r="H2315" s="9">
        <f>MAX($F$2174:F2315)</f>
        <v>1.0642</v>
      </c>
      <c r="I2315" s="11">
        <f t="shared" si="56"/>
        <v>0.00488629956775055</v>
      </c>
      <c r="J2315" s="9"/>
      <c r="K2315" s="11"/>
      <c r="L2315" s="9"/>
      <c r="M2315" s="11"/>
      <c r="N2315" s="9" t="s">
        <v>789</v>
      </c>
    </row>
    <row r="2316" ht="25" customHeight="1" spans="1:14">
      <c r="A2316" s="9" t="s">
        <v>53</v>
      </c>
      <c r="B2316" s="9" t="s">
        <v>49</v>
      </c>
      <c r="C2316" s="10">
        <v>45113</v>
      </c>
      <c r="D2316" s="15">
        <v>1.0566</v>
      </c>
      <c r="E2316" s="15">
        <v>1.0566</v>
      </c>
      <c r="F2316" s="15">
        <v>1.0566</v>
      </c>
      <c r="G2316" s="11">
        <v>-0.0023</v>
      </c>
      <c r="H2316" s="9">
        <f>MAX($F$2174:F2316)</f>
        <v>1.0642</v>
      </c>
      <c r="I2316" s="11">
        <f t="shared" si="56"/>
        <v>0.00714151475286606</v>
      </c>
      <c r="J2316" s="9"/>
      <c r="K2316" s="11"/>
      <c r="L2316" s="9"/>
      <c r="M2316" s="11"/>
      <c r="N2316" s="9" t="s">
        <v>789</v>
      </c>
    </row>
    <row r="2317" ht="25" customHeight="1" spans="1:14">
      <c r="A2317" s="9" t="s">
        <v>53</v>
      </c>
      <c r="B2317" s="9" t="s">
        <v>49</v>
      </c>
      <c r="C2317" s="10">
        <v>45114</v>
      </c>
      <c r="D2317" s="15">
        <v>1.0525</v>
      </c>
      <c r="E2317" s="15">
        <v>1.0525</v>
      </c>
      <c r="F2317" s="15">
        <v>1.0525</v>
      </c>
      <c r="G2317" s="11">
        <v>-0.0039</v>
      </c>
      <c r="H2317" s="9">
        <f>MAX($F$2174:F2317)</f>
        <v>1.0642</v>
      </c>
      <c r="I2317" s="11">
        <f t="shared" si="56"/>
        <v>0.0109941740274385</v>
      </c>
      <c r="J2317" s="9"/>
      <c r="K2317" s="11"/>
      <c r="L2317" s="9"/>
      <c r="M2317" s="11"/>
      <c r="N2317" s="9" t="s">
        <v>789</v>
      </c>
    </row>
    <row r="2318" ht="25" customHeight="1" spans="1:14">
      <c r="A2318" s="9" t="s">
        <v>53</v>
      </c>
      <c r="B2318" s="9" t="s">
        <v>49</v>
      </c>
      <c r="C2318" s="10">
        <v>45117</v>
      </c>
      <c r="D2318" s="15">
        <v>1.0546</v>
      </c>
      <c r="E2318" s="15">
        <v>1.0546</v>
      </c>
      <c r="F2318" s="15">
        <v>1.0546</v>
      </c>
      <c r="G2318" s="11">
        <v>0.002</v>
      </c>
      <c r="H2318" s="9">
        <f>MAX($F$2174:F2318)</f>
        <v>1.0642</v>
      </c>
      <c r="I2318" s="11">
        <f t="shared" si="56"/>
        <v>0.00902086074046238</v>
      </c>
      <c r="J2318" s="9"/>
      <c r="K2318" s="11"/>
      <c r="L2318" s="9"/>
      <c r="M2318" s="11"/>
      <c r="N2318" s="9" t="s">
        <v>789</v>
      </c>
    </row>
    <row r="2319" ht="25" customHeight="1" spans="1:14">
      <c r="A2319" s="9" t="s">
        <v>53</v>
      </c>
      <c r="B2319" s="9" t="s">
        <v>49</v>
      </c>
      <c r="C2319" s="10">
        <v>45118</v>
      </c>
      <c r="D2319" s="15">
        <v>1.0618</v>
      </c>
      <c r="E2319" s="15">
        <v>1.0618</v>
      </c>
      <c r="F2319" s="15">
        <v>1.0618</v>
      </c>
      <c r="G2319" s="11">
        <v>0.0068</v>
      </c>
      <c r="H2319" s="9">
        <f>MAX($F$2174:F2319)</f>
        <v>1.0642</v>
      </c>
      <c r="I2319" s="11">
        <f t="shared" si="56"/>
        <v>0.00225521518511551</v>
      </c>
      <c r="J2319" s="9"/>
      <c r="K2319" s="11"/>
      <c r="L2319" s="9"/>
      <c r="M2319" s="11"/>
      <c r="N2319" s="9" t="s">
        <v>789</v>
      </c>
    </row>
    <row r="2320" ht="25" customHeight="1" spans="1:14">
      <c r="A2320" s="9" t="s">
        <v>53</v>
      </c>
      <c r="B2320" s="9" t="s">
        <v>49</v>
      </c>
      <c r="C2320" s="10">
        <v>45119</v>
      </c>
      <c r="D2320" s="15">
        <v>1.0713</v>
      </c>
      <c r="E2320" s="15">
        <v>1.0713</v>
      </c>
      <c r="F2320" s="15">
        <v>1.0713</v>
      </c>
      <c r="G2320" s="11">
        <v>0.0089</v>
      </c>
      <c r="H2320" s="9">
        <f>MAX($F$2174:F2320)</f>
        <v>1.0713</v>
      </c>
      <c r="I2320" s="11">
        <f t="shared" si="56"/>
        <v>0</v>
      </c>
      <c r="J2320" s="9"/>
      <c r="K2320" s="11"/>
      <c r="L2320" s="9"/>
      <c r="M2320" s="11"/>
      <c r="N2320" s="9" t="s">
        <v>789</v>
      </c>
    </row>
    <row r="2321" ht="25" customHeight="1" spans="1:14">
      <c r="A2321" s="9" t="s">
        <v>53</v>
      </c>
      <c r="B2321" s="9" t="s">
        <v>49</v>
      </c>
      <c r="C2321" s="10">
        <v>45120</v>
      </c>
      <c r="D2321" s="15">
        <v>1.07</v>
      </c>
      <c r="E2321" s="15">
        <v>1.07</v>
      </c>
      <c r="F2321" s="15">
        <v>1.07</v>
      </c>
      <c r="G2321" s="11">
        <v>-0.0012</v>
      </c>
      <c r="H2321" s="9">
        <f>MAX($F$2174:F2321)</f>
        <v>1.0713</v>
      </c>
      <c r="I2321" s="11">
        <f t="shared" si="56"/>
        <v>0.00121347895080726</v>
      </c>
      <c r="J2321" s="9"/>
      <c r="K2321" s="11"/>
      <c r="L2321" s="9"/>
      <c r="M2321" s="11"/>
      <c r="N2321" s="9" t="s">
        <v>789</v>
      </c>
    </row>
    <row r="2322" ht="25" customHeight="1" spans="1:14">
      <c r="A2322" s="9" t="s">
        <v>53</v>
      </c>
      <c r="B2322" s="9" t="s">
        <v>49</v>
      </c>
      <c r="C2322" s="10">
        <v>45121</v>
      </c>
      <c r="D2322" s="15">
        <v>1.0704</v>
      </c>
      <c r="E2322" s="15">
        <v>1.0704</v>
      </c>
      <c r="F2322" s="15">
        <v>1.0704</v>
      </c>
      <c r="G2322" s="11">
        <v>0.0004</v>
      </c>
      <c r="H2322" s="9">
        <f>MAX($F$2174:F2322)</f>
        <v>1.0713</v>
      </c>
      <c r="I2322" s="11">
        <f t="shared" si="56"/>
        <v>0.0008401008120974</v>
      </c>
      <c r="J2322" s="9"/>
      <c r="K2322" s="11"/>
      <c r="L2322" s="9"/>
      <c r="M2322" s="11"/>
      <c r="N2322" s="9" t="s">
        <v>789</v>
      </c>
    </row>
    <row r="2323" ht="25" customHeight="1" spans="1:14">
      <c r="A2323" s="9" t="s">
        <v>53</v>
      </c>
      <c r="B2323" s="9" t="s">
        <v>49</v>
      </c>
      <c r="C2323" s="10">
        <v>45124</v>
      </c>
      <c r="D2323" s="15">
        <v>1.0691</v>
      </c>
      <c r="E2323" s="15">
        <v>1.0691</v>
      </c>
      <c r="F2323" s="15">
        <v>1.0691</v>
      </c>
      <c r="G2323" s="11">
        <v>-0.0012</v>
      </c>
      <c r="H2323" s="9">
        <f>MAX($F$2174:F2323)</f>
        <v>1.0713</v>
      </c>
      <c r="I2323" s="11">
        <f t="shared" si="56"/>
        <v>0.00205357976290488</v>
      </c>
      <c r="J2323" s="9"/>
      <c r="K2323" s="11"/>
      <c r="L2323" s="9"/>
      <c r="M2323" s="11"/>
      <c r="N2323" s="9" t="s">
        <v>789</v>
      </c>
    </row>
    <row r="2324" ht="25" customHeight="1" spans="1:14">
      <c r="A2324" s="9" t="s">
        <v>53</v>
      </c>
      <c r="B2324" s="9" t="s">
        <v>49</v>
      </c>
      <c r="C2324" s="10">
        <v>45125</v>
      </c>
      <c r="D2324" s="15">
        <v>1.0708</v>
      </c>
      <c r="E2324" s="15">
        <v>1.0708</v>
      </c>
      <c r="F2324" s="15">
        <v>1.0708</v>
      </c>
      <c r="G2324" s="11">
        <v>0.0016</v>
      </c>
      <c r="H2324" s="9">
        <f>MAX($F$2174:F2324)</f>
        <v>1.0713</v>
      </c>
      <c r="I2324" s="11">
        <f t="shared" si="56"/>
        <v>0.000466722673387432</v>
      </c>
      <c r="J2324" s="9"/>
      <c r="K2324" s="11"/>
      <c r="L2324" s="9"/>
      <c r="M2324" s="11"/>
      <c r="N2324" s="9" t="s">
        <v>789</v>
      </c>
    </row>
    <row r="2325" ht="25" customHeight="1" spans="1:14">
      <c r="A2325" s="9" t="s">
        <v>53</v>
      </c>
      <c r="B2325" s="9" t="s">
        <v>49</v>
      </c>
      <c r="C2325" s="10">
        <v>45126</v>
      </c>
      <c r="D2325" s="15">
        <v>1.0651</v>
      </c>
      <c r="E2325" s="15">
        <v>1.0651</v>
      </c>
      <c r="F2325" s="15">
        <v>1.0651</v>
      </c>
      <c r="G2325" s="11">
        <v>-0.0053</v>
      </c>
      <c r="H2325" s="9">
        <f>MAX($F$2174:F2325)</f>
        <v>1.0713</v>
      </c>
      <c r="I2325" s="11">
        <f t="shared" si="56"/>
        <v>0.00578736115000467</v>
      </c>
      <c r="J2325" s="9"/>
      <c r="K2325" s="11"/>
      <c r="L2325" s="9"/>
      <c r="M2325" s="11"/>
      <c r="N2325" s="9" t="s">
        <v>789</v>
      </c>
    </row>
    <row r="2326" ht="25" customHeight="1" spans="1:14">
      <c r="A2326" s="9" t="s">
        <v>53</v>
      </c>
      <c r="B2326" s="9" t="s">
        <v>49</v>
      </c>
      <c r="C2326" s="10">
        <v>45127</v>
      </c>
      <c r="D2326" s="15">
        <v>1.0607</v>
      </c>
      <c r="E2326" s="15">
        <v>1.0607</v>
      </c>
      <c r="F2326" s="15">
        <v>1.0607</v>
      </c>
      <c r="G2326" s="11">
        <v>-0.0041</v>
      </c>
      <c r="H2326" s="9">
        <f>MAX($F$2174:F2326)</f>
        <v>1.0713</v>
      </c>
      <c r="I2326" s="11">
        <f t="shared" si="56"/>
        <v>0.00989452067581442</v>
      </c>
      <c r="J2326" s="9"/>
      <c r="K2326" s="11"/>
      <c r="L2326" s="9"/>
      <c r="M2326" s="11"/>
      <c r="N2326" s="9" t="s">
        <v>789</v>
      </c>
    </row>
    <row r="2327" ht="25" customHeight="1" spans="1:14">
      <c r="A2327" s="9" t="s">
        <v>53</v>
      </c>
      <c r="B2327" s="9" t="s">
        <v>49</v>
      </c>
      <c r="C2327" s="10">
        <v>45128</v>
      </c>
      <c r="D2327" s="15">
        <v>1.069</v>
      </c>
      <c r="E2327" s="15">
        <v>1.069</v>
      </c>
      <c r="F2327" s="15">
        <v>1.069</v>
      </c>
      <c r="G2327" s="11">
        <v>0.0078</v>
      </c>
      <c r="H2327" s="9">
        <f>MAX($F$2174:F2327)</f>
        <v>1.0713</v>
      </c>
      <c r="I2327" s="11">
        <f t="shared" si="56"/>
        <v>0.00214692429758234</v>
      </c>
      <c r="J2327" s="9"/>
      <c r="K2327" s="11"/>
      <c r="L2327" s="9"/>
      <c r="M2327" s="11"/>
      <c r="N2327" s="9" t="s">
        <v>789</v>
      </c>
    </row>
    <row r="2328" ht="25" customHeight="1" spans="1:14">
      <c r="A2328" s="9" t="s">
        <v>53</v>
      </c>
      <c r="B2328" s="9" t="s">
        <v>49</v>
      </c>
      <c r="C2328" s="10">
        <v>45131</v>
      </c>
      <c r="D2328" s="15">
        <v>1.0773</v>
      </c>
      <c r="E2328" s="15">
        <v>1.0773</v>
      </c>
      <c r="F2328" s="15">
        <v>1.0773</v>
      </c>
      <c r="G2328" s="11">
        <v>0.0078</v>
      </c>
      <c r="H2328" s="9">
        <f>MAX($F$2174:F2328)</f>
        <v>1.0773</v>
      </c>
      <c r="I2328" s="11">
        <f t="shared" si="56"/>
        <v>0</v>
      </c>
      <c r="J2328" s="9"/>
      <c r="K2328" s="11"/>
      <c r="L2328" s="9"/>
      <c r="M2328" s="11"/>
      <c r="N2328" s="9" t="s">
        <v>789</v>
      </c>
    </row>
    <row r="2329" ht="25" customHeight="1" spans="1:14">
      <c r="A2329" s="9" t="s">
        <v>53</v>
      </c>
      <c r="B2329" s="9" t="s">
        <v>49</v>
      </c>
      <c r="C2329" s="10">
        <v>45132</v>
      </c>
      <c r="D2329" s="15">
        <v>1.0837</v>
      </c>
      <c r="E2329" s="15">
        <v>1.0837</v>
      </c>
      <c r="F2329" s="15">
        <v>1.0837</v>
      </c>
      <c r="G2329" s="11">
        <v>0.0059</v>
      </c>
      <c r="H2329" s="9">
        <f>MAX($F$2174:F2329)</f>
        <v>1.0837</v>
      </c>
      <c r="I2329" s="11">
        <f t="shared" si="56"/>
        <v>0</v>
      </c>
      <c r="J2329" s="9"/>
      <c r="K2329" s="11"/>
      <c r="L2329" s="9"/>
      <c r="M2329" s="11"/>
      <c r="N2329" s="9" t="s">
        <v>789</v>
      </c>
    </row>
    <row r="2330" ht="25" customHeight="1" spans="1:14">
      <c r="A2330" s="9" t="s">
        <v>53</v>
      </c>
      <c r="B2330" s="9" t="s">
        <v>49</v>
      </c>
      <c r="C2330" s="10">
        <v>45133</v>
      </c>
      <c r="D2330" s="15">
        <v>1.0977</v>
      </c>
      <c r="E2330" s="15">
        <v>1.0977</v>
      </c>
      <c r="F2330" s="15">
        <v>1.0977</v>
      </c>
      <c r="G2330" s="11">
        <v>0.0129</v>
      </c>
      <c r="H2330" s="9">
        <f>MAX($F$2174:F2330)</f>
        <v>1.0977</v>
      </c>
      <c r="I2330" s="11">
        <f t="shared" si="56"/>
        <v>0</v>
      </c>
      <c r="J2330" s="9"/>
      <c r="K2330" s="11"/>
      <c r="L2330" s="9"/>
      <c r="M2330" s="11"/>
      <c r="N2330" s="9" t="s">
        <v>789</v>
      </c>
    </row>
    <row r="2331" ht="25" customHeight="1" spans="1:14">
      <c r="A2331" s="9" t="s">
        <v>53</v>
      </c>
      <c r="B2331" s="9" t="s">
        <v>49</v>
      </c>
      <c r="C2331" s="10">
        <v>45134</v>
      </c>
      <c r="D2331" s="15">
        <v>1.116</v>
      </c>
      <c r="E2331" s="15">
        <v>1.116</v>
      </c>
      <c r="F2331" s="15">
        <v>1.116</v>
      </c>
      <c r="G2331" s="11">
        <v>0.0167</v>
      </c>
      <c r="H2331" s="9">
        <f>MAX($F$2174:F2331)</f>
        <v>1.116</v>
      </c>
      <c r="I2331" s="11">
        <f t="shared" si="56"/>
        <v>0</v>
      </c>
      <c r="J2331" s="9"/>
      <c r="K2331" s="11"/>
      <c r="L2331" s="9"/>
      <c r="M2331" s="11"/>
      <c r="N2331" s="9" t="s">
        <v>789</v>
      </c>
    </row>
    <row r="2332" ht="25" customHeight="1" spans="1:14">
      <c r="A2332" s="9" t="s">
        <v>53</v>
      </c>
      <c r="B2332" s="9" t="s">
        <v>49</v>
      </c>
      <c r="C2332" s="10">
        <v>45135</v>
      </c>
      <c r="D2332" s="15">
        <v>1.1243</v>
      </c>
      <c r="E2332" s="15">
        <v>1.1243</v>
      </c>
      <c r="F2332" s="15">
        <v>1.1243</v>
      </c>
      <c r="G2332" s="11">
        <v>0.0074</v>
      </c>
      <c r="H2332" s="9">
        <f>MAX($F$2174:F2332)</f>
        <v>1.1243</v>
      </c>
      <c r="I2332" s="11">
        <f t="shared" si="56"/>
        <v>0</v>
      </c>
      <c r="J2332" s="9"/>
      <c r="K2332" s="11"/>
      <c r="L2332" s="9"/>
      <c r="M2332" s="11"/>
      <c r="N2332" s="9" t="s">
        <v>789</v>
      </c>
    </row>
    <row r="2333" ht="25" customHeight="1" spans="1:14">
      <c r="A2333" s="9" t="s">
        <v>53</v>
      </c>
      <c r="B2333" s="9" t="s">
        <v>49</v>
      </c>
      <c r="C2333" s="10">
        <v>45138</v>
      </c>
      <c r="D2333" s="15">
        <v>1.1174</v>
      </c>
      <c r="E2333" s="15">
        <v>1.1174</v>
      </c>
      <c r="F2333" s="15">
        <v>1.1174</v>
      </c>
      <c r="G2333" s="11">
        <v>-0.0061</v>
      </c>
      <c r="H2333" s="9">
        <f>MAX($F$2174:F2333)</f>
        <v>1.1243</v>
      </c>
      <c r="I2333" s="11">
        <f t="shared" si="56"/>
        <v>0.00613715200569254</v>
      </c>
      <c r="J2333" s="9"/>
      <c r="K2333" s="11"/>
      <c r="L2333" s="9"/>
      <c r="M2333" s="11"/>
      <c r="N2333" s="9" t="s">
        <v>789</v>
      </c>
    </row>
    <row r="2334" ht="25" customHeight="1" spans="1:14">
      <c r="A2334" s="9" t="s">
        <v>53</v>
      </c>
      <c r="B2334" s="9" t="s">
        <v>49</v>
      </c>
      <c r="C2334" s="10">
        <v>45139</v>
      </c>
      <c r="D2334" s="15">
        <v>1.1143</v>
      </c>
      <c r="E2334" s="15">
        <v>1.1143</v>
      </c>
      <c r="F2334" s="15">
        <v>1.1143</v>
      </c>
      <c r="G2334" s="11">
        <v>-0.0028</v>
      </c>
      <c r="H2334" s="9">
        <f>MAX($F$2174:F2334)</f>
        <v>1.1243</v>
      </c>
      <c r="I2334" s="11">
        <f t="shared" si="56"/>
        <v>0.00889442319665568</v>
      </c>
      <c r="J2334" s="9"/>
      <c r="K2334" s="11"/>
      <c r="L2334" s="9"/>
      <c r="M2334" s="11"/>
      <c r="N2334" s="9" t="s">
        <v>789</v>
      </c>
    </row>
    <row r="2335" ht="25" customHeight="1" spans="1:14">
      <c r="A2335" s="9" t="s">
        <v>53</v>
      </c>
      <c r="B2335" s="9" t="s">
        <v>49</v>
      </c>
      <c r="C2335" s="10">
        <v>45140</v>
      </c>
      <c r="D2335" s="15">
        <v>1.1081</v>
      </c>
      <c r="E2335" s="15">
        <v>1.1081</v>
      </c>
      <c r="F2335" s="15">
        <v>1.1081</v>
      </c>
      <c r="G2335" s="11">
        <v>-0.0056</v>
      </c>
      <c r="H2335" s="9">
        <f>MAX($F$2174:F2335)</f>
        <v>1.1243</v>
      </c>
      <c r="I2335" s="11">
        <f t="shared" si="56"/>
        <v>0.0144089655785822</v>
      </c>
      <c r="J2335" s="9"/>
      <c r="K2335" s="11"/>
      <c r="L2335" s="9"/>
      <c r="M2335" s="11"/>
      <c r="N2335" s="9" t="s">
        <v>789</v>
      </c>
    </row>
    <row r="2336" ht="25" customHeight="1" spans="1:14">
      <c r="A2336" s="9" t="s">
        <v>53</v>
      </c>
      <c r="B2336" s="9" t="s">
        <v>49</v>
      </c>
      <c r="C2336" s="10">
        <v>45141</v>
      </c>
      <c r="D2336" s="15">
        <v>1.122</v>
      </c>
      <c r="E2336" s="15">
        <v>1.122</v>
      </c>
      <c r="F2336" s="15">
        <v>1.122</v>
      </c>
      <c r="G2336" s="11">
        <v>0.0125</v>
      </c>
      <c r="H2336" s="9">
        <f>MAX($F$2174:F2336)</f>
        <v>1.1243</v>
      </c>
      <c r="I2336" s="11">
        <f t="shared" si="56"/>
        <v>0.00204571733523073</v>
      </c>
      <c r="J2336" s="9"/>
      <c r="K2336" s="11"/>
      <c r="L2336" s="9"/>
      <c r="M2336" s="11"/>
      <c r="N2336" s="9" t="s">
        <v>789</v>
      </c>
    </row>
    <row r="2337" ht="25" customHeight="1" spans="1:14">
      <c r="A2337" s="9" t="s">
        <v>53</v>
      </c>
      <c r="B2337" s="9" t="s">
        <v>49</v>
      </c>
      <c r="C2337" s="10">
        <v>45142</v>
      </c>
      <c r="D2337" s="15">
        <v>1.1284</v>
      </c>
      <c r="E2337" s="15">
        <v>1.1284</v>
      </c>
      <c r="F2337" s="15">
        <v>1.1284</v>
      </c>
      <c r="G2337" s="11">
        <v>0.0057</v>
      </c>
      <c r="H2337" s="9">
        <f>MAX($F$2174:F2337)</f>
        <v>1.1284</v>
      </c>
      <c r="I2337" s="11">
        <f t="shared" si="56"/>
        <v>0</v>
      </c>
      <c r="J2337" s="9"/>
      <c r="K2337" s="11"/>
      <c r="L2337" s="9"/>
      <c r="M2337" s="11"/>
      <c r="N2337" s="9" t="s">
        <v>789</v>
      </c>
    </row>
    <row r="2338" ht="25" customHeight="1" spans="1:14">
      <c r="A2338" s="9" t="s">
        <v>53</v>
      </c>
      <c r="B2338" s="9" t="s">
        <v>49</v>
      </c>
      <c r="C2338" s="10">
        <v>45145</v>
      </c>
      <c r="D2338" s="15">
        <v>1.1333</v>
      </c>
      <c r="E2338" s="15">
        <v>1.1333</v>
      </c>
      <c r="F2338" s="15">
        <v>1.1333</v>
      </c>
      <c r="G2338" s="11">
        <v>0.0043</v>
      </c>
      <c r="H2338" s="9">
        <f>MAX($F$2174:F2338)</f>
        <v>1.1333</v>
      </c>
      <c r="I2338" s="11">
        <f t="shared" si="56"/>
        <v>0</v>
      </c>
      <c r="J2338" s="9"/>
      <c r="K2338" s="11"/>
      <c r="L2338" s="9"/>
      <c r="M2338" s="11"/>
      <c r="N2338" s="9" t="s">
        <v>789</v>
      </c>
    </row>
    <row r="2339" ht="25" customHeight="1" spans="1:14">
      <c r="A2339" s="9" t="s">
        <v>53</v>
      </c>
      <c r="B2339" s="9" t="s">
        <v>49</v>
      </c>
      <c r="C2339" s="10">
        <v>45146</v>
      </c>
      <c r="D2339" s="15">
        <v>1.1413</v>
      </c>
      <c r="E2339" s="15">
        <v>1.1413</v>
      </c>
      <c r="F2339" s="15">
        <v>1.1413</v>
      </c>
      <c r="G2339" s="11">
        <v>0.0071</v>
      </c>
      <c r="H2339" s="9">
        <f>MAX($F$2174:F2339)</f>
        <v>1.1413</v>
      </c>
      <c r="I2339" s="11">
        <f t="shared" si="56"/>
        <v>0</v>
      </c>
      <c r="J2339" s="9"/>
      <c r="K2339" s="11"/>
      <c r="L2339" s="9"/>
      <c r="M2339" s="11"/>
      <c r="N2339" s="9" t="s">
        <v>789</v>
      </c>
    </row>
    <row r="2340" ht="25" customHeight="1" spans="1:14">
      <c r="A2340" s="9" t="s">
        <v>53</v>
      </c>
      <c r="B2340" s="9" t="s">
        <v>49</v>
      </c>
      <c r="C2340" s="10">
        <v>45147</v>
      </c>
      <c r="D2340" s="15">
        <v>1.1384</v>
      </c>
      <c r="E2340" s="15">
        <v>1.1384</v>
      </c>
      <c r="F2340" s="15">
        <v>1.1384</v>
      </c>
      <c r="G2340" s="11">
        <v>-0.0025</v>
      </c>
      <c r="H2340" s="9">
        <f>MAX($F$2174:F2340)</f>
        <v>1.1413</v>
      </c>
      <c r="I2340" s="11">
        <f t="shared" si="56"/>
        <v>0.00254096206080778</v>
      </c>
      <c r="J2340" s="9"/>
      <c r="K2340" s="11"/>
      <c r="L2340" s="9"/>
      <c r="M2340" s="11"/>
      <c r="N2340" s="9" t="s">
        <v>789</v>
      </c>
    </row>
    <row r="2341" ht="25" customHeight="1" spans="1:14">
      <c r="A2341" s="9" t="s">
        <v>53</v>
      </c>
      <c r="B2341" s="9" t="s">
        <v>49</v>
      </c>
      <c r="C2341" s="10">
        <v>45148</v>
      </c>
      <c r="D2341" s="15">
        <v>1.144</v>
      </c>
      <c r="E2341" s="15">
        <v>1.144</v>
      </c>
      <c r="F2341" s="15">
        <v>1.144</v>
      </c>
      <c r="G2341" s="11">
        <v>0.0049</v>
      </c>
      <c r="H2341" s="9">
        <f>MAX($F$2174:F2341)</f>
        <v>1.144</v>
      </c>
      <c r="I2341" s="11">
        <f t="shared" si="56"/>
        <v>0</v>
      </c>
      <c r="J2341" s="9"/>
      <c r="K2341" s="11"/>
      <c r="L2341" s="9"/>
      <c r="M2341" s="11"/>
      <c r="N2341" s="9" t="s">
        <v>789</v>
      </c>
    </row>
    <row r="2342" ht="25" customHeight="1" spans="1:14">
      <c r="A2342" s="9" t="s">
        <v>53</v>
      </c>
      <c r="B2342" s="9" t="s">
        <v>49</v>
      </c>
      <c r="C2342" s="10">
        <v>45149</v>
      </c>
      <c r="D2342" s="15">
        <v>1.1421</v>
      </c>
      <c r="E2342" s="15">
        <v>1.1421</v>
      </c>
      <c r="F2342" s="15">
        <v>1.1421</v>
      </c>
      <c r="G2342" s="11">
        <v>-0.0017</v>
      </c>
      <c r="H2342" s="9">
        <f>MAX($F$2174:F2342)</f>
        <v>1.144</v>
      </c>
      <c r="I2342" s="11">
        <f t="shared" si="56"/>
        <v>0.00166083916083914</v>
      </c>
      <c r="J2342" s="9"/>
      <c r="K2342" s="11"/>
      <c r="L2342" s="9"/>
      <c r="M2342" s="11"/>
      <c r="N2342" s="9" t="s">
        <v>789</v>
      </c>
    </row>
    <row r="2343" ht="25" customHeight="1" spans="1:14">
      <c r="A2343" s="9" t="s">
        <v>53</v>
      </c>
      <c r="B2343" s="9" t="s">
        <v>49</v>
      </c>
      <c r="C2343" s="10">
        <v>45152</v>
      </c>
      <c r="D2343" s="15">
        <v>1.1385</v>
      </c>
      <c r="E2343" s="15">
        <v>1.1385</v>
      </c>
      <c r="F2343" s="15">
        <v>1.1385</v>
      </c>
      <c r="G2343" s="11">
        <v>-0.0032</v>
      </c>
      <c r="H2343" s="9">
        <f>MAX($F$2174:F2343)</f>
        <v>1.144</v>
      </c>
      <c r="I2343" s="11">
        <f t="shared" si="56"/>
        <v>0.00480769230769218</v>
      </c>
      <c r="J2343" s="9"/>
      <c r="K2343" s="11"/>
      <c r="L2343" s="9"/>
      <c r="M2343" s="11"/>
      <c r="N2343" s="9" t="s">
        <v>789</v>
      </c>
    </row>
    <row r="2344" ht="25" customHeight="1" spans="1:14">
      <c r="A2344" s="9" t="s">
        <v>53</v>
      </c>
      <c r="B2344" s="9" t="s">
        <v>49</v>
      </c>
      <c r="C2344" s="10">
        <v>45153</v>
      </c>
      <c r="D2344" s="15">
        <v>1.1517</v>
      </c>
      <c r="E2344" s="15">
        <v>1.1517</v>
      </c>
      <c r="F2344" s="15">
        <v>1.1517</v>
      </c>
      <c r="G2344" s="11">
        <v>0.0116</v>
      </c>
      <c r="H2344" s="9">
        <f>MAX($F$2174:F2344)</f>
        <v>1.1517</v>
      </c>
      <c r="I2344" s="11">
        <f t="shared" si="56"/>
        <v>0</v>
      </c>
      <c r="J2344" s="9"/>
      <c r="K2344" s="11"/>
      <c r="L2344" s="9"/>
      <c r="M2344" s="11"/>
      <c r="N2344" s="9" t="s">
        <v>789</v>
      </c>
    </row>
    <row r="2345" ht="25" customHeight="1" spans="1:14">
      <c r="A2345" s="9" t="s">
        <v>53</v>
      </c>
      <c r="B2345" s="9" t="s">
        <v>49</v>
      </c>
      <c r="C2345" s="10">
        <v>45154</v>
      </c>
      <c r="D2345" s="15">
        <v>1.1675</v>
      </c>
      <c r="E2345" s="15">
        <v>1.1675</v>
      </c>
      <c r="F2345" s="15">
        <v>1.1675</v>
      </c>
      <c r="G2345" s="11">
        <v>0.0137</v>
      </c>
      <c r="H2345" s="9">
        <f>MAX($F$2174:F2345)</f>
        <v>1.1675</v>
      </c>
      <c r="I2345" s="11">
        <f t="shared" si="56"/>
        <v>0</v>
      </c>
      <c r="J2345" s="9"/>
      <c r="K2345" s="11"/>
      <c r="L2345" s="9"/>
      <c r="M2345" s="11"/>
      <c r="N2345" s="9" t="s">
        <v>789</v>
      </c>
    </row>
    <row r="2346" ht="25" customHeight="1" spans="1:14">
      <c r="A2346" s="9" t="s">
        <v>53</v>
      </c>
      <c r="B2346" s="9" t="s">
        <v>49</v>
      </c>
      <c r="C2346" s="10">
        <v>45155</v>
      </c>
      <c r="D2346" s="15">
        <v>1.1615</v>
      </c>
      <c r="E2346" s="15">
        <v>1.1615</v>
      </c>
      <c r="F2346" s="15">
        <v>1.1615</v>
      </c>
      <c r="G2346" s="11">
        <v>-0.0051</v>
      </c>
      <c r="H2346" s="9">
        <f>MAX($F$2174:F2346)</f>
        <v>1.1675</v>
      </c>
      <c r="I2346" s="11">
        <f t="shared" si="56"/>
        <v>0.00513918629550325</v>
      </c>
      <c r="J2346" s="9"/>
      <c r="K2346" s="11"/>
      <c r="L2346" s="9"/>
      <c r="M2346" s="11"/>
      <c r="N2346" s="9" t="s">
        <v>789</v>
      </c>
    </row>
    <row r="2347" ht="25" customHeight="1" spans="1:14">
      <c r="A2347" s="9" t="s">
        <v>53</v>
      </c>
      <c r="B2347" s="9" t="s">
        <v>49</v>
      </c>
      <c r="C2347" s="10">
        <v>45156</v>
      </c>
      <c r="D2347" s="15">
        <v>1.162</v>
      </c>
      <c r="E2347" s="15">
        <v>1.162</v>
      </c>
      <c r="F2347" s="15">
        <v>1.162</v>
      </c>
      <c r="G2347" s="11">
        <v>0.0004</v>
      </c>
      <c r="H2347" s="9">
        <f>MAX($F$2174:F2347)</f>
        <v>1.1675</v>
      </c>
      <c r="I2347" s="11">
        <f t="shared" si="56"/>
        <v>0.00471092077087798</v>
      </c>
      <c r="J2347" s="9"/>
      <c r="K2347" s="11"/>
      <c r="L2347" s="9"/>
      <c r="M2347" s="11"/>
      <c r="N2347" s="9" t="s">
        <v>789</v>
      </c>
    </row>
    <row r="2348" ht="25" customHeight="1" spans="1:14">
      <c r="A2348" s="9" t="s">
        <v>53</v>
      </c>
      <c r="B2348" s="9" t="s">
        <v>49</v>
      </c>
      <c r="C2348" s="10">
        <v>45159</v>
      </c>
      <c r="D2348" s="15">
        <v>1.1732</v>
      </c>
      <c r="E2348" s="15">
        <v>1.1732</v>
      </c>
      <c r="F2348" s="15">
        <v>1.1732</v>
      </c>
      <c r="G2348" s="11">
        <v>0.0096</v>
      </c>
      <c r="H2348" s="9">
        <f>MAX($F$2174:F2348)</f>
        <v>1.1732</v>
      </c>
      <c r="I2348" s="11">
        <f t="shared" si="56"/>
        <v>0</v>
      </c>
      <c r="J2348" s="9"/>
      <c r="K2348" s="11"/>
      <c r="L2348" s="9"/>
      <c r="M2348" s="11"/>
      <c r="N2348" s="9" t="s">
        <v>789</v>
      </c>
    </row>
    <row r="2349" ht="25" customHeight="1" spans="1:14">
      <c r="A2349" s="9" t="s">
        <v>53</v>
      </c>
      <c r="B2349" s="9" t="s">
        <v>49</v>
      </c>
      <c r="C2349" s="10">
        <v>45160</v>
      </c>
      <c r="D2349" s="15">
        <v>1.1847</v>
      </c>
      <c r="E2349" s="15">
        <v>1.1847</v>
      </c>
      <c r="F2349" s="15">
        <v>1.1847</v>
      </c>
      <c r="G2349" s="11">
        <v>0.0098</v>
      </c>
      <c r="H2349" s="9">
        <f>MAX($F$2174:F2349)</f>
        <v>1.1847</v>
      </c>
      <c r="I2349" s="11">
        <f t="shared" si="56"/>
        <v>0</v>
      </c>
      <c r="J2349" s="9"/>
      <c r="K2349" s="11"/>
      <c r="L2349" s="9"/>
      <c r="M2349" s="11"/>
      <c r="N2349" s="9" t="s">
        <v>789</v>
      </c>
    </row>
    <row r="2350" ht="25" customHeight="1" spans="1:14">
      <c r="A2350" s="9" t="s">
        <v>53</v>
      </c>
      <c r="B2350" s="9" t="s">
        <v>49</v>
      </c>
      <c r="C2350" s="10">
        <v>45161</v>
      </c>
      <c r="D2350" s="15">
        <v>1.1924</v>
      </c>
      <c r="E2350" s="15">
        <v>1.1924</v>
      </c>
      <c r="F2350" s="15">
        <v>1.1924</v>
      </c>
      <c r="G2350" s="11">
        <v>0.0065</v>
      </c>
      <c r="H2350" s="9">
        <f>MAX($F$2174:F2350)</f>
        <v>1.1924</v>
      </c>
      <c r="I2350" s="11">
        <f t="shared" si="56"/>
        <v>0</v>
      </c>
      <c r="J2350" s="9"/>
      <c r="K2350" s="11"/>
      <c r="L2350" s="9"/>
      <c r="M2350" s="11"/>
      <c r="N2350" s="9" t="s">
        <v>789</v>
      </c>
    </row>
    <row r="2351" ht="25" customHeight="1" spans="1:14">
      <c r="A2351" s="9" t="s">
        <v>53</v>
      </c>
      <c r="B2351" s="9" t="s">
        <v>49</v>
      </c>
      <c r="C2351" s="10">
        <v>45162</v>
      </c>
      <c r="D2351" s="15">
        <v>1.1799</v>
      </c>
      <c r="E2351" s="15">
        <v>1.1799</v>
      </c>
      <c r="F2351" s="15">
        <v>1.1799</v>
      </c>
      <c r="G2351" s="11">
        <v>-0.0105</v>
      </c>
      <c r="H2351" s="9">
        <f>MAX($F$2174:F2351)</f>
        <v>1.1924</v>
      </c>
      <c r="I2351" s="11">
        <f t="shared" si="56"/>
        <v>0.0104830593760483</v>
      </c>
      <c r="J2351" s="9"/>
      <c r="K2351" s="11"/>
      <c r="L2351" s="9"/>
      <c r="M2351" s="11"/>
      <c r="N2351" s="9" t="s">
        <v>789</v>
      </c>
    </row>
    <row r="2352" ht="25" customHeight="1" spans="1:14">
      <c r="A2352" s="9" t="s">
        <v>53</v>
      </c>
      <c r="B2352" s="9" t="s">
        <v>49</v>
      </c>
      <c r="C2352" s="10">
        <v>45163</v>
      </c>
      <c r="D2352" s="15">
        <v>1.1763</v>
      </c>
      <c r="E2352" s="15">
        <v>1.1763</v>
      </c>
      <c r="F2352" s="15">
        <v>1.1763</v>
      </c>
      <c r="G2352" s="11">
        <v>-0.0031</v>
      </c>
      <c r="H2352" s="9">
        <f>MAX($F$2174:F2352)</f>
        <v>1.1924</v>
      </c>
      <c r="I2352" s="11">
        <f t="shared" si="56"/>
        <v>0.0135021804763502</v>
      </c>
      <c r="J2352" s="9"/>
      <c r="K2352" s="11"/>
      <c r="L2352" s="9"/>
      <c r="M2352" s="11"/>
      <c r="N2352" s="9" t="s">
        <v>789</v>
      </c>
    </row>
    <row r="2353" ht="25" customHeight="1" spans="1:14">
      <c r="A2353" s="9" t="s">
        <v>53</v>
      </c>
      <c r="B2353" s="9" t="s">
        <v>49</v>
      </c>
      <c r="C2353" s="10">
        <v>45166</v>
      </c>
      <c r="D2353" s="15">
        <v>1.1797</v>
      </c>
      <c r="E2353" s="15">
        <v>1.1797</v>
      </c>
      <c r="F2353" s="15">
        <v>1.1797</v>
      </c>
      <c r="G2353" s="11">
        <v>0.0029</v>
      </c>
      <c r="H2353" s="9">
        <f>MAX($F$2174:F2353)</f>
        <v>1.1924</v>
      </c>
      <c r="I2353" s="11">
        <f t="shared" si="56"/>
        <v>0.010650788326065</v>
      </c>
      <c r="J2353" s="9"/>
      <c r="K2353" s="11"/>
      <c r="L2353" s="9"/>
      <c r="M2353" s="11"/>
      <c r="N2353" s="9" t="s">
        <v>789</v>
      </c>
    </row>
    <row r="2354" ht="25" customHeight="1" spans="1:14">
      <c r="A2354" s="9" t="s">
        <v>53</v>
      </c>
      <c r="B2354" s="9" t="s">
        <v>49</v>
      </c>
      <c r="C2354" s="10">
        <v>45167</v>
      </c>
      <c r="D2354" s="15">
        <v>1.1826</v>
      </c>
      <c r="E2354" s="15">
        <v>1.1826</v>
      </c>
      <c r="F2354" s="15">
        <v>1.1826</v>
      </c>
      <c r="G2354" s="11">
        <v>0.0025</v>
      </c>
      <c r="H2354" s="9">
        <f>MAX($F$2174:F2354)</f>
        <v>1.1924</v>
      </c>
      <c r="I2354" s="11">
        <f t="shared" si="56"/>
        <v>0.00821871855082168</v>
      </c>
      <c r="J2354" s="9"/>
      <c r="K2354" s="11"/>
      <c r="L2354" s="9"/>
      <c r="M2354" s="11"/>
      <c r="N2354" s="9" t="s">
        <v>789</v>
      </c>
    </row>
    <row r="2355" ht="25" customHeight="1" spans="1:14">
      <c r="A2355" s="9" t="s">
        <v>53</v>
      </c>
      <c r="B2355" s="9" t="s">
        <v>49</v>
      </c>
      <c r="C2355" s="10">
        <v>45168</v>
      </c>
      <c r="D2355" s="15">
        <v>1.1849</v>
      </c>
      <c r="E2355" s="15">
        <v>1.1849</v>
      </c>
      <c r="F2355" s="15">
        <v>1.1849</v>
      </c>
      <c r="G2355" s="11">
        <v>0.0019</v>
      </c>
      <c r="H2355" s="9">
        <f>MAX($F$2174:F2355)</f>
        <v>1.1924</v>
      </c>
      <c r="I2355" s="11">
        <f t="shared" si="56"/>
        <v>0.0062898356256289</v>
      </c>
      <c r="J2355" s="9"/>
      <c r="K2355" s="11"/>
      <c r="L2355" s="9"/>
      <c r="M2355" s="11"/>
      <c r="N2355" s="9" t="s">
        <v>789</v>
      </c>
    </row>
    <row r="2356" ht="25" customHeight="1" spans="1:14">
      <c r="A2356" s="9" t="s">
        <v>53</v>
      </c>
      <c r="B2356" s="9" t="s">
        <v>49</v>
      </c>
      <c r="C2356" s="10">
        <v>45169</v>
      </c>
      <c r="D2356" s="15">
        <v>1.1835</v>
      </c>
      <c r="E2356" s="15">
        <v>1.1835</v>
      </c>
      <c r="F2356" s="15">
        <v>1.1835</v>
      </c>
      <c r="G2356" s="11">
        <v>-0.0012</v>
      </c>
      <c r="H2356" s="9">
        <f>MAX($F$2174:F2356)</f>
        <v>1.1924</v>
      </c>
      <c r="I2356" s="11">
        <f t="shared" si="56"/>
        <v>0.00746393827574632</v>
      </c>
      <c r="J2356" s="9"/>
      <c r="K2356" s="11"/>
      <c r="L2356" s="9"/>
      <c r="M2356" s="11"/>
      <c r="N2356" s="9" t="s">
        <v>789</v>
      </c>
    </row>
    <row r="2357" ht="25" customHeight="1" spans="1:14">
      <c r="A2357" s="9" t="s">
        <v>53</v>
      </c>
      <c r="B2357" s="9" t="s">
        <v>49</v>
      </c>
      <c r="C2357" s="10">
        <v>45170</v>
      </c>
      <c r="D2357" s="15">
        <v>1.1787</v>
      </c>
      <c r="E2357" s="15">
        <v>1.1787</v>
      </c>
      <c r="F2357" s="15">
        <v>1.1787</v>
      </c>
      <c r="G2357" s="11">
        <v>-0.0041</v>
      </c>
      <c r="H2357" s="9">
        <f>MAX($F$2174:F2357)</f>
        <v>1.1924</v>
      </c>
      <c r="I2357" s="11">
        <f t="shared" si="56"/>
        <v>0.0114894330761488</v>
      </c>
      <c r="J2357" s="9"/>
      <c r="K2357" s="11"/>
      <c r="L2357" s="9"/>
      <c r="M2357" s="11"/>
      <c r="N2357" s="9" t="s">
        <v>789</v>
      </c>
    </row>
    <row r="2358" ht="25" customHeight="1" spans="1:14">
      <c r="A2358" s="9" t="s">
        <v>53</v>
      </c>
      <c r="B2358" s="9" t="s">
        <v>49</v>
      </c>
      <c r="C2358" s="10">
        <v>45173</v>
      </c>
      <c r="D2358" s="15">
        <v>1.1804</v>
      </c>
      <c r="E2358" s="15">
        <v>1.1804</v>
      </c>
      <c r="F2358" s="15">
        <v>1.1804</v>
      </c>
      <c r="G2358" s="11">
        <v>0.0014</v>
      </c>
      <c r="H2358" s="9">
        <f>MAX($F$2174:F2358)</f>
        <v>1.1924</v>
      </c>
      <c r="I2358" s="11">
        <f t="shared" si="56"/>
        <v>0.0100637370010064</v>
      </c>
      <c r="J2358" s="9"/>
      <c r="K2358" s="11"/>
      <c r="L2358" s="9">
        <f>MAX($F$2358:F2358)</f>
        <v>1.1804</v>
      </c>
      <c r="M2358" s="11">
        <f t="shared" ref="M2358:M2421" si="57">1-F2358/L2358</f>
        <v>0</v>
      </c>
      <c r="N2358" s="9" t="s">
        <v>789</v>
      </c>
    </row>
    <row r="2359" ht="25" customHeight="1" spans="1:14">
      <c r="A2359" s="9" t="s">
        <v>53</v>
      </c>
      <c r="B2359" s="9" t="s">
        <v>49</v>
      </c>
      <c r="C2359" s="10">
        <v>45174</v>
      </c>
      <c r="D2359" s="15">
        <v>1.1797</v>
      </c>
      <c r="E2359" s="15">
        <v>1.1797</v>
      </c>
      <c r="F2359" s="15">
        <v>1.1797</v>
      </c>
      <c r="G2359" s="11">
        <v>-0.0006</v>
      </c>
      <c r="H2359" s="9">
        <f>MAX($F$2174:F2359)</f>
        <v>1.1924</v>
      </c>
      <c r="I2359" s="11">
        <f t="shared" si="56"/>
        <v>0.010650788326065</v>
      </c>
      <c r="J2359" s="9"/>
      <c r="K2359" s="11"/>
      <c r="L2359" s="9">
        <f>MAX($F$2358:F2359)</f>
        <v>1.1804</v>
      </c>
      <c r="M2359" s="11">
        <f t="shared" si="57"/>
        <v>0.000593019315486165</v>
      </c>
      <c r="N2359" s="9" t="s">
        <v>789</v>
      </c>
    </row>
    <row r="2360" ht="25" customHeight="1" spans="1:14">
      <c r="A2360" s="9" t="s">
        <v>53</v>
      </c>
      <c r="B2360" s="9" t="s">
        <v>49</v>
      </c>
      <c r="C2360" s="10">
        <v>45175</v>
      </c>
      <c r="D2360" s="15">
        <v>1.1763</v>
      </c>
      <c r="E2360" s="15">
        <v>1.1763</v>
      </c>
      <c r="F2360" s="15">
        <v>1.1763</v>
      </c>
      <c r="G2360" s="11">
        <v>-0.0029</v>
      </c>
      <c r="H2360" s="9">
        <f>MAX($F$2174:F2360)</f>
        <v>1.1924</v>
      </c>
      <c r="I2360" s="11">
        <f t="shared" si="56"/>
        <v>0.0135021804763502</v>
      </c>
      <c r="J2360" s="9"/>
      <c r="K2360" s="11"/>
      <c r="L2360" s="9">
        <f>MAX($F$2358:F2360)</f>
        <v>1.1804</v>
      </c>
      <c r="M2360" s="11">
        <f t="shared" si="57"/>
        <v>0.00347339884784814</v>
      </c>
      <c r="N2360" s="9" t="s">
        <v>789</v>
      </c>
    </row>
    <row r="2361" ht="25" customHeight="1" spans="1:14">
      <c r="A2361" s="9" t="s">
        <v>53</v>
      </c>
      <c r="B2361" s="9" t="s">
        <v>49</v>
      </c>
      <c r="C2361" s="10">
        <v>45176</v>
      </c>
      <c r="D2361" s="15">
        <v>1.177</v>
      </c>
      <c r="E2361" s="15">
        <v>1.177</v>
      </c>
      <c r="F2361" s="15">
        <v>1.177</v>
      </c>
      <c r="G2361" s="11">
        <v>0.0006</v>
      </c>
      <c r="H2361" s="9">
        <f>MAX($F$2174:F2361)</f>
        <v>1.1924</v>
      </c>
      <c r="I2361" s="11">
        <f t="shared" si="56"/>
        <v>0.0129151291512914</v>
      </c>
      <c r="J2361" s="9"/>
      <c r="K2361" s="11"/>
      <c r="L2361" s="9">
        <f>MAX($F$2358:F2361)</f>
        <v>1.1804</v>
      </c>
      <c r="M2361" s="11">
        <f t="shared" si="57"/>
        <v>0.00288037953236175</v>
      </c>
      <c r="N2361" s="9" t="s">
        <v>789</v>
      </c>
    </row>
    <row r="2362" ht="25" customHeight="1" spans="1:14">
      <c r="A2362" s="9" t="s">
        <v>53</v>
      </c>
      <c r="B2362" s="9" t="s">
        <v>49</v>
      </c>
      <c r="C2362" s="10">
        <v>45177</v>
      </c>
      <c r="D2362" s="15">
        <v>1.1808</v>
      </c>
      <c r="E2362" s="15">
        <v>1.1808</v>
      </c>
      <c r="F2362" s="15">
        <v>1.1808</v>
      </c>
      <c r="G2362" s="11">
        <v>0.0032</v>
      </c>
      <c r="H2362" s="9">
        <f>MAX($F$2174:F2362)</f>
        <v>1.1924</v>
      </c>
      <c r="I2362" s="11">
        <f t="shared" si="56"/>
        <v>0.00972827910097274</v>
      </c>
      <c r="J2362" s="9"/>
      <c r="K2362" s="11"/>
      <c r="L2362" s="9">
        <f>MAX($F$2358:F2362)</f>
        <v>1.1808</v>
      </c>
      <c r="M2362" s="11">
        <f t="shared" si="57"/>
        <v>0</v>
      </c>
      <c r="N2362" s="9" t="s">
        <v>789</v>
      </c>
    </row>
    <row r="2363" ht="25" customHeight="1" spans="1:14">
      <c r="A2363" s="9" t="s">
        <v>53</v>
      </c>
      <c r="B2363" s="9" t="s">
        <v>49</v>
      </c>
      <c r="C2363" s="10">
        <v>45180</v>
      </c>
      <c r="D2363" s="15">
        <v>1.1704</v>
      </c>
      <c r="E2363" s="15">
        <v>1.1704</v>
      </c>
      <c r="F2363" s="15">
        <v>1.1704</v>
      </c>
      <c r="G2363" s="11">
        <v>-0.0088</v>
      </c>
      <c r="H2363" s="9">
        <f>MAX($F$2174:F2363)</f>
        <v>1.1924</v>
      </c>
      <c r="I2363" s="11">
        <f t="shared" si="56"/>
        <v>0.0184501845018449</v>
      </c>
      <c r="J2363" s="9"/>
      <c r="K2363" s="11"/>
      <c r="L2363" s="9">
        <f>MAX($F$2358:F2363)</f>
        <v>1.1808</v>
      </c>
      <c r="M2363" s="11">
        <f t="shared" si="57"/>
        <v>0.00880758807588078</v>
      </c>
      <c r="N2363" s="9" t="s">
        <v>789</v>
      </c>
    </row>
    <row r="2364" ht="25" customHeight="1" spans="1:14">
      <c r="A2364" s="9" t="s">
        <v>53</v>
      </c>
      <c r="B2364" s="9" t="s">
        <v>49</v>
      </c>
      <c r="C2364" s="10">
        <v>45181</v>
      </c>
      <c r="D2364" s="15">
        <v>1.166</v>
      </c>
      <c r="E2364" s="15">
        <v>1.166</v>
      </c>
      <c r="F2364" s="15">
        <v>1.166</v>
      </c>
      <c r="G2364" s="11">
        <v>-0.0038</v>
      </c>
      <c r="H2364" s="9">
        <f>MAX($F$2174:F2364)</f>
        <v>1.1924</v>
      </c>
      <c r="I2364" s="11">
        <f t="shared" si="56"/>
        <v>0.0221402214022141</v>
      </c>
      <c r="J2364" s="9"/>
      <c r="K2364" s="11"/>
      <c r="L2364" s="9">
        <f>MAX($F$2358:F2364)</f>
        <v>1.1808</v>
      </c>
      <c r="M2364" s="11">
        <f t="shared" si="57"/>
        <v>0.0125338753387535</v>
      </c>
      <c r="N2364" s="9" t="s">
        <v>789</v>
      </c>
    </row>
    <row r="2365" ht="25" customHeight="1" spans="1:14">
      <c r="A2365" s="9" t="s">
        <v>53</v>
      </c>
      <c r="B2365" s="9" t="s">
        <v>49</v>
      </c>
      <c r="C2365" s="10">
        <v>45182</v>
      </c>
      <c r="D2365" s="15">
        <v>1.1553</v>
      </c>
      <c r="E2365" s="15">
        <v>1.1553</v>
      </c>
      <c r="F2365" s="15">
        <v>1.1553</v>
      </c>
      <c r="G2365" s="11">
        <v>-0.0092</v>
      </c>
      <c r="H2365" s="9">
        <f>MAX($F$2174:F2365)</f>
        <v>1.1924</v>
      </c>
      <c r="I2365" s="11">
        <f t="shared" si="56"/>
        <v>0.0311137202281113</v>
      </c>
      <c r="J2365" s="9"/>
      <c r="K2365" s="11"/>
      <c r="L2365" s="9">
        <f>MAX($F$2358:F2365)</f>
        <v>1.1808</v>
      </c>
      <c r="M2365" s="11">
        <f t="shared" si="57"/>
        <v>0.0215955284552846</v>
      </c>
      <c r="N2365" s="9" t="s">
        <v>789</v>
      </c>
    </row>
    <row r="2366" ht="25" customHeight="1" spans="1:14">
      <c r="A2366" s="9" t="s">
        <v>53</v>
      </c>
      <c r="B2366" s="9" t="s">
        <v>49</v>
      </c>
      <c r="C2366" s="10">
        <v>45183</v>
      </c>
      <c r="D2366" s="15">
        <v>1.1583</v>
      </c>
      <c r="E2366" s="15">
        <v>1.1583</v>
      </c>
      <c r="F2366" s="15">
        <v>1.1583</v>
      </c>
      <c r="G2366" s="11">
        <v>0.0026</v>
      </c>
      <c r="H2366" s="9">
        <f>MAX($F$2174:F2366)</f>
        <v>1.1924</v>
      </c>
      <c r="I2366" s="11">
        <f t="shared" si="56"/>
        <v>0.0285977859778596</v>
      </c>
      <c r="J2366" s="9"/>
      <c r="K2366" s="11"/>
      <c r="L2366" s="9">
        <f>MAX($F$2358:F2366)</f>
        <v>1.1808</v>
      </c>
      <c r="M2366" s="11">
        <f t="shared" si="57"/>
        <v>0.0190548780487805</v>
      </c>
      <c r="N2366" s="9" t="s">
        <v>789</v>
      </c>
    </row>
    <row r="2367" ht="25" customHeight="1" spans="1:14">
      <c r="A2367" s="9" t="s">
        <v>53</v>
      </c>
      <c r="B2367" s="9" t="s">
        <v>49</v>
      </c>
      <c r="C2367" s="10">
        <v>45184</v>
      </c>
      <c r="D2367" s="15">
        <v>1.1671</v>
      </c>
      <c r="E2367" s="15">
        <v>1.1671</v>
      </c>
      <c r="F2367" s="15">
        <v>1.1671</v>
      </c>
      <c r="G2367" s="11">
        <v>0.0076</v>
      </c>
      <c r="H2367" s="9">
        <f>MAX($F$2174:F2367)</f>
        <v>1.1924</v>
      </c>
      <c r="I2367" s="11">
        <f t="shared" si="56"/>
        <v>0.0212177121771217</v>
      </c>
      <c r="J2367" s="9"/>
      <c r="K2367" s="11"/>
      <c r="L2367" s="9">
        <f>MAX($F$2358:F2367)</f>
        <v>1.1808</v>
      </c>
      <c r="M2367" s="11">
        <f t="shared" si="57"/>
        <v>0.0116023035230353</v>
      </c>
      <c r="N2367" s="9" t="s">
        <v>789</v>
      </c>
    </row>
    <row r="2368" ht="25" customHeight="1" spans="1:14">
      <c r="A2368" s="9" t="s">
        <v>53</v>
      </c>
      <c r="B2368" s="9" t="s">
        <v>49</v>
      </c>
      <c r="C2368" s="10">
        <v>45187</v>
      </c>
      <c r="D2368" s="15">
        <v>1.1703</v>
      </c>
      <c r="E2368" s="15">
        <v>1.1703</v>
      </c>
      <c r="F2368" s="15">
        <v>1.1703</v>
      </c>
      <c r="G2368" s="11">
        <v>0.0027</v>
      </c>
      <c r="H2368" s="9">
        <f>MAX($F$2174:F2368)</f>
        <v>1.1924</v>
      </c>
      <c r="I2368" s="11">
        <f t="shared" si="56"/>
        <v>0.0185340489768534</v>
      </c>
      <c r="J2368" s="9"/>
      <c r="K2368" s="11"/>
      <c r="L2368" s="9">
        <f>MAX($F$2358:F2368)</f>
        <v>1.1808</v>
      </c>
      <c r="M2368" s="11">
        <f t="shared" si="57"/>
        <v>0.00889227642276436</v>
      </c>
      <c r="N2368" s="9" t="s">
        <v>789</v>
      </c>
    </row>
    <row r="2369" ht="25" customHeight="1" spans="1:14">
      <c r="A2369" s="9" t="s">
        <v>53</v>
      </c>
      <c r="B2369" s="9" t="s">
        <v>49</v>
      </c>
      <c r="C2369" s="10">
        <v>45188</v>
      </c>
      <c r="D2369" s="15">
        <v>1.1731</v>
      </c>
      <c r="E2369" s="15">
        <v>1.1731</v>
      </c>
      <c r="F2369" s="15">
        <v>1.1731</v>
      </c>
      <c r="G2369" s="11">
        <v>0.0024</v>
      </c>
      <c r="H2369" s="9">
        <f>MAX($F$2174:F2369)</f>
        <v>1.1924</v>
      </c>
      <c r="I2369" s="11">
        <f t="shared" si="56"/>
        <v>0.0161858436766185</v>
      </c>
      <c r="J2369" s="9"/>
      <c r="K2369" s="11"/>
      <c r="L2369" s="9">
        <f>MAX($F$2358:F2369)</f>
        <v>1.1808</v>
      </c>
      <c r="M2369" s="11">
        <f t="shared" si="57"/>
        <v>0.00652100271002709</v>
      </c>
      <c r="N2369" s="9" t="s">
        <v>789</v>
      </c>
    </row>
    <row r="2370" ht="25" customHeight="1" spans="1:14">
      <c r="A2370" s="9" t="s">
        <v>53</v>
      </c>
      <c r="B2370" s="9" t="s">
        <v>49</v>
      </c>
      <c r="C2370" s="10">
        <v>45189</v>
      </c>
      <c r="D2370" s="15">
        <v>1.1709</v>
      </c>
      <c r="E2370" s="15">
        <v>1.1709</v>
      </c>
      <c r="F2370" s="15">
        <v>1.1709</v>
      </c>
      <c r="G2370" s="11">
        <v>-0.0019</v>
      </c>
      <c r="H2370" s="9">
        <f>MAX($F$2174:F2370)</f>
        <v>1.1924</v>
      </c>
      <c r="I2370" s="11">
        <f t="shared" ref="I2370:I2433" si="58">1-F2370/H2370</f>
        <v>0.0180308621268029</v>
      </c>
      <c r="J2370" s="9"/>
      <c r="K2370" s="11"/>
      <c r="L2370" s="9">
        <f>MAX($F$2358:F2370)</f>
        <v>1.1808</v>
      </c>
      <c r="M2370" s="11">
        <f t="shared" si="57"/>
        <v>0.00838414634146345</v>
      </c>
      <c r="N2370" s="9" t="s">
        <v>789</v>
      </c>
    </row>
    <row r="2371" ht="25" customHeight="1" spans="1:14">
      <c r="A2371" s="9" t="s">
        <v>53</v>
      </c>
      <c r="B2371" s="9" t="s">
        <v>49</v>
      </c>
      <c r="C2371" s="10">
        <v>45190</v>
      </c>
      <c r="D2371" s="15">
        <v>1.1585</v>
      </c>
      <c r="E2371" s="15">
        <v>1.1585</v>
      </c>
      <c r="F2371" s="15">
        <v>1.1585</v>
      </c>
      <c r="G2371" s="11">
        <v>-0.0106</v>
      </c>
      <c r="H2371" s="9">
        <f>MAX($F$2174:F2371)</f>
        <v>1.1924</v>
      </c>
      <c r="I2371" s="11">
        <f t="shared" si="58"/>
        <v>0.0284300570278428</v>
      </c>
      <c r="J2371" s="9"/>
      <c r="K2371" s="11"/>
      <c r="L2371" s="9">
        <f>MAX($F$2358:F2371)</f>
        <v>1.1808</v>
      </c>
      <c r="M2371" s="11">
        <f t="shared" si="57"/>
        <v>0.0188855013550135</v>
      </c>
      <c r="N2371" s="9" t="s">
        <v>789</v>
      </c>
    </row>
    <row r="2372" ht="25" customHeight="1" spans="1:14">
      <c r="A2372" s="9" t="s">
        <v>53</v>
      </c>
      <c r="B2372" s="9" t="s">
        <v>49</v>
      </c>
      <c r="C2372" s="10">
        <v>45191</v>
      </c>
      <c r="D2372" s="15">
        <v>1.1481</v>
      </c>
      <c r="E2372" s="15">
        <v>1.1481</v>
      </c>
      <c r="F2372" s="15">
        <v>1.1481</v>
      </c>
      <c r="G2372" s="11">
        <v>-0.009</v>
      </c>
      <c r="H2372" s="9">
        <f>MAX($F$2174:F2372)</f>
        <v>1.1924</v>
      </c>
      <c r="I2372" s="11">
        <f t="shared" si="58"/>
        <v>0.0371519624287152</v>
      </c>
      <c r="J2372" s="9"/>
      <c r="K2372" s="11"/>
      <c r="L2372" s="9">
        <f>MAX($F$2358:F2372)</f>
        <v>1.1808</v>
      </c>
      <c r="M2372" s="11">
        <f t="shared" si="57"/>
        <v>0.0276930894308944</v>
      </c>
      <c r="N2372" s="9" t="s">
        <v>789</v>
      </c>
    </row>
    <row r="2373" ht="25" customHeight="1" spans="1:14">
      <c r="A2373" s="9" t="s">
        <v>53</v>
      </c>
      <c r="B2373" s="9" t="s">
        <v>49</v>
      </c>
      <c r="C2373" s="10">
        <v>45194</v>
      </c>
      <c r="D2373" s="15">
        <v>1.1476</v>
      </c>
      <c r="E2373" s="15">
        <v>1.1476</v>
      </c>
      <c r="F2373" s="15">
        <v>1.1476</v>
      </c>
      <c r="G2373" s="11">
        <v>-0.0004</v>
      </c>
      <c r="H2373" s="9">
        <f>MAX($F$2174:F2373)</f>
        <v>1.1924</v>
      </c>
      <c r="I2373" s="11">
        <f t="shared" si="58"/>
        <v>0.037571284803757</v>
      </c>
      <c r="J2373" s="9"/>
      <c r="K2373" s="11"/>
      <c r="L2373" s="9">
        <f>MAX($F$2358:F2373)</f>
        <v>1.1808</v>
      </c>
      <c r="M2373" s="11">
        <f t="shared" si="57"/>
        <v>0.0281165311653118</v>
      </c>
      <c r="N2373" s="9" t="s">
        <v>789</v>
      </c>
    </row>
    <row r="2374" ht="25" customHeight="1" spans="1:14">
      <c r="A2374" s="9" t="s">
        <v>53</v>
      </c>
      <c r="B2374" s="9" t="s">
        <v>49</v>
      </c>
      <c r="C2374" s="10">
        <v>45195</v>
      </c>
      <c r="D2374" s="15">
        <v>1.1417</v>
      </c>
      <c r="E2374" s="15">
        <v>1.1417</v>
      </c>
      <c r="F2374" s="15">
        <v>1.1417</v>
      </c>
      <c r="G2374" s="11">
        <v>-0.0051</v>
      </c>
      <c r="H2374" s="9">
        <f>MAX($F$2174:F2374)</f>
        <v>1.1924</v>
      </c>
      <c r="I2374" s="11">
        <f t="shared" si="58"/>
        <v>0.0425192888292519</v>
      </c>
      <c r="J2374" s="9"/>
      <c r="K2374" s="11"/>
      <c r="L2374" s="9">
        <f>MAX($F$2358:F2374)</f>
        <v>1.1808</v>
      </c>
      <c r="M2374" s="11">
        <f t="shared" si="57"/>
        <v>0.0331131436314365</v>
      </c>
      <c r="N2374" s="9" t="s">
        <v>789</v>
      </c>
    </row>
    <row r="2375" ht="25" customHeight="1" spans="1:14">
      <c r="A2375" s="9" t="s">
        <v>53</v>
      </c>
      <c r="B2375" s="9" t="s">
        <v>49</v>
      </c>
      <c r="C2375" s="10">
        <v>45196</v>
      </c>
      <c r="D2375" s="15">
        <v>1.1343</v>
      </c>
      <c r="E2375" s="15">
        <v>1.1343</v>
      </c>
      <c r="F2375" s="15">
        <v>1.1343</v>
      </c>
      <c r="G2375" s="11">
        <v>-0.0065</v>
      </c>
      <c r="H2375" s="9">
        <f>MAX($F$2174:F2375)</f>
        <v>1.1924</v>
      </c>
      <c r="I2375" s="11">
        <f t="shared" si="58"/>
        <v>0.0487252599798724</v>
      </c>
      <c r="J2375" s="9"/>
      <c r="K2375" s="11"/>
      <c r="L2375" s="9">
        <f>MAX($F$2358:F2375)</f>
        <v>1.1808</v>
      </c>
      <c r="M2375" s="11">
        <f t="shared" si="57"/>
        <v>0.0393800813008129</v>
      </c>
      <c r="N2375" s="9" t="s">
        <v>789</v>
      </c>
    </row>
    <row r="2376" ht="25" customHeight="1" spans="1:14">
      <c r="A2376" s="9" t="s">
        <v>53</v>
      </c>
      <c r="B2376" s="9" t="s">
        <v>49</v>
      </c>
      <c r="C2376" s="10">
        <v>45197</v>
      </c>
      <c r="D2376" s="15">
        <v>1.1346</v>
      </c>
      <c r="E2376" s="15">
        <v>1.1346</v>
      </c>
      <c r="F2376" s="15">
        <v>1.1346</v>
      </c>
      <c r="G2376" s="11">
        <v>0.0003</v>
      </c>
      <c r="H2376" s="9">
        <f>MAX($F$2174:F2376)</f>
        <v>1.1924</v>
      </c>
      <c r="I2376" s="11">
        <f t="shared" si="58"/>
        <v>0.0484736665548472</v>
      </c>
      <c r="J2376" s="9"/>
      <c r="K2376" s="11"/>
      <c r="L2376" s="9">
        <f>MAX($F$2358:F2376)</f>
        <v>1.1808</v>
      </c>
      <c r="M2376" s="11">
        <f t="shared" si="57"/>
        <v>0.0391260162601627</v>
      </c>
      <c r="N2376" s="9" t="s">
        <v>789</v>
      </c>
    </row>
    <row r="2377" ht="25" customHeight="1" spans="1:14">
      <c r="A2377" s="9" t="s">
        <v>53</v>
      </c>
      <c r="B2377" s="9" t="s">
        <v>49</v>
      </c>
      <c r="C2377" s="10">
        <v>45208</v>
      </c>
      <c r="D2377" s="15">
        <v>1.1273</v>
      </c>
      <c r="E2377" s="15">
        <v>1.1273</v>
      </c>
      <c r="F2377" s="15">
        <v>1.1273</v>
      </c>
      <c r="G2377" s="11">
        <v>-0.0064</v>
      </c>
      <c r="H2377" s="9">
        <f>MAX($F$2174:F2377)</f>
        <v>1.1924</v>
      </c>
      <c r="I2377" s="11">
        <f t="shared" si="58"/>
        <v>0.0545957732304595</v>
      </c>
      <c r="J2377" s="9"/>
      <c r="K2377" s="11"/>
      <c r="L2377" s="9">
        <f>MAX($F$2358:F2377)</f>
        <v>1.1808</v>
      </c>
      <c r="M2377" s="11">
        <f t="shared" si="57"/>
        <v>0.0453082655826559</v>
      </c>
      <c r="N2377" s="9" t="s">
        <v>789</v>
      </c>
    </row>
    <row r="2378" ht="25" customHeight="1" spans="1:14">
      <c r="A2378" s="9" t="s">
        <v>53</v>
      </c>
      <c r="B2378" s="9" t="s">
        <v>49</v>
      </c>
      <c r="C2378" s="10">
        <v>45209</v>
      </c>
      <c r="D2378" s="15">
        <v>1.1341</v>
      </c>
      <c r="E2378" s="15">
        <v>1.1341</v>
      </c>
      <c r="F2378" s="15">
        <v>1.1341</v>
      </c>
      <c r="G2378" s="11">
        <v>0.006</v>
      </c>
      <c r="H2378" s="9">
        <f>MAX($F$2174:F2378)</f>
        <v>1.1924</v>
      </c>
      <c r="I2378" s="11">
        <f t="shared" si="58"/>
        <v>0.0488929889298891</v>
      </c>
      <c r="J2378" s="9"/>
      <c r="K2378" s="11"/>
      <c r="L2378" s="9">
        <f>MAX($F$2358:F2378)</f>
        <v>1.1808</v>
      </c>
      <c r="M2378" s="11">
        <f t="shared" si="57"/>
        <v>0.0395494579945799</v>
      </c>
      <c r="N2378" s="9" t="s">
        <v>789</v>
      </c>
    </row>
    <row r="2379" ht="25" customHeight="1" spans="1:14">
      <c r="A2379" s="9" t="s">
        <v>53</v>
      </c>
      <c r="B2379" s="9" t="s">
        <v>49</v>
      </c>
      <c r="C2379" s="10">
        <v>45210</v>
      </c>
      <c r="D2379" s="15">
        <v>1.1456</v>
      </c>
      <c r="E2379" s="15">
        <v>1.1456</v>
      </c>
      <c r="F2379" s="15">
        <v>1.1456</v>
      </c>
      <c r="G2379" s="11">
        <v>0.0101</v>
      </c>
      <c r="H2379" s="9">
        <f>MAX($F$2174:F2379)</f>
        <v>1.1924</v>
      </c>
      <c r="I2379" s="11">
        <f t="shared" si="58"/>
        <v>0.0392485743039248</v>
      </c>
      <c r="J2379" s="9"/>
      <c r="K2379" s="11"/>
      <c r="L2379" s="9">
        <f>MAX($F$2358:F2379)</f>
        <v>1.1808</v>
      </c>
      <c r="M2379" s="11">
        <f t="shared" si="57"/>
        <v>0.0298102981029811</v>
      </c>
      <c r="N2379" s="9" t="s">
        <v>789</v>
      </c>
    </row>
    <row r="2380" ht="25" customHeight="1" spans="1:14">
      <c r="A2380" s="9" t="s">
        <v>53</v>
      </c>
      <c r="B2380" s="9" t="s">
        <v>49</v>
      </c>
      <c r="C2380" s="10">
        <v>45211</v>
      </c>
      <c r="D2380" s="15">
        <v>1.1486</v>
      </c>
      <c r="E2380" s="15">
        <v>1.1486</v>
      </c>
      <c r="F2380" s="15">
        <v>1.1486</v>
      </c>
      <c r="G2380" s="11">
        <v>0.0026</v>
      </c>
      <c r="H2380" s="9">
        <f>MAX($F$2174:F2380)</f>
        <v>1.1924</v>
      </c>
      <c r="I2380" s="11">
        <f t="shared" si="58"/>
        <v>0.0367326400536732</v>
      </c>
      <c r="J2380" s="9"/>
      <c r="K2380" s="11"/>
      <c r="L2380" s="9">
        <f>MAX($F$2358:F2380)</f>
        <v>1.1808</v>
      </c>
      <c r="M2380" s="11">
        <f t="shared" si="57"/>
        <v>0.027269647696477</v>
      </c>
      <c r="N2380" s="9" t="s">
        <v>789</v>
      </c>
    </row>
    <row r="2381" ht="25" customHeight="1" spans="1:14">
      <c r="A2381" s="9" t="s">
        <v>53</v>
      </c>
      <c r="B2381" s="9" t="s">
        <v>49</v>
      </c>
      <c r="C2381" s="10">
        <v>45212</v>
      </c>
      <c r="D2381" s="15">
        <v>1.1466</v>
      </c>
      <c r="E2381" s="15">
        <v>1.1466</v>
      </c>
      <c r="F2381" s="15">
        <v>1.1466</v>
      </c>
      <c r="G2381" s="11">
        <v>-0.0017</v>
      </c>
      <c r="H2381" s="9">
        <f>MAX($F$2174:F2381)</f>
        <v>1.1924</v>
      </c>
      <c r="I2381" s="11">
        <f t="shared" si="58"/>
        <v>0.0384099295538408</v>
      </c>
      <c r="J2381" s="9"/>
      <c r="K2381" s="11"/>
      <c r="L2381" s="9">
        <f>MAX($F$2358:F2381)</f>
        <v>1.1808</v>
      </c>
      <c r="M2381" s="11">
        <f t="shared" si="57"/>
        <v>0.0289634146341463</v>
      </c>
      <c r="N2381" s="9" t="s">
        <v>789</v>
      </c>
    </row>
    <row r="2382" ht="25" customHeight="1" spans="1:14">
      <c r="A2382" s="9" t="s">
        <v>53</v>
      </c>
      <c r="B2382" s="9" t="s">
        <v>49</v>
      </c>
      <c r="C2382" s="10">
        <v>45215</v>
      </c>
      <c r="D2382" s="15">
        <v>1.144</v>
      </c>
      <c r="E2382" s="15">
        <v>1.144</v>
      </c>
      <c r="F2382" s="15">
        <v>1.144</v>
      </c>
      <c r="G2382" s="11">
        <v>-0.0023</v>
      </c>
      <c r="H2382" s="9">
        <f>MAX($F$2174:F2382)</f>
        <v>1.1924</v>
      </c>
      <c r="I2382" s="11">
        <f t="shared" si="58"/>
        <v>0.040590405904059</v>
      </c>
      <c r="J2382" s="9"/>
      <c r="K2382" s="11"/>
      <c r="L2382" s="9">
        <f>MAX($F$2358:F2382)</f>
        <v>1.1808</v>
      </c>
      <c r="M2382" s="11">
        <f t="shared" si="57"/>
        <v>0.0311653116531166</v>
      </c>
      <c r="N2382" s="9" t="s">
        <v>789</v>
      </c>
    </row>
    <row r="2383" ht="25" customHeight="1" spans="1:14">
      <c r="A2383" s="9" t="s">
        <v>53</v>
      </c>
      <c r="B2383" s="9" t="s">
        <v>49</v>
      </c>
      <c r="C2383" s="10">
        <v>45216</v>
      </c>
      <c r="D2383" s="15">
        <v>1.144</v>
      </c>
      <c r="E2383" s="15">
        <v>1.144</v>
      </c>
      <c r="F2383" s="15">
        <v>1.144</v>
      </c>
      <c r="G2383" s="11">
        <v>0</v>
      </c>
      <c r="H2383" s="9">
        <f>MAX($F$2174:F2383)</f>
        <v>1.1924</v>
      </c>
      <c r="I2383" s="11">
        <f t="shared" si="58"/>
        <v>0.040590405904059</v>
      </c>
      <c r="J2383" s="9"/>
      <c r="K2383" s="11"/>
      <c r="L2383" s="9">
        <f>MAX($F$2358:F2383)</f>
        <v>1.1808</v>
      </c>
      <c r="M2383" s="11">
        <f t="shared" si="57"/>
        <v>0.0311653116531166</v>
      </c>
      <c r="N2383" s="9" t="s">
        <v>789</v>
      </c>
    </row>
    <row r="2384" ht="25" customHeight="1" spans="1:14">
      <c r="A2384" s="9" t="s">
        <v>53</v>
      </c>
      <c r="B2384" s="9" t="s">
        <v>49</v>
      </c>
      <c r="C2384" s="10">
        <v>45217</v>
      </c>
      <c r="D2384" s="15">
        <v>1.1429</v>
      </c>
      <c r="E2384" s="15">
        <v>1.1429</v>
      </c>
      <c r="F2384" s="15">
        <v>1.1429</v>
      </c>
      <c r="G2384" s="11">
        <v>-0.001</v>
      </c>
      <c r="H2384" s="9">
        <f>MAX($F$2174:F2384)</f>
        <v>1.1924</v>
      </c>
      <c r="I2384" s="11">
        <f t="shared" si="58"/>
        <v>0.0415129151291512</v>
      </c>
      <c r="J2384" s="9"/>
      <c r="K2384" s="11"/>
      <c r="L2384" s="9">
        <f>MAX($F$2358:F2384)</f>
        <v>1.1808</v>
      </c>
      <c r="M2384" s="11">
        <f t="shared" si="57"/>
        <v>0.0320968834688348</v>
      </c>
      <c r="N2384" s="9" t="s">
        <v>789</v>
      </c>
    </row>
    <row r="2385" ht="25" customHeight="1" spans="1:14">
      <c r="A2385" s="9" t="s">
        <v>53</v>
      </c>
      <c r="B2385" s="9" t="s">
        <v>49</v>
      </c>
      <c r="C2385" s="10">
        <v>45218</v>
      </c>
      <c r="D2385" s="15">
        <v>1.1451</v>
      </c>
      <c r="E2385" s="15">
        <v>1.1451</v>
      </c>
      <c r="F2385" s="15">
        <v>1.1451</v>
      </c>
      <c r="G2385" s="11">
        <v>0.0019</v>
      </c>
      <c r="H2385" s="9">
        <f>MAX($F$2174:F2385)</f>
        <v>1.1924</v>
      </c>
      <c r="I2385" s="11">
        <f t="shared" si="58"/>
        <v>0.0396678966789668</v>
      </c>
      <c r="J2385" s="9"/>
      <c r="K2385" s="11"/>
      <c r="L2385" s="9">
        <f>MAX($F$2358:F2385)</f>
        <v>1.1808</v>
      </c>
      <c r="M2385" s="11">
        <f t="shared" si="57"/>
        <v>0.0302337398373984</v>
      </c>
      <c r="N2385" s="9" t="s">
        <v>789</v>
      </c>
    </row>
    <row r="2386" ht="25" customHeight="1" spans="1:14">
      <c r="A2386" s="9" t="s">
        <v>53</v>
      </c>
      <c r="B2386" s="9" t="s">
        <v>49</v>
      </c>
      <c r="C2386" s="10">
        <v>45219</v>
      </c>
      <c r="D2386" s="15">
        <v>1.1476</v>
      </c>
      <c r="E2386" s="15">
        <v>1.1476</v>
      </c>
      <c r="F2386" s="15">
        <v>1.1476</v>
      </c>
      <c r="G2386" s="11">
        <v>0.0022</v>
      </c>
      <c r="H2386" s="9">
        <f>MAX($F$2174:F2386)</f>
        <v>1.1924</v>
      </c>
      <c r="I2386" s="11">
        <f t="shared" si="58"/>
        <v>0.037571284803757</v>
      </c>
      <c r="J2386" s="9"/>
      <c r="K2386" s="11"/>
      <c r="L2386" s="9">
        <f>MAX($F$2358:F2386)</f>
        <v>1.1808</v>
      </c>
      <c r="M2386" s="11">
        <f t="shared" si="57"/>
        <v>0.0281165311653118</v>
      </c>
      <c r="N2386" s="9" t="s">
        <v>789</v>
      </c>
    </row>
    <row r="2387" ht="25" customHeight="1" spans="1:14">
      <c r="A2387" s="9" t="s">
        <v>53</v>
      </c>
      <c r="B2387" s="9" t="s">
        <v>49</v>
      </c>
      <c r="C2387" s="10">
        <v>45222</v>
      </c>
      <c r="D2387" s="15">
        <v>1.14</v>
      </c>
      <c r="E2387" s="15">
        <v>1.14</v>
      </c>
      <c r="F2387" s="15">
        <v>1.14</v>
      </c>
      <c r="G2387" s="11">
        <v>-0.0066</v>
      </c>
      <c r="H2387" s="9">
        <f>MAX($F$2174:F2387)</f>
        <v>1.1924</v>
      </c>
      <c r="I2387" s="11">
        <f t="shared" si="58"/>
        <v>0.0439449849043945</v>
      </c>
      <c r="J2387" s="9"/>
      <c r="K2387" s="11"/>
      <c r="L2387" s="9">
        <f>MAX($F$2358:F2387)</f>
        <v>1.1808</v>
      </c>
      <c r="M2387" s="11">
        <f t="shared" si="57"/>
        <v>0.0345528455284554</v>
      </c>
      <c r="N2387" s="9" t="s">
        <v>789</v>
      </c>
    </row>
    <row r="2388" ht="25" customHeight="1" spans="1:14">
      <c r="A2388" s="9" t="s">
        <v>53</v>
      </c>
      <c r="B2388" s="9" t="s">
        <v>49</v>
      </c>
      <c r="C2388" s="10">
        <v>45223</v>
      </c>
      <c r="D2388" s="15">
        <v>1.1333</v>
      </c>
      <c r="E2388" s="15">
        <v>1.1333</v>
      </c>
      <c r="F2388" s="15">
        <v>1.1333</v>
      </c>
      <c r="G2388" s="11">
        <v>-0.0059</v>
      </c>
      <c r="H2388" s="9">
        <f>MAX($F$2174:F2388)</f>
        <v>1.1924</v>
      </c>
      <c r="I2388" s="11">
        <f t="shared" si="58"/>
        <v>0.0495639047299563</v>
      </c>
      <c r="J2388" s="9"/>
      <c r="K2388" s="11"/>
      <c r="L2388" s="9">
        <f>MAX($F$2358:F2388)</f>
        <v>1.1808</v>
      </c>
      <c r="M2388" s="11">
        <f t="shared" si="57"/>
        <v>0.0402269647696478</v>
      </c>
      <c r="N2388" s="9" t="s">
        <v>789</v>
      </c>
    </row>
    <row r="2389" ht="25" customHeight="1" spans="1:14">
      <c r="A2389" s="9" t="s">
        <v>53</v>
      </c>
      <c r="B2389" s="9" t="s">
        <v>49</v>
      </c>
      <c r="C2389" s="10">
        <v>45224</v>
      </c>
      <c r="D2389" s="15">
        <v>1.1406</v>
      </c>
      <c r="E2389" s="15">
        <v>1.1406</v>
      </c>
      <c r="F2389" s="15">
        <v>1.1406</v>
      </c>
      <c r="G2389" s="11">
        <v>0.0064</v>
      </c>
      <c r="H2389" s="9">
        <f>MAX($F$2174:F2389)</f>
        <v>1.1924</v>
      </c>
      <c r="I2389" s="11">
        <f t="shared" si="58"/>
        <v>0.043441798054344</v>
      </c>
      <c r="J2389" s="9"/>
      <c r="K2389" s="11"/>
      <c r="L2389" s="9">
        <f>MAX($F$2358:F2389)</f>
        <v>1.1808</v>
      </c>
      <c r="M2389" s="11">
        <f t="shared" si="57"/>
        <v>0.0340447154471545</v>
      </c>
      <c r="N2389" s="9" t="s">
        <v>789</v>
      </c>
    </row>
    <row r="2390" ht="25" customHeight="1" spans="1:14">
      <c r="A2390" s="9" t="s">
        <v>53</v>
      </c>
      <c r="B2390" s="9" t="s">
        <v>49</v>
      </c>
      <c r="C2390" s="10">
        <v>45225</v>
      </c>
      <c r="D2390" s="15">
        <v>1.1361</v>
      </c>
      <c r="E2390" s="15">
        <v>1.1361</v>
      </c>
      <c r="F2390" s="15">
        <v>1.1361</v>
      </c>
      <c r="G2390" s="11">
        <v>-0.0039</v>
      </c>
      <c r="H2390" s="9">
        <f>MAX($F$2174:F2390)</f>
        <v>1.1924</v>
      </c>
      <c r="I2390" s="11">
        <f t="shared" si="58"/>
        <v>0.0472156994297214</v>
      </c>
      <c r="J2390" s="9"/>
      <c r="K2390" s="11"/>
      <c r="L2390" s="9">
        <f>MAX($F$2358:F2390)</f>
        <v>1.1808</v>
      </c>
      <c r="M2390" s="11">
        <f t="shared" si="57"/>
        <v>0.0378556910569106</v>
      </c>
      <c r="N2390" s="9" t="s">
        <v>789</v>
      </c>
    </row>
    <row r="2391" ht="25" customHeight="1" spans="1:14">
      <c r="A2391" s="9" t="s">
        <v>53</v>
      </c>
      <c r="B2391" s="9" t="s">
        <v>49</v>
      </c>
      <c r="C2391" s="10">
        <v>45226</v>
      </c>
      <c r="D2391" s="15">
        <v>1.1318</v>
      </c>
      <c r="E2391" s="15">
        <v>1.1318</v>
      </c>
      <c r="F2391" s="15">
        <v>1.1318</v>
      </c>
      <c r="G2391" s="11">
        <v>-0.0038</v>
      </c>
      <c r="H2391" s="9">
        <f>MAX($F$2174:F2391)</f>
        <v>1.1924</v>
      </c>
      <c r="I2391" s="11">
        <f t="shared" si="58"/>
        <v>0.0508218718550821</v>
      </c>
      <c r="J2391" s="9"/>
      <c r="K2391" s="11"/>
      <c r="L2391" s="9">
        <f>MAX($F$2358:F2391)</f>
        <v>1.1808</v>
      </c>
      <c r="M2391" s="11">
        <f t="shared" si="57"/>
        <v>0.0414972899728998</v>
      </c>
      <c r="N2391" s="9" t="s">
        <v>789</v>
      </c>
    </row>
    <row r="2392" ht="25" customHeight="1" spans="1:14">
      <c r="A2392" s="9" t="s">
        <v>53</v>
      </c>
      <c r="B2392" s="9" t="s">
        <v>49</v>
      </c>
      <c r="C2392" s="10">
        <v>45229</v>
      </c>
      <c r="D2392" s="15">
        <v>1.1311</v>
      </c>
      <c r="E2392" s="15">
        <v>1.1311</v>
      </c>
      <c r="F2392" s="15">
        <v>1.1311</v>
      </c>
      <c r="G2392" s="11">
        <v>-0.0006</v>
      </c>
      <c r="H2392" s="9">
        <f>MAX($F$2174:F2392)</f>
        <v>1.1924</v>
      </c>
      <c r="I2392" s="11">
        <f t="shared" si="58"/>
        <v>0.0514089231801408</v>
      </c>
      <c r="J2392" s="9"/>
      <c r="K2392" s="11"/>
      <c r="L2392" s="9">
        <f>MAX($F$2358:F2392)</f>
        <v>1.1808</v>
      </c>
      <c r="M2392" s="11">
        <f t="shared" si="57"/>
        <v>0.0420901084010841</v>
      </c>
      <c r="N2392" s="9" t="s">
        <v>789</v>
      </c>
    </row>
    <row r="2393" ht="25" customHeight="1" spans="1:14">
      <c r="A2393" s="9" t="s">
        <v>53</v>
      </c>
      <c r="B2393" s="9" t="s">
        <v>49</v>
      </c>
      <c r="C2393" s="10">
        <v>45230</v>
      </c>
      <c r="D2393" s="15">
        <v>1.1325</v>
      </c>
      <c r="E2393" s="15">
        <v>1.1325</v>
      </c>
      <c r="F2393" s="15">
        <v>1.1325</v>
      </c>
      <c r="G2393" s="11">
        <v>0.0012</v>
      </c>
      <c r="H2393" s="9">
        <f>MAX($F$2174:F2393)</f>
        <v>1.1924</v>
      </c>
      <c r="I2393" s="11">
        <f t="shared" si="58"/>
        <v>0.0502348205300234</v>
      </c>
      <c r="J2393" s="9"/>
      <c r="K2393" s="11"/>
      <c r="L2393" s="9">
        <f>MAX($F$2358:F2393)</f>
        <v>1.1808</v>
      </c>
      <c r="M2393" s="11">
        <f t="shared" si="57"/>
        <v>0.0409044715447154</v>
      </c>
      <c r="N2393" s="9" t="s">
        <v>789</v>
      </c>
    </row>
    <row r="2394" ht="25" customHeight="1" spans="1:14">
      <c r="A2394" s="9" t="s">
        <v>53</v>
      </c>
      <c r="B2394" s="9" t="s">
        <v>49</v>
      </c>
      <c r="C2394" s="10">
        <v>45231</v>
      </c>
      <c r="D2394" s="15">
        <v>1.1332</v>
      </c>
      <c r="E2394" s="15">
        <v>1.1332</v>
      </c>
      <c r="F2394" s="15">
        <v>1.1332</v>
      </c>
      <c r="G2394" s="11">
        <v>0.0006</v>
      </c>
      <c r="H2394" s="9">
        <f>MAX($F$2174:F2394)</f>
        <v>1.1924</v>
      </c>
      <c r="I2394" s="11">
        <f t="shared" si="58"/>
        <v>0.0496477692049647</v>
      </c>
      <c r="J2394" s="9"/>
      <c r="K2394" s="11"/>
      <c r="L2394" s="9">
        <f>MAX($F$2358:F2394)</f>
        <v>1.1808</v>
      </c>
      <c r="M2394" s="11">
        <f t="shared" si="57"/>
        <v>0.0403116531165313</v>
      </c>
      <c r="N2394" s="9" t="s">
        <v>789</v>
      </c>
    </row>
    <row r="2395" ht="25" customHeight="1" spans="1:14">
      <c r="A2395" s="9" t="s">
        <v>53</v>
      </c>
      <c r="B2395" s="9" t="s">
        <v>49</v>
      </c>
      <c r="C2395" s="10">
        <v>45232</v>
      </c>
      <c r="D2395" s="15">
        <v>1.1501</v>
      </c>
      <c r="E2395" s="15">
        <v>1.1501</v>
      </c>
      <c r="F2395" s="15">
        <v>1.1501</v>
      </c>
      <c r="G2395" s="11">
        <v>0.0149</v>
      </c>
      <c r="H2395" s="9">
        <f>MAX($F$2174:F2395)</f>
        <v>1.1924</v>
      </c>
      <c r="I2395" s="11">
        <f t="shared" si="58"/>
        <v>0.0354746729285474</v>
      </c>
      <c r="J2395" s="9"/>
      <c r="K2395" s="11"/>
      <c r="L2395" s="9">
        <f>MAX($F$2358:F2395)</f>
        <v>1.1808</v>
      </c>
      <c r="M2395" s="11">
        <f t="shared" si="57"/>
        <v>0.0259993224932251</v>
      </c>
      <c r="N2395" s="9" t="s">
        <v>789</v>
      </c>
    </row>
    <row r="2396" ht="25" customHeight="1" spans="1:14">
      <c r="A2396" s="9" t="s">
        <v>53</v>
      </c>
      <c r="B2396" s="9" t="s">
        <v>49</v>
      </c>
      <c r="C2396" s="10">
        <v>45233</v>
      </c>
      <c r="D2396" s="15">
        <v>1.1563</v>
      </c>
      <c r="E2396" s="15">
        <v>1.1563</v>
      </c>
      <c r="F2396" s="15">
        <v>1.1563</v>
      </c>
      <c r="G2396" s="11">
        <v>0.0054</v>
      </c>
      <c r="H2396" s="9">
        <f>MAX($F$2174:F2396)</f>
        <v>1.1924</v>
      </c>
      <c r="I2396" s="11">
        <f t="shared" si="58"/>
        <v>0.0302750754780273</v>
      </c>
      <c r="J2396" s="9"/>
      <c r="K2396" s="11"/>
      <c r="L2396" s="9">
        <f>MAX($F$2358:F2396)</f>
        <v>1.1808</v>
      </c>
      <c r="M2396" s="11">
        <f t="shared" si="57"/>
        <v>0.0207486449864498</v>
      </c>
      <c r="N2396" s="9" t="s">
        <v>789</v>
      </c>
    </row>
    <row r="2397" ht="25" customHeight="1" spans="1:14">
      <c r="A2397" s="9" t="s">
        <v>53</v>
      </c>
      <c r="B2397" s="9" t="s">
        <v>49</v>
      </c>
      <c r="C2397" s="10">
        <v>45236</v>
      </c>
      <c r="D2397" s="15">
        <v>1.153</v>
      </c>
      <c r="E2397" s="15">
        <v>1.153</v>
      </c>
      <c r="F2397" s="15">
        <v>1.153</v>
      </c>
      <c r="G2397" s="11">
        <v>-0.0029</v>
      </c>
      <c r="H2397" s="9">
        <f>MAX($F$2174:F2397)</f>
        <v>1.1924</v>
      </c>
      <c r="I2397" s="11">
        <f t="shared" si="58"/>
        <v>0.0330426031533042</v>
      </c>
      <c r="J2397" s="9"/>
      <c r="K2397" s="11"/>
      <c r="L2397" s="9">
        <f>MAX($F$2358:F2397)</f>
        <v>1.1808</v>
      </c>
      <c r="M2397" s="11">
        <f t="shared" si="57"/>
        <v>0.0235433604336044</v>
      </c>
      <c r="N2397" s="9" t="s">
        <v>789</v>
      </c>
    </row>
    <row r="2398" ht="25" customHeight="1" spans="1:14">
      <c r="A2398" s="9" t="s">
        <v>53</v>
      </c>
      <c r="B2398" s="9" t="s">
        <v>49</v>
      </c>
      <c r="C2398" s="10">
        <v>45237</v>
      </c>
      <c r="D2398" s="15">
        <v>1.149</v>
      </c>
      <c r="E2398" s="15">
        <v>1.149</v>
      </c>
      <c r="F2398" s="15">
        <v>1.149</v>
      </c>
      <c r="G2398" s="11">
        <v>-0.0035</v>
      </c>
      <c r="H2398" s="9">
        <f>MAX($F$2174:F2398)</f>
        <v>1.1924</v>
      </c>
      <c r="I2398" s="11">
        <f t="shared" si="58"/>
        <v>0.0363971821536396</v>
      </c>
      <c r="J2398" s="9"/>
      <c r="K2398" s="11"/>
      <c r="L2398" s="9">
        <f>MAX($F$2358:F2398)</f>
        <v>1.1808</v>
      </c>
      <c r="M2398" s="11">
        <f t="shared" si="57"/>
        <v>0.0269308943089431</v>
      </c>
      <c r="N2398" s="9" t="s">
        <v>789</v>
      </c>
    </row>
    <row r="2399" ht="25" customHeight="1" spans="1:14">
      <c r="A2399" s="9" t="s">
        <v>53</v>
      </c>
      <c r="B2399" s="9" t="s">
        <v>49</v>
      </c>
      <c r="C2399" s="10">
        <v>45238</v>
      </c>
      <c r="D2399" s="15">
        <v>1.1566</v>
      </c>
      <c r="E2399" s="15">
        <v>1.1566</v>
      </c>
      <c r="F2399" s="15">
        <v>1.1566</v>
      </c>
      <c r="G2399" s="11">
        <v>0.0066</v>
      </c>
      <c r="H2399" s="9">
        <f>MAX($F$2174:F2399)</f>
        <v>1.1924</v>
      </c>
      <c r="I2399" s="11">
        <f t="shared" si="58"/>
        <v>0.0300234820530022</v>
      </c>
      <c r="J2399" s="9"/>
      <c r="K2399" s="11"/>
      <c r="L2399" s="9">
        <f>MAX($F$2358:F2399)</f>
        <v>1.1808</v>
      </c>
      <c r="M2399" s="11">
        <f t="shared" si="57"/>
        <v>0.0204945799457995</v>
      </c>
      <c r="N2399" s="9" t="s">
        <v>789</v>
      </c>
    </row>
    <row r="2400" ht="25" customHeight="1" spans="1:14">
      <c r="A2400" s="9" t="s">
        <v>53</v>
      </c>
      <c r="B2400" s="9" t="s">
        <v>49</v>
      </c>
      <c r="C2400" s="10">
        <v>45239</v>
      </c>
      <c r="D2400" s="15">
        <v>1.1669</v>
      </c>
      <c r="E2400" s="15">
        <v>1.1669</v>
      </c>
      <c r="F2400" s="15">
        <v>1.1669</v>
      </c>
      <c r="G2400" s="11">
        <v>0.0089</v>
      </c>
      <c r="H2400" s="9">
        <f>MAX($F$2174:F2400)</f>
        <v>1.1924</v>
      </c>
      <c r="I2400" s="11">
        <f t="shared" si="58"/>
        <v>0.0213854411271385</v>
      </c>
      <c r="J2400" s="9"/>
      <c r="K2400" s="11"/>
      <c r="L2400" s="9">
        <f>MAX($F$2358:F2400)</f>
        <v>1.1808</v>
      </c>
      <c r="M2400" s="11">
        <f t="shared" si="57"/>
        <v>0.0117716802168022</v>
      </c>
      <c r="N2400" s="9" t="s">
        <v>789</v>
      </c>
    </row>
    <row r="2401" ht="25" customHeight="1" spans="1:14">
      <c r="A2401" s="9" t="s">
        <v>53</v>
      </c>
      <c r="B2401" s="9" t="s">
        <v>49</v>
      </c>
      <c r="C2401" s="10">
        <v>45240</v>
      </c>
      <c r="D2401" s="15">
        <v>1.1802</v>
      </c>
      <c r="E2401" s="15">
        <v>1.1802</v>
      </c>
      <c r="F2401" s="15">
        <v>1.1802</v>
      </c>
      <c r="G2401" s="11">
        <v>0.0114</v>
      </c>
      <c r="H2401" s="9">
        <f>MAX($F$2174:F2401)</f>
        <v>1.1924</v>
      </c>
      <c r="I2401" s="11">
        <f t="shared" si="58"/>
        <v>0.0102314659510231</v>
      </c>
      <c r="J2401" s="9"/>
      <c r="K2401" s="11"/>
      <c r="L2401" s="9">
        <f>MAX($F$2358:F2401)</f>
        <v>1.1808</v>
      </c>
      <c r="M2401" s="11">
        <f t="shared" si="57"/>
        <v>0.000508130081300906</v>
      </c>
      <c r="N2401" s="9" t="s">
        <v>789</v>
      </c>
    </row>
    <row r="2402" ht="25" customHeight="1" spans="1:14">
      <c r="A2402" s="9" t="s">
        <v>53</v>
      </c>
      <c r="B2402" s="9" t="s">
        <v>49</v>
      </c>
      <c r="C2402" s="10">
        <v>45243</v>
      </c>
      <c r="D2402" s="15">
        <v>1.1836</v>
      </c>
      <c r="E2402" s="15">
        <v>1.1836</v>
      </c>
      <c r="F2402" s="15">
        <v>1.1836</v>
      </c>
      <c r="G2402" s="11">
        <v>0.0029</v>
      </c>
      <c r="H2402" s="9">
        <f>MAX($F$2174:F2402)</f>
        <v>1.1924</v>
      </c>
      <c r="I2402" s="11">
        <f t="shared" si="58"/>
        <v>0.00738007380073791</v>
      </c>
      <c r="J2402" s="9"/>
      <c r="K2402" s="11"/>
      <c r="L2402" s="9">
        <f>MAX($F$2358:F2402)</f>
        <v>1.1836</v>
      </c>
      <c r="M2402" s="11">
        <f t="shared" si="57"/>
        <v>0</v>
      </c>
      <c r="N2402" s="9" t="s">
        <v>789</v>
      </c>
    </row>
    <row r="2403" ht="25" customHeight="1" spans="1:14">
      <c r="A2403" s="9" t="s">
        <v>53</v>
      </c>
      <c r="B2403" s="9" t="s">
        <v>49</v>
      </c>
      <c r="C2403" s="10">
        <v>45244</v>
      </c>
      <c r="D2403" s="15">
        <v>1.1848</v>
      </c>
      <c r="E2403" s="15">
        <v>1.1848</v>
      </c>
      <c r="F2403" s="15">
        <v>1.1848</v>
      </c>
      <c r="G2403" s="11">
        <v>0.001</v>
      </c>
      <c r="H2403" s="9">
        <f>MAX($F$2174:F2403)</f>
        <v>1.1924</v>
      </c>
      <c r="I2403" s="11">
        <f t="shared" si="58"/>
        <v>0.0063737001006372</v>
      </c>
      <c r="J2403" s="9"/>
      <c r="K2403" s="11"/>
      <c r="L2403" s="9">
        <f>MAX($F$2358:F2403)</f>
        <v>1.1848</v>
      </c>
      <c r="M2403" s="11">
        <f t="shared" si="57"/>
        <v>0</v>
      </c>
      <c r="N2403" s="9" t="s">
        <v>789</v>
      </c>
    </row>
    <row r="2404" ht="25" customHeight="1" spans="1:14">
      <c r="A2404" s="9" t="s">
        <v>53</v>
      </c>
      <c r="B2404" s="9" t="s">
        <v>49</v>
      </c>
      <c r="C2404" s="10">
        <v>45245</v>
      </c>
      <c r="D2404" s="15">
        <v>1.197</v>
      </c>
      <c r="E2404" s="15">
        <v>1.197</v>
      </c>
      <c r="F2404" s="15">
        <v>1.197</v>
      </c>
      <c r="G2404" s="11">
        <v>0.0103</v>
      </c>
      <c r="H2404" s="9">
        <f>MAX($F$2174:F2404)</f>
        <v>1.197</v>
      </c>
      <c r="I2404" s="11">
        <f t="shared" si="58"/>
        <v>0</v>
      </c>
      <c r="J2404" s="9"/>
      <c r="K2404" s="11"/>
      <c r="L2404" s="9">
        <f>MAX($F$2358:F2404)</f>
        <v>1.197</v>
      </c>
      <c r="M2404" s="11">
        <f t="shared" si="57"/>
        <v>0</v>
      </c>
      <c r="N2404" s="9" t="s">
        <v>789</v>
      </c>
    </row>
    <row r="2405" ht="25" customHeight="1" spans="1:14">
      <c r="A2405" s="9" t="s">
        <v>53</v>
      </c>
      <c r="B2405" s="9" t="s">
        <v>49</v>
      </c>
      <c r="C2405" s="10">
        <v>45246</v>
      </c>
      <c r="D2405" s="15">
        <v>1.1854</v>
      </c>
      <c r="E2405" s="15">
        <v>1.1854</v>
      </c>
      <c r="F2405" s="15">
        <v>1.1854</v>
      </c>
      <c r="G2405" s="11">
        <v>-0.0097</v>
      </c>
      <c r="H2405" s="9">
        <f>MAX($F$2174:F2405)</f>
        <v>1.197</v>
      </c>
      <c r="I2405" s="11">
        <f t="shared" si="58"/>
        <v>0.00969089390142031</v>
      </c>
      <c r="J2405" s="9"/>
      <c r="K2405" s="11"/>
      <c r="L2405" s="9">
        <f>MAX($F$2358:F2405)</f>
        <v>1.197</v>
      </c>
      <c r="M2405" s="11">
        <f t="shared" si="57"/>
        <v>0.00969089390142031</v>
      </c>
      <c r="N2405" s="9" t="s">
        <v>789</v>
      </c>
    </row>
    <row r="2406" ht="25" customHeight="1" spans="1:14">
      <c r="A2406" s="9" t="s">
        <v>53</v>
      </c>
      <c r="B2406" s="9" t="s">
        <v>49</v>
      </c>
      <c r="C2406" s="10">
        <v>45247</v>
      </c>
      <c r="D2406" s="15">
        <v>1.1847</v>
      </c>
      <c r="E2406" s="15">
        <v>1.1847</v>
      </c>
      <c r="F2406" s="15">
        <v>1.1847</v>
      </c>
      <c r="G2406" s="11">
        <v>-0.0006</v>
      </c>
      <c r="H2406" s="9">
        <f>MAX($F$2174:F2406)</f>
        <v>1.197</v>
      </c>
      <c r="I2406" s="11">
        <f t="shared" si="58"/>
        <v>0.0102756892230577</v>
      </c>
      <c r="J2406" s="9"/>
      <c r="K2406" s="11"/>
      <c r="L2406" s="9">
        <f>MAX($F$2358:F2406)</f>
        <v>1.197</v>
      </c>
      <c r="M2406" s="11">
        <f t="shared" si="57"/>
        <v>0.0102756892230577</v>
      </c>
      <c r="N2406" s="9" t="s">
        <v>789</v>
      </c>
    </row>
    <row r="2407" ht="25" customHeight="1" spans="1:14">
      <c r="A2407" s="9" t="s">
        <v>53</v>
      </c>
      <c r="B2407" s="9" t="s">
        <v>49</v>
      </c>
      <c r="C2407" s="10">
        <v>45250</v>
      </c>
      <c r="D2407" s="15">
        <v>1.1827</v>
      </c>
      <c r="E2407" s="15">
        <v>1.1827</v>
      </c>
      <c r="F2407" s="15">
        <v>1.1827</v>
      </c>
      <c r="G2407" s="11">
        <v>-0.0017</v>
      </c>
      <c r="H2407" s="9">
        <f>MAX($F$2174:F2407)</f>
        <v>1.197</v>
      </c>
      <c r="I2407" s="11">
        <f t="shared" si="58"/>
        <v>0.0119465329991646</v>
      </c>
      <c r="J2407" s="9"/>
      <c r="K2407" s="11"/>
      <c r="L2407" s="9">
        <f>MAX($F$2358:F2407)</f>
        <v>1.197</v>
      </c>
      <c r="M2407" s="11">
        <f t="shared" si="57"/>
        <v>0.0119465329991646</v>
      </c>
      <c r="N2407" s="9" t="s">
        <v>789</v>
      </c>
    </row>
    <row r="2408" ht="25" customHeight="1" spans="1:14">
      <c r="A2408" s="9" t="s">
        <v>53</v>
      </c>
      <c r="B2408" s="9" t="s">
        <v>49</v>
      </c>
      <c r="C2408" s="10">
        <v>45251</v>
      </c>
      <c r="D2408" s="15">
        <v>1.1871</v>
      </c>
      <c r="E2408" s="15">
        <v>1.1871</v>
      </c>
      <c r="F2408" s="15">
        <v>1.1871</v>
      </c>
      <c r="G2408" s="11">
        <v>0.0037</v>
      </c>
      <c r="H2408" s="9">
        <f>MAX($F$2174:F2408)</f>
        <v>1.197</v>
      </c>
      <c r="I2408" s="11">
        <f t="shared" si="58"/>
        <v>0.00827067669172932</v>
      </c>
      <c r="J2408" s="9"/>
      <c r="K2408" s="11"/>
      <c r="L2408" s="9">
        <f>MAX($F$2358:F2408)</f>
        <v>1.197</v>
      </c>
      <c r="M2408" s="11">
        <f t="shared" si="57"/>
        <v>0.00827067669172932</v>
      </c>
      <c r="N2408" s="9" t="s">
        <v>789</v>
      </c>
    </row>
    <row r="2409" ht="25" customHeight="1" spans="1:14">
      <c r="A2409" s="9" t="s">
        <v>53</v>
      </c>
      <c r="B2409" s="9" t="s">
        <v>49</v>
      </c>
      <c r="C2409" s="10">
        <v>45252</v>
      </c>
      <c r="D2409" s="15">
        <v>1.1927</v>
      </c>
      <c r="E2409" s="15">
        <v>1.1927</v>
      </c>
      <c r="F2409" s="15">
        <v>1.1927</v>
      </c>
      <c r="G2409" s="11">
        <v>0.0047</v>
      </c>
      <c r="H2409" s="9">
        <f>MAX($F$2174:F2409)</f>
        <v>1.197</v>
      </c>
      <c r="I2409" s="11">
        <f t="shared" si="58"/>
        <v>0.00359231411862992</v>
      </c>
      <c r="J2409" s="9"/>
      <c r="K2409" s="11"/>
      <c r="L2409" s="9">
        <f>MAX($F$2358:F2409)</f>
        <v>1.197</v>
      </c>
      <c r="M2409" s="11">
        <f t="shared" si="57"/>
        <v>0.00359231411862992</v>
      </c>
      <c r="N2409" s="9" t="s">
        <v>789</v>
      </c>
    </row>
    <row r="2410" ht="25" customHeight="1" spans="1:14">
      <c r="A2410" s="9" t="s">
        <v>53</v>
      </c>
      <c r="B2410" s="9" t="s">
        <v>49</v>
      </c>
      <c r="C2410" s="10">
        <v>45253</v>
      </c>
      <c r="D2410" s="15">
        <v>1.1833</v>
      </c>
      <c r="E2410" s="15">
        <v>1.1833</v>
      </c>
      <c r="F2410" s="15">
        <v>1.1833</v>
      </c>
      <c r="G2410" s="11">
        <v>-0.0079</v>
      </c>
      <c r="H2410" s="9">
        <f>MAX($F$2174:F2410)</f>
        <v>1.197</v>
      </c>
      <c r="I2410" s="11">
        <f t="shared" si="58"/>
        <v>0.0114452798663325</v>
      </c>
      <c r="J2410" s="9"/>
      <c r="K2410" s="11"/>
      <c r="L2410" s="9">
        <f>MAX($F$2358:F2410)</f>
        <v>1.197</v>
      </c>
      <c r="M2410" s="11">
        <f t="shared" si="57"/>
        <v>0.0114452798663325</v>
      </c>
      <c r="N2410" s="9" t="s">
        <v>789</v>
      </c>
    </row>
    <row r="2411" ht="25" customHeight="1" spans="1:14">
      <c r="A2411" s="9" t="s">
        <v>53</v>
      </c>
      <c r="B2411" s="9" t="s">
        <v>49</v>
      </c>
      <c r="C2411" s="10">
        <v>45254</v>
      </c>
      <c r="D2411" s="15">
        <v>1.1775</v>
      </c>
      <c r="E2411" s="15">
        <v>1.1775</v>
      </c>
      <c r="F2411" s="15">
        <v>1.1775</v>
      </c>
      <c r="G2411" s="11">
        <v>-0.0049</v>
      </c>
      <c r="H2411" s="9">
        <f>MAX($F$2174:F2411)</f>
        <v>1.197</v>
      </c>
      <c r="I2411" s="11">
        <f t="shared" si="58"/>
        <v>0.0162907268170427</v>
      </c>
      <c r="J2411" s="9"/>
      <c r="K2411" s="11"/>
      <c r="L2411" s="9">
        <f>MAX($F$2358:F2411)</f>
        <v>1.197</v>
      </c>
      <c r="M2411" s="11">
        <f t="shared" si="57"/>
        <v>0.0162907268170427</v>
      </c>
      <c r="N2411" s="9" t="s">
        <v>789</v>
      </c>
    </row>
    <row r="2412" ht="25" customHeight="1" spans="1:14">
      <c r="A2412" s="9" t="s">
        <v>53</v>
      </c>
      <c r="B2412" s="9" t="s">
        <v>49</v>
      </c>
      <c r="C2412" s="10">
        <v>45257</v>
      </c>
      <c r="D2412" s="15">
        <v>1.1721</v>
      </c>
      <c r="E2412" s="15">
        <v>1.1721</v>
      </c>
      <c r="F2412" s="15">
        <v>1.1721</v>
      </c>
      <c r="G2412" s="11">
        <v>-0.0046</v>
      </c>
      <c r="H2412" s="9">
        <f>MAX($F$2174:F2412)</f>
        <v>1.197</v>
      </c>
      <c r="I2412" s="11">
        <f t="shared" si="58"/>
        <v>0.0208020050125315</v>
      </c>
      <c r="J2412" s="9"/>
      <c r="K2412" s="11"/>
      <c r="L2412" s="9">
        <f>MAX($F$2358:F2412)</f>
        <v>1.197</v>
      </c>
      <c r="M2412" s="11">
        <f t="shared" si="57"/>
        <v>0.0208020050125315</v>
      </c>
      <c r="N2412" s="9" t="s">
        <v>789</v>
      </c>
    </row>
    <row r="2413" ht="25" customHeight="1" spans="1:14">
      <c r="A2413" s="9" t="s">
        <v>53</v>
      </c>
      <c r="B2413" s="9" t="s">
        <v>49</v>
      </c>
      <c r="C2413" s="10">
        <v>45258</v>
      </c>
      <c r="D2413" s="15">
        <v>1.1769</v>
      </c>
      <c r="E2413" s="15">
        <v>1.1769</v>
      </c>
      <c r="F2413" s="15">
        <v>1.1769</v>
      </c>
      <c r="G2413" s="11">
        <v>0.0041</v>
      </c>
      <c r="H2413" s="9">
        <f>MAX($F$2174:F2413)</f>
        <v>1.197</v>
      </c>
      <c r="I2413" s="11">
        <f t="shared" si="58"/>
        <v>0.0167919799498747</v>
      </c>
      <c r="J2413" s="9"/>
      <c r="K2413" s="11"/>
      <c r="L2413" s="9">
        <f>MAX($F$2358:F2413)</f>
        <v>1.197</v>
      </c>
      <c r="M2413" s="11">
        <f t="shared" si="57"/>
        <v>0.0167919799498747</v>
      </c>
      <c r="N2413" s="9" t="s">
        <v>789</v>
      </c>
    </row>
    <row r="2414" ht="25" customHeight="1" spans="1:14">
      <c r="A2414" s="9" t="s">
        <v>53</v>
      </c>
      <c r="B2414" s="9" t="s">
        <v>49</v>
      </c>
      <c r="C2414" s="10">
        <v>45259</v>
      </c>
      <c r="D2414" s="15">
        <v>1.1773</v>
      </c>
      <c r="E2414" s="15">
        <v>1.1773</v>
      </c>
      <c r="F2414" s="15">
        <v>1.1773</v>
      </c>
      <c r="G2414" s="11">
        <v>0.0003</v>
      </c>
      <c r="H2414" s="9">
        <f>MAX($F$2174:F2414)</f>
        <v>1.197</v>
      </c>
      <c r="I2414" s="11">
        <f t="shared" si="58"/>
        <v>0.0164578111946534</v>
      </c>
      <c r="J2414" s="9"/>
      <c r="K2414" s="11"/>
      <c r="L2414" s="9">
        <f>MAX($F$2358:F2414)</f>
        <v>1.197</v>
      </c>
      <c r="M2414" s="11">
        <f t="shared" si="57"/>
        <v>0.0164578111946534</v>
      </c>
      <c r="N2414" s="9" t="s">
        <v>789</v>
      </c>
    </row>
    <row r="2415" ht="25" customHeight="1" spans="1:14">
      <c r="A2415" s="9" t="s">
        <v>53</v>
      </c>
      <c r="B2415" s="9" t="s">
        <v>49</v>
      </c>
      <c r="C2415" s="10">
        <v>45260</v>
      </c>
      <c r="D2415" s="15">
        <v>1.1738</v>
      </c>
      <c r="E2415" s="15">
        <v>1.1738</v>
      </c>
      <c r="F2415" s="15">
        <v>1.1738</v>
      </c>
      <c r="G2415" s="11">
        <v>-0.003</v>
      </c>
      <c r="H2415" s="9">
        <f>MAX($F$2174:F2415)</f>
        <v>1.197</v>
      </c>
      <c r="I2415" s="11">
        <f t="shared" si="58"/>
        <v>0.0193817878028405</v>
      </c>
      <c r="J2415" s="9"/>
      <c r="K2415" s="11"/>
      <c r="L2415" s="9">
        <f>MAX($F$2358:F2415)</f>
        <v>1.197</v>
      </c>
      <c r="M2415" s="11">
        <f t="shared" si="57"/>
        <v>0.0193817878028405</v>
      </c>
      <c r="N2415" s="9" t="s">
        <v>789</v>
      </c>
    </row>
    <row r="2416" ht="25" customHeight="1" spans="1:14">
      <c r="A2416" s="9" t="s">
        <v>53</v>
      </c>
      <c r="B2416" s="9" t="s">
        <v>49</v>
      </c>
      <c r="C2416" s="10">
        <v>45261</v>
      </c>
      <c r="D2416" s="15">
        <v>1.1688</v>
      </c>
      <c r="E2416" s="15">
        <v>1.1688</v>
      </c>
      <c r="F2416" s="15">
        <v>1.1688</v>
      </c>
      <c r="G2416" s="11">
        <v>-0.0043</v>
      </c>
      <c r="H2416" s="9">
        <f>MAX($F$2174:F2416)</f>
        <v>1.197</v>
      </c>
      <c r="I2416" s="11">
        <f t="shared" si="58"/>
        <v>0.0235588972431078</v>
      </c>
      <c r="J2416" s="9"/>
      <c r="K2416" s="11"/>
      <c r="L2416" s="9">
        <f>MAX($F$2358:F2416)</f>
        <v>1.197</v>
      </c>
      <c r="M2416" s="11">
        <f t="shared" si="57"/>
        <v>0.0235588972431078</v>
      </c>
      <c r="N2416" s="9" t="s">
        <v>789</v>
      </c>
    </row>
    <row r="2417" ht="25" customHeight="1" spans="1:14">
      <c r="A2417" s="9" t="s">
        <v>53</v>
      </c>
      <c r="B2417" s="9" t="s">
        <v>49</v>
      </c>
      <c r="C2417" s="10">
        <v>45264</v>
      </c>
      <c r="D2417" s="15">
        <v>1.172</v>
      </c>
      <c r="E2417" s="15">
        <v>1.172</v>
      </c>
      <c r="F2417" s="15">
        <v>1.172</v>
      </c>
      <c r="G2417" s="11">
        <v>0.0027</v>
      </c>
      <c r="H2417" s="9">
        <f>MAX($F$2174:F2417)</f>
        <v>1.197</v>
      </c>
      <c r="I2417" s="11">
        <f t="shared" si="58"/>
        <v>0.0208855472013368</v>
      </c>
      <c r="J2417" s="9"/>
      <c r="K2417" s="11"/>
      <c r="L2417" s="9">
        <f>MAX($F$2358:F2417)</f>
        <v>1.197</v>
      </c>
      <c r="M2417" s="11">
        <f t="shared" si="57"/>
        <v>0.0208855472013368</v>
      </c>
      <c r="N2417" s="9" t="s">
        <v>789</v>
      </c>
    </row>
    <row r="2418" ht="25" customHeight="1" spans="1:14">
      <c r="A2418" s="9" t="s">
        <v>53</v>
      </c>
      <c r="B2418" s="9" t="s">
        <v>49</v>
      </c>
      <c r="C2418" s="10">
        <v>45265</v>
      </c>
      <c r="D2418" s="15">
        <v>1.1904</v>
      </c>
      <c r="E2418" s="15">
        <v>1.1904</v>
      </c>
      <c r="F2418" s="15">
        <v>1.1904</v>
      </c>
      <c r="G2418" s="11">
        <v>0.0157</v>
      </c>
      <c r="H2418" s="9">
        <f>MAX($F$2174:F2418)</f>
        <v>1.197</v>
      </c>
      <c r="I2418" s="11">
        <f t="shared" si="58"/>
        <v>0.00551378446115303</v>
      </c>
      <c r="J2418" s="9"/>
      <c r="K2418" s="11"/>
      <c r="L2418" s="9">
        <f>MAX($F$2358:F2418)</f>
        <v>1.197</v>
      </c>
      <c r="M2418" s="11">
        <f t="shared" si="57"/>
        <v>0.00551378446115303</v>
      </c>
      <c r="N2418" s="9" t="s">
        <v>789</v>
      </c>
    </row>
    <row r="2419" ht="25" customHeight="1" spans="1:14">
      <c r="A2419" s="9" t="s">
        <v>53</v>
      </c>
      <c r="B2419" s="9" t="s">
        <v>49</v>
      </c>
      <c r="C2419" s="10">
        <v>45266</v>
      </c>
      <c r="D2419" s="15">
        <v>1.188</v>
      </c>
      <c r="E2419" s="15">
        <v>1.188</v>
      </c>
      <c r="F2419" s="15">
        <v>1.188</v>
      </c>
      <c r="G2419" s="11">
        <v>-0.002</v>
      </c>
      <c r="H2419" s="9">
        <f>MAX($F$2174:F2419)</f>
        <v>1.197</v>
      </c>
      <c r="I2419" s="11">
        <f t="shared" si="58"/>
        <v>0.00751879699248126</v>
      </c>
      <c r="J2419" s="9"/>
      <c r="K2419" s="11"/>
      <c r="L2419" s="9">
        <f>MAX($F$2358:F2419)</f>
        <v>1.197</v>
      </c>
      <c r="M2419" s="11">
        <f t="shared" si="57"/>
        <v>0.00751879699248126</v>
      </c>
      <c r="N2419" s="9" t="s">
        <v>789</v>
      </c>
    </row>
    <row r="2420" ht="25" customHeight="1" spans="1:14">
      <c r="A2420" s="9" t="s">
        <v>53</v>
      </c>
      <c r="B2420" s="9" t="s">
        <v>49</v>
      </c>
      <c r="C2420" s="10">
        <v>45267</v>
      </c>
      <c r="D2420" s="15">
        <v>1.1844</v>
      </c>
      <c r="E2420" s="15">
        <v>1.1844</v>
      </c>
      <c r="F2420" s="15">
        <v>1.1844</v>
      </c>
      <c r="G2420" s="11">
        <v>-0.003</v>
      </c>
      <c r="H2420" s="9">
        <f>MAX($F$2174:F2420)</f>
        <v>1.197</v>
      </c>
      <c r="I2420" s="11">
        <f t="shared" si="58"/>
        <v>0.0105263157894738</v>
      </c>
      <c r="J2420" s="9"/>
      <c r="K2420" s="11"/>
      <c r="L2420" s="9">
        <f>MAX($F$2358:F2420)</f>
        <v>1.197</v>
      </c>
      <c r="M2420" s="11">
        <f t="shared" si="57"/>
        <v>0.0105263157894738</v>
      </c>
      <c r="N2420" s="9" t="s">
        <v>789</v>
      </c>
    </row>
    <row r="2421" ht="25" customHeight="1" spans="1:14">
      <c r="A2421" s="9" t="s">
        <v>53</v>
      </c>
      <c r="B2421" s="9" t="s">
        <v>49</v>
      </c>
      <c r="C2421" s="10">
        <v>45268</v>
      </c>
      <c r="D2421" s="15">
        <v>1.1792</v>
      </c>
      <c r="E2421" s="15">
        <v>1.1792</v>
      </c>
      <c r="F2421" s="15">
        <v>1.1792</v>
      </c>
      <c r="G2421" s="11">
        <v>-0.0044</v>
      </c>
      <c r="H2421" s="9">
        <f>MAX($F$2174:F2421)</f>
        <v>1.197</v>
      </c>
      <c r="I2421" s="11">
        <f t="shared" si="58"/>
        <v>0.0148705096073517</v>
      </c>
      <c r="J2421" s="9"/>
      <c r="K2421" s="11"/>
      <c r="L2421" s="9">
        <f>MAX($F$2358:F2421)</f>
        <v>1.197</v>
      </c>
      <c r="M2421" s="11">
        <f t="shared" si="57"/>
        <v>0.0148705096073517</v>
      </c>
      <c r="N2421" s="9" t="s">
        <v>789</v>
      </c>
    </row>
    <row r="2422" ht="25" customHeight="1" spans="1:14">
      <c r="A2422" s="9" t="s">
        <v>53</v>
      </c>
      <c r="B2422" s="9" t="s">
        <v>49</v>
      </c>
      <c r="C2422" s="10">
        <v>45271</v>
      </c>
      <c r="D2422" s="15">
        <v>1.1854</v>
      </c>
      <c r="E2422" s="15">
        <v>1.1854</v>
      </c>
      <c r="F2422" s="15">
        <v>1.1854</v>
      </c>
      <c r="G2422" s="11">
        <v>0.0053</v>
      </c>
      <c r="H2422" s="9">
        <f>MAX($F$2174:F2422)</f>
        <v>1.197</v>
      </c>
      <c r="I2422" s="11">
        <f t="shared" si="58"/>
        <v>0.00969089390142031</v>
      </c>
      <c r="J2422" s="9"/>
      <c r="K2422" s="11"/>
      <c r="L2422" s="9">
        <f>MAX($F$2358:F2422)</f>
        <v>1.197</v>
      </c>
      <c r="M2422" s="11">
        <f t="shared" ref="M2422:M2485" si="59">1-F2422/L2422</f>
        <v>0.00969089390142031</v>
      </c>
      <c r="N2422" s="9" t="s">
        <v>789</v>
      </c>
    </row>
    <row r="2423" ht="25" customHeight="1" spans="1:14">
      <c r="A2423" s="9" t="s">
        <v>53</v>
      </c>
      <c r="B2423" s="9" t="s">
        <v>49</v>
      </c>
      <c r="C2423" s="10">
        <v>45272</v>
      </c>
      <c r="D2423" s="15">
        <v>1.1876</v>
      </c>
      <c r="E2423" s="15">
        <v>1.1876</v>
      </c>
      <c r="F2423" s="15">
        <v>1.1876</v>
      </c>
      <c r="G2423" s="11">
        <v>0.0019</v>
      </c>
      <c r="H2423" s="9">
        <f>MAX($F$2174:F2423)</f>
        <v>1.197</v>
      </c>
      <c r="I2423" s="11">
        <f t="shared" si="58"/>
        <v>0.00785296574770267</v>
      </c>
      <c r="J2423" s="9"/>
      <c r="K2423" s="11"/>
      <c r="L2423" s="9">
        <f>MAX($F$2358:F2423)</f>
        <v>1.197</v>
      </c>
      <c r="M2423" s="11">
        <f t="shared" si="59"/>
        <v>0.00785296574770267</v>
      </c>
      <c r="N2423" s="9" t="s">
        <v>789</v>
      </c>
    </row>
    <row r="2424" ht="25" customHeight="1" spans="1:14">
      <c r="A2424" s="9" t="s">
        <v>53</v>
      </c>
      <c r="B2424" s="9" t="s">
        <v>49</v>
      </c>
      <c r="C2424" s="10">
        <v>45273</v>
      </c>
      <c r="D2424" s="15">
        <v>1.1914</v>
      </c>
      <c r="E2424" s="15">
        <v>1.1914</v>
      </c>
      <c r="F2424" s="15">
        <v>1.1914</v>
      </c>
      <c r="G2424" s="11">
        <v>0.0032</v>
      </c>
      <c r="H2424" s="9">
        <f>MAX($F$2174:F2424)</f>
        <v>1.197</v>
      </c>
      <c r="I2424" s="11">
        <f t="shared" si="58"/>
        <v>0.0046783625730995</v>
      </c>
      <c r="J2424" s="9"/>
      <c r="K2424" s="11"/>
      <c r="L2424" s="9">
        <f>MAX($F$2358:F2424)</f>
        <v>1.197</v>
      </c>
      <c r="M2424" s="11">
        <f t="shared" si="59"/>
        <v>0.0046783625730995</v>
      </c>
      <c r="N2424" s="9" t="s">
        <v>789</v>
      </c>
    </row>
    <row r="2425" ht="25" customHeight="1" spans="1:14">
      <c r="A2425" s="9" t="s">
        <v>53</v>
      </c>
      <c r="B2425" s="9" t="s">
        <v>49</v>
      </c>
      <c r="C2425" s="10">
        <v>45274</v>
      </c>
      <c r="D2425" s="15">
        <v>1.1956</v>
      </c>
      <c r="E2425" s="15">
        <v>1.1956</v>
      </c>
      <c r="F2425" s="15">
        <v>1.1956</v>
      </c>
      <c r="G2425" s="11">
        <v>0.0035</v>
      </c>
      <c r="H2425" s="9">
        <f>MAX($F$2174:F2425)</f>
        <v>1.197</v>
      </c>
      <c r="I2425" s="11">
        <f t="shared" si="58"/>
        <v>0.00116959064327493</v>
      </c>
      <c r="J2425" s="9"/>
      <c r="K2425" s="11"/>
      <c r="L2425" s="9">
        <f>MAX($F$2358:F2425)</f>
        <v>1.197</v>
      </c>
      <c r="M2425" s="11">
        <f t="shared" si="59"/>
        <v>0.00116959064327493</v>
      </c>
      <c r="N2425" s="9" t="s">
        <v>789</v>
      </c>
    </row>
    <row r="2426" ht="25" customHeight="1" spans="1:14">
      <c r="A2426" s="9" t="s">
        <v>53</v>
      </c>
      <c r="B2426" s="9" t="s">
        <v>49</v>
      </c>
      <c r="C2426" s="10">
        <v>45275</v>
      </c>
      <c r="D2426" s="15">
        <v>1.1992</v>
      </c>
      <c r="E2426" s="15">
        <v>1.1992</v>
      </c>
      <c r="F2426" s="15">
        <v>1.1992</v>
      </c>
      <c r="G2426" s="11">
        <v>0.003</v>
      </c>
      <c r="H2426" s="9">
        <f>MAX($F$2174:F2426)</f>
        <v>1.1992</v>
      </c>
      <c r="I2426" s="11">
        <f t="shared" si="58"/>
        <v>0</v>
      </c>
      <c r="J2426" s="9"/>
      <c r="K2426" s="11"/>
      <c r="L2426" s="9">
        <f>MAX($F$2358:F2426)</f>
        <v>1.1992</v>
      </c>
      <c r="M2426" s="11">
        <f t="shared" si="59"/>
        <v>0</v>
      </c>
      <c r="N2426" s="9" t="s">
        <v>789</v>
      </c>
    </row>
    <row r="2427" ht="25" customHeight="1" spans="1:14">
      <c r="A2427" s="9" t="s">
        <v>53</v>
      </c>
      <c r="B2427" s="9" t="s">
        <v>49</v>
      </c>
      <c r="C2427" s="10">
        <v>45278</v>
      </c>
      <c r="D2427" s="15">
        <v>1.2012</v>
      </c>
      <c r="E2427" s="15">
        <v>1.2012</v>
      </c>
      <c r="F2427" s="15">
        <v>1.2012</v>
      </c>
      <c r="G2427" s="11">
        <v>0.0017</v>
      </c>
      <c r="H2427" s="9">
        <f>MAX($F$2174:F2427)</f>
        <v>1.2012</v>
      </c>
      <c r="I2427" s="11">
        <f t="shared" si="58"/>
        <v>0</v>
      </c>
      <c r="J2427" s="9"/>
      <c r="K2427" s="11"/>
      <c r="L2427" s="9">
        <f>MAX($F$2358:F2427)</f>
        <v>1.2012</v>
      </c>
      <c r="M2427" s="11">
        <f t="shared" si="59"/>
        <v>0</v>
      </c>
      <c r="N2427" s="9" t="s">
        <v>789</v>
      </c>
    </row>
    <row r="2428" ht="25" customHeight="1" spans="1:14">
      <c r="A2428" s="9" t="s">
        <v>53</v>
      </c>
      <c r="B2428" s="9" t="s">
        <v>49</v>
      </c>
      <c r="C2428" s="10">
        <v>45279</v>
      </c>
      <c r="D2428" s="15">
        <v>1.203</v>
      </c>
      <c r="E2428" s="15">
        <v>1.203</v>
      </c>
      <c r="F2428" s="15">
        <v>1.203</v>
      </c>
      <c r="G2428" s="11">
        <v>0.0015</v>
      </c>
      <c r="H2428" s="9">
        <f>MAX($F$2174:F2428)</f>
        <v>1.203</v>
      </c>
      <c r="I2428" s="11">
        <f t="shared" si="58"/>
        <v>0</v>
      </c>
      <c r="J2428" s="9"/>
      <c r="K2428" s="11"/>
      <c r="L2428" s="9">
        <f>MAX($F$2358:F2428)</f>
        <v>1.203</v>
      </c>
      <c r="M2428" s="11">
        <f t="shared" si="59"/>
        <v>0</v>
      </c>
      <c r="N2428" s="9" t="s">
        <v>789</v>
      </c>
    </row>
    <row r="2429" ht="25" customHeight="1" spans="1:14">
      <c r="A2429" s="9" t="s">
        <v>53</v>
      </c>
      <c r="B2429" s="9" t="s">
        <v>49</v>
      </c>
      <c r="C2429" s="10">
        <v>45280</v>
      </c>
      <c r="D2429" s="15">
        <v>1.2007</v>
      </c>
      <c r="E2429" s="15">
        <v>1.2007</v>
      </c>
      <c r="F2429" s="15">
        <v>1.2007</v>
      </c>
      <c r="G2429" s="11">
        <v>-0.0019</v>
      </c>
      <c r="H2429" s="9">
        <f>MAX($F$2174:F2429)</f>
        <v>1.203</v>
      </c>
      <c r="I2429" s="11">
        <f t="shared" si="58"/>
        <v>0.00191188694929345</v>
      </c>
      <c r="J2429" s="9"/>
      <c r="K2429" s="11"/>
      <c r="L2429" s="9">
        <f>MAX($F$2358:F2429)</f>
        <v>1.203</v>
      </c>
      <c r="M2429" s="11">
        <f t="shared" si="59"/>
        <v>0.00191188694929345</v>
      </c>
      <c r="N2429" s="9" t="s">
        <v>789</v>
      </c>
    </row>
    <row r="2430" ht="25" customHeight="1" spans="1:14">
      <c r="A2430" s="9" t="s">
        <v>53</v>
      </c>
      <c r="B2430" s="9" t="s">
        <v>49</v>
      </c>
      <c r="C2430" s="10">
        <v>45281</v>
      </c>
      <c r="D2430" s="15">
        <v>1.2015</v>
      </c>
      <c r="E2430" s="15">
        <v>1.2015</v>
      </c>
      <c r="F2430" s="15">
        <v>1.2015</v>
      </c>
      <c r="G2430" s="11">
        <v>0.0007</v>
      </c>
      <c r="H2430" s="9">
        <f>MAX($F$2174:F2430)</f>
        <v>1.203</v>
      </c>
      <c r="I2430" s="11">
        <f t="shared" si="58"/>
        <v>0.00124688279301755</v>
      </c>
      <c r="J2430" s="9"/>
      <c r="K2430" s="11"/>
      <c r="L2430" s="9">
        <f>MAX($F$2358:F2430)</f>
        <v>1.203</v>
      </c>
      <c r="M2430" s="11">
        <f t="shared" si="59"/>
        <v>0.00124688279301755</v>
      </c>
      <c r="N2430" s="9" t="s">
        <v>789</v>
      </c>
    </row>
    <row r="2431" ht="25" customHeight="1" spans="1:14">
      <c r="A2431" s="9" t="s">
        <v>53</v>
      </c>
      <c r="B2431" s="9" t="s">
        <v>49</v>
      </c>
      <c r="C2431" s="10">
        <v>45282</v>
      </c>
      <c r="D2431" s="15">
        <v>1.1973</v>
      </c>
      <c r="E2431" s="15">
        <v>1.1973</v>
      </c>
      <c r="F2431" s="15">
        <v>1.1973</v>
      </c>
      <c r="G2431" s="11">
        <v>-0.0035</v>
      </c>
      <c r="H2431" s="9">
        <f>MAX($F$2174:F2431)</f>
        <v>1.203</v>
      </c>
      <c r="I2431" s="11">
        <f t="shared" si="58"/>
        <v>0.00473815461346638</v>
      </c>
      <c r="J2431" s="9"/>
      <c r="K2431" s="11"/>
      <c r="L2431" s="9">
        <f>MAX($F$2358:F2431)</f>
        <v>1.203</v>
      </c>
      <c r="M2431" s="11">
        <f t="shared" si="59"/>
        <v>0.00473815461346638</v>
      </c>
      <c r="N2431" s="9" t="s">
        <v>789</v>
      </c>
    </row>
    <row r="2432" ht="25" customHeight="1" spans="1:14">
      <c r="A2432" s="9" t="s">
        <v>53</v>
      </c>
      <c r="B2432" s="9" t="s">
        <v>49</v>
      </c>
      <c r="C2432" s="10">
        <v>45285</v>
      </c>
      <c r="D2432" s="15">
        <v>1.1954</v>
      </c>
      <c r="E2432" s="15">
        <v>1.1954</v>
      </c>
      <c r="F2432" s="15">
        <v>1.1954</v>
      </c>
      <c r="G2432" s="11">
        <v>-0.0016</v>
      </c>
      <c r="H2432" s="9">
        <f>MAX($F$2174:F2432)</f>
        <v>1.203</v>
      </c>
      <c r="I2432" s="11">
        <f t="shared" si="58"/>
        <v>0.00631753948462177</v>
      </c>
      <c r="J2432" s="9"/>
      <c r="K2432" s="11"/>
      <c r="L2432" s="9">
        <f>MAX($F$2358:F2432)</f>
        <v>1.203</v>
      </c>
      <c r="M2432" s="11">
        <f t="shared" si="59"/>
        <v>0.00631753948462177</v>
      </c>
      <c r="N2432" s="9" t="s">
        <v>789</v>
      </c>
    </row>
    <row r="2433" ht="25" customHeight="1" spans="1:14">
      <c r="A2433" s="9" t="s">
        <v>53</v>
      </c>
      <c r="B2433" s="9" t="s">
        <v>49</v>
      </c>
      <c r="C2433" s="10">
        <v>45286</v>
      </c>
      <c r="D2433" s="15">
        <v>1.1933</v>
      </c>
      <c r="E2433" s="15">
        <v>1.1933</v>
      </c>
      <c r="F2433" s="15">
        <v>1.1933</v>
      </c>
      <c r="G2433" s="11">
        <v>-0.0018</v>
      </c>
      <c r="H2433" s="9">
        <f>MAX($F$2174:F2433)</f>
        <v>1.203</v>
      </c>
      <c r="I2433" s="11">
        <f t="shared" si="58"/>
        <v>0.00806317539484624</v>
      </c>
      <c r="J2433" s="9"/>
      <c r="K2433" s="11"/>
      <c r="L2433" s="9">
        <f>MAX($F$2358:F2433)</f>
        <v>1.203</v>
      </c>
      <c r="M2433" s="11">
        <f t="shared" si="59"/>
        <v>0.00806317539484624</v>
      </c>
      <c r="N2433" s="9" t="s">
        <v>789</v>
      </c>
    </row>
    <row r="2434" ht="25" customHeight="1" spans="1:14">
      <c r="A2434" s="9" t="s">
        <v>53</v>
      </c>
      <c r="B2434" s="9" t="s">
        <v>49</v>
      </c>
      <c r="C2434" s="10">
        <v>45287</v>
      </c>
      <c r="D2434" s="15">
        <v>1.1957</v>
      </c>
      <c r="E2434" s="15">
        <v>1.1957</v>
      </c>
      <c r="F2434" s="15">
        <v>1.1957</v>
      </c>
      <c r="G2434" s="11">
        <v>0.002</v>
      </c>
      <c r="H2434" s="9">
        <f>MAX($F$2174:F2434)</f>
        <v>1.203</v>
      </c>
      <c r="I2434" s="11">
        <f t="shared" ref="I2434:I2497" si="60">1-F2434/H2434</f>
        <v>0.00606816292601831</v>
      </c>
      <c r="J2434" s="9"/>
      <c r="K2434" s="11"/>
      <c r="L2434" s="9">
        <f>MAX($F$2358:F2434)</f>
        <v>1.203</v>
      </c>
      <c r="M2434" s="11">
        <f t="shared" si="59"/>
        <v>0.00606816292601831</v>
      </c>
      <c r="N2434" s="9" t="s">
        <v>789</v>
      </c>
    </row>
    <row r="2435" ht="25" customHeight="1" spans="1:14">
      <c r="A2435" s="9" t="s">
        <v>53</v>
      </c>
      <c r="B2435" s="9" t="s">
        <v>49</v>
      </c>
      <c r="C2435" s="10">
        <v>45288</v>
      </c>
      <c r="D2435" s="15">
        <v>1.2034</v>
      </c>
      <c r="E2435" s="15">
        <v>1.2034</v>
      </c>
      <c r="F2435" s="15">
        <v>1.2034</v>
      </c>
      <c r="G2435" s="11">
        <v>0.0064</v>
      </c>
      <c r="H2435" s="9">
        <f>MAX($F$2174:F2435)</f>
        <v>1.2034</v>
      </c>
      <c r="I2435" s="11">
        <f t="shared" si="60"/>
        <v>0</v>
      </c>
      <c r="J2435" s="9"/>
      <c r="K2435" s="11"/>
      <c r="L2435" s="9">
        <f>MAX($F$2358:F2435)</f>
        <v>1.2034</v>
      </c>
      <c r="M2435" s="11">
        <f t="shared" si="59"/>
        <v>0</v>
      </c>
      <c r="N2435" s="9" t="s">
        <v>789</v>
      </c>
    </row>
    <row r="2436" ht="25" customHeight="1" spans="1:14">
      <c r="A2436" s="9" t="s">
        <v>53</v>
      </c>
      <c r="B2436" s="9" t="s">
        <v>49</v>
      </c>
      <c r="C2436" s="10">
        <v>45289</v>
      </c>
      <c r="D2436" s="15">
        <v>1.1947</v>
      </c>
      <c r="E2436" s="15">
        <v>1.1947</v>
      </c>
      <c r="F2436" s="15">
        <v>1.1947</v>
      </c>
      <c r="G2436" s="11">
        <v>-0.0072</v>
      </c>
      <c r="H2436" s="9">
        <f>MAX($F$2174:F2436)</f>
        <v>1.2034</v>
      </c>
      <c r="I2436" s="11">
        <f t="shared" si="60"/>
        <v>0.00722951637028413</v>
      </c>
      <c r="J2436" s="9"/>
      <c r="K2436" s="11"/>
      <c r="L2436" s="9">
        <f>MAX($F$2358:F2436)</f>
        <v>1.2034</v>
      </c>
      <c r="M2436" s="11">
        <f t="shared" si="59"/>
        <v>0.00722951637028413</v>
      </c>
      <c r="N2436" s="9" t="s">
        <v>789</v>
      </c>
    </row>
    <row r="2437" ht="25" customHeight="1" spans="1:14">
      <c r="A2437" s="9" t="s">
        <v>53</v>
      </c>
      <c r="B2437" s="9" t="s">
        <v>49</v>
      </c>
      <c r="C2437" s="10">
        <v>45293</v>
      </c>
      <c r="D2437" s="15">
        <v>1.2022</v>
      </c>
      <c r="E2437" s="15">
        <v>1.2022</v>
      </c>
      <c r="F2437" s="15">
        <v>1.2022</v>
      </c>
      <c r="G2437" s="11">
        <v>0.0063</v>
      </c>
      <c r="H2437" s="9">
        <f>MAX($F$2174:F2437)</f>
        <v>1.2034</v>
      </c>
      <c r="I2437" s="11">
        <f t="shared" si="60"/>
        <v>0.000997174671763412</v>
      </c>
      <c r="J2437" s="9"/>
      <c r="K2437" s="11"/>
      <c r="L2437" s="9">
        <f>MAX($F$2358:F2437)</f>
        <v>1.2034</v>
      </c>
      <c r="M2437" s="11">
        <f t="shared" si="59"/>
        <v>0.000997174671763412</v>
      </c>
      <c r="N2437" s="9" t="s">
        <v>789</v>
      </c>
    </row>
    <row r="2438" ht="25" customHeight="1" spans="1:14">
      <c r="A2438" s="9" t="s">
        <v>53</v>
      </c>
      <c r="B2438" s="9" t="s">
        <v>49</v>
      </c>
      <c r="C2438" s="10">
        <v>45294</v>
      </c>
      <c r="D2438" s="15">
        <v>1.2061</v>
      </c>
      <c r="E2438" s="15">
        <v>1.2061</v>
      </c>
      <c r="F2438" s="15">
        <v>1.2061</v>
      </c>
      <c r="G2438" s="11">
        <v>0.0032</v>
      </c>
      <c r="H2438" s="9">
        <f>MAX($F$2174:F2438)</f>
        <v>1.2061</v>
      </c>
      <c r="I2438" s="11">
        <f t="shared" si="60"/>
        <v>0</v>
      </c>
      <c r="J2438" s="9"/>
      <c r="K2438" s="11"/>
      <c r="L2438" s="9">
        <f>MAX($F$2358:F2438)</f>
        <v>1.2061</v>
      </c>
      <c r="M2438" s="11">
        <f t="shared" si="59"/>
        <v>0</v>
      </c>
      <c r="N2438" s="9" t="s">
        <v>789</v>
      </c>
    </row>
    <row r="2439" ht="25" customHeight="1" spans="1:14">
      <c r="A2439" s="9" t="s">
        <v>53</v>
      </c>
      <c r="B2439" s="9" t="s">
        <v>49</v>
      </c>
      <c r="C2439" s="10">
        <v>45295</v>
      </c>
      <c r="D2439" s="15">
        <v>1.2042</v>
      </c>
      <c r="E2439" s="15">
        <v>1.2042</v>
      </c>
      <c r="F2439" s="15">
        <v>1.2042</v>
      </c>
      <c r="G2439" s="11">
        <v>-0.0016</v>
      </c>
      <c r="H2439" s="9">
        <f>MAX($F$2174:F2439)</f>
        <v>1.2061</v>
      </c>
      <c r="I2439" s="11">
        <f t="shared" si="60"/>
        <v>0.00157532542906891</v>
      </c>
      <c r="J2439" s="9"/>
      <c r="K2439" s="11"/>
      <c r="L2439" s="9">
        <f>MAX($F$2358:F2439)</f>
        <v>1.2061</v>
      </c>
      <c r="M2439" s="11">
        <f t="shared" si="59"/>
        <v>0.00157532542906891</v>
      </c>
      <c r="N2439" s="9" t="s">
        <v>789</v>
      </c>
    </row>
    <row r="2440" ht="25" customHeight="1" spans="1:14">
      <c r="A2440" s="9" t="s">
        <v>53</v>
      </c>
      <c r="B2440" s="9" t="s">
        <v>49</v>
      </c>
      <c r="C2440" s="10">
        <v>45296</v>
      </c>
      <c r="D2440" s="15">
        <v>1.2066</v>
      </c>
      <c r="E2440" s="15">
        <v>1.2066</v>
      </c>
      <c r="F2440" s="15">
        <v>1.2066</v>
      </c>
      <c r="G2440" s="11">
        <v>0.002</v>
      </c>
      <c r="H2440" s="9">
        <f>MAX($F$2174:F2440)</f>
        <v>1.2066</v>
      </c>
      <c r="I2440" s="11">
        <f t="shared" si="60"/>
        <v>0</v>
      </c>
      <c r="J2440" s="9"/>
      <c r="K2440" s="11"/>
      <c r="L2440" s="9">
        <f>MAX($F$2358:F2440)</f>
        <v>1.2066</v>
      </c>
      <c r="M2440" s="11">
        <f t="shared" si="59"/>
        <v>0</v>
      </c>
      <c r="N2440" s="9" t="s">
        <v>789</v>
      </c>
    </row>
    <row r="2441" ht="25" customHeight="1" spans="1:14">
      <c r="A2441" s="9" t="s">
        <v>53</v>
      </c>
      <c r="B2441" s="9" t="s">
        <v>49</v>
      </c>
      <c r="C2441" s="10">
        <v>45299</v>
      </c>
      <c r="D2441" s="15">
        <v>1.2128</v>
      </c>
      <c r="E2441" s="15">
        <v>1.2128</v>
      </c>
      <c r="F2441" s="15">
        <v>1.2128</v>
      </c>
      <c r="G2441" s="11">
        <v>0.0051</v>
      </c>
      <c r="H2441" s="9">
        <f>MAX($F$2174:F2441)</f>
        <v>1.2128</v>
      </c>
      <c r="I2441" s="11">
        <f t="shared" si="60"/>
        <v>0</v>
      </c>
      <c r="J2441" s="9"/>
      <c r="K2441" s="11"/>
      <c r="L2441" s="9">
        <f>MAX($F$2358:F2441)</f>
        <v>1.2128</v>
      </c>
      <c r="M2441" s="11">
        <f t="shared" si="59"/>
        <v>0</v>
      </c>
      <c r="N2441" s="9" t="s">
        <v>789</v>
      </c>
    </row>
    <row r="2442" ht="25" customHeight="1" spans="1:14">
      <c r="A2442" s="9" t="s">
        <v>53</v>
      </c>
      <c r="B2442" s="9" t="s">
        <v>49</v>
      </c>
      <c r="C2442" s="10">
        <v>45300</v>
      </c>
      <c r="D2442" s="15">
        <v>1.2081</v>
      </c>
      <c r="E2442" s="15">
        <v>1.2081</v>
      </c>
      <c r="F2442" s="15">
        <v>1.2081</v>
      </c>
      <c r="G2442" s="11">
        <v>-0.0039</v>
      </c>
      <c r="H2442" s="9">
        <f>MAX($F$2174:F2442)</f>
        <v>1.2128</v>
      </c>
      <c r="I2442" s="11">
        <f t="shared" si="60"/>
        <v>0.00387532981530359</v>
      </c>
      <c r="J2442" s="9"/>
      <c r="K2442" s="11"/>
      <c r="L2442" s="9">
        <f>MAX($F$2358:F2442)</f>
        <v>1.2128</v>
      </c>
      <c r="M2442" s="11">
        <f t="shared" si="59"/>
        <v>0.00387532981530359</v>
      </c>
      <c r="N2442" s="9" t="s">
        <v>789</v>
      </c>
    </row>
    <row r="2443" ht="25" customHeight="1" spans="1:14">
      <c r="A2443" s="9" t="s">
        <v>53</v>
      </c>
      <c r="B2443" s="9" t="s">
        <v>49</v>
      </c>
      <c r="C2443" s="10">
        <v>45301</v>
      </c>
      <c r="D2443" s="15">
        <v>1.2091</v>
      </c>
      <c r="E2443" s="15">
        <v>1.2091</v>
      </c>
      <c r="F2443" s="15">
        <v>1.2091</v>
      </c>
      <c r="G2443" s="11">
        <v>0.0008</v>
      </c>
      <c r="H2443" s="9">
        <f>MAX($F$2174:F2443)</f>
        <v>1.2128</v>
      </c>
      <c r="I2443" s="11">
        <f t="shared" si="60"/>
        <v>0.00305079155672827</v>
      </c>
      <c r="J2443" s="9"/>
      <c r="K2443" s="11"/>
      <c r="L2443" s="9">
        <f>MAX($F$2358:F2443)</f>
        <v>1.2128</v>
      </c>
      <c r="M2443" s="11">
        <f t="shared" si="59"/>
        <v>0.00305079155672827</v>
      </c>
      <c r="N2443" s="9" t="s">
        <v>789</v>
      </c>
    </row>
    <row r="2444" ht="25" customHeight="1" spans="1:14">
      <c r="A2444" s="9" t="s">
        <v>53</v>
      </c>
      <c r="B2444" s="9" t="s">
        <v>49</v>
      </c>
      <c r="C2444" s="10">
        <v>45302</v>
      </c>
      <c r="D2444" s="15">
        <v>1.2044</v>
      </c>
      <c r="E2444" s="15">
        <v>1.2044</v>
      </c>
      <c r="F2444" s="15">
        <v>1.2044</v>
      </c>
      <c r="G2444" s="11">
        <v>-0.0039</v>
      </c>
      <c r="H2444" s="9">
        <f>MAX($F$2174:F2444)</f>
        <v>1.2128</v>
      </c>
      <c r="I2444" s="11">
        <f t="shared" si="60"/>
        <v>0.00692612137203186</v>
      </c>
      <c r="J2444" s="9"/>
      <c r="K2444" s="11"/>
      <c r="L2444" s="9">
        <f>MAX($F$2358:F2444)</f>
        <v>1.2128</v>
      </c>
      <c r="M2444" s="11">
        <f t="shared" si="59"/>
        <v>0.00692612137203186</v>
      </c>
      <c r="N2444" s="9" t="s">
        <v>789</v>
      </c>
    </row>
    <row r="2445" ht="25" customHeight="1" spans="1:14">
      <c r="A2445" s="9" t="s">
        <v>53</v>
      </c>
      <c r="B2445" s="9" t="s">
        <v>49</v>
      </c>
      <c r="C2445" s="10">
        <v>45303</v>
      </c>
      <c r="D2445" s="15">
        <v>1.1988</v>
      </c>
      <c r="E2445" s="15">
        <v>1.1988</v>
      </c>
      <c r="F2445" s="15">
        <v>1.1988</v>
      </c>
      <c r="G2445" s="11">
        <v>-0.0046</v>
      </c>
      <c r="H2445" s="9">
        <f>MAX($F$2174:F2445)</f>
        <v>1.2128</v>
      </c>
      <c r="I2445" s="11">
        <f t="shared" si="60"/>
        <v>0.0115435356200527</v>
      </c>
      <c r="J2445" s="9"/>
      <c r="K2445" s="11"/>
      <c r="L2445" s="9">
        <f>MAX($F$2358:F2445)</f>
        <v>1.2128</v>
      </c>
      <c r="M2445" s="11">
        <f t="shared" si="59"/>
        <v>0.0115435356200527</v>
      </c>
      <c r="N2445" s="9" t="s">
        <v>789</v>
      </c>
    </row>
    <row r="2446" ht="25" customHeight="1" spans="1:14">
      <c r="A2446" s="9" t="s">
        <v>53</v>
      </c>
      <c r="B2446" s="9" t="s">
        <v>49</v>
      </c>
      <c r="C2446" s="10">
        <v>45306</v>
      </c>
      <c r="D2446" s="15">
        <v>1.1937</v>
      </c>
      <c r="E2446" s="15">
        <v>1.1937</v>
      </c>
      <c r="F2446" s="15">
        <v>1.1937</v>
      </c>
      <c r="G2446" s="11">
        <v>-0.0043</v>
      </c>
      <c r="H2446" s="9">
        <f>MAX($F$2174:F2446)</f>
        <v>1.2128</v>
      </c>
      <c r="I2446" s="11">
        <f t="shared" si="60"/>
        <v>0.0157486807387863</v>
      </c>
      <c r="J2446" s="9"/>
      <c r="K2446" s="11"/>
      <c r="L2446" s="9">
        <f>MAX($F$2358:F2446)</f>
        <v>1.2128</v>
      </c>
      <c r="M2446" s="11">
        <f t="shared" si="59"/>
        <v>0.0157486807387863</v>
      </c>
      <c r="N2446" s="9" t="s">
        <v>789</v>
      </c>
    </row>
    <row r="2447" ht="25" customHeight="1" spans="1:14">
      <c r="A2447" s="9" t="s">
        <v>53</v>
      </c>
      <c r="B2447" s="9" t="s">
        <v>49</v>
      </c>
      <c r="C2447" s="10">
        <v>45307</v>
      </c>
      <c r="D2447" s="15">
        <v>1.1936</v>
      </c>
      <c r="E2447" s="15">
        <v>1.1936</v>
      </c>
      <c r="F2447" s="15">
        <v>1.1936</v>
      </c>
      <c r="G2447" s="11">
        <v>-0.0001</v>
      </c>
      <c r="H2447" s="9">
        <f>MAX($F$2174:F2447)</f>
        <v>1.2128</v>
      </c>
      <c r="I2447" s="11">
        <f t="shared" si="60"/>
        <v>0.0158311345646439</v>
      </c>
      <c r="J2447" s="9"/>
      <c r="K2447" s="11"/>
      <c r="L2447" s="9">
        <f>MAX($F$2358:F2447)</f>
        <v>1.2128</v>
      </c>
      <c r="M2447" s="11">
        <f t="shared" si="59"/>
        <v>0.0158311345646439</v>
      </c>
      <c r="N2447" s="9" t="s">
        <v>789</v>
      </c>
    </row>
    <row r="2448" ht="25" customHeight="1" spans="1:14">
      <c r="A2448" s="9" t="s">
        <v>53</v>
      </c>
      <c r="B2448" s="9" t="s">
        <v>49</v>
      </c>
      <c r="C2448" s="10">
        <v>45308</v>
      </c>
      <c r="D2448" s="15">
        <v>1.1958</v>
      </c>
      <c r="E2448" s="15">
        <v>1.1958</v>
      </c>
      <c r="F2448" s="15">
        <v>1.1958</v>
      </c>
      <c r="G2448" s="11">
        <v>0.0018</v>
      </c>
      <c r="H2448" s="9">
        <f>MAX($F$2174:F2448)</f>
        <v>1.2128</v>
      </c>
      <c r="I2448" s="11">
        <f t="shared" si="60"/>
        <v>0.0140171503957784</v>
      </c>
      <c r="J2448" s="9"/>
      <c r="K2448" s="11"/>
      <c r="L2448" s="9">
        <f>MAX($F$2358:F2448)</f>
        <v>1.2128</v>
      </c>
      <c r="M2448" s="11">
        <f t="shared" si="59"/>
        <v>0.0140171503957784</v>
      </c>
      <c r="N2448" s="9" t="s">
        <v>789</v>
      </c>
    </row>
    <row r="2449" ht="25" customHeight="1" spans="1:14">
      <c r="A2449" s="9" t="s">
        <v>53</v>
      </c>
      <c r="B2449" s="9" t="s">
        <v>49</v>
      </c>
      <c r="C2449" s="10">
        <v>45309</v>
      </c>
      <c r="D2449" s="15">
        <v>1.1869</v>
      </c>
      <c r="E2449" s="15">
        <v>1.1869</v>
      </c>
      <c r="F2449" s="15">
        <v>1.1869</v>
      </c>
      <c r="G2449" s="11">
        <v>-0.0074</v>
      </c>
      <c r="H2449" s="9">
        <f>MAX($F$2174:F2449)</f>
        <v>1.2128</v>
      </c>
      <c r="I2449" s="11">
        <f t="shared" si="60"/>
        <v>0.0213555408970977</v>
      </c>
      <c r="J2449" s="9"/>
      <c r="K2449" s="11"/>
      <c r="L2449" s="9">
        <f>MAX($F$2358:F2449)</f>
        <v>1.2128</v>
      </c>
      <c r="M2449" s="11">
        <f t="shared" si="59"/>
        <v>0.0213555408970977</v>
      </c>
      <c r="N2449" s="9" t="s">
        <v>789</v>
      </c>
    </row>
    <row r="2450" ht="25" customHeight="1" spans="1:14">
      <c r="A2450" s="9" t="s">
        <v>53</v>
      </c>
      <c r="B2450" s="9" t="s">
        <v>49</v>
      </c>
      <c r="C2450" s="10">
        <v>45310</v>
      </c>
      <c r="D2450" s="15">
        <v>1.1824</v>
      </c>
      <c r="E2450" s="15">
        <v>1.1824</v>
      </c>
      <c r="F2450" s="15">
        <v>1.1824</v>
      </c>
      <c r="G2450" s="11">
        <v>-0.0038</v>
      </c>
      <c r="H2450" s="9">
        <f>MAX($F$2174:F2450)</f>
        <v>1.2128</v>
      </c>
      <c r="I2450" s="11">
        <f t="shared" si="60"/>
        <v>0.0250659630606862</v>
      </c>
      <c r="J2450" s="9"/>
      <c r="K2450" s="11"/>
      <c r="L2450" s="9">
        <f>MAX($F$2358:F2450)</f>
        <v>1.2128</v>
      </c>
      <c r="M2450" s="11">
        <f t="shared" si="59"/>
        <v>0.0250659630606862</v>
      </c>
      <c r="N2450" s="9" t="s">
        <v>789</v>
      </c>
    </row>
    <row r="2451" ht="25" customHeight="1" spans="1:14">
      <c r="A2451" s="9" t="s">
        <v>53</v>
      </c>
      <c r="B2451" s="9" t="s">
        <v>49</v>
      </c>
      <c r="C2451" s="10">
        <v>45313</v>
      </c>
      <c r="D2451" s="15">
        <v>1.1762</v>
      </c>
      <c r="E2451" s="15">
        <v>1.1762</v>
      </c>
      <c r="F2451" s="15">
        <v>1.1762</v>
      </c>
      <c r="G2451" s="11">
        <v>-0.0052</v>
      </c>
      <c r="H2451" s="9">
        <f>MAX($F$2174:F2451)</f>
        <v>1.2128</v>
      </c>
      <c r="I2451" s="11">
        <f t="shared" si="60"/>
        <v>0.0301781002638524</v>
      </c>
      <c r="J2451" s="9"/>
      <c r="K2451" s="11"/>
      <c r="L2451" s="9">
        <f>MAX($F$2358:F2451)</f>
        <v>1.2128</v>
      </c>
      <c r="M2451" s="11">
        <f t="shared" si="59"/>
        <v>0.0301781002638524</v>
      </c>
      <c r="N2451" s="9" t="s">
        <v>789</v>
      </c>
    </row>
    <row r="2452" ht="25" customHeight="1" spans="1:14">
      <c r="A2452" s="9" t="s">
        <v>53</v>
      </c>
      <c r="B2452" s="9" t="s">
        <v>49</v>
      </c>
      <c r="C2452" s="10">
        <v>45314</v>
      </c>
      <c r="D2452" s="15">
        <v>1.1855</v>
      </c>
      <c r="E2452" s="15">
        <v>1.1855</v>
      </c>
      <c r="F2452" s="15">
        <v>1.1855</v>
      </c>
      <c r="G2452" s="11">
        <v>0.0079</v>
      </c>
      <c r="H2452" s="9">
        <f>MAX($F$2174:F2452)</f>
        <v>1.2128</v>
      </c>
      <c r="I2452" s="11">
        <f t="shared" si="60"/>
        <v>0.022509894459103</v>
      </c>
      <c r="J2452" s="9"/>
      <c r="K2452" s="11"/>
      <c r="L2452" s="9">
        <f>MAX($F$2358:F2452)</f>
        <v>1.2128</v>
      </c>
      <c r="M2452" s="11">
        <f t="shared" si="59"/>
        <v>0.022509894459103</v>
      </c>
      <c r="N2452" s="9" t="s">
        <v>789</v>
      </c>
    </row>
    <row r="2453" ht="25" customHeight="1" spans="1:14">
      <c r="A2453" s="9" t="s">
        <v>53</v>
      </c>
      <c r="B2453" s="9" t="s">
        <v>49</v>
      </c>
      <c r="C2453" s="10">
        <v>45315</v>
      </c>
      <c r="D2453" s="15">
        <v>1.1904</v>
      </c>
      <c r="E2453" s="15">
        <v>1.1904</v>
      </c>
      <c r="F2453" s="15">
        <v>1.1904</v>
      </c>
      <c r="G2453" s="11">
        <v>0.0041</v>
      </c>
      <c r="H2453" s="9">
        <f>MAX($F$2174:F2453)</f>
        <v>1.2128</v>
      </c>
      <c r="I2453" s="11">
        <f t="shared" si="60"/>
        <v>0.0184696569920846</v>
      </c>
      <c r="J2453" s="9"/>
      <c r="K2453" s="11"/>
      <c r="L2453" s="9">
        <f>MAX($F$2358:F2453)</f>
        <v>1.2128</v>
      </c>
      <c r="M2453" s="11">
        <f t="shared" si="59"/>
        <v>0.0184696569920846</v>
      </c>
      <c r="N2453" s="9" t="s">
        <v>789</v>
      </c>
    </row>
    <row r="2454" ht="25" customHeight="1" spans="1:14">
      <c r="A2454" s="9" t="s">
        <v>53</v>
      </c>
      <c r="B2454" s="9" t="s">
        <v>49</v>
      </c>
      <c r="C2454" s="10">
        <v>45316</v>
      </c>
      <c r="D2454" s="15">
        <v>1.1892</v>
      </c>
      <c r="E2454" s="15">
        <v>1.1892</v>
      </c>
      <c r="F2454" s="15">
        <v>1.1892</v>
      </c>
      <c r="G2454" s="11">
        <v>-0.001</v>
      </c>
      <c r="H2454" s="9">
        <f>MAX($F$2174:F2454)</f>
        <v>1.2128</v>
      </c>
      <c r="I2454" s="11">
        <f t="shared" si="60"/>
        <v>0.0194591029023747</v>
      </c>
      <c r="J2454" s="9"/>
      <c r="K2454" s="11"/>
      <c r="L2454" s="9">
        <f>MAX($F$2358:F2454)</f>
        <v>1.2128</v>
      </c>
      <c r="M2454" s="11">
        <f t="shared" si="59"/>
        <v>0.0194591029023747</v>
      </c>
      <c r="N2454" s="9" t="s">
        <v>789</v>
      </c>
    </row>
    <row r="2455" ht="25" customHeight="1" spans="1:14">
      <c r="A2455" s="9" t="s">
        <v>53</v>
      </c>
      <c r="B2455" s="9" t="s">
        <v>49</v>
      </c>
      <c r="C2455" s="10">
        <v>45317</v>
      </c>
      <c r="D2455" s="15">
        <v>1.1803</v>
      </c>
      <c r="E2455" s="15">
        <v>1.1803</v>
      </c>
      <c r="F2455" s="15">
        <v>1.1803</v>
      </c>
      <c r="G2455" s="11">
        <v>-0.0075</v>
      </c>
      <c r="H2455" s="9">
        <f>MAX($F$2174:F2455)</f>
        <v>1.2128</v>
      </c>
      <c r="I2455" s="11">
        <f t="shared" si="60"/>
        <v>0.0267974934036941</v>
      </c>
      <c r="J2455" s="9"/>
      <c r="K2455" s="11"/>
      <c r="L2455" s="9">
        <f>MAX($F$2358:F2455)</f>
        <v>1.2128</v>
      </c>
      <c r="M2455" s="11">
        <f t="shared" si="59"/>
        <v>0.0267974934036941</v>
      </c>
      <c r="N2455" s="9" t="s">
        <v>789</v>
      </c>
    </row>
    <row r="2456" ht="25" customHeight="1" spans="1:14">
      <c r="A2456" s="9" t="s">
        <v>53</v>
      </c>
      <c r="B2456" s="9" t="s">
        <v>49</v>
      </c>
      <c r="C2456" s="10">
        <v>45320</v>
      </c>
      <c r="D2456" s="15">
        <v>1.1771</v>
      </c>
      <c r="E2456" s="15">
        <v>1.1771</v>
      </c>
      <c r="F2456" s="15">
        <v>1.1771</v>
      </c>
      <c r="G2456" s="11">
        <v>-0.0027</v>
      </c>
      <c r="H2456" s="9">
        <f>MAX($F$2174:F2456)</f>
        <v>1.2128</v>
      </c>
      <c r="I2456" s="11">
        <f t="shared" si="60"/>
        <v>0.0294360158311346</v>
      </c>
      <c r="J2456" s="9"/>
      <c r="K2456" s="11"/>
      <c r="L2456" s="9">
        <f>MAX($F$2358:F2456)</f>
        <v>1.2128</v>
      </c>
      <c r="M2456" s="11">
        <f t="shared" si="59"/>
        <v>0.0294360158311346</v>
      </c>
      <c r="N2456" s="9" t="s">
        <v>789</v>
      </c>
    </row>
    <row r="2457" ht="25" customHeight="1" spans="1:14">
      <c r="A2457" s="9" t="s">
        <v>53</v>
      </c>
      <c r="B2457" s="9" t="s">
        <v>49</v>
      </c>
      <c r="C2457" s="10">
        <v>45321</v>
      </c>
      <c r="D2457" s="15">
        <v>1.1742</v>
      </c>
      <c r="E2457" s="15">
        <v>1.1742</v>
      </c>
      <c r="F2457" s="15">
        <v>1.1742</v>
      </c>
      <c r="G2457" s="11">
        <v>-0.0025</v>
      </c>
      <c r="H2457" s="9">
        <f>MAX($F$2174:F2457)</f>
        <v>1.2128</v>
      </c>
      <c r="I2457" s="11">
        <f t="shared" si="60"/>
        <v>0.0318271767810028</v>
      </c>
      <c r="J2457" s="9"/>
      <c r="K2457" s="11"/>
      <c r="L2457" s="9">
        <f>MAX($F$2358:F2457)</f>
        <v>1.2128</v>
      </c>
      <c r="M2457" s="11">
        <f t="shared" si="59"/>
        <v>0.0318271767810028</v>
      </c>
      <c r="N2457" s="9" t="s">
        <v>789</v>
      </c>
    </row>
    <row r="2458" ht="25" customHeight="1" spans="1:14">
      <c r="A2458" s="9" t="s">
        <v>53</v>
      </c>
      <c r="B2458" s="9" t="s">
        <v>49</v>
      </c>
      <c r="C2458" s="10">
        <v>45322</v>
      </c>
      <c r="D2458" s="15">
        <v>1.1671</v>
      </c>
      <c r="E2458" s="15">
        <v>1.1671</v>
      </c>
      <c r="F2458" s="15">
        <v>1.1671</v>
      </c>
      <c r="G2458" s="11">
        <v>-0.006</v>
      </c>
      <c r="H2458" s="9">
        <f>MAX($F$2174:F2458)</f>
        <v>1.2128</v>
      </c>
      <c r="I2458" s="11">
        <f t="shared" si="60"/>
        <v>0.0376813984168866</v>
      </c>
      <c r="J2458" s="9"/>
      <c r="K2458" s="11"/>
      <c r="L2458" s="9">
        <f>MAX($F$2358:F2458)</f>
        <v>1.2128</v>
      </c>
      <c r="M2458" s="11">
        <f t="shared" si="59"/>
        <v>0.0376813984168866</v>
      </c>
      <c r="N2458" s="9" t="s">
        <v>789</v>
      </c>
    </row>
    <row r="2459" ht="25" customHeight="1" spans="1:14">
      <c r="A2459" s="9" t="s">
        <v>53</v>
      </c>
      <c r="B2459" s="9" t="s">
        <v>49</v>
      </c>
      <c r="C2459" s="10">
        <v>45323</v>
      </c>
      <c r="D2459" s="15">
        <v>1.1654</v>
      </c>
      <c r="E2459" s="15">
        <v>1.1654</v>
      </c>
      <c r="F2459" s="15">
        <v>1.1654</v>
      </c>
      <c r="G2459" s="11">
        <v>-0.0015</v>
      </c>
      <c r="H2459" s="9">
        <f>MAX($F$2174:F2459)</f>
        <v>1.2128</v>
      </c>
      <c r="I2459" s="11">
        <f t="shared" si="60"/>
        <v>0.0390831134564644</v>
      </c>
      <c r="J2459" s="9"/>
      <c r="K2459" s="11"/>
      <c r="L2459" s="9">
        <f>MAX($F$2358:F2459)</f>
        <v>1.2128</v>
      </c>
      <c r="M2459" s="11">
        <f t="shared" si="59"/>
        <v>0.0390831134564644</v>
      </c>
      <c r="N2459" s="9" t="s">
        <v>789</v>
      </c>
    </row>
    <row r="2460" ht="25" customHeight="1" spans="1:14">
      <c r="A2460" s="9" t="s">
        <v>53</v>
      </c>
      <c r="B2460" s="9" t="s">
        <v>49</v>
      </c>
      <c r="C2460" s="10">
        <v>45324</v>
      </c>
      <c r="D2460" s="15">
        <v>1.1681</v>
      </c>
      <c r="E2460" s="15">
        <v>1.1681</v>
      </c>
      <c r="F2460" s="15">
        <v>1.1681</v>
      </c>
      <c r="G2460" s="11">
        <v>0.0023</v>
      </c>
      <c r="H2460" s="9">
        <f>MAX($F$2174:F2460)</f>
        <v>1.2128</v>
      </c>
      <c r="I2460" s="11">
        <f t="shared" si="60"/>
        <v>0.0368568601583115</v>
      </c>
      <c r="J2460" s="9"/>
      <c r="K2460" s="11"/>
      <c r="L2460" s="9">
        <f>MAX($F$2358:F2460)</f>
        <v>1.2128</v>
      </c>
      <c r="M2460" s="11">
        <f t="shared" si="59"/>
        <v>0.0368568601583115</v>
      </c>
      <c r="N2460" s="9" t="s">
        <v>789</v>
      </c>
    </row>
    <row r="2461" ht="25" customHeight="1" spans="1:14">
      <c r="A2461" s="9" t="s">
        <v>53</v>
      </c>
      <c r="B2461" s="9" t="s">
        <v>49</v>
      </c>
      <c r="C2461" s="10">
        <v>45327</v>
      </c>
      <c r="D2461" s="15">
        <v>1.1616</v>
      </c>
      <c r="E2461" s="15">
        <v>1.1616</v>
      </c>
      <c r="F2461" s="15">
        <v>1.1616</v>
      </c>
      <c r="G2461" s="11">
        <v>-0.0056</v>
      </c>
      <c r="H2461" s="9">
        <f>MAX($F$2174:F2461)</f>
        <v>1.2128</v>
      </c>
      <c r="I2461" s="11">
        <f t="shared" si="60"/>
        <v>0.0422163588390503</v>
      </c>
      <c r="J2461" s="9"/>
      <c r="K2461" s="11"/>
      <c r="L2461" s="9">
        <f>MAX($F$2358:F2461)</f>
        <v>1.2128</v>
      </c>
      <c r="M2461" s="11">
        <f t="shared" si="59"/>
        <v>0.0422163588390503</v>
      </c>
      <c r="N2461" s="9" t="s">
        <v>789</v>
      </c>
    </row>
    <row r="2462" ht="25" customHeight="1" spans="1:14">
      <c r="A2462" s="9" t="s">
        <v>53</v>
      </c>
      <c r="B2462" s="9" t="s">
        <v>49</v>
      </c>
      <c r="C2462" s="10">
        <v>45328</v>
      </c>
      <c r="D2462" s="15">
        <v>1.1627</v>
      </c>
      <c r="E2462" s="15">
        <v>1.1627</v>
      </c>
      <c r="F2462" s="15">
        <v>1.1627</v>
      </c>
      <c r="G2462" s="11">
        <v>0.0009</v>
      </c>
      <c r="H2462" s="9">
        <f>MAX($F$2174:F2462)</f>
        <v>1.2128</v>
      </c>
      <c r="I2462" s="11">
        <f t="shared" si="60"/>
        <v>0.0413093667546175</v>
      </c>
      <c r="J2462" s="9"/>
      <c r="K2462" s="11"/>
      <c r="L2462" s="9">
        <f>MAX($F$2358:F2462)</f>
        <v>1.2128</v>
      </c>
      <c r="M2462" s="11">
        <f t="shared" si="59"/>
        <v>0.0413093667546175</v>
      </c>
      <c r="N2462" s="9" t="s">
        <v>789</v>
      </c>
    </row>
    <row r="2463" ht="25" customHeight="1" spans="1:14">
      <c r="A2463" s="9" t="s">
        <v>53</v>
      </c>
      <c r="B2463" s="9" t="s">
        <v>49</v>
      </c>
      <c r="C2463" s="10">
        <v>45329</v>
      </c>
      <c r="D2463" s="15">
        <v>1.1634</v>
      </c>
      <c r="E2463" s="15">
        <v>1.1634</v>
      </c>
      <c r="F2463" s="15">
        <v>1.1634</v>
      </c>
      <c r="G2463" s="11">
        <v>0.0006</v>
      </c>
      <c r="H2463" s="9">
        <f>MAX($F$2174:F2463)</f>
        <v>1.2128</v>
      </c>
      <c r="I2463" s="11">
        <f t="shared" si="60"/>
        <v>0.0407321899736148</v>
      </c>
      <c r="J2463" s="9"/>
      <c r="K2463" s="11"/>
      <c r="L2463" s="9">
        <f>MAX($F$2358:F2463)</f>
        <v>1.2128</v>
      </c>
      <c r="M2463" s="11">
        <f t="shared" si="59"/>
        <v>0.0407321899736148</v>
      </c>
      <c r="N2463" s="9" t="s">
        <v>789</v>
      </c>
    </row>
    <row r="2464" ht="25" customHeight="1" spans="1:14">
      <c r="A2464" s="9" t="s">
        <v>53</v>
      </c>
      <c r="B2464" s="9" t="s">
        <v>49</v>
      </c>
      <c r="C2464" s="10">
        <v>45330</v>
      </c>
      <c r="D2464" s="15">
        <v>1.163</v>
      </c>
      <c r="E2464" s="15">
        <v>1.163</v>
      </c>
      <c r="F2464" s="15">
        <v>1.163</v>
      </c>
      <c r="G2464" s="11">
        <v>-0.0003</v>
      </c>
      <c r="H2464" s="9">
        <f>MAX($F$2174:F2464)</f>
        <v>1.2128</v>
      </c>
      <c r="I2464" s="11">
        <f t="shared" si="60"/>
        <v>0.041062005277045</v>
      </c>
      <c r="J2464" s="9"/>
      <c r="K2464" s="11"/>
      <c r="L2464" s="9">
        <f>MAX($F$2358:F2464)</f>
        <v>1.2128</v>
      </c>
      <c r="M2464" s="11">
        <f t="shared" si="59"/>
        <v>0.041062005277045</v>
      </c>
      <c r="N2464" s="9" t="s">
        <v>789</v>
      </c>
    </row>
    <row r="2465" ht="25" customHeight="1" spans="1:14">
      <c r="A2465" s="9" t="s">
        <v>53</v>
      </c>
      <c r="B2465" s="9" t="s">
        <v>49</v>
      </c>
      <c r="C2465" s="10">
        <v>45341</v>
      </c>
      <c r="D2465" s="15">
        <v>1.164</v>
      </c>
      <c r="E2465" s="15">
        <v>1.164</v>
      </c>
      <c r="F2465" s="15">
        <v>1.164</v>
      </c>
      <c r="G2465" s="11">
        <v>0.0009</v>
      </c>
      <c r="H2465" s="9">
        <f>MAX($F$2174:F2465)</f>
        <v>1.2128</v>
      </c>
      <c r="I2465" s="11">
        <f t="shared" si="60"/>
        <v>0.0402374670184698</v>
      </c>
      <c r="J2465" s="9"/>
      <c r="K2465" s="11"/>
      <c r="L2465" s="9">
        <f>MAX($F$2358:F2465)</f>
        <v>1.2128</v>
      </c>
      <c r="M2465" s="11">
        <f t="shared" si="59"/>
        <v>0.0402374670184698</v>
      </c>
      <c r="N2465" s="9" t="s">
        <v>789</v>
      </c>
    </row>
    <row r="2466" ht="25" customHeight="1" spans="1:14">
      <c r="A2466" s="9" t="s">
        <v>53</v>
      </c>
      <c r="B2466" s="9" t="s">
        <v>49</v>
      </c>
      <c r="C2466" s="10">
        <v>45342</v>
      </c>
      <c r="D2466" s="15">
        <v>1.1624</v>
      </c>
      <c r="E2466" s="15">
        <v>1.1624</v>
      </c>
      <c r="F2466" s="15">
        <v>1.1624</v>
      </c>
      <c r="G2466" s="11">
        <v>-0.0014</v>
      </c>
      <c r="H2466" s="9">
        <f>MAX($F$2174:F2466)</f>
        <v>1.2128</v>
      </c>
      <c r="I2466" s="11">
        <f t="shared" si="60"/>
        <v>0.0415567282321899</v>
      </c>
      <c r="J2466" s="9"/>
      <c r="K2466" s="11"/>
      <c r="L2466" s="9">
        <f>MAX($F$2358:F2466)</f>
        <v>1.2128</v>
      </c>
      <c r="M2466" s="11">
        <f t="shared" si="59"/>
        <v>0.0415567282321899</v>
      </c>
      <c r="N2466" s="9" t="s">
        <v>789</v>
      </c>
    </row>
    <row r="2467" ht="25" customHeight="1" spans="1:14">
      <c r="A2467" s="9" t="s">
        <v>53</v>
      </c>
      <c r="B2467" s="9" t="s">
        <v>49</v>
      </c>
      <c r="C2467" s="10">
        <v>45343</v>
      </c>
      <c r="D2467" s="15">
        <v>1.164</v>
      </c>
      <c r="E2467" s="15">
        <v>1.164</v>
      </c>
      <c r="F2467" s="15">
        <v>1.164</v>
      </c>
      <c r="G2467" s="11">
        <v>0.0014</v>
      </c>
      <c r="H2467" s="9">
        <f>MAX($F$2174:F2467)</f>
        <v>1.2128</v>
      </c>
      <c r="I2467" s="11">
        <f t="shared" si="60"/>
        <v>0.0402374670184698</v>
      </c>
      <c r="J2467" s="9"/>
      <c r="K2467" s="11"/>
      <c r="L2467" s="9">
        <f>MAX($F$2358:F2467)</f>
        <v>1.2128</v>
      </c>
      <c r="M2467" s="11">
        <f t="shared" si="59"/>
        <v>0.0402374670184698</v>
      </c>
      <c r="N2467" s="9" t="s">
        <v>789</v>
      </c>
    </row>
    <row r="2468" ht="25" customHeight="1" spans="1:14">
      <c r="A2468" s="9" t="s">
        <v>53</v>
      </c>
      <c r="B2468" s="9" t="s">
        <v>49</v>
      </c>
      <c r="C2468" s="10">
        <v>45344</v>
      </c>
      <c r="D2468" s="15">
        <v>1.1643</v>
      </c>
      <c r="E2468" s="15">
        <v>1.1643</v>
      </c>
      <c r="F2468" s="15">
        <v>1.1643</v>
      </c>
      <c r="G2468" s="11">
        <v>0.0003</v>
      </c>
      <c r="H2468" s="9">
        <f>MAX($F$2174:F2468)</f>
        <v>1.2128</v>
      </c>
      <c r="I2468" s="11">
        <f t="shared" si="60"/>
        <v>0.0399901055408972</v>
      </c>
      <c r="J2468" s="9"/>
      <c r="K2468" s="11"/>
      <c r="L2468" s="9">
        <f>MAX($F$2358:F2468)</f>
        <v>1.2128</v>
      </c>
      <c r="M2468" s="11">
        <f t="shared" si="59"/>
        <v>0.0399901055408972</v>
      </c>
      <c r="N2468" s="9" t="s">
        <v>789</v>
      </c>
    </row>
    <row r="2469" ht="25" customHeight="1" spans="1:14">
      <c r="A2469" s="9" t="s">
        <v>53</v>
      </c>
      <c r="B2469" s="9" t="s">
        <v>49</v>
      </c>
      <c r="C2469" s="10">
        <v>45345</v>
      </c>
      <c r="D2469" s="15">
        <v>1.1661</v>
      </c>
      <c r="E2469" s="15">
        <v>1.1661</v>
      </c>
      <c r="F2469" s="15">
        <v>1.1661</v>
      </c>
      <c r="G2469" s="11">
        <v>0.0015</v>
      </c>
      <c r="H2469" s="9">
        <f>MAX($F$2174:F2469)</f>
        <v>1.2128</v>
      </c>
      <c r="I2469" s="11">
        <f t="shared" si="60"/>
        <v>0.0385059366754619</v>
      </c>
      <c r="J2469" s="9"/>
      <c r="K2469" s="11"/>
      <c r="L2469" s="9">
        <f>MAX($F$2358:F2469)</f>
        <v>1.2128</v>
      </c>
      <c r="M2469" s="11">
        <f t="shared" si="59"/>
        <v>0.0385059366754619</v>
      </c>
      <c r="N2469" s="9" t="s">
        <v>789</v>
      </c>
    </row>
    <row r="2470" ht="25" customHeight="1" spans="1:14">
      <c r="A2470" s="9" t="s">
        <v>53</v>
      </c>
      <c r="B2470" s="9" t="s">
        <v>49</v>
      </c>
      <c r="C2470" s="10">
        <v>45348</v>
      </c>
      <c r="D2470" s="15">
        <v>1.1696</v>
      </c>
      <c r="E2470" s="15">
        <v>1.1696</v>
      </c>
      <c r="F2470" s="15">
        <v>1.1696</v>
      </c>
      <c r="G2470" s="11">
        <v>0.003</v>
      </c>
      <c r="H2470" s="9">
        <f>MAX($F$2174:F2470)</f>
        <v>1.2128</v>
      </c>
      <c r="I2470" s="11">
        <f t="shared" si="60"/>
        <v>0.0356200527704487</v>
      </c>
      <c r="J2470" s="9"/>
      <c r="K2470" s="11"/>
      <c r="L2470" s="9">
        <f>MAX($F$2358:F2470)</f>
        <v>1.2128</v>
      </c>
      <c r="M2470" s="11">
        <f t="shared" si="59"/>
        <v>0.0356200527704487</v>
      </c>
      <c r="N2470" s="9" t="s">
        <v>789</v>
      </c>
    </row>
    <row r="2471" ht="25" customHeight="1" spans="1:14">
      <c r="A2471" s="9" t="s">
        <v>53</v>
      </c>
      <c r="B2471" s="9" t="s">
        <v>49</v>
      </c>
      <c r="C2471" s="10">
        <v>45349</v>
      </c>
      <c r="D2471" s="15">
        <v>1.1682</v>
      </c>
      <c r="E2471" s="15">
        <v>1.1682</v>
      </c>
      <c r="F2471" s="15">
        <v>1.1682</v>
      </c>
      <c r="G2471" s="11">
        <v>-0.0012</v>
      </c>
      <c r="H2471" s="9">
        <f>MAX($F$2174:F2471)</f>
        <v>1.2128</v>
      </c>
      <c r="I2471" s="11">
        <f t="shared" si="60"/>
        <v>0.036774406332454</v>
      </c>
      <c r="J2471" s="9"/>
      <c r="K2471" s="11"/>
      <c r="L2471" s="9">
        <f>MAX($F$2358:F2471)</f>
        <v>1.2128</v>
      </c>
      <c r="M2471" s="11">
        <f t="shared" si="59"/>
        <v>0.036774406332454</v>
      </c>
      <c r="N2471" s="9" t="s">
        <v>789</v>
      </c>
    </row>
    <row r="2472" ht="25" customHeight="1" spans="1:14">
      <c r="A2472" s="9" t="s">
        <v>53</v>
      </c>
      <c r="B2472" s="9" t="s">
        <v>49</v>
      </c>
      <c r="C2472" s="10">
        <v>45350</v>
      </c>
      <c r="D2472" s="15">
        <v>1.1686</v>
      </c>
      <c r="E2472" s="15">
        <v>1.1686</v>
      </c>
      <c r="F2472" s="15">
        <v>1.1686</v>
      </c>
      <c r="G2472" s="11">
        <v>0.0003</v>
      </c>
      <c r="H2472" s="9">
        <f>MAX($F$2174:F2472)</f>
        <v>1.2128</v>
      </c>
      <c r="I2472" s="11">
        <f t="shared" si="60"/>
        <v>0.0364445910290238</v>
      </c>
      <c r="J2472" s="9"/>
      <c r="K2472" s="11"/>
      <c r="L2472" s="9">
        <f>MAX($F$2358:F2472)</f>
        <v>1.2128</v>
      </c>
      <c r="M2472" s="11">
        <f t="shared" si="59"/>
        <v>0.0364445910290238</v>
      </c>
      <c r="N2472" s="9" t="s">
        <v>789</v>
      </c>
    </row>
    <row r="2473" ht="25" customHeight="1" spans="1:14">
      <c r="A2473" s="9" t="s">
        <v>53</v>
      </c>
      <c r="B2473" s="9" t="s">
        <v>49</v>
      </c>
      <c r="C2473" s="10">
        <v>45351</v>
      </c>
      <c r="D2473" s="15">
        <v>1.1709</v>
      </c>
      <c r="E2473" s="15">
        <v>1.1709</v>
      </c>
      <c r="F2473" s="15">
        <v>1.1709</v>
      </c>
      <c r="G2473" s="11">
        <v>0.002</v>
      </c>
      <c r="H2473" s="9">
        <f>MAX($F$2174:F2473)</f>
        <v>1.2128</v>
      </c>
      <c r="I2473" s="11">
        <f t="shared" si="60"/>
        <v>0.0345481530343008</v>
      </c>
      <c r="J2473" s="9"/>
      <c r="K2473" s="11"/>
      <c r="L2473" s="9">
        <f>MAX($F$2358:F2473)</f>
        <v>1.2128</v>
      </c>
      <c r="M2473" s="11">
        <f t="shared" si="59"/>
        <v>0.0345481530343008</v>
      </c>
      <c r="N2473" s="9" t="s">
        <v>789</v>
      </c>
    </row>
    <row r="2474" ht="25" customHeight="1" spans="1:14">
      <c r="A2474" s="9" t="s">
        <v>53</v>
      </c>
      <c r="B2474" s="9" t="s">
        <v>49</v>
      </c>
      <c r="C2474" s="10">
        <v>45352</v>
      </c>
      <c r="D2474" s="15">
        <v>1.1753</v>
      </c>
      <c r="E2474" s="15">
        <v>1.1753</v>
      </c>
      <c r="F2474" s="15">
        <v>1.1753</v>
      </c>
      <c r="G2474" s="11">
        <v>0.0038</v>
      </c>
      <c r="H2474" s="9">
        <f>MAX($F$2174:F2474)</f>
        <v>1.2128</v>
      </c>
      <c r="I2474" s="11">
        <f t="shared" si="60"/>
        <v>0.03092018469657</v>
      </c>
      <c r="J2474" s="9"/>
      <c r="K2474" s="11"/>
      <c r="L2474" s="9">
        <f>MAX($F$2358:F2474)</f>
        <v>1.2128</v>
      </c>
      <c r="M2474" s="11">
        <f t="shared" si="59"/>
        <v>0.03092018469657</v>
      </c>
      <c r="N2474" s="9" t="s">
        <v>789</v>
      </c>
    </row>
    <row r="2475" ht="25" customHeight="1" spans="1:14">
      <c r="A2475" s="9" t="s">
        <v>53</v>
      </c>
      <c r="B2475" s="9" t="s">
        <v>49</v>
      </c>
      <c r="C2475" s="10">
        <v>45355</v>
      </c>
      <c r="D2475" s="15">
        <v>1.1732</v>
      </c>
      <c r="E2475" s="15">
        <v>1.1732</v>
      </c>
      <c r="F2475" s="15">
        <v>1.1732</v>
      </c>
      <c r="G2475" s="11">
        <v>-0.0018</v>
      </c>
      <c r="H2475" s="9">
        <f>MAX($F$2174:F2475)</f>
        <v>1.2128</v>
      </c>
      <c r="I2475" s="11">
        <f t="shared" si="60"/>
        <v>0.0326517150395779</v>
      </c>
      <c r="J2475" s="9"/>
      <c r="K2475" s="11"/>
      <c r="L2475" s="9">
        <f>MAX($F$2358:F2475)</f>
        <v>1.2128</v>
      </c>
      <c r="M2475" s="11">
        <f t="shared" si="59"/>
        <v>0.0326517150395779</v>
      </c>
      <c r="N2475" s="9" t="s">
        <v>789</v>
      </c>
    </row>
    <row r="2476" ht="25" customHeight="1" spans="1:14">
      <c r="A2476" s="9" t="s">
        <v>53</v>
      </c>
      <c r="B2476" s="9" t="s">
        <v>49</v>
      </c>
      <c r="C2476" s="10">
        <v>45356</v>
      </c>
      <c r="D2476" s="15">
        <v>1.1728</v>
      </c>
      <c r="E2476" s="15">
        <v>1.1728</v>
      </c>
      <c r="F2476" s="15">
        <v>1.1728</v>
      </c>
      <c r="G2476" s="11">
        <v>-0.0003</v>
      </c>
      <c r="H2476" s="9">
        <f>MAX($F$2174:F2476)</f>
        <v>1.2128</v>
      </c>
      <c r="I2476" s="11">
        <f t="shared" si="60"/>
        <v>0.032981530343008</v>
      </c>
      <c r="J2476" s="9"/>
      <c r="K2476" s="11"/>
      <c r="L2476" s="9">
        <f>MAX($F$2358:F2476)</f>
        <v>1.2128</v>
      </c>
      <c r="M2476" s="11">
        <f t="shared" si="59"/>
        <v>0.032981530343008</v>
      </c>
      <c r="N2476" s="9" t="s">
        <v>789</v>
      </c>
    </row>
    <row r="2477" ht="25" customHeight="1" spans="1:14">
      <c r="A2477" s="9" t="s">
        <v>53</v>
      </c>
      <c r="B2477" s="9" t="s">
        <v>49</v>
      </c>
      <c r="C2477" s="10">
        <v>45357</v>
      </c>
      <c r="D2477" s="15">
        <v>1.1711</v>
      </c>
      <c r="E2477" s="15">
        <v>1.1711</v>
      </c>
      <c r="F2477" s="15">
        <v>1.1711</v>
      </c>
      <c r="G2477" s="11">
        <v>-0.0014</v>
      </c>
      <c r="H2477" s="9">
        <f>MAX($F$2174:F2477)</f>
        <v>1.2128</v>
      </c>
      <c r="I2477" s="11">
        <f t="shared" si="60"/>
        <v>0.0343832453825859</v>
      </c>
      <c r="J2477" s="9"/>
      <c r="K2477" s="11"/>
      <c r="L2477" s="9">
        <f>MAX($F$2358:F2477)</f>
        <v>1.2128</v>
      </c>
      <c r="M2477" s="11">
        <f t="shared" si="59"/>
        <v>0.0343832453825859</v>
      </c>
      <c r="N2477" s="9" t="s">
        <v>789</v>
      </c>
    </row>
    <row r="2478" ht="25" customHeight="1" spans="1:14">
      <c r="A2478" s="9" t="s">
        <v>53</v>
      </c>
      <c r="B2478" s="9" t="s">
        <v>49</v>
      </c>
      <c r="C2478" s="10">
        <v>45358</v>
      </c>
      <c r="D2478" s="15">
        <v>1.1656</v>
      </c>
      <c r="E2478" s="15">
        <v>1.1656</v>
      </c>
      <c r="F2478" s="15">
        <v>1.1656</v>
      </c>
      <c r="G2478" s="11">
        <v>-0.0047</v>
      </c>
      <c r="H2478" s="9">
        <f>MAX($F$2174:F2478)</f>
        <v>1.2128</v>
      </c>
      <c r="I2478" s="11">
        <f t="shared" si="60"/>
        <v>0.0389182058047495</v>
      </c>
      <c r="J2478" s="9"/>
      <c r="K2478" s="11"/>
      <c r="L2478" s="9">
        <f>MAX($F$2358:F2478)</f>
        <v>1.2128</v>
      </c>
      <c r="M2478" s="11">
        <f t="shared" si="59"/>
        <v>0.0389182058047495</v>
      </c>
      <c r="N2478" s="9" t="s">
        <v>789</v>
      </c>
    </row>
    <row r="2479" ht="25" customHeight="1" spans="1:14">
      <c r="A2479" s="9" t="s">
        <v>53</v>
      </c>
      <c r="B2479" s="9" t="s">
        <v>49</v>
      </c>
      <c r="C2479" s="10">
        <v>45359</v>
      </c>
      <c r="D2479" s="15">
        <v>1.1555</v>
      </c>
      <c r="E2479" s="15">
        <v>1.1555</v>
      </c>
      <c r="F2479" s="15">
        <v>1.1555</v>
      </c>
      <c r="G2479" s="11">
        <v>-0.0087</v>
      </c>
      <c r="H2479" s="9">
        <f>MAX($F$2174:F2479)</f>
        <v>1.2128</v>
      </c>
      <c r="I2479" s="11">
        <f t="shared" si="60"/>
        <v>0.047246042216359</v>
      </c>
      <c r="J2479" s="9"/>
      <c r="K2479" s="11"/>
      <c r="L2479" s="9">
        <f>MAX($F$2358:F2479)</f>
        <v>1.2128</v>
      </c>
      <c r="M2479" s="11">
        <f t="shared" si="59"/>
        <v>0.047246042216359</v>
      </c>
      <c r="N2479" s="9" t="s">
        <v>789</v>
      </c>
    </row>
    <row r="2480" ht="25" customHeight="1" spans="1:14">
      <c r="A2480" s="9" t="s">
        <v>53</v>
      </c>
      <c r="B2480" s="9" t="s">
        <v>49</v>
      </c>
      <c r="C2480" s="10">
        <v>45362</v>
      </c>
      <c r="D2480" s="15">
        <v>1.1563</v>
      </c>
      <c r="E2480" s="15">
        <v>1.1563</v>
      </c>
      <c r="F2480" s="15">
        <v>1.1563</v>
      </c>
      <c r="G2480" s="11">
        <v>0.0007</v>
      </c>
      <c r="H2480" s="9">
        <f>MAX($F$2174:F2480)</f>
        <v>1.2128</v>
      </c>
      <c r="I2480" s="11">
        <f t="shared" si="60"/>
        <v>0.0465864116094987</v>
      </c>
      <c r="J2480" s="9"/>
      <c r="K2480" s="11"/>
      <c r="L2480" s="9">
        <f>MAX($F$2358:F2480)</f>
        <v>1.2128</v>
      </c>
      <c r="M2480" s="11">
        <f t="shared" si="59"/>
        <v>0.0465864116094987</v>
      </c>
      <c r="N2480" s="9" t="s">
        <v>789</v>
      </c>
    </row>
    <row r="2481" ht="25" customHeight="1" spans="1:14">
      <c r="A2481" s="9" t="s">
        <v>53</v>
      </c>
      <c r="B2481" s="9" t="s">
        <v>49</v>
      </c>
      <c r="C2481" s="10">
        <v>45363</v>
      </c>
      <c r="D2481" s="15">
        <v>1.1489</v>
      </c>
      <c r="E2481" s="15">
        <v>1.1489</v>
      </c>
      <c r="F2481" s="15">
        <v>1.1489</v>
      </c>
      <c r="G2481" s="11">
        <v>-0.0064</v>
      </c>
      <c r="H2481" s="9">
        <f>MAX($F$2174:F2481)</f>
        <v>1.2128</v>
      </c>
      <c r="I2481" s="11">
        <f t="shared" si="60"/>
        <v>0.0526879947229552</v>
      </c>
      <c r="J2481" s="9"/>
      <c r="K2481" s="11"/>
      <c r="L2481" s="9">
        <f>MAX($F$2358:F2481)</f>
        <v>1.2128</v>
      </c>
      <c r="M2481" s="11">
        <f t="shared" si="59"/>
        <v>0.0526879947229552</v>
      </c>
      <c r="N2481" s="9" t="s">
        <v>789</v>
      </c>
    </row>
    <row r="2482" ht="25" customHeight="1" spans="1:14">
      <c r="A2482" s="9" t="s">
        <v>53</v>
      </c>
      <c r="B2482" s="9" t="s">
        <v>49</v>
      </c>
      <c r="C2482" s="10">
        <v>45364</v>
      </c>
      <c r="D2482" s="15">
        <v>1.1491</v>
      </c>
      <c r="E2482" s="15">
        <v>1.1491</v>
      </c>
      <c r="F2482" s="15">
        <v>1.1491</v>
      </c>
      <c r="G2482" s="11">
        <v>0.0002</v>
      </c>
      <c r="H2482" s="9">
        <f>MAX($F$2174:F2482)</f>
        <v>1.2128</v>
      </c>
      <c r="I2482" s="11">
        <f t="shared" si="60"/>
        <v>0.0525230870712402</v>
      </c>
      <c r="J2482" s="9"/>
      <c r="K2482" s="11"/>
      <c r="L2482" s="9">
        <f>MAX($F$2358:F2482)</f>
        <v>1.2128</v>
      </c>
      <c r="M2482" s="11">
        <f t="shared" si="59"/>
        <v>0.0525230870712402</v>
      </c>
      <c r="N2482" s="9" t="s">
        <v>789</v>
      </c>
    </row>
    <row r="2483" ht="25" customHeight="1" spans="1:14">
      <c r="A2483" s="9" t="s">
        <v>53</v>
      </c>
      <c r="B2483" s="9" t="s">
        <v>49</v>
      </c>
      <c r="C2483" s="10">
        <v>45365</v>
      </c>
      <c r="D2483" s="15">
        <v>1.1603</v>
      </c>
      <c r="E2483" s="15">
        <v>1.1603</v>
      </c>
      <c r="F2483" s="15">
        <v>1.1603</v>
      </c>
      <c r="G2483" s="11">
        <v>0.0097</v>
      </c>
      <c r="H2483" s="9">
        <f>MAX($F$2174:F2483)</f>
        <v>1.2128</v>
      </c>
      <c r="I2483" s="11">
        <f t="shared" si="60"/>
        <v>0.0432882585751979</v>
      </c>
      <c r="J2483" s="9"/>
      <c r="K2483" s="11"/>
      <c r="L2483" s="9">
        <f>MAX($F$2358:F2483)</f>
        <v>1.2128</v>
      </c>
      <c r="M2483" s="11">
        <f t="shared" si="59"/>
        <v>0.0432882585751979</v>
      </c>
      <c r="N2483" s="9" t="s">
        <v>789</v>
      </c>
    </row>
    <row r="2484" ht="25" customHeight="1" spans="1:14">
      <c r="A2484" s="9" t="s">
        <v>53</v>
      </c>
      <c r="B2484" s="9" t="s">
        <v>49</v>
      </c>
      <c r="C2484" s="10">
        <v>45366</v>
      </c>
      <c r="D2484" s="15">
        <v>1.1811</v>
      </c>
      <c r="E2484" s="15">
        <v>1.1811</v>
      </c>
      <c r="F2484" s="15">
        <v>1.1811</v>
      </c>
      <c r="G2484" s="11">
        <v>0.0179</v>
      </c>
      <c r="H2484" s="9">
        <f>MAX($F$2174:F2484)</f>
        <v>1.2128</v>
      </c>
      <c r="I2484" s="11">
        <f t="shared" si="60"/>
        <v>0.0261378627968338</v>
      </c>
      <c r="J2484" s="9"/>
      <c r="K2484" s="11"/>
      <c r="L2484" s="9">
        <f>MAX($F$2358:F2484)</f>
        <v>1.2128</v>
      </c>
      <c r="M2484" s="11">
        <f t="shared" si="59"/>
        <v>0.0261378627968338</v>
      </c>
      <c r="N2484" s="9" t="s">
        <v>789</v>
      </c>
    </row>
    <row r="2485" ht="25" customHeight="1" spans="1:14">
      <c r="A2485" s="9" t="s">
        <v>53</v>
      </c>
      <c r="B2485" s="9" t="s">
        <v>49</v>
      </c>
      <c r="C2485" s="10">
        <v>45369</v>
      </c>
      <c r="D2485" s="15">
        <v>1.1862</v>
      </c>
      <c r="E2485" s="15">
        <v>1.1862</v>
      </c>
      <c r="F2485" s="15">
        <v>1.1862</v>
      </c>
      <c r="G2485" s="11">
        <v>0.0043</v>
      </c>
      <c r="H2485" s="9">
        <f>MAX($F$2174:F2485)</f>
        <v>1.2128</v>
      </c>
      <c r="I2485" s="11">
        <f t="shared" si="60"/>
        <v>0.0219327176781005</v>
      </c>
      <c r="J2485" s="9"/>
      <c r="K2485" s="11"/>
      <c r="L2485" s="9">
        <f>MAX($F$2358:F2485)</f>
        <v>1.2128</v>
      </c>
      <c r="M2485" s="11">
        <f t="shared" si="59"/>
        <v>0.0219327176781005</v>
      </c>
      <c r="N2485" s="9" t="s">
        <v>789</v>
      </c>
    </row>
    <row r="2486" ht="25" customHeight="1" spans="1:14">
      <c r="A2486" s="9" t="s">
        <v>53</v>
      </c>
      <c r="B2486" s="9" t="s">
        <v>49</v>
      </c>
      <c r="C2486" s="10">
        <v>45370</v>
      </c>
      <c r="D2486" s="15">
        <v>1.1765</v>
      </c>
      <c r="E2486" s="15">
        <v>1.1765</v>
      </c>
      <c r="F2486" s="15">
        <v>1.1765</v>
      </c>
      <c r="G2486" s="11">
        <v>-0.0082</v>
      </c>
      <c r="H2486" s="9">
        <f>MAX($F$2174:F2486)</f>
        <v>1.2128</v>
      </c>
      <c r="I2486" s="11">
        <f t="shared" si="60"/>
        <v>0.0299307387862797</v>
      </c>
      <c r="J2486" s="9"/>
      <c r="K2486" s="11"/>
      <c r="L2486" s="9">
        <f>MAX($F$2358:F2486)</f>
        <v>1.2128</v>
      </c>
      <c r="M2486" s="11">
        <f t="shared" ref="M2486:M2549" si="61">1-F2486/L2486</f>
        <v>0.0299307387862797</v>
      </c>
      <c r="N2486" s="9" t="s">
        <v>789</v>
      </c>
    </row>
    <row r="2487" ht="25" customHeight="1" spans="1:14">
      <c r="A2487" s="9" t="s">
        <v>53</v>
      </c>
      <c r="B2487" s="9" t="s">
        <v>49</v>
      </c>
      <c r="C2487" s="10">
        <v>45371</v>
      </c>
      <c r="D2487" s="15">
        <v>1.168</v>
      </c>
      <c r="E2487" s="15">
        <v>1.168</v>
      </c>
      <c r="F2487" s="15">
        <v>1.168</v>
      </c>
      <c r="G2487" s="11">
        <v>-0.0072</v>
      </c>
      <c r="H2487" s="9">
        <f>MAX($F$2174:F2487)</f>
        <v>1.2128</v>
      </c>
      <c r="I2487" s="11">
        <f t="shared" si="60"/>
        <v>0.0369393139841691</v>
      </c>
      <c r="J2487" s="9"/>
      <c r="K2487" s="11"/>
      <c r="L2487" s="9">
        <f>MAX($F$2358:F2487)</f>
        <v>1.2128</v>
      </c>
      <c r="M2487" s="11">
        <f t="shared" si="61"/>
        <v>0.0369393139841691</v>
      </c>
      <c r="N2487" s="9" t="s">
        <v>789</v>
      </c>
    </row>
    <row r="2488" ht="25" customHeight="1" spans="1:14">
      <c r="A2488" s="9" t="s">
        <v>53</v>
      </c>
      <c r="B2488" s="9" t="s">
        <v>49</v>
      </c>
      <c r="C2488" s="10">
        <v>45372</v>
      </c>
      <c r="D2488" s="15">
        <v>1.1718</v>
      </c>
      <c r="E2488" s="15">
        <v>1.1718</v>
      </c>
      <c r="F2488" s="15">
        <v>1.1718</v>
      </c>
      <c r="G2488" s="11">
        <v>0.0033</v>
      </c>
      <c r="H2488" s="9">
        <f>MAX($F$2174:F2488)</f>
        <v>1.2128</v>
      </c>
      <c r="I2488" s="11">
        <f t="shared" si="60"/>
        <v>0.0338060686015832</v>
      </c>
      <c r="J2488" s="9"/>
      <c r="K2488" s="11"/>
      <c r="L2488" s="9">
        <f>MAX($F$2358:F2488)</f>
        <v>1.2128</v>
      </c>
      <c r="M2488" s="11">
        <f t="shared" si="61"/>
        <v>0.0338060686015832</v>
      </c>
      <c r="N2488" s="9" t="s">
        <v>789</v>
      </c>
    </row>
    <row r="2489" ht="25" customHeight="1" spans="1:14">
      <c r="A2489" s="9" t="s">
        <v>53</v>
      </c>
      <c r="B2489" s="9" t="s">
        <v>49</v>
      </c>
      <c r="C2489" s="10">
        <v>45373</v>
      </c>
      <c r="D2489" s="15">
        <v>1.1662</v>
      </c>
      <c r="E2489" s="15">
        <v>1.1662</v>
      </c>
      <c r="F2489" s="15">
        <v>1.1662</v>
      </c>
      <c r="G2489" s="11">
        <v>-0.0048</v>
      </c>
      <c r="H2489" s="9">
        <f>MAX($F$2174:F2489)</f>
        <v>1.2128</v>
      </c>
      <c r="I2489" s="11">
        <f t="shared" si="60"/>
        <v>0.0384234828496044</v>
      </c>
      <c r="J2489" s="9"/>
      <c r="K2489" s="11"/>
      <c r="L2489" s="9">
        <f>MAX($F$2358:F2489)</f>
        <v>1.2128</v>
      </c>
      <c r="M2489" s="11">
        <f t="shared" si="61"/>
        <v>0.0384234828496044</v>
      </c>
      <c r="N2489" s="9" t="s">
        <v>789</v>
      </c>
    </row>
    <row r="2490" ht="25" customHeight="1" spans="1:14">
      <c r="A2490" s="9" t="s">
        <v>53</v>
      </c>
      <c r="B2490" s="9" t="s">
        <v>49</v>
      </c>
      <c r="C2490" s="10">
        <v>45376</v>
      </c>
      <c r="D2490" s="15">
        <v>1.1607</v>
      </c>
      <c r="E2490" s="15">
        <v>1.1607</v>
      </c>
      <c r="F2490" s="15">
        <v>1.1607</v>
      </c>
      <c r="G2490" s="11">
        <v>-0.0047</v>
      </c>
      <c r="H2490" s="9">
        <f>MAX($F$2174:F2490)</f>
        <v>1.2128</v>
      </c>
      <c r="I2490" s="11">
        <f t="shared" si="60"/>
        <v>0.0429584432717678</v>
      </c>
      <c r="J2490" s="9"/>
      <c r="K2490" s="11"/>
      <c r="L2490" s="9">
        <f>MAX($F$2358:F2490)</f>
        <v>1.2128</v>
      </c>
      <c r="M2490" s="11">
        <f t="shared" si="61"/>
        <v>0.0429584432717678</v>
      </c>
      <c r="N2490" s="9" t="s">
        <v>789</v>
      </c>
    </row>
    <row r="2491" ht="25" customHeight="1" spans="1:14">
      <c r="A2491" s="9" t="s">
        <v>53</v>
      </c>
      <c r="B2491" s="9" t="s">
        <v>49</v>
      </c>
      <c r="C2491" s="10">
        <v>45377</v>
      </c>
      <c r="D2491" s="15">
        <v>1.1592</v>
      </c>
      <c r="E2491" s="15">
        <v>1.1592</v>
      </c>
      <c r="F2491" s="15">
        <v>1.1592</v>
      </c>
      <c r="G2491" s="11">
        <v>-0.0013</v>
      </c>
      <c r="H2491" s="9">
        <f>MAX($F$2174:F2491)</f>
        <v>1.2128</v>
      </c>
      <c r="I2491" s="11">
        <f t="shared" si="60"/>
        <v>0.0441952506596307</v>
      </c>
      <c r="J2491" s="9"/>
      <c r="K2491" s="11"/>
      <c r="L2491" s="9">
        <f>MAX($F$2358:F2491)</f>
        <v>1.2128</v>
      </c>
      <c r="M2491" s="11">
        <f t="shared" si="61"/>
        <v>0.0441952506596307</v>
      </c>
      <c r="N2491" s="9" t="s">
        <v>789</v>
      </c>
    </row>
    <row r="2492" ht="25" customHeight="1" spans="1:14">
      <c r="A2492" s="9" t="s">
        <v>53</v>
      </c>
      <c r="B2492" s="9" t="s">
        <v>49</v>
      </c>
      <c r="C2492" s="10">
        <v>45378</v>
      </c>
      <c r="D2492" s="15">
        <v>1.1682</v>
      </c>
      <c r="E2492" s="15">
        <v>1.1682</v>
      </c>
      <c r="F2492" s="15">
        <v>1.1682</v>
      </c>
      <c r="G2492" s="11">
        <v>0.0078</v>
      </c>
      <c r="H2492" s="9">
        <f>MAX($F$2174:F2492)</f>
        <v>1.2128</v>
      </c>
      <c r="I2492" s="11">
        <f t="shared" si="60"/>
        <v>0.036774406332454</v>
      </c>
      <c r="J2492" s="9"/>
      <c r="K2492" s="11"/>
      <c r="L2492" s="9">
        <f>MAX($F$2358:F2492)</f>
        <v>1.2128</v>
      </c>
      <c r="M2492" s="11">
        <f t="shared" si="61"/>
        <v>0.036774406332454</v>
      </c>
      <c r="N2492" s="9" t="s">
        <v>789</v>
      </c>
    </row>
    <row r="2493" ht="25" customHeight="1" spans="1:14">
      <c r="A2493" s="9" t="s">
        <v>53</v>
      </c>
      <c r="B2493" s="9" t="s">
        <v>49</v>
      </c>
      <c r="C2493" s="10">
        <v>45379</v>
      </c>
      <c r="D2493" s="15">
        <v>1.1689</v>
      </c>
      <c r="E2493" s="15">
        <v>1.1689</v>
      </c>
      <c r="F2493" s="15">
        <v>1.1689</v>
      </c>
      <c r="G2493" s="11">
        <v>0.0006</v>
      </c>
      <c r="H2493" s="9">
        <f>MAX($F$2174:F2493)</f>
        <v>1.2128</v>
      </c>
      <c r="I2493" s="11">
        <f t="shared" si="60"/>
        <v>0.0361972295514512</v>
      </c>
      <c r="J2493" s="9"/>
      <c r="K2493" s="11"/>
      <c r="L2493" s="9">
        <f>MAX($F$2358:F2493)</f>
        <v>1.2128</v>
      </c>
      <c r="M2493" s="11">
        <f t="shared" si="61"/>
        <v>0.0361972295514512</v>
      </c>
      <c r="N2493" s="9" t="s">
        <v>789</v>
      </c>
    </row>
    <row r="2494" ht="25" customHeight="1" spans="1:14">
      <c r="A2494" s="9" t="s">
        <v>53</v>
      </c>
      <c r="B2494" s="9" t="s">
        <v>49</v>
      </c>
      <c r="C2494" s="10">
        <v>45380</v>
      </c>
      <c r="D2494" s="15">
        <v>1.1745</v>
      </c>
      <c r="E2494" s="15">
        <v>1.1745</v>
      </c>
      <c r="F2494" s="15">
        <v>1.1745</v>
      </c>
      <c r="G2494" s="11">
        <v>0.0048</v>
      </c>
      <c r="H2494" s="9">
        <f>MAX($F$2174:F2494)</f>
        <v>1.2128</v>
      </c>
      <c r="I2494" s="11">
        <f t="shared" si="60"/>
        <v>0.0315798153034301</v>
      </c>
      <c r="J2494" s="9"/>
      <c r="K2494" s="11"/>
      <c r="L2494" s="9">
        <f>MAX($F$2358:F2494)</f>
        <v>1.2128</v>
      </c>
      <c r="M2494" s="11">
        <f t="shared" si="61"/>
        <v>0.0315798153034301</v>
      </c>
      <c r="N2494" s="9" t="s">
        <v>789</v>
      </c>
    </row>
    <row r="2495" ht="25" customHeight="1" spans="1:14">
      <c r="A2495" s="9" t="s">
        <v>53</v>
      </c>
      <c r="B2495" s="9" t="s">
        <v>49</v>
      </c>
      <c r="C2495" s="10">
        <v>45383</v>
      </c>
      <c r="D2495" s="15">
        <v>1.1895</v>
      </c>
      <c r="E2495" s="15">
        <v>1.1895</v>
      </c>
      <c r="F2495" s="15">
        <v>1.1895</v>
      </c>
      <c r="G2495" s="11">
        <v>0.0128</v>
      </c>
      <c r="H2495" s="9">
        <f>MAX($F$2174:F2495)</f>
        <v>1.2128</v>
      </c>
      <c r="I2495" s="11">
        <f t="shared" si="60"/>
        <v>0.0192117414248022</v>
      </c>
      <c r="J2495" s="9"/>
      <c r="K2495" s="11"/>
      <c r="L2495" s="9">
        <f>MAX($F$2358:F2495)</f>
        <v>1.2128</v>
      </c>
      <c r="M2495" s="11">
        <f t="shared" si="61"/>
        <v>0.0192117414248022</v>
      </c>
      <c r="N2495" s="9" t="s">
        <v>789</v>
      </c>
    </row>
    <row r="2496" ht="25" customHeight="1" spans="1:14">
      <c r="A2496" s="9" t="s">
        <v>53</v>
      </c>
      <c r="B2496" s="9" t="s">
        <v>49</v>
      </c>
      <c r="C2496" s="10">
        <v>45384</v>
      </c>
      <c r="D2496" s="15">
        <v>1.1892</v>
      </c>
      <c r="E2496" s="15">
        <v>1.1892</v>
      </c>
      <c r="F2496" s="15">
        <v>1.1892</v>
      </c>
      <c r="G2496" s="11">
        <v>-0.0003</v>
      </c>
      <c r="H2496" s="9">
        <f>MAX($F$2174:F2496)</f>
        <v>1.2128</v>
      </c>
      <c r="I2496" s="11">
        <f t="shared" si="60"/>
        <v>0.0194591029023747</v>
      </c>
      <c r="J2496" s="9"/>
      <c r="K2496" s="11"/>
      <c r="L2496" s="9">
        <f>MAX($F$2358:F2496)</f>
        <v>1.2128</v>
      </c>
      <c r="M2496" s="11">
        <f t="shared" si="61"/>
        <v>0.0194591029023747</v>
      </c>
      <c r="N2496" s="9" t="s">
        <v>789</v>
      </c>
    </row>
    <row r="2497" ht="25" customHeight="1" spans="1:14">
      <c r="A2497" s="9" t="s">
        <v>53</v>
      </c>
      <c r="B2497" s="9" t="s">
        <v>49</v>
      </c>
      <c r="C2497" s="10">
        <v>45385</v>
      </c>
      <c r="D2497" s="15">
        <v>1.1776</v>
      </c>
      <c r="E2497" s="15">
        <v>1.1776</v>
      </c>
      <c r="F2497" s="15">
        <v>1.1776</v>
      </c>
      <c r="G2497" s="11">
        <v>-0.0098</v>
      </c>
      <c r="H2497" s="9">
        <f>MAX($F$2174:F2497)</f>
        <v>1.2128</v>
      </c>
      <c r="I2497" s="11">
        <f t="shared" si="60"/>
        <v>0.029023746701847</v>
      </c>
      <c r="J2497" s="9"/>
      <c r="K2497" s="11"/>
      <c r="L2497" s="9">
        <f>MAX($F$2358:F2497)</f>
        <v>1.2128</v>
      </c>
      <c r="M2497" s="11">
        <f t="shared" si="61"/>
        <v>0.029023746701847</v>
      </c>
      <c r="N2497" s="9" t="s">
        <v>789</v>
      </c>
    </row>
    <row r="2498" ht="25" customHeight="1" spans="1:14">
      <c r="A2498" s="9" t="s">
        <v>53</v>
      </c>
      <c r="B2498" s="9" t="s">
        <v>49</v>
      </c>
      <c r="C2498" s="10">
        <v>45390</v>
      </c>
      <c r="D2498" s="15">
        <v>1.1836</v>
      </c>
      <c r="E2498" s="15">
        <v>1.1836</v>
      </c>
      <c r="F2498" s="15">
        <v>1.1836</v>
      </c>
      <c r="G2498" s="11">
        <v>0.0051</v>
      </c>
      <c r="H2498" s="9">
        <f>MAX($F$2174:F2498)</f>
        <v>1.2128</v>
      </c>
      <c r="I2498" s="11">
        <f t="shared" ref="I2498:I2561" si="62">1-F2498/H2498</f>
        <v>0.0240765171503958</v>
      </c>
      <c r="J2498" s="9"/>
      <c r="K2498" s="11"/>
      <c r="L2498" s="9">
        <f>MAX($F$2358:F2498)</f>
        <v>1.2128</v>
      </c>
      <c r="M2498" s="11">
        <f t="shared" si="61"/>
        <v>0.0240765171503958</v>
      </c>
      <c r="N2498" s="9" t="s">
        <v>789</v>
      </c>
    </row>
    <row r="2499" ht="25" customHeight="1" spans="1:14">
      <c r="A2499" s="9" t="s">
        <v>53</v>
      </c>
      <c r="B2499" s="9" t="s">
        <v>49</v>
      </c>
      <c r="C2499" s="10">
        <v>45391</v>
      </c>
      <c r="D2499" s="15">
        <v>1.1852</v>
      </c>
      <c r="E2499" s="15">
        <v>1.1852</v>
      </c>
      <c r="F2499" s="15">
        <v>1.1852</v>
      </c>
      <c r="G2499" s="11">
        <v>0.0014</v>
      </c>
      <c r="H2499" s="9">
        <f>MAX($F$2174:F2499)</f>
        <v>1.2128</v>
      </c>
      <c r="I2499" s="11">
        <f t="shared" si="62"/>
        <v>0.0227572559366755</v>
      </c>
      <c r="J2499" s="9"/>
      <c r="K2499" s="11"/>
      <c r="L2499" s="9">
        <f>MAX($F$2358:F2499)</f>
        <v>1.2128</v>
      </c>
      <c r="M2499" s="11">
        <f t="shared" si="61"/>
        <v>0.0227572559366755</v>
      </c>
      <c r="N2499" s="9" t="s">
        <v>789</v>
      </c>
    </row>
    <row r="2500" ht="25" customHeight="1" spans="1:14">
      <c r="A2500" s="9" t="s">
        <v>53</v>
      </c>
      <c r="B2500" s="9" t="s">
        <v>49</v>
      </c>
      <c r="C2500" s="10">
        <v>45392</v>
      </c>
      <c r="D2500" s="15">
        <v>1.1794</v>
      </c>
      <c r="E2500" s="15">
        <v>1.1794</v>
      </c>
      <c r="F2500" s="15">
        <v>1.1794</v>
      </c>
      <c r="G2500" s="11">
        <v>-0.0049</v>
      </c>
      <c r="H2500" s="9">
        <f>MAX($F$2174:F2500)</f>
        <v>1.2128</v>
      </c>
      <c r="I2500" s="11">
        <f t="shared" si="62"/>
        <v>0.0275395778364117</v>
      </c>
      <c r="J2500" s="9"/>
      <c r="K2500" s="11"/>
      <c r="L2500" s="9">
        <f>MAX($F$2358:F2500)</f>
        <v>1.2128</v>
      </c>
      <c r="M2500" s="11">
        <f t="shared" si="61"/>
        <v>0.0275395778364117</v>
      </c>
      <c r="N2500" s="9" t="s">
        <v>789</v>
      </c>
    </row>
    <row r="2501" ht="25" customHeight="1" spans="1:14">
      <c r="A2501" s="9" t="s">
        <v>53</v>
      </c>
      <c r="B2501" s="9" t="s">
        <v>49</v>
      </c>
      <c r="C2501" s="10">
        <v>45393</v>
      </c>
      <c r="D2501" s="15">
        <v>1.1429</v>
      </c>
      <c r="E2501" s="15">
        <v>1.1429</v>
      </c>
      <c r="F2501" s="15">
        <v>1.1429</v>
      </c>
      <c r="G2501" s="11">
        <v>-0.0309</v>
      </c>
      <c r="H2501" s="9">
        <f>MAX($F$2174:F2501)</f>
        <v>1.2128</v>
      </c>
      <c r="I2501" s="11">
        <f t="shared" si="62"/>
        <v>0.0576352242744064</v>
      </c>
      <c r="J2501" s="9"/>
      <c r="K2501" s="11"/>
      <c r="L2501" s="9">
        <f>MAX($F$2358:F2501)</f>
        <v>1.2128</v>
      </c>
      <c r="M2501" s="11">
        <f t="shared" si="61"/>
        <v>0.0576352242744064</v>
      </c>
      <c r="N2501" s="9" t="s">
        <v>789</v>
      </c>
    </row>
    <row r="2502" ht="25" customHeight="1" spans="1:14">
      <c r="A2502" s="9" t="s">
        <v>53</v>
      </c>
      <c r="B2502" s="9" t="s">
        <v>49</v>
      </c>
      <c r="C2502" s="10">
        <v>45394</v>
      </c>
      <c r="D2502" s="15">
        <v>1.1468</v>
      </c>
      <c r="E2502" s="15">
        <v>1.1468</v>
      </c>
      <c r="F2502" s="15">
        <v>1.1468</v>
      </c>
      <c r="G2502" s="11">
        <v>0.0034</v>
      </c>
      <c r="H2502" s="9">
        <f>MAX($F$2174:F2502)</f>
        <v>1.2128</v>
      </c>
      <c r="I2502" s="11">
        <f t="shared" si="62"/>
        <v>0.0544195250659631</v>
      </c>
      <c r="J2502" s="9"/>
      <c r="K2502" s="11"/>
      <c r="L2502" s="9">
        <f>MAX($F$2358:F2502)</f>
        <v>1.2128</v>
      </c>
      <c r="M2502" s="11">
        <f t="shared" si="61"/>
        <v>0.0544195250659631</v>
      </c>
      <c r="N2502" s="9" t="s">
        <v>789</v>
      </c>
    </row>
    <row r="2503" ht="25" customHeight="1" spans="1:14">
      <c r="A2503" s="9" t="s">
        <v>53</v>
      </c>
      <c r="B2503" s="9" t="s">
        <v>49</v>
      </c>
      <c r="C2503" s="10">
        <v>45397</v>
      </c>
      <c r="D2503" s="15">
        <v>1.1621</v>
      </c>
      <c r="E2503" s="15">
        <v>1.1621</v>
      </c>
      <c r="F2503" s="15">
        <v>1.1621</v>
      </c>
      <c r="G2503" s="11">
        <v>0.0133</v>
      </c>
      <c r="H2503" s="9">
        <f>MAX($F$2174:F2503)</f>
        <v>1.2128</v>
      </c>
      <c r="I2503" s="11">
        <f t="shared" si="62"/>
        <v>0.0418040897097627</v>
      </c>
      <c r="J2503" s="9"/>
      <c r="K2503" s="11"/>
      <c r="L2503" s="9">
        <f>MAX($F$2358:F2503)</f>
        <v>1.2128</v>
      </c>
      <c r="M2503" s="11">
        <f t="shared" si="61"/>
        <v>0.0418040897097627</v>
      </c>
      <c r="N2503" s="9" t="s">
        <v>789</v>
      </c>
    </row>
    <row r="2504" ht="25" customHeight="1" spans="1:14">
      <c r="A2504" s="9" t="s">
        <v>53</v>
      </c>
      <c r="B2504" s="9" t="s">
        <v>49</v>
      </c>
      <c r="C2504" s="10">
        <v>45398</v>
      </c>
      <c r="D2504" s="15">
        <v>1.156</v>
      </c>
      <c r="E2504" s="15">
        <v>1.156</v>
      </c>
      <c r="F2504" s="15">
        <v>1.156</v>
      </c>
      <c r="G2504" s="11">
        <v>-0.0052</v>
      </c>
      <c r="H2504" s="9">
        <f>MAX($F$2174:F2504)</f>
        <v>1.2128</v>
      </c>
      <c r="I2504" s="11">
        <f t="shared" si="62"/>
        <v>0.0468337730870714</v>
      </c>
      <c r="J2504" s="9"/>
      <c r="K2504" s="11"/>
      <c r="L2504" s="9">
        <f>MAX($F$2358:F2504)</f>
        <v>1.2128</v>
      </c>
      <c r="M2504" s="11">
        <f t="shared" si="61"/>
        <v>0.0468337730870714</v>
      </c>
      <c r="N2504" s="9" t="s">
        <v>789</v>
      </c>
    </row>
    <row r="2505" ht="25" customHeight="1" spans="1:14">
      <c r="A2505" s="9" t="s">
        <v>53</v>
      </c>
      <c r="B2505" s="9" t="s">
        <v>49</v>
      </c>
      <c r="C2505" s="10">
        <v>45399</v>
      </c>
      <c r="D2505" s="15">
        <v>1.1597</v>
      </c>
      <c r="E2505" s="15">
        <v>1.1597</v>
      </c>
      <c r="F2505" s="15">
        <v>1.1597</v>
      </c>
      <c r="G2505" s="11">
        <v>0.0032</v>
      </c>
      <c r="H2505" s="9">
        <f>MAX($F$2174:F2505)</f>
        <v>1.2128</v>
      </c>
      <c r="I2505" s="11">
        <f t="shared" si="62"/>
        <v>0.0437829815303431</v>
      </c>
      <c r="J2505" s="9"/>
      <c r="K2505" s="11"/>
      <c r="L2505" s="9">
        <f>MAX($F$2358:F2505)</f>
        <v>1.2128</v>
      </c>
      <c r="M2505" s="11">
        <f t="shared" si="61"/>
        <v>0.0437829815303431</v>
      </c>
      <c r="N2505" s="9" t="s">
        <v>789</v>
      </c>
    </row>
    <row r="2506" ht="25" customHeight="1" spans="1:14">
      <c r="A2506" s="9" t="s">
        <v>53</v>
      </c>
      <c r="B2506" s="9" t="s">
        <v>49</v>
      </c>
      <c r="C2506" s="10">
        <v>45400</v>
      </c>
      <c r="D2506" s="15">
        <v>1.1688</v>
      </c>
      <c r="E2506" s="15">
        <v>1.1688</v>
      </c>
      <c r="F2506" s="15">
        <v>1.1688</v>
      </c>
      <c r="G2506" s="11">
        <v>0.0078</v>
      </c>
      <c r="H2506" s="9">
        <f>MAX($F$2174:F2506)</f>
        <v>1.2128</v>
      </c>
      <c r="I2506" s="11">
        <f t="shared" si="62"/>
        <v>0.0362796833773087</v>
      </c>
      <c r="J2506" s="9"/>
      <c r="K2506" s="11"/>
      <c r="L2506" s="9">
        <f>MAX($F$2358:F2506)</f>
        <v>1.2128</v>
      </c>
      <c r="M2506" s="11">
        <f t="shared" si="61"/>
        <v>0.0362796833773087</v>
      </c>
      <c r="N2506" s="9" t="s">
        <v>789</v>
      </c>
    </row>
    <row r="2507" ht="25" customHeight="1" spans="1:14">
      <c r="A2507" s="9" t="s">
        <v>53</v>
      </c>
      <c r="B2507" s="9" t="s">
        <v>49</v>
      </c>
      <c r="C2507" s="10">
        <v>45401</v>
      </c>
      <c r="D2507" s="15">
        <v>1.1691</v>
      </c>
      <c r="E2507" s="15">
        <v>1.1691</v>
      </c>
      <c r="F2507" s="15">
        <v>1.1691</v>
      </c>
      <c r="G2507" s="11">
        <v>0.0003</v>
      </c>
      <c r="H2507" s="9">
        <f>MAX($F$2174:F2507)</f>
        <v>1.2128</v>
      </c>
      <c r="I2507" s="11">
        <f t="shared" si="62"/>
        <v>0.0360323218997362</v>
      </c>
      <c r="J2507" s="9"/>
      <c r="K2507" s="11"/>
      <c r="L2507" s="9">
        <f>MAX($F$2358:F2507)</f>
        <v>1.2128</v>
      </c>
      <c r="M2507" s="11">
        <f t="shared" si="61"/>
        <v>0.0360323218997362</v>
      </c>
      <c r="N2507" s="9" t="s">
        <v>789</v>
      </c>
    </row>
    <row r="2508" ht="25" customHeight="1" spans="1:14">
      <c r="A2508" s="9" t="s">
        <v>53</v>
      </c>
      <c r="B2508" s="9" t="s">
        <v>49</v>
      </c>
      <c r="C2508" s="10">
        <v>45404</v>
      </c>
      <c r="D2508" s="15">
        <v>1.1685</v>
      </c>
      <c r="E2508" s="15">
        <v>1.1685</v>
      </c>
      <c r="F2508" s="15">
        <v>1.1685</v>
      </c>
      <c r="G2508" s="11">
        <v>-0.0005</v>
      </c>
      <c r="H2508" s="9">
        <f>MAX($F$2174:F2508)</f>
        <v>1.2128</v>
      </c>
      <c r="I2508" s="11">
        <f t="shared" si="62"/>
        <v>0.0365270448548812</v>
      </c>
      <c r="J2508" s="9"/>
      <c r="K2508" s="11"/>
      <c r="L2508" s="9">
        <f>MAX($F$2358:F2508)</f>
        <v>1.2128</v>
      </c>
      <c r="M2508" s="11">
        <f t="shared" si="61"/>
        <v>0.0365270448548812</v>
      </c>
      <c r="N2508" s="9" t="s">
        <v>789</v>
      </c>
    </row>
    <row r="2509" ht="25" customHeight="1" spans="1:14">
      <c r="A2509" s="9" t="s">
        <v>53</v>
      </c>
      <c r="B2509" s="9" t="s">
        <v>49</v>
      </c>
      <c r="C2509" s="10">
        <v>45405</v>
      </c>
      <c r="D2509" s="15">
        <v>1.1655</v>
      </c>
      <c r="E2509" s="15">
        <v>1.1655</v>
      </c>
      <c r="F2509" s="15">
        <v>1.1655</v>
      </c>
      <c r="G2509" s="11">
        <v>-0.0026</v>
      </c>
      <c r="H2509" s="9">
        <f>MAX($F$2174:F2509)</f>
        <v>1.2128</v>
      </c>
      <c r="I2509" s="11">
        <f t="shared" si="62"/>
        <v>0.0390006596306069</v>
      </c>
      <c r="J2509" s="9"/>
      <c r="K2509" s="11"/>
      <c r="L2509" s="9">
        <f>MAX($F$2358:F2509)</f>
        <v>1.2128</v>
      </c>
      <c r="M2509" s="11">
        <f t="shared" si="61"/>
        <v>0.0390006596306069</v>
      </c>
      <c r="N2509" s="9" t="s">
        <v>789</v>
      </c>
    </row>
    <row r="2510" ht="25" customHeight="1" spans="1:14">
      <c r="A2510" s="9" t="s">
        <v>53</v>
      </c>
      <c r="B2510" s="9" t="s">
        <v>49</v>
      </c>
      <c r="C2510" s="10">
        <v>45406</v>
      </c>
      <c r="D2510" s="15">
        <v>1.1725</v>
      </c>
      <c r="E2510" s="15">
        <v>1.1725</v>
      </c>
      <c r="F2510" s="15">
        <v>1.1725</v>
      </c>
      <c r="G2510" s="11">
        <v>0.006</v>
      </c>
      <c r="H2510" s="9">
        <f>MAX($F$2174:F2510)</f>
        <v>1.2128</v>
      </c>
      <c r="I2510" s="11">
        <f t="shared" si="62"/>
        <v>0.0332288918205804</v>
      </c>
      <c r="J2510" s="9"/>
      <c r="K2510" s="11"/>
      <c r="L2510" s="9">
        <f>MAX($F$2358:F2510)</f>
        <v>1.2128</v>
      </c>
      <c r="M2510" s="11">
        <f t="shared" si="61"/>
        <v>0.0332288918205804</v>
      </c>
      <c r="N2510" s="9" t="s">
        <v>789</v>
      </c>
    </row>
    <row r="2511" ht="25" customHeight="1" spans="1:14">
      <c r="A2511" s="9" t="s">
        <v>53</v>
      </c>
      <c r="B2511" s="9" t="s">
        <v>49</v>
      </c>
      <c r="C2511" s="10">
        <v>45407</v>
      </c>
      <c r="D2511" s="15">
        <v>1.1798</v>
      </c>
      <c r="E2511" s="15">
        <v>1.1798</v>
      </c>
      <c r="F2511" s="15">
        <v>1.1798</v>
      </c>
      <c r="G2511" s="11">
        <v>0.0062</v>
      </c>
      <c r="H2511" s="9">
        <f>MAX($F$2174:F2511)</f>
        <v>1.2128</v>
      </c>
      <c r="I2511" s="11">
        <f t="shared" si="62"/>
        <v>0.0272097625329817</v>
      </c>
      <c r="J2511" s="9"/>
      <c r="K2511" s="11"/>
      <c r="L2511" s="9">
        <f>MAX($F$2358:F2511)</f>
        <v>1.2128</v>
      </c>
      <c r="M2511" s="11">
        <f t="shared" si="61"/>
        <v>0.0272097625329817</v>
      </c>
      <c r="N2511" s="9" t="s">
        <v>789</v>
      </c>
    </row>
    <row r="2512" ht="25" customHeight="1" spans="1:14">
      <c r="A2512" s="9" t="s">
        <v>53</v>
      </c>
      <c r="B2512" s="9" t="s">
        <v>49</v>
      </c>
      <c r="C2512" s="10">
        <v>45408</v>
      </c>
      <c r="D2512" s="15">
        <v>1.1739</v>
      </c>
      <c r="E2512" s="15">
        <v>1.1739</v>
      </c>
      <c r="F2512" s="15">
        <v>1.1739</v>
      </c>
      <c r="G2512" s="11">
        <v>-0.005</v>
      </c>
      <c r="H2512" s="9">
        <f>MAX($F$2174:F2512)</f>
        <v>1.2128</v>
      </c>
      <c r="I2512" s="11">
        <f t="shared" si="62"/>
        <v>0.0320745382585753</v>
      </c>
      <c r="J2512" s="9"/>
      <c r="K2512" s="11"/>
      <c r="L2512" s="9">
        <f>MAX($F$2358:F2512)</f>
        <v>1.2128</v>
      </c>
      <c r="M2512" s="11">
        <f t="shared" si="61"/>
        <v>0.0320745382585753</v>
      </c>
      <c r="N2512" s="9" t="s">
        <v>789</v>
      </c>
    </row>
    <row r="2513" ht="25" customHeight="1" spans="1:14">
      <c r="A2513" s="9" t="s">
        <v>53</v>
      </c>
      <c r="B2513" s="9" t="s">
        <v>49</v>
      </c>
      <c r="C2513" s="10">
        <v>45411</v>
      </c>
      <c r="D2513" s="15">
        <v>1.1766</v>
      </c>
      <c r="E2513" s="15">
        <v>1.1766</v>
      </c>
      <c r="F2513" s="15">
        <v>1.1766</v>
      </c>
      <c r="G2513" s="11">
        <v>0.0023</v>
      </c>
      <c r="H2513" s="9">
        <f>MAX($F$2174:F2513)</f>
        <v>1.2128</v>
      </c>
      <c r="I2513" s="11">
        <f t="shared" si="62"/>
        <v>0.0298482849604221</v>
      </c>
      <c r="J2513" s="9"/>
      <c r="K2513" s="11"/>
      <c r="L2513" s="9">
        <f>MAX($F$2358:F2513)</f>
        <v>1.2128</v>
      </c>
      <c r="M2513" s="11">
        <f t="shared" si="61"/>
        <v>0.0298482849604221</v>
      </c>
      <c r="N2513" s="9" t="s">
        <v>789</v>
      </c>
    </row>
    <row r="2514" ht="25" customHeight="1" spans="1:14">
      <c r="A2514" s="9" t="s">
        <v>53</v>
      </c>
      <c r="B2514" s="9" t="s">
        <v>49</v>
      </c>
      <c r="C2514" s="10">
        <v>45412</v>
      </c>
      <c r="D2514" s="15">
        <v>1.174</v>
      </c>
      <c r="E2514" s="15">
        <v>1.174</v>
      </c>
      <c r="F2514" s="15">
        <v>1.174</v>
      </c>
      <c r="G2514" s="11">
        <v>-0.0022</v>
      </c>
      <c r="H2514" s="9">
        <f>MAX($F$2174:F2514)</f>
        <v>1.2128</v>
      </c>
      <c r="I2514" s="11">
        <f t="shared" si="62"/>
        <v>0.0319920844327178</v>
      </c>
      <c r="J2514" s="9"/>
      <c r="K2514" s="11"/>
      <c r="L2514" s="9">
        <f>MAX($F$2358:F2514)</f>
        <v>1.2128</v>
      </c>
      <c r="M2514" s="11">
        <f t="shared" si="61"/>
        <v>0.0319920844327178</v>
      </c>
      <c r="N2514" s="9" t="s">
        <v>789</v>
      </c>
    </row>
    <row r="2515" ht="25" customHeight="1" spans="1:14">
      <c r="A2515" s="9" t="s">
        <v>53</v>
      </c>
      <c r="B2515" s="9" t="s">
        <v>49</v>
      </c>
      <c r="C2515" s="10">
        <v>45418</v>
      </c>
      <c r="D2515" s="15">
        <v>1.2037</v>
      </c>
      <c r="E2515" s="15">
        <v>1.2037</v>
      </c>
      <c r="F2515" s="15">
        <v>1.2037</v>
      </c>
      <c r="G2515" s="11">
        <v>0.0253</v>
      </c>
      <c r="H2515" s="9">
        <f>MAX($F$2174:F2515)</f>
        <v>1.2128</v>
      </c>
      <c r="I2515" s="11">
        <f t="shared" si="62"/>
        <v>0.00750329815303441</v>
      </c>
      <c r="J2515" s="9"/>
      <c r="K2515" s="11"/>
      <c r="L2515" s="9">
        <f>MAX($F$2358:F2515)</f>
        <v>1.2128</v>
      </c>
      <c r="M2515" s="11">
        <f t="shared" si="61"/>
        <v>0.00750329815303441</v>
      </c>
      <c r="N2515" s="9" t="s">
        <v>789</v>
      </c>
    </row>
    <row r="2516" ht="25" customHeight="1" spans="1:14">
      <c r="A2516" s="9" t="s">
        <v>53</v>
      </c>
      <c r="B2516" s="9" t="s">
        <v>49</v>
      </c>
      <c r="C2516" s="10">
        <v>45419</v>
      </c>
      <c r="D2516" s="15">
        <v>1.2313</v>
      </c>
      <c r="E2516" s="15">
        <v>1.2313</v>
      </c>
      <c r="F2516" s="15">
        <v>1.2313</v>
      </c>
      <c r="G2516" s="11">
        <v>0.0229</v>
      </c>
      <c r="H2516" s="9">
        <f>MAX($F$2174:F2516)</f>
        <v>1.2313</v>
      </c>
      <c r="I2516" s="11">
        <f t="shared" si="62"/>
        <v>0</v>
      </c>
      <c r="J2516" s="9"/>
      <c r="K2516" s="11"/>
      <c r="L2516" s="9">
        <f>MAX($F$2358:F2516)</f>
        <v>1.2313</v>
      </c>
      <c r="M2516" s="11">
        <f t="shared" si="61"/>
        <v>0</v>
      </c>
      <c r="N2516" s="9" t="s">
        <v>789</v>
      </c>
    </row>
    <row r="2517" ht="25" customHeight="1" spans="1:14">
      <c r="A2517" s="9" t="s">
        <v>53</v>
      </c>
      <c r="B2517" s="9" t="s">
        <v>49</v>
      </c>
      <c r="C2517" s="10">
        <v>45420</v>
      </c>
      <c r="D2517" s="15">
        <v>1.2247</v>
      </c>
      <c r="E2517" s="15">
        <v>1.2247</v>
      </c>
      <c r="F2517" s="15">
        <v>1.2247</v>
      </c>
      <c r="G2517" s="11">
        <v>-0.0054</v>
      </c>
      <c r="H2517" s="9">
        <f>MAX($F$2174:F2517)</f>
        <v>1.2313</v>
      </c>
      <c r="I2517" s="11">
        <f t="shared" si="62"/>
        <v>0.00536018841874453</v>
      </c>
      <c r="J2517" s="9"/>
      <c r="K2517" s="11"/>
      <c r="L2517" s="9">
        <f>MAX($F$2358:F2517)</f>
        <v>1.2313</v>
      </c>
      <c r="M2517" s="11">
        <f t="shared" si="61"/>
        <v>0.00536018841874453</v>
      </c>
      <c r="N2517" s="9" t="s">
        <v>789</v>
      </c>
    </row>
    <row r="2518" ht="25" customHeight="1" spans="1:14">
      <c r="A2518" s="9" t="s">
        <v>53</v>
      </c>
      <c r="B2518" s="9" t="s">
        <v>49</v>
      </c>
      <c r="C2518" s="10">
        <v>45421</v>
      </c>
      <c r="D2518" s="15">
        <v>1.2112</v>
      </c>
      <c r="E2518" s="15">
        <v>1.2112</v>
      </c>
      <c r="F2518" s="15">
        <v>1.2112</v>
      </c>
      <c r="G2518" s="11">
        <v>-0.011</v>
      </c>
      <c r="H2518" s="9">
        <f>MAX($F$2174:F2518)</f>
        <v>1.2313</v>
      </c>
      <c r="I2518" s="11">
        <f t="shared" si="62"/>
        <v>0.016324210184358</v>
      </c>
      <c r="J2518" s="9"/>
      <c r="K2518" s="11"/>
      <c r="L2518" s="9">
        <f>MAX($F$2358:F2518)</f>
        <v>1.2313</v>
      </c>
      <c r="M2518" s="11">
        <f t="shared" si="61"/>
        <v>0.016324210184358</v>
      </c>
      <c r="N2518" s="9" t="s">
        <v>789</v>
      </c>
    </row>
    <row r="2519" ht="25" customHeight="1" spans="1:14">
      <c r="A2519" s="9" t="s">
        <v>53</v>
      </c>
      <c r="B2519" s="9" t="s">
        <v>49</v>
      </c>
      <c r="C2519" s="10">
        <v>45422</v>
      </c>
      <c r="D2519" s="15">
        <v>1.2066</v>
      </c>
      <c r="E2519" s="15">
        <v>1.2066</v>
      </c>
      <c r="F2519" s="15">
        <v>1.2066</v>
      </c>
      <c r="G2519" s="11">
        <v>-0.0038</v>
      </c>
      <c r="H2519" s="9">
        <f>MAX($F$2174:F2519)</f>
        <v>1.2313</v>
      </c>
      <c r="I2519" s="11">
        <f t="shared" si="62"/>
        <v>0.0200600990822709</v>
      </c>
      <c r="J2519" s="9"/>
      <c r="K2519" s="11"/>
      <c r="L2519" s="9">
        <f>MAX($F$2358:F2519)</f>
        <v>1.2313</v>
      </c>
      <c r="M2519" s="11">
        <f t="shared" si="61"/>
        <v>0.0200600990822709</v>
      </c>
      <c r="N2519" s="9" t="s">
        <v>789</v>
      </c>
    </row>
    <row r="2520" ht="25" customHeight="1" spans="1:14">
      <c r="A2520" s="9" t="s">
        <v>53</v>
      </c>
      <c r="B2520" s="9" t="s">
        <v>49</v>
      </c>
      <c r="C2520" s="10">
        <v>45425</v>
      </c>
      <c r="D2520" s="15">
        <v>1.2099</v>
      </c>
      <c r="E2520" s="15">
        <v>1.2099</v>
      </c>
      <c r="F2520" s="15">
        <v>1.2099</v>
      </c>
      <c r="G2520" s="11">
        <v>0.0027</v>
      </c>
      <c r="H2520" s="9">
        <f>MAX($F$2174:F2520)</f>
        <v>1.2313</v>
      </c>
      <c r="I2520" s="11">
        <f t="shared" si="62"/>
        <v>0.0173800048728986</v>
      </c>
      <c r="J2520" s="9"/>
      <c r="K2520" s="11"/>
      <c r="L2520" s="9">
        <f>MAX($F$2358:F2520)</f>
        <v>1.2313</v>
      </c>
      <c r="M2520" s="11">
        <f t="shared" si="61"/>
        <v>0.0173800048728986</v>
      </c>
      <c r="N2520" s="9" t="s">
        <v>789</v>
      </c>
    </row>
    <row r="2521" ht="25" customHeight="1" spans="1:14">
      <c r="A2521" s="9" t="s">
        <v>53</v>
      </c>
      <c r="B2521" s="9" t="s">
        <v>49</v>
      </c>
      <c r="C2521" s="10">
        <v>45426</v>
      </c>
      <c r="D2521" s="15">
        <v>1.2042</v>
      </c>
      <c r="E2521" s="15">
        <v>1.2042</v>
      </c>
      <c r="F2521" s="15">
        <v>1.2042</v>
      </c>
      <c r="G2521" s="11">
        <v>-0.0047</v>
      </c>
      <c r="H2521" s="9">
        <f>MAX($F$2174:F2521)</f>
        <v>1.2313</v>
      </c>
      <c r="I2521" s="11">
        <f t="shared" si="62"/>
        <v>0.0220092585072689</v>
      </c>
      <c r="J2521" s="9"/>
      <c r="K2521" s="11"/>
      <c r="L2521" s="9">
        <f>MAX($F$2358:F2521)</f>
        <v>1.2313</v>
      </c>
      <c r="M2521" s="11">
        <f t="shared" si="61"/>
        <v>0.0220092585072689</v>
      </c>
      <c r="N2521" s="9" t="s">
        <v>789</v>
      </c>
    </row>
    <row r="2522" ht="25" customHeight="1" spans="1:14">
      <c r="A2522" s="9" t="s">
        <v>53</v>
      </c>
      <c r="B2522" s="9" t="s">
        <v>49</v>
      </c>
      <c r="C2522" s="10">
        <v>45427</v>
      </c>
      <c r="D2522" s="15">
        <v>1.1918</v>
      </c>
      <c r="E2522" s="15">
        <v>1.1918</v>
      </c>
      <c r="F2522" s="15">
        <v>1.1918</v>
      </c>
      <c r="G2522" s="11">
        <v>-0.0103</v>
      </c>
      <c r="H2522" s="9">
        <f>MAX($F$2174:F2522)</f>
        <v>1.2313</v>
      </c>
      <c r="I2522" s="11">
        <f t="shared" si="62"/>
        <v>0.032079915536425</v>
      </c>
      <c r="J2522" s="9"/>
      <c r="K2522" s="11"/>
      <c r="L2522" s="9">
        <f>MAX($F$2358:F2522)</f>
        <v>1.2313</v>
      </c>
      <c r="M2522" s="11">
        <f t="shared" si="61"/>
        <v>0.032079915536425</v>
      </c>
      <c r="N2522" s="9" t="s">
        <v>789</v>
      </c>
    </row>
    <row r="2523" ht="25" customHeight="1" spans="1:14">
      <c r="A2523" s="9" t="s">
        <v>53</v>
      </c>
      <c r="B2523" s="9" t="s">
        <v>49</v>
      </c>
      <c r="C2523" s="10">
        <v>45428</v>
      </c>
      <c r="D2523" s="15">
        <v>1.1934</v>
      </c>
      <c r="E2523" s="15">
        <v>1.1934</v>
      </c>
      <c r="F2523" s="15">
        <v>1.1934</v>
      </c>
      <c r="G2523" s="11">
        <v>0.0013</v>
      </c>
      <c r="H2523" s="9">
        <f>MAX($F$2174:F2523)</f>
        <v>1.2313</v>
      </c>
      <c r="I2523" s="11">
        <f t="shared" si="62"/>
        <v>0.0307804759197596</v>
      </c>
      <c r="J2523" s="9"/>
      <c r="K2523" s="11"/>
      <c r="L2523" s="9">
        <f>MAX($F$2358:F2523)</f>
        <v>1.2313</v>
      </c>
      <c r="M2523" s="11">
        <f t="shared" si="61"/>
        <v>0.0307804759197596</v>
      </c>
      <c r="N2523" s="9" t="s">
        <v>789</v>
      </c>
    </row>
    <row r="2524" ht="25" customHeight="1" spans="1:14">
      <c r="A2524" s="9" t="s">
        <v>53</v>
      </c>
      <c r="B2524" s="9" t="s">
        <v>49</v>
      </c>
      <c r="C2524" s="10">
        <v>45429</v>
      </c>
      <c r="D2524" s="15">
        <v>1.2056</v>
      </c>
      <c r="E2524" s="15">
        <v>1.2056</v>
      </c>
      <c r="F2524" s="15">
        <v>1.2056</v>
      </c>
      <c r="G2524" s="11">
        <v>0.0102</v>
      </c>
      <c r="H2524" s="9">
        <f>MAX($F$2174:F2524)</f>
        <v>1.2313</v>
      </c>
      <c r="I2524" s="11">
        <f t="shared" si="62"/>
        <v>0.0208722488426867</v>
      </c>
      <c r="J2524" s="9"/>
      <c r="K2524" s="11"/>
      <c r="L2524" s="9">
        <f>MAX($F$2358:F2524)</f>
        <v>1.2313</v>
      </c>
      <c r="M2524" s="11">
        <f t="shared" si="61"/>
        <v>0.0208722488426867</v>
      </c>
      <c r="N2524" s="9" t="s">
        <v>789</v>
      </c>
    </row>
    <row r="2525" ht="25" customHeight="1" spans="1:14">
      <c r="A2525" s="9" t="s">
        <v>53</v>
      </c>
      <c r="B2525" s="9" t="s">
        <v>49</v>
      </c>
      <c r="C2525" s="10">
        <v>45432</v>
      </c>
      <c r="D2525" s="15">
        <v>1.229</v>
      </c>
      <c r="E2525" s="15">
        <v>1.229</v>
      </c>
      <c r="F2525" s="15">
        <v>1.229</v>
      </c>
      <c r="G2525" s="11">
        <v>0.0194</v>
      </c>
      <c r="H2525" s="9">
        <f>MAX($F$2174:F2525)</f>
        <v>1.2313</v>
      </c>
      <c r="I2525" s="11">
        <f t="shared" si="62"/>
        <v>0.00186794444895633</v>
      </c>
      <c r="J2525" s="9"/>
      <c r="K2525" s="11"/>
      <c r="L2525" s="9">
        <f>MAX($F$2358:F2525)</f>
        <v>1.2313</v>
      </c>
      <c r="M2525" s="11">
        <f t="shared" si="61"/>
        <v>0.00186794444895633</v>
      </c>
      <c r="N2525" s="9" t="s">
        <v>789</v>
      </c>
    </row>
    <row r="2526" ht="25" customHeight="1" spans="1:14">
      <c r="A2526" s="9" t="s">
        <v>53</v>
      </c>
      <c r="B2526" s="9" t="s">
        <v>49</v>
      </c>
      <c r="C2526" s="10">
        <v>45433</v>
      </c>
      <c r="D2526" s="15">
        <v>1.2437</v>
      </c>
      <c r="E2526" s="15">
        <v>1.2437</v>
      </c>
      <c r="F2526" s="15">
        <v>1.2437</v>
      </c>
      <c r="G2526" s="11">
        <v>0.012</v>
      </c>
      <c r="H2526" s="9">
        <f>MAX($F$2174:F2526)</f>
        <v>1.2437</v>
      </c>
      <c r="I2526" s="11">
        <f t="shared" si="62"/>
        <v>0</v>
      </c>
      <c r="J2526" s="9"/>
      <c r="K2526" s="11"/>
      <c r="L2526" s="9">
        <f>MAX($F$2358:F2526)</f>
        <v>1.2437</v>
      </c>
      <c r="M2526" s="11">
        <f t="shared" si="61"/>
        <v>0</v>
      </c>
      <c r="N2526" s="9" t="s">
        <v>789</v>
      </c>
    </row>
    <row r="2527" ht="25" customHeight="1" spans="1:14">
      <c r="A2527" s="9" t="s">
        <v>53</v>
      </c>
      <c r="B2527" s="9" t="s">
        <v>49</v>
      </c>
      <c r="C2527" s="10">
        <v>45434</v>
      </c>
      <c r="D2527" s="15">
        <v>1.2511</v>
      </c>
      <c r="E2527" s="15">
        <v>1.2511</v>
      </c>
      <c r="F2527" s="15">
        <v>1.2511</v>
      </c>
      <c r="G2527" s="11">
        <v>0.0059</v>
      </c>
      <c r="H2527" s="9">
        <f>MAX($F$2174:F2527)</f>
        <v>1.2511</v>
      </c>
      <c r="I2527" s="11">
        <f t="shared" si="62"/>
        <v>0</v>
      </c>
      <c r="J2527" s="9"/>
      <c r="K2527" s="11"/>
      <c r="L2527" s="9">
        <f>MAX($F$2358:F2527)</f>
        <v>1.2511</v>
      </c>
      <c r="M2527" s="11">
        <f t="shared" si="61"/>
        <v>0</v>
      </c>
      <c r="N2527" s="9" t="s">
        <v>789</v>
      </c>
    </row>
    <row r="2528" ht="25" customHeight="1" spans="1:14">
      <c r="A2528" s="9" t="s">
        <v>53</v>
      </c>
      <c r="B2528" s="9" t="s">
        <v>49</v>
      </c>
      <c r="C2528" s="10">
        <v>45435</v>
      </c>
      <c r="D2528" s="15">
        <v>1.2193</v>
      </c>
      <c r="E2528" s="15">
        <v>1.2193</v>
      </c>
      <c r="F2528" s="15">
        <v>1.2193</v>
      </c>
      <c r="G2528" s="11">
        <v>-0.0254</v>
      </c>
      <c r="H2528" s="9">
        <f>MAX($F$2174:F2528)</f>
        <v>1.2511</v>
      </c>
      <c r="I2528" s="11">
        <f t="shared" si="62"/>
        <v>0.0254176324834147</v>
      </c>
      <c r="J2528" s="9"/>
      <c r="K2528" s="11"/>
      <c r="L2528" s="9">
        <f>MAX($F$2358:F2528)</f>
        <v>1.2511</v>
      </c>
      <c r="M2528" s="11">
        <f t="shared" si="61"/>
        <v>0.0254176324834147</v>
      </c>
      <c r="N2528" s="9" t="s">
        <v>789</v>
      </c>
    </row>
    <row r="2529" ht="25" customHeight="1" spans="1:14">
      <c r="A2529" s="9" t="s">
        <v>53</v>
      </c>
      <c r="B2529" s="9" t="s">
        <v>49</v>
      </c>
      <c r="C2529" s="10">
        <v>45436</v>
      </c>
      <c r="D2529" s="15">
        <v>1.2144</v>
      </c>
      <c r="E2529" s="15">
        <v>1.2144</v>
      </c>
      <c r="F2529" s="15">
        <v>1.2144</v>
      </c>
      <c r="G2529" s="11">
        <v>-0.004</v>
      </c>
      <c r="H2529" s="9">
        <f>MAX($F$2174:F2529)</f>
        <v>1.2511</v>
      </c>
      <c r="I2529" s="11">
        <f t="shared" si="62"/>
        <v>0.0293341859163937</v>
      </c>
      <c r="J2529" s="9"/>
      <c r="K2529" s="11"/>
      <c r="L2529" s="9">
        <f>MAX($F$2358:F2529)</f>
        <v>1.2511</v>
      </c>
      <c r="M2529" s="11">
        <f t="shared" si="61"/>
        <v>0.0293341859163937</v>
      </c>
      <c r="N2529" s="9" t="s">
        <v>789</v>
      </c>
    </row>
    <row r="2530" ht="25" customHeight="1" spans="1:14">
      <c r="A2530" s="9" t="s">
        <v>53</v>
      </c>
      <c r="B2530" s="9" t="s">
        <v>49</v>
      </c>
      <c r="C2530" s="10">
        <v>45439</v>
      </c>
      <c r="D2530" s="15">
        <v>1.2189</v>
      </c>
      <c r="E2530" s="15">
        <v>1.2189</v>
      </c>
      <c r="F2530" s="15">
        <v>1.2189</v>
      </c>
      <c r="G2530" s="11">
        <v>0.0037</v>
      </c>
      <c r="H2530" s="9">
        <f>MAX($F$2174:F2530)</f>
        <v>1.2511</v>
      </c>
      <c r="I2530" s="11">
        <f t="shared" si="62"/>
        <v>0.0257373511310047</v>
      </c>
      <c r="J2530" s="9"/>
      <c r="K2530" s="11"/>
      <c r="L2530" s="9">
        <f>MAX($F$2358:F2530)</f>
        <v>1.2511</v>
      </c>
      <c r="M2530" s="11">
        <f t="shared" si="61"/>
        <v>0.0257373511310047</v>
      </c>
      <c r="N2530" s="9" t="s">
        <v>789</v>
      </c>
    </row>
    <row r="2531" ht="25" customHeight="1" spans="1:14">
      <c r="A2531" s="9" t="s">
        <v>53</v>
      </c>
      <c r="B2531" s="9" t="s">
        <v>49</v>
      </c>
      <c r="C2531" s="10">
        <v>45440</v>
      </c>
      <c r="D2531" s="15">
        <v>1.237</v>
      </c>
      <c r="E2531" s="15">
        <v>1.237</v>
      </c>
      <c r="F2531" s="15">
        <v>1.237</v>
      </c>
      <c r="G2531" s="11">
        <v>0.0148</v>
      </c>
      <c r="H2531" s="9">
        <f>MAX($F$2174:F2531)</f>
        <v>1.2511</v>
      </c>
      <c r="I2531" s="11">
        <f t="shared" si="62"/>
        <v>0.0112700823275518</v>
      </c>
      <c r="J2531" s="9"/>
      <c r="K2531" s="11"/>
      <c r="L2531" s="9">
        <f>MAX($F$2358:F2531)</f>
        <v>1.2511</v>
      </c>
      <c r="M2531" s="11">
        <f t="shared" si="61"/>
        <v>0.0112700823275518</v>
      </c>
      <c r="N2531" s="9" t="s">
        <v>789</v>
      </c>
    </row>
    <row r="2532" ht="25" customHeight="1" spans="1:14">
      <c r="A2532" s="9" t="s">
        <v>53</v>
      </c>
      <c r="B2532" s="9" t="s">
        <v>49</v>
      </c>
      <c r="C2532" s="10">
        <v>45441</v>
      </c>
      <c r="D2532" s="15">
        <v>1.2384</v>
      </c>
      <c r="E2532" s="15">
        <v>1.2384</v>
      </c>
      <c r="F2532" s="15">
        <v>1.2384</v>
      </c>
      <c r="G2532" s="11">
        <v>0.0011</v>
      </c>
      <c r="H2532" s="9">
        <f>MAX($F$2174:F2532)</f>
        <v>1.2511</v>
      </c>
      <c r="I2532" s="11">
        <f t="shared" si="62"/>
        <v>0.0101510670609865</v>
      </c>
      <c r="J2532" s="9"/>
      <c r="K2532" s="11"/>
      <c r="L2532" s="9">
        <f>MAX($F$2358:F2532)</f>
        <v>1.2511</v>
      </c>
      <c r="M2532" s="11">
        <f t="shared" si="61"/>
        <v>0.0101510670609865</v>
      </c>
      <c r="N2532" s="9" t="s">
        <v>789</v>
      </c>
    </row>
    <row r="2533" ht="25" customHeight="1" spans="1:14">
      <c r="A2533" s="9" t="s">
        <v>53</v>
      </c>
      <c r="B2533" s="9" t="s">
        <v>49</v>
      </c>
      <c r="C2533" s="10">
        <v>45442</v>
      </c>
      <c r="D2533" s="15">
        <v>1.2333</v>
      </c>
      <c r="E2533" s="15">
        <v>1.2333</v>
      </c>
      <c r="F2533" s="15">
        <v>1.2333</v>
      </c>
      <c r="G2533" s="11">
        <v>-0.0041</v>
      </c>
      <c r="H2533" s="9">
        <f>MAX($F$2174:F2533)</f>
        <v>1.2511</v>
      </c>
      <c r="I2533" s="11">
        <f t="shared" si="62"/>
        <v>0.0142274798177604</v>
      </c>
      <c r="J2533" s="9"/>
      <c r="K2533" s="11"/>
      <c r="L2533" s="9">
        <f>MAX($F$2358:F2533)</f>
        <v>1.2511</v>
      </c>
      <c r="M2533" s="11">
        <f t="shared" si="61"/>
        <v>0.0142274798177604</v>
      </c>
      <c r="N2533" s="9" t="s">
        <v>789</v>
      </c>
    </row>
    <row r="2534" ht="25" customHeight="1" spans="1:14">
      <c r="A2534" s="9" t="s">
        <v>53</v>
      </c>
      <c r="B2534" s="9" t="s">
        <v>49</v>
      </c>
      <c r="C2534" s="10">
        <v>45443</v>
      </c>
      <c r="D2534" s="15">
        <v>1.2181</v>
      </c>
      <c r="E2534" s="15">
        <v>1.2181</v>
      </c>
      <c r="F2534" s="15">
        <v>1.2181</v>
      </c>
      <c r="G2534" s="11">
        <v>-0.0123</v>
      </c>
      <c r="H2534" s="9">
        <f>MAX($F$2174:F2534)</f>
        <v>1.2511</v>
      </c>
      <c r="I2534" s="11">
        <f t="shared" si="62"/>
        <v>0.0263767884261851</v>
      </c>
      <c r="J2534" s="9"/>
      <c r="K2534" s="11"/>
      <c r="L2534" s="9">
        <f>MAX($F$2358:F2534)</f>
        <v>1.2511</v>
      </c>
      <c r="M2534" s="11">
        <f t="shared" si="61"/>
        <v>0.0263767884261851</v>
      </c>
      <c r="N2534" s="9" t="s">
        <v>789</v>
      </c>
    </row>
    <row r="2535" ht="25" customHeight="1" spans="1:14">
      <c r="A2535" s="9" t="s">
        <v>53</v>
      </c>
      <c r="B2535" s="9" t="s">
        <v>49</v>
      </c>
      <c r="C2535" s="10">
        <v>45446</v>
      </c>
      <c r="D2535" s="15">
        <v>1.2151</v>
      </c>
      <c r="E2535" s="15">
        <v>1.2151</v>
      </c>
      <c r="F2535" s="15">
        <v>1.2151</v>
      </c>
      <c r="G2535" s="11">
        <v>-0.0025</v>
      </c>
      <c r="H2535" s="9">
        <f>MAX($F$2174:F2535)</f>
        <v>1.2511</v>
      </c>
      <c r="I2535" s="11">
        <f t="shared" si="62"/>
        <v>0.0287746782831109</v>
      </c>
      <c r="J2535" s="9"/>
      <c r="K2535" s="11"/>
      <c r="L2535" s="9">
        <f>MAX($F$2358:F2535)</f>
        <v>1.2511</v>
      </c>
      <c r="M2535" s="11">
        <f t="shared" si="61"/>
        <v>0.0287746782831109</v>
      </c>
      <c r="N2535" s="9" t="s">
        <v>789</v>
      </c>
    </row>
    <row r="2536" ht="25" customHeight="1" spans="1:14">
      <c r="A2536" s="9" t="s">
        <v>53</v>
      </c>
      <c r="B2536" s="9" t="s">
        <v>49</v>
      </c>
      <c r="C2536" s="10">
        <v>45447</v>
      </c>
      <c r="D2536" s="15">
        <v>1.2045</v>
      </c>
      <c r="E2536" s="15">
        <v>1.2045</v>
      </c>
      <c r="F2536" s="15">
        <v>1.2045</v>
      </c>
      <c r="G2536" s="11">
        <v>-0.0087</v>
      </c>
      <c r="H2536" s="9">
        <f>MAX($F$2174:F2536)</f>
        <v>1.2511</v>
      </c>
      <c r="I2536" s="11">
        <f t="shared" si="62"/>
        <v>0.0372472224442492</v>
      </c>
      <c r="J2536" s="9"/>
      <c r="K2536" s="11"/>
      <c r="L2536" s="9">
        <f>MAX($F$2358:F2536)</f>
        <v>1.2511</v>
      </c>
      <c r="M2536" s="11">
        <f t="shared" si="61"/>
        <v>0.0372472224442492</v>
      </c>
      <c r="N2536" s="9" t="s">
        <v>789</v>
      </c>
    </row>
    <row r="2537" ht="25" customHeight="1" spans="1:14">
      <c r="A2537" s="9" t="s">
        <v>53</v>
      </c>
      <c r="B2537" s="9" t="s">
        <v>49</v>
      </c>
      <c r="C2537" s="10">
        <v>45448</v>
      </c>
      <c r="D2537" s="15">
        <v>1.1968</v>
      </c>
      <c r="E2537" s="15">
        <v>1.1968</v>
      </c>
      <c r="F2537" s="15">
        <v>1.1968</v>
      </c>
      <c r="G2537" s="11">
        <v>-0.0064</v>
      </c>
      <c r="H2537" s="9">
        <f>MAX($F$2174:F2537)</f>
        <v>1.2511</v>
      </c>
      <c r="I2537" s="11">
        <f t="shared" si="62"/>
        <v>0.0434018064103588</v>
      </c>
      <c r="J2537" s="9"/>
      <c r="K2537" s="11"/>
      <c r="L2537" s="9">
        <f>MAX($F$2358:F2537)</f>
        <v>1.2511</v>
      </c>
      <c r="M2537" s="11">
        <f t="shared" si="61"/>
        <v>0.0434018064103588</v>
      </c>
      <c r="N2537" s="9" t="s">
        <v>789</v>
      </c>
    </row>
    <row r="2538" ht="25" customHeight="1" spans="1:14">
      <c r="A2538" s="9" t="s">
        <v>53</v>
      </c>
      <c r="B2538" s="9" t="s">
        <v>49</v>
      </c>
      <c r="C2538" s="10">
        <v>45449</v>
      </c>
      <c r="D2538" s="15">
        <v>1.2051</v>
      </c>
      <c r="E2538" s="15">
        <v>1.2051</v>
      </c>
      <c r="F2538" s="15">
        <v>1.2051</v>
      </c>
      <c r="G2538" s="11">
        <v>0.0069</v>
      </c>
      <c r="H2538" s="9">
        <f>MAX($F$2174:F2538)</f>
        <v>1.2511</v>
      </c>
      <c r="I2538" s="11">
        <f t="shared" si="62"/>
        <v>0.036767644472864</v>
      </c>
      <c r="J2538" s="9"/>
      <c r="K2538" s="11"/>
      <c r="L2538" s="9">
        <f>MAX($F$2358:F2538)</f>
        <v>1.2511</v>
      </c>
      <c r="M2538" s="11">
        <f t="shared" si="61"/>
        <v>0.036767644472864</v>
      </c>
      <c r="N2538" s="9" t="s">
        <v>789</v>
      </c>
    </row>
    <row r="2539" ht="25" customHeight="1" spans="1:14">
      <c r="A2539" s="9" t="s">
        <v>53</v>
      </c>
      <c r="B2539" s="9" t="s">
        <v>49</v>
      </c>
      <c r="C2539" s="10">
        <v>45450</v>
      </c>
      <c r="D2539" s="15">
        <v>1.2185</v>
      </c>
      <c r="E2539" s="15">
        <v>1.2185</v>
      </c>
      <c r="F2539" s="15">
        <v>1.2185</v>
      </c>
      <c r="G2539" s="11">
        <v>0.0111</v>
      </c>
      <c r="H2539" s="9">
        <f>MAX($F$2174:F2539)</f>
        <v>1.2511</v>
      </c>
      <c r="I2539" s="11">
        <f t="shared" si="62"/>
        <v>0.026057069778595</v>
      </c>
      <c r="J2539" s="9"/>
      <c r="K2539" s="11"/>
      <c r="L2539" s="9">
        <f>MAX($F$2358:F2539)</f>
        <v>1.2511</v>
      </c>
      <c r="M2539" s="11">
        <f t="shared" si="61"/>
        <v>0.026057069778595</v>
      </c>
      <c r="N2539" s="9" t="s">
        <v>789</v>
      </c>
    </row>
    <row r="2540" ht="25" customHeight="1" spans="1:14">
      <c r="A2540" s="9" t="s">
        <v>53</v>
      </c>
      <c r="B2540" s="9" t="s">
        <v>49</v>
      </c>
      <c r="C2540" s="10">
        <v>45454</v>
      </c>
      <c r="D2540" s="15">
        <v>1.1942</v>
      </c>
      <c r="E2540" s="15">
        <v>1.1942</v>
      </c>
      <c r="F2540" s="15">
        <v>1.1942</v>
      </c>
      <c r="G2540" s="11">
        <v>-0.0199</v>
      </c>
      <c r="H2540" s="9">
        <f>MAX($F$2174:F2540)</f>
        <v>1.2511</v>
      </c>
      <c r="I2540" s="11">
        <f t="shared" si="62"/>
        <v>0.0454799776196948</v>
      </c>
      <c r="J2540" s="9"/>
      <c r="K2540" s="11"/>
      <c r="L2540" s="9">
        <f>MAX($F$2358:F2540)</f>
        <v>1.2511</v>
      </c>
      <c r="M2540" s="11">
        <f t="shared" si="61"/>
        <v>0.0454799776196948</v>
      </c>
      <c r="N2540" s="9" t="s">
        <v>789</v>
      </c>
    </row>
    <row r="2541" ht="25" customHeight="1" spans="1:14">
      <c r="A2541" s="9" t="s">
        <v>53</v>
      </c>
      <c r="B2541" s="9" t="s">
        <v>49</v>
      </c>
      <c r="C2541" s="10">
        <v>45455</v>
      </c>
      <c r="D2541" s="15">
        <v>1.1941</v>
      </c>
      <c r="E2541" s="15">
        <v>1.1941</v>
      </c>
      <c r="F2541" s="15">
        <v>1.1941</v>
      </c>
      <c r="G2541" s="11">
        <v>-0.0001</v>
      </c>
      <c r="H2541" s="9">
        <f>MAX($F$2174:F2541)</f>
        <v>1.2511</v>
      </c>
      <c r="I2541" s="11">
        <f t="shared" si="62"/>
        <v>0.0455599072815923</v>
      </c>
      <c r="J2541" s="9"/>
      <c r="K2541" s="11"/>
      <c r="L2541" s="9">
        <f>MAX($F$2358:F2541)</f>
        <v>1.2511</v>
      </c>
      <c r="M2541" s="11">
        <f t="shared" si="61"/>
        <v>0.0455599072815923</v>
      </c>
      <c r="N2541" s="9" t="s">
        <v>789</v>
      </c>
    </row>
    <row r="2542" ht="25" customHeight="1" spans="1:14">
      <c r="A2542" s="9" t="s">
        <v>53</v>
      </c>
      <c r="B2542" s="9" t="s">
        <v>49</v>
      </c>
      <c r="C2542" s="10">
        <v>45456</v>
      </c>
      <c r="D2542" s="15">
        <v>1.2069</v>
      </c>
      <c r="E2542" s="15">
        <v>1.2069</v>
      </c>
      <c r="F2542" s="15">
        <v>1.2069</v>
      </c>
      <c r="G2542" s="11">
        <v>0.0107</v>
      </c>
      <c r="H2542" s="9">
        <f>MAX($F$2174:F2542)</f>
        <v>1.2511</v>
      </c>
      <c r="I2542" s="11">
        <f t="shared" si="62"/>
        <v>0.0353289105587083</v>
      </c>
      <c r="J2542" s="9"/>
      <c r="K2542" s="11"/>
      <c r="L2542" s="9">
        <f>MAX($F$2358:F2542)</f>
        <v>1.2511</v>
      </c>
      <c r="M2542" s="11">
        <f t="shared" si="61"/>
        <v>0.0353289105587083</v>
      </c>
      <c r="N2542" s="9" t="s">
        <v>789</v>
      </c>
    </row>
    <row r="2543" ht="25" customHeight="1" spans="1:14">
      <c r="A2543" s="9" t="s">
        <v>53</v>
      </c>
      <c r="B2543" s="9" t="s">
        <v>49</v>
      </c>
      <c r="C2543" s="10">
        <v>45457</v>
      </c>
      <c r="D2543" s="15">
        <v>1.2011</v>
      </c>
      <c r="E2543" s="15">
        <v>1.2011</v>
      </c>
      <c r="F2543" s="15">
        <v>1.2011</v>
      </c>
      <c r="G2543" s="11">
        <v>-0.0048</v>
      </c>
      <c r="H2543" s="9">
        <f>MAX($F$2174:F2543)</f>
        <v>1.2511</v>
      </c>
      <c r="I2543" s="11">
        <f t="shared" si="62"/>
        <v>0.0399648309487651</v>
      </c>
      <c r="J2543" s="9"/>
      <c r="K2543" s="11"/>
      <c r="L2543" s="9">
        <f>MAX($F$2358:F2543)</f>
        <v>1.2511</v>
      </c>
      <c r="M2543" s="11">
        <f t="shared" si="61"/>
        <v>0.0399648309487651</v>
      </c>
      <c r="N2543" s="9" t="s">
        <v>789</v>
      </c>
    </row>
    <row r="2544" ht="25" customHeight="1" spans="1:14">
      <c r="A2544" s="9" t="s">
        <v>53</v>
      </c>
      <c r="B2544" s="9" t="s">
        <v>49</v>
      </c>
      <c r="C2544" s="10">
        <v>45460</v>
      </c>
      <c r="D2544" s="15">
        <v>1.1956</v>
      </c>
      <c r="E2544" s="15">
        <v>1.1956</v>
      </c>
      <c r="F2544" s="15">
        <v>1.1956</v>
      </c>
      <c r="G2544" s="11">
        <v>-0.0046</v>
      </c>
      <c r="H2544" s="9">
        <f>MAX($F$2174:F2544)</f>
        <v>1.2511</v>
      </c>
      <c r="I2544" s="11">
        <f t="shared" si="62"/>
        <v>0.0443609623531294</v>
      </c>
      <c r="J2544" s="9"/>
      <c r="K2544" s="11"/>
      <c r="L2544" s="9">
        <f>MAX($F$2358:F2544)</f>
        <v>1.2511</v>
      </c>
      <c r="M2544" s="11">
        <f t="shared" si="61"/>
        <v>0.0443609623531294</v>
      </c>
      <c r="N2544" s="9" t="s">
        <v>789</v>
      </c>
    </row>
    <row r="2545" ht="25" customHeight="1" spans="1:14">
      <c r="A2545" s="9" t="s">
        <v>53</v>
      </c>
      <c r="B2545" s="9" t="s">
        <v>49</v>
      </c>
      <c r="C2545" s="10">
        <v>45461</v>
      </c>
      <c r="D2545" s="15">
        <v>1.202</v>
      </c>
      <c r="E2545" s="15">
        <v>1.202</v>
      </c>
      <c r="F2545" s="15">
        <v>1.202</v>
      </c>
      <c r="G2545" s="11">
        <v>0.0054</v>
      </c>
      <c r="H2545" s="9">
        <f>MAX($F$2174:F2545)</f>
        <v>1.2511</v>
      </c>
      <c r="I2545" s="11">
        <f t="shared" si="62"/>
        <v>0.0392454639916874</v>
      </c>
      <c r="J2545" s="9"/>
      <c r="K2545" s="11"/>
      <c r="L2545" s="9">
        <f>MAX($F$2358:F2545)</f>
        <v>1.2511</v>
      </c>
      <c r="M2545" s="11">
        <f t="shared" si="61"/>
        <v>0.0392454639916874</v>
      </c>
      <c r="N2545" s="9" t="s">
        <v>789</v>
      </c>
    </row>
    <row r="2546" ht="25" customHeight="1" spans="1:14">
      <c r="A2546" s="9" t="s">
        <v>53</v>
      </c>
      <c r="B2546" s="9" t="s">
        <v>49</v>
      </c>
      <c r="C2546" s="10">
        <v>45462</v>
      </c>
      <c r="D2546" s="15">
        <v>1.2017</v>
      </c>
      <c r="E2546" s="15">
        <v>1.2017</v>
      </c>
      <c r="F2546" s="15">
        <v>1.2017</v>
      </c>
      <c r="G2546" s="11">
        <v>-0.0002</v>
      </c>
      <c r="H2546" s="9">
        <f>MAX($F$2174:F2546)</f>
        <v>1.2511</v>
      </c>
      <c r="I2546" s="11">
        <f t="shared" si="62"/>
        <v>0.03948525297738</v>
      </c>
      <c r="J2546" s="9"/>
      <c r="K2546" s="11"/>
      <c r="L2546" s="9">
        <f>MAX($F$2358:F2546)</f>
        <v>1.2511</v>
      </c>
      <c r="M2546" s="11">
        <f t="shared" si="61"/>
        <v>0.03948525297738</v>
      </c>
      <c r="N2546" s="9" t="s">
        <v>789</v>
      </c>
    </row>
    <row r="2547" ht="25" customHeight="1" spans="1:14">
      <c r="A2547" s="9" t="s">
        <v>53</v>
      </c>
      <c r="B2547" s="9" t="s">
        <v>49</v>
      </c>
      <c r="C2547" s="10">
        <v>45463</v>
      </c>
      <c r="D2547" s="15">
        <v>1.2047</v>
      </c>
      <c r="E2547" s="15">
        <v>1.2047</v>
      </c>
      <c r="F2547" s="15">
        <v>1.2047</v>
      </c>
      <c r="G2547" s="11">
        <v>0.0025</v>
      </c>
      <c r="H2547" s="9">
        <f>MAX($F$2174:F2547)</f>
        <v>1.2511</v>
      </c>
      <c r="I2547" s="11">
        <f t="shared" si="62"/>
        <v>0.037087363120454</v>
      </c>
      <c r="J2547" s="9"/>
      <c r="K2547" s="11"/>
      <c r="L2547" s="9">
        <f>MAX($F$2358:F2547)</f>
        <v>1.2511</v>
      </c>
      <c r="M2547" s="11">
        <f t="shared" si="61"/>
        <v>0.037087363120454</v>
      </c>
      <c r="N2547" s="9" t="s">
        <v>789</v>
      </c>
    </row>
    <row r="2548" ht="25" customHeight="1" spans="1:14">
      <c r="A2548" s="9" t="s">
        <v>53</v>
      </c>
      <c r="B2548" s="9" t="s">
        <v>49</v>
      </c>
      <c r="C2548" s="10">
        <v>45464</v>
      </c>
      <c r="D2548" s="15">
        <v>1.2094</v>
      </c>
      <c r="E2548" s="15">
        <v>1.2094</v>
      </c>
      <c r="F2548" s="15">
        <v>1.2094</v>
      </c>
      <c r="G2548" s="11">
        <v>0.0039</v>
      </c>
      <c r="H2548" s="9">
        <f>MAX($F$2174:F2548)</f>
        <v>1.2511</v>
      </c>
      <c r="I2548" s="11">
        <f t="shared" si="62"/>
        <v>0.0333306690112701</v>
      </c>
      <c r="J2548" s="9"/>
      <c r="K2548" s="11"/>
      <c r="L2548" s="9">
        <f>MAX($F$2358:F2548)</f>
        <v>1.2511</v>
      </c>
      <c r="M2548" s="11">
        <f t="shared" si="61"/>
        <v>0.0333306690112701</v>
      </c>
      <c r="N2548" s="9" t="s">
        <v>789</v>
      </c>
    </row>
    <row r="2549" ht="25" customHeight="1" spans="1:14">
      <c r="A2549" s="9" t="s">
        <v>53</v>
      </c>
      <c r="B2549" s="9" t="s">
        <v>49</v>
      </c>
      <c r="C2549" s="10">
        <v>45467</v>
      </c>
      <c r="D2549" s="15">
        <v>1.2111</v>
      </c>
      <c r="E2549" s="15">
        <v>1.2111</v>
      </c>
      <c r="F2549" s="15">
        <v>1.2111</v>
      </c>
      <c r="G2549" s="11">
        <v>0.0014</v>
      </c>
      <c r="H2549" s="9">
        <f>MAX($F$2174:F2549)</f>
        <v>1.2511</v>
      </c>
      <c r="I2549" s="11">
        <f t="shared" si="62"/>
        <v>0.0319718647590121</v>
      </c>
      <c r="J2549" s="9"/>
      <c r="K2549" s="11"/>
      <c r="L2549" s="9">
        <f>MAX($F$2358:F2549)</f>
        <v>1.2511</v>
      </c>
      <c r="M2549" s="11">
        <f t="shared" si="61"/>
        <v>0.0319718647590121</v>
      </c>
      <c r="N2549" s="9" t="s">
        <v>789</v>
      </c>
    </row>
    <row r="2550" ht="25" customHeight="1" spans="1:14">
      <c r="A2550" s="9" t="s">
        <v>53</v>
      </c>
      <c r="B2550" s="9" t="s">
        <v>49</v>
      </c>
      <c r="C2550" s="10">
        <v>45468</v>
      </c>
      <c r="D2550" s="15">
        <v>1.212</v>
      </c>
      <c r="E2550" s="15">
        <v>1.212</v>
      </c>
      <c r="F2550" s="15">
        <v>1.212</v>
      </c>
      <c r="G2550" s="11">
        <v>0.0007</v>
      </c>
      <c r="H2550" s="9">
        <f>MAX($F$2174:F2550)</f>
        <v>1.2511</v>
      </c>
      <c r="I2550" s="11">
        <f t="shared" si="62"/>
        <v>0.0312524978019344</v>
      </c>
      <c r="J2550" s="9"/>
      <c r="K2550" s="11"/>
      <c r="L2550" s="9">
        <f>MAX($F$2358:F2550)</f>
        <v>1.2511</v>
      </c>
      <c r="M2550" s="11">
        <f t="shared" ref="M2550:M2613" si="63">1-F2550/L2550</f>
        <v>0.0312524978019344</v>
      </c>
      <c r="N2550" s="9" t="s">
        <v>789</v>
      </c>
    </row>
    <row r="2551" ht="25" customHeight="1" spans="1:14">
      <c r="A2551" s="9" t="s">
        <v>53</v>
      </c>
      <c r="B2551" s="9" t="s">
        <v>49</v>
      </c>
      <c r="C2551" s="10">
        <v>45469</v>
      </c>
      <c r="D2551" s="15">
        <v>1.2057</v>
      </c>
      <c r="E2551" s="15">
        <v>1.2057</v>
      </c>
      <c r="F2551" s="15">
        <v>1.2057</v>
      </c>
      <c r="G2551" s="11">
        <v>-0.0052</v>
      </c>
      <c r="H2551" s="9">
        <f>MAX($F$2174:F2551)</f>
        <v>1.2511</v>
      </c>
      <c r="I2551" s="11">
        <f t="shared" si="62"/>
        <v>0.0362880665014788</v>
      </c>
      <c r="J2551" s="9"/>
      <c r="K2551" s="11"/>
      <c r="L2551" s="9">
        <f>MAX($F$2358:F2551)</f>
        <v>1.2511</v>
      </c>
      <c r="M2551" s="11">
        <f t="shared" si="63"/>
        <v>0.0362880665014788</v>
      </c>
      <c r="N2551" s="9" t="s">
        <v>789</v>
      </c>
    </row>
    <row r="2552" ht="25" customHeight="1" spans="1:14">
      <c r="A2552" s="9" t="s">
        <v>53</v>
      </c>
      <c r="B2552" s="9" t="s">
        <v>49</v>
      </c>
      <c r="C2552" s="10">
        <v>45470</v>
      </c>
      <c r="D2552" s="15">
        <v>1.2015</v>
      </c>
      <c r="E2552" s="15">
        <v>1.2015</v>
      </c>
      <c r="F2552" s="15">
        <v>1.2015</v>
      </c>
      <c r="G2552" s="11">
        <v>-0.0035</v>
      </c>
      <c r="H2552" s="9">
        <f>MAX($F$2174:F2552)</f>
        <v>1.2511</v>
      </c>
      <c r="I2552" s="11">
        <f t="shared" si="62"/>
        <v>0.0396451123011751</v>
      </c>
      <c r="J2552" s="9"/>
      <c r="K2552" s="11"/>
      <c r="L2552" s="9">
        <f>MAX($F$2358:F2552)</f>
        <v>1.2511</v>
      </c>
      <c r="M2552" s="11">
        <f t="shared" si="63"/>
        <v>0.0396451123011751</v>
      </c>
      <c r="N2552" s="9" t="s">
        <v>789</v>
      </c>
    </row>
    <row r="2553" ht="25" customHeight="1" spans="1:14">
      <c r="A2553" s="9" t="s">
        <v>53</v>
      </c>
      <c r="B2553" s="9" t="s">
        <v>49</v>
      </c>
      <c r="C2553" s="10">
        <v>45471</v>
      </c>
      <c r="D2553" s="15">
        <v>1.2036</v>
      </c>
      <c r="E2553" s="15">
        <v>1.2036</v>
      </c>
      <c r="F2553" s="15">
        <v>1.2036</v>
      </c>
      <c r="G2553" s="11">
        <v>0.0017</v>
      </c>
      <c r="H2553" s="9">
        <f>MAX($F$2174:F2553)</f>
        <v>1.2511</v>
      </c>
      <c r="I2553" s="11">
        <f t="shared" si="62"/>
        <v>0.0379665894013269</v>
      </c>
      <c r="J2553" s="9"/>
      <c r="K2553" s="11"/>
      <c r="L2553" s="9">
        <f>MAX($F$2358:F2553)</f>
        <v>1.2511</v>
      </c>
      <c r="M2553" s="11">
        <f t="shared" si="63"/>
        <v>0.0379665894013269</v>
      </c>
      <c r="N2553" s="9" t="s">
        <v>789</v>
      </c>
    </row>
    <row r="2554" ht="25" customHeight="1" spans="1:14">
      <c r="A2554" s="9" t="s">
        <v>53</v>
      </c>
      <c r="B2554" s="9" t="s">
        <v>49</v>
      </c>
      <c r="C2554" s="10">
        <v>45474</v>
      </c>
      <c r="D2554" s="15">
        <v>1.1996</v>
      </c>
      <c r="E2554" s="15">
        <v>1.1996</v>
      </c>
      <c r="F2554" s="15">
        <v>1.1996</v>
      </c>
      <c r="G2554" s="11">
        <v>-0.0033</v>
      </c>
      <c r="H2554" s="9">
        <f>MAX($F$2174:F2554)</f>
        <v>1.2511</v>
      </c>
      <c r="I2554" s="11">
        <f t="shared" si="62"/>
        <v>0.0411637758772281</v>
      </c>
      <c r="J2554" s="9"/>
      <c r="K2554" s="11"/>
      <c r="L2554" s="9">
        <f>MAX($F$2358:F2554)</f>
        <v>1.2511</v>
      </c>
      <c r="M2554" s="11">
        <f t="shared" si="63"/>
        <v>0.0411637758772281</v>
      </c>
      <c r="N2554" s="9" t="s">
        <v>789</v>
      </c>
    </row>
    <row r="2555" ht="25" customHeight="1" spans="1:14">
      <c r="A2555" s="9" t="s">
        <v>53</v>
      </c>
      <c r="B2555" s="9" t="s">
        <v>49</v>
      </c>
      <c r="C2555" s="10">
        <v>45475</v>
      </c>
      <c r="D2555" s="15">
        <v>1.2172</v>
      </c>
      <c r="E2555" s="15">
        <v>1.2172</v>
      </c>
      <c r="F2555" s="15">
        <v>1.2172</v>
      </c>
      <c r="G2555" s="11">
        <v>0.0147</v>
      </c>
      <c r="H2555" s="9">
        <f>MAX($F$2174:F2555)</f>
        <v>1.2511</v>
      </c>
      <c r="I2555" s="11">
        <f t="shared" si="62"/>
        <v>0.0270961553832627</v>
      </c>
      <c r="J2555" s="9"/>
      <c r="K2555" s="11"/>
      <c r="L2555" s="9">
        <f>MAX($F$2358:F2555)</f>
        <v>1.2511</v>
      </c>
      <c r="M2555" s="11">
        <f t="shared" si="63"/>
        <v>0.0270961553832627</v>
      </c>
      <c r="N2555" s="9" t="s">
        <v>789</v>
      </c>
    </row>
    <row r="2556" ht="25" customHeight="1" spans="1:14">
      <c r="A2556" s="9" t="s">
        <v>53</v>
      </c>
      <c r="B2556" s="9" t="s">
        <v>49</v>
      </c>
      <c r="C2556" s="10">
        <v>45476</v>
      </c>
      <c r="D2556" s="15">
        <v>1.2283</v>
      </c>
      <c r="E2556" s="15">
        <v>1.2283</v>
      </c>
      <c r="F2556" s="15">
        <v>1.2283</v>
      </c>
      <c r="G2556" s="11">
        <v>0.0091</v>
      </c>
      <c r="H2556" s="9">
        <f>MAX($F$2174:F2556)</f>
        <v>1.2511</v>
      </c>
      <c r="I2556" s="11">
        <f t="shared" si="62"/>
        <v>0.0182239629126369</v>
      </c>
      <c r="J2556" s="9"/>
      <c r="K2556" s="11"/>
      <c r="L2556" s="9">
        <f>MAX($F$2358:F2556)</f>
        <v>1.2511</v>
      </c>
      <c r="M2556" s="11">
        <f t="shared" si="63"/>
        <v>0.0182239629126369</v>
      </c>
      <c r="N2556" s="9" t="s">
        <v>789</v>
      </c>
    </row>
    <row r="2557" ht="25" customHeight="1" spans="1:14">
      <c r="A2557" s="9" t="s">
        <v>53</v>
      </c>
      <c r="B2557" s="9" t="s">
        <v>49</v>
      </c>
      <c r="C2557" s="10">
        <v>45477</v>
      </c>
      <c r="D2557" s="15">
        <v>1.2333</v>
      </c>
      <c r="E2557" s="15">
        <v>1.2333</v>
      </c>
      <c r="F2557" s="15">
        <v>1.2333</v>
      </c>
      <c r="G2557" s="11">
        <v>0.0041</v>
      </c>
      <c r="H2557" s="9">
        <f>MAX($F$2174:F2557)</f>
        <v>1.2511</v>
      </c>
      <c r="I2557" s="11">
        <f t="shared" si="62"/>
        <v>0.0142274798177604</v>
      </c>
      <c r="J2557" s="9"/>
      <c r="K2557" s="11"/>
      <c r="L2557" s="9">
        <f>MAX($F$2358:F2557)</f>
        <v>1.2511</v>
      </c>
      <c r="M2557" s="11">
        <f t="shared" si="63"/>
        <v>0.0142274798177604</v>
      </c>
      <c r="N2557" s="9" t="s">
        <v>789</v>
      </c>
    </row>
    <row r="2558" ht="25" customHeight="1" spans="1:14">
      <c r="A2558" s="9" t="s">
        <v>53</v>
      </c>
      <c r="B2558" s="9" t="s">
        <v>49</v>
      </c>
      <c r="C2558" s="10">
        <v>45478</v>
      </c>
      <c r="D2558" s="15">
        <v>1.2283</v>
      </c>
      <c r="E2558" s="15">
        <v>1.2283</v>
      </c>
      <c r="F2558" s="15">
        <v>1.2283</v>
      </c>
      <c r="G2558" s="11">
        <v>-0.0041</v>
      </c>
      <c r="H2558" s="9">
        <f>MAX($F$2174:F2558)</f>
        <v>1.2511</v>
      </c>
      <c r="I2558" s="11">
        <f t="shared" si="62"/>
        <v>0.0182239629126369</v>
      </c>
      <c r="J2558" s="9"/>
      <c r="K2558" s="11"/>
      <c r="L2558" s="9">
        <f>MAX($F$2358:F2558)</f>
        <v>1.2511</v>
      </c>
      <c r="M2558" s="11">
        <f t="shared" si="63"/>
        <v>0.0182239629126369</v>
      </c>
      <c r="N2558" s="9" t="s">
        <v>789</v>
      </c>
    </row>
    <row r="2559" ht="25" customHeight="1" spans="1:14">
      <c r="A2559" s="9" t="s">
        <v>53</v>
      </c>
      <c r="B2559" s="9" t="s">
        <v>49</v>
      </c>
      <c r="C2559" s="10">
        <v>45481</v>
      </c>
      <c r="D2559" s="15">
        <v>1.236</v>
      </c>
      <c r="E2559" s="15">
        <v>1.236</v>
      </c>
      <c r="F2559" s="15">
        <v>1.236</v>
      </c>
      <c r="G2559" s="11">
        <v>0.0063</v>
      </c>
      <c r="H2559" s="9">
        <f>MAX($F$2174:F2559)</f>
        <v>1.2511</v>
      </c>
      <c r="I2559" s="11">
        <f t="shared" si="62"/>
        <v>0.0120693789465272</v>
      </c>
      <c r="J2559" s="9"/>
      <c r="K2559" s="11"/>
      <c r="L2559" s="9">
        <f>MAX($F$2358:F2559)</f>
        <v>1.2511</v>
      </c>
      <c r="M2559" s="11">
        <f t="shared" si="63"/>
        <v>0.0120693789465272</v>
      </c>
      <c r="N2559" s="9" t="s">
        <v>789</v>
      </c>
    </row>
    <row r="2560" ht="25" customHeight="1" spans="1:14">
      <c r="A2560" s="9" t="s">
        <v>53</v>
      </c>
      <c r="B2560" s="9" t="s">
        <v>49</v>
      </c>
      <c r="C2560" s="10">
        <v>45482</v>
      </c>
      <c r="D2560" s="15">
        <v>1.2346</v>
      </c>
      <c r="E2560" s="15">
        <v>1.2346</v>
      </c>
      <c r="F2560" s="15">
        <v>1.2346</v>
      </c>
      <c r="G2560" s="11">
        <v>-0.0011</v>
      </c>
      <c r="H2560" s="9">
        <f>MAX($F$2174:F2560)</f>
        <v>1.2511</v>
      </c>
      <c r="I2560" s="11">
        <f t="shared" si="62"/>
        <v>0.0131883942130926</v>
      </c>
      <c r="J2560" s="9"/>
      <c r="K2560" s="11"/>
      <c r="L2560" s="9">
        <f>MAX($F$2358:F2560)</f>
        <v>1.2511</v>
      </c>
      <c r="M2560" s="11">
        <f t="shared" si="63"/>
        <v>0.0131883942130926</v>
      </c>
      <c r="N2560" s="9" t="s">
        <v>789</v>
      </c>
    </row>
    <row r="2561" ht="25" customHeight="1" spans="1:14">
      <c r="A2561" s="9" t="s">
        <v>53</v>
      </c>
      <c r="B2561" s="9" t="s">
        <v>49</v>
      </c>
      <c r="C2561" s="10">
        <v>45483</v>
      </c>
      <c r="D2561" s="15">
        <v>1.2444</v>
      </c>
      <c r="E2561" s="15">
        <v>1.2444</v>
      </c>
      <c r="F2561" s="15">
        <v>1.2444</v>
      </c>
      <c r="G2561" s="11">
        <v>0.0079</v>
      </c>
      <c r="H2561" s="9">
        <f>MAX($F$2174:F2561)</f>
        <v>1.2511</v>
      </c>
      <c r="I2561" s="11">
        <f t="shared" si="62"/>
        <v>0.00535528734713464</v>
      </c>
      <c r="J2561" s="9"/>
      <c r="K2561" s="11"/>
      <c r="L2561" s="9">
        <f>MAX($F$2358:F2561)</f>
        <v>1.2511</v>
      </c>
      <c r="M2561" s="11">
        <f t="shared" si="63"/>
        <v>0.00535528734713464</v>
      </c>
      <c r="N2561" s="9" t="s">
        <v>789</v>
      </c>
    </row>
    <row r="2562" ht="25" customHeight="1" spans="1:14">
      <c r="A2562" s="9" t="s">
        <v>53</v>
      </c>
      <c r="B2562" s="9" t="s">
        <v>49</v>
      </c>
      <c r="C2562" s="10">
        <v>45484</v>
      </c>
      <c r="D2562" s="15">
        <v>1.246</v>
      </c>
      <c r="E2562" s="15">
        <v>1.246</v>
      </c>
      <c r="F2562" s="15">
        <v>1.246</v>
      </c>
      <c r="G2562" s="11">
        <v>0.0013</v>
      </c>
      <c r="H2562" s="9">
        <f>MAX($F$2174:F2562)</f>
        <v>1.2511</v>
      </c>
      <c r="I2562" s="11">
        <f t="shared" ref="I2562:I2625" si="64">1-F2562/H2562</f>
        <v>0.00407641275677417</v>
      </c>
      <c r="J2562" s="9"/>
      <c r="K2562" s="11"/>
      <c r="L2562" s="9">
        <f>MAX($F$2358:F2562)</f>
        <v>1.2511</v>
      </c>
      <c r="M2562" s="11">
        <f t="shared" si="63"/>
        <v>0.00407641275677417</v>
      </c>
      <c r="N2562" s="9" t="s">
        <v>789</v>
      </c>
    </row>
    <row r="2563" ht="25" customHeight="1" spans="1:14">
      <c r="A2563" s="9" t="s">
        <v>53</v>
      </c>
      <c r="B2563" s="9" t="s">
        <v>49</v>
      </c>
      <c r="C2563" s="10">
        <v>45485</v>
      </c>
      <c r="D2563" s="15">
        <v>1.2369</v>
      </c>
      <c r="E2563" s="15">
        <v>1.2369</v>
      </c>
      <c r="F2563" s="15">
        <v>1.2369</v>
      </c>
      <c r="G2563" s="11">
        <v>-0.0073</v>
      </c>
      <c r="H2563" s="9">
        <f>MAX($F$2174:F2563)</f>
        <v>1.2511</v>
      </c>
      <c r="I2563" s="11">
        <f t="shared" si="64"/>
        <v>0.0113500119894493</v>
      </c>
      <c r="J2563" s="9"/>
      <c r="K2563" s="11"/>
      <c r="L2563" s="9">
        <f>MAX($F$2358:F2563)</f>
        <v>1.2511</v>
      </c>
      <c r="M2563" s="11">
        <f t="shared" si="63"/>
        <v>0.0113500119894493</v>
      </c>
      <c r="N2563" s="9" t="s">
        <v>789</v>
      </c>
    </row>
    <row r="2564" ht="25" customHeight="1" spans="1:14">
      <c r="A2564" s="9" t="s">
        <v>53</v>
      </c>
      <c r="B2564" s="9" t="s">
        <v>49</v>
      </c>
      <c r="C2564" s="10">
        <v>45488</v>
      </c>
      <c r="D2564" s="15">
        <v>1.2285</v>
      </c>
      <c r="E2564" s="15">
        <v>1.2285</v>
      </c>
      <c r="F2564" s="15">
        <v>1.2285</v>
      </c>
      <c r="G2564" s="11">
        <v>-0.0068</v>
      </c>
      <c r="H2564" s="9">
        <f>MAX($F$2174:F2564)</f>
        <v>1.2511</v>
      </c>
      <c r="I2564" s="11">
        <f t="shared" si="64"/>
        <v>0.0180641035888419</v>
      </c>
      <c r="J2564" s="9"/>
      <c r="K2564" s="11"/>
      <c r="L2564" s="9">
        <f>MAX($F$2358:F2564)</f>
        <v>1.2511</v>
      </c>
      <c r="M2564" s="11">
        <f t="shared" si="63"/>
        <v>0.0180641035888419</v>
      </c>
      <c r="N2564" s="9" t="s">
        <v>789</v>
      </c>
    </row>
    <row r="2565" ht="25" customHeight="1" spans="1:14">
      <c r="A2565" s="9" t="s">
        <v>53</v>
      </c>
      <c r="B2565" s="9" t="s">
        <v>49</v>
      </c>
      <c r="C2565" s="10">
        <v>45489</v>
      </c>
      <c r="D2565" s="15">
        <v>1.2189</v>
      </c>
      <c r="E2565" s="15">
        <v>1.2189</v>
      </c>
      <c r="F2565" s="15">
        <v>1.2189</v>
      </c>
      <c r="G2565" s="11">
        <v>-0.0078</v>
      </c>
      <c r="H2565" s="9">
        <f>MAX($F$2174:F2565)</f>
        <v>1.2511</v>
      </c>
      <c r="I2565" s="11">
        <f t="shared" si="64"/>
        <v>0.0257373511310047</v>
      </c>
      <c r="J2565" s="9"/>
      <c r="K2565" s="11"/>
      <c r="L2565" s="9">
        <f>MAX($F$2358:F2565)</f>
        <v>1.2511</v>
      </c>
      <c r="M2565" s="11">
        <f t="shared" si="63"/>
        <v>0.0257373511310047</v>
      </c>
      <c r="N2565" s="9" t="s">
        <v>789</v>
      </c>
    </row>
    <row r="2566" ht="25" customHeight="1" spans="1:14">
      <c r="A2566" s="9" t="s">
        <v>53</v>
      </c>
      <c r="B2566" s="9" t="s">
        <v>49</v>
      </c>
      <c r="C2566" s="10">
        <v>45490</v>
      </c>
      <c r="D2566" s="15">
        <v>1.196</v>
      </c>
      <c r="E2566" s="15">
        <v>1.196</v>
      </c>
      <c r="F2566" s="15">
        <v>1.196</v>
      </c>
      <c r="G2566" s="11">
        <v>-0.0188</v>
      </c>
      <c r="H2566" s="9">
        <f>MAX($F$2174:F2566)</f>
        <v>1.2511</v>
      </c>
      <c r="I2566" s="11">
        <f t="shared" si="64"/>
        <v>0.0440412437055392</v>
      </c>
      <c r="J2566" s="9"/>
      <c r="K2566" s="11"/>
      <c r="L2566" s="9">
        <f>MAX($F$2358:F2566)</f>
        <v>1.2511</v>
      </c>
      <c r="M2566" s="11">
        <f t="shared" si="63"/>
        <v>0.0440412437055392</v>
      </c>
      <c r="N2566" s="9" t="s">
        <v>789</v>
      </c>
    </row>
    <row r="2567" ht="25" customHeight="1" spans="1:14">
      <c r="A2567" s="9" t="s">
        <v>53</v>
      </c>
      <c r="B2567" s="9" t="s">
        <v>49</v>
      </c>
      <c r="C2567" s="10">
        <v>45491</v>
      </c>
      <c r="D2567" s="15">
        <v>1.2099</v>
      </c>
      <c r="E2567" s="15">
        <v>1.2099</v>
      </c>
      <c r="F2567" s="15">
        <v>1.2099</v>
      </c>
      <c r="G2567" s="11">
        <v>0.0116</v>
      </c>
      <c r="H2567" s="9">
        <f>MAX($F$2174:F2567)</f>
        <v>1.2511</v>
      </c>
      <c r="I2567" s="11">
        <f t="shared" si="64"/>
        <v>0.0329310207017826</v>
      </c>
      <c r="J2567" s="9"/>
      <c r="K2567" s="11"/>
      <c r="L2567" s="9">
        <f>MAX($F$2358:F2567)</f>
        <v>1.2511</v>
      </c>
      <c r="M2567" s="11">
        <f t="shared" si="63"/>
        <v>0.0329310207017826</v>
      </c>
      <c r="N2567" s="9" t="s">
        <v>789</v>
      </c>
    </row>
    <row r="2568" ht="25" customHeight="1" spans="1:14">
      <c r="A2568" s="9" t="s">
        <v>53</v>
      </c>
      <c r="B2568" s="9" t="s">
        <v>49</v>
      </c>
      <c r="C2568" s="10">
        <v>45492</v>
      </c>
      <c r="D2568" s="15">
        <v>1.203</v>
      </c>
      <c r="E2568" s="15">
        <v>1.203</v>
      </c>
      <c r="F2568" s="15">
        <v>1.203</v>
      </c>
      <c r="G2568" s="11">
        <v>-0.0057</v>
      </c>
      <c r="H2568" s="9">
        <f>MAX($F$2174:F2568)</f>
        <v>1.2511</v>
      </c>
      <c r="I2568" s="11">
        <f t="shared" si="64"/>
        <v>0.038446167372712</v>
      </c>
      <c r="J2568" s="9"/>
      <c r="K2568" s="11"/>
      <c r="L2568" s="9">
        <f>MAX($F$2358:F2568)</f>
        <v>1.2511</v>
      </c>
      <c r="M2568" s="11">
        <f t="shared" si="63"/>
        <v>0.038446167372712</v>
      </c>
      <c r="N2568" s="9" t="s">
        <v>789</v>
      </c>
    </row>
    <row r="2569" ht="25" customHeight="1" spans="1:14">
      <c r="A2569" s="9" t="s">
        <v>53</v>
      </c>
      <c r="B2569" s="9" t="s">
        <v>49</v>
      </c>
      <c r="C2569" s="10">
        <v>45495</v>
      </c>
      <c r="D2569" s="15">
        <v>1.2199</v>
      </c>
      <c r="E2569" s="15">
        <v>1.2199</v>
      </c>
      <c r="F2569" s="15">
        <v>1.2199</v>
      </c>
      <c r="G2569" s="11">
        <v>0.014</v>
      </c>
      <c r="H2569" s="9">
        <f>MAX($F$2174:F2569)</f>
        <v>1.2511</v>
      </c>
      <c r="I2569" s="11">
        <f t="shared" si="64"/>
        <v>0.0249380545120295</v>
      </c>
      <c r="J2569" s="9"/>
      <c r="K2569" s="11"/>
      <c r="L2569" s="9">
        <f>MAX($F$2358:F2569)</f>
        <v>1.2511</v>
      </c>
      <c r="M2569" s="11">
        <f t="shared" si="63"/>
        <v>0.0249380545120295</v>
      </c>
      <c r="N2569" s="9" t="s">
        <v>789</v>
      </c>
    </row>
    <row r="2570" ht="25" customHeight="1" spans="1:14">
      <c r="A2570" s="9" t="s">
        <v>53</v>
      </c>
      <c r="B2570" s="9" t="s">
        <v>49</v>
      </c>
      <c r="C2570" s="10">
        <v>45496</v>
      </c>
      <c r="D2570" s="15">
        <v>1.2505</v>
      </c>
      <c r="E2570" s="15">
        <v>1.2505</v>
      </c>
      <c r="F2570" s="15">
        <v>1.2505</v>
      </c>
      <c r="G2570" s="11">
        <v>0.0251</v>
      </c>
      <c r="H2570" s="9">
        <f>MAX($F$2174:F2570)</f>
        <v>1.2511</v>
      </c>
      <c r="I2570" s="11">
        <f t="shared" si="64"/>
        <v>0.000479577971385314</v>
      </c>
      <c r="J2570" s="9"/>
      <c r="K2570" s="11"/>
      <c r="L2570" s="9">
        <f>MAX($F$2358:F2570)</f>
        <v>1.2511</v>
      </c>
      <c r="M2570" s="11">
        <f t="shared" si="63"/>
        <v>0.000479577971385314</v>
      </c>
      <c r="N2570" s="9" t="s">
        <v>789</v>
      </c>
    </row>
    <row r="2571" ht="25" customHeight="1" spans="1:14">
      <c r="A2571" s="9" t="s">
        <v>53</v>
      </c>
      <c r="B2571" s="9" t="s">
        <v>49</v>
      </c>
      <c r="C2571" s="10">
        <v>45497</v>
      </c>
      <c r="D2571" s="15">
        <v>1.2471</v>
      </c>
      <c r="E2571" s="15">
        <v>1.2471</v>
      </c>
      <c r="F2571" s="15">
        <v>1.2471</v>
      </c>
      <c r="G2571" s="11">
        <v>-0.0027</v>
      </c>
      <c r="H2571" s="9">
        <f>MAX($F$2174:F2571)</f>
        <v>1.2511</v>
      </c>
      <c r="I2571" s="11">
        <f t="shared" si="64"/>
        <v>0.00319718647590117</v>
      </c>
      <c r="J2571" s="9"/>
      <c r="K2571" s="11"/>
      <c r="L2571" s="9">
        <f>MAX($F$2358:F2571)</f>
        <v>1.2511</v>
      </c>
      <c r="M2571" s="11">
        <f t="shared" si="63"/>
        <v>0.00319718647590117</v>
      </c>
      <c r="N2571" s="9" t="s">
        <v>789</v>
      </c>
    </row>
    <row r="2572" ht="25" customHeight="1" spans="1:14">
      <c r="A2572" s="9" t="s">
        <v>53</v>
      </c>
      <c r="B2572" s="9" t="s">
        <v>49</v>
      </c>
      <c r="C2572" s="10">
        <v>45498</v>
      </c>
      <c r="D2572" s="15">
        <v>1.2539</v>
      </c>
      <c r="E2572" s="15">
        <v>1.2539</v>
      </c>
      <c r="F2572" s="15">
        <v>1.2539</v>
      </c>
      <c r="G2572" s="11">
        <v>0.0055</v>
      </c>
      <c r="H2572" s="9">
        <f>MAX($F$2174:F2572)</f>
        <v>1.2539</v>
      </c>
      <c r="I2572" s="11">
        <f t="shared" si="64"/>
        <v>0</v>
      </c>
      <c r="J2572" s="9"/>
      <c r="K2572" s="11"/>
      <c r="L2572" s="9">
        <f>MAX($F$2358:F2572)</f>
        <v>1.2539</v>
      </c>
      <c r="M2572" s="11">
        <f t="shared" si="63"/>
        <v>0</v>
      </c>
      <c r="N2572" s="9" t="s">
        <v>789</v>
      </c>
    </row>
    <row r="2573" ht="25" customHeight="1" spans="1:14">
      <c r="A2573" s="9" t="s">
        <v>53</v>
      </c>
      <c r="B2573" s="9" t="s">
        <v>49</v>
      </c>
      <c r="C2573" s="10">
        <v>45499</v>
      </c>
      <c r="D2573" s="15">
        <v>1.2588</v>
      </c>
      <c r="E2573" s="15">
        <v>1.2588</v>
      </c>
      <c r="F2573" s="15">
        <v>1.2588</v>
      </c>
      <c r="G2573" s="11">
        <v>0.0039</v>
      </c>
      <c r="H2573" s="9">
        <f>MAX($F$2174:F2573)</f>
        <v>1.2588</v>
      </c>
      <c r="I2573" s="11">
        <f t="shared" si="64"/>
        <v>0</v>
      </c>
      <c r="J2573" s="9"/>
      <c r="K2573" s="11"/>
      <c r="L2573" s="9">
        <f>MAX($F$2358:F2573)</f>
        <v>1.2588</v>
      </c>
      <c r="M2573" s="11">
        <f t="shared" si="63"/>
        <v>0</v>
      </c>
      <c r="N2573" s="9" t="s">
        <v>789</v>
      </c>
    </row>
    <row r="2574" ht="25" customHeight="1" spans="1:14">
      <c r="A2574" s="9" t="s">
        <v>53</v>
      </c>
      <c r="B2574" s="9" t="s">
        <v>49</v>
      </c>
      <c r="C2574" s="10">
        <v>45502</v>
      </c>
      <c r="D2574" s="15">
        <v>1.2371</v>
      </c>
      <c r="E2574" s="15">
        <v>1.2371</v>
      </c>
      <c r="F2574" s="15">
        <v>1.2371</v>
      </c>
      <c r="G2574" s="11">
        <v>-0.0172</v>
      </c>
      <c r="H2574" s="9">
        <f>MAX($F$2174:F2574)</f>
        <v>1.2588</v>
      </c>
      <c r="I2574" s="11">
        <f t="shared" si="64"/>
        <v>0.0172386399745789</v>
      </c>
      <c r="J2574" s="9"/>
      <c r="K2574" s="11"/>
      <c r="L2574" s="9">
        <f>MAX($F$2358:F2574)</f>
        <v>1.2588</v>
      </c>
      <c r="M2574" s="11">
        <f t="shared" si="63"/>
        <v>0.0172386399745789</v>
      </c>
      <c r="N2574" s="9" t="s">
        <v>789</v>
      </c>
    </row>
    <row r="2575" ht="25" customHeight="1" spans="1:14">
      <c r="A2575" s="9" t="s">
        <v>53</v>
      </c>
      <c r="B2575" s="9" t="s">
        <v>49</v>
      </c>
      <c r="C2575" s="10">
        <v>45503</v>
      </c>
      <c r="D2575" s="15">
        <v>1.2461</v>
      </c>
      <c r="E2575" s="15">
        <v>1.2461</v>
      </c>
      <c r="F2575" s="15">
        <v>1.2461</v>
      </c>
      <c r="G2575" s="11">
        <v>0.0073</v>
      </c>
      <c r="H2575" s="9">
        <f>MAX($F$2174:F2575)</f>
        <v>1.2588</v>
      </c>
      <c r="I2575" s="11">
        <f t="shared" si="64"/>
        <v>0.0100889736256752</v>
      </c>
      <c r="J2575" s="9"/>
      <c r="K2575" s="11"/>
      <c r="L2575" s="9">
        <f>MAX($F$2358:F2575)</f>
        <v>1.2588</v>
      </c>
      <c r="M2575" s="11">
        <f t="shared" si="63"/>
        <v>0.0100889736256752</v>
      </c>
      <c r="N2575" s="9" t="s">
        <v>789</v>
      </c>
    </row>
    <row r="2576" ht="25" customHeight="1" spans="1:14">
      <c r="A2576" s="9" t="s">
        <v>53</v>
      </c>
      <c r="B2576" s="9" t="s">
        <v>49</v>
      </c>
      <c r="C2576" s="10">
        <v>45504</v>
      </c>
      <c r="D2576" s="15">
        <v>1.2423</v>
      </c>
      <c r="E2576" s="15">
        <v>1.2423</v>
      </c>
      <c r="F2576" s="15">
        <v>1.2423</v>
      </c>
      <c r="G2576" s="11">
        <v>-0.003</v>
      </c>
      <c r="H2576" s="9">
        <f>MAX($F$2174:F2576)</f>
        <v>1.2588</v>
      </c>
      <c r="I2576" s="11">
        <f t="shared" si="64"/>
        <v>0.0131077216396568</v>
      </c>
      <c r="J2576" s="9"/>
      <c r="K2576" s="11"/>
      <c r="L2576" s="9">
        <f>MAX($F$2358:F2576)</f>
        <v>1.2588</v>
      </c>
      <c r="M2576" s="11">
        <f t="shared" si="63"/>
        <v>0.0131077216396568</v>
      </c>
      <c r="N2576" s="9" t="s">
        <v>789</v>
      </c>
    </row>
    <row r="2577" ht="25" customHeight="1" spans="1:14">
      <c r="A2577" s="9" t="s">
        <v>53</v>
      </c>
      <c r="B2577" s="9" t="s">
        <v>49</v>
      </c>
      <c r="C2577" s="10">
        <v>45505</v>
      </c>
      <c r="D2577" s="15">
        <v>1.2518</v>
      </c>
      <c r="E2577" s="15">
        <v>1.2518</v>
      </c>
      <c r="F2577" s="15">
        <v>1.2518</v>
      </c>
      <c r="G2577" s="11">
        <v>0.0076</v>
      </c>
      <c r="H2577" s="9">
        <f>MAX($F$2174:F2577)</f>
        <v>1.2588</v>
      </c>
      <c r="I2577" s="11">
        <f t="shared" si="64"/>
        <v>0.00556085160470277</v>
      </c>
      <c r="J2577" s="9"/>
      <c r="K2577" s="11"/>
      <c r="L2577" s="9">
        <f>MAX($F$2358:F2577)</f>
        <v>1.2588</v>
      </c>
      <c r="M2577" s="11">
        <f t="shared" si="63"/>
        <v>0.00556085160470277</v>
      </c>
      <c r="N2577" s="9" t="s">
        <v>789</v>
      </c>
    </row>
    <row r="2578" ht="25" customHeight="1" spans="1:14">
      <c r="A2578" s="9" t="s">
        <v>53</v>
      </c>
      <c r="B2578" s="9" t="s">
        <v>49</v>
      </c>
      <c r="C2578" s="10">
        <v>45506</v>
      </c>
      <c r="D2578" s="15">
        <v>1.2537</v>
      </c>
      <c r="E2578" s="15">
        <v>1.2537</v>
      </c>
      <c r="F2578" s="15">
        <v>1.2537</v>
      </c>
      <c r="G2578" s="11">
        <v>0.0015</v>
      </c>
      <c r="H2578" s="9">
        <f>MAX($F$2174:F2578)</f>
        <v>1.2588</v>
      </c>
      <c r="I2578" s="11">
        <f t="shared" si="64"/>
        <v>0.00405147759771196</v>
      </c>
      <c r="J2578" s="9"/>
      <c r="K2578" s="11"/>
      <c r="L2578" s="9">
        <f>MAX($F$2358:F2578)</f>
        <v>1.2588</v>
      </c>
      <c r="M2578" s="11">
        <f t="shared" si="63"/>
        <v>0.00405147759771196</v>
      </c>
      <c r="N2578" s="9" t="s">
        <v>789</v>
      </c>
    </row>
    <row r="2579" ht="25" customHeight="1" spans="1:14">
      <c r="A2579" s="9" t="s">
        <v>53</v>
      </c>
      <c r="B2579" s="9" t="s">
        <v>49</v>
      </c>
      <c r="C2579" s="10">
        <v>45509</v>
      </c>
      <c r="D2579" s="15">
        <v>1.2598</v>
      </c>
      <c r="E2579" s="15">
        <v>1.2598</v>
      </c>
      <c r="F2579" s="15">
        <v>1.2598</v>
      </c>
      <c r="G2579" s="11">
        <v>0.0049</v>
      </c>
      <c r="H2579" s="9">
        <f>MAX($F$2174:F2579)</f>
        <v>1.2598</v>
      </c>
      <c r="I2579" s="11">
        <f t="shared" si="64"/>
        <v>0</v>
      </c>
      <c r="J2579" s="9"/>
      <c r="K2579" s="11"/>
      <c r="L2579" s="9">
        <f>MAX($F$2358:F2579)</f>
        <v>1.2598</v>
      </c>
      <c r="M2579" s="11">
        <f t="shared" si="63"/>
        <v>0</v>
      </c>
      <c r="N2579" s="9" t="s">
        <v>789</v>
      </c>
    </row>
    <row r="2580" ht="25" customHeight="1" spans="1:14">
      <c r="A2580" s="9" t="s">
        <v>53</v>
      </c>
      <c r="B2580" s="9" t="s">
        <v>49</v>
      </c>
      <c r="C2580" s="10">
        <v>45510</v>
      </c>
      <c r="D2580" s="15">
        <v>1.2495</v>
      </c>
      <c r="E2580" s="15">
        <v>1.2495</v>
      </c>
      <c r="F2580" s="15">
        <v>1.2495</v>
      </c>
      <c r="G2580" s="11">
        <v>-0.0082</v>
      </c>
      <c r="H2580" s="9">
        <f>MAX($F$2174:F2580)</f>
        <v>1.2598</v>
      </c>
      <c r="I2580" s="11">
        <f t="shared" si="64"/>
        <v>0.00817590093665654</v>
      </c>
      <c r="J2580" s="9"/>
      <c r="K2580" s="11"/>
      <c r="L2580" s="9">
        <f>MAX($F$2358:F2580)</f>
        <v>1.2598</v>
      </c>
      <c r="M2580" s="11">
        <f t="shared" si="63"/>
        <v>0.00817590093665654</v>
      </c>
      <c r="N2580" s="9" t="s">
        <v>789</v>
      </c>
    </row>
    <row r="2581" ht="25" customHeight="1" spans="1:14">
      <c r="A2581" s="9" t="s">
        <v>53</v>
      </c>
      <c r="B2581" s="9" t="s">
        <v>49</v>
      </c>
      <c r="C2581" s="10">
        <v>45511</v>
      </c>
      <c r="D2581" s="15">
        <v>1.2496</v>
      </c>
      <c r="E2581" s="15">
        <v>1.2496</v>
      </c>
      <c r="F2581" s="15">
        <v>1.2496</v>
      </c>
      <c r="G2581" s="11">
        <v>0.0001</v>
      </c>
      <c r="H2581" s="9">
        <f>MAX($F$2174:F2581)</f>
        <v>1.2598</v>
      </c>
      <c r="I2581" s="11">
        <f t="shared" si="64"/>
        <v>0.00809652325765997</v>
      </c>
      <c r="J2581" s="9"/>
      <c r="K2581" s="11"/>
      <c r="L2581" s="9">
        <f>MAX($F$2358:F2581)</f>
        <v>1.2598</v>
      </c>
      <c r="M2581" s="11">
        <f t="shared" si="63"/>
        <v>0.00809652325765997</v>
      </c>
      <c r="N2581" s="9" t="s">
        <v>789</v>
      </c>
    </row>
    <row r="2582" ht="25" customHeight="1" spans="1:14">
      <c r="A2582" s="9" t="s">
        <v>53</v>
      </c>
      <c r="B2582" s="9" t="s">
        <v>49</v>
      </c>
      <c r="C2582" s="10">
        <v>45512</v>
      </c>
      <c r="D2582" s="15">
        <v>1.2516</v>
      </c>
      <c r="E2582" s="15">
        <v>1.2516</v>
      </c>
      <c r="F2582" s="15">
        <v>1.2516</v>
      </c>
      <c r="G2582" s="11">
        <v>0.0016</v>
      </c>
      <c r="H2582" s="9">
        <f>MAX($F$2174:F2582)</f>
        <v>1.2598</v>
      </c>
      <c r="I2582" s="11">
        <f t="shared" si="64"/>
        <v>0.00650896967772663</v>
      </c>
      <c r="J2582" s="9"/>
      <c r="K2582" s="11"/>
      <c r="L2582" s="9">
        <f>MAX($F$2358:F2582)</f>
        <v>1.2598</v>
      </c>
      <c r="M2582" s="11">
        <f t="shared" si="63"/>
        <v>0.00650896967772663</v>
      </c>
      <c r="N2582" s="9" t="s">
        <v>789</v>
      </c>
    </row>
    <row r="2583" ht="25" customHeight="1" spans="1:14">
      <c r="A2583" s="9" t="s">
        <v>53</v>
      </c>
      <c r="B2583" s="9" t="s">
        <v>49</v>
      </c>
      <c r="C2583" s="10">
        <v>45513</v>
      </c>
      <c r="D2583" s="15">
        <v>1.2464</v>
      </c>
      <c r="E2583" s="15">
        <v>1.2464</v>
      </c>
      <c r="F2583" s="15">
        <v>1.2464</v>
      </c>
      <c r="G2583" s="11">
        <v>-0.0042</v>
      </c>
      <c r="H2583" s="9">
        <f>MAX($F$2174:F2583)</f>
        <v>1.2598</v>
      </c>
      <c r="I2583" s="11">
        <f t="shared" si="64"/>
        <v>0.0106366089855533</v>
      </c>
      <c r="J2583" s="9"/>
      <c r="K2583" s="11"/>
      <c r="L2583" s="9">
        <f>MAX($F$2358:F2583)</f>
        <v>1.2598</v>
      </c>
      <c r="M2583" s="11">
        <f t="shared" si="63"/>
        <v>0.0106366089855533</v>
      </c>
      <c r="N2583" s="9" t="s">
        <v>789</v>
      </c>
    </row>
    <row r="2584" ht="25" customHeight="1" spans="1:14">
      <c r="A2584" s="9" t="s">
        <v>53</v>
      </c>
      <c r="B2584" s="9" t="s">
        <v>49</v>
      </c>
      <c r="C2584" s="10">
        <v>45516</v>
      </c>
      <c r="D2584" s="15">
        <v>1.2467</v>
      </c>
      <c r="E2584" s="15">
        <v>1.2467</v>
      </c>
      <c r="F2584" s="15">
        <v>1.2467</v>
      </c>
      <c r="G2584" s="11">
        <v>0.0002</v>
      </c>
      <c r="H2584" s="9">
        <f>MAX($F$2174:F2584)</f>
        <v>1.2598</v>
      </c>
      <c r="I2584" s="11">
        <f t="shared" si="64"/>
        <v>0.0103984759485634</v>
      </c>
      <c r="J2584" s="9"/>
      <c r="K2584" s="11"/>
      <c r="L2584" s="9">
        <f>MAX($F$2358:F2584)</f>
        <v>1.2598</v>
      </c>
      <c r="M2584" s="11">
        <f t="shared" si="63"/>
        <v>0.0103984759485634</v>
      </c>
      <c r="N2584" s="9" t="s">
        <v>789</v>
      </c>
    </row>
    <row r="2585" ht="25" customHeight="1" spans="1:14">
      <c r="A2585" s="9" t="s">
        <v>53</v>
      </c>
      <c r="B2585" s="9" t="s">
        <v>49</v>
      </c>
      <c r="C2585" s="10">
        <v>45517</v>
      </c>
      <c r="D2585" s="15">
        <v>1.2445</v>
      </c>
      <c r="E2585" s="15">
        <v>1.2445</v>
      </c>
      <c r="F2585" s="15">
        <v>1.2445</v>
      </c>
      <c r="G2585" s="11">
        <v>-0.0018</v>
      </c>
      <c r="H2585" s="9">
        <f>MAX($F$2174:F2585)</f>
        <v>1.2598</v>
      </c>
      <c r="I2585" s="11">
        <f t="shared" si="64"/>
        <v>0.01214478488649</v>
      </c>
      <c r="J2585" s="9"/>
      <c r="K2585" s="11"/>
      <c r="L2585" s="9">
        <f>MAX($F$2358:F2585)</f>
        <v>1.2598</v>
      </c>
      <c r="M2585" s="11">
        <f t="shared" si="63"/>
        <v>0.01214478488649</v>
      </c>
      <c r="N2585" s="9" t="s">
        <v>789</v>
      </c>
    </row>
    <row r="2586" ht="25" customHeight="1" spans="1:14">
      <c r="A2586" s="9" t="s">
        <v>53</v>
      </c>
      <c r="B2586" s="9" t="s">
        <v>49</v>
      </c>
      <c r="C2586" s="10">
        <v>45518</v>
      </c>
      <c r="D2586" s="15">
        <v>1.2523</v>
      </c>
      <c r="E2586" s="15">
        <v>1.2523</v>
      </c>
      <c r="F2586" s="15">
        <v>1.2523</v>
      </c>
      <c r="G2586" s="11">
        <v>0.0063</v>
      </c>
      <c r="H2586" s="9">
        <f>MAX($F$2174:F2586)</f>
        <v>1.2598</v>
      </c>
      <c r="I2586" s="11">
        <f t="shared" si="64"/>
        <v>0.00595332592475006</v>
      </c>
      <c r="J2586" s="9"/>
      <c r="K2586" s="11"/>
      <c r="L2586" s="9">
        <f>MAX($F$2358:F2586)</f>
        <v>1.2598</v>
      </c>
      <c r="M2586" s="11">
        <f t="shared" si="63"/>
        <v>0.00595332592475006</v>
      </c>
      <c r="N2586" s="9" t="s">
        <v>789</v>
      </c>
    </row>
    <row r="2587" ht="25" customHeight="1" spans="1:14">
      <c r="A2587" s="9" t="s">
        <v>53</v>
      </c>
      <c r="B2587" s="9" t="s">
        <v>49</v>
      </c>
      <c r="C2587" s="10">
        <v>45519</v>
      </c>
      <c r="D2587" s="15">
        <v>1.246</v>
      </c>
      <c r="E2587" s="15">
        <v>1.246</v>
      </c>
      <c r="F2587" s="15">
        <v>1.246</v>
      </c>
      <c r="G2587" s="11">
        <v>-0.005</v>
      </c>
      <c r="H2587" s="9">
        <f>MAX($F$2174:F2587)</f>
        <v>1.2598</v>
      </c>
      <c r="I2587" s="11">
        <f t="shared" si="64"/>
        <v>0.0109541197015399</v>
      </c>
      <c r="J2587" s="9"/>
      <c r="K2587" s="11"/>
      <c r="L2587" s="9">
        <f>MAX($F$2358:F2587)</f>
        <v>1.2598</v>
      </c>
      <c r="M2587" s="11">
        <f t="shared" si="63"/>
        <v>0.0109541197015399</v>
      </c>
      <c r="N2587" s="9" t="s">
        <v>789</v>
      </c>
    </row>
    <row r="2588" ht="25" customHeight="1" spans="1:14">
      <c r="A2588" s="9" t="s">
        <v>53</v>
      </c>
      <c r="B2588" s="9" t="s">
        <v>49</v>
      </c>
      <c r="C2588" s="10">
        <v>45520</v>
      </c>
      <c r="D2588" s="15">
        <v>1.2606</v>
      </c>
      <c r="E2588" s="15">
        <v>1.2606</v>
      </c>
      <c r="F2588" s="15">
        <v>1.2606</v>
      </c>
      <c r="G2588" s="11">
        <v>0.0117</v>
      </c>
      <c r="H2588" s="9">
        <f>MAX($F$2174:F2588)</f>
        <v>1.2606</v>
      </c>
      <c r="I2588" s="11">
        <f t="shared" si="64"/>
        <v>0</v>
      </c>
      <c r="J2588" s="9"/>
      <c r="K2588" s="11"/>
      <c r="L2588" s="9">
        <f>MAX($F$2358:F2588)</f>
        <v>1.2606</v>
      </c>
      <c r="M2588" s="11">
        <f t="shared" si="63"/>
        <v>0</v>
      </c>
      <c r="N2588" s="9" t="s">
        <v>789</v>
      </c>
    </row>
    <row r="2589" ht="25" customHeight="1" spans="1:14">
      <c r="A2589" s="9" t="s">
        <v>53</v>
      </c>
      <c r="B2589" s="9" t="s">
        <v>49</v>
      </c>
      <c r="C2589" s="10">
        <v>45523</v>
      </c>
      <c r="D2589" s="15">
        <v>1.2565</v>
      </c>
      <c r="E2589" s="15">
        <v>1.2565</v>
      </c>
      <c r="F2589" s="15">
        <v>1.2565</v>
      </c>
      <c r="G2589" s="11">
        <v>-0.0033</v>
      </c>
      <c r="H2589" s="9">
        <f>MAX($F$2174:F2589)</f>
        <v>1.2606</v>
      </c>
      <c r="I2589" s="11">
        <f t="shared" si="64"/>
        <v>0.00325241948278598</v>
      </c>
      <c r="J2589" s="9"/>
      <c r="K2589" s="11"/>
      <c r="L2589" s="9">
        <f>MAX($F$2358:F2589)</f>
        <v>1.2606</v>
      </c>
      <c r="M2589" s="11">
        <f t="shared" si="63"/>
        <v>0.00325241948278598</v>
      </c>
      <c r="N2589" s="9" t="s">
        <v>789</v>
      </c>
    </row>
    <row r="2590" ht="25" customHeight="1" spans="1:14">
      <c r="A2590" s="9" t="s">
        <v>53</v>
      </c>
      <c r="B2590" s="9" t="s">
        <v>49</v>
      </c>
      <c r="C2590" s="10">
        <v>45524</v>
      </c>
      <c r="D2590" s="15">
        <v>1.2538</v>
      </c>
      <c r="E2590" s="15">
        <v>1.2538</v>
      </c>
      <c r="F2590" s="15">
        <v>1.2538</v>
      </c>
      <c r="G2590" s="11">
        <v>-0.0021</v>
      </c>
      <c r="H2590" s="9">
        <f>MAX($F$2174:F2590)</f>
        <v>1.2606</v>
      </c>
      <c r="I2590" s="11">
        <f t="shared" si="64"/>
        <v>0.00539425670315719</v>
      </c>
      <c r="J2590" s="9"/>
      <c r="K2590" s="11"/>
      <c r="L2590" s="9">
        <f>MAX($F$2358:F2590)</f>
        <v>1.2606</v>
      </c>
      <c r="M2590" s="11">
        <f t="shared" si="63"/>
        <v>0.00539425670315719</v>
      </c>
      <c r="N2590" s="9" t="s">
        <v>789</v>
      </c>
    </row>
    <row r="2591" ht="25" customHeight="1" spans="1:14">
      <c r="A2591" s="9" t="s">
        <v>53</v>
      </c>
      <c r="B2591" s="9" t="s">
        <v>49</v>
      </c>
      <c r="C2591" s="10">
        <v>45525</v>
      </c>
      <c r="D2591" s="15">
        <v>1.2544</v>
      </c>
      <c r="E2591" s="15">
        <v>1.2544</v>
      </c>
      <c r="F2591" s="15">
        <v>1.2544</v>
      </c>
      <c r="G2591" s="11">
        <v>0.0005</v>
      </c>
      <c r="H2591" s="9">
        <f>MAX($F$2174:F2591)</f>
        <v>1.2606</v>
      </c>
      <c r="I2591" s="11">
        <f t="shared" si="64"/>
        <v>0.00491829287640799</v>
      </c>
      <c r="J2591" s="9"/>
      <c r="K2591" s="11"/>
      <c r="L2591" s="9">
        <f>MAX($F$2358:F2591)</f>
        <v>1.2606</v>
      </c>
      <c r="M2591" s="11">
        <f t="shared" si="63"/>
        <v>0.00491829287640799</v>
      </c>
      <c r="N2591" s="9" t="s">
        <v>789</v>
      </c>
    </row>
    <row r="2592" ht="25" customHeight="1" spans="1:14">
      <c r="A2592" s="9" t="s">
        <v>53</v>
      </c>
      <c r="B2592" s="9" t="s">
        <v>49</v>
      </c>
      <c r="C2592" s="10">
        <v>45526</v>
      </c>
      <c r="D2592" s="15">
        <v>1.2597</v>
      </c>
      <c r="E2592" s="15">
        <v>1.2597</v>
      </c>
      <c r="F2592" s="15">
        <v>1.2597</v>
      </c>
      <c r="G2592" s="11">
        <v>0.0042</v>
      </c>
      <c r="H2592" s="9">
        <f>MAX($F$2174:F2592)</f>
        <v>1.2606</v>
      </c>
      <c r="I2592" s="11">
        <f t="shared" si="64"/>
        <v>0.000713945740123623</v>
      </c>
      <c r="J2592" s="9"/>
      <c r="K2592" s="11"/>
      <c r="L2592" s="9">
        <f>MAX($F$2358:F2592)</f>
        <v>1.2606</v>
      </c>
      <c r="M2592" s="11">
        <f t="shared" si="63"/>
        <v>0.000713945740123623</v>
      </c>
      <c r="N2592" s="9" t="s">
        <v>789</v>
      </c>
    </row>
    <row r="2593" ht="25" customHeight="1" spans="1:14">
      <c r="A2593" s="9" t="s">
        <v>53</v>
      </c>
      <c r="B2593" s="9" t="s">
        <v>49</v>
      </c>
      <c r="C2593" s="10">
        <v>45527</v>
      </c>
      <c r="D2593" s="15">
        <v>1.2497</v>
      </c>
      <c r="E2593" s="15">
        <v>1.2497</v>
      </c>
      <c r="F2593" s="15">
        <v>1.2497</v>
      </c>
      <c r="G2593" s="11">
        <v>-0.0079</v>
      </c>
      <c r="H2593" s="9">
        <f>MAX($F$2174:F2593)</f>
        <v>1.2606</v>
      </c>
      <c r="I2593" s="11">
        <f t="shared" si="64"/>
        <v>0.00864667618594317</v>
      </c>
      <c r="J2593" s="9"/>
      <c r="K2593" s="11"/>
      <c r="L2593" s="9">
        <f>MAX($F$2358:F2593)</f>
        <v>1.2606</v>
      </c>
      <c r="M2593" s="11">
        <f t="shared" si="63"/>
        <v>0.00864667618594317</v>
      </c>
      <c r="N2593" s="9" t="s">
        <v>789</v>
      </c>
    </row>
    <row r="2594" ht="25" customHeight="1" spans="1:14">
      <c r="A2594" s="9" t="s">
        <v>53</v>
      </c>
      <c r="B2594" s="9" t="s">
        <v>49</v>
      </c>
      <c r="C2594" s="10">
        <v>45530</v>
      </c>
      <c r="D2594" s="15">
        <v>1.2529</v>
      </c>
      <c r="E2594" s="15">
        <v>1.2529</v>
      </c>
      <c r="F2594" s="15">
        <v>1.2529</v>
      </c>
      <c r="G2594" s="11">
        <v>0.0026</v>
      </c>
      <c r="H2594" s="9">
        <f>MAX($F$2174:F2594)</f>
        <v>1.2606</v>
      </c>
      <c r="I2594" s="11">
        <f t="shared" si="64"/>
        <v>0.00610820244328103</v>
      </c>
      <c r="J2594" s="9"/>
      <c r="K2594" s="11"/>
      <c r="L2594" s="9">
        <f>MAX($F$2358:F2594)</f>
        <v>1.2606</v>
      </c>
      <c r="M2594" s="11">
        <f t="shared" si="63"/>
        <v>0.00610820244328103</v>
      </c>
      <c r="N2594" s="9" t="s">
        <v>789</v>
      </c>
    </row>
    <row r="2595" ht="25" customHeight="1" spans="1:14">
      <c r="A2595" s="9" t="s">
        <v>53</v>
      </c>
      <c r="B2595" s="9" t="s">
        <v>49</v>
      </c>
      <c r="C2595" s="10">
        <v>45531</v>
      </c>
      <c r="D2595" s="15">
        <v>1.2642</v>
      </c>
      <c r="E2595" s="15">
        <v>1.2642</v>
      </c>
      <c r="F2595" s="15">
        <v>1.2642</v>
      </c>
      <c r="G2595" s="11">
        <v>0.009</v>
      </c>
      <c r="H2595" s="9">
        <f>MAX($F$2174:F2595)</f>
        <v>1.2642</v>
      </c>
      <c r="I2595" s="11">
        <f t="shared" si="64"/>
        <v>0</v>
      </c>
      <c r="J2595" s="9"/>
      <c r="K2595" s="11"/>
      <c r="L2595" s="9">
        <f>MAX($F$2358:F2595)</f>
        <v>1.2642</v>
      </c>
      <c r="M2595" s="11">
        <f t="shared" si="63"/>
        <v>0</v>
      </c>
      <c r="N2595" s="9" t="s">
        <v>789</v>
      </c>
    </row>
    <row r="2596" ht="25" customHeight="1" spans="1:14">
      <c r="A2596" s="9" t="s">
        <v>53</v>
      </c>
      <c r="B2596" s="9" t="s">
        <v>49</v>
      </c>
      <c r="C2596" s="10">
        <v>45532</v>
      </c>
      <c r="D2596" s="15">
        <v>1.2739</v>
      </c>
      <c r="E2596" s="15">
        <v>1.2739</v>
      </c>
      <c r="F2596" s="15">
        <v>1.2739</v>
      </c>
      <c r="G2596" s="11">
        <v>0.0077</v>
      </c>
      <c r="H2596" s="9">
        <f>MAX($F$2174:F2596)</f>
        <v>1.2739</v>
      </c>
      <c r="I2596" s="11">
        <f t="shared" si="64"/>
        <v>0</v>
      </c>
      <c r="J2596" s="9"/>
      <c r="K2596" s="11"/>
      <c r="L2596" s="9">
        <f>MAX($F$2358:F2596)</f>
        <v>1.2739</v>
      </c>
      <c r="M2596" s="11">
        <f t="shared" si="63"/>
        <v>0</v>
      </c>
      <c r="N2596" s="9" t="s">
        <v>789</v>
      </c>
    </row>
    <row r="2597" ht="25" customHeight="1" spans="1:14">
      <c r="A2597" s="9" t="s">
        <v>53</v>
      </c>
      <c r="B2597" s="9" t="s">
        <v>49</v>
      </c>
      <c r="C2597" s="10">
        <v>45533</v>
      </c>
      <c r="D2597" s="15">
        <v>1.2739</v>
      </c>
      <c r="E2597" s="15">
        <v>1.2739</v>
      </c>
      <c r="F2597" s="15">
        <v>1.2739</v>
      </c>
      <c r="G2597" s="11">
        <v>0</v>
      </c>
      <c r="H2597" s="9">
        <f>MAX($F$2174:F2597)</f>
        <v>1.2739</v>
      </c>
      <c r="I2597" s="11">
        <f t="shared" si="64"/>
        <v>0</v>
      </c>
      <c r="J2597" s="9"/>
      <c r="K2597" s="11"/>
      <c r="L2597" s="9">
        <f>MAX($F$2358:F2597)</f>
        <v>1.2739</v>
      </c>
      <c r="M2597" s="11">
        <f t="shared" si="63"/>
        <v>0</v>
      </c>
      <c r="N2597" s="9" t="s">
        <v>789</v>
      </c>
    </row>
    <row r="2598" ht="25" customHeight="1" spans="1:14">
      <c r="A2598" s="9" t="s">
        <v>53</v>
      </c>
      <c r="B2598" s="9" t="s">
        <v>49</v>
      </c>
      <c r="C2598" s="10">
        <v>45534</v>
      </c>
      <c r="D2598" s="15">
        <v>1.2704</v>
      </c>
      <c r="E2598" s="15">
        <v>1.2704</v>
      </c>
      <c r="F2598" s="15">
        <v>1.2704</v>
      </c>
      <c r="G2598" s="11">
        <v>-0.0027</v>
      </c>
      <c r="H2598" s="9">
        <f>MAX($F$2174:F2598)</f>
        <v>1.2739</v>
      </c>
      <c r="I2598" s="11">
        <f t="shared" si="64"/>
        <v>0.00274746840411344</v>
      </c>
      <c r="J2598" s="9"/>
      <c r="K2598" s="11"/>
      <c r="L2598" s="9">
        <f>MAX($F$2358:F2598)</f>
        <v>1.2739</v>
      </c>
      <c r="M2598" s="11">
        <f t="shared" si="63"/>
        <v>0.00274746840411344</v>
      </c>
      <c r="N2598" s="9" t="s">
        <v>789</v>
      </c>
    </row>
    <row r="2599" ht="25" customHeight="1" spans="1:14">
      <c r="A2599" s="9" t="s">
        <v>53</v>
      </c>
      <c r="B2599" s="9" t="s">
        <v>49</v>
      </c>
      <c r="C2599" s="10">
        <v>45537</v>
      </c>
      <c r="D2599" s="15">
        <v>1.2656</v>
      </c>
      <c r="E2599" s="15">
        <v>1.2656</v>
      </c>
      <c r="F2599" s="15">
        <v>1.2656</v>
      </c>
      <c r="G2599" s="11">
        <v>-0.0038</v>
      </c>
      <c r="H2599" s="9">
        <f>MAX($F$2174:F2599)</f>
        <v>1.2739</v>
      </c>
      <c r="I2599" s="11">
        <f t="shared" si="64"/>
        <v>0.0065154250726116</v>
      </c>
      <c r="J2599" s="9"/>
      <c r="K2599" s="11"/>
      <c r="L2599" s="9">
        <f>MAX($F$2358:F2599)</f>
        <v>1.2739</v>
      </c>
      <c r="M2599" s="11">
        <f t="shared" si="63"/>
        <v>0.0065154250726116</v>
      </c>
      <c r="N2599" s="9" t="s">
        <v>789</v>
      </c>
    </row>
    <row r="2600" ht="25" customHeight="1" spans="1:14">
      <c r="A2600" s="9" t="s">
        <v>53</v>
      </c>
      <c r="B2600" s="9" t="s">
        <v>49</v>
      </c>
      <c r="C2600" s="10">
        <v>45538</v>
      </c>
      <c r="D2600" s="15">
        <v>1.2749</v>
      </c>
      <c r="E2600" s="15">
        <v>1.2749</v>
      </c>
      <c r="F2600" s="15">
        <v>1.2749</v>
      </c>
      <c r="G2600" s="11">
        <v>0.0073</v>
      </c>
      <c r="H2600" s="9">
        <f>MAX($F$2174:F2600)</f>
        <v>1.2749</v>
      </c>
      <c r="I2600" s="11">
        <f t="shared" si="64"/>
        <v>0</v>
      </c>
      <c r="J2600" s="9"/>
      <c r="K2600" s="11"/>
      <c r="L2600" s="9">
        <f>MAX($F$2358:F2600)</f>
        <v>1.2749</v>
      </c>
      <c r="M2600" s="11">
        <f t="shared" si="63"/>
        <v>0</v>
      </c>
      <c r="N2600" s="9" t="s">
        <v>789</v>
      </c>
    </row>
    <row r="2601" ht="25" customHeight="1" spans="1:14">
      <c r="A2601" s="9" t="s">
        <v>53</v>
      </c>
      <c r="B2601" s="9" t="s">
        <v>49</v>
      </c>
      <c r="C2601" s="10">
        <v>45539</v>
      </c>
      <c r="D2601" s="15">
        <v>1.2994</v>
      </c>
      <c r="E2601" s="15">
        <v>1.2994</v>
      </c>
      <c r="F2601" s="15">
        <v>1.2994</v>
      </c>
      <c r="G2601" s="11">
        <v>0.0192</v>
      </c>
      <c r="H2601" s="9">
        <f>MAX($F$2174:F2601)</f>
        <v>1.2994</v>
      </c>
      <c r="I2601" s="11">
        <f t="shared" si="64"/>
        <v>0</v>
      </c>
      <c r="J2601" s="9"/>
      <c r="K2601" s="11"/>
      <c r="L2601" s="9">
        <f>MAX($F$2358:F2601)</f>
        <v>1.2994</v>
      </c>
      <c r="M2601" s="11">
        <f t="shared" si="63"/>
        <v>0</v>
      </c>
      <c r="N2601" s="9" t="s">
        <v>789</v>
      </c>
    </row>
    <row r="2602" ht="25" customHeight="1" spans="1:14">
      <c r="A2602" s="9" t="s">
        <v>53</v>
      </c>
      <c r="B2602" s="9" t="s">
        <v>49</v>
      </c>
      <c r="C2602" s="10">
        <v>45540</v>
      </c>
      <c r="D2602" s="15">
        <v>1.3304</v>
      </c>
      <c r="E2602" s="15">
        <v>1.3304</v>
      </c>
      <c r="F2602" s="15">
        <v>1.3304</v>
      </c>
      <c r="G2602" s="11">
        <v>0.0239</v>
      </c>
      <c r="H2602" s="9">
        <f>MAX($F$2174:F2602)</f>
        <v>1.3304</v>
      </c>
      <c r="I2602" s="11">
        <f t="shared" si="64"/>
        <v>0</v>
      </c>
      <c r="J2602" s="9"/>
      <c r="K2602" s="11"/>
      <c r="L2602" s="9">
        <f>MAX($F$2358:F2602)</f>
        <v>1.3304</v>
      </c>
      <c r="M2602" s="11">
        <f t="shared" si="63"/>
        <v>0</v>
      </c>
      <c r="N2602" s="9" t="s">
        <v>789</v>
      </c>
    </row>
    <row r="2603" ht="25" customHeight="1" spans="1:14">
      <c r="A2603" s="9" t="s">
        <v>53</v>
      </c>
      <c r="B2603" s="9" t="s">
        <v>49</v>
      </c>
      <c r="C2603" s="10">
        <v>45541</v>
      </c>
      <c r="D2603" s="15">
        <v>1.3217</v>
      </c>
      <c r="E2603" s="15">
        <v>1.3217</v>
      </c>
      <c r="F2603" s="15">
        <v>1.3217</v>
      </c>
      <c r="G2603" s="11">
        <v>-0.0065</v>
      </c>
      <c r="H2603" s="9">
        <f>MAX($F$2174:F2603)</f>
        <v>1.3304</v>
      </c>
      <c r="I2603" s="11">
        <f t="shared" si="64"/>
        <v>0.00653938665063136</v>
      </c>
      <c r="J2603" s="9"/>
      <c r="K2603" s="11"/>
      <c r="L2603" s="9">
        <f>MAX($F$2358:F2603)</f>
        <v>1.3304</v>
      </c>
      <c r="M2603" s="11">
        <f t="shared" si="63"/>
        <v>0.00653938665063136</v>
      </c>
      <c r="N2603" s="9" t="s">
        <v>789</v>
      </c>
    </row>
    <row r="2604" ht="25" customHeight="1" spans="1:14">
      <c r="A2604" s="9" t="s">
        <v>53</v>
      </c>
      <c r="B2604" s="9" t="s">
        <v>49</v>
      </c>
      <c r="C2604" s="10">
        <v>45544</v>
      </c>
      <c r="D2604" s="15">
        <v>1.3278</v>
      </c>
      <c r="E2604" s="15">
        <v>1.3278</v>
      </c>
      <c r="F2604" s="15">
        <v>1.3278</v>
      </c>
      <c r="G2604" s="11">
        <v>0.0046</v>
      </c>
      <c r="H2604" s="9">
        <f>MAX($F$2174:F2604)</f>
        <v>1.3304</v>
      </c>
      <c r="I2604" s="11">
        <f t="shared" si="64"/>
        <v>0.00195429945880932</v>
      </c>
      <c r="J2604" s="9"/>
      <c r="K2604" s="11"/>
      <c r="L2604" s="9">
        <f>MAX($F$2358:F2604)</f>
        <v>1.3304</v>
      </c>
      <c r="M2604" s="11">
        <f t="shared" si="63"/>
        <v>0.00195429945880932</v>
      </c>
      <c r="N2604" s="9" t="s">
        <v>789</v>
      </c>
    </row>
    <row r="2605" ht="25" customHeight="1" spans="1:14">
      <c r="A2605" s="9" t="s">
        <v>53</v>
      </c>
      <c r="B2605" s="9" t="s">
        <v>49</v>
      </c>
      <c r="C2605" s="10">
        <v>45545</v>
      </c>
      <c r="D2605" s="15">
        <v>1.3147</v>
      </c>
      <c r="E2605" s="15">
        <v>1.3147</v>
      </c>
      <c r="F2605" s="15">
        <v>1.3147</v>
      </c>
      <c r="G2605" s="11">
        <v>-0.0099</v>
      </c>
      <c r="H2605" s="9">
        <f>MAX($F$2174:F2605)</f>
        <v>1.3304</v>
      </c>
      <c r="I2605" s="11">
        <f t="shared" si="64"/>
        <v>0.0118009621166567</v>
      </c>
      <c r="J2605" s="9"/>
      <c r="K2605" s="11"/>
      <c r="L2605" s="9">
        <f>MAX($F$2358:F2605)</f>
        <v>1.3304</v>
      </c>
      <c r="M2605" s="11">
        <f t="shared" si="63"/>
        <v>0.0118009621166567</v>
      </c>
      <c r="N2605" s="9" t="s">
        <v>789</v>
      </c>
    </row>
    <row r="2606" ht="25" customHeight="1" spans="1:14">
      <c r="A2606" s="9" t="s">
        <v>53</v>
      </c>
      <c r="B2606" s="9" t="s">
        <v>49</v>
      </c>
      <c r="C2606" s="10">
        <v>45546</v>
      </c>
      <c r="D2606" s="15">
        <v>1.3341</v>
      </c>
      <c r="E2606" s="15">
        <v>1.3341</v>
      </c>
      <c r="F2606" s="15">
        <v>1.3341</v>
      </c>
      <c r="G2606" s="11">
        <v>0.0148</v>
      </c>
      <c r="H2606" s="9">
        <f>MAX($F$2174:F2606)</f>
        <v>1.3341</v>
      </c>
      <c r="I2606" s="11">
        <f t="shared" si="64"/>
        <v>0</v>
      </c>
      <c r="J2606" s="9"/>
      <c r="K2606" s="11"/>
      <c r="L2606" s="9">
        <f>MAX($F$2358:F2606)</f>
        <v>1.3341</v>
      </c>
      <c r="M2606" s="11">
        <f t="shared" si="63"/>
        <v>0</v>
      </c>
      <c r="N2606" s="9" t="s">
        <v>789</v>
      </c>
    </row>
    <row r="2607" ht="25" customHeight="1" spans="1:14">
      <c r="A2607" s="9" t="s">
        <v>53</v>
      </c>
      <c r="B2607" s="9" t="s">
        <v>49</v>
      </c>
      <c r="C2607" s="10">
        <v>45547</v>
      </c>
      <c r="D2607" s="15">
        <v>1.3207</v>
      </c>
      <c r="E2607" s="15">
        <v>1.3207</v>
      </c>
      <c r="F2607" s="15">
        <v>1.3207</v>
      </c>
      <c r="G2607" s="11">
        <v>-0.01</v>
      </c>
      <c r="H2607" s="9">
        <f>MAX($F$2174:F2607)</f>
        <v>1.3341</v>
      </c>
      <c r="I2607" s="11">
        <f t="shared" si="64"/>
        <v>0.0100442245708718</v>
      </c>
      <c r="J2607" s="9"/>
      <c r="K2607" s="11"/>
      <c r="L2607" s="9">
        <f>MAX($F$2358:F2607)</f>
        <v>1.3341</v>
      </c>
      <c r="M2607" s="11">
        <f t="shared" si="63"/>
        <v>0.0100442245708718</v>
      </c>
      <c r="N2607" s="9" t="s">
        <v>789</v>
      </c>
    </row>
    <row r="2608" ht="25" customHeight="1" spans="1:14">
      <c r="A2608" s="9" t="s">
        <v>53</v>
      </c>
      <c r="B2608" s="9" t="s">
        <v>49</v>
      </c>
      <c r="C2608" s="10">
        <v>45548</v>
      </c>
      <c r="D2608" s="15">
        <v>1.3289</v>
      </c>
      <c r="E2608" s="15">
        <v>1.3289</v>
      </c>
      <c r="F2608" s="15">
        <v>1.3289</v>
      </c>
      <c r="G2608" s="11">
        <v>0.0062</v>
      </c>
      <c r="H2608" s="9">
        <f>MAX($F$2174:F2608)</f>
        <v>1.3341</v>
      </c>
      <c r="I2608" s="11">
        <f t="shared" si="64"/>
        <v>0.00389775878869658</v>
      </c>
      <c r="J2608" s="9"/>
      <c r="K2608" s="11"/>
      <c r="L2608" s="9">
        <f>MAX($F$2358:F2608)</f>
        <v>1.3341</v>
      </c>
      <c r="M2608" s="11">
        <f t="shared" si="63"/>
        <v>0.00389775878869658</v>
      </c>
      <c r="N2608" s="9" t="s">
        <v>789</v>
      </c>
    </row>
    <row r="2609" ht="25" customHeight="1" spans="1:14">
      <c r="A2609" s="9" t="s">
        <v>53</v>
      </c>
      <c r="B2609" s="9" t="s">
        <v>49</v>
      </c>
      <c r="C2609" s="10">
        <v>45553</v>
      </c>
      <c r="D2609" s="15">
        <v>1.3439</v>
      </c>
      <c r="E2609" s="15">
        <v>1.3439</v>
      </c>
      <c r="F2609" s="15">
        <v>1.3439</v>
      </c>
      <c r="G2609" s="11">
        <v>0.0113</v>
      </c>
      <c r="H2609" s="9">
        <f>MAX($F$2174:F2609)</f>
        <v>1.3439</v>
      </c>
      <c r="I2609" s="11">
        <f t="shared" si="64"/>
        <v>0</v>
      </c>
      <c r="J2609" s="9"/>
      <c r="K2609" s="11"/>
      <c r="L2609" s="9">
        <f>MAX($F$2358:F2609)</f>
        <v>1.3439</v>
      </c>
      <c r="M2609" s="11">
        <f t="shared" si="63"/>
        <v>0</v>
      </c>
      <c r="N2609" s="9" t="s">
        <v>789</v>
      </c>
    </row>
    <row r="2610" ht="25" customHeight="1" spans="1:14">
      <c r="A2610" s="9" t="s">
        <v>53</v>
      </c>
      <c r="B2610" s="9" t="s">
        <v>49</v>
      </c>
      <c r="C2610" s="10">
        <v>45554</v>
      </c>
      <c r="D2610" s="15">
        <v>1.3354</v>
      </c>
      <c r="E2610" s="15">
        <v>1.3354</v>
      </c>
      <c r="F2610" s="15">
        <v>1.3354</v>
      </c>
      <c r="G2610" s="11">
        <v>-0.0063</v>
      </c>
      <c r="H2610" s="9">
        <f>MAX($F$2174:F2610)</f>
        <v>1.3439</v>
      </c>
      <c r="I2610" s="11">
        <f t="shared" si="64"/>
        <v>0.00632487536275028</v>
      </c>
      <c r="J2610" s="9"/>
      <c r="K2610" s="11"/>
      <c r="L2610" s="9">
        <f>MAX($F$2358:F2610)</f>
        <v>1.3439</v>
      </c>
      <c r="M2610" s="11">
        <f t="shared" si="63"/>
        <v>0.00632487536275028</v>
      </c>
      <c r="N2610" s="9" t="s">
        <v>789</v>
      </c>
    </row>
    <row r="2611" ht="25" customHeight="1" spans="1:14">
      <c r="A2611" s="9" t="s">
        <v>53</v>
      </c>
      <c r="B2611" s="9" t="s">
        <v>49</v>
      </c>
      <c r="C2611" s="10">
        <v>45555</v>
      </c>
      <c r="D2611" s="15">
        <v>1.3346</v>
      </c>
      <c r="E2611" s="15">
        <v>1.3346</v>
      </c>
      <c r="F2611" s="15">
        <v>1.3346</v>
      </c>
      <c r="G2611" s="11">
        <v>-0.0006</v>
      </c>
      <c r="H2611" s="9">
        <f>MAX($F$2174:F2611)</f>
        <v>1.3439</v>
      </c>
      <c r="I2611" s="11">
        <f t="shared" si="64"/>
        <v>0.00692015774983268</v>
      </c>
      <c r="J2611" s="9"/>
      <c r="K2611" s="11"/>
      <c r="L2611" s="9">
        <f>MAX($F$2358:F2611)</f>
        <v>1.3439</v>
      </c>
      <c r="M2611" s="11">
        <f t="shared" si="63"/>
        <v>0.00692015774983268</v>
      </c>
      <c r="N2611" s="9" t="s">
        <v>789</v>
      </c>
    </row>
    <row r="2612" ht="25" customHeight="1" spans="1:14">
      <c r="A2612" s="9" t="s">
        <v>53</v>
      </c>
      <c r="B2612" s="9" t="s">
        <v>49</v>
      </c>
      <c r="C2612" s="10">
        <v>45558</v>
      </c>
      <c r="D2612" s="15">
        <v>1.3406</v>
      </c>
      <c r="E2612" s="15">
        <v>1.3406</v>
      </c>
      <c r="F2612" s="15">
        <v>1.3406</v>
      </c>
      <c r="G2612" s="11">
        <v>0.0045</v>
      </c>
      <c r="H2612" s="9">
        <f>MAX($F$2174:F2612)</f>
        <v>1.3439</v>
      </c>
      <c r="I2612" s="11">
        <f t="shared" si="64"/>
        <v>0.00245553984671487</v>
      </c>
      <c r="J2612" s="9"/>
      <c r="K2612" s="11"/>
      <c r="L2612" s="9">
        <f>MAX($F$2358:F2612)</f>
        <v>1.3439</v>
      </c>
      <c r="M2612" s="11">
        <f t="shared" si="63"/>
        <v>0.00245553984671487</v>
      </c>
      <c r="N2612" s="9" t="s">
        <v>789</v>
      </c>
    </row>
    <row r="2613" ht="25" customHeight="1" spans="1:14">
      <c r="A2613" s="9" t="s">
        <v>53</v>
      </c>
      <c r="B2613" s="9" t="s">
        <v>49</v>
      </c>
      <c r="C2613" s="10">
        <v>45559</v>
      </c>
      <c r="D2613" s="15">
        <v>1.3451</v>
      </c>
      <c r="E2613" s="15">
        <v>1.3451</v>
      </c>
      <c r="F2613" s="15">
        <v>1.3451</v>
      </c>
      <c r="G2613" s="11">
        <v>0.0034</v>
      </c>
      <c r="H2613" s="9">
        <f>MAX($F$2174:F2613)</f>
        <v>1.3451</v>
      </c>
      <c r="I2613" s="11">
        <f t="shared" si="64"/>
        <v>0</v>
      </c>
      <c r="J2613" s="9"/>
      <c r="K2613" s="11"/>
      <c r="L2613" s="9">
        <f>MAX($F$2358:F2613)</f>
        <v>1.3451</v>
      </c>
      <c r="M2613" s="11">
        <f t="shared" si="63"/>
        <v>0</v>
      </c>
      <c r="N2613" s="9" t="s">
        <v>789</v>
      </c>
    </row>
    <row r="2614" ht="25" customHeight="1" spans="1:14">
      <c r="A2614" s="9" t="s">
        <v>53</v>
      </c>
      <c r="B2614" s="9" t="s">
        <v>49</v>
      </c>
      <c r="C2614" s="10">
        <v>45560</v>
      </c>
      <c r="D2614" s="15">
        <v>1.3454</v>
      </c>
      <c r="E2614" s="15">
        <v>1.3454</v>
      </c>
      <c r="F2614" s="15">
        <v>1.3454</v>
      </c>
      <c r="G2614" s="11">
        <v>0.0002</v>
      </c>
      <c r="H2614" s="9">
        <f>MAX($F$2174:F2614)</f>
        <v>1.3454</v>
      </c>
      <c r="I2614" s="11">
        <f t="shared" si="64"/>
        <v>0</v>
      </c>
      <c r="J2614" s="9"/>
      <c r="K2614" s="11"/>
      <c r="L2614" s="9">
        <f>MAX($F$2358:F2614)</f>
        <v>1.3454</v>
      </c>
      <c r="M2614" s="11">
        <f t="shared" ref="M2614:M2677" si="65">1-F2614/L2614</f>
        <v>0</v>
      </c>
      <c r="N2614" s="9" t="s">
        <v>789</v>
      </c>
    </row>
    <row r="2615" ht="25" customHeight="1" spans="1:14">
      <c r="A2615" s="9" t="s">
        <v>53</v>
      </c>
      <c r="B2615" s="9" t="s">
        <v>49</v>
      </c>
      <c r="C2615" s="10">
        <v>45561</v>
      </c>
      <c r="D2615" s="15">
        <v>1.3609</v>
      </c>
      <c r="E2615" s="15">
        <v>1.3609</v>
      </c>
      <c r="F2615" s="15">
        <v>1.3609</v>
      </c>
      <c r="G2615" s="11">
        <v>0.0115</v>
      </c>
      <c r="H2615" s="9">
        <f>MAX($F$2174:F2615)</f>
        <v>1.3609</v>
      </c>
      <c r="I2615" s="11">
        <f t="shared" si="64"/>
        <v>0</v>
      </c>
      <c r="J2615" s="9"/>
      <c r="K2615" s="11"/>
      <c r="L2615" s="9">
        <f>MAX($F$2358:F2615)</f>
        <v>1.3609</v>
      </c>
      <c r="M2615" s="11">
        <f t="shared" si="65"/>
        <v>0</v>
      </c>
      <c r="N2615" s="9" t="s">
        <v>789</v>
      </c>
    </row>
    <row r="2616" ht="25" customHeight="1" spans="1:14">
      <c r="A2616" s="9" t="s">
        <v>53</v>
      </c>
      <c r="B2616" s="9" t="s">
        <v>49</v>
      </c>
      <c r="C2616" s="10">
        <v>45562</v>
      </c>
      <c r="D2616" s="15">
        <v>1.3921</v>
      </c>
      <c r="E2616" s="15">
        <v>1.3921</v>
      </c>
      <c r="F2616" s="15">
        <v>1.3921</v>
      </c>
      <c r="G2616" s="11">
        <v>0.0229</v>
      </c>
      <c r="H2616" s="9">
        <f>MAX($F$2174:F2616)</f>
        <v>1.3921</v>
      </c>
      <c r="I2616" s="11">
        <f t="shared" si="64"/>
        <v>0</v>
      </c>
      <c r="J2616" s="9"/>
      <c r="K2616" s="11"/>
      <c r="L2616" s="9">
        <f>MAX($F$2358:F2616)</f>
        <v>1.3921</v>
      </c>
      <c r="M2616" s="11">
        <f t="shared" si="65"/>
        <v>0</v>
      </c>
      <c r="N2616" s="9" t="s">
        <v>789</v>
      </c>
    </row>
    <row r="2617" ht="25" customHeight="1" spans="1:14">
      <c r="A2617" s="9" t="s">
        <v>53</v>
      </c>
      <c r="B2617" s="9" t="s">
        <v>49</v>
      </c>
      <c r="C2617" s="10">
        <v>45565</v>
      </c>
      <c r="D2617" s="15">
        <v>1.4437</v>
      </c>
      <c r="E2617" s="15">
        <v>1.4437</v>
      </c>
      <c r="F2617" s="15">
        <v>1.4437</v>
      </c>
      <c r="G2617" s="11">
        <v>0.0371</v>
      </c>
      <c r="H2617" s="9">
        <f>MAX($F$2174:F2617)</f>
        <v>1.4437</v>
      </c>
      <c r="I2617" s="11">
        <f t="shared" si="64"/>
        <v>0</v>
      </c>
      <c r="J2617" s="9"/>
      <c r="K2617" s="11"/>
      <c r="L2617" s="9">
        <f>MAX($F$2358:F2617)</f>
        <v>1.4437</v>
      </c>
      <c r="M2617" s="11">
        <f t="shared" si="65"/>
        <v>0</v>
      </c>
      <c r="N2617" s="9" t="s">
        <v>789</v>
      </c>
    </row>
    <row r="2618" ht="25" customHeight="1" spans="1:14">
      <c r="A2618" s="9" t="s">
        <v>53</v>
      </c>
      <c r="B2618" s="9" t="s">
        <v>49</v>
      </c>
      <c r="C2618" s="10">
        <v>45573</v>
      </c>
      <c r="D2618" s="15">
        <v>1.4585</v>
      </c>
      <c r="E2618" s="15">
        <v>1.4585</v>
      </c>
      <c r="F2618" s="15">
        <v>1.4585</v>
      </c>
      <c r="G2618" s="11">
        <v>0.0103</v>
      </c>
      <c r="H2618" s="9">
        <f>MAX($F$2174:F2618)</f>
        <v>1.4585</v>
      </c>
      <c r="I2618" s="11">
        <f t="shared" si="64"/>
        <v>0</v>
      </c>
      <c r="J2618" s="9"/>
      <c r="K2618" s="11"/>
      <c r="L2618" s="9">
        <f>MAX($F$2358:F2618)</f>
        <v>1.4585</v>
      </c>
      <c r="M2618" s="11">
        <f t="shared" si="65"/>
        <v>0</v>
      </c>
      <c r="N2618" s="9" t="s">
        <v>789</v>
      </c>
    </row>
    <row r="2619" ht="25" customHeight="1" spans="1:14">
      <c r="A2619" s="9" t="s">
        <v>53</v>
      </c>
      <c r="B2619" s="9" t="s">
        <v>49</v>
      </c>
      <c r="C2619" s="10">
        <v>45574</v>
      </c>
      <c r="D2619" s="15">
        <v>1.4145</v>
      </c>
      <c r="E2619" s="15">
        <v>1.4145</v>
      </c>
      <c r="F2619" s="15">
        <v>1.4145</v>
      </c>
      <c r="G2619" s="11">
        <v>-0.0302</v>
      </c>
      <c r="H2619" s="9">
        <f>MAX($F$2174:F2619)</f>
        <v>1.4585</v>
      </c>
      <c r="I2619" s="11">
        <f t="shared" si="64"/>
        <v>0.030167980802194</v>
      </c>
      <c r="J2619" s="9"/>
      <c r="K2619" s="11"/>
      <c r="L2619" s="9">
        <f>MAX($F$2358:F2619)</f>
        <v>1.4585</v>
      </c>
      <c r="M2619" s="11">
        <f t="shared" si="65"/>
        <v>0.030167980802194</v>
      </c>
      <c r="N2619" s="9" t="s">
        <v>789</v>
      </c>
    </row>
    <row r="2620" ht="25" customHeight="1" spans="1:14">
      <c r="A2620" s="9" t="s">
        <v>53</v>
      </c>
      <c r="B2620" s="9" t="s">
        <v>49</v>
      </c>
      <c r="C2620" s="10">
        <v>45575</v>
      </c>
      <c r="D2620" s="15">
        <v>1.4123</v>
      </c>
      <c r="E2620" s="15">
        <v>1.4123</v>
      </c>
      <c r="F2620" s="15">
        <v>1.4123</v>
      </c>
      <c r="G2620" s="11">
        <v>-0.0016</v>
      </c>
      <c r="H2620" s="9">
        <f>MAX($F$2174:F2620)</f>
        <v>1.4585</v>
      </c>
      <c r="I2620" s="11">
        <f t="shared" si="64"/>
        <v>0.0316763798423036</v>
      </c>
      <c r="J2620" s="9"/>
      <c r="K2620" s="11"/>
      <c r="L2620" s="9">
        <f>MAX($F$2358:F2620)</f>
        <v>1.4585</v>
      </c>
      <c r="M2620" s="11">
        <f t="shared" si="65"/>
        <v>0.0316763798423036</v>
      </c>
      <c r="N2620" s="9" t="s">
        <v>789</v>
      </c>
    </row>
    <row r="2621" ht="25" customHeight="1" spans="1:14">
      <c r="A2621" s="9" t="s">
        <v>53</v>
      </c>
      <c r="B2621" s="9" t="s">
        <v>49</v>
      </c>
      <c r="C2621" s="10">
        <v>45576</v>
      </c>
      <c r="D2621" s="15">
        <v>1.4022</v>
      </c>
      <c r="E2621" s="15">
        <v>1.4022</v>
      </c>
      <c r="F2621" s="15">
        <v>1.4022</v>
      </c>
      <c r="G2621" s="11">
        <v>-0.0072</v>
      </c>
      <c r="H2621" s="9">
        <f>MAX($F$2174:F2621)</f>
        <v>1.4585</v>
      </c>
      <c r="I2621" s="11">
        <f t="shared" si="64"/>
        <v>0.0386013027082619</v>
      </c>
      <c r="J2621" s="9"/>
      <c r="K2621" s="11"/>
      <c r="L2621" s="9">
        <f>MAX($F$2358:F2621)</f>
        <v>1.4585</v>
      </c>
      <c r="M2621" s="11">
        <f t="shared" si="65"/>
        <v>0.0386013027082619</v>
      </c>
      <c r="N2621" s="9" t="s">
        <v>789</v>
      </c>
    </row>
    <row r="2622" ht="25" customHeight="1" spans="1:14">
      <c r="A2622" s="9" t="s">
        <v>53</v>
      </c>
      <c r="B2622" s="9" t="s">
        <v>49</v>
      </c>
      <c r="C2622" s="10">
        <v>45579</v>
      </c>
      <c r="D2622" s="15">
        <v>1.4062</v>
      </c>
      <c r="E2622" s="15">
        <v>1.4062</v>
      </c>
      <c r="F2622" s="15">
        <v>1.4062</v>
      </c>
      <c r="G2622" s="11">
        <v>0.0029</v>
      </c>
      <c r="H2622" s="9">
        <f>MAX($F$2174:F2622)</f>
        <v>1.4585</v>
      </c>
      <c r="I2622" s="11">
        <f t="shared" si="64"/>
        <v>0.0358587589989715</v>
      </c>
      <c r="J2622" s="9"/>
      <c r="K2622" s="11"/>
      <c r="L2622" s="9">
        <f>MAX($F$2358:F2622)</f>
        <v>1.4585</v>
      </c>
      <c r="M2622" s="11">
        <f t="shared" si="65"/>
        <v>0.0358587589989715</v>
      </c>
      <c r="N2622" s="9" t="s">
        <v>789</v>
      </c>
    </row>
    <row r="2623" ht="25" customHeight="1" spans="1:14">
      <c r="A2623" s="9" t="s">
        <v>53</v>
      </c>
      <c r="B2623" s="9" t="s">
        <v>49</v>
      </c>
      <c r="C2623" s="10">
        <v>45580</v>
      </c>
      <c r="D2623" s="15">
        <v>1.391</v>
      </c>
      <c r="E2623" s="15">
        <v>1.391</v>
      </c>
      <c r="F2623" s="15">
        <v>1.391</v>
      </c>
      <c r="G2623" s="11">
        <v>-0.0108</v>
      </c>
      <c r="H2623" s="9">
        <f>MAX($F$2174:F2623)</f>
        <v>1.4585</v>
      </c>
      <c r="I2623" s="11">
        <f t="shared" si="64"/>
        <v>0.0462804250942749</v>
      </c>
      <c r="J2623" s="9"/>
      <c r="K2623" s="11"/>
      <c r="L2623" s="9">
        <f>MAX($F$2358:F2623)</f>
        <v>1.4585</v>
      </c>
      <c r="M2623" s="11">
        <f t="shared" si="65"/>
        <v>0.0462804250942749</v>
      </c>
      <c r="N2623" s="9" t="s">
        <v>789</v>
      </c>
    </row>
    <row r="2624" ht="25" customHeight="1" spans="1:14">
      <c r="A2624" s="9" t="s">
        <v>53</v>
      </c>
      <c r="B2624" s="9" t="s">
        <v>49</v>
      </c>
      <c r="C2624" s="10">
        <v>45581</v>
      </c>
      <c r="D2624" s="15">
        <v>1.3881</v>
      </c>
      <c r="E2624" s="15">
        <v>1.3881</v>
      </c>
      <c r="F2624" s="15">
        <v>1.3881</v>
      </c>
      <c r="G2624" s="11">
        <v>-0.0021</v>
      </c>
      <c r="H2624" s="9">
        <f>MAX($F$2174:F2624)</f>
        <v>1.4585</v>
      </c>
      <c r="I2624" s="11">
        <f t="shared" si="64"/>
        <v>0.0482687692835104</v>
      </c>
      <c r="J2624" s="9"/>
      <c r="K2624" s="11"/>
      <c r="L2624" s="9">
        <f>MAX($F$2358:F2624)</f>
        <v>1.4585</v>
      </c>
      <c r="M2624" s="11">
        <f t="shared" si="65"/>
        <v>0.0482687692835104</v>
      </c>
      <c r="N2624" s="9" t="s">
        <v>789</v>
      </c>
    </row>
    <row r="2625" ht="25" customHeight="1" spans="1:14">
      <c r="A2625" s="9" t="s">
        <v>53</v>
      </c>
      <c r="B2625" s="9" t="s">
        <v>49</v>
      </c>
      <c r="C2625" s="10">
        <v>45582</v>
      </c>
      <c r="D2625" s="15">
        <v>1.4031</v>
      </c>
      <c r="E2625" s="15">
        <v>1.4031</v>
      </c>
      <c r="F2625" s="15">
        <v>1.4031</v>
      </c>
      <c r="G2625" s="11">
        <v>0.0108</v>
      </c>
      <c r="H2625" s="9">
        <f>MAX($F$2174:F2625)</f>
        <v>1.4585</v>
      </c>
      <c r="I2625" s="11">
        <f t="shared" si="64"/>
        <v>0.0379842303736715</v>
      </c>
      <c r="J2625" s="9"/>
      <c r="K2625" s="11"/>
      <c r="L2625" s="9">
        <f>MAX($F$2358:F2625)</f>
        <v>1.4585</v>
      </c>
      <c r="M2625" s="11">
        <f t="shared" si="65"/>
        <v>0.0379842303736715</v>
      </c>
      <c r="N2625" s="9" t="s">
        <v>789</v>
      </c>
    </row>
    <row r="2626" ht="25" customHeight="1" spans="1:14">
      <c r="A2626" s="9" t="s">
        <v>53</v>
      </c>
      <c r="B2626" s="9" t="s">
        <v>49</v>
      </c>
      <c r="C2626" s="10">
        <v>45583</v>
      </c>
      <c r="D2626" s="15">
        <v>1.4118</v>
      </c>
      <c r="E2626" s="15">
        <v>1.4118</v>
      </c>
      <c r="F2626" s="15">
        <v>1.4118</v>
      </c>
      <c r="G2626" s="11">
        <v>0.0062</v>
      </c>
      <c r="H2626" s="9">
        <f>MAX($F$2174:F2626)</f>
        <v>1.4585</v>
      </c>
      <c r="I2626" s="11">
        <f t="shared" ref="I2626:I2689" si="66">1-F2626/H2626</f>
        <v>0.032019197805965</v>
      </c>
      <c r="J2626" s="9"/>
      <c r="K2626" s="11"/>
      <c r="L2626" s="9">
        <f>MAX($F$2358:F2626)</f>
        <v>1.4585</v>
      </c>
      <c r="M2626" s="11">
        <f t="shared" si="65"/>
        <v>0.032019197805965</v>
      </c>
      <c r="N2626" s="9" t="s">
        <v>789</v>
      </c>
    </row>
    <row r="2627" ht="25" customHeight="1" spans="1:14">
      <c r="A2627" s="9" t="s">
        <v>53</v>
      </c>
      <c r="B2627" s="9" t="s">
        <v>49</v>
      </c>
      <c r="C2627" s="10">
        <v>45586</v>
      </c>
      <c r="D2627" s="15">
        <v>1.3768</v>
      </c>
      <c r="E2627" s="15">
        <v>1.3768</v>
      </c>
      <c r="F2627" s="15">
        <v>1.3768</v>
      </c>
      <c r="G2627" s="11">
        <v>-0.0248</v>
      </c>
      <c r="H2627" s="9">
        <f>MAX($F$2174:F2627)</f>
        <v>1.4585</v>
      </c>
      <c r="I2627" s="11">
        <f t="shared" si="66"/>
        <v>0.0560164552622556</v>
      </c>
      <c r="J2627" s="9"/>
      <c r="K2627" s="11"/>
      <c r="L2627" s="9">
        <f>MAX($F$2358:F2627)</f>
        <v>1.4585</v>
      </c>
      <c r="M2627" s="11">
        <f t="shared" si="65"/>
        <v>0.0560164552622556</v>
      </c>
      <c r="N2627" s="9" t="s">
        <v>789</v>
      </c>
    </row>
    <row r="2628" ht="25" customHeight="1" spans="1:14">
      <c r="A2628" s="9" t="s">
        <v>53</v>
      </c>
      <c r="B2628" s="9" t="s">
        <v>49</v>
      </c>
      <c r="C2628" s="10">
        <v>45587</v>
      </c>
      <c r="D2628" s="15">
        <v>1.3754</v>
      </c>
      <c r="E2628" s="15">
        <v>1.3754</v>
      </c>
      <c r="F2628" s="15">
        <v>1.3754</v>
      </c>
      <c r="G2628" s="11">
        <v>-0.001</v>
      </c>
      <c r="H2628" s="9">
        <f>MAX($F$2174:F2628)</f>
        <v>1.4585</v>
      </c>
      <c r="I2628" s="11">
        <f t="shared" si="66"/>
        <v>0.0569763455605073</v>
      </c>
      <c r="J2628" s="9"/>
      <c r="K2628" s="11"/>
      <c r="L2628" s="9">
        <f>MAX($F$2358:F2628)</f>
        <v>1.4585</v>
      </c>
      <c r="M2628" s="11">
        <f t="shared" si="65"/>
        <v>0.0569763455605073</v>
      </c>
      <c r="N2628" s="9" t="s">
        <v>789</v>
      </c>
    </row>
    <row r="2629" ht="25" customHeight="1" spans="1:14">
      <c r="A2629" s="9" t="s">
        <v>53</v>
      </c>
      <c r="B2629" s="9" t="s">
        <v>49</v>
      </c>
      <c r="C2629" s="10">
        <v>45588</v>
      </c>
      <c r="D2629" s="15">
        <v>1.3867</v>
      </c>
      <c r="E2629" s="15">
        <v>1.3867</v>
      </c>
      <c r="F2629" s="15">
        <v>1.3867</v>
      </c>
      <c r="G2629" s="11">
        <v>0.0082</v>
      </c>
      <c r="H2629" s="9">
        <f>MAX($F$2174:F2629)</f>
        <v>1.4585</v>
      </c>
      <c r="I2629" s="11">
        <f t="shared" si="66"/>
        <v>0.049228659581762</v>
      </c>
      <c r="J2629" s="9"/>
      <c r="K2629" s="11"/>
      <c r="L2629" s="9">
        <f>MAX($F$2358:F2629)</f>
        <v>1.4585</v>
      </c>
      <c r="M2629" s="11">
        <f t="shared" si="65"/>
        <v>0.049228659581762</v>
      </c>
      <c r="N2629" s="9" t="s">
        <v>789</v>
      </c>
    </row>
    <row r="2630" ht="25" customHeight="1" spans="1:14">
      <c r="A2630" s="9" t="s">
        <v>53</v>
      </c>
      <c r="B2630" s="9" t="s">
        <v>49</v>
      </c>
      <c r="C2630" s="10">
        <v>45589</v>
      </c>
      <c r="D2630" s="15">
        <v>1.372</v>
      </c>
      <c r="E2630" s="15">
        <v>1.372</v>
      </c>
      <c r="F2630" s="15">
        <v>1.372</v>
      </c>
      <c r="G2630" s="11">
        <v>-0.0106</v>
      </c>
      <c r="H2630" s="9">
        <f>MAX($F$2174:F2630)</f>
        <v>1.4585</v>
      </c>
      <c r="I2630" s="11">
        <f t="shared" si="66"/>
        <v>0.0593075077134041</v>
      </c>
      <c r="J2630" s="9"/>
      <c r="K2630" s="11"/>
      <c r="L2630" s="9">
        <f>MAX($F$2358:F2630)</f>
        <v>1.4585</v>
      </c>
      <c r="M2630" s="11">
        <f t="shared" si="65"/>
        <v>0.0593075077134041</v>
      </c>
      <c r="N2630" s="9" t="s">
        <v>789</v>
      </c>
    </row>
    <row r="2631" ht="25" customHeight="1" spans="1:14">
      <c r="A2631" s="9" t="s">
        <v>53</v>
      </c>
      <c r="B2631" s="9" t="s">
        <v>49</v>
      </c>
      <c r="C2631" s="10">
        <v>45590</v>
      </c>
      <c r="D2631" s="15">
        <v>1.375</v>
      </c>
      <c r="E2631" s="15">
        <v>1.375</v>
      </c>
      <c r="F2631" s="15">
        <v>1.375</v>
      </c>
      <c r="G2631" s="11">
        <v>0.0022</v>
      </c>
      <c r="H2631" s="9">
        <f>MAX($F$2174:F2631)</f>
        <v>1.4585</v>
      </c>
      <c r="I2631" s="11">
        <f t="shared" si="66"/>
        <v>0.0572505999314363</v>
      </c>
      <c r="J2631" s="9"/>
      <c r="K2631" s="11"/>
      <c r="L2631" s="9">
        <f>MAX($F$2358:F2631)</f>
        <v>1.4585</v>
      </c>
      <c r="M2631" s="11">
        <f t="shared" si="65"/>
        <v>0.0572505999314363</v>
      </c>
      <c r="N2631" s="9" t="s">
        <v>789</v>
      </c>
    </row>
    <row r="2632" ht="25" customHeight="1" spans="1:14">
      <c r="A2632" s="9" t="s">
        <v>53</v>
      </c>
      <c r="B2632" s="9" t="s">
        <v>49</v>
      </c>
      <c r="C2632" s="10">
        <v>45593</v>
      </c>
      <c r="D2632" s="15">
        <v>1.3757</v>
      </c>
      <c r="E2632" s="15">
        <v>1.3757</v>
      </c>
      <c r="F2632" s="15">
        <v>1.3757</v>
      </c>
      <c r="G2632" s="11">
        <v>0.0005</v>
      </c>
      <c r="H2632" s="9">
        <f>MAX($F$2174:F2632)</f>
        <v>1.4585</v>
      </c>
      <c r="I2632" s="11">
        <f t="shared" si="66"/>
        <v>0.0567706547823106</v>
      </c>
      <c r="J2632" s="9"/>
      <c r="K2632" s="11"/>
      <c r="L2632" s="9">
        <f>MAX($F$2358:F2632)</f>
        <v>1.4585</v>
      </c>
      <c r="M2632" s="11">
        <f t="shared" si="65"/>
        <v>0.0567706547823106</v>
      </c>
      <c r="N2632" s="9" t="s">
        <v>789</v>
      </c>
    </row>
    <row r="2633" ht="25" customHeight="1" spans="1:14">
      <c r="A2633" s="9" t="s">
        <v>53</v>
      </c>
      <c r="B2633" s="9" t="s">
        <v>49</v>
      </c>
      <c r="C2633" s="10">
        <v>45594</v>
      </c>
      <c r="D2633" s="15">
        <v>1.3676</v>
      </c>
      <c r="E2633" s="15">
        <v>1.3676</v>
      </c>
      <c r="F2633" s="15">
        <v>1.3676</v>
      </c>
      <c r="G2633" s="11">
        <v>-0.0059</v>
      </c>
      <c r="H2633" s="9">
        <f>MAX($F$2174:F2633)</f>
        <v>1.4585</v>
      </c>
      <c r="I2633" s="11">
        <f t="shared" si="66"/>
        <v>0.0623243057936236</v>
      </c>
      <c r="J2633" s="9"/>
      <c r="K2633" s="11"/>
      <c r="L2633" s="9">
        <f>MAX($F$2358:F2633)</f>
        <v>1.4585</v>
      </c>
      <c r="M2633" s="11">
        <f t="shared" si="65"/>
        <v>0.0623243057936236</v>
      </c>
      <c r="N2633" s="9" t="s">
        <v>789</v>
      </c>
    </row>
    <row r="2634" ht="25" customHeight="1" spans="1:14">
      <c r="A2634" s="9" t="s">
        <v>53</v>
      </c>
      <c r="B2634" s="9" t="s">
        <v>49</v>
      </c>
      <c r="C2634" s="10">
        <v>45595</v>
      </c>
      <c r="D2634" s="15">
        <v>1.3537</v>
      </c>
      <c r="E2634" s="15">
        <v>1.3537</v>
      </c>
      <c r="F2634" s="15">
        <v>1.3537</v>
      </c>
      <c r="G2634" s="11">
        <v>-0.0102</v>
      </c>
      <c r="H2634" s="9">
        <f>MAX($F$2174:F2634)</f>
        <v>1.4585</v>
      </c>
      <c r="I2634" s="11">
        <f t="shared" si="66"/>
        <v>0.0718546451834077</v>
      </c>
      <c r="J2634" s="9"/>
      <c r="K2634" s="11"/>
      <c r="L2634" s="9">
        <f>MAX($F$2358:F2634)</f>
        <v>1.4585</v>
      </c>
      <c r="M2634" s="11">
        <f t="shared" si="65"/>
        <v>0.0718546451834077</v>
      </c>
      <c r="N2634" s="9" t="s">
        <v>789</v>
      </c>
    </row>
    <row r="2635" ht="25" customHeight="1" spans="1:14">
      <c r="A2635" s="9" t="s">
        <v>53</v>
      </c>
      <c r="B2635" s="9" t="s">
        <v>49</v>
      </c>
      <c r="C2635" s="10">
        <v>45596</v>
      </c>
      <c r="D2635" s="15">
        <v>1.3497</v>
      </c>
      <c r="E2635" s="15">
        <v>1.3497</v>
      </c>
      <c r="F2635" s="15">
        <v>1.3497</v>
      </c>
      <c r="G2635" s="11">
        <v>-0.003</v>
      </c>
      <c r="H2635" s="9">
        <f>MAX($F$2174:F2635)</f>
        <v>1.4585</v>
      </c>
      <c r="I2635" s="11">
        <f t="shared" si="66"/>
        <v>0.074597188892698</v>
      </c>
      <c r="J2635" s="9"/>
      <c r="K2635" s="11"/>
      <c r="L2635" s="9">
        <f>MAX($F$2358:F2635)</f>
        <v>1.4585</v>
      </c>
      <c r="M2635" s="11">
        <f t="shared" si="65"/>
        <v>0.074597188892698</v>
      </c>
      <c r="N2635" s="9" t="s">
        <v>789</v>
      </c>
    </row>
    <row r="2636" ht="25" customHeight="1" spans="1:14">
      <c r="A2636" s="9" t="s">
        <v>53</v>
      </c>
      <c r="B2636" s="9" t="s">
        <v>49</v>
      </c>
      <c r="C2636" s="10">
        <v>45597</v>
      </c>
      <c r="D2636" s="15">
        <v>1.3546</v>
      </c>
      <c r="E2636" s="15">
        <v>1.3546</v>
      </c>
      <c r="F2636" s="15">
        <v>1.3546</v>
      </c>
      <c r="G2636" s="11">
        <v>0.0036</v>
      </c>
      <c r="H2636" s="9">
        <f>MAX($F$2174:F2636)</f>
        <v>1.4585</v>
      </c>
      <c r="I2636" s="11">
        <f t="shared" si="66"/>
        <v>0.0712375728488172</v>
      </c>
      <c r="J2636" s="9"/>
      <c r="K2636" s="11"/>
      <c r="L2636" s="9">
        <f>MAX($F$2358:F2636)</f>
        <v>1.4585</v>
      </c>
      <c r="M2636" s="11">
        <f t="shared" si="65"/>
        <v>0.0712375728488172</v>
      </c>
      <c r="N2636" s="9" t="s">
        <v>789</v>
      </c>
    </row>
    <row r="2637" ht="25" customHeight="1" spans="1:14">
      <c r="A2637" s="9" t="s">
        <v>53</v>
      </c>
      <c r="B2637" s="9" t="s">
        <v>49</v>
      </c>
      <c r="C2637" s="10">
        <v>45600</v>
      </c>
      <c r="D2637" s="15">
        <v>1.3741</v>
      </c>
      <c r="E2637" s="15">
        <v>1.3741</v>
      </c>
      <c r="F2637" s="15">
        <v>1.3741</v>
      </c>
      <c r="G2637" s="11">
        <v>0.0144</v>
      </c>
      <c r="H2637" s="9">
        <f>MAX($F$2174:F2637)</f>
        <v>1.4585</v>
      </c>
      <c r="I2637" s="11">
        <f t="shared" si="66"/>
        <v>0.0578676722660266</v>
      </c>
      <c r="J2637" s="9"/>
      <c r="K2637" s="11"/>
      <c r="L2637" s="9">
        <f>MAX($F$2358:F2637)</f>
        <v>1.4585</v>
      </c>
      <c r="M2637" s="11">
        <f t="shared" si="65"/>
        <v>0.0578676722660266</v>
      </c>
      <c r="N2637" s="9" t="s">
        <v>789</v>
      </c>
    </row>
    <row r="2638" ht="25" customHeight="1" spans="1:14">
      <c r="A2638" s="9" t="s">
        <v>53</v>
      </c>
      <c r="B2638" s="9" t="s">
        <v>49</v>
      </c>
      <c r="C2638" s="10">
        <v>45601</v>
      </c>
      <c r="D2638" s="15">
        <v>1.388</v>
      </c>
      <c r="E2638" s="15">
        <v>1.388</v>
      </c>
      <c r="F2638" s="15">
        <v>1.388</v>
      </c>
      <c r="G2638" s="11">
        <v>0.0101</v>
      </c>
      <c r="H2638" s="9">
        <f>MAX($F$2174:F2638)</f>
        <v>1.4585</v>
      </c>
      <c r="I2638" s="11">
        <f t="shared" si="66"/>
        <v>0.0483373328762428</v>
      </c>
      <c r="J2638" s="9"/>
      <c r="K2638" s="11"/>
      <c r="L2638" s="9">
        <f>MAX($F$2358:F2638)</f>
        <v>1.4585</v>
      </c>
      <c r="M2638" s="11">
        <f t="shared" si="65"/>
        <v>0.0483373328762428</v>
      </c>
      <c r="N2638" s="9" t="s">
        <v>789</v>
      </c>
    </row>
    <row r="2639" ht="25" customHeight="1" spans="1:14">
      <c r="A2639" s="9" t="s">
        <v>53</v>
      </c>
      <c r="B2639" s="9" t="s">
        <v>49</v>
      </c>
      <c r="C2639" s="10">
        <v>45602</v>
      </c>
      <c r="D2639" s="15">
        <v>1.384</v>
      </c>
      <c r="E2639" s="15">
        <v>1.384</v>
      </c>
      <c r="F2639" s="15">
        <v>1.384</v>
      </c>
      <c r="G2639" s="11">
        <v>-0.0029</v>
      </c>
      <c r="H2639" s="9">
        <f>MAX($F$2174:F2639)</f>
        <v>1.4585</v>
      </c>
      <c r="I2639" s="11">
        <f t="shared" si="66"/>
        <v>0.0510798765855331</v>
      </c>
      <c r="J2639" s="9"/>
      <c r="K2639" s="11"/>
      <c r="L2639" s="9">
        <f>MAX($F$2358:F2639)</f>
        <v>1.4585</v>
      </c>
      <c r="M2639" s="11">
        <f t="shared" si="65"/>
        <v>0.0510798765855331</v>
      </c>
      <c r="N2639" s="9" t="s">
        <v>789</v>
      </c>
    </row>
    <row r="2640" ht="25" customHeight="1" spans="1:14">
      <c r="A2640" s="9" t="s">
        <v>53</v>
      </c>
      <c r="B2640" s="9" t="s">
        <v>49</v>
      </c>
      <c r="C2640" s="10">
        <v>45603</v>
      </c>
      <c r="D2640" s="15">
        <v>1.3888</v>
      </c>
      <c r="E2640" s="15">
        <v>1.3888</v>
      </c>
      <c r="F2640" s="15">
        <v>1.3888</v>
      </c>
      <c r="G2640" s="11">
        <v>0.0035</v>
      </c>
      <c r="H2640" s="9">
        <f>MAX($F$2174:F2640)</f>
        <v>1.4585</v>
      </c>
      <c r="I2640" s="11">
        <f t="shared" si="66"/>
        <v>0.0477888241343846</v>
      </c>
      <c r="J2640" s="9"/>
      <c r="K2640" s="11"/>
      <c r="L2640" s="9">
        <f>MAX($F$2358:F2640)</f>
        <v>1.4585</v>
      </c>
      <c r="M2640" s="11">
        <f t="shared" si="65"/>
        <v>0.0477888241343846</v>
      </c>
      <c r="N2640" s="9" t="s">
        <v>789</v>
      </c>
    </row>
    <row r="2641" ht="25" customHeight="1" spans="1:14">
      <c r="A2641" s="9" t="s">
        <v>53</v>
      </c>
      <c r="B2641" s="9" t="s">
        <v>49</v>
      </c>
      <c r="C2641" s="10">
        <v>45604</v>
      </c>
      <c r="D2641" s="15">
        <v>1.4091</v>
      </c>
      <c r="E2641" s="15">
        <v>1.4091</v>
      </c>
      <c r="F2641" s="15">
        <v>1.4091</v>
      </c>
      <c r="G2641" s="11">
        <v>0.0146</v>
      </c>
      <c r="H2641" s="9">
        <f>MAX($F$2174:F2641)</f>
        <v>1.4585</v>
      </c>
      <c r="I2641" s="11">
        <f t="shared" si="66"/>
        <v>0.033870414809736</v>
      </c>
      <c r="J2641" s="9"/>
      <c r="K2641" s="11"/>
      <c r="L2641" s="9">
        <f>MAX($F$2358:F2641)</f>
        <v>1.4585</v>
      </c>
      <c r="M2641" s="11">
        <f t="shared" si="65"/>
        <v>0.033870414809736</v>
      </c>
      <c r="N2641" s="9" t="s">
        <v>789</v>
      </c>
    </row>
    <row r="2642" ht="25" customHeight="1" spans="1:14">
      <c r="A2642" s="9" t="s">
        <v>53</v>
      </c>
      <c r="B2642" s="9" t="s">
        <v>49</v>
      </c>
      <c r="C2642" s="10">
        <v>45607</v>
      </c>
      <c r="D2642" s="15">
        <v>1.4326</v>
      </c>
      <c r="E2642" s="15">
        <v>1.4326</v>
      </c>
      <c r="F2642" s="15">
        <v>1.4326</v>
      </c>
      <c r="G2642" s="11">
        <v>0.0167</v>
      </c>
      <c r="H2642" s="9">
        <f>MAX($F$2174:F2642)</f>
        <v>1.4585</v>
      </c>
      <c r="I2642" s="11">
        <f t="shared" si="66"/>
        <v>0.017757970517655</v>
      </c>
      <c r="J2642" s="9"/>
      <c r="K2642" s="11"/>
      <c r="L2642" s="9">
        <f>MAX($F$2358:F2642)</f>
        <v>1.4585</v>
      </c>
      <c r="M2642" s="11">
        <f t="shared" si="65"/>
        <v>0.017757970517655</v>
      </c>
      <c r="N2642" s="9" t="s">
        <v>789</v>
      </c>
    </row>
    <row r="2643" ht="25" customHeight="1" spans="1:14">
      <c r="A2643" s="9" t="s">
        <v>53</v>
      </c>
      <c r="B2643" s="9" t="s">
        <v>49</v>
      </c>
      <c r="C2643" s="10">
        <v>45608</v>
      </c>
      <c r="D2643" s="15">
        <v>1.4243</v>
      </c>
      <c r="E2643" s="15">
        <v>1.4243</v>
      </c>
      <c r="F2643" s="15">
        <v>1.4243</v>
      </c>
      <c r="G2643" s="11">
        <v>-0.0058</v>
      </c>
      <c r="H2643" s="9">
        <f>MAX($F$2174:F2643)</f>
        <v>1.4585</v>
      </c>
      <c r="I2643" s="11">
        <f t="shared" si="66"/>
        <v>0.0234487487144326</v>
      </c>
      <c r="J2643" s="9"/>
      <c r="K2643" s="11"/>
      <c r="L2643" s="9">
        <f>MAX($F$2358:F2643)</f>
        <v>1.4585</v>
      </c>
      <c r="M2643" s="11">
        <f t="shared" si="65"/>
        <v>0.0234487487144326</v>
      </c>
      <c r="N2643" s="9" t="s">
        <v>789</v>
      </c>
    </row>
    <row r="2644" ht="25" customHeight="1" spans="1:14">
      <c r="A2644" s="9" t="s">
        <v>53</v>
      </c>
      <c r="B2644" s="9" t="s">
        <v>49</v>
      </c>
      <c r="C2644" s="10">
        <v>45609</v>
      </c>
      <c r="D2644" s="15">
        <v>1.3999</v>
      </c>
      <c r="E2644" s="15">
        <v>1.3999</v>
      </c>
      <c r="F2644" s="15">
        <v>1.3999</v>
      </c>
      <c r="G2644" s="11">
        <v>-0.0171</v>
      </c>
      <c r="H2644" s="9">
        <f>MAX($F$2174:F2644)</f>
        <v>1.4585</v>
      </c>
      <c r="I2644" s="11">
        <f t="shared" si="66"/>
        <v>0.0401782653411039</v>
      </c>
      <c r="J2644" s="9"/>
      <c r="K2644" s="11"/>
      <c r="L2644" s="9">
        <f>MAX($F$2358:F2644)</f>
        <v>1.4585</v>
      </c>
      <c r="M2644" s="11">
        <f t="shared" si="65"/>
        <v>0.0401782653411039</v>
      </c>
      <c r="N2644" s="9" t="s">
        <v>789</v>
      </c>
    </row>
    <row r="2645" ht="25" customHeight="1" spans="1:14">
      <c r="A2645" s="9" t="s">
        <v>53</v>
      </c>
      <c r="B2645" s="9" t="s">
        <v>49</v>
      </c>
      <c r="C2645" s="10">
        <v>45610</v>
      </c>
      <c r="D2645" s="15">
        <v>1.3987</v>
      </c>
      <c r="E2645" s="15">
        <v>1.3987</v>
      </c>
      <c r="F2645" s="15">
        <v>1.3987</v>
      </c>
      <c r="G2645" s="11">
        <v>-0.0009</v>
      </c>
      <c r="H2645" s="9">
        <f>MAX($F$2174:F2645)</f>
        <v>1.4585</v>
      </c>
      <c r="I2645" s="11">
        <f t="shared" si="66"/>
        <v>0.0410010284538909</v>
      </c>
      <c r="J2645" s="9"/>
      <c r="K2645" s="11"/>
      <c r="L2645" s="9">
        <f>MAX($F$2358:F2645)</f>
        <v>1.4585</v>
      </c>
      <c r="M2645" s="11">
        <f t="shared" si="65"/>
        <v>0.0410010284538909</v>
      </c>
      <c r="N2645" s="9" t="s">
        <v>789</v>
      </c>
    </row>
    <row r="2646" ht="25" customHeight="1" spans="1:14">
      <c r="A2646" s="9" t="s">
        <v>53</v>
      </c>
      <c r="B2646" s="9" t="s">
        <v>49</v>
      </c>
      <c r="C2646" s="10">
        <v>45611</v>
      </c>
      <c r="D2646" s="15">
        <v>1.3986</v>
      </c>
      <c r="E2646" s="15">
        <v>1.3986</v>
      </c>
      <c r="F2646" s="15">
        <v>1.3986</v>
      </c>
      <c r="G2646" s="11">
        <v>-0.0001</v>
      </c>
      <c r="H2646" s="9">
        <f>MAX($F$2174:F2646)</f>
        <v>1.4585</v>
      </c>
      <c r="I2646" s="11">
        <f t="shared" si="66"/>
        <v>0.0410695920466231</v>
      </c>
      <c r="J2646" s="9"/>
      <c r="K2646" s="11"/>
      <c r="L2646" s="9">
        <f>MAX($F$2358:F2646)</f>
        <v>1.4585</v>
      </c>
      <c r="M2646" s="11">
        <f t="shared" si="65"/>
        <v>0.0410695920466231</v>
      </c>
      <c r="N2646" s="9" t="s">
        <v>789</v>
      </c>
    </row>
    <row r="2647" ht="25" customHeight="1" spans="1:14">
      <c r="A2647" s="9" t="s">
        <v>53</v>
      </c>
      <c r="B2647" s="9" t="s">
        <v>49</v>
      </c>
      <c r="C2647" s="10">
        <v>45614</v>
      </c>
      <c r="D2647" s="15">
        <v>1.4127</v>
      </c>
      <c r="E2647" s="15">
        <v>1.4127</v>
      </c>
      <c r="F2647" s="15">
        <v>1.4127</v>
      </c>
      <c r="G2647" s="11">
        <v>0.0101</v>
      </c>
      <c r="H2647" s="9">
        <f>MAX($F$2174:F2647)</f>
        <v>1.4585</v>
      </c>
      <c r="I2647" s="11">
        <f t="shared" si="66"/>
        <v>0.0314021254713746</v>
      </c>
      <c r="J2647" s="9"/>
      <c r="K2647" s="11"/>
      <c r="L2647" s="9">
        <f>MAX($F$2358:F2647)</f>
        <v>1.4585</v>
      </c>
      <c r="M2647" s="11">
        <f t="shared" si="65"/>
        <v>0.0314021254713746</v>
      </c>
      <c r="N2647" s="9" t="s">
        <v>789</v>
      </c>
    </row>
    <row r="2648" ht="25" customHeight="1" spans="1:14">
      <c r="A2648" s="9" t="s">
        <v>53</v>
      </c>
      <c r="B2648" s="9" t="s">
        <v>49</v>
      </c>
      <c r="C2648" s="10">
        <v>45615</v>
      </c>
      <c r="D2648" s="15">
        <v>1.4168</v>
      </c>
      <c r="E2648" s="15">
        <v>1.4168</v>
      </c>
      <c r="F2648" s="15">
        <v>1.4168</v>
      </c>
      <c r="G2648" s="11">
        <v>0.0029</v>
      </c>
      <c r="H2648" s="9">
        <f>MAX($F$2174:F2648)</f>
        <v>1.4585</v>
      </c>
      <c r="I2648" s="11">
        <f t="shared" si="66"/>
        <v>0.0285910181693519</v>
      </c>
      <c r="J2648" s="9"/>
      <c r="K2648" s="11"/>
      <c r="L2648" s="9">
        <f>MAX($F$2358:F2648)</f>
        <v>1.4585</v>
      </c>
      <c r="M2648" s="11">
        <f t="shared" si="65"/>
        <v>0.0285910181693519</v>
      </c>
      <c r="N2648" s="9" t="s">
        <v>789</v>
      </c>
    </row>
    <row r="2649" ht="25" customHeight="1" spans="1:14">
      <c r="A2649" s="9" t="s">
        <v>53</v>
      </c>
      <c r="B2649" s="9" t="s">
        <v>49</v>
      </c>
      <c r="C2649" s="10">
        <v>45616</v>
      </c>
      <c r="D2649" s="15">
        <v>1.4096</v>
      </c>
      <c r="E2649" s="15">
        <v>1.4096</v>
      </c>
      <c r="F2649" s="15">
        <v>1.4096</v>
      </c>
      <c r="G2649" s="11">
        <v>-0.0051</v>
      </c>
      <c r="H2649" s="9">
        <f>MAX($F$2174:F2649)</f>
        <v>1.4585</v>
      </c>
      <c r="I2649" s="11">
        <f t="shared" si="66"/>
        <v>0.0335275968460746</v>
      </c>
      <c r="J2649" s="9"/>
      <c r="K2649" s="11"/>
      <c r="L2649" s="9">
        <f>MAX($F$2358:F2649)</f>
        <v>1.4585</v>
      </c>
      <c r="M2649" s="11">
        <f t="shared" si="65"/>
        <v>0.0335275968460746</v>
      </c>
      <c r="N2649" s="9" t="s">
        <v>789</v>
      </c>
    </row>
    <row r="2650" ht="25" customHeight="1" spans="1:14">
      <c r="A2650" s="9" t="s">
        <v>53</v>
      </c>
      <c r="B2650" s="9" t="s">
        <v>49</v>
      </c>
      <c r="C2650" s="10">
        <v>45617</v>
      </c>
      <c r="D2650" s="15">
        <v>1.3966</v>
      </c>
      <c r="E2650" s="15">
        <v>1.3966</v>
      </c>
      <c r="F2650" s="15">
        <v>1.3966</v>
      </c>
      <c r="G2650" s="11">
        <v>-0.0092</v>
      </c>
      <c r="H2650" s="9">
        <f>MAX($F$2174:F2650)</f>
        <v>1.4585</v>
      </c>
      <c r="I2650" s="11">
        <f t="shared" si="66"/>
        <v>0.0424408639012683</v>
      </c>
      <c r="J2650" s="9"/>
      <c r="K2650" s="11"/>
      <c r="L2650" s="9">
        <f>MAX($F$2358:F2650)</f>
        <v>1.4585</v>
      </c>
      <c r="M2650" s="11">
        <f t="shared" si="65"/>
        <v>0.0424408639012683</v>
      </c>
      <c r="N2650" s="9" t="s">
        <v>789</v>
      </c>
    </row>
    <row r="2651" ht="25" customHeight="1" spans="1:14">
      <c r="A2651" s="9" t="s">
        <v>53</v>
      </c>
      <c r="B2651" s="9" t="s">
        <v>49</v>
      </c>
      <c r="C2651" s="10">
        <v>45618</v>
      </c>
      <c r="D2651" s="15">
        <v>1.3682</v>
      </c>
      <c r="E2651" s="15">
        <v>1.3682</v>
      </c>
      <c r="F2651" s="15">
        <v>1.3682</v>
      </c>
      <c r="G2651" s="11">
        <v>-0.0203</v>
      </c>
      <c r="H2651" s="9">
        <f>MAX($F$2174:F2651)</f>
        <v>1.4585</v>
      </c>
      <c r="I2651" s="11">
        <f t="shared" si="66"/>
        <v>0.0619129242372299</v>
      </c>
      <c r="J2651" s="9"/>
      <c r="K2651" s="11"/>
      <c r="L2651" s="9">
        <f>MAX($F$2358:F2651)</f>
        <v>1.4585</v>
      </c>
      <c r="M2651" s="11">
        <f t="shared" si="65"/>
        <v>0.0619129242372299</v>
      </c>
      <c r="N2651" s="9" t="s">
        <v>789</v>
      </c>
    </row>
    <row r="2652" ht="25" customHeight="1" spans="1:14">
      <c r="A2652" s="9" t="s">
        <v>53</v>
      </c>
      <c r="B2652" s="9" t="s">
        <v>49</v>
      </c>
      <c r="C2652" s="10">
        <v>45621</v>
      </c>
      <c r="D2652" s="15">
        <v>1.3604</v>
      </c>
      <c r="E2652" s="15">
        <v>1.3604</v>
      </c>
      <c r="F2652" s="15">
        <v>1.3604</v>
      </c>
      <c r="G2652" s="11">
        <v>-0.0057</v>
      </c>
      <c r="H2652" s="9">
        <f>MAX($F$2174:F2652)</f>
        <v>1.4585</v>
      </c>
      <c r="I2652" s="11">
        <f t="shared" si="66"/>
        <v>0.0672608844703462</v>
      </c>
      <c r="J2652" s="9"/>
      <c r="K2652" s="11"/>
      <c r="L2652" s="9">
        <f>MAX($F$2358:F2652)</f>
        <v>1.4585</v>
      </c>
      <c r="M2652" s="11">
        <f t="shared" si="65"/>
        <v>0.0672608844703462</v>
      </c>
      <c r="N2652" s="9" t="s">
        <v>789</v>
      </c>
    </row>
    <row r="2653" ht="25" customHeight="1" spans="1:14">
      <c r="A2653" s="9" t="s">
        <v>53</v>
      </c>
      <c r="B2653" s="9" t="s">
        <v>49</v>
      </c>
      <c r="C2653" s="10">
        <v>45622</v>
      </c>
      <c r="D2653" s="15">
        <v>1.3548</v>
      </c>
      <c r="E2653" s="15">
        <v>1.3548</v>
      </c>
      <c r="F2653" s="15">
        <v>1.3548</v>
      </c>
      <c r="G2653" s="11">
        <v>-0.0041</v>
      </c>
      <c r="H2653" s="9">
        <f>MAX($F$2174:F2653)</f>
        <v>1.4585</v>
      </c>
      <c r="I2653" s="11">
        <f t="shared" si="66"/>
        <v>0.0711004456633527</v>
      </c>
      <c r="J2653" s="9"/>
      <c r="K2653" s="11"/>
      <c r="L2653" s="9">
        <f>MAX($F$2358:F2653)</f>
        <v>1.4585</v>
      </c>
      <c r="M2653" s="11">
        <f t="shared" si="65"/>
        <v>0.0711004456633527</v>
      </c>
      <c r="N2653" s="9" t="s">
        <v>789</v>
      </c>
    </row>
    <row r="2654" ht="25" customHeight="1" spans="1:14">
      <c r="A2654" s="9" t="s">
        <v>53</v>
      </c>
      <c r="B2654" s="9" t="s">
        <v>49</v>
      </c>
      <c r="C2654" s="10">
        <v>45623</v>
      </c>
      <c r="D2654" s="15">
        <v>1.3491</v>
      </c>
      <c r="E2654" s="15">
        <v>1.3491</v>
      </c>
      <c r="F2654" s="15">
        <v>1.3491</v>
      </c>
      <c r="G2654" s="11">
        <v>-0.0042</v>
      </c>
      <c r="H2654" s="9">
        <f>MAX($F$2174:F2654)</f>
        <v>1.4585</v>
      </c>
      <c r="I2654" s="11">
        <f t="shared" si="66"/>
        <v>0.0750085704490915</v>
      </c>
      <c r="J2654" s="9"/>
      <c r="K2654" s="11"/>
      <c r="L2654" s="9">
        <f>MAX($F$2358:F2654)</f>
        <v>1.4585</v>
      </c>
      <c r="M2654" s="11">
        <f t="shared" si="65"/>
        <v>0.0750085704490915</v>
      </c>
      <c r="N2654" s="9" t="s">
        <v>789</v>
      </c>
    </row>
    <row r="2655" ht="25" customHeight="1" spans="1:14">
      <c r="A2655" s="9" t="s">
        <v>53</v>
      </c>
      <c r="B2655" s="9" t="s">
        <v>49</v>
      </c>
      <c r="C2655" s="10">
        <v>45624</v>
      </c>
      <c r="D2655" s="15">
        <v>1.3558</v>
      </c>
      <c r="E2655" s="15">
        <v>1.3558</v>
      </c>
      <c r="F2655" s="15">
        <v>1.3558</v>
      </c>
      <c r="G2655" s="11">
        <v>0.005</v>
      </c>
      <c r="H2655" s="9">
        <f>MAX($F$2174:F2655)</f>
        <v>1.4585</v>
      </c>
      <c r="I2655" s="11">
        <f t="shared" si="66"/>
        <v>0.0704148097360302</v>
      </c>
      <c r="J2655" s="9"/>
      <c r="K2655" s="11"/>
      <c r="L2655" s="9">
        <f>MAX($F$2358:F2655)</f>
        <v>1.4585</v>
      </c>
      <c r="M2655" s="11">
        <f t="shared" si="65"/>
        <v>0.0704148097360302</v>
      </c>
      <c r="N2655" s="9" t="s">
        <v>789</v>
      </c>
    </row>
    <row r="2656" ht="25" customHeight="1" spans="1:14">
      <c r="A2656" s="9" t="s">
        <v>53</v>
      </c>
      <c r="B2656" s="9" t="s">
        <v>49</v>
      </c>
      <c r="C2656" s="10">
        <v>45625</v>
      </c>
      <c r="D2656" s="15">
        <v>1.3603</v>
      </c>
      <c r="E2656" s="15">
        <v>1.3603</v>
      </c>
      <c r="F2656" s="15">
        <v>1.3603</v>
      </c>
      <c r="G2656" s="11">
        <v>0.0033</v>
      </c>
      <c r="H2656" s="9">
        <f>MAX($F$2174:F2656)</f>
        <v>1.4585</v>
      </c>
      <c r="I2656" s="11">
        <f t="shared" si="66"/>
        <v>0.0673294480630784</v>
      </c>
      <c r="J2656" s="9"/>
      <c r="K2656" s="11"/>
      <c r="L2656" s="9">
        <f>MAX($F$2358:F2656)</f>
        <v>1.4585</v>
      </c>
      <c r="M2656" s="11">
        <f t="shared" si="65"/>
        <v>0.0673294480630784</v>
      </c>
      <c r="N2656" s="9" t="s">
        <v>789</v>
      </c>
    </row>
    <row r="2657" ht="25" customHeight="1" spans="1:14">
      <c r="A2657" s="9" t="s">
        <v>53</v>
      </c>
      <c r="B2657" s="9" t="s">
        <v>49</v>
      </c>
      <c r="C2657" s="10">
        <v>45628</v>
      </c>
      <c r="D2657" s="15">
        <v>1.3775</v>
      </c>
      <c r="E2657" s="15">
        <v>1.3775</v>
      </c>
      <c r="F2657" s="15">
        <v>1.3775</v>
      </c>
      <c r="G2657" s="11">
        <v>0.0126</v>
      </c>
      <c r="H2657" s="9">
        <f>MAX($F$2174:F2657)</f>
        <v>1.4585</v>
      </c>
      <c r="I2657" s="11">
        <f t="shared" si="66"/>
        <v>0.0555365101131299</v>
      </c>
      <c r="J2657" s="9"/>
      <c r="K2657" s="11"/>
      <c r="L2657" s="9">
        <f>MAX($F$2358:F2657)</f>
        <v>1.4585</v>
      </c>
      <c r="M2657" s="11">
        <f t="shared" si="65"/>
        <v>0.0555365101131299</v>
      </c>
      <c r="N2657" s="9" t="s">
        <v>789</v>
      </c>
    </row>
    <row r="2658" ht="25" customHeight="1" spans="1:14">
      <c r="A2658" s="9" t="s">
        <v>53</v>
      </c>
      <c r="B2658" s="9" t="s">
        <v>49</v>
      </c>
      <c r="C2658" s="10">
        <v>45629</v>
      </c>
      <c r="D2658" s="15">
        <v>1.3852</v>
      </c>
      <c r="E2658" s="15">
        <v>1.3852</v>
      </c>
      <c r="F2658" s="15">
        <v>1.3852</v>
      </c>
      <c r="G2658" s="11">
        <v>0.0056</v>
      </c>
      <c r="H2658" s="9">
        <f>MAX($F$2174:F2658)</f>
        <v>1.4585</v>
      </c>
      <c r="I2658" s="11">
        <f t="shared" si="66"/>
        <v>0.050257113472746</v>
      </c>
      <c r="J2658" s="9"/>
      <c r="K2658" s="11"/>
      <c r="L2658" s="9">
        <f>MAX($F$2358:F2658)</f>
        <v>1.4585</v>
      </c>
      <c r="M2658" s="11">
        <f t="shared" si="65"/>
        <v>0.050257113472746</v>
      </c>
      <c r="N2658" s="9" t="s">
        <v>789</v>
      </c>
    </row>
    <row r="2659" ht="25" customHeight="1" spans="1:14">
      <c r="A2659" s="9" t="s">
        <v>53</v>
      </c>
      <c r="B2659" s="9" t="s">
        <v>49</v>
      </c>
      <c r="C2659" s="10">
        <v>45630</v>
      </c>
      <c r="D2659" s="15">
        <v>1.4022</v>
      </c>
      <c r="E2659" s="15">
        <v>1.4022</v>
      </c>
      <c r="F2659" s="15">
        <v>1.4022</v>
      </c>
      <c r="G2659" s="11">
        <v>0.0123</v>
      </c>
      <c r="H2659" s="9">
        <f>MAX($F$2174:F2659)</f>
        <v>1.4585</v>
      </c>
      <c r="I2659" s="11">
        <f t="shared" si="66"/>
        <v>0.0386013027082619</v>
      </c>
      <c r="J2659" s="9"/>
      <c r="K2659" s="11"/>
      <c r="L2659" s="9">
        <f>MAX($F$2358:F2659)</f>
        <v>1.4585</v>
      </c>
      <c r="M2659" s="11">
        <f t="shared" si="65"/>
        <v>0.0386013027082619</v>
      </c>
      <c r="N2659" s="9" t="s">
        <v>789</v>
      </c>
    </row>
    <row r="2660" ht="25" customHeight="1" spans="1:14">
      <c r="A2660" s="9" t="s">
        <v>53</v>
      </c>
      <c r="B2660" s="9" t="s">
        <v>49</v>
      </c>
      <c r="C2660" s="10">
        <v>45631</v>
      </c>
      <c r="D2660" s="15">
        <v>1.4108</v>
      </c>
      <c r="E2660" s="15">
        <v>1.4108</v>
      </c>
      <c r="F2660" s="15">
        <v>1.4108</v>
      </c>
      <c r="G2660" s="11">
        <v>0.0061</v>
      </c>
      <c r="H2660" s="9">
        <f>MAX($F$2174:F2660)</f>
        <v>1.4585</v>
      </c>
      <c r="I2660" s="11">
        <f t="shared" si="66"/>
        <v>0.0327048337332875</v>
      </c>
      <c r="J2660" s="9"/>
      <c r="K2660" s="11"/>
      <c r="L2660" s="9">
        <f>MAX($F$2358:F2660)</f>
        <v>1.4585</v>
      </c>
      <c r="M2660" s="11">
        <f t="shared" si="65"/>
        <v>0.0327048337332875</v>
      </c>
      <c r="N2660" s="9" t="s">
        <v>789</v>
      </c>
    </row>
    <row r="2661" ht="25" customHeight="1" spans="1:14">
      <c r="A2661" s="9" t="s">
        <v>53</v>
      </c>
      <c r="B2661" s="9" t="s">
        <v>49</v>
      </c>
      <c r="C2661" s="10">
        <v>45632</v>
      </c>
      <c r="D2661" s="15">
        <v>1.4191</v>
      </c>
      <c r="E2661" s="15">
        <v>1.4191</v>
      </c>
      <c r="F2661" s="15">
        <v>1.4191</v>
      </c>
      <c r="G2661" s="11">
        <v>0.0059</v>
      </c>
      <c r="H2661" s="9">
        <f>MAX($F$2174:F2661)</f>
        <v>1.4585</v>
      </c>
      <c r="I2661" s="11">
        <f t="shared" si="66"/>
        <v>0.02701405553651</v>
      </c>
      <c r="J2661" s="9"/>
      <c r="K2661" s="11"/>
      <c r="L2661" s="9">
        <f>MAX($F$2358:F2661)</f>
        <v>1.4585</v>
      </c>
      <c r="M2661" s="11">
        <f t="shared" si="65"/>
        <v>0.02701405553651</v>
      </c>
      <c r="N2661" s="9" t="s">
        <v>789</v>
      </c>
    </row>
    <row r="2662" ht="25" customHeight="1" spans="1:14">
      <c r="A2662" s="9" t="s">
        <v>53</v>
      </c>
      <c r="B2662" s="9" t="s">
        <v>49</v>
      </c>
      <c r="C2662" s="10">
        <v>45635</v>
      </c>
      <c r="D2662" s="15">
        <v>1.4226</v>
      </c>
      <c r="E2662" s="15">
        <v>1.4226</v>
      </c>
      <c r="F2662" s="15">
        <v>1.4226</v>
      </c>
      <c r="G2662" s="11">
        <v>0.0025</v>
      </c>
      <c r="H2662" s="9">
        <f>MAX($F$2174:F2662)</f>
        <v>1.4585</v>
      </c>
      <c r="I2662" s="11">
        <f t="shared" si="66"/>
        <v>0.024614329790881</v>
      </c>
      <c r="J2662" s="9"/>
      <c r="K2662" s="11"/>
      <c r="L2662" s="9">
        <f>MAX($F$2358:F2662)</f>
        <v>1.4585</v>
      </c>
      <c r="M2662" s="11">
        <f t="shared" si="65"/>
        <v>0.024614329790881</v>
      </c>
      <c r="N2662" s="9" t="s">
        <v>789</v>
      </c>
    </row>
    <row r="2663" ht="25" customHeight="1" spans="1:14">
      <c r="A2663" s="9" t="s">
        <v>53</v>
      </c>
      <c r="B2663" s="9" t="s">
        <v>49</v>
      </c>
      <c r="C2663" s="10">
        <v>45636</v>
      </c>
      <c r="D2663" s="15">
        <v>1.4169</v>
      </c>
      <c r="E2663" s="15">
        <v>1.4169</v>
      </c>
      <c r="F2663" s="15">
        <v>1.4169</v>
      </c>
      <c r="G2663" s="11">
        <v>-0.004</v>
      </c>
      <c r="H2663" s="9">
        <f>MAX($F$2174:F2663)</f>
        <v>1.4585</v>
      </c>
      <c r="I2663" s="11">
        <f t="shared" si="66"/>
        <v>0.0285224545766197</v>
      </c>
      <c r="J2663" s="9"/>
      <c r="K2663" s="11"/>
      <c r="L2663" s="9">
        <f>MAX($F$2358:F2663)</f>
        <v>1.4585</v>
      </c>
      <c r="M2663" s="11">
        <f t="shared" si="65"/>
        <v>0.0285224545766197</v>
      </c>
      <c r="N2663" s="9" t="s">
        <v>789</v>
      </c>
    </row>
    <row r="2664" ht="25" customHeight="1" spans="1:14">
      <c r="A2664" s="9" t="s">
        <v>53</v>
      </c>
      <c r="B2664" s="9" t="s">
        <v>49</v>
      </c>
      <c r="C2664" s="10">
        <v>45637</v>
      </c>
      <c r="D2664" s="15">
        <v>1.4138</v>
      </c>
      <c r="E2664" s="15">
        <v>1.4138</v>
      </c>
      <c r="F2664" s="15">
        <v>1.4138</v>
      </c>
      <c r="G2664" s="11">
        <v>-0.0022</v>
      </c>
      <c r="H2664" s="9">
        <f>MAX($F$2174:F2664)</f>
        <v>1.4585</v>
      </c>
      <c r="I2664" s="11">
        <f t="shared" si="66"/>
        <v>0.0306479259513198</v>
      </c>
      <c r="J2664" s="9"/>
      <c r="K2664" s="11"/>
      <c r="L2664" s="9">
        <f>MAX($F$2358:F2664)</f>
        <v>1.4585</v>
      </c>
      <c r="M2664" s="11">
        <f t="shared" si="65"/>
        <v>0.0306479259513198</v>
      </c>
      <c r="N2664" s="9" t="s">
        <v>789</v>
      </c>
    </row>
    <row r="2665" ht="25" customHeight="1" spans="1:14">
      <c r="A2665" s="9" t="s">
        <v>53</v>
      </c>
      <c r="B2665" s="9" t="s">
        <v>49</v>
      </c>
      <c r="C2665" s="10">
        <v>45638</v>
      </c>
      <c r="D2665" s="15">
        <v>1.4229</v>
      </c>
      <c r="E2665" s="15">
        <v>1.4229</v>
      </c>
      <c r="F2665" s="15">
        <v>1.4229</v>
      </c>
      <c r="G2665" s="11">
        <v>0.0064</v>
      </c>
      <c r="H2665" s="9">
        <f>MAX($F$2174:F2665)</f>
        <v>1.4585</v>
      </c>
      <c r="I2665" s="11">
        <f t="shared" si="66"/>
        <v>0.0244086390126842</v>
      </c>
      <c r="J2665" s="9"/>
      <c r="K2665" s="11"/>
      <c r="L2665" s="9">
        <f>MAX($F$2358:F2665)</f>
        <v>1.4585</v>
      </c>
      <c r="M2665" s="11">
        <f t="shared" si="65"/>
        <v>0.0244086390126842</v>
      </c>
      <c r="N2665" s="9" t="s">
        <v>789</v>
      </c>
    </row>
    <row r="2666" ht="25" customHeight="1" spans="1:14">
      <c r="A2666" s="9" t="s">
        <v>53</v>
      </c>
      <c r="B2666" s="9" t="s">
        <v>49</v>
      </c>
      <c r="C2666" s="10">
        <v>45639</v>
      </c>
      <c r="D2666" s="15">
        <v>1.4132</v>
      </c>
      <c r="E2666" s="15">
        <v>1.4132</v>
      </c>
      <c r="F2666" s="15">
        <v>1.4132</v>
      </c>
      <c r="G2666" s="11">
        <v>-0.0068</v>
      </c>
      <c r="H2666" s="9">
        <f>MAX($F$2174:F2666)</f>
        <v>1.4585</v>
      </c>
      <c r="I2666" s="11">
        <f t="shared" si="66"/>
        <v>0.0310593075077134</v>
      </c>
      <c r="J2666" s="9"/>
      <c r="K2666" s="11"/>
      <c r="L2666" s="9">
        <f>MAX($F$2358:F2666)</f>
        <v>1.4585</v>
      </c>
      <c r="M2666" s="11">
        <f t="shared" si="65"/>
        <v>0.0310593075077134</v>
      </c>
      <c r="N2666" s="9" t="s">
        <v>789</v>
      </c>
    </row>
    <row r="2667" ht="25" customHeight="1" spans="1:14">
      <c r="A2667" s="9" t="s">
        <v>53</v>
      </c>
      <c r="B2667" s="9" t="s">
        <v>49</v>
      </c>
      <c r="C2667" s="10">
        <v>45642</v>
      </c>
      <c r="D2667" s="15">
        <v>1.4273</v>
      </c>
      <c r="E2667" s="15">
        <v>1.4273</v>
      </c>
      <c r="F2667" s="15">
        <v>1.4273</v>
      </c>
      <c r="G2667" s="11">
        <v>0.01</v>
      </c>
      <c r="H2667" s="9">
        <f>MAX($F$2174:F2667)</f>
        <v>1.4585</v>
      </c>
      <c r="I2667" s="11">
        <f t="shared" si="66"/>
        <v>0.0213918409324648</v>
      </c>
      <c r="J2667" s="9"/>
      <c r="K2667" s="11"/>
      <c r="L2667" s="9">
        <f>MAX($F$2358:F2667)</f>
        <v>1.4585</v>
      </c>
      <c r="M2667" s="11">
        <f t="shared" si="65"/>
        <v>0.0213918409324648</v>
      </c>
      <c r="N2667" s="9" t="s">
        <v>789</v>
      </c>
    </row>
    <row r="2668" ht="25" customHeight="1" spans="1:14">
      <c r="A2668" s="9" t="s">
        <v>53</v>
      </c>
      <c r="B2668" s="9" t="s">
        <v>49</v>
      </c>
      <c r="C2668" s="10">
        <v>45643</v>
      </c>
      <c r="D2668" s="15">
        <v>1.4332</v>
      </c>
      <c r="E2668" s="15">
        <v>1.4332</v>
      </c>
      <c r="F2668" s="15">
        <v>1.4332</v>
      </c>
      <c r="G2668" s="11">
        <v>0.0041</v>
      </c>
      <c r="H2668" s="9">
        <f>MAX($F$2174:F2668)</f>
        <v>1.4585</v>
      </c>
      <c r="I2668" s="11">
        <f t="shared" si="66"/>
        <v>0.0173465889612615</v>
      </c>
      <c r="J2668" s="9"/>
      <c r="K2668" s="11"/>
      <c r="L2668" s="9">
        <f>MAX($F$2358:F2668)</f>
        <v>1.4585</v>
      </c>
      <c r="M2668" s="11">
        <f t="shared" si="65"/>
        <v>0.0173465889612615</v>
      </c>
      <c r="N2668" s="9" t="s">
        <v>789</v>
      </c>
    </row>
    <row r="2669" ht="25" customHeight="1" spans="1:14">
      <c r="A2669" s="9" t="s">
        <v>53</v>
      </c>
      <c r="B2669" s="9" t="s">
        <v>49</v>
      </c>
      <c r="C2669" s="10">
        <v>45644</v>
      </c>
      <c r="D2669" s="15">
        <v>1.4339</v>
      </c>
      <c r="E2669" s="15">
        <v>1.4339</v>
      </c>
      <c r="F2669" s="15">
        <v>1.4339</v>
      </c>
      <c r="G2669" s="11">
        <v>0.0005</v>
      </c>
      <c r="H2669" s="9">
        <f>MAX($F$2174:F2669)</f>
        <v>1.4585</v>
      </c>
      <c r="I2669" s="11">
        <f t="shared" si="66"/>
        <v>0.0168666438121358</v>
      </c>
      <c r="J2669" s="9"/>
      <c r="K2669" s="11"/>
      <c r="L2669" s="9">
        <f>MAX($F$2358:F2669)</f>
        <v>1.4585</v>
      </c>
      <c r="M2669" s="11">
        <f t="shared" si="65"/>
        <v>0.0168666438121358</v>
      </c>
      <c r="N2669" s="9" t="s">
        <v>789</v>
      </c>
    </row>
    <row r="2670" ht="25" customHeight="1" spans="1:14">
      <c r="A2670" s="9" t="s">
        <v>53</v>
      </c>
      <c r="B2670" s="9" t="s">
        <v>49</v>
      </c>
      <c r="C2670" s="10">
        <v>45645</v>
      </c>
      <c r="D2670" s="15">
        <v>1.4504</v>
      </c>
      <c r="E2670" s="15">
        <v>1.4504</v>
      </c>
      <c r="F2670" s="15">
        <v>1.4504</v>
      </c>
      <c r="G2670" s="11">
        <v>0.0115</v>
      </c>
      <c r="H2670" s="9">
        <f>MAX($F$2174:F2670)</f>
        <v>1.4585</v>
      </c>
      <c r="I2670" s="11">
        <f t="shared" si="66"/>
        <v>0.005553651011313</v>
      </c>
      <c r="J2670" s="9"/>
      <c r="K2670" s="11"/>
      <c r="L2670" s="9">
        <f>MAX($F$2358:F2670)</f>
        <v>1.4585</v>
      </c>
      <c r="M2670" s="11">
        <f t="shared" si="65"/>
        <v>0.005553651011313</v>
      </c>
      <c r="N2670" s="9" t="s">
        <v>789</v>
      </c>
    </row>
    <row r="2671" ht="25" customHeight="1" spans="1:14">
      <c r="A2671" s="9" t="s">
        <v>53</v>
      </c>
      <c r="B2671" s="9" t="s">
        <v>49</v>
      </c>
      <c r="C2671" s="10">
        <v>45646</v>
      </c>
      <c r="D2671" s="15">
        <v>1.475</v>
      </c>
      <c r="E2671" s="15">
        <v>1.475</v>
      </c>
      <c r="F2671" s="15">
        <v>1.475</v>
      </c>
      <c r="G2671" s="11">
        <v>0.017</v>
      </c>
      <c r="H2671" s="9">
        <f>MAX($F$2174:F2671)</f>
        <v>1.475</v>
      </c>
      <c r="I2671" s="11">
        <f t="shared" si="66"/>
        <v>0</v>
      </c>
      <c r="J2671" s="9"/>
      <c r="K2671" s="11"/>
      <c r="L2671" s="9">
        <f>MAX($F$2358:F2671)</f>
        <v>1.475</v>
      </c>
      <c r="M2671" s="11">
        <f t="shared" si="65"/>
        <v>0</v>
      </c>
      <c r="N2671" s="9" t="s">
        <v>789</v>
      </c>
    </row>
    <row r="2672" ht="25" customHeight="1" spans="1:14">
      <c r="A2672" s="9" t="s">
        <v>53</v>
      </c>
      <c r="B2672" s="9" t="s">
        <v>49</v>
      </c>
      <c r="C2672" s="10">
        <v>45649</v>
      </c>
      <c r="D2672" s="15">
        <v>1.4719</v>
      </c>
      <c r="E2672" s="15">
        <v>1.4719</v>
      </c>
      <c r="F2672" s="15">
        <v>1.4719</v>
      </c>
      <c r="G2672" s="11">
        <v>-0.0021</v>
      </c>
      <c r="H2672" s="9">
        <f>MAX($F$2174:F2672)</f>
        <v>1.475</v>
      </c>
      <c r="I2672" s="11">
        <f t="shared" si="66"/>
        <v>0.00210169491525436</v>
      </c>
      <c r="J2672" s="9"/>
      <c r="K2672" s="11"/>
      <c r="L2672" s="9">
        <f>MAX($F$2358:F2672)</f>
        <v>1.475</v>
      </c>
      <c r="M2672" s="11">
        <f t="shared" si="65"/>
        <v>0.00210169491525436</v>
      </c>
      <c r="N2672" s="9" t="s">
        <v>789</v>
      </c>
    </row>
    <row r="2673" ht="25" customHeight="1" spans="1:14">
      <c r="A2673" s="9" t="s">
        <v>53</v>
      </c>
      <c r="B2673" s="9" t="s">
        <v>49</v>
      </c>
      <c r="C2673" s="10">
        <v>45650</v>
      </c>
      <c r="D2673" s="15">
        <v>1.466</v>
      </c>
      <c r="E2673" s="15">
        <v>1.466</v>
      </c>
      <c r="F2673" s="15">
        <v>1.466</v>
      </c>
      <c r="G2673" s="11">
        <v>-0.004</v>
      </c>
      <c r="H2673" s="9">
        <f>MAX($F$2174:F2673)</f>
        <v>1.475</v>
      </c>
      <c r="I2673" s="11">
        <f t="shared" si="66"/>
        <v>0.00610169491525436</v>
      </c>
      <c r="J2673" s="9"/>
      <c r="K2673" s="11"/>
      <c r="L2673" s="9">
        <f>MAX($F$2358:F2673)</f>
        <v>1.475</v>
      </c>
      <c r="M2673" s="11">
        <f t="shared" si="65"/>
        <v>0.00610169491525436</v>
      </c>
      <c r="N2673" s="9" t="s">
        <v>789</v>
      </c>
    </row>
    <row r="2674" ht="25" customHeight="1" spans="1:14">
      <c r="A2674" s="9" t="s">
        <v>53</v>
      </c>
      <c r="B2674" s="9" t="s">
        <v>49</v>
      </c>
      <c r="C2674" s="10">
        <v>45651</v>
      </c>
      <c r="D2674" s="15">
        <v>1.4665</v>
      </c>
      <c r="E2674" s="15">
        <v>1.4665</v>
      </c>
      <c r="F2674" s="15">
        <v>1.4665</v>
      </c>
      <c r="G2674" s="11">
        <v>0.0003</v>
      </c>
      <c r="H2674" s="9">
        <f>MAX($F$2174:F2674)</f>
        <v>1.475</v>
      </c>
      <c r="I2674" s="11">
        <f t="shared" si="66"/>
        <v>0.00576271186440691</v>
      </c>
      <c r="J2674" s="9"/>
      <c r="K2674" s="11"/>
      <c r="L2674" s="9">
        <f>MAX($F$2358:F2674)</f>
        <v>1.475</v>
      </c>
      <c r="M2674" s="11">
        <f t="shared" si="65"/>
        <v>0.00576271186440691</v>
      </c>
      <c r="N2674" s="9" t="s">
        <v>789</v>
      </c>
    </row>
    <row r="2675" ht="25" customHeight="1" spans="1:14">
      <c r="A2675" s="9" t="s">
        <v>53</v>
      </c>
      <c r="B2675" s="9" t="s">
        <v>49</v>
      </c>
      <c r="C2675" s="10">
        <v>45652</v>
      </c>
      <c r="D2675" s="15">
        <v>1.4579</v>
      </c>
      <c r="E2675" s="15">
        <v>1.4579</v>
      </c>
      <c r="F2675" s="15">
        <v>1.4579</v>
      </c>
      <c r="G2675" s="11">
        <v>-0.0059</v>
      </c>
      <c r="H2675" s="9">
        <f>MAX($F$2174:F2675)</f>
        <v>1.475</v>
      </c>
      <c r="I2675" s="11">
        <f t="shared" si="66"/>
        <v>0.0115932203389831</v>
      </c>
      <c r="J2675" s="9"/>
      <c r="K2675" s="11"/>
      <c r="L2675" s="9">
        <f>MAX($F$2358:F2675)</f>
        <v>1.475</v>
      </c>
      <c r="M2675" s="11">
        <f t="shared" si="65"/>
        <v>0.0115932203389831</v>
      </c>
      <c r="N2675" s="9" t="s">
        <v>789</v>
      </c>
    </row>
    <row r="2676" ht="25" customHeight="1" spans="1:14">
      <c r="A2676" s="9" t="s">
        <v>53</v>
      </c>
      <c r="B2676" s="9" t="s">
        <v>49</v>
      </c>
      <c r="C2676" s="10">
        <v>45653</v>
      </c>
      <c r="D2676" s="15">
        <v>1.4568</v>
      </c>
      <c r="E2676" s="15">
        <v>1.4568</v>
      </c>
      <c r="F2676" s="15">
        <v>1.4568</v>
      </c>
      <c r="G2676" s="11">
        <v>-0.0008</v>
      </c>
      <c r="H2676" s="9">
        <f>MAX($F$2174:F2676)</f>
        <v>1.475</v>
      </c>
      <c r="I2676" s="11">
        <f t="shared" si="66"/>
        <v>0.0123389830508475</v>
      </c>
      <c r="J2676" s="9"/>
      <c r="K2676" s="11"/>
      <c r="L2676" s="9">
        <f>MAX($F$2358:F2676)</f>
        <v>1.475</v>
      </c>
      <c r="M2676" s="11">
        <f t="shared" si="65"/>
        <v>0.0123389830508475</v>
      </c>
      <c r="N2676" s="9" t="s">
        <v>789</v>
      </c>
    </row>
    <row r="2677" ht="25" customHeight="1" spans="1:14">
      <c r="A2677" s="9" t="s">
        <v>53</v>
      </c>
      <c r="B2677" s="9" t="s">
        <v>49</v>
      </c>
      <c r="C2677" s="10">
        <v>45656</v>
      </c>
      <c r="D2677" s="15">
        <v>1.4482</v>
      </c>
      <c r="E2677" s="15">
        <v>1.4482</v>
      </c>
      <c r="F2677" s="15">
        <v>1.4482</v>
      </c>
      <c r="G2677" s="11">
        <v>-0.0059</v>
      </c>
      <c r="H2677" s="9">
        <f>MAX($F$2174:F2677)</f>
        <v>1.475</v>
      </c>
      <c r="I2677" s="11">
        <f t="shared" si="66"/>
        <v>0.0181694915254238</v>
      </c>
      <c r="J2677" s="9"/>
      <c r="K2677" s="11"/>
      <c r="L2677" s="9">
        <f>MAX($F$2358:F2677)</f>
        <v>1.475</v>
      </c>
      <c r="M2677" s="11">
        <f t="shared" si="65"/>
        <v>0.0181694915254238</v>
      </c>
      <c r="N2677" s="9" t="s">
        <v>789</v>
      </c>
    </row>
    <row r="2678" ht="25" customHeight="1" spans="1:14">
      <c r="A2678" s="9" t="s">
        <v>53</v>
      </c>
      <c r="B2678" s="9" t="s">
        <v>49</v>
      </c>
      <c r="C2678" s="10">
        <v>45657</v>
      </c>
      <c r="D2678" s="15">
        <v>1.4706</v>
      </c>
      <c r="E2678" s="15">
        <v>1.4706</v>
      </c>
      <c r="F2678" s="15">
        <v>1.4706</v>
      </c>
      <c r="G2678" s="11">
        <v>0.0155</v>
      </c>
      <c r="H2678" s="9">
        <f>MAX($F$2174:F2678)</f>
        <v>1.475</v>
      </c>
      <c r="I2678" s="11">
        <f t="shared" si="66"/>
        <v>0.00298305084745776</v>
      </c>
      <c r="J2678" s="9"/>
      <c r="K2678" s="11"/>
      <c r="L2678" s="9">
        <f>MAX($F$2358:F2678)</f>
        <v>1.475</v>
      </c>
      <c r="M2678" s="11">
        <f t="shared" ref="M2678:M2741" si="67">1-F2678/L2678</f>
        <v>0.00298305084745776</v>
      </c>
      <c r="N2678" s="9" t="s">
        <v>789</v>
      </c>
    </row>
    <row r="2679" ht="25" customHeight="1" spans="1:14">
      <c r="A2679" s="9" t="s">
        <v>53</v>
      </c>
      <c r="B2679" s="9" t="s">
        <v>49</v>
      </c>
      <c r="C2679" s="10">
        <v>45659</v>
      </c>
      <c r="D2679" s="15">
        <v>1.5043</v>
      </c>
      <c r="E2679" s="15">
        <v>1.5043</v>
      </c>
      <c r="F2679" s="15">
        <v>1.5043</v>
      </c>
      <c r="G2679" s="11">
        <v>0.0229</v>
      </c>
      <c r="H2679" s="9">
        <f>MAX($F$2174:F2679)</f>
        <v>1.5043</v>
      </c>
      <c r="I2679" s="11">
        <f t="shared" si="66"/>
        <v>0</v>
      </c>
      <c r="J2679" s="9"/>
      <c r="K2679" s="11"/>
      <c r="L2679" s="9">
        <f>MAX($F$2358:F2679)</f>
        <v>1.5043</v>
      </c>
      <c r="M2679" s="11">
        <f t="shared" si="67"/>
        <v>0</v>
      </c>
      <c r="N2679" s="9" t="s">
        <v>789</v>
      </c>
    </row>
    <row r="2680" ht="25" customHeight="1" spans="1:14">
      <c r="A2680" s="9" t="s">
        <v>53</v>
      </c>
      <c r="B2680" s="9" t="s">
        <v>49</v>
      </c>
      <c r="C2680" s="10">
        <v>45660</v>
      </c>
      <c r="D2680" s="15">
        <v>1.5236</v>
      </c>
      <c r="E2680" s="15">
        <v>1.5236</v>
      </c>
      <c r="F2680" s="15">
        <v>1.5236</v>
      </c>
      <c r="G2680" s="11">
        <v>0.0128</v>
      </c>
      <c r="H2680" s="9">
        <f>MAX($F$2174:F2680)</f>
        <v>1.5236</v>
      </c>
      <c r="I2680" s="11">
        <f t="shared" si="66"/>
        <v>0</v>
      </c>
      <c r="J2680" s="9"/>
      <c r="K2680" s="11"/>
      <c r="L2680" s="9">
        <f>MAX($F$2358:F2680)</f>
        <v>1.5236</v>
      </c>
      <c r="M2680" s="11">
        <f t="shared" si="67"/>
        <v>0</v>
      </c>
      <c r="N2680" s="9" t="s">
        <v>789</v>
      </c>
    </row>
    <row r="2681" ht="25" customHeight="1" spans="1:14">
      <c r="A2681" s="9" t="s">
        <v>53</v>
      </c>
      <c r="B2681" s="9" t="s">
        <v>49</v>
      </c>
      <c r="C2681" s="10">
        <v>45663</v>
      </c>
      <c r="D2681" s="15">
        <v>1.5237</v>
      </c>
      <c r="E2681" s="15">
        <v>1.5237</v>
      </c>
      <c r="F2681" s="15">
        <v>1.5237</v>
      </c>
      <c r="G2681" s="11">
        <v>0.0001</v>
      </c>
      <c r="H2681" s="9">
        <f>MAX($F$2174:F2681)</f>
        <v>1.5237</v>
      </c>
      <c r="I2681" s="11">
        <f t="shared" si="66"/>
        <v>0</v>
      </c>
      <c r="J2681" s="9"/>
      <c r="K2681" s="11"/>
      <c r="L2681" s="9">
        <f>MAX($F$2358:F2681)</f>
        <v>1.5237</v>
      </c>
      <c r="M2681" s="11">
        <f t="shared" si="67"/>
        <v>0</v>
      </c>
      <c r="N2681" s="9" t="s">
        <v>789</v>
      </c>
    </row>
    <row r="2682" ht="25" customHeight="1" spans="1:14">
      <c r="A2682" s="9" t="s">
        <v>53</v>
      </c>
      <c r="B2682" s="9" t="s">
        <v>49</v>
      </c>
      <c r="C2682" s="10">
        <v>45664</v>
      </c>
      <c r="D2682" s="15">
        <v>1.5153</v>
      </c>
      <c r="E2682" s="15">
        <v>1.5153</v>
      </c>
      <c r="F2682" s="15">
        <v>1.5153</v>
      </c>
      <c r="G2682" s="11">
        <v>-0.0055</v>
      </c>
      <c r="H2682" s="9">
        <f>MAX($F$2174:F2682)</f>
        <v>1.5237</v>
      </c>
      <c r="I2682" s="11">
        <f t="shared" si="66"/>
        <v>0.0055128962394172</v>
      </c>
      <c r="J2682" s="9"/>
      <c r="K2682" s="11"/>
      <c r="L2682" s="9">
        <f>MAX($F$2358:F2682)</f>
        <v>1.5237</v>
      </c>
      <c r="M2682" s="11">
        <f t="shared" si="67"/>
        <v>0.0055128962394172</v>
      </c>
      <c r="N2682" s="9" t="s">
        <v>789</v>
      </c>
    </row>
    <row r="2683" ht="25" customHeight="1" spans="1:14">
      <c r="A2683" s="9" t="s">
        <v>53</v>
      </c>
      <c r="B2683" s="9" t="s">
        <v>49</v>
      </c>
      <c r="C2683" s="10">
        <v>45665</v>
      </c>
      <c r="D2683" s="15">
        <v>1.5096</v>
      </c>
      <c r="E2683" s="15">
        <v>1.5096</v>
      </c>
      <c r="F2683" s="15">
        <v>1.5096</v>
      </c>
      <c r="G2683" s="11">
        <v>-0.0038</v>
      </c>
      <c r="H2683" s="9">
        <f>MAX($F$2174:F2683)</f>
        <v>1.5237</v>
      </c>
      <c r="I2683" s="11">
        <f t="shared" si="66"/>
        <v>0.00925379011616456</v>
      </c>
      <c r="J2683" s="9"/>
      <c r="K2683" s="11"/>
      <c r="L2683" s="9">
        <f>MAX($F$2358:F2683)</f>
        <v>1.5237</v>
      </c>
      <c r="M2683" s="11">
        <f t="shared" si="67"/>
        <v>0.00925379011616456</v>
      </c>
      <c r="N2683" s="9" t="s">
        <v>789</v>
      </c>
    </row>
    <row r="2684" ht="25" customHeight="1" spans="1:14">
      <c r="A2684" s="9" t="s">
        <v>53</v>
      </c>
      <c r="B2684" s="9" t="s">
        <v>49</v>
      </c>
      <c r="C2684" s="10">
        <v>45666</v>
      </c>
      <c r="D2684" s="15">
        <v>1.4919</v>
      </c>
      <c r="E2684" s="15">
        <v>1.4919</v>
      </c>
      <c r="F2684" s="15">
        <v>1.4919</v>
      </c>
      <c r="G2684" s="11">
        <v>-0.0117</v>
      </c>
      <c r="H2684" s="9">
        <f>MAX($F$2174:F2684)</f>
        <v>1.5237</v>
      </c>
      <c r="I2684" s="11">
        <f t="shared" si="66"/>
        <v>0.0208702500492223</v>
      </c>
      <c r="J2684" s="9"/>
      <c r="K2684" s="11"/>
      <c r="L2684" s="9">
        <f>MAX($F$2358:F2684)</f>
        <v>1.5237</v>
      </c>
      <c r="M2684" s="11">
        <f t="shared" si="67"/>
        <v>0.0208702500492223</v>
      </c>
      <c r="N2684" s="9" t="s">
        <v>789</v>
      </c>
    </row>
    <row r="2685" ht="25" customHeight="1" spans="1:14">
      <c r="A2685" s="9" t="s">
        <v>53</v>
      </c>
      <c r="B2685" s="9" t="s">
        <v>49</v>
      </c>
      <c r="C2685" s="10">
        <v>45667</v>
      </c>
      <c r="D2685" s="15">
        <v>1.4783</v>
      </c>
      <c r="E2685" s="15">
        <v>1.4783</v>
      </c>
      <c r="F2685" s="15">
        <v>1.4783</v>
      </c>
      <c r="G2685" s="11">
        <v>-0.0091</v>
      </c>
      <c r="H2685" s="9">
        <f>MAX($F$2174:F2685)</f>
        <v>1.5237</v>
      </c>
      <c r="I2685" s="11">
        <f t="shared" si="66"/>
        <v>0.0297958915797074</v>
      </c>
      <c r="J2685" s="9"/>
      <c r="K2685" s="11"/>
      <c r="L2685" s="9">
        <f>MAX($F$2358:F2685)</f>
        <v>1.5237</v>
      </c>
      <c r="M2685" s="11">
        <f t="shared" si="67"/>
        <v>0.0297958915797074</v>
      </c>
      <c r="N2685" s="9" t="s">
        <v>789</v>
      </c>
    </row>
    <row r="2686" ht="25" customHeight="1" spans="1:14">
      <c r="A2686" s="9" t="s">
        <v>53</v>
      </c>
      <c r="B2686" s="9" t="s">
        <v>49</v>
      </c>
      <c r="C2686" s="10">
        <v>45670</v>
      </c>
      <c r="D2686" s="15">
        <v>1.4798</v>
      </c>
      <c r="E2686" s="15">
        <v>1.4798</v>
      </c>
      <c r="F2686" s="15">
        <v>1.4798</v>
      </c>
      <c r="G2686" s="11">
        <v>0.001</v>
      </c>
      <c r="H2686" s="9">
        <f>MAX($F$2174:F2686)</f>
        <v>1.5237</v>
      </c>
      <c r="I2686" s="11">
        <f t="shared" si="66"/>
        <v>0.0288114458226686</v>
      </c>
      <c r="J2686" s="9"/>
      <c r="K2686" s="11"/>
      <c r="L2686" s="9">
        <f>MAX($F$2358:F2686)</f>
        <v>1.5237</v>
      </c>
      <c r="M2686" s="11">
        <f t="shared" si="67"/>
        <v>0.0288114458226686</v>
      </c>
      <c r="N2686" s="9" t="s">
        <v>789</v>
      </c>
    </row>
    <row r="2687" ht="25" customHeight="1" spans="1:14">
      <c r="A2687" s="9" t="s">
        <v>53</v>
      </c>
      <c r="B2687" s="9" t="s">
        <v>49</v>
      </c>
      <c r="C2687" s="10">
        <v>45671</v>
      </c>
      <c r="D2687" s="15">
        <v>1.5232</v>
      </c>
      <c r="E2687" s="15">
        <v>1.5232</v>
      </c>
      <c r="F2687" s="15">
        <v>1.5232</v>
      </c>
      <c r="G2687" s="11">
        <v>0.0293</v>
      </c>
      <c r="H2687" s="9">
        <f>MAX($F$2174:F2687)</f>
        <v>1.5237</v>
      </c>
      <c r="I2687" s="11">
        <f t="shared" si="66"/>
        <v>0.000328148585679533</v>
      </c>
      <c r="J2687" s="9"/>
      <c r="K2687" s="11"/>
      <c r="L2687" s="9">
        <f>MAX($F$2358:F2687)</f>
        <v>1.5237</v>
      </c>
      <c r="M2687" s="11">
        <f t="shared" si="67"/>
        <v>0.000328148585679533</v>
      </c>
      <c r="N2687" s="9" t="s">
        <v>789</v>
      </c>
    </row>
    <row r="2688" ht="25" customHeight="1" spans="1:14">
      <c r="A2688" s="9" t="s">
        <v>53</v>
      </c>
      <c r="B2688" s="9" t="s">
        <v>49</v>
      </c>
      <c r="C2688" s="10">
        <v>45672</v>
      </c>
      <c r="D2688" s="15">
        <v>1.5332</v>
      </c>
      <c r="E2688" s="15">
        <v>1.5332</v>
      </c>
      <c r="F2688" s="15">
        <v>1.5332</v>
      </c>
      <c r="G2688" s="11">
        <v>0.0066</v>
      </c>
      <c r="H2688" s="9">
        <f>MAX($F$2174:F2688)</f>
        <v>1.5332</v>
      </c>
      <c r="I2688" s="11">
        <f t="shared" si="66"/>
        <v>0</v>
      </c>
      <c r="J2688" s="9"/>
      <c r="K2688" s="11"/>
      <c r="L2688" s="9">
        <f>MAX($F$2358:F2688)</f>
        <v>1.5332</v>
      </c>
      <c r="M2688" s="11">
        <f t="shared" si="67"/>
        <v>0</v>
      </c>
      <c r="N2688" s="9" t="s">
        <v>789</v>
      </c>
    </row>
    <row r="2689" ht="25" customHeight="1" spans="1:14">
      <c r="A2689" s="9" t="s">
        <v>53</v>
      </c>
      <c r="B2689" s="9" t="s">
        <v>49</v>
      </c>
      <c r="C2689" s="10">
        <v>45673</v>
      </c>
      <c r="D2689" s="15">
        <v>1.5023</v>
      </c>
      <c r="E2689" s="15">
        <v>1.5023</v>
      </c>
      <c r="F2689" s="15">
        <v>1.5023</v>
      </c>
      <c r="G2689" s="11">
        <v>-0.0202</v>
      </c>
      <c r="H2689" s="9">
        <f>MAX($F$2174:F2689)</f>
        <v>1.5332</v>
      </c>
      <c r="I2689" s="11">
        <f t="shared" si="66"/>
        <v>0.020153926428385</v>
      </c>
      <c r="J2689" s="9"/>
      <c r="K2689" s="11"/>
      <c r="L2689" s="9">
        <f>MAX($F$2358:F2689)</f>
        <v>1.5332</v>
      </c>
      <c r="M2689" s="11">
        <f t="shared" si="67"/>
        <v>0.020153926428385</v>
      </c>
      <c r="N2689" s="9" t="s">
        <v>789</v>
      </c>
    </row>
    <row r="2690" ht="25" customHeight="1" spans="1:14">
      <c r="A2690" s="9" t="s">
        <v>53</v>
      </c>
      <c r="B2690" s="9" t="s">
        <v>49</v>
      </c>
      <c r="C2690" s="10">
        <v>45674</v>
      </c>
      <c r="D2690" s="15">
        <v>1.4906</v>
      </c>
      <c r="E2690" s="15">
        <v>1.4906</v>
      </c>
      <c r="F2690" s="15">
        <v>1.4906</v>
      </c>
      <c r="G2690" s="11">
        <v>-0.0078</v>
      </c>
      <c r="H2690" s="9">
        <f>MAX($F$2174:F2690)</f>
        <v>1.5332</v>
      </c>
      <c r="I2690" s="11">
        <f t="shared" ref="I2690:I2753" si="68">1-F2690/H2690</f>
        <v>0.0277850247847639</v>
      </c>
      <c r="J2690" s="9"/>
      <c r="K2690" s="11"/>
      <c r="L2690" s="9">
        <f>MAX($F$2358:F2690)</f>
        <v>1.5332</v>
      </c>
      <c r="M2690" s="11">
        <f t="shared" si="67"/>
        <v>0.0277850247847639</v>
      </c>
      <c r="N2690" s="9" t="s">
        <v>789</v>
      </c>
    </row>
    <row r="2691" ht="25" customHeight="1" spans="1:14">
      <c r="A2691" s="9" t="s">
        <v>53</v>
      </c>
      <c r="B2691" s="9" t="s">
        <v>49</v>
      </c>
      <c r="C2691" s="10">
        <v>45677</v>
      </c>
      <c r="D2691" s="15">
        <v>1.4818</v>
      </c>
      <c r="E2691" s="15">
        <v>1.4818</v>
      </c>
      <c r="F2691" s="15">
        <v>1.4818</v>
      </c>
      <c r="G2691" s="11">
        <v>-0.0059</v>
      </c>
      <c r="H2691" s="9">
        <f>MAX($F$2174:F2691)</f>
        <v>1.5332</v>
      </c>
      <c r="I2691" s="11">
        <f t="shared" si="68"/>
        <v>0.0335246543177667</v>
      </c>
      <c r="J2691" s="9"/>
      <c r="K2691" s="11"/>
      <c r="L2691" s="9">
        <f>MAX($F$2358:F2691)</f>
        <v>1.5332</v>
      </c>
      <c r="M2691" s="11">
        <f t="shared" si="67"/>
        <v>0.0335246543177667</v>
      </c>
      <c r="N2691" s="9" t="s">
        <v>789</v>
      </c>
    </row>
    <row r="2692" ht="25" customHeight="1" spans="1:14">
      <c r="A2692" s="9" t="s">
        <v>53</v>
      </c>
      <c r="B2692" s="9" t="s">
        <v>49</v>
      </c>
      <c r="C2692" s="10">
        <v>45678</v>
      </c>
      <c r="D2692" s="15">
        <v>1.468</v>
      </c>
      <c r="E2692" s="15">
        <v>1.468</v>
      </c>
      <c r="F2692" s="15">
        <v>1.468</v>
      </c>
      <c r="G2692" s="11">
        <v>-0.0093</v>
      </c>
      <c r="H2692" s="9">
        <f>MAX($F$2174:F2692)</f>
        <v>1.5332</v>
      </c>
      <c r="I2692" s="11">
        <f t="shared" si="68"/>
        <v>0.0425254369945213</v>
      </c>
      <c r="J2692" s="9"/>
      <c r="K2692" s="11"/>
      <c r="L2692" s="9">
        <f>MAX($F$2358:F2692)</f>
        <v>1.5332</v>
      </c>
      <c r="M2692" s="11">
        <f t="shared" si="67"/>
        <v>0.0425254369945213</v>
      </c>
      <c r="N2692" s="9" t="s">
        <v>789</v>
      </c>
    </row>
    <row r="2693" ht="25" customHeight="1" spans="1:14">
      <c r="A2693" s="9" t="s">
        <v>53</v>
      </c>
      <c r="B2693" s="9" t="s">
        <v>49</v>
      </c>
      <c r="C2693" s="10">
        <v>45679</v>
      </c>
      <c r="D2693" s="15">
        <v>1.4657</v>
      </c>
      <c r="E2693" s="15">
        <v>1.4657</v>
      </c>
      <c r="F2693" s="15">
        <v>1.4657</v>
      </c>
      <c r="G2693" s="11">
        <v>-0.0016</v>
      </c>
      <c r="H2693" s="9">
        <f>MAX($F$2174:F2693)</f>
        <v>1.5332</v>
      </c>
      <c r="I2693" s="11">
        <f t="shared" si="68"/>
        <v>0.0440255674406469</v>
      </c>
      <c r="J2693" s="9"/>
      <c r="K2693" s="11"/>
      <c r="L2693" s="9">
        <f>MAX($F$2358:F2693)</f>
        <v>1.5332</v>
      </c>
      <c r="M2693" s="11">
        <f t="shared" si="67"/>
        <v>0.0440255674406469</v>
      </c>
      <c r="N2693" s="9" t="s">
        <v>789</v>
      </c>
    </row>
    <row r="2694" ht="25" customHeight="1" spans="1:14">
      <c r="A2694" s="9" t="s">
        <v>53</v>
      </c>
      <c r="B2694" s="9" t="s">
        <v>49</v>
      </c>
      <c r="C2694" s="10">
        <v>45680</v>
      </c>
      <c r="D2694" s="15">
        <v>1.4626</v>
      </c>
      <c r="E2694" s="15">
        <v>1.4626</v>
      </c>
      <c r="F2694" s="15">
        <v>1.4626</v>
      </c>
      <c r="G2694" s="11">
        <v>-0.0021</v>
      </c>
      <c r="H2694" s="9">
        <f>MAX($F$2174:F2694)</f>
        <v>1.5332</v>
      </c>
      <c r="I2694" s="11">
        <f t="shared" si="68"/>
        <v>0.0460474823897731</v>
      </c>
      <c r="J2694" s="9"/>
      <c r="K2694" s="11"/>
      <c r="L2694" s="9">
        <f>MAX($F$2358:F2694)</f>
        <v>1.5332</v>
      </c>
      <c r="M2694" s="11">
        <f t="shared" si="67"/>
        <v>0.0460474823897731</v>
      </c>
      <c r="N2694" s="9" t="s">
        <v>789</v>
      </c>
    </row>
    <row r="2695" ht="25" customHeight="1" spans="1:14">
      <c r="A2695" s="9" t="s">
        <v>53</v>
      </c>
      <c r="B2695" s="9" t="s">
        <v>49</v>
      </c>
      <c r="C2695" s="10">
        <v>45681</v>
      </c>
      <c r="D2695" s="15">
        <v>1.4639</v>
      </c>
      <c r="E2695" s="15">
        <v>1.4639</v>
      </c>
      <c r="F2695" s="15">
        <v>1.4639</v>
      </c>
      <c r="G2695" s="11">
        <v>0.0009</v>
      </c>
      <c r="H2695" s="9">
        <f>MAX($F$2174:F2695)</f>
        <v>1.5332</v>
      </c>
      <c r="I2695" s="11">
        <f t="shared" si="68"/>
        <v>0.0451995825723975</v>
      </c>
      <c r="J2695" s="9"/>
      <c r="K2695" s="11"/>
      <c r="L2695" s="9">
        <f>MAX($F$2358:F2695)</f>
        <v>1.5332</v>
      </c>
      <c r="M2695" s="11">
        <f t="shared" si="67"/>
        <v>0.0451995825723975</v>
      </c>
      <c r="N2695" s="9" t="s">
        <v>789</v>
      </c>
    </row>
    <row r="2696" ht="25" customHeight="1" spans="1:14">
      <c r="A2696" s="9" t="s">
        <v>53</v>
      </c>
      <c r="B2696" s="9" t="s">
        <v>49</v>
      </c>
      <c r="C2696" s="10">
        <v>45684</v>
      </c>
      <c r="D2696" s="15">
        <v>1.453</v>
      </c>
      <c r="E2696" s="15">
        <v>1.453</v>
      </c>
      <c r="F2696" s="15">
        <v>1.453</v>
      </c>
      <c r="G2696" s="11">
        <v>-0.0074</v>
      </c>
      <c r="H2696" s="9">
        <f>MAX($F$2174:F2696)</f>
        <v>1.5332</v>
      </c>
      <c r="I2696" s="11">
        <f t="shared" si="68"/>
        <v>0.0523088964257761</v>
      </c>
      <c r="J2696" s="9"/>
      <c r="K2696" s="11"/>
      <c r="L2696" s="9">
        <f>MAX($F$2358:F2696)</f>
        <v>1.5332</v>
      </c>
      <c r="M2696" s="11">
        <f t="shared" si="67"/>
        <v>0.0523088964257761</v>
      </c>
      <c r="N2696" s="9" t="s">
        <v>789</v>
      </c>
    </row>
    <row r="2697" ht="25" customHeight="1" spans="1:14">
      <c r="A2697" s="9" t="s">
        <v>53</v>
      </c>
      <c r="B2697" s="9" t="s">
        <v>49</v>
      </c>
      <c r="C2697" s="10">
        <v>45693</v>
      </c>
      <c r="D2697" s="15">
        <v>1.464</v>
      </c>
      <c r="E2697" s="15">
        <v>1.464</v>
      </c>
      <c r="F2697" s="15">
        <v>1.464</v>
      </c>
      <c r="G2697" s="11">
        <v>0.0076</v>
      </c>
      <c r="H2697" s="9">
        <f>MAX($F$2174:F2697)</f>
        <v>1.5332</v>
      </c>
      <c r="I2697" s="11">
        <f t="shared" si="68"/>
        <v>0.0451343595095225</v>
      </c>
      <c r="J2697" s="9"/>
      <c r="K2697" s="11"/>
      <c r="L2697" s="9">
        <f>MAX($F$2358:F2697)</f>
        <v>1.5332</v>
      </c>
      <c r="M2697" s="11">
        <f t="shared" si="67"/>
        <v>0.0451343595095225</v>
      </c>
      <c r="N2697" s="9" t="s">
        <v>789</v>
      </c>
    </row>
    <row r="2698" ht="25" customHeight="1" spans="1:14">
      <c r="A2698" s="9" t="s">
        <v>53</v>
      </c>
      <c r="B2698" s="9" t="s">
        <v>49</v>
      </c>
      <c r="C2698" s="10">
        <v>45694</v>
      </c>
      <c r="D2698" s="15">
        <v>1.4847</v>
      </c>
      <c r="E2698" s="15">
        <v>1.4847</v>
      </c>
      <c r="F2698" s="15">
        <v>1.4847</v>
      </c>
      <c r="G2698" s="11">
        <v>0.0141</v>
      </c>
      <c r="H2698" s="9">
        <f>MAX($F$2174:F2698)</f>
        <v>1.5332</v>
      </c>
      <c r="I2698" s="11">
        <f t="shared" si="68"/>
        <v>0.0316331854943908</v>
      </c>
      <c r="J2698" s="9"/>
      <c r="K2698" s="11"/>
      <c r="L2698" s="9">
        <f>MAX($F$2358:F2698)</f>
        <v>1.5332</v>
      </c>
      <c r="M2698" s="11">
        <f t="shared" si="67"/>
        <v>0.0316331854943908</v>
      </c>
      <c r="N2698" s="9" t="s">
        <v>789</v>
      </c>
    </row>
    <row r="2699" ht="25" customHeight="1" spans="1:14">
      <c r="A2699" s="9" t="s">
        <v>53</v>
      </c>
      <c r="B2699" s="9" t="s">
        <v>49</v>
      </c>
      <c r="C2699" s="10">
        <v>45695</v>
      </c>
      <c r="D2699" s="15">
        <v>1.5119</v>
      </c>
      <c r="E2699" s="15">
        <v>1.5119</v>
      </c>
      <c r="F2699" s="15">
        <v>1.5119</v>
      </c>
      <c r="G2699" s="11">
        <v>0.0183</v>
      </c>
      <c r="H2699" s="9">
        <f>MAX($F$2174:F2699)</f>
        <v>1.5332</v>
      </c>
      <c r="I2699" s="11">
        <f t="shared" si="68"/>
        <v>0.0138925123923819</v>
      </c>
      <c r="J2699" s="9"/>
      <c r="K2699" s="11"/>
      <c r="L2699" s="9">
        <f>MAX($F$2358:F2699)</f>
        <v>1.5332</v>
      </c>
      <c r="M2699" s="11">
        <f t="shared" si="67"/>
        <v>0.0138925123923819</v>
      </c>
      <c r="N2699" s="9" t="s">
        <v>789</v>
      </c>
    </row>
    <row r="2700" ht="25" customHeight="1" spans="1:14">
      <c r="A2700" s="9" t="s">
        <v>53</v>
      </c>
      <c r="B2700" s="9" t="s">
        <v>49</v>
      </c>
      <c r="C2700" s="10">
        <v>45698</v>
      </c>
      <c r="D2700" s="15">
        <v>1.5563</v>
      </c>
      <c r="E2700" s="15">
        <v>1.5563</v>
      </c>
      <c r="F2700" s="15">
        <v>1.5563</v>
      </c>
      <c r="G2700" s="11">
        <v>0.0294</v>
      </c>
      <c r="H2700" s="9">
        <f>MAX($F$2174:F2700)</f>
        <v>1.5563</v>
      </c>
      <c r="I2700" s="11">
        <f t="shared" si="68"/>
        <v>0</v>
      </c>
      <c r="J2700" s="9"/>
      <c r="K2700" s="11"/>
      <c r="L2700" s="9">
        <f>MAX($F$2358:F2700)</f>
        <v>1.5563</v>
      </c>
      <c r="M2700" s="11">
        <f t="shared" si="67"/>
        <v>0</v>
      </c>
      <c r="N2700" s="9" t="s">
        <v>789</v>
      </c>
    </row>
    <row r="2701" ht="25" customHeight="1" spans="1:14">
      <c r="A2701" s="9" t="s">
        <v>53</v>
      </c>
      <c r="B2701" s="9" t="s">
        <v>49</v>
      </c>
      <c r="C2701" s="10">
        <v>45699</v>
      </c>
      <c r="D2701" s="15">
        <v>1.5603</v>
      </c>
      <c r="E2701" s="15">
        <v>1.5603</v>
      </c>
      <c r="F2701" s="15">
        <v>1.5603</v>
      </c>
      <c r="G2701" s="11">
        <v>0.0026</v>
      </c>
      <c r="H2701" s="9">
        <f>MAX($F$2174:F2701)</f>
        <v>1.5603</v>
      </c>
      <c r="I2701" s="11">
        <f t="shared" si="68"/>
        <v>0</v>
      </c>
      <c r="J2701" s="9"/>
      <c r="K2701" s="11"/>
      <c r="L2701" s="9">
        <f>MAX($F$2358:F2701)</f>
        <v>1.5603</v>
      </c>
      <c r="M2701" s="11">
        <f t="shared" si="67"/>
        <v>0</v>
      </c>
      <c r="N2701" s="9" t="s">
        <v>789</v>
      </c>
    </row>
    <row r="2702" ht="25" customHeight="1" spans="1:14">
      <c r="A2702" s="9" t="s">
        <v>53</v>
      </c>
      <c r="B2702" s="9" t="s">
        <v>49</v>
      </c>
      <c r="C2702" s="10">
        <v>45700</v>
      </c>
      <c r="D2702" s="15">
        <v>1.5579</v>
      </c>
      <c r="E2702" s="15">
        <v>1.5579</v>
      </c>
      <c r="F2702" s="15">
        <v>1.5579</v>
      </c>
      <c r="G2702" s="11">
        <v>-0.0015</v>
      </c>
      <c r="H2702" s="9">
        <f>MAX($F$2174:F2702)</f>
        <v>1.5603</v>
      </c>
      <c r="I2702" s="11">
        <f t="shared" si="68"/>
        <v>0.00153816573735821</v>
      </c>
      <c r="J2702" s="9"/>
      <c r="K2702" s="11"/>
      <c r="L2702" s="9">
        <f>MAX($F$2358:F2702)</f>
        <v>1.5603</v>
      </c>
      <c r="M2702" s="11">
        <f t="shared" si="67"/>
        <v>0.00153816573735821</v>
      </c>
      <c r="N2702" s="9" t="s">
        <v>789</v>
      </c>
    </row>
    <row r="2703" ht="25" customHeight="1" spans="1:14">
      <c r="A2703" s="9" t="s">
        <v>53</v>
      </c>
      <c r="B2703" s="9" t="s">
        <v>49</v>
      </c>
      <c r="C2703" s="10">
        <v>45701</v>
      </c>
      <c r="D2703" s="15">
        <v>1.5452</v>
      </c>
      <c r="E2703" s="15">
        <v>1.5452</v>
      </c>
      <c r="F2703" s="15">
        <v>1.5452</v>
      </c>
      <c r="G2703" s="11">
        <v>-0.0082</v>
      </c>
      <c r="H2703" s="9">
        <f>MAX($F$2174:F2703)</f>
        <v>1.5603</v>
      </c>
      <c r="I2703" s="11">
        <f t="shared" si="68"/>
        <v>0.00967762609754541</v>
      </c>
      <c r="J2703" s="9"/>
      <c r="K2703" s="11"/>
      <c r="L2703" s="9">
        <f>MAX($F$2358:F2703)</f>
        <v>1.5603</v>
      </c>
      <c r="M2703" s="11">
        <f t="shared" si="67"/>
        <v>0.00967762609754541</v>
      </c>
      <c r="N2703" s="9" t="s">
        <v>789</v>
      </c>
    </row>
    <row r="2704" ht="25" customHeight="1" spans="1:14">
      <c r="A2704" s="9" t="s">
        <v>53</v>
      </c>
      <c r="B2704" s="9" t="s">
        <v>49</v>
      </c>
      <c r="C2704" s="10">
        <v>45702</v>
      </c>
      <c r="D2704" s="15">
        <v>1.5448</v>
      </c>
      <c r="E2704" s="15">
        <v>1.5448</v>
      </c>
      <c r="F2704" s="15">
        <v>1.5448</v>
      </c>
      <c r="G2704" s="11">
        <v>-0.0003</v>
      </c>
      <c r="H2704" s="9">
        <f>MAX($F$2174:F2704)</f>
        <v>1.5603</v>
      </c>
      <c r="I2704" s="11">
        <f t="shared" si="68"/>
        <v>0.0099339870537718</v>
      </c>
      <c r="J2704" s="9"/>
      <c r="K2704" s="11"/>
      <c r="L2704" s="9">
        <f>MAX($F$2358:F2704)</f>
        <v>1.5603</v>
      </c>
      <c r="M2704" s="11">
        <f t="shared" si="67"/>
        <v>0.0099339870537718</v>
      </c>
      <c r="N2704" s="9" t="s">
        <v>789</v>
      </c>
    </row>
    <row r="2705" ht="25" customHeight="1" spans="1:14">
      <c r="A2705" s="9" t="s">
        <v>53</v>
      </c>
      <c r="B2705" s="9" t="s">
        <v>49</v>
      </c>
      <c r="C2705" s="10">
        <v>45705</v>
      </c>
      <c r="D2705" s="15">
        <v>1.529</v>
      </c>
      <c r="E2705" s="15">
        <v>1.529</v>
      </c>
      <c r="F2705" s="15">
        <v>1.529</v>
      </c>
      <c r="G2705" s="11">
        <v>-0.0102</v>
      </c>
      <c r="H2705" s="9">
        <f>MAX($F$2174:F2705)</f>
        <v>1.5603</v>
      </c>
      <c r="I2705" s="11">
        <f t="shared" si="68"/>
        <v>0.0200602448247132</v>
      </c>
      <c r="J2705" s="9"/>
      <c r="K2705" s="11"/>
      <c r="L2705" s="9">
        <f>MAX($F$2358:F2705)</f>
        <v>1.5603</v>
      </c>
      <c r="M2705" s="11">
        <f t="shared" si="67"/>
        <v>0.0200602448247132</v>
      </c>
      <c r="N2705" s="9" t="s">
        <v>789</v>
      </c>
    </row>
    <row r="2706" ht="25" customHeight="1" spans="1:14">
      <c r="A2706" s="9" t="s">
        <v>53</v>
      </c>
      <c r="B2706" s="9" t="s">
        <v>49</v>
      </c>
      <c r="C2706" s="10">
        <v>45706</v>
      </c>
      <c r="D2706" s="15">
        <v>1.5186</v>
      </c>
      <c r="E2706" s="15">
        <v>1.5186</v>
      </c>
      <c r="F2706" s="15">
        <v>1.5186</v>
      </c>
      <c r="G2706" s="11">
        <v>-0.0068</v>
      </c>
      <c r="H2706" s="9">
        <f>MAX($F$2174:F2706)</f>
        <v>1.5603</v>
      </c>
      <c r="I2706" s="11">
        <f t="shared" si="68"/>
        <v>0.0267256296865988</v>
      </c>
      <c r="J2706" s="9"/>
      <c r="K2706" s="11"/>
      <c r="L2706" s="9">
        <f>MAX($F$2358:F2706)</f>
        <v>1.5603</v>
      </c>
      <c r="M2706" s="11">
        <f t="shared" si="67"/>
        <v>0.0267256296865988</v>
      </c>
      <c r="N2706" s="9" t="s">
        <v>789</v>
      </c>
    </row>
    <row r="2707" ht="25" customHeight="1" spans="1:14">
      <c r="A2707" s="9" t="s">
        <v>53</v>
      </c>
      <c r="B2707" s="9" t="s">
        <v>49</v>
      </c>
      <c r="C2707" s="10">
        <v>45707</v>
      </c>
      <c r="D2707" s="15">
        <v>1.5268</v>
      </c>
      <c r="E2707" s="15">
        <v>1.5268</v>
      </c>
      <c r="F2707" s="15">
        <v>1.5268</v>
      </c>
      <c r="G2707" s="11">
        <v>0.0054</v>
      </c>
      <c r="H2707" s="9">
        <f>MAX($F$2174:F2707)</f>
        <v>1.5603</v>
      </c>
      <c r="I2707" s="11">
        <f t="shared" si="68"/>
        <v>0.0214702300839583</v>
      </c>
      <c r="J2707" s="9"/>
      <c r="K2707" s="11"/>
      <c r="L2707" s="9">
        <f>MAX($F$2358:F2707)</f>
        <v>1.5603</v>
      </c>
      <c r="M2707" s="11">
        <f t="shared" si="67"/>
        <v>0.0214702300839583</v>
      </c>
      <c r="N2707" s="9" t="s">
        <v>789</v>
      </c>
    </row>
    <row r="2708" ht="25" customHeight="1" spans="1:14">
      <c r="A2708" s="9" t="s">
        <v>53</v>
      </c>
      <c r="B2708" s="9" t="s">
        <v>49</v>
      </c>
      <c r="C2708" s="10">
        <v>45708</v>
      </c>
      <c r="D2708" s="15">
        <v>1.5201</v>
      </c>
      <c r="E2708" s="15">
        <v>1.5201</v>
      </c>
      <c r="F2708" s="15">
        <v>1.5201</v>
      </c>
      <c r="G2708" s="11">
        <v>-0.0044</v>
      </c>
      <c r="H2708" s="9">
        <f>MAX($F$2174:F2708)</f>
        <v>1.5603</v>
      </c>
      <c r="I2708" s="11">
        <f t="shared" si="68"/>
        <v>0.0257642761007498</v>
      </c>
      <c r="J2708" s="9"/>
      <c r="K2708" s="11"/>
      <c r="L2708" s="9">
        <f>MAX($F$2358:F2708)</f>
        <v>1.5603</v>
      </c>
      <c r="M2708" s="11">
        <f t="shared" si="67"/>
        <v>0.0257642761007498</v>
      </c>
      <c r="N2708" s="9" t="s">
        <v>789</v>
      </c>
    </row>
    <row r="2709" ht="25" customHeight="1" spans="1:14">
      <c r="A2709" s="9" t="s">
        <v>53</v>
      </c>
      <c r="B2709" s="9" t="s">
        <v>49</v>
      </c>
      <c r="C2709" s="10">
        <v>45709</v>
      </c>
      <c r="D2709" s="15">
        <v>1.5485</v>
      </c>
      <c r="E2709" s="15">
        <v>1.5485</v>
      </c>
      <c r="F2709" s="15">
        <v>1.5485</v>
      </c>
      <c r="G2709" s="11">
        <v>0.0187</v>
      </c>
      <c r="H2709" s="9">
        <f>MAX($F$2174:F2709)</f>
        <v>1.5603</v>
      </c>
      <c r="I2709" s="11">
        <f t="shared" si="68"/>
        <v>0.0075626482086778</v>
      </c>
      <c r="J2709" s="9"/>
      <c r="K2709" s="11"/>
      <c r="L2709" s="9">
        <f>MAX($F$2358:F2709)</f>
        <v>1.5603</v>
      </c>
      <c r="M2709" s="11">
        <f t="shared" si="67"/>
        <v>0.0075626482086778</v>
      </c>
      <c r="N2709" s="9" t="s">
        <v>789</v>
      </c>
    </row>
    <row r="2710" ht="25" customHeight="1" spans="1:14">
      <c r="A2710" s="9" t="s">
        <v>53</v>
      </c>
      <c r="B2710" s="9" t="s">
        <v>49</v>
      </c>
      <c r="C2710" s="10">
        <v>45712</v>
      </c>
      <c r="D2710" s="15">
        <v>1.5283</v>
      </c>
      <c r="E2710" s="15">
        <v>1.5283</v>
      </c>
      <c r="F2710" s="15">
        <v>1.5283</v>
      </c>
      <c r="G2710" s="11">
        <v>-0.013</v>
      </c>
      <c r="H2710" s="9">
        <f>MAX($F$2174:F2710)</f>
        <v>1.5603</v>
      </c>
      <c r="I2710" s="11">
        <f t="shared" si="68"/>
        <v>0.0205088764981094</v>
      </c>
      <c r="J2710" s="9"/>
      <c r="K2710" s="11"/>
      <c r="L2710" s="9">
        <f>MAX($F$2358:F2710)</f>
        <v>1.5603</v>
      </c>
      <c r="M2710" s="11">
        <f t="shared" si="67"/>
        <v>0.0205088764981094</v>
      </c>
      <c r="N2710" s="9" t="s">
        <v>789</v>
      </c>
    </row>
    <row r="2711" ht="25" customHeight="1" spans="1:14">
      <c r="A2711" s="9" t="s">
        <v>53</v>
      </c>
      <c r="B2711" s="9" t="s">
        <v>49</v>
      </c>
      <c r="C2711" s="10">
        <v>45713</v>
      </c>
      <c r="D2711" s="15">
        <v>1.5244</v>
      </c>
      <c r="E2711" s="15">
        <v>1.5244</v>
      </c>
      <c r="F2711" s="15">
        <v>1.5244</v>
      </c>
      <c r="G2711" s="11">
        <v>-0.0026</v>
      </c>
      <c r="H2711" s="9">
        <f>MAX($F$2174:F2711)</f>
        <v>1.5603</v>
      </c>
      <c r="I2711" s="11">
        <f t="shared" si="68"/>
        <v>0.0230083958213164</v>
      </c>
      <c r="J2711" s="9"/>
      <c r="K2711" s="11"/>
      <c r="L2711" s="9">
        <f>MAX($F$2358:F2711)</f>
        <v>1.5603</v>
      </c>
      <c r="M2711" s="11">
        <f t="shared" si="67"/>
        <v>0.0230083958213164</v>
      </c>
      <c r="N2711" s="9" t="s">
        <v>789</v>
      </c>
    </row>
    <row r="2712" ht="25" customHeight="1" spans="1:14">
      <c r="A2712" s="9" t="s">
        <v>53</v>
      </c>
      <c r="B2712" s="9" t="s">
        <v>49</v>
      </c>
      <c r="C2712" s="10">
        <v>45714</v>
      </c>
      <c r="D2712" s="15">
        <v>1.5333</v>
      </c>
      <c r="E2712" s="15">
        <v>1.5333</v>
      </c>
      <c r="F2712" s="15">
        <v>1.5333</v>
      </c>
      <c r="G2712" s="11">
        <v>0.0058</v>
      </c>
      <c r="H2712" s="9">
        <f>MAX($F$2174:F2712)</f>
        <v>1.5603</v>
      </c>
      <c r="I2712" s="11">
        <f t="shared" si="68"/>
        <v>0.0173043645452797</v>
      </c>
      <c r="J2712" s="9"/>
      <c r="K2712" s="11"/>
      <c r="L2712" s="9">
        <f>MAX($F$2358:F2712)</f>
        <v>1.5603</v>
      </c>
      <c r="M2712" s="11">
        <f t="shared" si="67"/>
        <v>0.0173043645452797</v>
      </c>
      <c r="N2712" s="9" t="s">
        <v>789</v>
      </c>
    </row>
    <row r="2713" ht="25" customHeight="1" spans="1:14">
      <c r="A2713" s="9" t="s">
        <v>53</v>
      </c>
      <c r="B2713" s="9" t="s">
        <v>49</v>
      </c>
      <c r="C2713" s="10">
        <v>45715</v>
      </c>
      <c r="D2713" s="15">
        <v>1.5223</v>
      </c>
      <c r="E2713" s="15">
        <v>1.5223</v>
      </c>
      <c r="F2713" s="15">
        <v>1.5223</v>
      </c>
      <c r="G2713" s="11">
        <v>-0.0072</v>
      </c>
      <c r="H2713" s="9">
        <f>MAX($F$2174:F2713)</f>
        <v>1.5603</v>
      </c>
      <c r="I2713" s="11">
        <f t="shared" si="68"/>
        <v>0.0243542908415049</v>
      </c>
      <c r="J2713" s="9"/>
      <c r="K2713" s="11"/>
      <c r="L2713" s="9">
        <f>MAX($F$2358:F2713)</f>
        <v>1.5603</v>
      </c>
      <c r="M2713" s="11">
        <f t="shared" si="67"/>
        <v>0.0243542908415049</v>
      </c>
      <c r="N2713" s="9" t="s">
        <v>789</v>
      </c>
    </row>
    <row r="2714" ht="25" customHeight="1" spans="1:14">
      <c r="A2714" s="9" t="s">
        <v>53</v>
      </c>
      <c r="B2714" s="9" t="s">
        <v>49</v>
      </c>
      <c r="C2714" s="10">
        <v>45716</v>
      </c>
      <c r="D2714" s="15">
        <v>1.5321</v>
      </c>
      <c r="E2714" s="15">
        <v>1.5321</v>
      </c>
      <c r="F2714" s="15">
        <v>1.5321</v>
      </c>
      <c r="G2714" s="11">
        <v>0.0064</v>
      </c>
      <c r="H2714" s="9">
        <f>MAX($F$2174:F2714)</f>
        <v>1.5603</v>
      </c>
      <c r="I2714" s="11">
        <f t="shared" si="68"/>
        <v>0.0180734474139589</v>
      </c>
      <c r="J2714" s="9"/>
      <c r="K2714" s="11"/>
      <c r="L2714" s="9">
        <f>MAX($F$2358:F2714)</f>
        <v>1.5603</v>
      </c>
      <c r="M2714" s="11">
        <f t="shared" si="67"/>
        <v>0.0180734474139589</v>
      </c>
      <c r="N2714" s="9" t="s">
        <v>789</v>
      </c>
    </row>
    <row r="2715" ht="25" customHeight="1" spans="1:14">
      <c r="A2715" s="9" t="s">
        <v>53</v>
      </c>
      <c r="B2715" s="9" t="s">
        <v>49</v>
      </c>
      <c r="C2715" s="10">
        <v>45719</v>
      </c>
      <c r="D2715" s="15">
        <v>1.5065</v>
      </c>
      <c r="E2715" s="15">
        <v>1.5065</v>
      </c>
      <c r="F2715" s="15">
        <v>1.5065</v>
      </c>
      <c r="G2715" s="11">
        <v>-0.0167</v>
      </c>
      <c r="H2715" s="9">
        <f>MAX($F$2174:F2715)</f>
        <v>1.5603</v>
      </c>
      <c r="I2715" s="11">
        <f t="shared" si="68"/>
        <v>0.0344805486124463</v>
      </c>
      <c r="J2715" s="9"/>
      <c r="K2715" s="11"/>
      <c r="L2715" s="9">
        <f>MAX($F$2358:F2715)</f>
        <v>1.5603</v>
      </c>
      <c r="M2715" s="11">
        <f t="shared" si="67"/>
        <v>0.0344805486124463</v>
      </c>
      <c r="N2715" s="9" t="s">
        <v>789</v>
      </c>
    </row>
    <row r="2716" ht="25" customHeight="1" spans="1:14">
      <c r="A2716" s="9" t="s">
        <v>53</v>
      </c>
      <c r="B2716" s="9" t="s">
        <v>49</v>
      </c>
      <c r="C2716" s="10">
        <v>45720</v>
      </c>
      <c r="D2716" s="15">
        <v>1.52</v>
      </c>
      <c r="E2716" s="15">
        <v>1.52</v>
      </c>
      <c r="F2716" s="15">
        <v>1.52</v>
      </c>
      <c r="G2716" s="11">
        <v>0.009</v>
      </c>
      <c r="H2716" s="9">
        <f>MAX($F$2174:F2716)</f>
        <v>1.5603</v>
      </c>
      <c r="I2716" s="11">
        <f t="shared" si="68"/>
        <v>0.0258283663398065</v>
      </c>
      <c r="J2716" s="9"/>
      <c r="K2716" s="11"/>
      <c r="L2716" s="9">
        <f>MAX($F$2358:F2716)</f>
        <v>1.5603</v>
      </c>
      <c r="M2716" s="11">
        <f t="shared" si="67"/>
        <v>0.0258283663398065</v>
      </c>
      <c r="N2716" s="9" t="s">
        <v>789</v>
      </c>
    </row>
    <row r="2717" ht="25" customHeight="1" spans="1:14">
      <c r="A2717" s="9" t="s">
        <v>53</v>
      </c>
      <c r="B2717" s="9" t="s">
        <v>49</v>
      </c>
      <c r="C2717" s="10">
        <v>45721</v>
      </c>
      <c r="D2717" s="15">
        <v>1.5411</v>
      </c>
      <c r="E2717" s="15">
        <v>1.5411</v>
      </c>
      <c r="F2717" s="15">
        <v>1.5411</v>
      </c>
      <c r="G2717" s="11">
        <v>0.0139</v>
      </c>
      <c r="H2717" s="9">
        <f>MAX($F$2174:F2717)</f>
        <v>1.5603</v>
      </c>
      <c r="I2717" s="11">
        <f t="shared" si="68"/>
        <v>0.0123053258988657</v>
      </c>
      <c r="J2717" s="9"/>
      <c r="K2717" s="11"/>
      <c r="L2717" s="9">
        <f>MAX($F$2358:F2717)</f>
        <v>1.5603</v>
      </c>
      <c r="M2717" s="11">
        <f t="shared" si="67"/>
        <v>0.0123053258988657</v>
      </c>
      <c r="N2717" s="9" t="s">
        <v>789</v>
      </c>
    </row>
    <row r="2718" ht="25" customHeight="1" spans="1:14">
      <c r="A2718" s="9" t="s">
        <v>53</v>
      </c>
      <c r="B2718" s="9" t="s">
        <v>49</v>
      </c>
      <c r="C2718" s="10">
        <v>45722</v>
      </c>
      <c r="D2718" s="15">
        <v>1.5731</v>
      </c>
      <c r="E2718" s="15">
        <v>1.5731</v>
      </c>
      <c r="F2718" s="15">
        <v>1.5731</v>
      </c>
      <c r="G2718" s="11">
        <v>0.0208</v>
      </c>
      <c r="H2718" s="9">
        <f>MAX($F$2174:F2718)</f>
        <v>1.5731</v>
      </c>
      <c r="I2718" s="11">
        <f t="shared" si="68"/>
        <v>0</v>
      </c>
      <c r="J2718" s="9"/>
      <c r="K2718" s="11"/>
      <c r="L2718" s="9">
        <f>MAX($F$2358:F2718)</f>
        <v>1.5731</v>
      </c>
      <c r="M2718" s="11">
        <f t="shared" si="67"/>
        <v>0</v>
      </c>
      <c r="N2718" s="9" t="s">
        <v>789</v>
      </c>
    </row>
    <row r="2719" ht="25" customHeight="1" spans="1:14">
      <c r="A2719" s="9" t="s">
        <v>53</v>
      </c>
      <c r="B2719" s="9" t="s">
        <v>49</v>
      </c>
      <c r="C2719" s="10">
        <v>45723</v>
      </c>
      <c r="D2719" s="15">
        <v>1.5608</v>
      </c>
      <c r="E2719" s="15">
        <v>1.5608</v>
      </c>
      <c r="F2719" s="15">
        <v>1.5608</v>
      </c>
      <c r="G2719" s="11">
        <v>-0.0078</v>
      </c>
      <c r="H2719" s="9">
        <f>MAX($F$2174:F2719)</f>
        <v>1.5731</v>
      </c>
      <c r="I2719" s="11">
        <f t="shared" si="68"/>
        <v>0.00781895620113149</v>
      </c>
      <c r="J2719" s="9"/>
      <c r="K2719" s="11"/>
      <c r="L2719" s="9">
        <f>MAX($F$2358:F2719)</f>
        <v>1.5731</v>
      </c>
      <c r="M2719" s="11">
        <f t="shared" si="67"/>
        <v>0.00781895620113149</v>
      </c>
      <c r="N2719" s="9" t="s">
        <v>789</v>
      </c>
    </row>
    <row r="2720" ht="25" customHeight="1" spans="1:14">
      <c r="A2720" s="9" t="s">
        <v>53</v>
      </c>
      <c r="B2720" s="9" t="s">
        <v>49</v>
      </c>
      <c r="C2720" s="10">
        <v>45726</v>
      </c>
      <c r="D2720" s="15">
        <v>1.5505</v>
      </c>
      <c r="E2720" s="15">
        <v>1.5505</v>
      </c>
      <c r="F2720" s="15">
        <v>1.5505</v>
      </c>
      <c r="G2720" s="11">
        <v>-0.0066</v>
      </c>
      <c r="H2720" s="9">
        <f>MAX($F$2174:F2720)</f>
        <v>1.5731</v>
      </c>
      <c r="I2720" s="11">
        <f t="shared" si="68"/>
        <v>0.0143665374102091</v>
      </c>
      <c r="J2720" s="9"/>
      <c r="K2720" s="11"/>
      <c r="L2720" s="9">
        <f>MAX($F$2358:F2720)</f>
        <v>1.5731</v>
      </c>
      <c r="M2720" s="11">
        <f t="shared" si="67"/>
        <v>0.0143665374102091</v>
      </c>
      <c r="N2720" s="9" t="s">
        <v>789</v>
      </c>
    </row>
    <row r="2721" ht="25" customHeight="1" spans="1:14">
      <c r="A2721" s="9" t="s">
        <v>53</v>
      </c>
      <c r="B2721" s="9" t="s">
        <v>49</v>
      </c>
      <c r="C2721" s="10">
        <v>45727</v>
      </c>
      <c r="D2721" s="15">
        <v>1.5857</v>
      </c>
      <c r="E2721" s="15">
        <v>1.5857</v>
      </c>
      <c r="F2721" s="15">
        <v>1.5857</v>
      </c>
      <c r="G2721" s="11">
        <v>0.0227</v>
      </c>
      <c r="H2721" s="9">
        <f>MAX($F$2174:F2721)</f>
        <v>1.5857</v>
      </c>
      <c r="I2721" s="11">
        <f t="shared" si="68"/>
        <v>0</v>
      </c>
      <c r="J2721" s="9"/>
      <c r="K2721" s="11"/>
      <c r="L2721" s="9">
        <f>MAX($F$2358:F2721)</f>
        <v>1.5857</v>
      </c>
      <c r="M2721" s="11">
        <f t="shared" si="67"/>
        <v>0</v>
      </c>
      <c r="N2721" s="9" t="s">
        <v>789</v>
      </c>
    </row>
    <row r="2722" ht="25" customHeight="1" spans="1:14">
      <c r="A2722" s="9" t="s">
        <v>53</v>
      </c>
      <c r="B2722" s="9" t="s">
        <v>49</v>
      </c>
      <c r="C2722" s="10">
        <v>45728</v>
      </c>
      <c r="D2722" s="15">
        <v>1.6093</v>
      </c>
      <c r="E2722" s="15">
        <v>1.6093</v>
      </c>
      <c r="F2722" s="15">
        <v>1.6093</v>
      </c>
      <c r="G2722" s="11">
        <v>0.0149</v>
      </c>
      <c r="H2722" s="9">
        <f>MAX($F$2174:F2722)</f>
        <v>1.6093</v>
      </c>
      <c r="I2722" s="11">
        <f t="shared" si="68"/>
        <v>0</v>
      </c>
      <c r="J2722" s="9"/>
      <c r="K2722" s="11"/>
      <c r="L2722" s="9">
        <f>MAX($F$2358:F2722)</f>
        <v>1.6093</v>
      </c>
      <c r="M2722" s="11">
        <f t="shared" si="67"/>
        <v>0</v>
      </c>
      <c r="N2722" s="9" t="s">
        <v>789</v>
      </c>
    </row>
    <row r="2723" ht="25" customHeight="1" spans="1:14">
      <c r="A2723" s="9" t="s">
        <v>53</v>
      </c>
      <c r="B2723" s="9" t="s">
        <v>49</v>
      </c>
      <c r="C2723" s="10">
        <v>45729</v>
      </c>
      <c r="D2723" s="15">
        <v>1.597</v>
      </c>
      <c r="E2723" s="15">
        <v>1.597</v>
      </c>
      <c r="F2723" s="15">
        <v>1.597</v>
      </c>
      <c r="G2723" s="11">
        <v>-0.0076</v>
      </c>
      <c r="H2723" s="9">
        <f>MAX($F$2174:F2723)</f>
        <v>1.6093</v>
      </c>
      <c r="I2723" s="11">
        <f t="shared" si="68"/>
        <v>0.0076430746287206</v>
      </c>
      <c r="J2723" s="9"/>
      <c r="K2723" s="11"/>
      <c r="L2723" s="9">
        <f>MAX($F$2358:F2723)</f>
        <v>1.6093</v>
      </c>
      <c r="M2723" s="11">
        <f t="shared" si="67"/>
        <v>0.0076430746287206</v>
      </c>
      <c r="N2723" s="9" t="s">
        <v>789</v>
      </c>
    </row>
    <row r="2724" ht="25" customHeight="1" spans="1:14">
      <c r="A2724" s="9" t="s">
        <v>53</v>
      </c>
      <c r="B2724" s="9" t="s">
        <v>49</v>
      </c>
      <c r="C2724" s="10">
        <v>45730</v>
      </c>
      <c r="D2724" s="15">
        <v>1.6017</v>
      </c>
      <c r="E2724" s="15">
        <v>1.6017</v>
      </c>
      <c r="F2724" s="15">
        <v>1.6017</v>
      </c>
      <c r="G2724" s="11">
        <v>0.0029</v>
      </c>
      <c r="H2724" s="9">
        <f>MAX($F$2174:F2724)</f>
        <v>1.6093</v>
      </c>
      <c r="I2724" s="11">
        <f t="shared" si="68"/>
        <v>0.00472255017709566</v>
      </c>
      <c r="J2724" s="9"/>
      <c r="K2724" s="11"/>
      <c r="L2724" s="9">
        <f>MAX($F$2358:F2724)</f>
        <v>1.6093</v>
      </c>
      <c r="M2724" s="11">
        <f t="shared" si="67"/>
        <v>0.00472255017709566</v>
      </c>
      <c r="N2724" s="9" t="s">
        <v>789</v>
      </c>
    </row>
    <row r="2725" ht="25" customHeight="1" spans="1:14">
      <c r="A2725" s="9" t="s">
        <v>53</v>
      </c>
      <c r="B2725" s="9" t="s">
        <v>49</v>
      </c>
      <c r="C2725" s="10">
        <v>45733</v>
      </c>
      <c r="D2725" s="15">
        <v>1.5955</v>
      </c>
      <c r="E2725" s="15">
        <v>1.5955</v>
      </c>
      <c r="F2725" s="15">
        <v>1.5955</v>
      </c>
      <c r="G2725" s="11">
        <v>-0.0039</v>
      </c>
      <c r="H2725" s="9">
        <f>MAX($F$2174:F2725)</f>
        <v>1.6093</v>
      </c>
      <c r="I2725" s="11">
        <f t="shared" si="68"/>
        <v>0.0085751569005158</v>
      </c>
      <c r="J2725" s="9"/>
      <c r="K2725" s="11"/>
      <c r="L2725" s="9">
        <f>MAX($F$2358:F2725)</f>
        <v>1.6093</v>
      </c>
      <c r="M2725" s="11">
        <f t="shared" si="67"/>
        <v>0.0085751569005158</v>
      </c>
      <c r="N2725" s="9" t="s">
        <v>789</v>
      </c>
    </row>
    <row r="2726" ht="25" customHeight="1" spans="1:14">
      <c r="A2726" s="9" t="s">
        <v>53</v>
      </c>
      <c r="B2726" s="9" t="s">
        <v>49</v>
      </c>
      <c r="C2726" s="10">
        <v>45734</v>
      </c>
      <c r="D2726" s="15">
        <v>1.594</v>
      </c>
      <c r="E2726" s="15">
        <v>1.594</v>
      </c>
      <c r="F2726" s="15">
        <v>1.594</v>
      </c>
      <c r="G2726" s="11">
        <v>-0.0009</v>
      </c>
      <c r="H2726" s="9">
        <f>MAX($F$2174:F2726)</f>
        <v>1.6093</v>
      </c>
      <c r="I2726" s="11">
        <f t="shared" si="68"/>
        <v>0.00950723917231089</v>
      </c>
      <c r="J2726" s="9"/>
      <c r="K2726" s="11"/>
      <c r="L2726" s="9">
        <f>MAX($F$2358:F2726)</f>
        <v>1.6093</v>
      </c>
      <c r="M2726" s="11">
        <f t="shared" si="67"/>
        <v>0.00950723917231089</v>
      </c>
      <c r="N2726" s="9" t="s">
        <v>789</v>
      </c>
    </row>
    <row r="2727" ht="25" customHeight="1" spans="1:14">
      <c r="A2727" s="9" t="s">
        <v>53</v>
      </c>
      <c r="B2727" s="9" t="s">
        <v>49</v>
      </c>
      <c r="C2727" s="10">
        <v>45735</v>
      </c>
      <c r="D2727" s="15">
        <v>1.6081</v>
      </c>
      <c r="E2727" s="15">
        <v>1.6081</v>
      </c>
      <c r="F2727" s="15">
        <v>1.6081</v>
      </c>
      <c r="G2727" s="11">
        <v>0.0088</v>
      </c>
      <c r="H2727" s="9">
        <f>MAX($F$2174:F2727)</f>
        <v>1.6093</v>
      </c>
      <c r="I2727" s="11">
        <f t="shared" si="68"/>
        <v>0.00074566581743607</v>
      </c>
      <c r="J2727" s="9"/>
      <c r="K2727" s="11"/>
      <c r="L2727" s="9">
        <f>MAX($F$2358:F2727)</f>
        <v>1.6093</v>
      </c>
      <c r="M2727" s="11">
        <f t="shared" si="67"/>
        <v>0.00074566581743607</v>
      </c>
      <c r="N2727" s="9" t="s">
        <v>789</v>
      </c>
    </row>
    <row r="2728" ht="25" customHeight="1" spans="1:14">
      <c r="A2728" s="9" t="s">
        <v>53</v>
      </c>
      <c r="B2728" s="9" t="s">
        <v>49</v>
      </c>
      <c r="C2728" s="10">
        <v>45736</v>
      </c>
      <c r="D2728" s="15">
        <v>1.6108</v>
      </c>
      <c r="E2728" s="15">
        <v>1.6108</v>
      </c>
      <c r="F2728" s="15">
        <v>1.6108</v>
      </c>
      <c r="G2728" s="11">
        <v>0.0017</v>
      </c>
      <c r="H2728" s="9">
        <f>MAX($F$2174:F2728)</f>
        <v>1.6108</v>
      </c>
      <c r="I2728" s="11">
        <f t="shared" si="68"/>
        <v>0</v>
      </c>
      <c r="J2728" s="9"/>
      <c r="K2728" s="11"/>
      <c r="L2728" s="9">
        <f>MAX($F$2358:F2728)</f>
        <v>1.6108</v>
      </c>
      <c r="M2728" s="11">
        <f t="shared" si="67"/>
        <v>0</v>
      </c>
      <c r="N2728" s="9" t="s">
        <v>789</v>
      </c>
    </row>
    <row r="2729" ht="25" customHeight="1" spans="1:14">
      <c r="A2729" s="9" t="s">
        <v>53</v>
      </c>
      <c r="B2729" s="9" t="s">
        <v>49</v>
      </c>
      <c r="C2729" s="10">
        <v>45737</v>
      </c>
      <c r="D2729" s="15">
        <v>1.6134</v>
      </c>
      <c r="E2729" s="15">
        <v>1.6134</v>
      </c>
      <c r="F2729" s="15">
        <v>1.6134</v>
      </c>
      <c r="G2729" s="11">
        <v>0.0016</v>
      </c>
      <c r="H2729" s="9">
        <f>MAX($F$2174:F2729)</f>
        <v>1.6134</v>
      </c>
      <c r="I2729" s="11">
        <f t="shared" si="68"/>
        <v>0</v>
      </c>
      <c r="J2729" s="9"/>
      <c r="K2729" s="11"/>
      <c r="L2729" s="9">
        <f>MAX($F$2358:F2729)</f>
        <v>1.6134</v>
      </c>
      <c r="M2729" s="11">
        <f t="shared" si="67"/>
        <v>0</v>
      </c>
      <c r="N2729" s="9" t="s">
        <v>789</v>
      </c>
    </row>
    <row r="2730" ht="25" customHeight="1" spans="1:14">
      <c r="A2730" s="9" t="s">
        <v>53</v>
      </c>
      <c r="B2730" s="9" t="s">
        <v>49</v>
      </c>
      <c r="C2730" s="10">
        <v>45740</v>
      </c>
      <c r="D2730" s="15">
        <v>1.5826</v>
      </c>
      <c r="E2730" s="15">
        <v>1.5826</v>
      </c>
      <c r="F2730" s="15">
        <v>1.5826</v>
      </c>
      <c r="G2730" s="11">
        <v>-0.0191</v>
      </c>
      <c r="H2730" s="9">
        <f>MAX($F$2174:F2730)</f>
        <v>1.6134</v>
      </c>
      <c r="I2730" s="11">
        <f t="shared" si="68"/>
        <v>0.0190901202429651</v>
      </c>
      <c r="J2730" s="9"/>
      <c r="K2730" s="11"/>
      <c r="L2730" s="9">
        <f>MAX($F$2358:F2730)</f>
        <v>1.6134</v>
      </c>
      <c r="M2730" s="11">
        <f t="shared" si="67"/>
        <v>0.0190901202429651</v>
      </c>
      <c r="N2730" s="9" t="s">
        <v>789</v>
      </c>
    </row>
    <row r="2731" ht="25" customHeight="1" spans="1:14">
      <c r="A2731" s="9" t="s">
        <v>53</v>
      </c>
      <c r="B2731" s="9" t="s">
        <v>49</v>
      </c>
      <c r="C2731" s="10">
        <v>45741</v>
      </c>
      <c r="D2731" s="15">
        <v>1.5707</v>
      </c>
      <c r="E2731" s="15">
        <v>1.5707</v>
      </c>
      <c r="F2731" s="15">
        <v>1.5707</v>
      </c>
      <c r="G2731" s="11">
        <v>-0.0075</v>
      </c>
      <c r="H2731" s="9">
        <f>MAX($F$2174:F2731)</f>
        <v>1.6134</v>
      </c>
      <c r="I2731" s="11">
        <f t="shared" si="68"/>
        <v>0.0264658485186562</v>
      </c>
      <c r="J2731" s="9"/>
      <c r="K2731" s="11"/>
      <c r="L2731" s="9">
        <f>MAX($F$2358:F2731)</f>
        <v>1.6134</v>
      </c>
      <c r="M2731" s="11">
        <f t="shared" si="67"/>
        <v>0.0264658485186562</v>
      </c>
      <c r="N2731" s="9" t="s">
        <v>789</v>
      </c>
    </row>
    <row r="2732" ht="25" customHeight="1" spans="1:14">
      <c r="A2732" s="9" t="s">
        <v>53</v>
      </c>
      <c r="B2732" s="9" t="s">
        <v>49</v>
      </c>
      <c r="C2732" s="10">
        <v>45742</v>
      </c>
      <c r="D2732" s="15">
        <v>1.5754</v>
      </c>
      <c r="E2732" s="15">
        <v>1.5754</v>
      </c>
      <c r="F2732" s="15">
        <v>1.5754</v>
      </c>
      <c r="G2732" s="11">
        <v>0.003</v>
      </c>
      <c r="H2732" s="9">
        <f>MAX($F$2174:F2732)</f>
        <v>1.6134</v>
      </c>
      <c r="I2732" s="11">
        <f t="shared" si="68"/>
        <v>0.0235527457543077</v>
      </c>
      <c r="J2732" s="9"/>
      <c r="K2732" s="11"/>
      <c r="L2732" s="9">
        <f>MAX($F$2358:F2732)</f>
        <v>1.6134</v>
      </c>
      <c r="M2732" s="11">
        <f t="shared" si="67"/>
        <v>0.0235527457543077</v>
      </c>
      <c r="N2732" s="9" t="s">
        <v>789</v>
      </c>
    </row>
    <row r="2733" ht="25" customHeight="1" spans="1:14">
      <c r="A2733" s="9" t="s">
        <v>53</v>
      </c>
      <c r="B2733" s="9" t="s">
        <v>49</v>
      </c>
      <c r="C2733" s="10">
        <v>45743</v>
      </c>
      <c r="D2733" s="15">
        <v>1.5707</v>
      </c>
      <c r="E2733" s="15">
        <v>1.5707</v>
      </c>
      <c r="F2733" s="15">
        <v>1.5707</v>
      </c>
      <c r="G2733" s="11">
        <v>-0.003</v>
      </c>
      <c r="H2733" s="9">
        <f>MAX($F$2174:F2733)</f>
        <v>1.6134</v>
      </c>
      <c r="I2733" s="11">
        <f t="shared" si="68"/>
        <v>0.0264658485186562</v>
      </c>
      <c r="J2733" s="9"/>
      <c r="K2733" s="11"/>
      <c r="L2733" s="9">
        <f>MAX($F$2358:F2733)</f>
        <v>1.6134</v>
      </c>
      <c r="M2733" s="11">
        <f t="shared" si="67"/>
        <v>0.0264658485186562</v>
      </c>
      <c r="N2733" s="9" t="s">
        <v>789</v>
      </c>
    </row>
    <row r="2734" ht="25" customHeight="1" spans="1:14">
      <c r="A2734" s="9" t="s">
        <v>53</v>
      </c>
      <c r="B2734" s="9" t="s">
        <v>49</v>
      </c>
      <c r="C2734" s="10">
        <v>45744</v>
      </c>
      <c r="D2734" s="15">
        <v>1.5644</v>
      </c>
      <c r="E2734" s="15">
        <v>1.5644</v>
      </c>
      <c r="F2734" s="15">
        <v>1.5644</v>
      </c>
      <c r="G2734" s="11">
        <v>-0.004</v>
      </c>
      <c r="H2734" s="9">
        <f>MAX($F$2174:F2734)</f>
        <v>1.6134</v>
      </c>
      <c r="I2734" s="11">
        <f t="shared" si="68"/>
        <v>0.030370645841081</v>
      </c>
      <c r="J2734" s="9"/>
      <c r="K2734" s="11"/>
      <c r="L2734" s="9">
        <f>MAX($F$2358:F2734)</f>
        <v>1.6134</v>
      </c>
      <c r="M2734" s="11">
        <f t="shared" si="67"/>
        <v>0.030370645841081</v>
      </c>
      <c r="N2734" s="9" t="s">
        <v>789</v>
      </c>
    </row>
    <row r="2735" ht="25" customHeight="1" spans="1:14">
      <c r="A2735" s="9" t="s">
        <v>53</v>
      </c>
      <c r="B2735" s="9" t="s">
        <v>49</v>
      </c>
      <c r="C2735" s="10">
        <v>45747</v>
      </c>
      <c r="D2735" s="15">
        <v>1.5652</v>
      </c>
      <c r="E2735" s="15">
        <v>1.5652</v>
      </c>
      <c r="F2735" s="15">
        <v>1.5652</v>
      </c>
      <c r="G2735" s="11">
        <v>0.0005</v>
      </c>
      <c r="H2735" s="9">
        <f>MAX($F$2174:F2735)</f>
        <v>1.6134</v>
      </c>
      <c r="I2735" s="11">
        <f t="shared" si="68"/>
        <v>0.0298747985620429</v>
      </c>
      <c r="J2735" s="9"/>
      <c r="K2735" s="11"/>
      <c r="L2735" s="9">
        <f>MAX($F$2358:F2735)</f>
        <v>1.6134</v>
      </c>
      <c r="M2735" s="11">
        <f t="shared" si="67"/>
        <v>0.0298747985620429</v>
      </c>
      <c r="N2735" s="9" t="s">
        <v>789</v>
      </c>
    </row>
    <row r="2736" ht="25" customHeight="1" spans="1:14">
      <c r="A2736" s="9" t="s">
        <v>53</v>
      </c>
      <c r="B2736" s="9" t="s">
        <v>49</v>
      </c>
      <c r="C2736" s="10">
        <v>45748</v>
      </c>
      <c r="D2736" s="15">
        <v>1.5522</v>
      </c>
      <c r="E2736" s="15">
        <v>1.5522</v>
      </c>
      <c r="F2736" s="15">
        <v>1.5522</v>
      </c>
      <c r="G2736" s="11">
        <v>-0.0083</v>
      </c>
      <c r="H2736" s="9">
        <f>MAX($F$2174:F2736)</f>
        <v>1.6134</v>
      </c>
      <c r="I2736" s="11">
        <f t="shared" si="68"/>
        <v>0.0379323168464113</v>
      </c>
      <c r="J2736" s="9"/>
      <c r="K2736" s="11"/>
      <c r="L2736" s="9">
        <f>MAX($F$2358:F2736)</f>
        <v>1.6134</v>
      </c>
      <c r="M2736" s="11">
        <f t="shared" si="67"/>
        <v>0.0379323168464113</v>
      </c>
      <c r="N2736" s="9" t="s">
        <v>789</v>
      </c>
    </row>
    <row r="2737" ht="25" customHeight="1" spans="1:14">
      <c r="A2737" s="9" t="s">
        <v>53</v>
      </c>
      <c r="B2737" s="9" t="s">
        <v>49</v>
      </c>
      <c r="C2737" s="10">
        <v>45749</v>
      </c>
      <c r="D2737" s="15">
        <v>1.5472</v>
      </c>
      <c r="E2737" s="15">
        <v>1.5472</v>
      </c>
      <c r="F2737" s="15">
        <v>1.5472</v>
      </c>
      <c r="G2737" s="11">
        <v>-0.0032</v>
      </c>
      <c r="H2737" s="9">
        <f>MAX($F$2174:F2737)</f>
        <v>1.6134</v>
      </c>
      <c r="I2737" s="11">
        <f t="shared" si="68"/>
        <v>0.0410313623403992</v>
      </c>
      <c r="J2737" s="9"/>
      <c r="K2737" s="11"/>
      <c r="L2737" s="9">
        <f>MAX($F$2358:F2737)</f>
        <v>1.6134</v>
      </c>
      <c r="M2737" s="11">
        <f t="shared" si="67"/>
        <v>0.0410313623403992</v>
      </c>
      <c r="N2737" s="9" t="s">
        <v>789</v>
      </c>
    </row>
    <row r="2738" ht="25" customHeight="1" spans="1:14">
      <c r="A2738" s="9" t="s">
        <v>53</v>
      </c>
      <c r="B2738" s="9" t="s">
        <v>49</v>
      </c>
      <c r="C2738" s="10">
        <v>45750</v>
      </c>
      <c r="D2738" s="15">
        <v>1.5507</v>
      </c>
      <c r="E2738" s="15">
        <v>1.5507</v>
      </c>
      <c r="F2738" s="15">
        <v>1.5507</v>
      </c>
      <c r="G2738" s="11">
        <v>0.0023</v>
      </c>
      <c r="H2738" s="9">
        <f>MAX($F$2174:F2738)</f>
        <v>1.6134</v>
      </c>
      <c r="I2738" s="11">
        <f t="shared" si="68"/>
        <v>0.0388620304946077</v>
      </c>
      <c r="J2738" s="9"/>
      <c r="K2738" s="11"/>
      <c r="L2738" s="9">
        <f>MAX($F$2358:F2738)</f>
        <v>1.6134</v>
      </c>
      <c r="M2738" s="11">
        <f t="shared" si="67"/>
        <v>0.0388620304946077</v>
      </c>
      <c r="N2738" s="9" t="s">
        <v>789</v>
      </c>
    </row>
    <row r="2739" ht="25" customHeight="1" spans="1:14">
      <c r="A2739" s="9" t="s">
        <v>53</v>
      </c>
      <c r="B2739" s="9" t="s">
        <v>49</v>
      </c>
      <c r="C2739" s="10">
        <v>45754</v>
      </c>
      <c r="D2739" s="15">
        <v>1.5762</v>
      </c>
      <c r="E2739" s="15">
        <v>1.5762</v>
      </c>
      <c r="F2739" s="15">
        <v>1.5762</v>
      </c>
      <c r="G2739" s="11">
        <v>0.0164</v>
      </c>
      <c r="H2739" s="9">
        <f>MAX($F$2174:F2739)</f>
        <v>1.6134</v>
      </c>
      <c r="I2739" s="11">
        <f t="shared" si="68"/>
        <v>0.0230568984752696</v>
      </c>
      <c r="J2739" s="9"/>
      <c r="K2739" s="11"/>
      <c r="L2739" s="9">
        <f>MAX($F$2358:F2739)</f>
        <v>1.6134</v>
      </c>
      <c r="M2739" s="11">
        <f t="shared" si="67"/>
        <v>0.0230568984752696</v>
      </c>
      <c r="N2739" s="9" t="s">
        <v>789</v>
      </c>
    </row>
    <row r="2740" ht="25" customHeight="1" spans="1:14">
      <c r="A2740" s="9" t="s">
        <v>53</v>
      </c>
      <c r="B2740" s="9" t="s">
        <v>49</v>
      </c>
      <c r="C2740" s="10">
        <v>45755</v>
      </c>
      <c r="D2740" s="15">
        <v>1.5987</v>
      </c>
      <c r="E2740" s="15">
        <v>1.5987</v>
      </c>
      <c r="F2740" s="15">
        <v>1.5987</v>
      </c>
      <c r="G2740" s="11">
        <v>0.0143</v>
      </c>
      <c r="H2740" s="9">
        <f>MAX($F$2174:F2740)</f>
        <v>1.6134</v>
      </c>
      <c r="I2740" s="11">
        <f t="shared" si="68"/>
        <v>0.00911119375232428</v>
      </c>
      <c r="J2740" s="9"/>
      <c r="K2740" s="11"/>
      <c r="L2740" s="9">
        <f>MAX($F$2358:F2740)</f>
        <v>1.6134</v>
      </c>
      <c r="M2740" s="11">
        <f t="shared" si="67"/>
        <v>0.00911119375232428</v>
      </c>
      <c r="N2740" s="9" t="s">
        <v>789</v>
      </c>
    </row>
    <row r="2741" ht="25" customHeight="1" spans="1:14">
      <c r="A2741" s="9" t="s">
        <v>53</v>
      </c>
      <c r="B2741" s="9" t="s">
        <v>49</v>
      </c>
      <c r="C2741" s="10">
        <v>45756</v>
      </c>
      <c r="D2741" s="15">
        <v>1.6454</v>
      </c>
      <c r="E2741" s="15">
        <v>1.6454</v>
      </c>
      <c r="F2741" s="15">
        <v>1.6454</v>
      </c>
      <c r="G2741" s="11">
        <v>0.0292</v>
      </c>
      <c r="H2741" s="9">
        <f>MAX($F$2174:F2741)</f>
        <v>1.6454</v>
      </c>
      <c r="I2741" s="11">
        <f t="shared" si="68"/>
        <v>0</v>
      </c>
      <c r="J2741" s="9"/>
      <c r="K2741" s="11"/>
      <c r="L2741" s="9">
        <f>MAX($F$2358:F2741)</f>
        <v>1.6454</v>
      </c>
      <c r="M2741" s="11">
        <f t="shared" si="67"/>
        <v>0</v>
      </c>
      <c r="N2741" s="9" t="s">
        <v>789</v>
      </c>
    </row>
    <row r="2742" ht="25" customHeight="1" spans="1:14">
      <c r="A2742" s="9" t="s">
        <v>53</v>
      </c>
      <c r="B2742" s="9" t="s">
        <v>49</v>
      </c>
      <c r="C2742" s="10">
        <v>45757</v>
      </c>
      <c r="D2742" s="15">
        <v>1.6269</v>
      </c>
      <c r="E2742" s="15">
        <v>1.6269</v>
      </c>
      <c r="F2742" s="15">
        <v>1.6269</v>
      </c>
      <c r="G2742" s="11">
        <v>-0.0112</v>
      </c>
      <c r="H2742" s="9">
        <f>MAX($F$2174:F2742)</f>
        <v>1.6454</v>
      </c>
      <c r="I2742" s="11">
        <f t="shared" si="68"/>
        <v>0.011243466634253</v>
      </c>
      <c r="J2742" s="9"/>
      <c r="K2742" s="11"/>
      <c r="L2742" s="9">
        <f>MAX($F$2358:F2742)</f>
        <v>1.6454</v>
      </c>
      <c r="M2742" s="11">
        <f t="shared" ref="M2742:M2805" si="69">1-F2742/L2742</f>
        <v>0.011243466634253</v>
      </c>
      <c r="N2742" s="9" t="s">
        <v>789</v>
      </c>
    </row>
    <row r="2743" ht="25" customHeight="1" spans="1:14">
      <c r="A2743" s="9" t="s">
        <v>53</v>
      </c>
      <c r="B2743" s="9" t="s">
        <v>49</v>
      </c>
      <c r="C2743" s="10">
        <v>45758</v>
      </c>
      <c r="D2743" s="15">
        <v>1.6353</v>
      </c>
      <c r="E2743" s="15">
        <v>1.6353</v>
      </c>
      <c r="F2743" s="15">
        <v>1.6353</v>
      </c>
      <c r="G2743" s="11">
        <v>0.0052</v>
      </c>
      <c r="H2743" s="9">
        <f>MAX($F$2174:F2743)</f>
        <v>1.6454</v>
      </c>
      <c r="I2743" s="11">
        <f t="shared" si="68"/>
        <v>0.00613832502734901</v>
      </c>
      <c r="J2743" s="9"/>
      <c r="K2743" s="11"/>
      <c r="L2743" s="9">
        <f>MAX($F$2358:F2743)</f>
        <v>1.6454</v>
      </c>
      <c r="M2743" s="11">
        <f t="shared" si="69"/>
        <v>0.00613832502734901</v>
      </c>
      <c r="N2743" s="9" t="s">
        <v>789</v>
      </c>
    </row>
    <row r="2744" ht="25" customHeight="1" spans="1:14">
      <c r="A2744" s="9" t="s">
        <v>53</v>
      </c>
      <c r="B2744" s="9" t="s">
        <v>49</v>
      </c>
      <c r="C2744" s="10">
        <v>45761</v>
      </c>
      <c r="D2744" s="15">
        <v>1.6266</v>
      </c>
      <c r="E2744" s="15">
        <v>1.6266</v>
      </c>
      <c r="F2744" s="15">
        <v>1.6266</v>
      </c>
      <c r="G2744" s="11">
        <v>-0.0053</v>
      </c>
      <c r="H2744" s="9">
        <f>MAX($F$2174:F2744)</f>
        <v>1.6454</v>
      </c>
      <c r="I2744" s="11">
        <f t="shared" si="68"/>
        <v>0.0114257931202139</v>
      </c>
      <c r="J2744" s="9"/>
      <c r="K2744" s="11"/>
      <c r="L2744" s="9">
        <f>MAX($F$2358:F2744)</f>
        <v>1.6454</v>
      </c>
      <c r="M2744" s="11">
        <f t="shared" si="69"/>
        <v>0.0114257931202139</v>
      </c>
      <c r="N2744" s="9" t="s">
        <v>789</v>
      </c>
    </row>
    <row r="2745" ht="25" customHeight="1" spans="1:14">
      <c r="A2745" s="9" t="s">
        <v>53</v>
      </c>
      <c r="B2745" s="9" t="s">
        <v>49</v>
      </c>
      <c r="C2745" s="10">
        <v>45762</v>
      </c>
      <c r="D2745" s="15">
        <v>1.6242</v>
      </c>
      <c r="E2745" s="15">
        <v>1.6242</v>
      </c>
      <c r="F2745" s="15">
        <v>1.6242</v>
      </c>
      <c r="G2745" s="11">
        <v>-0.0015</v>
      </c>
      <c r="H2745" s="9">
        <f>MAX($F$2174:F2745)</f>
        <v>1.6454</v>
      </c>
      <c r="I2745" s="11">
        <f t="shared" si="68"/>
        <v>0.0128844050079008</v>
      </c>
      <c r="J2745" s="9"/>
      <c r="K2745" s="11"/>
      <c r="L2745" s="9">
        <f>MAX($F$2358:F2745)</f>
        <v>1.6454</v>
      </c>
      <c r="M2745" s="11">
        <f t="shared" si="69"/>
        <v>0.0128844050079008</v>
      </c>
      <c r="N2745" s="9" t="s">
        <v>789</v>
      </c>
    </row>
    <row r="2746" ht="25" customHeight="1" spans="1:14">
      <c r="A2746" s="9" t="s">
        <v>53</v>
      </c>
      <c r="B2746" s="9" t="s">
        <v>49</v>
      </c>
      <c r="C2746" s="10">
        <v>45763</v>
      </c>
      <c r="D2746" s="15">
        <v>1.6484</v>
      </c>
      <c r="E2746" s="15">
        <v>1.6484</v>
      </c>
      <c r="F2746" s="15">
        <v>1.6484</v>
      </c>
      <c r="G2746" s="11">
        <v>0.0149</v>
      </c>
      <c r="H2746" s="9">
        <f>MAX($F$2174:F2746)</f>
        <v>1.6484</v>
      </c>
      <c r="I2746" s="11">
        <f t="shared" si="68"/>
        <v>0</v>
      </c>
      <c r="J2746" s="9"/>
      <c r="K2746" s="11"/>
      <c r="L2746" s="9">
        <f>MAX($F$2358:F2746)</f>
        <v>1.6484</v>
      </c>
      <c r="M2746" s="11">
        <f t="shared" si="69"/>
        <v>0</v>
      </c>
      <c r="N2746" s="9" t="s">
        <v>789</v>
      </c>
    </row>
    <row r="2747" ht="25" customHeight="1" spans="1:14">
      <c r="A2747" s="9" t="s">
        <v>53</v>
      </c>
      <c r="B2747" s="9" t="s">
        <v>49</v>
      </c>
      <c r="C2747" s="10">
        <v>45764</v>
      </c>
      <c r="D2747" s="15">
        <v>1.6491</v>
      </c>
      <c r="E2747" s="15">
        <v>1.6491</v>
      </c>
      <c r="F2747" s="15">
        <v>1.6491</v>
      </c>
      <c r="G2747" s="11">
        <v>0.0004</v>
      </c>
      <c r="H2747" s="9">
        <f>MAX($F$2174:F2747)</f>
        <v>1.6491</v>
      </c>
      <c r="I2747" s="11">
        <f t="shared" si="68"/>
        <v>0</v>
      </c>
      <c r="J2747" s="9"/>
      <c r="K2747" s="11"/>
      <c r="L2747" s="9">
        <f>MAX($F$2358:F2747)</f>
        <v>1.6491</v>
      </c>
      <c r="M2747" s="11">
        <f t="shared" si="69"/>
        <v>0</v>
      </c>
      <c r="N2747" s="9" t="s">
        <v>789</v>
      </c>
    </row>
    <row r="2748" ht="25" customHeight="1" spans="1:14">
      <c r="A2748" s="9" t="s">
        <v>53</v>
      </c>
      <c r="B2748" s="9" t="s">
        <v>49</v>
      </c>
      <c r="C2748" s="10">
        <v>45765</v>
      </c>
      <c r="D2748" s="15">
        <v>1.6547</v>
      </c>
      <c r="E2748" s="15">
        <v>1.6547</v>
      </c>
      <c r="F2748" s="15">
        <v>1.6547</v>
      </c>
      <c r="G2748" s="11">
        <v>0.0034</v>
      </c>
      <c r="H2748" s="9">
        <f>MAX($F$2174:F2748)</f>
        <v>1.6547</v>
      </c>
      <c r="I2748" s="11">
        <f t="shared" si="68"/>
        <v>0</v>
      </c>
      <c r="J2748" s="9"/>
      <c r="K2748" s="11"/>
      <c r="L2748" s="9">
        <f>MAX($F$2358:F2748)</f>
        <v>1.6547</v>
      </c>
      <c r="M2748" s="11">
        <f t="shared" si="69"/>
        <v>0</v>
      </c>
      <c r="N2748" s="9" t="s">
        <v>789</v>
      </c>
    </row>
    <row r="2749" ht="25" customHeight="1" spans="1:14">
      <c r="A2749" s="9" t="s">
        <v>53</v>
      </c>
      <c r="B2749" s="9" t="s">
        <v>49</v>
      </c>
      <c r="C2749" s="10">
        <v>45768</v>
      </c>
      <c r="D2749" s="15">
        <v>1.6739</v>
      </c>
      <c r="E2749" s="15">
        <v>1.6739</v>
      </c>
      <c r="F2749" s="15">
        <v>1.6739</v>
      </c>
      <c r="G2749" s="11">
        <v>0.0116</v>
      </c>
      <c r="H2749" s="9">
        <f>MAX($F$2174:F2749)</f>
        <v>1.6739</v>
      </c>
      <c r="I2749" s="11">
        <f t="shared" si="68"/>
        <v>0</v>
      </c>
      <c r="J2749" s="9"/>
      <c r="K2749" s="11"/>
      <c r="L2749" s="9">
        <f>MAX($F$2358:F2749)</f>
        <v>1.6739</v>
      </c>
      <c r="M2749" s="11">
        <f t="shared" si="69"/>
        <v>0</v>
      </c>
      <c r="N2749" s="9" t="s">
        <v>789</v>
      </c>
    </row>
    <row r="2750" ht="25" customHeight="1" spans="1:14">
      <c r="A2750" s="9" t="s">
        <v>53</v>
      </c>
      <c r="B2750" s="9" t="s">
        <v>49</v>
      </c>
      <c r="C2750" s="10">
        <v>45769</v>
      </c>
      <c r="D2750" s="15">
        <v>1.6809</v>
      </c>
      <c r="E2750" s="15">
        <v>1.6809</v>
      </c>
      <c r="F2750" s="15">
        <v>1.6809</v>
      </c>
      <c r="G2750" s="11">
        <v>0.0042</v>
      </c>
      <c r="H2750" s="9">
        <f>MAX($F$2174:F2750)</f>
        <v>1.6809</v>
      </c>
      <c r="I2750" s="11">
        <f t="shared" si="68"/>
        <v>0</v>
      </c>
      <c r="J2750" s="9"/>
      <c r="K2750" s="11"/>
      <c r="L2750" s="9">
        <f>MAX($F$2358:F2750)</f>
        <v>1.6809</v>
      </c>
      <c r="M2750" s="11">
        <f t="shared" si="69"/>
        <v>0</v>
      </c>
      <c r="N2750" s="9" t="s">
        <v>789</v>
      </c>
    </row>
    <row r="2751" ht="25" customHeight="1" spans="1:14">
      <c r="A2751" s="9" t="s">
        <v>53</v>
      </c>
      <c r="B2751" s="9" t="s">
        <v>49</v>
      </c>
      <c r="C2751" s="10">
        <v>45770</v>
      </c>
      <c r="D2751" s="15">
        <v>1.6236</v>
      </c>
      <c r="E2751" s="15">
        <v>1.6236</v>
      </c>
      <c r="F2751" s="15">
        <v>1.6236</v>
      </c>
      <c r="G2751" s="11">
        <v>-0.0341</v>
      </c>
      <c r="H2751" s="9">
        <f>MAX($F$2174:F2751)</f>
        <v>1.6809</v>
      </c>
      <c r="I2751" s="11">
        <f t="shared" si="68"/>
        <v>0.0340888809566304</v>
      </c>
      <c r="J2751" s="9"/>
      <c r="K2751" s="11"/>
      <c r="L2751" s="9">
        <f>MAX($F$2358:F2751)</f>
        <v>1.6809</v>
      </c>
      <c r="M2751" s="11">
        <f t="shared" si="69"/>
        <v>0.0340888809566304</v>
      </c>
      <c r="N2751" s="9" t="s">
        <v>789</v>
      </c>
    </row>
    <row r="2752" ht="25" customHeight="1" spans="1:14">
      <c r="A2752" s="9" t="s">
        <v>53</v>
      </c>
      <c r="B2752" s="9" t="s">
        <v>49</v>
      </c>
      <c r="C2752" s="10">
        <v>45771</v>
      </c>
      <c r="D2752" s="15">
        <v>1.5889</v>
      </c>
      <c r="E2752" s="15">
        <v>1.5889</v>
      </c>
      <c r="F2752" s="15">
        <v>1.5889</v>
      </c>
      <c r="G2752" s="11">
        <v>-0.0214</v>
      </c>
      <c r="H2752" s="9">
        <f>MAX($F$2174:F2752)</f>
        <v>1.6809</v>
      </c>
      <c r="I2752" s="11">
        <f t="shared" si="68"/>
        <v>0.054732583734904</v>
      </c>
      <c r="J2752" s="9"/>
      <c r="K2752" s="11"/>
      <c r="L2752" s="9">
        <f>MAX($F$2358:F2752)</f>
        <v>1.6809</v>
      </c>
      <c r="M2752" s="11">
        <f t="shared" si="69"/>
        <v>0.054732583734904</v>
      </c>
      <c r="N2752" s="9" t="s">
        <v>789</v>
      </c>
    </row>
    <row r="2753" ht="25" customHeight="1" spans="1:14">
      <c r="A2753" s="9" t="s">
        <v>53</v>
      </c>
      <c r="B2753" s="9" t="s">
        <v>49</v>
      </c>
      <c r="C2753" s="10">
        <v>45772</v>
      </c>
      <c r="D2753" s="15">
        <v>1.5907</v>
      </c>
      <c r="E2753" s="15">
        <v>1.5907</v>
      </c>
      <c r="F2753" s="15">
        <v>1.5907</v>
      </c>
      <c r="G2753" s="11">
        <v>0.0011</v>
      </c>
      <c r="H2753" s="9">
        <f>MAX($F$2174:F2753)</f>
        <v>1.6809</v>
      </c>
      <c r="I2753" s="11">
        <f t="shared" si="68"/>
        <v>0.0536617288357428</v>
      </c>
      <c r="J2753" s="9"/>
      <c r="K2753" s="11"/>
      <c r="L2753" s="9">
        <f>MAX($F$2358:F2753)</f>
        <v>1.6809</v>
      </c>
      <c r="M2753" s="11">
        <f t="shared" si="69"/>
        <v>0.0536617288357428</v>
      </c>
      <c r="N2753" s="9" t="s">
        <v>789</v>
      </c>
    </row>
    <row r="2754" ht="25" customHeight="1" spans="1:14">
      <c r="A2754" s="9" t="s">
        <v>53</v>
      </c>
      <c r="B2754" s="9" t="s">
        <v>49</v>
      </c>
      <c r="C2754" s="10">
        <v>45775</v>
      </c>
      <c r="D2754" s="15">
        <v>1.591</v>
      </c>
      <c r="E2754" s="15">
        <v>1.591</v>
      </c>
      <c r="F2754" s="15">
        <v>1.591</v>
      </c>
      <c r="G2754" s="11">
        <v>0.0002</v>
      </c>
      <c r="H2754" s="9">
        <f>MAX($F$2174:F2754)</f>
        <v>1.6809</v>
      </c>
      <c r="I2754" s="11">
        <f t="shared" ref="I2754:I2817" si="70">1-F2754/H2754</f>
        <v>0.053483253019216</v>
      </c>
      <c r="J2754" s="9"/>
      <c r="K2754" s="11"/>
      <c r="L2754" s="9">
        <f>MAX($F$2358:F2754)</f>
        <v>1.6809</v>
      </c>
      <c r="M2754" s="11">
        <f t="shared" si="69"/>
        <v>0.053483253019216</v>
      </c>
      <c r="N2754" s="9" t="s">
        <v>789</v>
      </c>
    </row>
    <row r="2755" ht="25" customHeight="1" spans="1:14">
      <c r="A2755" s="9" t="s">
        <v>53</v>
      </c>
      <c r="B2755" s="9" t="s">
        <v>49</v>
      </c>
      <c r="C2755" s="10">
        <v>45776</v>
      </c>
      <c r="D2755" s="15">
        <v>1.6135</v>
      </c>
      <c r="E2755" s="15">
        <v>1.6135</v>
      </c>
      <c r="F2755" s="15">
        <v>1.6135</v>
      </c>
      <c r="G2755" s="11">
        <v>0.0141</v>
      </c>
      <c r="H2755" s="9">
        <f>MAX($F$2174:F2755)</f>
        <v>1.6809</v>
      </c>
      <c r="I2755" s="11">
        <f t="shared" si="70"/>
        <v>0.0400975667797014</v>
      </c>
      <c r="J2755" s="9"/>
      <c r="K2755" s="11"/>
      <c r="L2755" s="9">
        <f>MAX($F$2358:F2755)</f>
        <v>1.6809</v>
      </c>
      <c r="M2755" s="11">
        <f t="shared" si="69"/>
        <v>0.0400975667797014</v>
      </c>
      <c r="N2755" s="9" t="s">
        <v>789</v>
      </c>
    </row>
    <row r="2756" ht="25" customHeight="1" spans="1:14">
      <c r="A2756" s="9" t="s">
        <v>53</v>
      </c>
      <c r="B2756" s="9" t="s">
        <v>49</v>
      </c>
      <c r="C2756" s="10">
        <v>45777</v>
      </c>
      <c r="D2756" s="15">
        <v>1.6244</v>
      </c>
      <c r="E2756" s="15">
        <v>1.6244</v>
      </c>
      <c r="F2756" s="15">
        <v>1.6244</v>
      </c>
      <c r="G2756" s="11">
        <v>0.0068</v>
      </c>
      <c r="H2756" s="9">
        <f>MAX($F$2174:F2756)</f>
        <v>1.6809</v>
      </c>
      <c r="I2756" s="11">
        <f t="shared" si="70"/>
        <v>0.0336129454458921</v>
      </c>
      <c r="J2756" s="9"/>
      <c r="K2756" s="11"/>
      <c r="L2756" s="9">
        <f>MAX($F$2358:F2756)</f>
        <v>1.6809</v>
      </c>
      <c r="M2756" s="11">
        <f t="shared" si="69"/>
        <v>0.0336129454458921</v>
      </c>
      <c r="N2756" s="9" t="s">
        <v>789</v>
      </c>
    </row>
    <row r="2757" ht="25" customHeight="1" spans="1:14">
      <c r="A2757" s="9" t="s">
        <v>53</v>
      </c>
      <c r="B2757" s="9" t="s">
        <v>49</v>
      </c>
      <c r="C2757" s="10">
        <v>45783</v>
      </c>
      <c r="D2757" s="15">
        <v>1.6539</v>
      </c>
      <c r="E2757" s="15">
        <v>1.6539</v>
      </c>
      <c r="F2757" s="15">
        <v>1.6539</v>
      </c>
      <c r="G2757" s="11">
        <v>0.0182</v>
      </c>
      <c r="H2757" s="9">
        <f>MAX($F$2174:F2757)</f>
        <v>1.6809</v>
      </c>
      <c r="I2757" s="11">
        <f t="shared" si="70"/>
        <v>0.0160628234874175</v>
      </c>
      <c r="J2757" s="9"/>
      <c r="K2757" s="11"/>
      <c r="L2757" s="9">
        <f>MAX($F$2358:F2757)</f>
        <v>1.6809</v>
      </c>
      <c r="M2757" s="11">
        <f t="shared" si="69"/>
        <v>0.0160628234874175</v>
      </c>
      <c r="N2757" s="9" t="s">
        <v>789</v>
      </c>
    </row>
    <row r="2758" ht="25" customHeight="1" spans="1:14">
      <c r="A2758" s="9" t="s">
        <v>53</v>
      </c>
      <c r="B2758" s="9" t="s">
        <v>49</v>
      </c>
      <c r="C2758" s="10">
        <v>45784</v>
      </c>
      <c r="D2758" s="15">
        <v>1.637</v>
      </c>
      <c r="E2758" s="15">
        <v>1.637</v>
      </c>
      <c r="F2758" s="15">
        <v>1.637</v>
      </c>
      <c r="G2758" s="11">
        <v>-0.0102</v>
      </c>
      <c r="H2758" s="9">
        <f>MAX($F$2174:F2758)</f>
        <v>1.6809</v>
      </c>
      <c r="I2758" s="11">
        <f t="shared" si="70"/>
        <v>0.026116961151764</v>
      </c>
      <c r="J2758" s="9"/>
      <c r="K2758" s="11"/>
      <c r="L2758" s="9">
        <f>MAX($F$2358:F2758)</f>
        <v>1.6809</v>
      </c>
      <c r="M2758" s="11">
        <f t="shared" si="69"/>
        <v>0.026116961151764</v>
      </c>
      <c r="N2758" s="9" t="s">
        <v>789</v>
      </c>
    </row>
    <row r="2759" ht="25" customHeight="1" spans="1:14">
      <c r="A2759" s="9" t="s">
        <v>53</v>
      </c>
      <c r="B2759" s="9" t="s">
        <v>49</v>
      </c>
      <c r="C2759" s="10">
        <v>45785</v>
      </c>
      <c r="D2759" s="15">
        <v>1.6463</v>
      </c>
      <c r="E2759" s="15">
        <v>1.6463</v>
      </c>
      <c r="F2759" s="15">
        <v>1.6463</v>
      </c>
      <c r="G2759" s="11">
        <v>0.0057</v>
      </c>
      <c r="H2759" s="9">
        <f>MAX($F$2174:F2759)</f>
        <v>1.6809</v>
      </c>
      <c r="I2759" s="11">
        <f t="shared" si="70"/>
        <v>0.0205842108394312</v>
      </c>
      <c r="J2759" s="9"/>
      <c r="K2759" s="11"/>
      <c r="L2759" s="9">
        <f>MAX($F$2358:F2759)</f>
        <v>1.6809</v>
      </c>
      <c r="M2759" s="11">
        <f t="shared" si="69"/>
        <v>0.0205842108394312</v>
      </c>
      <c r="N2759" s="9" t="s">
        <v>789</v>
      </c>
    </row>
    <row r="2760" ht="25" customHeight="1" spans="1:14">
      <c r="A2760" s="9" t="s">
        <v>53</v>
      </c>
      <c r="B2760" s="9" t="s">
        <v>49</v>
      </c>
      <c r="C2760" s="10">
        <v>45786</v>
      </c>
      <c r="D2760" s="15">
        <v>1.6363</v>
      </c>
      <c r="E2760" s="15">
        <v>1.6363</v>
      </c>
      <c r="F2760" s="15">
        <v>1.6363</v>
      </c>
      <c r="G2760" s="11">
        <v>-0.0061</v>
      </c>
      <c r="H2760" s="9">
        <f>MAX($F$2174:F2760)</f>
        <v>1.6809</v>
      </c>
      <c r="I2760" s="11">
        <f t="shared" si="70"/>
        <v>0.0265334047236599</v>
      </c>
      <c r="J2760" s="9"/>
      <c r="K2760" s="11"/>
      <c r="L2760" s="9">
        <f>MAX($F$2358:F2760)</f>
        <v>1.6809</v>
      </c>
      <c r="M2760" s="11">
        <f t="shared" si="69"/>
        <v>0.0265334047236599</v>
      </c>
      <c r="N2760" s="9" t="s">
        <v>789</v>
      </c>
    </row>
    <row r="2761" ht="25" customHeight="1" spans="1:14">
      <c r="A2761" s="9" t="s">
        <v>53</v>
      </c>
      <c r="B2761" s="9" t="s">
        <v>49</v>
      </c>
      <c r="C2761" s="10">
        <v>45789</v>
      </c>
      <c r="D2761" s="15">
        <v>1.6086</v>
      </c>
      <c r="E2761" s="15">
        <v>1.6086</v>
      </c>
      <c r="F2761" s="15">
        <v>1.6086</v>
      </c>
      <c r="G2761" s="11">
        <v>-0.0169</v>
      </c>
      <c r="H2761" s="9">
        <f>MAX($F$2174:F2761)</f>
        <v>1.6809</v>
      </c>
      <c r="I2761" s="11">
        <f t="shared" si="70"/>
        <v>0.0430126717829734</v>
      </c>
      <c r="J2761" s="9"/>
      <c r="K2761" s="11"/>
      <c r="L2761" s="9">
        <f>MAX($F$2358:F2761)</f>
        <v>1.6809</v>
      </c>
      <c r="M2761" s="11">
        <f t="shared" si="69"/>
        <v>0.0430126717829734</v>
      </c>
      <c r="N2761" s="9" t="s">
        <v>789</v>
      </c>
    </row>
    <row r="2762" ht="25" customHeight="1" spans="1:14">
      <c r="A2762" s="9" t="s">
        <v>53</v>
      </c>
      <c r="B2762" s="9" t="s">
        <v>49</v>
      </c>
      <c r="C2762" s="10">
        <v>45790</v>
      </c>
      <c r="D2762" s="15">
        <v>1.6063</v>
      </c>
      <c r="E2762" s="15">
        <v>1.6063</v>
      </c>
      <c r="F2762" s="15">
        <v>1.6063</v>
      </c>
      <c r="G2762" s="11">
        <v>-0.0014</v>
      </c>
      <c r="H2762" s="9">
        <f>MAX($F$2174:F2762)</f>
        <v>1.6809</v>
      </c>
      <c r="I2762" s="11">
        <f t="shared" si="70"/>
        <v>0.044380986376346</v>
      </c>
      <c r="J2762" s="9"/>
      <c r="K2762" s="11"/>
      <c r="L2762" s="9">
        <f>MAX($F$2358:F2762)</f>
        <v>1.6809</v>
      </c>
      <c r="M2762" s="11">
        <f t="shared" si="69"/>
        <v>0.044380986376346</v>
      </c>
      <c r="N2762" s="9" t="s">
        <v>789</v>
      </c>
    </row>
    <row r="2763" ht="25" customHeight="1" spans="1:14">
      <c r="A2763" s="9" t="s">
        <v>53</v>
      </c>
      <c r="B2763" s="9" t="s">
        <v>49</v>
      </c>
      <c r="C2763" s="10">
        <v>45791</v>
      </c>
      <c r="D2763" s="15">
        <v>1.5813</v>
      </c>
      <c r="E2763" s="15">
        <v>1.5813</v>
      </c>
      <c r="F2763" s="15">
        <v>1.5813</v>
      </c>
      <c r="G2763" s="11">
        <v>-0.0156</v>
      </c>
      <c r="H2763" s="9">
        <f>MAX($F$2174:F2763)</f>
        <v>1.6809</v>
      </c>
      <c r="I2763" s="11">
        <f t="shared" si="70"/>
        <v>0.0592539710869178</v>
      </c>
      <c r="J2763" s="9"/>
      <c r="K2763" s="11"/>
      <c r="L2763" s="9">
        <f>MAX($F$2358:F2763)</f>
        <v>1.6809</v>
      </c>
      <c r="M2763" s="11">
        <f t="shared" si="69"/>
        <v>0.0592539710869178</v>
      </c>
      <c r="N2763" s="9" t="s">
        <v>789</v>
      </c>
    </row>
    <row r="2764" ht="25" customHeight="1" spans="1:14">
      <c r="A2764" s="9" t="s">
        <v>53</v>
      </c>
      <c r="B2764" s="9" t="s">
        <v>49</v>
      </c>
      <c r="C2764" s="10">
        <v>45792</v>
      </c>
      <c r="D2764" s="15">
        <v>1.5826</v>
      </c>
      <c r="E2764" s="15">
        <v>1.5826</v>
      </c>
      <c r="F2764" s="15">
        <v>1.5826</v>
      </c>
      <c r="G2764" s="11">
        <v>0.0008</v>
      </c>
      <c r="H2764" s="9">
        <f>MAX($F$2174:F2764)</f>
        <v>1.6809</v>
      </c>
      <c r="I2764" s="11">
        <f t="shared" si="70"/>
        <v>0.058480575881968</v>
      </c>
      <c r="J2764" s="9"/>
      <c r="K2764" s="11"/>
      <c r="L2764" s="9">
        <f>MAX($F$2358:F2764)</f>
        <v>1.6809</v>
      </c>
      <c r="M2764" s="11">
        <f t="shared" si="69"/>
        <v>0.058480575881968</v>
      </c>
      <c r="N2764" s="9" t="s">
        <v>789</v>
      </c>
    </row>
    <row r="2765" ht="25" customHeight="1" spans="1:14">
      <c r="A2765" s="9" t="s">
        <v>53</v>
      </c>
      <c r="B2765" s="9" t="s">
        <v>49</v>
      </c>
      <c r="C2765" s="10">
        <v>45793</v>
      </c>
      <c r="D2765" s="15">
        <v>1.5868</v>
      </c>
      <c r="E2765" s="15">
        <v>1.5868</v>
      </c>
      <c r="F2765" s="15">
        <v>1.5868</v>
      </c>
      <c r="G2765" s="11">
        <v>0.0027</v>
      </c>
      <c r="H2765" s="9">
        <f>MAX($F$2174:F2765)</f>
        <v>1.6809</v>
      </c>
      <c r="I2765" s="11">
        <f t="shared" si="70"/>
        <v>0.055981914450592</v>
      </c>
      <c r="J2765" s="9"/>
      <c r="K2765" s="11"/>
      <c r="L2765" s="9">
        <f>MAX($F$2358:F2765)</f>
        <v>1.6809</v>
      </c>
      <c r="M2765" s="11">
        <f t="shared" si="69"/>
        <v>0.055981914450592</v>
      </c>
      <c r="N2765" s="9" t="s">
        <v>789</v>
      </c>
    </row>
    <row r="2766" ht="25" customHeight="1" spans="1:14">
      <c r="A2766" s="9" t="s">
        <v>53</v>
      </c>
      <c r="B2766" s="9" t="s">
        <v>49</v>
      </c>
      <c r="C2766" s="10">
        <v>45796</v>
      </c>
      <c r="D2766" s="15">
        <v>1.5871</v>
      </c>
      <c r="E2766" s="15">
        <v>1.5871</v>
      </c>
      <c r="F2766" s="15">
        <v>1.5871</v>
      </c>
      <c r="G2766" s="11">
        <v>0.0002</v>
      </c>
      <c r="H2766" s="9">
        <f>MAX($F$2174:F2766)</f>
        <v>1.6809</v>
      </c>
      <c r="I2766" s="11">
        <f t="shared" si="70"/>
        <v>0.0558034386340651</v>
      </c>
      <c r="J2766" s="9"/>
      <c r="K2766" s="11"/>
      <c r="L2766" s="9">
        <f>MAX($F$2358:F2766)</f>
        <v>1.6809</v>
      </c>
      <c r="M2766" s="11">
        <f t="shared" si="69"/>
        <v>0.0558034386340651</v>
      </c>
      <c r="N2766" s="9" t="s">
        <v>789</v>
      </c>
    </row>
    <row r="2767" ht="25" customHeight="1" spans="1:14">
      <c r="A2767" s="9" t="s">
        <v>53</v>
      </c>
      <c r="B2767" s="9" t="s">
        <v>49</v>
      </c>
      <c r="C2767" s="10">
        <v>45797</v>
      </c>
      <c r="D2767" s="15">
        <v>1.5839</v>
      </c>
      <c r="E2767" s="15">
        <v>1.5839</v>
      </c>
      <c r="F2767" s="15">
        <v>1.5839</v>
      </c>
      <c r="G2767" s="11">
        <v>-0.002</v>
      </c>
      <c r="H2767" s="9">
        <f>MAX($F$2174:F2767)</f>
        <v>1.6809</v>
      </c>
      <c r="I2767" s="11">
        <f t="shared" si="70"/>
        <v>0.0577071806770183</v>
      </c>
      <c r="J2767" s="9"/>
      <c r="K2767" s="11"/>
      <c r="L2767" s="9">
        <f>MAX($F$2358:F2767)</f>
        <v>1.6809</v>
      </c>
      <c r="M2767" s="11">
        <f t="shared" si="69"/>
        <v>0.0577071806770183</v>
      </c>
      <c r="N2767" s="9" t="s">
        <v>789</v>
      </c>
    </row>
    <row r="2768" ht="25" customHeight="1" spans="1:14">
      <c r="A2768" s="9" t="s">
        <v>53</v>
      </c>
      <c r="B2768" s="9" t="s">
        <v>49</v>
      </c>
      <c r="C2768" s="10">
        <v>45798</v>
      </c>
      <c r="D2768" s="15">
        <v>1.5898</v>
      </c>
      <c r="E2768" s="15">
        <v>1.5898</v>
      </c>
      <c r="F2768" s="15">
        <v>1.5898</v>
      </c>
      <c r="G2768" s="11">
        <v>0.0037</v>
      </c>
      <c r="H2768" s="9">
        <f>MAX($F$2174:F2768)</f>
        <v>1.6809</v>
      </c>
      <c r="I2768" s="11">
        <f t="shared" si="70"/>
        <v>0.0541971562853233</v>
      </c>
      <c r="J2768" s="9"/>
      <c r="K2768" s="11"/>
      <c r="L2768" s="9">
        <f>MAX($F$2358:F2768)</f>
        <v>1.6809</v>
      </c>
      <c r="M2768" s="11">
        <f t="shared" si="69"/>
        <v>0.0541971562853233</v>
      </c>
      <c r="N2768" s="9" t="s">
        <v>789</v>
      </c>
    </row>
    <row r="2769" ht="25" customHeight="1" spans="1:14">
      <c r="A2769" s="9" t="s">
        <v>53</v>
      </c>
      <c r="B2769" s="9" t="s">
        <v>49</v>
      </c>
      <c r="C2769" s="10">
        <v>45799</v>
      </c>
      <c r="D2769" s="15">
        <v>1.5919</v>
      </c>
      <c r="E2769" s="15">
        <v>1.5919</v>
      </c>
      <c r="F2769" s="15">
        <v>1.5919</v>
      </c>
      <c r="G2769" s="11">
        <v>0.0013</v>
      </c>
      <c r="H2769" s="9">
        <f>MAX($F$2174:F2769)</f>
        <v>1.6809</v>
      </c>
      <c r="I2769" s="11">
        <f t="shared" si="70"/>
        <v>0.0529478255696353</v>
      </c>
      <c r="J2769" s="9"/>
      <c r="K2769" s="11"/>
      <c r="L2769" s="9">
        <f>MAX($F$2358:F2769)</f>
        <v>1.6809</v>
      </c>
      <c r="M2769" s="11">
        <f t="shared" si="69"/>
        <v>0.0529478255696353</v>
      </c>
      <c r="N2769" s="9" t="s">
        <v>789</v>
      </c>
    </row>
    <row r="2770" ht="25" customHeight="1" spans="1:14">
      <c r="A2770" s="9" t="s">
        <v>53</v>
      </c>
      <c r="B2770" s="9" t="s">
        <v>49</v>
      </c>
      <c r="C2770" s="10">
        <v>45800</v>
      </c>
      <c r="D2770" s="15">
        <v>1.5957</v>
      </c>
      <c r="E2770" s="15">
        <v>1.5957</v>
      </c>
      <c r="F2770" s="15">
        <v>1.5957</v>
      </c>
      <c r="G2770" s="11">
        <v>0.0024</v>
      </c>
      <c r="H2770" s="9">
        <f>MAX($F$2174:F2770)</f>
        <v>1.6809</v>
      </c>
      <c r="I2770" s="11">
        <f t="shared" si="70"/>
        <v>0.0506871318936285</v>
      </c>
      <c r="J2770" s="9"/>
      <c r="K2770" s="11"/>
      <c r="L2770" s="9">
        <f>MAX($F$2358:F2770)</f>
        <v>1.6809</v>
      </c>
      <c r="M2770" s="11">
        <f t="shared" si="69"/>
        <v>0.0506871318936285</v>
      </c>
      <c r="N2770" s="9" t="s">
        <v>789</v>
      </c>
    </row>
    <row r="2771" ht="25" customHeight="1" spans="1:14">
      <c r="A2771" s="9" t="s">
        <v>53</v>
      </c>
      <c r="B2771" s="9" t="s">
        <v>49</v>
      </c>
      <c r="C2771" s="10">
        <v>45803</v>
      </c>
      <c r="D2771" s="15">
        <v>1.5982</v>
      </c>
      <c r="E2771" s="15">
        <v>1.5982</v>
      </c>
      <c r="F2771" s="15">
        <v>1.5982</v>
      </c>
      <c r="G2771" s="11">
        <v>0.0016</v>
      </c>
      <c r="H2771" s="9">
        <f>MAX($F$2174:F2771)</f>
        <v>1.6809</v>
      </c>
      <c r="I2771" s="11">
        <f t="shared" si="70"/>
        <v>0.0491998334225713</v>
      </c>
      <c r="J2771" s="9"/>
      <c r="K2771" s="11"/>
      <c r="L2771" s="9">
        <f>MAX($F$2358:F2771)</f>
        <v>1.6809</v>
      </c>
      <c r="M2771" s="11">
        <f t="shared" si="69"/>
        <v>0.0491998334225713</v>
      </c>
      <c r="N2771" s="9" t="s">
        <v>789</v>
      </c>
    </row>
    <row r="2772" ht="25" customHeight="1" spans="1:14">
      <c r="A2772" s="9" t="s">
        <v>53</v>
      </c>
      <c r="B2772" s="9" t="s">
        <v>49</v>
      </c>
      <c r="C2772" s="10">
        <v>45804</v>
      </c>
      <c r="D2772" s="15">
        <v>1.6018</v>
      </c>
      <c r="E2772" s="15">
        <v>1.6018</v>
      </c>
      <c r="F2772" s="15">
        <v>1.6018</v>
      </c>
      <c r="G2772" s="11">
        <v>0.0023</v>
      </c>
      <c r="H2772" s="9">
        <f>MAX($F$2174:F2772)</f>
        <v>1.6809</v>
      </c>
      <c r="I2772" s="11">
        <f t="shared" si="70"/>
        <v>0.047058123624249</v>
      </c>
      <c r="J2772" s="9"/>
      <c r="K2772" s="11"/>
      <c r="L2772" s="9">
        <f>MAX($F$2358:F2772)</f>
        <v>1.6809</v>
      </c>
      <c r="M2772" s="11">
        <f t="shared" si="69"/>
        <v>0.047058123624249</v>
      </c>
      <c r="N2772" s="9" t="s">
        <v>789</v>
      </c>
    </row>
    <row r="2773" ht="25" customHeight="1" spans="1:14">
      <c r="A2773" s="9" t="s">
        <v>53</v>
      </c>
      <c r="B2773" s="9" t="s">
        <v>49</v>
      </c>
      <c r="C2773" s="10">
        <v>45805</v>
      </c>
      <c r="D2773" s="15">
        <v>1.6144</v>
      </c>
      <c r="E2773" s="15">
        <v>1.6144</v>
      </c>
      <c r="F2773" s="15">
        <v>1.6144</v>
      </c>
      <c r="G2773" s="11">
        <v>0.0079</v>
      </c>
      <c r="H2773" s="9">
        <f>MAX($F$2174:F2773)</f>
        <v>1.6809</v>
      </c>
      <c r="I2773" s="11">
        <f t="shared" si="70"/>
        <v>0.0395621393301208</v>
      </c>
      <c r="J2773" s="9"/>
      <c r="K2773" s="11"/>
      <c r="L2773" s="9">
        <f>MAX($F$2358:F2773)</f>
        <v>1.6809</v>
      </c>
      <c r="M2773" s="11">
        <f t="shared" si="69"/>
        <v>0.0395621393301208</v>
      </c>
      <c r="N2773" s="9" t="s">
        <v>789</v>
      </c>
    </row>
    <row r="2774" ht="25" customHeight="1" spans="1:14">
      <c r="A2774" s="9" t="s">
        <v>53</v>
      </c>
      <c r="B2774" s="9" t="s">
        <v>49</v>
      </c>
      <c r="C2774" s="10">
        <v>45806</v>
      </c>
      <c r="D2774" s="15">
        <v>1.6188</v>
      </c>
      <c r="E2774" s="15">
        <v>1.6188</v>
      </c>
      <c r="F2774" s="15">
        <v>1.6188</v>
      </c>
      <c r="G2774" s="11">
        <v>0.0027</v>
      </c>
      <c r="H2774" s="9">
        <f>MAX($F$2174:F2774)</f>
        <v>1.6809</v>
      </c>
      <c r="I2774" s="11">
        <f t="shared" si="70"/>
        <v>0.0369444940210601</v>
      </c>
      <c r="J2774" s="9"/>
      <c r="K2774" s="11"/>
      <c r="L2774" s="9">
        <f>MAX($F$2358:F2774)</f>
        <v>1.6809</v>
      </c>
      <c r="M2774" s="11">
        <f t="shared" si="69"/>
        <v>0.0369444940210601</v>
      </c>
      <c r="N2774" s="9" t="s">
        <v>789</v>
      </c>
    </row>
    <row r="2775" ht="25" customHeight="1" spans="1:14">
      <c r="A2775" s="9" t="s">
        <v>53</v>
      </c>
      <c r="B2775" s="9" t="s">
        <v>49</v>
      </c>
      <c r="C2775" s="10">
        <v>45807</v>
      </c>
      <c r="D2775" s="15">
        <v>1.632</v>
      </c>
      <c r="E2775" s="15">
        <v>1.632</v>
      </c>
      <c r="F2775" s="15">
        <v>1.632</v>
      </c>
      <c r="G2775" s="11">
        <v>0.0082</v>
      </c>
      <c r="H2775" s="9">
        <f>MAX($F$2174:F2775)</f>
        <v>1.6809</v>
      </c>
      <c r="I2775" s="11">
        <f t="shared" si="70"/>
        <v>0.0290915580938784</v>
      </c>
      <c r="J2775" s="9"/>
      <c r="K2775" s="11"/>
      <c r="L2775" s="9">
        <f>MAX($F$2358:F2775)</f>
        <v>1.6809</v>
      </c>
      <c r="M2775" s="11">
        <f t="shared" si="69"/>
        <v>0.0290915580938784</v>
      </c>
      <c r="N2775" s="9" t="s">
        <v>789</v>
      </c>
    </row>
    <row r="2776" ht="25" customHeight="1" spans="1:14">
      <c r="A2776" s="9" t="s">
        <v>53</v>
      </c>
      <c r="B2776" s="9" t="s">
        <v>49</v>
      </c>
      <c r="C2776" s="10">
        <v>45811</v>
      </c>
      <c r="D2776" s="15">
        <v>1.6146</v>
      </c>
      <c r="E2776" s="15">
        <v>1.6146</v>
      </c>
      <c r="F2776" s="15">
        <v>1.6146</v>
      </c>
      <c r="G2776" s="11">
        <v>-0.0107</v>
      </c>
      <c r="H2776" s="9">
        <f>MAX($F$2174:F2776)</f>
        <v>1.6809</v>
      </c>
      <c r="I2776" s="11">
        <f t="shared" si="70"/>
        <v>0.0394431554524363</v>
      </c>
      <c r="J2776" s="9"/>
      <c r="K2776" s="11"/>
      <c r="L2776" s="9">
        <f>MAX($F$2358:F2776)</f>
        <v>1.6809</v>
      </c>
      <c r="M2776" s="11">
        <f t="shared" si="69"/>
        <v>0.0394431554524363</v>
      </c>
      <c r="N2776" s="9" t="s">
        <v>789</v>
      </c>
    </row>
    <row r="2777" ht="25" customHeight="1" spans="1:14">
      <c r="A2777" s="9" t="s">
        <v>53</v>
      </c>
      <c r="B2777" s="9" t="s">
        <v>49</v>
      </c>
      <c r="C2777" s="10">
        <v>45812</v>
      </c>
      <c r="D2777" s="15">
        <v>1.6066</v>
      </c>
      <c r="E2777" s="15">
        <v>1.6066</v>
      </c>
      <c r="F2777" s="15">
        <v>1.6066</v>
      </c>
      <c r="G2777" s="11">
        <v>-0.005</v>
      </c>
      <c r="H2777" s="9">
        <f>MAX($F$2174:F2777)</f>
        <v>1.6809</v>
      </c>
      <c r="I2777" s="11">
        <f t="shared" si="70"/>
        <v>0.0442025105598192</v>
      </c>
      <c r="J2777" s="9"/>
      <c r="K2777" s="11"/>
      <c r="L2777" s="9">
        <f>MAX($F$2358:F2777)</f>
        <v>1.6809</v>
      </c>
      <c r="M2777" s="11">
        <f t="shared" si="69"/>
        <v>0.0442025105598192</v>
      </c>
      <c r="N2777" s="9" t="s">
        <v>789</v>
      </c>
    </row>
    <row r="2778" ht="25" customHeight="1" spans="1:14">
      <c r="A2778" s="9" t="s">
        <v>53</v>
      </c>
      <c r="B2778" s="9" t="s">
        <v>49</v>
      </c>
      <c r="C2778" s="10">
        <v>45813</v>
      </c>
      <c r="D2778" s="15">
        <v>1.6189</v>
      </c>
      <c r="E2778" s="15">
        <v>1.6189</v>
      </c>
      <c r="F2778" s="15">
        <v>1.6189</v>
      </c>
      <c r="G2778" s="11">
        <v>0.0077</v>
      </c>
      <c r="H2778" s="9">
        <f>MAX($F$2174:F2778)</f>
        <v>1.6809</v>
      </c>
      <c r="I2778" s="11">
        <f t="shared" si="70"/>
        <v>0.0368850020822179</v>
      </c>
      <c r="J2778" s="9"/>
      <c r="K2778" s="11"/>
      <c r="L2778" s="9">
        <f>MAX($F$2358:F2778)</f>
        <v>1.6809</v>
      </c>
      <c r="M2778" s="11">
        <f t="shared" si="69"/>
        <v>0.0368850020822179</v>
      </c>
      <c r="N2778" s="9" t="s">
        <v>789</v>
      </c>
    </row>
    <row r="2779" ht="25" customHeight="1" spans="1:14">
      <c r="A2779" s="9" t="s">
        <v>53</v>
      </c>
      <c r="B2779" s="9" t="s">
        <v>49</v>
      </c>
      <c r="C2779" s="10">
        <v>45814</v>
      </c>
      <c r="D2779" s="15">
        <v>1.6292</v>
      </c>
      <c r="E2779" s="15">
        <v>1.6292</v>
      </c>
      <c r="F2779" s="15">
        <v>1.6292</v>
      </c>
      <c r="G2779" s="11">
        <v>0.0064</v>
      </c>
      <c r="H2779" s="9">
        <f>MAX($F$2174:F2779)</f>
        <v>1.6809</v>
      </c>
      <c r="I2779" s="11">
        <f t="shared" si="70"/>
        <v>0.0307573323814624</v>
      </c>
      <c r="J2779" s="9"/>
      <c r="K2779" s="11"/>
      <c r="L2779" s="9">
        <f>MAX($F$2358:F2779)</f>
        <v>1.6809</v>
      </c>
      <c r="M2779" s="11">
        <f t="shared" si="69"/>
        <v>0.0307573323814624</v>
      </c>
      <c r="N2779" s="9" t="s">
        <v>789</v>
      </c>
    </row>
    <row r="2780" ht="25" customHeight="1" spans="1:14">
      <c r="A2780" s="9" t="s">
        <v>53</v>
      </c>
      <c r="B2780" s="9" t="s">
        <v>49</v>
      </c>
      <c r="C2780" s="10">
        <v>45817</v>
      </c>
      <c r="D2780" s="15">
        <v>1.6222</v>
      </c>
      <c r="E2780" s="15">
        <v>1.6222</v>
      </c>
      <c r="F2780" s="15">
        <v>1.6222</v>
      </c>
      <c r="G2780" s="11">
        <v>-0.0043</v>
      </c>
      <c r="H2780" s="9">
        <f>MAX($F$2174:F2780)</f>
        <v>1.6809</v>
      </c>
      <c r="I2780" s="11">
        <f t="shared" si="70"/>
        <v>0.0349217681004224</v>
      </c>
      <c r="J2780" s="9"/>
      <c r="K2780" s="11"/>
      <c r="L2780" s="9">
        <f>MAX($F$2358:F2780)</f>
        <v>1.6809</v>
      </c>
      <c r="M2780" s="11">
        <f t="shared" si="69"/>
        <v>0.0349217681004224</v>
      </c>
      <c r="N2780" s="9" t="s">
        <v>789</v>
      </c>
    </row>
    <row r="2781" ht="25" customHeight="1" spans="1:14">
      <c r="A2781" s="9" t="s">
        <v>53</v>
      </c>
      <c r="B2781" s="9" t="s">
        <v>49</v>
      </c>
      <c r="C2781" s="10">
        <v>45818</v>
      </c>
      <c r="D2781" s="15">
        <v>1.6153</v>
      </c>
      <c r="E2781" s="15">
        <v>1.6153</v>
      </c>
      <c r="F2781" s="15">
        <v>1.6153</v>
      </c>
      <c r="G2781" s="11">
        <v>-0.0043</v>
      </c>
      <c r="H2781" s="9">
        <f>MAX($F$2174:F2781)</f>
        <v>1.6809</v>
      </c>
      <c r="I2781" s="11">
        <f t="shared" si="70"/>
        <v>0.0390267118805403</v>
      </c>
      <c r="J2781" s="9"/>
      <c r="K2781" s="11"/>
      <c r="L2781" s="9">
        <f>MAX($F$2358:F2781)</f>
        <v>1.6809</v>
      </c>
      <c r="M2781" s="11">
        <f t="shared" si="69"/>
        <v>0.0390267118805403</v>
      </c>
      <c r="N2781" s="9" t="s">
        <v>789</v>
      </c>
    </row>
    <row r="2782" ht="25" customHeight="1" spans="1:14">
      <c r="A2782" s="9" t="s">
        <v>53</v>
      </c>
      <c r="B2782" s="9" t="s">
        <v>49</v>
      </c>
      <c r="C2782" s="10">
        <v>45819</v>
      </c>
      <c r="D2782" s="15">
        <v>1.6284</v>
      </c>
      <c r="E2782" s="15">
        <v>1.6284</v>
      </c>
      <c r="F2782" s="15">
        <v>1.6284</v>
      </c>
      <c r="G2782" s="11">
        <v>0.0081</v>
      </c>
      <c r="H2782" s="9">
        <f>MAX($F$2174:F2782)</f>
        <v>1.6809</v>
      </c>
      <c r="I2782" s="11">
        <f t="shared" si="70"/>
        <v>0.0312332678922006</v>
      </c>
      <c r="J2782" s="9"/>
      <c r="K2782" s="11"/>
      <c r="L2782" s="9">
        <f>MAX($F$2358:F2782)</f>
        <v>1.6809</v>
      </c>
      <c r="M2782" s="11">
        <f t="shared" si="69"/>
        <v>0.0312332678922006</v>
      </c>
      <c r="N2782" s="9" t="s">
        <v>789</v>
      </c>
    </row>
    <row r="2783" ht="25" customHeight="1" spans="1:14">
      <c r="A2783" s="9" t="s">
        <v>53</v>
      </c>
      <c r="B2783" s="9" t="s">
        <v>49</v>
      </c>
      <c r="C2783" s="10">
        <v>45820</v>
      </c>
      <c r="D2783" s="15">
        <v>1.6449</v>
      </c>
      <c r="E2783" s="15">
        <v>1.6449</v>
      </c>
      <c r="F2783" s="15">
        <v>1.6449</v>
      </c>
      <c r="G2783" s="11">
        <v>0.0101</v>
      </c>
      <c r="H2783" s="9">
        <f>MAX($F$2174:F2783)</f>
        <v>1.6809</v>
      </c>
      <c r="I2783" s="11">
        <f t="shared" si="70"/>
        <v>0.0214170979832233</v>
      </c>
      <c r="J2783" s="9"/>
      <c r="K2783" s="11"/>
      <c r="L2783" s="9">
        <f>MAX($F$2358:F2783)</f>
        <v>1.6809</v>
      </c>
      <c r="M2783" s="11">
        <f t="shared" si="69"/>
        <v>0.0214170979832233</v>
      </c>
      <c r="N2783" s="9" t="s">
        <v>789</v>
      </c>
    </row>
    <row r="2784" ht="25" customHeight="1" spans="1:14">
      <c r="A2784" s="9" t="s">
        <v>53</v>
      </c>
      <c r="B2784" s="9" t="s">
        <v>49</v>
      </c>
      <c r="C2784" s="10">
        <v>45821</v>
      </c>
      <c r="D2784" s="15">
        <v>1.6397</v>
      </c>
      <c r="E2784" s="15">
        <v>1.6397</v>
      </c>
      <c r="F2784" s="15">
        <v>1.6397</v>
      </c>
      <c r="G2784" s="11">
        <v>-0.0032</v>
      </c>
      <c r="H2784" s="9">
        <f>MAX($F$2174:F2784)</f>
        <v>1.6809</v>
      </c>
      <c r="I2784" s="11">
        <f t="shared" si="70"/>
        <v>0.0245106788030223</v>
      </c>
      <c r="J2784" s="9"/>
      <c r="K2784" s="11"/>
      <c r="L2784" s="9">
        <f>MAX($F$2358:F2784)</f>
        <v>1.6809</v>
      </c>
      <c r="M2784" s="11">
        <f t="shared" si="69"/>
        <v>0.0245106788030223</v>
      </c>
      <c r="N2784" s="9" t="s">
        <v>789</v>
      </c>
    </row>
    <row r="2785" ht="25" customHeight="1" spans="1:14">
      <c r="A2785" s="9" t="s">
        <v>53</v>
      </c>
      <c r="B2785" s="9" t="s">
        <v>49</v>
      </c>
      <c r="C2785" s="10">
        <v>45824</v>
      </c>
      <c r="D2785" s="15">
        <v>1.6392</v>
      </c>
      <c r="E2785" s="15">
        <v>1.6392</v>
      </c>
      <c r="F2785" s="15">
        <v>1.6392</v>
      </c>
      <c r="G2785" s="11">
        <v>-0.0003</v>
      </c>
      <c r="H2785" s="9">
        <f>MAX($F$2174:F2785)</f>
        <v>1.6809</v>
      </c>
      <c r="I2785" s="11">
        <f t="shared" si="70"/>
        <v>0.0248081384972336</v>
      </c>
      <c r="J2785" s="9"/>
      <c r="K2785" s="11"/>
      <c r="L2785" s="9">
        <f>MAX($F$2358:F2785)</f>
        <v>1.6809</v>
      </c>
      <c r="M2785" s="11">
        <f t="shared" si="69"/>
        <v>0.0248081384972336</v>
      </c>
      <c r="N2785" s="9" t="s">
        <v>789</v>
      </c>
    </row>
    <row r="2786" ht="25" customHeight="1" spans="1:14">
      <c r="A2786" s="9" t="s">
        <v>53</v>
      </c>
      <c r="B2786" s="9" t="s">
        <v>49</v>
      </c>
      <c r="C2786" s="10">
        <v>45825</v>
      </c>
      <c r="D2786" s="15">
        <v>1.6473</v>
      </c>
      <c r="E2786" s="15">
        <v>1.6473</v>
      </c>
      <c r="F2786" s="15">
        <v>1.6473</v>
      </c>
      <c r="G2786" s="11">
        <v>0.0049</v>
      </c>
      <c r="H2786" s="9">
        <f>MAX($F$2174:F2786)</f>
        <v>1.6809</v>
      </c>
      <c r="I2786" s="11">
        <f t="shared" si="70"/>
        <v>0.0199892914510085</v>
      </c>
      <c r="J2786" s="9"/>
      <c r="K2786" s="11"/>
      <c r="L2786" s="9">
        <f>MAX($F$2358:F2786)</f>
        <v>1.6809</v>
      </c>
      <c r="M2786" s="11">
        <f t="shared" si="69"/>
        <v>0.0199892914510085</v>
      </c>
      <c r="N2786" s="9" t="s">
        <v>789</v>
      </c>
    </row>
    <row r="2787" ht="25" customHeight="1" spans="1:14">
      <c r="A2787" s="9" t="s">
        <v>53</v>
      </c>
      <c r="B2787" s="9" t="s">
        <v>49</v>
      </c>
      <c r="C2787" s="10">
        <v>45826</v>
      </c>
      <c r="D2787" s="15">
        <v>1.6564</v>
      </c>
      <c r="E2787" s="15">
        <v>1.6564</v>
      </c>
      <c r="F2787" s="15">
        <v>1.6564</v>
      </c>
      <c r="G2787" s="11">
        <v>0.0055</v>
      </c>
      <c r="H2787" s="9">
        <f>MAX($F$2174:F2787)</f>
        <v>1.6809</v>
      </c>
      <c r="I2787" s="11">
        <f t="shared" si="70"/>
        <v>0.0145755250163603</v>
      </c>
      <c r="J2787" s="9"/>
      <c r="K2787" s="11"/>
      <c r="L2787" s="9">
        <f>MAX($F$2358:F2787)</f>
        <v>1.6809</v>
      </c>
      <c r="M2787" s="11">
        <f t="shared" si="69"/>
        <v>0.0145755250163603</v>
      </c>
      <c r="N2787" s="9" t="s">
        <v>789</v>
      </c>
    </row>
    <row r="2788" ht="25" customHeight="1" spans="1:14">
      <c r="A2788" s="9" t="s">
        <v>53</v>
      </c>
      <c r="B2788" s="9" t="s">
        <v>49</v>
      </c>
      <c r="C2788" s="10">
        <v>45827</v>
      </c>
      <c r="D2788" s="15">
        <v>1.6382</v>
      </c>
      <c r="E2788" s="15">
        <v>1.6382</v>
      </c>
      <c r="F2788" s="15">
        <v>1.6382</v>
      </c>
      <c r="G2788" s="11">
        <v>-0.011</v>
      </c>
      <c r="H2788" s="9">
        <f>MAX($F$2174:F2788)</f>
        <v>1.6809</v>
      </c>
      <c r="I2788" s="11">
        <f t="shared" si="70"/>
        <v>0.0254030578856564</v>
      </c>
      <c r="J2788" s="9"/>
      <c r="K2788" s="11"/>
      <c r="L2788" s="9">
        <f>MAX($F$2358:F2788)</f>
        <v>1.6809</v>
      </c>
      <c r="M2788" s="11">
        <f t="shared" si="69"/>
        <v>0.0254030578856564</v>
      </c>
      <c r="N2788" s="9" t="s">
        <v>789</v>
      </c>
    </row>
    <row r="2789" ht="25" customHeight="1" spans="1:14">
      <c r="A2789" s="9" t="s">
        <v>53</v>
      </c>
      <c r="B2789" s="9" t="s">
        <v>49</v>
      </c>
      <c r="C2789" s="10">
        <v>45828</v>
      </c>
      <c r="D2789" s="15">
        <v>1.6312</v>
      </c>
      <c r="E2789" s="15">
        <v>1.6312</v>
      </c>
      <c r="F2789" s="15">
        <v>1.6312</v>
      </c>
      <c r="G2789" s="11">
        <v>-0.0043</v>
      </c>
      <c r="H2789" s="9">
        <f>MAX($F$2174:F2789)</f>
        <v>1.6809</v>
      </c>
      <c r="I2789" s="11">
        <f t="shared" si="70"/>
        <v>0.0295674936046166</v>
      </c>
      <c r="J2789" s="9"/>
      <c r="K2789" s="11"/>
      <c r="L2789" s="9">
        <f>MAX($F$2358:F2789)</f>
        <v>1.6809</v>
      </c>
      <c r="M2789" s="11">
        <f t="shared" si="69"/>
        <v>0.0295674936046166</v>
      </c>
      <c r="N2789" s="9" t="s">
        <v>789</v>
      </c>
    </row>
    <row r="2790" ht="25" customHeight="1" spans="1:14">
      <c r="A2790" s="9" t="s">
        <v>53</v>
      </c>
      <c r="B2790" s="9" t="s">
        <v>49</v>
      </c>
      <c r="C2790" s="10">
        <v>45831</v>
      </c>
      <c r="D2790" s="15">
        <v>1.6208</v>
      </c>
      <c r="E2790" s="15">
        <v>1.6208</v>
      </c>
      <c r="F2790" s="15">
        <v>1.6208</v>
      </c>
      <c r="G2790" s="11">
        <v>-0.0064</v>
      </c>
      <c r="H2790" s="9">
        <f>MAX($F$2174:F2790)</f>
        <v>1.6809</v>
      </c>
      <c r="I2790" s="11">
        <f t="shared" si="70"/>
        <v>0.0357546552442144</v>
      </c>
      <c r="J2790" s="9"/>
      <c r="K2790" s="11"/>
      <c r="L2790" s="9">
        <f>MAX($F$2358:F2790)</f>
        <v>1.6809</v>
      </c>
      <c r="M2790" s="11">
        <f t="shared" si="69"/>
        <v>0.0357546552442144</v>
      </c>
      <c r="N2790" s="9" t="s">
        <v>789</v>
      </c>
    </row>
    <row r="2791" ht="25" customHeight="1" spans="1:14">
      <c r="A2791" s="9" t="s">
        <v>53</v>
      </c>
      <c r="B2791" s="9" t="s">
        <v>49</v>
      </c>
      <c r="C2791" s="10">
        <v>45832</v>
      </c>
      <c r="D2791" s="15">
        <v>1.59</v>
      </c>
      <c r="E2791" s="15">
        <v>1.59</v>
      </c>
      <c r="F2791" s="15">
        <v>1.59</v>
      </c>
      <c r="G2791" s="11">
        <v>-0.019</v>
      </c>
      <c r="H2791" s="9">
        <f>MAX($F$2174:F2791)</f>
        <v>1.6809</v>
      </c>
      <c r="I2791" s="11">
        <f t="shared" si="70"/>
        <v>0.0540781724076388</v>
      </c>
      <c r="J2791" s="9"/>
      <c r="K2791" s="11"/>
      <c r="L2791" s="9">
        <f>MAX($F$2358:F2791)</f>
        <v>1.6809</v>
      </c>
      <c r="M2791" s="11">
        <f t="shared" si="69"/>
        <v>0.0540781724076388</v>
      </c>
      <c r="N2791" s="9" t="s">
        <v>789</v>
      </c>
    </row>
    <row r="2792" ht="25" customHeight="1" spans="1:14">
      <c r="A2792" s="9" t="s">
        <v>53</v>
      </c>
      <c r="B2792" s="9" t="s">
        <v>49</v>
      </c>
      <c r="C2792" s="10">
        <v>45833</v>
      </c>
      <c r="D2792" s="15">
        <v>1.6015</v>
      </c>
      <c r="E2792" s="15">
        <v>1.6015</v>
      </c>
      <c r="F2792" s="15">
        <v>1.6015</v>
      </c>
      <c r="G2792" s="11">
        <v>0.0072</v>
      </c>
      <c r="H2792" s="9">
        <f>MAX($F$2174:F2792)</f>
        <v>1.6809</v>
      </c>
      <c r="I2792" s="11">
        <f t="shared" si="70"/>
        <v>0.0472365994407759</v>
      </c>
      <c r="J2792" s="9"/>
      <c r="K2792" s="11"/>
      <c r="L2792" s="9">
        <f>MAX($F$2358:F2792)</f>
        <v>1.6809</v>
      </c>
      <c r="M2792" s="11">
        <f t="shared" si="69"/>
        <v>0.0472365994407759</v>
      </c>
      <c r="N2792" s="9" t="s">
        <v>789</v>
      </c>
    </row>
    <row r="2793" ht="25" customHeight="1" spans="1:14">
      <c r="A2793" s="9" t="s">
        <v>53</v>
      </c>
      <c r="B2793" s="9" t="s">
        <v>49</v>
      </c>
      <c r="C2793" s="10">
        <v>45834</v>
      </c>
      <c r="D2793" s="15">
        <v>1.5775</v>
      </c>
      <c r="E2793" s="15">
        <v>1.5775</v>
      </c>
      <c r="F2793" s="15">
        <v>1.5775</v>
      </c>
      <c r="G2793" s="11">
        <v>-0.015</v>
      </c>
      <c r="H2793" s="9">
        <f>MAX($F$2174:F2793)</f>
        <v>1.6809</v>
      </c>
      <c r="I2793" s="11">
        <f t="shared" si="70"/>
        <v>0.0615146647629247</v>
      </c>
      <c r="J2793" s="9"/>
      <c r="K2793" s="11"/>
      <c r="L2793" s="9">
        <f>MAX($F$2358:F2793)</f>
        <v>1.6809</v>
      </c>
      <c r="M2793" s="11">
        <f t="shared" si="69"/>
        <v>0.0615146647629247</v>
      </c>
      <c r="N2793" s="9" t="s">
        <v>789</v>
      </c>
    </row>
    <row r="2794" ht="25" customHeight="1" spans="1:14">
      <c r="A2794" s="9" t="s">
        <v>53</v>
      </c>
      <c r="B2794" s="9" t="s">
        <v>49</v>
      </c>
      <c r="C2794" s="10">
        <v>45835</v>
      </c>
      <c r="D2794" s="15">
        <v>1.5795</v>
      </c>
      <c r="E2794" s="15">
        <v>1.5795</v>
      </c>
      <c r="F2794" s="15">
        <v>1.5795</v>
      </c>
      <c r="G2794" s="11">
        <v>0.0013</v>
      </c>
      <c r="H2794" s="9">
        <f>MAX($F$2174:F2794)</f>
        <v>1.6809</v>
      </c>
      <c r="I2794" s="11">
        <f t="shared" si="70"/>
        <v>0.060324825986079</v>
      </c>
      <c r="J2794" s="9"/>
      <c r="K2794" s="11"/>
      <c r="L2794" s="9">
        <f>MAX($F$2358:F2794)</f>
        <v>1.6809</v>
      </c>
      <c r="M2794" s="11">
        <f t="shared" si="69"/>
        <v>0.060324825986079</v>
      </c>
      <c r="N2794" s="9" t="s">
        <v>789</v>
      </c>
    </row>
    <row r="2795" ht="25" customHeight="1" spans="1:14">
      <c r="A2795" s="9" t="s">
        <v>53</v>
      </c>
      <c r="B2795" s="9" t="s">
        <v>49</v>
      </c>
      <c r="C2795" s="10">
        <v>45838</v>
      </c>
      <c r="D2795" s="15">
        <v>1.5853</v>
      </c>
      <c r="E2795" s="15">
        <v>1.5853</v>
      </c>
      <c r="F2795" s="15">
        <v>1.5853</v>
      </c>
      <c r="G2795" s="11">
        <v>0.0037</v>
      </c>
      <c r="H2795" s="9">
        <f>MAX($F$2174:F2795)</f>
        <v>1.6809</v>
      </c>
      <c r="I2795" s="11">
        <f t="shared" si="70"/>
        <v>0.0568742935332264</v>
      </c>
      <c r="J2795" s="9"/>
      <c r="K2795" s="11"/>
      <c r="L2795" s="9">
        <f>MAX($F$2358:F2795)</f>
        <v>1.6809</v>
      </c>
      <c r="M2795" s="11">
        <f t="shared" si="69"/>
        <v>0.0568742935332264</v>
      </c>
      <c r="N2795" s="9" t="s">
        <v>789</v>
      </c>
    </row>
    <row r="2796" ht="25" customHeight="1" spans="1:14">
      <c r="A2796" s="9" t="s">
        <v>53</v>
      </c>
      <c r="B2796" s="9" t="s">
        <v>49</v>
      </c>
      <c r="C2796" s="10">
        <v>45842</v>
      </c>
      <c r="D2796" s="15">
        <v>1.5739</v>
      </c>
      <c r="E2796" s="15">
        <v>1.5739</v>
      </c>
      <c r="F2796" s="15">
        <v>1.5739</v>
      </c>
      <c r="G2796" s="11">
        <v>-0.0072</v>
      </c>
      <c r="H2796" s="9">
        <f>MAX($F$2174:F2796)</f>
        <v>1.6809</v>
      </c>
      <c r="I2796" s="11">
        <f t="shared" si="70"/>
        <v>0.063656374561247</v>
      </c>
      <c r="J2796" s="9"/>
      <c r="K2796" s="11"/>
      <c r="L2796" s="9">
        <f>MAX($F$2358:F2796)</f>
        <v>1.6809</v>
      </c>
      <c r="M2796" s="11">
        <f t="shared" si="69"/>
        <v>0.063656374561247</v>
      </c>
      <c r="N2796" s="9" t="s">
        <v>789</v>
      </c>
    </row>
    <row r="2797" ht="25" customHeight="1" spans="1:14">
      <c r="A2797" s="9" t="s">
        <v>53</v>
      </c>
      <c r="B2797" s="9" t="s">
        <v>49</v>
      </c>
      <c r="C2797" s="10">
        <v>45849</v>
      </c>
      <c r="D2797" s="15">
        <v>1.5831</v>
      </c>
      <c r="E2797" s="15">
        <v>1.5831</v>
      </c>
      <c r="F2797" s="15">
        <v>1.5831</v>
      </c>
      <c r="G2797" s="11">
        <v>0.0058</v>
      </c>
      <c r="H2797" s="9">
        <f>MAX($F$2174:F2797)</f>
        <v>1.6809</v>
      </c>
      <c r="I2797" s="11">
        <f t="shared" si="70"/>
        <v>0.0581831161877566</v>
      </c>
      <c r="J2797" s="9"/>
      <c r="K2797" s="11"/>
      <c r="L2797" s="9">
        <f>MAX($F$2358:F2797)</f>
        <v>1.6809</v>
      </c>
      <c r="M2797" s="11">
        <f t="shared" si="69"/>
        <v>0.0581831161877566</v>
      </c>
      <c r="N2797" s="9" t="s">
        <v>789</v>
      </c>
    </row>
    <row r="2798" ht="25" customHeight="1" spans="1:14">
      <c r="A2798" s="9" t="s">
        <v>53</v>
      </c>
      <c r="B2798" s="9" t="s">
        <v>49</v>
      </c>
      <c r="C2798" s="10">
        <v>45856</v>
      </c>
      <c r="D2798" s="15">
        <v>1.6274</v>
      </c>
      <c r="E2798" s="15">
        <v>1.6274</v>
      </c>
      <c r="F2798" s="15">
        <v>1.6274</v>
      </c>
      <c r="G2798" s="11">
        <v>0.028</v>
      </c>
      <c r="H2798" s="9">
        <f>MAX($F$2174:F2798)</f>
        <v>1.6809</v>
      </c>
      <c r="I2798" s="11">
        <f t="shared" si="70"/>
        <v>0.0318281872806235</v>
      </c>
      <c r="J2798" s="9"/>
      <c r="K2798" s="11"/>
      <c r="L2798" s="9">
        <f>MAX($F$2358:F2798)</f>
        <v>1.6809</v>
      </c>
      <c r="M2798" s="11">
        <f t="shared" si="69"/>
        <v>0.0318281872806235</v>
      </c>
      <c r="N2798" s="9" t="s">
        <v>789</v>
      </c>
    </row>
    <row r="2799" ht="25" customHeight="1" spans="1:14">
      <c r="A2799" s="9" t="s">
        <v>53</v>
      </c>
      <c r="B2799" s="9" t="s">
        <v>49</v>
      </c>
      <c r="C2799" s="10">
        <v>45863</v>
      </c>
      <c r="D2799" s="15">
        <v>1.6234</v>
      </c>
      <c r="E2799" s="15">
        <v>1.6234</v>
      </c>
      <c r="F2799" s="15">
        <v>1.6234</v>
      </c>
      <c r="G2799" s="11">
        <v>-0.0025</v>
      </c>
      <c r="H2799" s="9">
        <f>MAX($F$2174:F2799)</f>
        <v>1.6809</v>
      </c>
      <c r="I2799" s="11">
        <f t="shared" si="70"/>
        <v>0.034207864834315</v>
      </c>
      <c r="J2799" s="9"/>
      <c r="K2799" s="11"/>
      <c r="L2799" s="9">
        <f>MAX($F$2358:F2799)</f>
        <v>1.6809</v>
      </c>
      <c r="M2799" s="11">
        <f t="shared" si="69"/>
        <v>0.034207864834315</v>
      </c>
      <c r="N2799" s="9" t="s">
        <v>789</v>
      </c>
    </row>
    <row r="2800" ht="25" customHeight="1" spans="1:14">
      <c r="A2800" s="9" t="s">
        <v>53</v>
      </c>
      <c r="B2800" s="9" t="s">
        <v>49</v>
      </c>
      <c r="C2800" s="10">
        <v>45870</v>
      </c>
      <c r="D2800" s="15">
        <v>1.5331</v>
      </c>
      <c r="E2800" s="15">
        <v>1.5331</v>
      </c>
      <c r="F2800" s="15">
        <v>1.5331</v>
      </c>
      <c r="G2800" s="11">
        <v>-0.0556</v>
      </c>
      <c r="H2800" s="9">
        <f>MAX($F$2174:F2800)</f>
        <v>1.6809</v>
      </c>
      <c r="I2800" s="11">
        <f t="shared" si="70"/>
        <v>0.0879290856089001</v>
      </c>
      <c r="J2800" s="9"/>
      <c r="K2800" s="11"/>
      <c r="L2800" s="9">
        <f>MAX($F$2358:F2800)</f>
        <v>1.6809</v>
      </c>
      <c r="M2800" s="11">
        <f t="shared" si="69"/>
        <v>0.0879290856089001</v>
      </c>
      <c r="N2800" s="9" t="s">
        <v>789</v>
      </c>
    </row>
    <row r="2801" ht="25" customHeight="1" spans="1:14">
      <c r="A2801" s="9" t="s">
        <v>53</v>
      </c>
      <c r="B2801" s="9" t="s">
        <v>49</v>
      </c>
      <c r="C2801" s="10">
        <v>45877</v>
      </c>
      <c r="D2801" s="15">
        <v>1.5624</v>
      </c>
      <c r="E2801" s="15">
        <v>1.5624</v>
      </c>
      <c r="F2801" s="15">
        <v>1.5624</v>
      </c>
      <c r="G2801" s="11">
        <v>0.0191</v>
      </c>
      <c r="H2801" s="9">
        <f>MAX($F$2174:F2801)</f>
        <v>1.6809</v>
      </c>
      <c r="I2801" s="11">
        <f t="shared" si="70"/>
        <v>0.07049794752811</v>
      </c>
      <c r="J2801" s="9"/>
      <c r="K2801" s="11"/>
      <c r="L2801" s="9">
        <f>MAX($F$2358:F2801)</f>
        <v>1.6809</v>
      </c>
      <c r="M2801" s="11">
        <f t="shared" si="69"/>
        <v>0.07049794752811</v>
      </c>
      <c r="N2801" s="9" t="s">
        <v>789</v>
      </c>
    </row>
    <row r="2802" ht="25" customHeight="1" spans="1:14">
      <c r="A2802" s="9" t="s">
        <v>53</v>
      </c>
      <c r="B2802" s="9" t="s">
        <v>49</v>
      </c>
      <c r="C2802" s="10">
        <v>45884</v>
      </c>
      <c r="D2802" s="15">
        <v>1.5452</v>
      </c>
      <c r="E2802" s="15">
        <v>1.5452</v>
      </c>
      <c r="F2802" s="15">
        <v>1.5452</v>
      </c>
      <c r="G2802" s="11">
        <v>-0.011</v>
      </c>
      <c r="H2802" s="9">
        <f>MAX($F$2174:F2802)</f>
        <v>1.6809</v>
      </c>
      <c r="I2802" s="11">
        <f t="shared" si="70"/>
        <v>0.0807305610089833</v>
      </c>
      <c r="J2802" s="9"/>
      <c r="K2802" s="11"/>
      <c r="L2802" s="9">
        <f>MAX($F$2358:F2802)</f>
        <v>1.6809</v>
      </c>
      <c r="M2802" s="11">
        <f t="shared" si="69"/>
        <v>0.0807305610089833</v>
      </c>
      <c r="N2802" s="9" t="s">
        <v>789</v>
      </c>
    </row>
    <row r="2803" ht="25" customHeight="1" spans="1:14">
      <c r="A2803" s="9" t="s">
        <v>53</v>
      </c>
      <c r="B2803" s="9" t="s">
        <v>49</v>
      </c>
      <c r="C2803" s="10">
        <v>45891</v>
      </c>
      <c r="D2803" s="15">
        <v>1.539</v>
      </c>
      <c r="E2803" s="15">
        <v>1.539</v>
      </c>
      <c r="F2803" s="15">
        <v>1.539</v>
      </c>
      <c r="G2803" s="11">
        <v>-0.004</v>
      </c>
      <c r="H2803" s="9">
        <f>MAX($F$2174:F2803)</f>
        <v>1.6809</v>
      </c>
      <c r="I2803" s="11">
        <f t="shared" si="70"/>
        <v>0.0844190612172051</v>
      </c>
      <c r="J2803" s="9"/>
      <c r="K2803" s="11"/>
      <c r="L2803" s="9">
        <f>MAX($F$2358:F2803)</f>
        <v>1.6809</v>
      </c>
      <c r="M2803" s="11">
        <f t="shared" si="69"/>
        <v>0.0844190612172051</v>
      </c>
      <c r="N2803" s="9" t="s">
        <v>789</v>
      </c>
    </row>
    <row r="2804" ht="25" customHeight="1" spans="1:14">
      <c r="A2804" s="9" t="s">
        <v>53</v>
      </c>
      <c r="B2804" s="9" t="s">
        <v>49</v>
      </c>
      <c r="C2804" s="10">
        <v>45898</v>
      </c>
      <c r="D2804" s="15">
        <v>1.5567</v>
      </c>
      <c r="E2804" s="15">
        <v>1.5567</v>
      </c>
      <c r="F2804" s="15">
        <v>1.5567</v>
      </c>
      <c r="G2804" s="11">
        <v>0.0115</v>
      </c>
      <c r="H2804" s="9">
        <f>MAX($F$2174:F2804)</f>
        <v>1.6809</v>
      </c>
      <c r="I2804" s="11">
        <f t="shared" si="70"/>
        <v>0.0738889880421203</v>
      </c>
      <c r="J2804" s="9">
        <f>MAX($F$2804:F2804)</f>
        <v>1.5567</v>
      </c>
      <c r="K2804" s="11">
        <f t="shared" ref="K2804:K2856" si="71">1-F2804/J2804</f>
        <v>0</v>
      </c>
      <c r="L2804" s="9">
        <f>MAX($F$2358:F2804)</f>
        <v>1.6809</v>
      </c>
      <c r="M2804" s="11">
        <f t="shared" si="69"/>
        <v>0.0738889880421203</v>
      </c>
      <c r="N2804" s="9" t="s">
        <v>789</v>
      </c>
    </row>
    <row r="2805" ht="25" customHeight="1" spans="1:14">
      <c r="A2805" s="9" t="s">
        <v>53</v>
      </c>
      <c r="B2805" s="9" t="s">
        <v>49</v>
      </c>
      <c r="C2805" s="10">
        <v>45905</v>
      </c>
      <c r="D2805" s="15">
        <v>1.593</v>
      </c>
      <c r="E2805" s="15">
        <v>1.593</v>
      </c>
      <c r="F2805" s="15">
        <v>1.593</v>
      </c>
      <c r="G2805" s="11">
        <v>0.0233</v>
      </c>
      <c r="H2805" s="9">
        <f>MAX($F$2174:F2805)</f>
        <v>1.6809</v>
      </c>
      <c r="I2805" s="11">
        <f t="shared" si="70"/>
        <v>0.0522934142423702</v>
      </c>
      <c r="J2805" s="9">
        <f>MAX($F$2804:F2805)</f>
        <v>1.593</v>
      </c>
      <c r="K2805" s="11">
        <f t="shared" si="71"/>
        <v>0</v>
      </c>
      <c r="L2805" s="9">
        <f>MAX($F$2358:F2805)</f>
        <v>1.6809</v>
      </c>
      <c r="M2805" s="11">
        <f t="shared" si="69"/>
        <v>0.0522934142423702</v>
      </c>
      <c r="N2805" s="9" t="s">
        <v>789</v>
      </c>
    </row>
    <row r="2806" ht="25" customHeight="1" spans="1:14">
      <c r="A2806" s="9" t="s">
        <v>53</v>
      </c>
      <c r="B2806" s="9" t="s">
        <v>49</v>
      </c>
      <c r="C2806" s="10">
        <v>45912</v>
      </c>
      <c r="D2806" s="15">
        <v>1.599</v>
      </c>
      <c r="E2806" s="15">
        <v>1.599</v>
      </c>
      <c r="F2806" s="15">
        <v>1.599</v>
      </c>
      <c r="G2806" s="11">
        <v>0.0038</v>
      </c>
      <c r="H2806" s="9">
        <f>MAX($F$2174:F2806)</f>
        <v>1.6809</v>
      </c>
      <c r="I2806" s="11">
        <f t="shared" si="70"/>
        <v>0.048723897911833</v>
      </c>
      <c r="J2806" s="9">
        <f>MAX($F$2804:F2806)</f>
        <v>1.599</v>
      </c>
      <c r="K2806" s="11">
        <f t="shared" si="71"/>
        <v>0</v>
      </c>
      <c r="L2806" s="9">
        <f>MAX($F$2358:F2806)</f>
        <v>1.6809</v>
      </c>
      <c r="M2806" s="11">
        <f t="shared" ref="M2806:M2856" si="72">1-F2806/L2806</f>
        <v>0.048723897911833</v>
      </c>
      <c r="N2806" s="9" t="s">
        <v>789</v>
      </c>
    </row>
    <row r="2807" ht="25" customHeight="1" spans="1:14">
      <c r="A2807" s="9" t="s">
        <v>53</v>
      </c>
      <c r="B2807" s="9" t="s">
        <v>49</v>
      </c>
      <c r="C2807" s="10">
        <v>45919</v>
      </c>
      <c r="D2807" s="15">
        <v>1.5817</v>
      </c>
      <c r="E2807" s="15">
        <v>1.5817</v>
      </c>
      <c r="F2807" s="15">
        <v>1.5817</v>
      </c>
      <c r="G2807" s="11">
        <v>-0.0108</v>
      </c>
      <c r="H2807" s="9">
        <f>MAX($F$2174:F2807)</f>
        <v>1.6809</v>
      </c>
      <c r="I2807" s="11">
        <f t="shared" si="70"/>
        <v>0.0590160033315485</v>
      </c>
      <c r="J2807" s="9">
        <f>MAX($F$2804:F2807)</f>
        <v>1.599</v>
      </c>
      <c r="K2807" s="11">
        <f t="shared" si="71"/>
        <v>0.0108192620387741</v>
      </c>
      <c r="L2807" s="9">
        <f>MAX($F$2358:F2807)</f>
        <v>1.6809</v>
      </c>
      <c r="M2807" s="11">
        <f t="shared" si="72"/>
        <v>0.0590160033315485</v>
      </c>
      <c r="N2807" s="9" t="s">
        <v>789</v>
      </c>
    </row>
    <row r="2808" ht="25" customHeight="1" spans="1:14">
      <c r="A2808" s="9" t="s">
        <v>53</v>
      </c>
      <c r="B2808" s="9" t="s">
        <v>49</v>
      </c>
      <c r="C2808" s="10">
        <v>45926</v>
      </c>
      <c r="D2808" s="15">
        <v>1.5664</v>
      </c>
      <c r="E2808" s="15">
        <v>1.5664</v>
      </c>
      <c r="F2808" s="15">
        <v>1.5664</v>
      </c>
      <c r="G2808" s="11">
        <v>-0.0097</v>
      </c>
      <c r="H2808" s="9">
        <f>MAX($F$2174:F2808)</f>
        <v>1.6809</v>
      </c>
      <c r="I2808" s="11">
        <f t="shared" si="70"/>
        <v>0.0681182699744185</v>
      </c>
      <c r="J2808" s="9">
        <f>MAX($F$2804:F2808)</f>
        <v>1.599</v>
      </c>
      <c r="K2808" s="11">
        <f t="shared" si="71"/>
        <v>0.0203877423389618</v>
      </c>
      <c r="L2808" s="9">
        <f>MAX($F$2358:F2808)</f>
        <v>1.6809</v>
      </c>
      <c r="M2808" s="11">
        <f t="shared" si="72"/>
        <v>0.0681182699744185</v>
      </c>
      <c r="N2808" s="9" t="s">
        <v>789</v>
      </c>
    </row>
    <row r="2809" ht="25" customHeight="1" spans="1:14">
      <c r="A2809" s="9" t="s">
        <v>53</v>
      </c>
      <c r="B2809" s="9" t="s">
        <v>49</v>
      </c>
      <c r="C2809" s="10">
        <v>45930</v>
      </c>
      <c r="D2809" s="15">
        <v>1.6232</v>
      </c>
      <c r="E2809" s="15">
        <v>1.6232</v>
      </c>
      <c r="F2809" s="15">
        <v>1.6232</v>
      </c>
      <c r="G2809" s="11">
        <v>0.0363</v>
      </c>
      <c r="H2809" s="9">
        <f>MAX($F$2174:F2809)</f>
        <v>1.6809</v>
      </c>
      <c r="I2809" s="11">
        <f t="shared" si="70"/>
        <v>0.0343268487119995</v>
      </c>
      <c r="J2809" s="9">
        <f>MAX($F$2804:F2809)</f>
        <v>1.6232</v>
      </c>
      <c r="K2809" s="11">
        <f t="shared" si="71"/>
        <v>0</v>
      </c>
      <c r="L2809" s="9">
        <f>MAX($F$2358:F2809)</f>
        <v>1.6809</v>
      </c>
      <c r="M2809" s="11">
        <f t="shared" si="72"/>
        <v>0.0343268487119995</v>
      </c>
      <c r="N2809" s="9" t="s">
        <v>789</v>
      </c>
    </row>
    <row r="2810" ht="25" customHeight="1" spans="1:14">
      <c r="A2810" s="9" t="s">
        <v>53</v>
      </c>
      <c r="B2810" s="9" t="s">
        <v>49</v>
      </c>
      <c r="C2810" s="10">
        <v>45940</v>
      </c>
      <c r="D2810" s="15">
        <v>1.7122</v>
      </c>
      <c r="E2810" s="15">
        <v>1.7122</v>
      </c>
      <c r="F2810" s="15">
        <v>1.7122</v>
      </c>
      <c r="G2810" s="11">
        <v>0.0548</v>
      </c>
      <c r="H2810" s="9">
        <f>MAX($F$2174:F2810)</f>
        <v>1.7122</v>
      </c>
      <c r="I2810" s="11">
        <f t="shared" si="70"/>
        <v>0</v>
      </c>
      <c r="J2810" s="9">
        <f>MAX($F$2804:F2810)</f>
        <v>1.7122</v>
      </c>
      <c r="K2810" s="11">
        <f t="shared" si="71"/>
        <v>0</v>
      </c>
      <c r="L2810" s="9">
        <f>MAX($F$2358:F2810)</f>
        <v>1.7122</v>
      </c>
      <c r="M2810" s="11">
        <f t="shared" si="72"/>
        <v>0</v>
      </c>
      <c r="N2810" s="9" t="s">
        <v>789</v>
      </c>
    </row>
    <row r="2811" ht="25" customHeight="1" spans="1:14">
      <c r="A2811" s="9" t="s">
        <v>53</v>
      </c>
      <c r="B2811" s="9" t="s">
        <v>49</v>
      </c>
      <c r="C2811" s="10">
        <v>45947</v>
      </c>
      <c r="D2811" s="15">
        <v>1.7264</v>
      </c>
      <c r="E2811" s="15">
        <v>1.7264</v>
      </c>
      <c r="F2811" s="15">
        <v>1.7264</v>
      </c>
      <c r="G2811" s="11">
        <v>0.0083</v>
      </c>
      <c r="H2811" s="9">
        <f>MAX($F$2174:F2811)</f>
        <v>1.7264</v>
      </c>
      <c r="I2811" s="11">
        <f t="shared" si="70"/>
        <v>0</v>
      </c>
      <c r="J2811" s="9">
        <f>MAX($F$2804:F2811)</f>
        <v>1.7264</v>
      </c>
      <c r="K2811" s="11">
        <f t="shared" si="71"/>
        <v>0</v>
      </c>
      <c r="L2811" s="9">
        <f>MAX($F$2358:F2811)</f>
        <v>1.7264</v>
      </c>
      <c r="M2811" s="11">
        <f t="shared" si="72"/>
        <v>0</v>
      </c>
      <c r="N2811" s="9" t="s">
        <v>789</v>
      </c>
    </row>
    <row r="2812" ht="25" customHeight="1" spans="1:14">
      <c r="A2812" s="9" t="s">
        <v>53</v>
      </c>
      <c r="B2812" s="9" t="s">
        <v>49</v>
      </c>
      <c r="C2812" s="10">
        <v>45954</v>
      </c>
      <c r="D2812" s="15">
        <v>1.7732</v>
      </c>
      <c r="E2812" s="15">
        <v>1.7732</v>
      </c>
      <c r="F2812" s="15">
        <v>1.7732</v>
      </c>
      <c r="G2812" s="11">
        <v>0.0271</v>
      </c>
      <c r="H2812" s="9">
        <f>MAX($F$2174:F2812)</f>
        <v>1.7732</v>
      </c>
      <c r="I2812" s="11">
        <f t="shared" si="70"/>
        <v>0</v>
      </c>
      <c r="J2812" s="9">
        <f>MAX($F$2804:F2812)</f>
        <v>1.7732</v>
      </c>
      <c r="K2812" s="11">
        <f t="shared" si="71"/>
        <v>0</v>
      </c>
      <c r="L2812" s="9">
        <f>MAX($F$2358:F2812)</f>
        <v>1.7732</v>
      </c>
      <c r="M2812" s="11">
        <f t="shared" si="72"/>
        <v>0</v>
      </c>
      <c r="N2812" s="9" t="s">
        <v>789</v>
      </c>
    </row>
    <row r="2813" ht="25" customHeight="1" spans="1:14">
      <c r="A2813" s="9" t="s">
        <v>53</v>
      </c>
      <c r="B2813" s="9" t="s">
        <v>49</v>
      </c>
      <c r="C2813" s="10">
        <v>45961</v>
      </c>
      <c r="D2813" s="15">
        <v>1.8144</v>
      </c>
      <c r="E2813" s="15">
        <v>1.8144</v>
      </c>
      <c r="F2813" s="15">
        <v>1.8144</v>
      </c>
      <c r="G2813" s="11">
        <v>0.0232</v>
      </c>
      <c r="H2813" s="9">
        <f>MAX($F$2174:F2813)</f>
        <v>1.8144</v>
      </c>
      <c r="I2813" s="11">
        <f t="shared" si="70"/>
        <v>0</v>
      </c>
      <c r="J2813" s="9">
        <f>MAX($F$2804:F2813)</f>
        <v>1.8144</v>
      </c>
      <c r="K2813" s="11">
        <f t="shared" si="71"/>
        <v>0</v>
      </c>
      <c r="L2813" s="9">
        <f>MAX($F$2358:F2813)</f>
        <v>1.8144</v>
      </c>
      <c r="M2813" s="11">
        <f t="shared" si="72"/>
        <v>0</v>
      </c>
      <c r="N2813" s="9" t="s">
        <v>789</v>
      </c>
    </row>
    <row r="2814" ht="25" customHeight="1" spans="1:14">
      <c r="A2814" s="9" t="s">
        <v>53</v>
      </c>
      <c r="B2814" s="9" t="s">
        <v>49</v>
      </c>
      <c r="C2814" s="10">
        <v>45968</v>
      </c>
      <c r="D2814" s="15">
        <v>1.7968</v>
      </c>
      <c r="E2814" s="15">
        <v>1.7968</v>
      </c>
      <c r="F2814" s="15">
        <v>1.7968</v>
      </c>
      <c r="G2814" s="11">
        <v>-0.0097</v>
      </c>
      <c r="H2814" s="9">
        <f>MAX($F$2174:F2814)</f>
        <v>1.8144</v>
      </c>
      <c r="I2814" s="11">
        <f t="shared" si="70"/>
        <v>0.00970017636684306</v>
      </c>
      <c r="J2814" s="9">
        <f>MAX($F$2804:F2814)</f>
        <v>1.8144</v>
      </c>
      <c r="K2814" s="11">
        <f t="shared" si="71"/>
        <v>0.00970017636684306</v>
      </c>
      <c r="L2814" s="9">
        <f>MAX($F$2358:F2814)</f>
        <v>1.8144</v>
      </c>
      <c r="M2814" s="11">
        <f t="shared" si="72"/>
        <v>0.00970017636684306</v>
      </c>
      <c r="N2814" s="9" t="s">
        <v>789</v>
      </c>
    </row>
    <row r="2815" ht="25" customHeight="1" spans="1:14">
      <c r="A2815" s="9" t="s">
        <v>53</v>
      </c>
      <c r="B2815" s="9" t="s">
        <v>49</v>
      </c>
      <c r="C2815" s="10">
        <v>45975</v>
      </c>
      <c r="D2815" s="15">
        <v>1.8499</v>
      </c>
      <c r="E2815" s="15">
        <v>1.8499</v>
      </c>
      <c r="F2815" s="15">
        <v>1.8499</v>
      </c>
      <c r="G2815" s="11">
        <v>0.0296</v>
      </c>
      <c r="H2815" s="9">
        <f>MAX($F$2174:F2815)</f>
        <v>1.8499</v>
      </c>
      <c r="I2815" s="11">
        <f t="shared" si="70"/>
        <v>0</v>
      </c>
      <c r="J2815" s="9">
        <f>MAX($F$2804:F2815)</f>
        <v>1.8499</v>
      </c>
      <c r="K2815" s="11">
        <f t="shared" si="71"/>
        <v>0</v>
      </c>
      <c r="L2815" s="9">
        <f>MAX($F$2358:F2815)</f>
        <v>1.8499</v>
      </c>
      <c r="M2815" s="11">
        <f t="shared" si="72"/>
        <v>0</v>
      </c>
      <c r="N2815" s="9" t="s">
        <v>789</v>
      </c>
    </row>
    <row r="2816" ht="25" customHeight="1" spans="1:14">
      <c r="A2816" s="9" t="s">
        <v>53</v>
      </c>
      <c r="B2816" s="9" t="s">
        <v>49</v>
      </c>
      <c r="C2816" s="10">
        <v>45982</v>
      </c>
      <c r="D2816" s="15">
        <v>1.8474</v>
      </c>
      <c r="E2816" s="15">
        <v>1.8474</v>
      </c>
      <c r="F2816" s="15">
        <v>1.8474</v>
      </c>
      <c r="G2816" s="11">
        <v>-0.0014</v>
      </c>
      <c r="H2816" s="9">
        <f>MAX($F$2174:F2816)</f>
        <v>1.8499</v>
      </c>
      <c r="I2816" s="11">
        <f t="shared" si="70"/>
        <v>0.00135142440131908</v>
      </c>
      <c r="J2816" s="9">
        <f>MAX($F$2804:F2816)</f>
        <v>1.8499</v>
      </c>
      <c r="K2816" s="11">
        <f t="shared" si="71"/>
        <v>0.00135142440131908</v>
      </c>
      <c r="L2816" s="9">
        <f>MAX($F$2358:F2816)</f>
        <v>1.8499</v>
      </c>
      <c r="M2816" s="11">
        <f t="shared" si="72"/>
        <v>0.00135142440131908</v>
      </c>
      <c r="N2816" s="9" t="s">
        <v>789</v>
      </c>
    </row>
    <row r="2817" ht="25" customHeight="1" spans="1:14">
      <c r="A2817" s="9" t="s">
        <v>53</v>
      </c>
      <c r="B2817" s="9" t="s">
        <v>49</v>
      </c>
      <c r="C2817" s="10">
        <v>45989</v>
      </c>
      <c r="D2817" s="15">
        <v>1.8169</v>
      </c>
      <c r="E2817" s="15">
        <v>1.8169</v>
      </c>
      <c r="F2817" s="15">
        <v>1.8169</v>
      </c>
      <c r="G2817" s="11">
        <v>-0.0165</v>
      </c>
      <c r="H2817" s="9">
        <f>MAX($F$2174:F2817)</f>
        <v>1.8499</v>
      </c>
      <c r="I2817" s="11">
        <f t="shared" si="70"/>
        <v>0.0178388020974107</v>
      </c>
      <c r="J2817" s="9">
        <f>MAX($F$2804:F2817)</f>
        <v>1.8499</v>
      </c>
      <c r="K2817" s="11">
        <f t="shared" si="71"/>
        <v>0.0178388020974107</v>
      </c>
      <c r="L2817" s="9">
        <f>MAX($F$2358:F2817)</f>
        <v>1.8499</v>
      </c>
      <c r="M2817" s="11">
        <f t="shared" si="72"/>
        <v>0.0178388020974107</v>
      </c>
      <c r="N2817" s="9" t="s">
        <v>789</v>
      </c>
    </row>
    <row r="2818" ht="25" customHeight="1" spans="1:14">
      <c r="A2818" s="9" t="s">
        <v>53</v>
      </c>
      <c r="B2818" s="9" t="s">
        <v>49</v>
      </c>
      <c r="C2818" s="10">
        <v>45996</v>
      </c>
      <c r="D2818" s="15">
        <v>1.8893</v>
      </c>
      <c r="E2818" s="15">
        <v>1.8893</v>
      </c>
      <c r="F2818" s="15">
        <v>1.8893</v>
      </c>
      <c r="G2818" s="11">
        <v>0.0398</v>
      </c>
      <c r="H2818" s="9">
        <f>MAX($F$2174:F2818)</f>
        <v>1.8893</v>
      </c>
      <c r="I2818" s="11">
        <f t="shared" ref="I2818:I2881" si="73">1-F2818/H2818</f>
        <v>0</v>
      </c>
      <c r="J2818" s="9">
        <f>MAX($F$2804:F2818)</f>
        <v>1.8893</v>
      </c>
      <c r="K2818" s="11">
        <f t="shared" si="71"/>
        <v>0</v>
      </c>
      <c r="L2818" s="9">
        <f>MAX($F$2358:F2818)</f>
        <v>1.8893</v>
      </c>
      <c r="M2818" s="11">
        <f t="shared" si="72"/>
        <v>0</v>
      </c>
      <c r="N2818" s="9" t="s">
        <v>789</v>
      </c>
    </row>
    <row r="2819" ht="25" customHeight="1" spans="1:14">
      <c r="A2819" s="9" t="s">
        <v>53</v>
      </c>
      <c r="B2819" s="9" t="s">
        <v>49</v>
      </c>
      <c r="C2819" s="10">
        <v>46003</v>
      </c>
      <c r="D2819" s="15">
        <v>1.9498</v>
      </c>
      <c r="E2819" s="15">
        <v>1.9498</v>
      </c>
      <c r="F2819" s="15">
        <v>1.9498</v>
      </c>
      <c r="G2819" s="11">
        <v>0.032</v>
      </c>
      <c r="H2819" s="9">
        <f>MAX($F$2174:F2819)</f>
        <v>1.9498</v>
      </c>
      <c r="I2819" s="11">
        <f t="shared" si="73"/>
        <v>0</v>
      </c>
      <c r="J2819" s="9">
        <f>MAX($F$2804:F2819)</f>
        <v>1.9498</v>
      </c>
      <c r="K2819" s="11">
        <f t="shared" si="71"/>
        <v>0</v>
      </c>
      <c r="L2819" s="9">
        <f>MAX($F$2358:F2819)</f>
        <v>1.9498</v>
      </c>
      <c r="M2819" s="11">
        <f t="shared" si="72"/>
        <v>0</v>
      </c>
      <c r="N2819" s="9" t="s">
        <v>789</v>
      </c>
    </row>
    <row r="2820" ht="25" customHeight="1" spans="1:14">
      <c r="A2820" s="9" t="s">
        <v>53</v>
      </c>
      <c r="B2820" s="9" t="s">
        <v>49</v>
      </c>
      <c r="C2820" s="10">
        <v>46010</v>
      </c>
      <c r="D2820" s="15">
        <v>1.9521</v>
      </c>
      <c r="E2820" s="15">
        <v>1.9521</v>
      </c>
      <c r="F2820" s="15">
        <v>1.9521</v>
      </c>
      <c r="G2820" s="11">
        <v>0.0012</v>
      </c>
      <c r="H2820" s="9">
        <f>MAX($F$2174:F2820)</f>
        <v>1.9521</v>
      </c>
      <c r="I2820" s="11">
        <f t="shared" si="73"/>
        <v>0</v>
      </c>
      <c r="J2820" s="9">
        <f>MAX($F$2804:F2820)</f>
        <v>1.9521</v>
      </c>
      <c r="K2820" s="11">
        <f t="shared" si="71"/>
        <v>0</v>
      </c>
      <c r="L2820" s="9">
        <f>MAX($F$2358:F2820)</f>
        <v>1.9521</v>
      </c>
      <c r="M2820" s="11">
        <f t="shared" si="72"/>
        <v>0</v>
      </c>
      <c r="N2820" s="9" t="s">
        <v>789</v>
      </c>
    </row>
    <row r="2821" ht="25" customHeight="1" spans="1:14">
      <c r="A2821" s="9" t="s">
        <v>53</v>
      </c>
      <c r="B2821" s="9" t="s">
        <v>49</v>
      </c>
      <c r="C2821" s="10">
        <v>46017</v>
      </c>
      <c r="D2821" s="15">
        <v>2.1223</v>
      </c>
      <c r="E2821" s="15">
        <v>2.1223</v>
      </c>
      <c r="F2821" s="15">
        <v>2.1223</v>
      </c>
      <c r="G2821" s="11">
        <v>0.0872</v>
      </c>
      <c r="H2821" s="9">
        <f>MAX($F$2174:F2821)</f>
        <v>2.1223</v>
      </c>
      <c r="I2821" s="11">
        <f t="shared" si="73"/>
        <v>0</v>
      </c>
      <c r="J2821" s="9">
        <f>MAX($F$2804:F2821)</f>
        <v>2.1223</v>
      </c>
      <c r="K2821" s="11">
        <f t="shared" si="71"/>
        <v>0</v>
      </c>
      <c r="L2821" s="9">
        <f>MAX($F$2358:F2821)</f>
        <v>2.1223</v>
      </c>
      <c r="M2821" s="11">
        <f t="shared" si="72"/>
        <v>0</v>
      </c>
      <c r="N2821" s="9" t="s">
        <v>789</v>
      </c>
    </row>
    <row r="2822" ht="25" customHeight="1" spans="1:14">
      <c r="A2822" s="9" t="s">
        <v>53</v>
      </c>
      <c r="B2822" s="9" t="s">
        <v>49</v>
      </c>
      <c r="C2822" s="10">
        <v>46022</v>
      </c>
      <c r="D2822" s="15">
        <v>2.0478</v>
      </c>
      <c r="E2822" s="15">
        <v>2.0478</v>
      </c>
      <c r="F2822" s="15">
        <v>2.0478</v>
      </c>
      <c r="G2822" s="11">
        <v>-0.0351</v>
      </c>
      <c r="H2822" s="9">
        <f>MAX($F$2174:F2822)</f>
        <v>2.1223</v>
      </c>
      <c r="I2822" s="11">
        <f t="shared" si="73"/>
        <v>0.0351034255289073</v>
      </c>
      <c r="J2822" s="9">
        <f>MAX($F$2804:F2822)</f>
        <v>2.1223</v>
      </c>
      <c r="K2822" s="11">
        <f t="shared" si="71"/>
        <v>0.0351034255289073</v>
      </c>
      <c r="L2822" s="9">
        <f>MAX($F$2358:F2822)</f>
        <v>2.1223</v>
      </c>
      <c r="M2822" s="11">
        <f t="shared" si="72"/>
        <v>0.0351034255289073</v>
      </c>
      <c r="N2822" s="9" t="s">
        <v>789</v>
      </c>
    </row>
    <row r="2823" ht="25" customHeight="1" spans="1:14">
      <c r="A2823" s="9" t="s">
        <v>53</v>
      </c>
      <c r="B2823" s="9" t="s">
        <v>49</v>
      </c>
      <c r="C2823" s="10">
        <v>46031</v>
      </c>
      <c r="D2823" s="15">
        <v>2.1289</v>
      </c>
      <c r="E2823" s="15">
        <v>2.1289</v>
      </c>
      <c r="F2823" s="15">
        <v>2.1289</v>
      </c>
      <c r="G2823" s="11">
        <v>0.0396</v>
      </c>
      <c r="H2823" s="9">
        <f>MAX($F$2174:F2823)</f>
        <v>2.1289</v>
      </c>
      <c r="I2823" s="11">
        <f t="shared" si="73"/>
        <v>0</v>
      </c>
      <c r="J2823" s="9">
        <f>MAX($F$2804:F2823)</f>
        <v>2.1289</v>
      </c>
      <c r="K2823" s="11">
        <f t="shared" si="71"/>
        <v>0</v>
      </c>
      <c r="L2823" s="9">
        <f>MAX($F$2358:F2823)</f>
        <v>2.1289</v>
      </c>
      <c r="M2823" s="11">
        <f t="shared" si="72"/>
        <v>0</v>
      </c>
      <c r="N2823" s="9" t="s">
        <v>789</v>
      </c>
    </row>
    <row r="2824" ht="25" customHeight="1" spans="1:14">
      <c r="A2824" s="9" t="s">
        <v>53</v>
      </c>
      <c r="B2824" s="9" t="s">
        <v>49</v>
      </c>
      <c r="C2824" s="10">
        <v>46038</v>
      </c>
      <c r="D2824" s="15">
        <v>2.1498</v>
      </c>
      <c r="E2824" s="15">
        <v>2.1498</v>
      </c>
      <c r="F2824" s="15">
        <v>2.1498</v>
      </c>
      <c r="G2824" s="11">
        <v>0.0098</v>
      </c>
      <c r="H2824" s="9">
        <f>MAX($F$2174:F2824)</f>
        <v>2.1498</v>
      </c>
      <c r="I2824" s="11">
        <f t="shared" si="73"/>
        <v>0</v>
      </c>
      <c r="J2824" s="9">
        <f>MAX($F$2804:F2824)</f>
        <v>2.1498</v>
      </c>
      <c r="K2824" s="11">
        <f t="shared" si="71"/>
        <v>0</v>
      </c>
      <c r="L2824" s="9">
        <f>MAX($F$2358:F2824)</f>
        <v>2.1498</v>
      </c>
      <c r="M2824" s="11">
        <f t="shared" si="72"/>
        <v>0</v>
      </c>
      <c r="N2824" s="9" t="s">
        <v>789</v>
      </c>
    </row>
    <row r="2825" ht="25" customHeight="1" spans="1:14">
      <c r="A2825" s="9" t="s">
        <v>53</v>
      </c>
      <c r="B2825" s="9" t="s">
        <v>49</v>
      </c>
      <c r="C2825" s="10">
        <v>46045</v>
      </c>
      <c r="D2825" s="15">
        <v>2.3169</v>
      </c>
      <c r="E2825" s="15">
        <v>2.3169</v>
      </c>
      <c r="F2825" s="15">
        <v>2.3169</v>
      </c>
      <c r="G2825" s="11">
        <v>0.0777</v>
      </c>
      <c r="H2825" s="9">
        <f>MAX($F$2174:F2825)</f>
        <v>2.3169</v>
      </c>
      <c r="I2825" s="11">
        <f t="shared" si="73"/>
        <v>0</v>
      </c>
      <c r="J2825" s="9">
        <f>MAX($F$2804:F2825)</f>
        <v>2.3169</v>
      </c>
      <c r="K2825" s="11">
        <f t="shared" si="71"/>
        <v>0</v>
      </c>
      <c r="L2825" s="9">
        <f>MAX($F$2358:F2825)</f>
        <v>2.3169</v>
      </c>
      <c r="M2825" s="11">
        <f t="shared" si="72"/>
        <v>0</v>
      </c>
      <c r="N2825" s="9" t="s">
        <v>789</v>
      </c>
    </row>
    <row r="2826" ht="25" customHeight="1" spans="1:14">
      <c r="A2826" s="9" t="s">
        <v>53</v>
      </c>
      <c r="B2826" s="9" t="s">
        <v>49</v>
      </c>
      <c r="C2826" s="10">
        <v>46052</v>
      </c>
      <c r="D2826" s="15">
        <v>2.3596</v>
      </c>
      <c r="E2826" s="15">
        <v>2.3596</v>
      </c>
      <c r="F2826" s="15">
        <v>2.3596</v>
      </c>
      <c r="G2826" s="11">
        <v>0.0184</v>
      </c>
      <c r="H2826" s="9">
        <f>MAX($F$2174:F2826)</f>
        <v>2.3596</v>
      </c>
      <c r="I2826" s="11">
        <f t="shared" si="73"/>
        <v>0</v>
      </c>
      <c r="J2826" s="9">
        <f>MAX($F$2804:F2826)</f>
        <v>2.3596</v>
      </c>
      <c r="K2826" s="11">
        <f t="shared" si="71"/>
        <v>0</v>
      </c>
      <c r="L2826" s="9">
        <f>MAX($F$2358:F2826)</f>
        <v>2.3596</v>
      </c>
      <c r="M2826" s="11">
        <f t="shared" si="72"/>
        <v>0</v>
      </c>
      <c r="N2826" s="9" t="s">
        <v>789</v>
      </c>
    </row>
    <row r="2827" ht="25" customHeight="1" spans="1:14">
      <c r="A2827" s="9" t="s">
        <v>53</v>
      </c>
      <c r="B2827" s="9" t="s">
        <v>49</v>
      </c>
      <c r="C2827" s="10">
        <v>46059</v>
      </c>
      <c r="D2827" s="15">
        <v>2.0514</v>
      </c>
      <c r="E2827" s="15">
        <v>2.0514</v>
      </c>
      <c r="F2827" s="15">
        <v>2.0514</v>
      </c>
      <c r="G2827" s="11">
        <v>-0.1306</v>
      </c>
      <c r="H2827" s="9">
        <f>MAX($F$2174:F2827)</f>
        <v>2.3596</v>
      </c>
      <c r="I2827" s="11">
        <f t="shared" si="73"/>
        <v>0.130615358535345</v>
      </c>
      <c r="J2827" s="9">
        <f>MAX($F$2804:F2827)</f>
        <v>2.3596</v>
      </c>
      <c r="K2827" s="11">
        <f t="shared" si="71"/>
        <v>0.130615358535345</v>
      </c>
      <c r="L2827" s="9">
        <f>MAX($F$2358:F2827)</f>
        <v>2.3596</v>
      </c>
      <c r="M2827" s="11">
        <f t="shared" si="72"/>
        <v>0.130615358535345</v>
      </c>
      <c r="N2827" s="9" t="s">
        <v>789</v>
      </c>
    </row>
    <row r="2828" ht="25" customHeight="1" spans="1:14">
      <c r="A2828" s="9" t="s">
        <v>53</v>
      </c>
      <c r="B2828" s="9" t="s">
        <v>49</v>
      </c>
      <c r="C2828" s="10">
        <v>46066</v>
      </c>
      <c r="D2828" s="15">
        <v>2.097</v>
      </c>
      <c r="E2828" s="15">
        <v>2.097</v>
      </c>
      <c r="F2828" s="15">
        <v>2.097</v>
      </c>
      <c r="G2828" s="11">
        <v>0.0222</v>
      </c>
      <c r="H2828" s="9">
        <f>MAX($F$2174:F2828)</f>
        <v>2.3596</v>
      </c>
      <c r="I2828" s="11">
        <f t="shared" si="73"/>
        <v>0.111290049160875</v>
      </c>
      <c r="J2828" s="9">
        <f>MAX($F$2804:F2828)</f>
        <v>2.3596</v>
      </c>
      <c r="K2828" s="11">
        <f t="shared" si="71"/>
        <v>0.111290049160875</v>
      </c>
      <c r="L2828" s="9">
        <f>MAX($F$2358:F2828)</f>
        <v>2.3596</v>
      </c>
      <c r="M2828" s="11">
        <f t="shared" si="72"/>
        <v>0.111290049160875</v>
      </c>
      <c r="N2828" s="9" t="s">
        <v>789</v>
      </c>
    </row>
    <row r="2829" ht="25" customHeight="1" spans="1:14">
      <c r="A2829" s="9" t="s">
        <v>53</v>
      </c>
      <c r="B2829" s="9" t="s">
        <v>49</v>
      </c>
      <c r="C2829" s="10">
        <v>46080</v>
      </c>
      <c r="D2829" s="15">
        <v>2.2412</v>
      </c>
      <c r="E2829" s="15">
        <v>2.2412</v>
      </c>
      <c r="F2829" s="15">
        <v>2.2412</v>
      </c>
      <c r="G2829" s="11">
        <v>0.0688</v>
      </c>
      <c r="H2829" s="9">
        <f>MAX($F$2174:F2829)</f>
        <v>2.3596</v>
      </c>
      <c r="I2829" s="11">
        <f t="shared" si="73"/>
        <v>0.0501779962705543</v>
      </c>
      <c r="J2829" s="9">
        <f>MAX($F$2804:F2829)</f>
        <v>2.3596</v>
      </c>
      <c r="K2829" s="11">
        <f t="shared" si="71"/>
        <v>0.0501779962705543</v>
      </c>
      <c r="L2829" s="9">
        <f>MAX($F$2358:F2829)</f>
        <v>2.3596</v>
      </c>
      <c r="M2829" s="11">
        <f t="shared" si="72"/>
        <v>0.0501779962705543</v>
      </c>
      <c r="N2829" s="9" t="s">
        <v>789</v>
      </c>
    </row>
    <row r="2830" ht="25" customHeight="1" spans="1:14">
      <c r="A2830" s="9" t="s">
        <v>53</v>
      </c>
      <c r="B2830" s="9" t="s">
        <v>49</v>
      </c>
      <c r="C2830" s="10">
        <v>46087</v>
      </c>
      <c r="D2830" s="15">
        <v>2.1338</v>
      </c>
      <c r="E2830" s="15">
        <v>2.1338</v>
      </c>
      <c r="F2830" s="15">
        <v>2.1338</v>
      </c>
      <c r="G2830" s="11">
        <v>-0.0479</v>
      </c>
      <c r="H2830" s="9">
        <f>MAX($F$2174:F2830)</f>
        <v>2.3596</v>
      </c>
      <c r="I2830" s="11">
        <f t="shared" si="73"/>
        <v>0.095694185455162</v>
      </c>
      <c r="J2830" s="9">
        <f>MAX($F$2804:F2830)</f>
        <v>2.3596</v>
      </c>
      <c r="K2830" s="11">
        <f t="shared" si="71"/>
        <v>0.095694185455162</v>
      </c>
      <c r="L2830" s="9">
        <f>MAX($F$2358:F2830)</f>
        <v>2.3596</v>
      </c>
      <c r="M2830" s="11">
        <f t="shared" si="72"/>
        <v>0.095694185455162</v>
      </c>
      <c r="N2830" s="9" t="s">
        <v>789</v>
      </c>
    </row>
    <row r="2831" ht="25" customHeight="1" spans="1:14">
      <c r="A2831" s="9" t="s">
        <v>53</v>
      </c>
      <c r="B2831" s="9" t="s">
        <v>49</v>
      </c>
      <c r="C2831" s="10">
        <v>46094</v>
      </c>
      <c r="D2831" s="15">
        <v>2.1256</v>
      </c>
      <c r="E2831" s="15">
        <v>2.1256</v>
      </c>
      <c r="F2831" s="15">
        <v>2.1256</v>
      </c>
      <c r="G2831" s="11">
        <v>-0.0038</v>
      </c>
      <c r="H2831" s="9">
        <f>MAX($F$2174:F2831)</f>
        <v>2.3596</v>
      </c>
      <c r="I2831" s="11">
        <f t="shared" si="73"/>
        <v>0.0991693507374131</v>
      </c>
      <c r="J2831" s="9">
        <f>MAX($F$2804:F2831)</f>
        <v>2.3596</v>
      </c>
      <c r="K2831" s="11">
        <f t="shared" si="71"/>
        <v>0.0991693507374131</v>
      </c>
      <c r="L2831" s="9">
        <f>MAX($F$2358:F2831)</f>
        <v>2.3596</v>
      </c>
      <c r="M2831" s="11">
        <f t="shared" si="72"/>
        <v>0.0991693507374131</v>
      </c>
      <c r="N2831" s="9" t="s">
        <v>789</v>
      </c>
    </row>
    <row r="2832" ht="25" customHeight="1" spans="1:14">
      <c r="A2832" s="9" t="s">
        <v>53</v>
      </c>
      <c r="B2832" s="9" t="s">
        <v>49</v>
      </c>
      <c r="C2832" s="10">
        <v>46101</v>
      </c>
      <c r="D2832" s="15">
        <v>2.0775</v>
      </c>
      <c r="E2832" s="15">
        <v>2.0775</v>
      </c>
      <c r="F2832" s="15">
        <v>2.0775</v>
      </c>
      <c r="G2832" s="11">
        <v>-0.0226</v>
      </c>
      <c r="H2832" s="9">
        <f>MAX($F$2174:F2832)</f>
        <v>2.3596</v>
      </c>
      <c r="I2832" s="11">
        <f t="shared" si="73"/>
        <v>0.119554161722326</v>
      </c>
      <c r="J2832" s="9">
        <f>MAX($F$2804:F2832)</f>
        <v>2.3596</v>
      </c>
      <c r="K2832" s="11">
        <f t="shared" si="71"/>
        <v>0.119554161722326</v>
      </c>
      <c r="L2832" s="9">
        <f>MAX($F$2358:F2832)</f>
        <v>2.3596</v>
      </c>
      <c r="M2832" s="11">
        <f t="shared" si="72"/>
        <v>0.119554161722326</v>
      </c>
      <c r="N2832" s="9" t="s">
        <v>789</v>
      </c>
    </row>
    <row r="2833" ht="25" customHeight="1" spans="1:14">
      <c r="A2833" s="9" t="s">
        <v>53</v>
      </c>
      <c r="B2833" s="9" t="s">
        <v>49</v>
      </c>
      <c r="C2833" s="10">
        <v>46108</v>
      </c>
      <c r="D2833" s="15">
        <v>2.157</v>
      </c>
      <c r="E2833" s="15">
        <v>2.157</v>
      </c>
      <c r="F2833" s="15">
        <v>2.157</v>
      </c>
      <c r="G2833" s="11">
        <v>0.0383</v>
      </c>
      <c r="H2833" s="9">
        <f>MAX($F$2174:F2833)</f>
        <v>2.3596</v>
      </c>
      <c r="I2833" s="11">
        <f t="shared" si="73"/>
        <v>0.0858620105102559</v>
      </c>
      <c r="J2833" s="9">
        <f>MAX($F$2804:F2833)</f>
        <v>2.3596</v>
      </c>
      <c r="K2833" s="11">
        <f t="shared" si="71"/>
        <v>0.0858620105102559</v>
      </c>
      <c r="L2833" s="9">
        <f>MAX($F$2358:F2833)</f>
        <v>2.3596</v>
      </c>
      <c r="M2833" s="11">
        <f t="shared" si="72"/>
        <v>0.0858620105102559</v>
      </c>
      <c r="N2833" s="9" t="s">
        <v>789</v>
      </c>
    </row>
    <row r="2834" ht="25" customHeight="1" spans="1:14">
      <c r="A2834" s="9" t="s">
        <v>53</v>
      </c>
      <c r="B2834" s="9" t="s">
        <v>49</v>
      </c>
      <c r="C2834" s="10">
        <v>46115</v>
      </c>
      <c r="D2834" s="15">
        <v>2.2095</v>
      </c>
      <c r="E2834" s="15">
        <v>2.2095</v>
      </c>
      <c r="F2834" s="15">
        <v>2.2095</v>
      </c>
      <c r="G2834" s="11">
        <v>0.0243</v>
      </c>
      <c r="H2834" s="9">
        <f>MAX($F$2174:F2834)</f>
        <v>2.3596</v>
      </c>
      <c r="I2834" s="11">
        <f t="shared" si="73"/>
        <v>0.0636124766909646</v>
      </c>
      <c r="J2834" s="9">
        <f>MAX($F$2804:F2834)</f>
        <v>2.3596</v>
      </c>
      <c r="K2834" s="11">
        <f t="shared" si="71"/>
        <v>0.0636124766909646</v>
      </c>
      <c r="L2834" s="9">
        <f>MAX($F$2358:F2834)</f>
        <v>2.3596</v>
      </c>
      <c r="M2834" s="11">
        <f t="shared" si="72"/>
        <v>0.0636124766909646</v>
      </c>
      <c r="N2834" s="9" t="s">
        <v>789</v>
      </c>
    </row>
    <row r="2835" ht="25" customHeight="1" spans="1:14">
      <c r="A2835" s="9" t="s">
        <v>53</v>
      </c>
      <c r="B2835" s="9" t="s">
        <v>49</v>
      </c>
      <c r="C2835" s="10">
        <v>46122</v>
      </c>
      <c r="D2835" s="15">
        <v>2.2326</v>
      </c>
      <c r="E2835" s="15">
        <v>2.2326</v>
      </c>
      <c r="F2835" s="15">
        <v>2.2326</v>
      </c>
      <c r="G2835" s="11">
        <v>0.0105</v>
      </c>
      <c r="H2835" s="9">
        <f>MAX($F$2174:F2835)</f>
        <v>2.3596</v>
      </c>
      <c r="I2835" s="11">
        <f t="shared" si="73"/>
        <v>0.0538226818104762</v>
      </c>
      <c r="J2835" s="9">
        <f>MAX($F$2804:F2835)</f>
        <v>2.3596</v>
      </c>
      <c r="K2835" s="11">
        <f t="shared" si="71"/>
        <v>0.0538226818104762</v>
      </c>
      <c r="L2835" s="9">
        <f>MAX($F$2358:F2835)</f>
        <v>2.3596</v>
      </c>
      <c r="M2835" s="11">
        <f t="shared" si="72"/>
        <v>0.0538226818104762</v>
      </c>
      <c r="N2835" s="9" t="s">
        <v>789</v>
      </c>
    </row>
    <row r="2836" ht="25" customHeight="1" spans="1:14">
      <c r="A2836" s="9" t="s">
        <v>53</v>
      </c>
      <c r="B2836" s="9" t="s">
        <v>49</v>
      </c>
      <c r="C2836" s="10">
        <v>46129</v>
      </c>
      <c r="D2836" s="15">
        <v>2.2621</v>
      </c>
      <c r="E2836" s="15">
        <v>2.2621</v>
      </c>
      <c r="F2836" s="15">
        <v>2.2621</v>
      </c>
      <c r="G2836" s="11">
        <v>0.0132</v>
      </c>
      <c r="H2836" s="9">
        <f>MAX($F$2174:F2836)</f>
        <v>2.3596</v>
      </c>
      <c r="I2836" s="11">
        <f t="shared" si="73"/>
        <v>0.0413205628072554</v>
      </c>
      <c r="J2836" s="9">
        <f>MAX($F$2804:F2836)</f>
        <v>2.3596</v>
      </c>
      <c r="K2836" s="11">
        <f t="shared" si="71"/>
        <v>0.0413205628072554</v>
      </c>
      <c r="L2836" s="9">
        <f>MAX($F$2358:F2836)</f>
        <v>2.3596</v>
      </c>
      <c r="M2836" s="11">
        <f t="shared" si="72"/>
        <v>0.0413205628072554</v>
      </c>
      <c r="N2836" s="9" t="s">
        <v>789</v>
      </c>
    </row>
    <row r="2837" ht="25" customHeight="1" spans="1:14">
      <c r="A2837" s="9" t="s">
        <v>53</v>
      </c>
      <c r="B2837" s="9" t="s">
        <v>49</v>
      </c>
      <c r="C2837" s="10">
        <v>46136</v>
      </c>
      <c r="D2837" s="15">
        <v>2.2047</v>
      </c>
      <c r="E2837" s="15">
        <v>2.2047</v>
      </c>
      <c r="F2837" s="15">
        <v>2.2047</v>
      </c>
      <c r="G2837" s="11">
        <v>-0.0254</v>
      </c>
      <c r="H2837" s="9">
        <f>MAX($F$2174:F2837)</f>
        <v>2.3596</v>
      </c>
      <c r="I2837" s="11">
        <f t="shared" si="73"/>
        <v>0.0656467197830141</v>
      </c>
      <c r="J2837" s="9">
        <f>MAX($F$2804:F2837)</f>
        <v>2.3596</v>
      </c>
      <c r="K2837" s="11">
        <f t="shared" si="71"/>
        <v>0.0656467197830141</v>
      </c>
      <c r="L2837" s="9">
        <f>MAX($F$2358:F2837)</f>
        <v>2.3596</v>
      </c>
      <c r="M2837" s="11">
        <f t="shared" si="72"/>
        <v>0.0656467197830141</v>
      </c>
      <c r="N2837" s="9" t="s">
        <v>789</v>
      </c>
    </row>
    <row r="2838" ht="25" customHeight="1" spans="1:14">
      <c r="A2838" s="9" t="s">
        <v>53</v>
      </c>
      <c r="B2838" s="9" t="s">
        <v>49</v>
      </c>
      <c r="C2838" s="10">
        <v>46142</v>
      </c>
      <c r="D2838" s="15">
        <v>2.2049</v>
      </c>
      <c r="E2838" s="15">
        <v>2.2049</v>
      </c>
      <c r="F2838" s="15">
        <v>2.2049</v>
      </c>
      <c r="G2838" s="11">
        <v>0.0001</v>
      </c>
      <c r="H2838" s="9">
        <f>MAX($F$2174:F2838)</f>
        <v>2.3596</v>
      </c>
      <c r="I2838" s="11">
        <f t="shared" si="73"/>
        <v>0.0655619596541787</v>
      </c>
      <c r="J2838" s="9">
        <f>MAX($F$2804:F2838)</f>
        <v>2.3596</v>
      </c>
      <c r="K2838" s="11">
        <f t="shared" si="71"/>
        <v>0.0655619596541787</v>
      </c>
      <c r="L2838" s="9">
        <f>MAX($F$2358:F2838)</f>
        <v>2.3596</v>
      </c>
      <c r="M2838" s="11">
        <f t="shared" si="72"/>
        <v>0.0655619596541787</v>
      </c>
      <c r="N2838" s="9" t="s">
        <v>789</v>
      </c>
    </row>
    <row r="2839" ht="25" customHeight="1" spans="1:14">
      <c r="A2839" s="9" t="s">
        <v>53</v>
      </c>
      <c r="B2839" s="9" t="s">
        <v>49</v>
      </c>
      <c r="C2839" s="10">
        <v>46150</v>
      </c>
      <c r="D2839" s="15">
        <v>2.2403</v>
      </c>
      <c r="E2839" s="15">
        <v>2.2403</v>
      </c>
      <c r="F2839" s="15">
        <v>2.2403</v>
      </c>
      <c r="G2839" s="11">
        <v>0.0161</v>
      </c>
      <c r="H2839" s="9">
        <f>MAX($F$2174:F2839)</f>
        <v>2.3596</v>
      </c>
      <c r="I2839" s="11">
        <f t="shared" si="73"/>
        <v>0.0505594168503136</v>
      </c>
      <c r="J2839" s="9">
        <f>MAX($F$2804:F2839)</f>
        <v>2.3596</v>
      </c>
      <c r="K2839" s="11">
        <f t="shared" si="71"/>
        <v>0.0505594168503136</v>
      </c>
      <c r="L2839" s="9">
        <f>MAX($F$2358:F2839)</f>
        <v>2.3596</v>
      </c>
      <c r="M2839" s="11">
        <f t="shared" si="72"/>
        <v>0.0505594168503136</v>
      </c>
      <c r="N2839" s="9" t="s">
        <v>789</v>
      </c>
    </row>
    <row r="2840" ht="25" customHeight="1" spans="1:14">
      <c r="A2840" s="9" t="s">
        <v>53</v>
      </c>
      <c r="B2840" s="9" t="s">
        <v>49</v>
      </c>
      <c r="C2840" s="10">
        <v>46157</v>
      </c>
      <c r="D2840" s="15">
        <v>2.237</v>
      </c>
      <c r="E2840" s="15">
        <v>2.237</v>
      </c>
      <c r="F2840" s="15">
        <v>2.237</v>
      </c>
      <c r="G2840" s="11">
        <v>-0.0015</v>
      </c>
      <c r="H2840" s="9">
        <f>MAX($F$2174:F2840)</f>
        <v>2.3596</v>
      </c>
      <c r="I2840" s="11">
        <f t="shared" si="73"/>
        <v>0.0519579589760976</v>
      </c>
      <c r="J2840" s="9">
        <f>MAX($F$2804:F2840)</f>
        <v>2.3596</v>
      </c>
      <c r="K2840" s="11">
        <f t="shared" si="71"/>
        <v>0.0519579589760976</v>
      </c>
      <c r="L2840" s="9">
        <f>MAX($F$2358:F2840)</f>
        <v>2.3596</v>
      </c>
      <c r="M2840" s="11">
        <f t="shared" si="72"/>
        <v>0.0519579589760976</v>
      </c>
      <c r="N2840" s="9" t="s">
        <v>789</v>
      </c>
    </row>
    <row r="2841" ht="25" customHeight="1" spans="1:14">
      <c r="A2841" s="9" t="s">
        <v>53</v>
      </c>
      <c r="B2841" s="9" t="s">
        <v>49</v>
      </c>
      <c r="C2841" s="10">
        <v>46164</v>
      </c>
      <c r="D2841" s="15">
        <v>2.1955</v>
      </c>
      <c r="E2841" s="15">
        <v>2.1955</v>
      </c>
      <c r="F2841" s="15">
        <v>2.1955</v>
      </c>
      <c r="G2841" s="11">
        <v>-0.0186</v>
      </c>
      <c r="H2841" s="9">
        <f>MAX($F$2174:F2841)</f>
        <v>2.3596</v>
      </c>
      <c r="I2841" s="11">
        <f t="shared" si="73"/>
        <v>0.0695456857094422</v>
      </c>
      <c r="J2841" s="9">
        <f>MAX($F$2804:F2841)</f>
        <v>2.3596</v>
      </c>
      <c r="K2841" s="11">
        <f t="shared" si="71"/>
        <v>0.0695456857094422</v>
      </c>
      <c r="L2841" s="9">
        <f>MAX($F$2358:F2841)</f>
        <v>2.3596</v>
      </c>
      <c r="M2841" s="11">
        <f t="shared" si="72"/>
        <v>0.0695456857094422</v>
      </c>
      <c r="N2841" s="9" t="s">
        <v>789</v>
      </c>
    </row>
    <row r="2842" ht="25" customHeight="1" spans="1:14">
      <c r="A2842" s="9" t="s">
        <v>53</v>
      </c>
      <c r="B2842" s="9" t="s">
        <v>49</v>
      </c>
      <c r="C2842" s="10">
        <v>46171</v>
      </c>
      <c r="D2842" s="15">
        <v>2.1684</v>
      </c>
      <c r="E2842" s="15">
        <v>2.1684</v>
      </c>
      <c r="F2842" s="15">
        <v>2.1684</v>
      </c>
      <c r="G2842" s="11">
        <v>-0.0123</v>
      </c>
      <c r="H2842" s="9">
        <f>MAX($F$2174:F2842)</f>
        <v>2.3596</v>
      </c>
      <c r="I2842" s="11">
        <f t="shared" si="73"/>
        <v>0.0810306831666383</v>
      </c>
      <c r="J2842" s="9">
        <f>MAX($F$2804:F2842)</f>
        <v>2.3596</v>
      </c>
      <c r="K2842" s="11">
        <f t="shared" si="71"/>
        <v>0.0810306831666383</v>
      </c>
      <c r="L2842" s="9">
        <f>MAX($F$2358:F2842)</f>
        <v>2.3596</v>
      </c>
      <c r="M2842" s="11">
        <f t="shared" si="72"/>
        <v>0.0810306831666383</v>
      </c>
      <c r="N2842" s="9" t="s">
        <v>789</v>
      </c>
    </row>
    <row r="2843" ht="25" customHeight="1" spans="1:14">
      <c r="A2843" s="9" t="s">
        <v>53</v>
      </c>
      <c r="B2843" s="9" t="s">
        <v>49</v>
      </c>
      <c r="C2843" s="10">
        <v>46178</v>
      </c>
      <c r="D2843" s="15">
        <v>2.1726</v>
      </c>
      <c r="E2843" s="15">
        <v>2.1726</v>
      </c>
      <c r="F2843" s="15">
        <v>2.1726</v>
      </c>
      <c r="G2843" s="11">
        <v>0.0019</v>
      </c>
      <c r="H2843" s="9">
        <f>MAX($F$2174:F2843)</f>
        <v>2.3596</v>
      </c>
      <c r="I2843" s="11">
        <f t="shared" si="73"/>
        <v>0.079250720461095</v>
      </c>
      <c r="J2843" s="9">
        <f>MAX($F$2804:F2843)</f>
        <v>2.3596</v>
      </c>
      <c r="K2843" s="11">
        <f t="shared" si="71"/>
        <v>0.079250720461095</v>
      </c>
      <c r="L2843" s="9">
        <f>MAX($F$2358:F2843)</f>
        <v>2.3596</v>
      </c>
      <c r="M2843" s="11">
        <f t="shared" si="72"/>
        <v>0.079250720461095</v>
      </c>
      <c r="N2843" s="9" t="s">
        <v>789</v>
      </c>
    </row>
    <row r="2844" ht="25" customHeight="1" spans="1:14">
      <c r="A2844" s="9" t="s">
        <v>53</v>
      </c>
      <c r="B2844" s="9" t="s">
        <v>49</v>
      </c>
      <c r="C2844" s="10">
        <v>46185</v>
      </c>
      <c r="D2844" s="15">
        <v>2.1503</v>
      </c>
      <c r="E2844" s="15">
        <v>2.1503</v>
      </c>
      <c r="F2844" s="15">
        <v>2.1503</v>
      </c>
      <c r="G2844" s="11">
        <v>-0.0103</v>
      </c>
      <c r="H2844" s="9">
        <f>MAX($F$2174:F2844)</f>
        <v>2.3596</v>
      </c>
      <c r="I2844" s="11">
        <f t="shared" si="73"/>
        <v>0.0887014748262417</v>
      </c>
      <c r="J2844" s="9">
        <f>MAX($F$2804:F2844)</f>
        <v>2.3596</v>
      </c>
      <c r="K2844" s="11">
        <f t="shared" si="71"/>
        <v>0.0887014748262417</v>
      </c>
      <c r="L2844" s="9">
        <f>MAX($F$2358:F2844)</f>
        <v>2.3596</v>
      </c>
      <c r="M2844" s="11">
        <f t="shared" si="72"/>
        <v>0.0887014748262417</v>
      </c>
      <c r="N2844" s="9" t="s">
        <v>789</v>
      </c>
    </row>
    <row r="2845" ht="25" customHeight="1" spans="1:14">
      <c r="A2845" s="9" t="s">
        <v>53</v>
      </c>
      <c r="B2845" s="9" t="s">
        <v>49</v>
      </c>
      <c r="C2845" s="10">
        <v>46191</v>
      </c>
      <c r="D2845" s="15">
        <v>2.156</v>
      </c>
      <c r="E2845" s="15">
        <v>2.156</v>
      </c>
      <c r="F2845" s="15">
        <v>2.156</v>
      </c>
      <c r="G2845" s="11">
        <v>0.0027</v>
      </c>
      <c r="H2845" s="9">
        <f>MAX($F$2174:F2845)</f>
        <v>2.3596</v>
      </c>
      <c r="I2845" s="11">
        <f t="shared" si="73"/>
        <v>0.0862858111544329</v>
      </c>
      <c r="J2845" s="9">
        <f>MAX($F$2804:F2845)</f>
        <v>2.3596</v>
      </c>
      <c r="K2845" s="11">
        <f t="shared" si="71"/>
        <v>0.0862858111544329</v>
      </c>
      <c r="L2845" s="9">
        <f>MAX($F$2358:F2845)</f>
        <v>2.3596</v>
      </c>
      <c r="M2845" s="11">
        <f t="shared" si="72"/>
        <v>0.0862858111544329</v>
      </c>
      <c r="N2845" s="9" t="s">
        <v>789</v>
      </c>
    </row>
    <row r="2846" ht="25" customHeight="1" spans="1:14">
      <c r="A2846" s="9" t="s">
        <v>53</v>
      </c>
      <c r="B2846" s="9" t="s">
        <v>49</v>
      </c>
      <c r="C2846" s="10">
        <v>46199</v>
      </c>
      <c r="D2846" s="15">
        <v>2.1281</v>
      </c>
      <c r="E2846" s="15">
        <v>2.1281</v>
      </c>
      <c r="F2846" s="15">
        <v>2.1281</v>
      </c>
      <c r="G2846" s="11">
        <v>-0.0129</v>
      </c>
      <c r="H2846" s="9">
        <f>MAX($F$2174:F2846)</f>
        <v>2.3596</v>
      </c>
      <c r="I2846" s="11">
        <f t="shared" si="73"/>
        <v>0.0981098491269707</v>
      </c>
      <c r="J2846" s="9">
        <f>MAX($F$2804:F2846)</f>
        <v>2.3596</v>
      </c>
      <c r="K2846" s="11">
        <f t="shared" si="71"/>
        <v>0.0981098491269707</v>
      </c>
      <c r="L2846" s="9">
        <f>MAX($F$2358:F2846)</f>
        <v>2.3596</v>
      </c>
      <c r="M2846" s="11">
        <f t="shared" si="72"/>
        <v>0.0981098491269707</v>
      </c>
      <c r="N2846" s="9" t="s">
        <v>789</v>
      </c>
    </row>
    <row r="2847" ht="25" customHeight="1" spans="1:14">
      <c r="A2847" s="9" t="s">
        <v>53</v>
      </c>
      <c r="B2847" s="9" t="s">
        <v>49</v>
      </c>
      <c r="C2847" s="10">
        <v>46206</v>
      </c>
      <c r="D2847" s="15">
        <v>2.1698</v>
      </c>
      <c r="E2847" s="15">
        <v>2.1698</v>
      </c>
      <c r="F2847" s="15">
        <v>2.1698</v>
      </c>
      <c r="G2847" s="11">
        <v>0.0196</v>
      </c>
      <c r="H2847" s="9">
        <f>MAX($F$2174:F2847)</f>
        <v>2.3596</v>
      </c>
      <c r="I2847" s="11">
        <f t="shared" si="73"/>
        <v>0.0804373622647906</v>
      </c>
      <c r="J2847" s="9">
        <f>MAX($F$2804:F2847)</f>
        <v>2.3596</v>
      </c>
      <c r="K2847" s="11">
        <f t="shared" si="71"/>
        <v>0.0804373622647906</v>
      </c>
      <c r="L2847" s="9">
        <f>MAX($F$2358:F2847)</f>
        <v>2.3596</v>
      </c>
      <c r="M2847" s="11">
        <f t="shared" si="72"/>
        <v>0.0804373622647906</v>
      </c>
      <c r="N2847" s="9" t="s">
        <v>789</v>
      </c>
    </row>
    <row r="2848" ht="25" customHeight="1" spans="1:14">
      <c r="A2848" s="9" t="s">
        <v>53</v>
      </c>
      <c r="B2848" s="9" t="s">
        <v>49</v>
      </c>
      <c r="C2848" s="10">
        <v>46213</v>
      </c>
      <c r="D2848" s="15">
        <v>2.2086</v>
      </c>
      <c r="E2848" s="15">
        <v>2.2086</v>
      </c>
      <c r="F2848" s="15">
        <v>2.2086</v>
      </c>
      <c r="G2848" s="11">
        <v>0.0179</v>
      </c>
      <c r="H2848" s="9">
        <f>MAX($F$2174:F2848)</f>
        <v>2.3596</v>
      </c>
      <c r="I2848" s="11">
        <f t="shared" si="73"/>
        <v>0.0639938972707238</v>
      </c>
      <c r="J2848" s="9">
        <f>MAX($F$2804:F2848)</f>
        <v>2.3596</v>
      </c>
      <c r="K2848" s="11">
        <f t="shared" si="71"/>
        <v>0.0639938972707238</v>
      </c>
      <c r="L2848" s="9">
        <f>MAX($F$2358:F2848)</f>
        <v>2.3596</v>
      </c>
      <c r="M2848" s="11">
        <f t="shared" si="72"/>
        <v>0.0639938972707238</v>
      </c>
      <c r="N2848" s="9" t="s">
        <v>789</v>
      </c>
    </row>
    <row r="2849" ht="25" customHeight="1" spans="1:14">
      <c r="A2849" s="9" t="s">
        <v>53</v>
      </c>
      <c r="B2849" s="9" t="s">
        <v>49</v>
      </c>
      <c r="C2849" s="10">
        <v>46220</v>
      </c>
      <c r="D2849" s="15">
        <v>2.1935</v>
      </c>
      <c r="E2849" s="15">
        <v>2.1935</v>
      </c>
      <c r="F2849" s="15">
        <v>2.1935</v>
      </c>
      <c r="G2849" s="11">
        <v>-0.0068</v>
      </c>
      <c r="H2849" s="9">
        <f>MAX($F$2174:F2849)</f>
        <v>2.3596</v>
      </c>
      <c r="I2849" s="11">
        <f t="shared" si="73"/>
        <v>0.0703932869977963</v>
      </c>
      <c r="J2849" s="9">
        <f>MAX($F$2804:F2849)</f>
        <v>2.3596</v>
      </c>
      <c r="K2849" s="11">
        <f t="shared" si="71"/>
        <v>0.0703932869977963</v>
      </c>
      <c r="L2849" s="9">
        <f>MAX($F$2358:F2849)</f>
        <v>2.3596</v>
      </c>
      <c r="M2849" s="11">
        <f t="shared" si="72"/>
        <v>0.0703932869977963</v>
      </c>
      <c r="N2849" s="9" t="s">
        <v>789</v>
      </c>
    </row>
    <row r="2850" ht="25" customHeight="1" spans="1:14">
      <c r="A2850" s="9" t="s">
        <v>53</v>
      </c>
      <c r="B2850" s="9" t="s">
        <v>49</v>
      </c>
      <c r="C2850" s="10">
        <v>46227</v>
      </c>
      <c r="D2850" s="15">
        <v>2.1843</v>
      </c>
      <c r="E2850" s="15">
        <v>2.1843</v>
      </c>
      <c r="F2850" s="15">
        <v>2.1843</v>
      </c>
      <c r="G2850" s="11">
        <v>-0.0042</v>
      </c>
      <c r="H2850" s="9">
        <f>MAX($F$2174:F2850)</f>
        <v>2.3596</v>
      </c>
      <c r="I2850" s="11">
        <f t="shared" si="73"/>
        <v>0.0742922529242245</v>
      </c>
      <c r="J2850" s="9">
        <f>MAX($F$2804:F2850)</f>
        <v>2.3596</v>
      </c>
      <c r="K2850" s="11">
        <f t="shared" si="71"/>
        <v>0.0742922529242245</v>
      </c>
      <c r="L2850" s="9">
        <f>MAX($F$2358:F2850)</f>
        <v>2.3596</v>
      </c>
      <c r="M2850" s="11">
        <f t="shared" si="72"/>
        <v>0.0742922529242245</v>
      </c>
      <c r="N2850" s="9" t="s">
        <v>789</v>
      </c>
    </row>
    <row r="2851" ht="25" customHeight="1" spans="1:14">
      <c r="A2851" s="9" t="s">
        <v>53</v>
      </c>
      <c r="B2851" s="9" t="s">
        <v>49</v>
      </c>
      <c r="C2851" s="10">
        <v>46234</v>
      </c>
      <c r="D2851" s="15">
        <v>2.2036</v>
      </c>
      <c r="E2851" s="15">
        <v>2.2036</v>
      </c>
      <c r="F2851" s="15">
        <v>2.2036</v>
      </c>
      <c r="G2851" s="11">
        <v>0.0088</v>
      </c>
      <c r="H2851" s="9">
        <f>MAX($F$2174:F2851)</f>
        <v>2.3596</v>
      </c>
      <c r="I2851" s="11">
        <f t="shared" si="73"/>
        <v>0.0661129004916088</v>
      </c>
      <c r="J2851" s="9">
        <f>MAX($F$2804:F2851)</f>
        <v>2.3596</v>
      </c>
      <c r="K2851" s="11">
        <f t="shared" si="71"/>
        <v>0.0661129004916088</v>
      </c>
      <c r="L2851" s="9">
        <f>MAX($F$2358:F2851)</f>
        <v>2.3596</v>
      </c>
      <c r="M2851" s="11">
        <f t="shared" si="72"/>
        <v>0.0661129004916088</v>
      </c>
      <c r="N2851" s="9" t="s">
        <v>789</v>
      </c>
    </row>
    <row r="2852" ht="25" customHeight="1" spans="1:14">
      <c r="A2852" s="9" t="s">
        <v>53</v>
      </c>
      <c r="B2852" s="9" t="s">
        <v>49</v>
      </c>
      <c r="C2852" s="10">
        <v>46241</v>
      </c>
      <c r="D2852" s="15">
        <v>2.2134</v>
      </c>
      <c r="E2852" s="15">
        <v>2.2134</v>
      </c>
      <c r="F2852" s="15">
        <v>2.2134</v>
      </c>
      <c r="G2852" s="11">
        <v>0.0044</v>
      </c>
      <c r="H2852" s="9">
        <f>MAX($F$2174:F2852)</f>
        <v>2.3596</v>
      </c>
      <c r="I2852" s="11">
        <f t="shared" si="73"/>
        <v>0.0619596541786743</v>
      </c>
      <c r="J2852" s="9">
        <f>MAX($F$2804:F2852)</f>
        <v>2.3596</v>
      </c>
      <c r="K2852" s="11">
        <f t="shared" si="71"/>
        <v>0.0619596541786743</v>
      </c>
      <c r="L2852" s="9">
        <f>MAX($F$2358:F2852)</f>
        <v>2.3596</v>
      </c>
      <c r="M2852" s="11">
        <f t="shared" si="72"/>
        <v>0.0619596541786743</v>
      </c>
      <c r="N2852" s="9" t="s">
        <v>789</v>
      </c>
    </row>
    <row r="2853" ht="25" customHeight="1" spans="1:14">
      <c r="A2853" s="9" t="s">
        <v>53</v>
      </c>
      <c r="B2853" s="9" t="s">
        <v>49</v>
      </c>
      <c r="C2853" s="10">
        <v>46248</v>
      </c>
      <c r="D2853" s="15">
        <v>2.2086</v>
      </c>
      <c r="E2853" s="15">
        <v>2.2086</v>
      </c>
      <c r="F2853" s="15">
        <v>2.2086</v>
      </c>
      <c r="G2853" s="11">
        <v>-0.0022</v>
      </c>
      <c r="H2853" s="9">
        <f>MAX($F$2174:F2853)</f>
        <v>2.3596</v>
      </c>
      <c r="I2853" s="11">
        <f t="shared" si="73"/>
        <v>0.0639938972707238</v>
      </c>
      <c r="J2853" s="9">
        <f>MAX($F$2804:F2853)</f>
        <v>2.3596</v>
      </c>
      <c r="K2853" s="11">
        <f t="shared" si="71"/>
        <v>0.0639938972707238</v>
      </c>
      <c r="L2853" s="9">
        <f>MAX($F$2358:F2853)</f>
        <v>2.3596</v>
      </c>
      <c r="M2853" s="11">
        <f t="shared" si="72"/>
        <v>0.0639938972707238</v>
      </c>
      <c r="N2853" s="9" t="s">
        <v>789</v>
      </c>
    </row>
    <row r="2854" ht="25" customHeight="1" spans="1:14">
      <c r="A2854" s="9" t="s">
        <v>53</v>
      </c>
      <c r="B2854" s="9" t="s">
        <v>49</v>
      </c>
      <c r="C2854" s="10">
        <v>46255</v>
      </c>
      <c r="D2854" s="15">
        <v>2.2455</v>
      </c>
      <c r="E2854" s="15">
        <v>2.2455</v>
      </c>
      <c r="F2854" s="15">
        <v>2.2455</v>
      </c>
      <c r="G2854" s="11">
        <v>0.0167</v>
      </c>
      <c r="H2854" s="9">
        <f>MAX($F$2174:F2854)</f>
        <v>2.3596</v>
      </c>
      <c r="I2854" s="11">
        <f t="shared" si="73"/>
        <v>0.0483556535005933</v>
      </c>
      <c r="J2854" s="9">
        <f>MAX($F$2804:F2854)</f>
        <v>2.3596</v>
      </c>
      <c r="K2854" s="11">
        <f t="shared" si="71"/>
        <v>0.0483556535005933</v>
      </c>
      <c r="L2854" s="9">
        <f>MAX($F$2358:F2854)</f>
        <v>2.3596</v>
      </c>
      <c r="M2854" s="11">
        <f t="shared" si="72"/>
        <v>0.0483556535005933</v>
      </c>
      <c r="N2854" s="9" t="s">
        <v>789</v>
      </c>
    </row>
    <row r="2855" ht="25" customHeight="1" spans="1:14">
      <c r="A2855" s="9" t="s">
        <v>53</v>
      </c>
      <c r="B2855" s="9" t="s">
        <v>49</v>
      </c>
      <c r="C2855" s="10">
        <v>46262</v>
      </c>
      <c r="D2855" s="15">
        <v>2.2816</v>
      </c>
      <c r="E2855" s="15">
        <v>2.2816</v>
      </c>
      <c r="F2855" s="15">
        <v>2.2816</v>
      </c>
      <c r="G2855" s="11">
        <v>0.0161</v>
      </c>
      <c r="H2855" s="9">
        <f>MAX($F$2174:F2855)</f>
        <v>2.3596</v>
      </c>
      <c r="I2855" s="11">
        <f t="shared" si="73"/>
        <v>0.0330564502458043</v>
      </c>
      <c r="J2855" s="9">
        <f>MAX($F$2804:F2855)</f>
        <v>2.3596</v>
      </c>
      <c r="K2855" s="11">
        <f t="shared" si="71"/>
        <v>0.0330564502458043</v>
      </c>
      <c r="L2855" s="9">
        <f>MAX($F$2358:F2855)</f>
        <v>2.3596</v>
      </c>
      <c r="M2855" s="11">
        <f t="shared" si="72"/>
        <v>0.0330564502458043</v>
      </c>
      <c r="N2855" s="9" t="s">
        <v>789</v>
      </c>
    </row>
    <row r="2856" ht="25" customHeight="1" spans="1:14">
      <c r="A2856" s="9" t="s">
        <v>53</v>
      </c>
      <c r="B2856" s="9" t="s">
        <v>49</v>
      </c>
      <c r="C2856" s="10">
        <v>46269</v>
      </c>
      <c r="D2856" s="15">
        <v>2.2818</v>
      </c>
      <c r="E2856" s="15">
        <v>2.2818</v>
      </c>
      <c r="F2856" s="15">
        <v>2.2818</v>
      </c>
      <c r="G2856" s="11">
        <v>0.0001</v>
      </c>
      <c r="H2856" s="9">
        <f>MAX($F$2174:F2856)</f>
        <v>2.3596</v>
      </c>
      <c r="I2856" s="11">
        <f t="shared" si="73"/>
        <v>0.0329716901169689</v>
      </c>
      <c r="J2856" s="9">
        <f>MAX($F$2804:F2856)</f>
        <v>2.3596</v>
      </c>
      <c r="K2856" s="11">
        <f t="shared" si="71"/>
        <v>0.0329716901169689</v>
      </c>
      <c r="L2856" s="9">
        <f>MAX($F$2358:F2856)</f>
        <v>2.3596</v>
      </c>
      <c r="M2856" s="11">
        <f t="shared" si="72"/>
        <v>0.0329716901169689</v>
      </c>
      <c r="N2856" s="9" t="s">
        <v>789</v>
      </c>
    </row>
    <row r="2857" ht="25" customHeight="1" spans="1:14">
      <c r="A2857" s="9" t="s">
        <v>238</v>
      </c>
      <c r="B2857" s="9" t="s">
        <v>235</v>
      </c>
      <c r="C2857" s="10">
        <v>46049</v>
      </c>
      <c r="D2857" s="15">
        <v>1</v>
      </c>
      <c r="E2857" s="15">
        <v>1</v>
      </c>
      <c r="F2857" s="15">
        <v>1</v>
      </c>
      <c r="G2857" s="11"/>
      <c r="H2857" s="9">
        <f>MAX($F$2857:F2857)</f>
        <v>1</v>
      </c>
      <c r="I2857" s="11">
        <f t="shared" si="73"/>
        <v>0</v>
      </c>
      <c r="J2857" s="9"/>
      <c r="K2857" s="11"/>
      <c r="L2857" s="9"/>
      <c r="M2857" s="11"/>
      <c r="N2857" s="9" t="s">
        <v>805</v>
      </c>
    </row>
    <row r="2858" ht="25" customHeight="1" spans="1:14">
      <c r="A2858" s="9" t="s">
        <v>238</v>
      </c>
      <c r="B2858" s="9" t="s">
        <v>235</v>
      </c>
      <c r="C2858" s="10">
        <v>46050</v>
      </c>
      <c r="D2858" s="15">
        <v>1.0001</v>
      </c>
      <c r="E2858" s="15">
        <v>1.0001</v>
      </c>
      <c r="F2858" s="15">
        <v>1.0001</v>
      </c>
      <c r="G2858" s="11">
        <v>0.0001</v>
      </c>
      <c r="H2858" s="9">
        <f>MAX($F$2857:F2858)</f>
        <v>1.0001</v>
      </c>
      <c r="I2858" s="11">
        <f t="shared" si="73"/>
        <v>0</v>
      </c>
      <c r="J2858" s="9"/>
      <c r="K2858" s="11"/>
      <c r="L2858" s="9"/>
      <c r="M2858" s="11"/>
      <c r="N2858" s="9" t="s">
        <v>805</v>
      </c>
    </row>
    <row r="2859" ht="25" customHeight="1" spans="1:14">
      <c r="A2859" s="9" t="s">
        <v>238</v>
      </c>
      <c r="B2859" s="9" t="s">
        <v>235</v>
      </c>
      <c r="C2859" s="10">
        <v>46051</v>
      </c>
      <c r="D2859" s="15">
        <v>1.0001</v>
      </c>
      <c r="E2859" s="15">
        <v>1.0001</v>
      </c>
      <c r="F2859" s="15">
        <v>1.0001</v>
      </c>
      <c r="G2859" s="11">
        <v>0</v>
      </c>
      <c r="H2859" s="9">
        <f>MAX($F$2857:F2859)</f>
        <v>1.0001</v>
      </c>
      <c r="I2859" s="11">
        <f t="shared" si="73"/>
        <v>0</v>
      </c>
      <c r="J2859" s="9"/>
      <c r="K2859" s="11"/>
      <c r="L2859" s="9"/>
      <c r="M2859" s="11"/>
      <c r="N2859" s="9" t="s">
        <v>805</v>
      </c>
    </row>
    <row r="2860" ht="25" customHeight="1" spans="1:14">
      <c r="A2860" s="9" t="s">
        <v>238</v>
      </c>
      <c r="B2860" s="9" t="s">
        <v>235</v>
      </c>
      <c r="C2860" s="10">
        <v>46052</v>
      </c>
      <c r="D2860" s="15">
        <v>1.0001</v>
      </c>
      <c r="E2860" s="15">
        <v>1.0001</v>
      </c>
      <c r="F2860" s="15">
        <v>1.0001</v>
      </c>
      <c r="G2860" s="11">
        <v>0</v>
      </c>
      <c r="H2860" s="9">
        <f>MAX($F$2857:F2860)</f>
        <v>1.0001</v>
      </c>
      <c r="I2860" s="11">
        <f t="shared" si="73"/>
        <v>0</v>
      </c>
      <c r="J2860" s="9"/>
      <c r="K2860" s="11"/>
      <c r="L2860" s="9"/>
      <c r="M2860" s="11"/>
      <c r="N2860" s="9" t="s">
        <v>805</v>
      </c>
    </row>
    <row r="2861" ht="25" customHeight="1" spans="1:14">
      <c r="A2861" s="9" t="s">
        <v>238</v>
      </c>
      <c r="B2861" s="9" t="s">
        <v>235</v>
      </c>
      <c r="C2861" s="10">
        <v>46055</v>
      </c>
      <c r="D2861" s="15">
        <v>1.0001</v>
      </c>
      <c r="E2861" s="15">
        <v>1.0001</v>
      </c>
      <c r="F2861" s="15">
        <v>1.0001</v>
      </c>
      <c r="G2861" s="11">
        <v>0</v>
      </c>
      <c r="H2861" s="9">
        <f>MAX($F$2857:F2861)</f>
        <v>1.0001</v>
      </c>
      <c r="I2861" s="11">
        <f t="shared" si="73"/>
        <v>0</v>
      </c>
      <c r="J2861" s="9"/>
      <c r="K2861" s="11"/>
      <c r="L2861" s="9"/>
      <c r="M2861" s="11"/>
      <c r="N2861" s="9" t="s">
        <v>805</v>
      </c>
    </row>
    <row r="2862" ht="25" customHeight="1" spans="1:14">
      <c r="A2862" s="9" t="s">
        <v>238</v>
      </c>
      <c r="B2862" s="9" t="s">
        <v>235</v>
      </c>
      <c r="C2862" s="10">
        <v>46056</v>
      </c>
      <c r="D2862" s="15">
        <v>1.0001</v>
      </c>
      <c r="E2862" s="15">
        <v>1.0001</v>
      </c>
      <c r="F2862" s="15">
        <v>1.0001</v>
      </c>
      <c r="G2862" s="11">
        <v>0</v>
      </c>
      <c r="H2862" s="9">
        <f>MAX($F$2857:F2862)</f>
        <v>1.0001</v>
      </c>
      <c r="I2862" s="11">
        <f t="shared" si="73"/>
        <v>0</v>
      </c>
      <c r="J2862" s="9"/>
      <c r="K2862" s="11"/>
      <c r="L2862" s="9"/>
      <c r="M2862" s="11"/>
      <c r="N2862" s="9" t="s">
        <v>805</v>
      </c>
    </row>
    <row r="2863" ht="25" customHeight="1" spans="1:14">
      <c r="A2863" s="9" t="s">
        <v>238</v>
      </c>
      <c r="B2863" s="9" t="s">
        <v>235</v>
      </c>
      <c r="C2863" s="10">
        <v>46057</v>
      </c>
      <c r="D2863" s="15">
        <v>1.0001</v>
      </c>
      <c r="E2863" s="15">
        <v>1.0001</v>
      </c>
      <c r="F2863" s="15">
        <v>1.0001</v>
      </c>
      <c r="G2863" s="11">
        <v>0</v>
      </c>
      <c r="H2863" s="9">
        <f>MAX($F$2857:F2863)</f>
        <v>1.0001</v>
      </c>
      <c r="I2863" s="11">
        <f t="shared" si="73"/>
        <v>0</v>
      </c>
      <c r="J2863" s="9"/>
      <c r="K2863" s="11"/>
      <c r="L2863" s="9"/>
      <c r="M2863" s="11"/>
      <c r="N2863" s="9" t="s">
        <v>805</v>
      </c>
    </row>
    <row r="2864" ht="25" customHeight="1" spans="1:14">
      <c r="A2864" s="9" t="s">
        <v>238</v>
      </c>
      <c r="B2864" s="9" t="s">
        <v>235</v>
      </c>
      <c r="C2864" s="10">
        <v>46058</v>
      </c>
      <c r="D2864" s="15">
        <v>1.0001</v>
      </c>
      <c r="E2864" s="15">
        <v>1.0001</v>
      </c>
      <c r="F2864" s="15">
        <v>1.0001</v>
      </c>
      <c r="G2864" s="11">
        <v>0</v>
      </c>
      <c r="H2864" s="9">
        <f>MAX($F$2857:F2864)</f>
        <v>1.0001</v>
      </c>
      <c r="I2864" s="11">
        <f t="shared" si="73"/>
        <v>0</v>
      </c>
      <c r="J2864" s="9"/>
      <c r="K2864" s="11"/>
      <c r="L2864" s="9"/>
      <c r="M2864" s="11"/>
      <c r="N2864" s="9" t="s">
        <v>805</v>
      </c>
    </row>
    <row r="2865" ht="25" customHeight="1" spans="1:14">
      <c r="A2865" s="9" t="s">
        <v>238</v>
      </c>
      <c r="B2865" s="9" t="s">
        <v>235</v>
      </c>
      <c r="C2865" s="10">
        <v>46059</v>
      </c>
      <c r="D2865" s="15">
        <v>1.0002</v>
      </c>
      <c r="E2865" s="15">
        <v>1.0002</v>
      </c>
      <c r="F2865" s="15">
        <v>1.0002</v>
      </c>
      <c r="G2865" s="11">
        <v>0.0001</v>
      </c>
      <c r="H2865" s="9">
        <f>MAX($F$2857:F2865)</f>
        <v>1.0002</v>
      </c>
      <c r="I2865" s="11">
        <f t="shared" si="73"/>
        <v>0</v>
      </c>
      <c r="J2865" s="9"/>
      <c r="K2865" s="11"/>
      <c r="L2865" s="9"/>
      <c r="M2865" s="11"/>
      <c r="N2865" s="9" t="s">
        <v>805</v>
      </c>
    </row>
    <row r="2866" ht="25" customHeight="1" spans="1:14">
      <c r="A2866" s="9" t="s">
        <v>238</v>
      </c>
      <c r="B2866" s="9" t="s">
        <v>235</v>
      </c>
      <c r="C2866" s="10">
        <v>46062</v>
      </c>
      <c r="D2866" s="15">
        <v>1.0002</v>
      </c>
      <c r="E2866" s="15">
        <v>1.0002</v>
      </c>
      <c r="F2866" s="15">
        <v>1.0002</v>
      </c>
      <c r="G2866" s="11">
        <v>0</v>
      </c>
      <c r="H2866" s="9">
        <f>MAX($F$2857:F2866)</f>
        <v>1.0002</v>
      </c>
      <c r="I2866" s="11">
        <f t="shared" si="73"/>
        <v>0</v>
      </c>
      <c r="J2866" s="9"/>
      <c r="K2866" s="11"/>
      <c r="L2866" s="9"/>
      <c r="M2866" s="11"/>
      <c r="N2866" s="9" t="s">
        <v>805</v>
      </c>
    </row>
    <row r="2867" ht="25" customHeight="1" spans="1:14">
      <c r="A2867" s="9" t="s">
        <v>238</v>
      </c>
      <c r="B2867" s="9" t="s">
        <v>235</v>
      </c>
      <c r="C2867" s="10">
        <v>46063</v>
      </c>
      <c r="D2867" s="15">
        <v>1.0002</v>
      </c>
      <c r="E2867" s="15">
        <v>1.0002</v>
      </c>
      <c r="F2867" s="15">
        <v>1.0002</v>
      </c>
      <c r="G2867" s="11">
        <v>0</v>
      </c>
      <c r="H2867" s="9">
        <f>MAX($F$2857:F2867)</f>
        <v>1.0002</v>
      </c>
      <c r="I2867" s="11">
        <f t="shared" si="73"/>
        <v>0</v>
      </c>
      <c r="J2867" s="9"/>
      <c r="K2867" s="11"/>
      <c r="L2867" s="9"/>
      <c r="M2867" s="11"/>
      <c r="N2867" s="9" t="s">
        <v>805</v>
      </c>
    </row>
    <row r="2868" ht="25" customHeight="1" spans="1:14">
      <c r="A2868" s="9" t="s">
        <v>238</v>
      </c>
      <c r="B2868" s="9" t="s">
        <v>235</v>
      </c>
      <c r="C2868" s="10">
        <v>46064</v>
      </c>
      <c r="D2868" s="15">
        <v>1.0002</v>
      </c>
      <c r="E2868" s="15">
        <v>1.0002</v>
      </c>
      <c r="F2868" s="15">
        <v>1.0002</v>
      </c>
      <c r="G2868" s="11">
        <v>0</v>
      </c>
      <c r="H2868" s="9">
        <f>MAX($F$2857:F2868)</f>
        <v>1.0002</v>
      </c>
      <c r="I2868" s="11">
        <f t="shared" si="73"/>
        <v>0</v>
      </c>
      <c r="J2868" s="9"/>
      <c r="K2868" s="11"/>
      <c r="L2868" s="9"/>
      <c r="M2868" s="11"/>
      <c r="N2868" s="9" t="s">
        <v>805</v>
      </c>
    </row>
    <row r="2869" ht="25" customHeight="1" spans="1:14">
      <c r="A2869" s="9" t="s">
        <v>238</v>
      </c>
      <c r="B2869" s="9" t="s">
        <v>235</v>
      </c>
      <c r="C2869" s="10">
        <v>46065</v>
      </c>
      <c r="D2869" s="15">
        <v>1.0002</v>
      </c>
      <c r="E2869" s="15">
        <v>1.0002</v>
      </c>
      <c r="F2869" s="15">
        <v>1.0002</v>
      </c>
      <c r="G2869" s="11">
        <v>0</v>
      </c>
      <c r="H2869" s="9">
        <f>MAX($F$2857:F2869)</f>
        <v>1.0002</v>
      </c>
      <c r="I2869" s="11">
        <f t="shared" si="73"/>
        <v>0</v>
      </c>
      <c r="J2869" s="9"/>
      <c r="K2869" s="11"/>
      <c r="L2869" s="9"/>
      <c r="M2869" s="11"/>
      <c r="N2869" s="9" t="s">
        <v>805</v>
      </c>
    </row>
    <row r="2870" ht="25" customHeight="1" spans="1:14">
      <c r="A2870" s="9" t="s">
        <v>238</v>
      </c>
      <c r="B2870" s="9" t="s">
        <v>235</v>
      </c>
      <c r="C2870" s="10">
        <v>46066</v>
      </c>
      <c r="D2870" s="15">
        <v>1.0002</v>
      </c>
      <c r="E2870" s="15">
        <v>1.0002</v>
      </c>
      <c r="F2870" s="15">
        <v>1.0002</v>
      </c>
      <c r="G2870" s="11">
        <v>0</v>
      </c>
      <c r="H2870" s="9">
        <f>MAX($F$2857:F2870)</f>
        <v>1.0002</v>
      </c>
      <c r="I2870" s="11">
        <f t="shared" si="73"/>
        <v>0</v>
      </c>
      <c r="J2870" s="9"/>
      <c r="K2870" s="11"/>
      <c r="L2870" s="9"/>
      <c r="M2870" s="11"/>
      <c r="N2870" s="9" t="s">
        <v>805</v>
      </c>
    </row>
    <row r="2871" ht="25" customHeight="1" spans="1:14">
      <c r="A2871" s="9" t="s">
        <v>238</v>
      </c>
      <c r="B2871" s="9" t="s">
        <v>235</v>
      </c>
      <c r="C2871" s="10">
        <v>46077</v>
      </c>
      <c r="D2871" s="15">
        <v>1.0004</v>
      </c>
      <c r="E2871" s="15">
        <v>1.0004</v>
      </c>
      <c r="F2871" s="15">
        <v>1.0004</v>
      </c>
      <c r="G2871" s="11">
        <v>0.0002</v>
      </c>
      <c r="H2871" s="9">
        <f>MAX($F$2857:F2871)</f>
        <v>1.0004</v>
      </c>
      <c r="I2871" s="11">
        <f t="shared" si="73"/>
        <v>0</v>
      </c>
      <c r="J2871" s="9"/>
      <c r="K2871" s="11"/>
      <c r="L2871" s="9"/>
      <c r="M2871" s="11"/>
      <c r="N2871" s="9" t="s">
        <v>805</v>
      </c>
    </row>
    <row r="2872" ht="25" customHeight="1" spans="1:14">
      <c r="A2872" s="9" t="s">
        <v>238</v>
      </c>
      <c r="B2872" s="9" t="s">
        <v>235</v>
      </c>
      <c r="C2872" s="10">
        <v>46078</v>
      </c>
      <c r="D2872" s="15">
        <v>1.0004</v>
      </c>
      <c r="E2872" s="15">
        <v>1.0004</v>
      </c>
      <c r="F2872" s="15">
        <v>1.0004</v>
      </c>
      <c r="G2872" s="11">
        <v>0</v>
      </c>
      <c r="H2872" s="9">
        <f>MAX($F$2857:F2872)</f>
        <v>1.0004</v>
      </c>
      <c r="I2872" s="11">
        <f t="shared" si="73"/>
        <v>0</v>
      </c>
      <c r="J2872" s="9"/>
      <c r="K2872" s="11"/>
      <c r="L2872" s="9"/>
      <c r="M2872" s="11"/>
      <c r="N2872" s="9" t="s">
        <v>805</v>
      </c>
    </row>
    <row r="2873" ht="25" customHeight="1" spans="1:14">
      <c r="A2873" s="9" t="s">
        <v>238</v>
      </c>
      <c r="B2873" s="9" t="s">
        <v>235</v>
      </c>
      <c r="C2873" s="10">
        <v>46079</v>
      </c>
      <c r="D2873" s="15">
        <v>1.0004</v>
      </c>
      <c r="E2873" s="15">
        <v>1.0004</v>
      </c>
      <c r="F2873" s="15">
        <v>1.0004</v>
      </c>
      <c r="G2873" s="11">
        <v>0</v>
      </c>
      <c r="H2873" s="9">
        <f>MAX($F$2857:F2873)</f>
        <v>1.0004</v>
      </c>
      <c r="I2873" s="11">
        <f t="shared" si="73"/>
        <v>0</v>
      </c>
      <c r="J2873" s="9"/>
      <c r="K2873" s="11"/>
      <c r="L2873" s="9"/>
      <c r="M2873" s="11"/>
      <c r="N2873" s="9" t="s">
        <v>805</v>
      </c>
    </row>
    <row r="2874" ht="25" customHeight="1" spans="1:14">
      <c r="A2874" s="9" t="s">
        <v>238</v>
      </c>
      <c r="B2874" s="9" t="s">
        <v>235</v>
      </c>
      <c r="C2874" s="10">
        <v>46080</v>
      </c>
      <c r="D2874" s="15">
        <v>1.0004</v>
      </c>
      <c r="E2874" s="15">
        <v>1.0004</v>
      </c>
      <c r="F2874" s="15">
        <v>1.0004</v>
      </c>
      <c r="G2874" s="11">
        <v>0</v>
      </c>
      <c r="H2874" s="9">
        <f>MAX($F$2857:F2874)</f>
        <v>1.0004</v>
      </c>
      <c r="I2874" s="11">
        <f t="shared" si="73"/>
        <v>0</v>
      </c>
      <c r="J2874" s="9"/>
      <c r="K2874" s="11"/>
      <c r="L2874" s="9"/>
      <c r="M2874" s="11"/>
      <c r="N2874" s="9" t="s">
        <v>805</v>
      </c>
    </row>
    <row r="2875" ht="25" customHeight="1" spans="1:14">
      <c r="A2875" s="9" t="s">
        <v>238</v>
      </c>
      <c r="B2875" s="9" t="s">
        <v>235</v>
      </c>
      <c r="C2875" s="10">
        <v>46083</v>
      </c>
      <c r="D2875" s="15">
        <v>1.0003</v>
      </c>
      <c r="E2875" s="15">
        <v>1.0003</v>
      </c>
      <c r="F2875" s="15">
        <v>1.0003</v>
      </c>
      <c r="G2875" s="11">
        <v>-0.0001</v>
      </c>
      <c r="H2875" s="9">
        <f>MAX($F$2857:F2875)</f>
        <v>1.0004</v>
      </c>
      <c r="I2875" s="11">
        <f t="shared" si="73"/>
        <v>9.99600159935499e-5</v>
      </c>
      <c r="J2875" s="9"/>
      <c r="K2875" s="11"/>
      <c r="L2875" s="9"/>
      <c r="M2875" s="11"/>
      <c r="N2875" s="9" t="s">
        <v>805</v>
      </c>
    </row>
    <row r="2876" ht="25" customHeight="1" spans="1:14">
      <c r="A2876" s="9" t="s">
        <v>238</v>
      </c>
      <c r="B2876" s="9" t="s">
        <v>235</v>
      </c>
      <c r="C2876" s="10">
        <v>46084</v>
      </c>
      <c r="D2876" s="15">
        <v>1.0003</v>
      </c>
      <c r="E2876" s="15">
        <v>1.0003</v>
      </c>
      <c r="F2876" s="15">
        <v>1.0003</v>
      </c>
      <c r="G2876" s="11">
        <v>0</v>
      </c>
      <c r="H2876" s="9">
        <f>MAX($F$2857:F2876)</f>
        <v>1.0004</v>
      </c>
      <c r="I2876" s="11">
        <f t="shared" si="73"/>
        <v>9.99600159935499e-5</v>
      </c>
      <c r="J2876" s="9"/>
      <c r="K2876" s="11"/>
      <c r="L2876" s="9"/>
      <c r="M2876" s="11"/>
      <c r="N2876" s="9" t="s">
        <v>805</v>
      </c>
    </row>
    <row r="2877" ht="25" customHeight="1" spans="1:14">
      <c r="A2877" s="9" t="s">
        <v>238</v>
      </c>
      <c r="B2877" s="9" t="s">
        <v>235</v>
      </c>
      <c r="C2877" s="10">
        <v>46085</v>
      </c>
      <c r="D2877" s="15">
        <v>1.0003</v>
      </c>
      <c r="E2877" s="15">
        <v>1.0003</v>
      </c>
      <c r="F2877" s="15">
        <v>1.0003</v>
      </c>
      <c r="G2877" s="11">
        <v>0</v>
      </c>
      <c r="H2877" s="9">
        <f>MAX($F$2857:F2877)</f>
        <v>1.0004</v>
      </c>
      <c r="I2877" s="11">
        <f t="shared" si="73"/>
        <v>9.99600159935499e-5</v>
      </c>
      <c r="J2877" s="9"/>
      <c r="K2877" s="11"/>
      <c r="L2877" s="9"/>
      <c r="M2877" s="11"/>
      <c r="N2877" s="9" t="s">
        <v>805</v>
      </c>
    </row>
    <row r="2878" ht="25" customHeight="1" spans="1:14">
      <c r="A2878" s="9" t="s">
        <v>238</v>
      </c>
      <c r="B2878" s="9" t="s">
        <v>235</v>
      </c>
      <c r="C2878" s="10">
        <v>46086</v>
      </c>
      <c r="D2878" s="15">
        <v>1.0002</v>
      </c>
      <c r="E2878" s="15">
        <v>1.0002</v>
      </c>
      <c r="F2878" s="15">
        <v>1.0002</v>
      </c>
      <c r="G2878" s="11">
        <v>-0.0001</v>
      </c>
      <c r="H2878" s="9">
        <f>MAX($F$2857:F2878)</f>
        <v>1.0004</v>
      </c>
      <c r="I2878" s="11">
        <f t="shared" si="73"/>
        <v>0.000199920031987211</v>
      </c>
      <c r="J2878" s="9"/>
      <c r="K2878" s="11"/>
      <c r="L2878" s="9"/>
      <c r="M2878" s="11"/>
      <c r="N2878" s="9" t="s">
        <v>805</v>
      </c>
    </row>
    <row r="2879" ht="25" customHeight="1" spans="1:14">
      <c r="A2879" s="9" t="s">
        <v>238</v>
      </c>
      <c r="B2879" s="9" t="s">
        <v>235</v>
      </c>
      <c r="C2879" s="10">
        <v>46087</v>
      </c>
      <c r="D2879" s="15">
        <v>1.0002</v>
      </c>
      <c r="E2879" s="15">
        <v>1.0002</v>
      </c>
      <c r="F2879" s="15">
        <v>1.0002</v>
      </c>
      <c r="G2879" s="11">
        <v>0</v>
      </c>
      <c r="H2879" s="9">
        <f>MAX($F$2857:F2879)</f>
        <v>1.0004</v>
      </c>
      <c r="I2879" s="11">
        <f t="shared" si="73"/>
        <v>0.000199920031987211</v>
      </c>
      <c r="J2879" s="9"/>
      <c r="K2879" s="11"/>
      <c r="L2879" s="9"/>
      <c r="M2879" s="11"/>
      <c r="N2879" s="9" t="s">
        <v>805</v>
      </c>
    </row>
    <row r="2880" ht="25" customHeight="1" spans="1:14">
      <c r="A2880" s="9" t="s">
        <v>238</v>
      </c>
      <c r="B2880" s="9" t="s">
        <v>235</v>
      </c>
      <c r="C2880" s="10">
        <v>46090</v>
      </c>
      <c r="D2880" s="15">
        <v>1.0001</v>
      </c>
      <c r="E2880" s="15">
        <v>1.0001</v>
      </c>
      <c r="F2880" s="15">
        <v>1.0001</v>
      </c>
      <c r="G2880" s="11">
        <v>-0.0001</v>
      </c>
      <c r="H2880" s="9">
        <f>MAX($F$2857:F2880)</f>
        <v>1.0004</v>
      </c>
      <c r="I2880" s="11">
        <f t="shared" si="73"/>
        <v>0.000299880047980761</v>
      </c>
      <c r="J2880" s="9"/>
      <c r="K2880" s="11"/>
      <c r="L2880" s="9"/>
      <c r="M2880" s="11"/>
      <c r="N2880" s="9" t="s">
        <v>805</v>
      </c>
    </row>
    <row r="2881" ht="25" customHeight="1" spans="1:14">
      <c r="A2881" s="9" t="s">
        <v>238</v>
      </c>
      <c r="B2881" s="9" t="s">
        <v>235</v>
      </c>
      <c r="C2881" s="10">
        <v>46091</v>
      </c>
      <c r="D2881" s="15">
        <v>1.0001</v>
      </c>
      <c r="E2881" s="15">
        <v>1.0001</v>
      </c>
      <c r="F2881" s="15">
        <v>1.0001</v>
      </c>
      <c r="G2881" s="11">
        <v>0</v>
      </c>
      <c r="H2881" s="9">
        <f>MAX($F$2857:F2881)</f>
        <v>1.0004</v>
      </c>
      <c r="I2881" s="11">
        <f t="shared" si="73"/>
        <v>0.000299880047980761</v>
      </c>
      <c r="J2881" s="9"/>
      <c r="K2881" s="11"/>
      <c r="L2881" s="9"/>
      <c r="M2881" s="11"/>
      <c r="N2881" s="9" t="s">
        <v>805</v>
      </c>
    </row>
    <row r="2882" ht="25" customHeight="1" spans="1:14">
      <c r="A2882" s="9" t="s">
        <v>238</v>
      </c>
      <c r="B2882" s="9" t="s">
        <v>235</v>
      </c>
      <c r="C2882" s="10">
        <v>46092</v>
      </c>
      <c r="D2882" s="15">
        <v>1.0001</v>
      </c>
      <c r="E2882" s="15">
        <v>1.0001</v>
      </c>
      <c r="F2882" s="15">
        <v>1.0001</v>
      </c>
      <c r="G2882" s="11">
        <v>0</v>
      </c>
      <c r="H2882" s="9">
        <f>MAX($F$2857:F2882)</f>
        <v>1.0004</v>
      </c>
      <c r="I2882" s="11">
        <f t="shared" ref="I2882:I2945" si="74">1-F2882/H2882</f>
        <v>0.000299880047980761</v>
      </c>
      <c r="J2882" s="9"/>
      <c r="K2882" s="11"/>
      <c r="L2882" s="9"/>
      <c r="M2882" s="11"/>
      <c r="N2882" s="9" t="s">
        <v>805</v>
      </c>
    </row>
    <row r="2883" ht="25" customHeight="1" spans="1:14">
      <c r="A2883" s="9" t="s">
        <v>238</v>
      </c>
      <c r="B2883" s="9" t="s">
        <v>235</v>
      </c>
      <c r="C2883" s="10">
        <v>46093</v>
      </c>
      <c r="D2883" s="15">
        <v>0.9984</v>
      </c>
      <c r="E2883" s="15">
        <v>0.9984</v>
      </c>
      <c r="F2883" s="15">
        <v>0.9984</v>
      </c>
      <c r="G2883" s="11">
        <v>-0.0017</v>
      </c>
      <c r="H2883" s="9">
        <f>MAX($F$2857:F2883)</f>
        <v>1.0004</v>
      </c>
      <c r="I2883" s="11">
        <f t="shared" si="74"/>
        <v>0.00199920031987211</v>
      </c>
      <c r="J2883" s="9"/>
      <c r="K2883" s="11"/>
      <c r="L2883" s="9"/>
      <c r="M2883" s="11"/>
      <c r="N2883" s="9" t="s">
        <v>805</v>
      </c>
    </row>
    <row r="2884" ht="25" customHeight="1" spans="1:14">
      <c r="A2884" s="9" t="s">
        <v>238</v>
      </c>
      <c r="B2884" s="9" t="s">
        <v>235</v>
      </c>
      <c r="C2884" s="10">
        <v>46094</v>
      </c>
      <c r="D2884" s="15">
        <v>0.998</v>
      </c>
      <c r="E2884" s="15">
        <v>0.998</v>
      </c>
      <c r="F2884" s="15">
        <v>0.998</v>
      </c>
      <c r="G2884" s="11">
        <v>-0.0004</v>
      </c>
      <c r="H2884" s="9">
        <f>MAX($F$2857:F2884)</f>
        <v>1.0004</v>
      </c>
      <c r="I2884" s="11">
        <f t="shared" si="74"/>
        <v>0.00239904038384642</v>
      </c>
      <c r="J2884" s="9"/>
      <c r="K2884" s="11"/>
      <c r="L2884" s="9"/>
      <c r="M2884" s="11"/>
      <c r="N2884" s="9" t="s">
        <v>805</v>
      </c>
    </row>
    <row r="2885" ht="25" customHeight="1" spans="1:14">
      <c r="A2885" s="9" t="s">
        <v>238</v>
      </c>
      <c r="B2885" s="9" t="s">
        <v>235</v>
      </c>
      <c r="C2885" s="10">
        <v>46097</v>
      </c>
      <c r="D2885" s="15">
        <v>0.9978</v>
      </c>
      <c r="E2885" s="15">
        <v>0.9978</v>
      </c>
      <c r="F2885" s="15">
        <v>0.9978</v>
      </c>
      <c r="G2885" s="11">
        <v>-0.0002</v>
      </c>
      <c r="H2885" s="9">
        <f>MAX($F$2857:F2885)</f>
        <v>1.0004</v>
      </c>
      <c r="I2885" s="11">
        <f t="shared" si="74"/>
        <v>0.00259896041583363</v>
      </c>
      <c r="J2885" s="9"/>
      <c r="K2885" s="11"/>
      <c r="L2885" s="9"/>
      <c r="M2885" s="11"/>
      <c r="N2885" s="9" t="s">
        <v>805</v>
      </c>
    </row>
    <row r="2886" ht="25" customHeight="1" spans="1:14">
      <c r="A2886" s="9" t="s">
        <v>238</v>
      </c>
      <c r="B2886" s="9" t="s">
        <v>235</v>
      </c>
      <c r="C2886" s="10">
        <v>46098</v>
      </c>
      <c r="D2886" s="15">
        <v>0.9969</v>
      </c>
      <c r="E2886" s="15">
        <v>0.9969</v>
      </c>
      <c r="F2886" s="15">
        <v>0.9969</v>
      </c>
      <c r="G2886" s="11">
        <v>-0.0009</v>
      </c>
      <c r="H2886" s="9">
        <f>MAX($F$2857:F2886)</f>
        <v>1.0004</v>
      </c>
      <c r="I2886" s="11">
        <f t="shared" si="74"/>
        <v>0.00349860055977602</v>
      </c>
      <c r="J2886" s="9"/>
      <c r="K2886" s="11"/>
      <c r="L2886" s="9"/>
      <c r="M2886" s="11"/>
      <c r="N2886" s="9" t="s">
        <v>805</v>
      </c>
    </row>
    <row r="2887" ht="25" customHeight="1" spans="1:14">
      <c r="A2887" s="9" t="s">
        <v>238</v>
      </c>
      <c r="B2887" s="9" t="s">
        <v>235</v>
      </c>
      <c r="C2887" s="10">
        <v>46099</v>
      </c>
      <c r="D2887" s="15">
        <v>0.9976</v>
      </c>
      <c r="E2887" s="15">
        <v>0.9976</v>
      </c>
      <c r="F2887" s="15">
        <v>0.9976</v>
      </c>
      <c r="G2887" s="11">
        <v>0.0007</v>
      </c>
      <c r="H2887" s="9">
        <f>MAX($F$2857:F2887)</f>
        <v>1.0004</v>
      </c>
      <c r="I2887" s="11">
        <f t="shared" si="74"/>
        <v>0.00279888044782084</v>
      </c>
      <c r="J2887" s="9"/>
      <c r="K2887" s="11"/>
      <c r="L2887" s="9"/>
      <c r="M2887" s="11"/>
      <c r="N2887" s="9" t="s">
        <v>805</v>
      </c>
    </row>
    <row r="2888" ht="25" customHeight="1" spans="1:14">
      <c r="A2888" s="9" t="s">
        <v>238</v>
      </c>
      <c r="B2888" s="9" t="s">
        <v>235</v>
      </c>
      <c r="C2888" s="10">
        <v>46100</v>
      </c>
      <c r="D2888" s="15">
        <v>1.0087</v>
      </c>
      <c r="E2888" s="15">
        <v>1.0087</v>
      </c>
      <c r="F2888" s="15">
        <v>1.0087</v>
      </c>
      <c r="G2888" s="11">
        <v>0.0111</v>
      </c>
      <c r="H2888" s="9">
        <f>MAX($F$2857:F2888)</f>
        <v>1.0087</v>
      </c>
      <c r="I2888" s="11">
        <f t="shared" si="74"/>
        <v>0</v>
      </c>
      <c r="J2888" s="9"/>
      <c r="K2888" s="11"/>
      <c r="L2888" s="9"/>
      <c r="M2888" s="11"/>
      <c r="N2888" s="9" t="s">
        <v>805</v>
      </c>
    </row>
    <row r="2889" ht="25" customHeight="1" spans="1:14">
      <c r="A2889" s="9" t="s">
        <v>238</v>
      </c>
      <c r="B2889" s="9" t="s">
        <v>235</v>
      </c>
      <c r="C2889" s="10">
        <v>46101</v>
      </c>
      <c r="D2889" s="15">
        <v>1.005</v>
      </c>
      <c r="E2889" s="15">
        <v>1.005</v>
      </c>
      <c r="F2889" s="15">
        <v>1.005</v>
      </c>
      <c r="G2889" s="11">
        <v>-0.0037</v>
      </c>
      <c r="H2889" s="9">
        <f>MAX($F$2857:F2889)</f>
        <v>1.0087</v>
      </c>
      <c r="I2889" s="11">
        <f t="shared" si="74"/>
        <v>0.00366808763755333</v>
      </c>
      <c r="J2889" s="9"/>
      <c r="K2889" s="11"/>
      <c r="L2889" s="9"/>
      <c r="M2889" s="11"/>
      <c r="N2889" s="9" t="s">
        <v>805</v>
      </c>
    </row>
    <row r="2890" ht="25" customHeight="1" spans="1:14">
      <c r="A2890" s="9" t="s">
        <v>238</v>
      </c>
      <c r="B2890" s="9" t="s">
        <v>235</v>
      </c>
      <c r="C2890" s="10">
        <v>46104</v>
      </c>
      <c r="D2890" s="15">
        <v>1.0039</v>
      </c>
      <c r="E2890" s="15">
        <v>1.0039</v>
      </c>
      <c r="F2890" s="15">
        <v>1.0039</v>
      </c>
      <c r="G2890" s="11">
        <v>-0.0011</v>
      </c>
      <c r="H2890" s="9">
        <f>MAX($F$2857:F2890)</f>
        <v>1.0087</v>
      </c>
      <c r="I2890" s="11">
        <f t="shared" si="74"/>
        <v>0.00475860017844743</v>
      </c>
      <c r="J2890" s="9"/>
      <c r="K2890" s="11"/>
      <c r="L2890" s="9"/>
      <c r="M2890" s="11"/>
      <c r="N2890" s="9" t="s">
        <v>805</v>
      </c>
    </row>
    <row r="2891" ht="25" customHeight="1" spans="1:14">
      <c r="A2891" s="9" t="s">
        <v>238</v>
      </c>
      <c r="B2891" s="9" t="s">
        <v>235</v>
      </c>
      <c r="C2891" s="10">
        <v>46105</v>
      </c>
      <c r="D2891" s="15">
        <v>1.0042</v>
      </c>
      <c r="E2891" s="15">
        <v>1.0042</v>
      </c>
      <c r="F2891" s="15">
        <v>1.0042</v>
      </c>
      <c r="G2891" s="11">
        <v>0.0003</v>
      </c>
      <c r="H2891" s="9">
        <f>MAX($F$2857:F2891)</f>
        <v>1.0087</v>
      </c>
      <c r="I2891" s="11">
        <f t="shared" si="74"/>
        <v>0.00446118766729453</v>
      </c>
      <c r="J2891" s="9"/>
      <c r="K2891" s="11"/>
      <c r="L2891" s="9"/>
      <c r="M2891" s="11"/>
      <c r="N2891" s="9" t="s">
        <v>805</v>
      </c>
    </row>
    <row r="2892" ht="25" customHeight="1" spans="1:14">
      <c r="A2892" s="9" t="s">
        <v>238</v>
      </c>
      <c r="B2892" s="9" t="s">
        <v>235</v>
      </c>
      <c r="C2892" s="10">
        <v>46106</v>
      </c>
      <c r="D2892" s="15">
        <v>1.0008</v>
      </c>
      <c r="E2892" s="15">
        <v>1.0008</v>
      </c>
      <c r="F2892" s="15">
        <v>1.0008</v>
      </c>
      <c r="G2892" s="11">
        <v>-0.0034</v>
      </c>
      <c r="H2892" s="9">
        <f>MAX($F$2857:F2892)</f>
        <v>1.0087</v>
      </c>
      <c r="I2892" s="11">
        <f t="shared" si="74"/>
        <v>0.00783186279369485</v>
      </c>
      <c r="J2892" s="9"/>
      <c r="K2892" s="11"/>
      <c r="L2892" s="9"/>
      <c r="M2892" s="11"/>
      <c r="N2892" s="9" t="s">
        <v>805</v>
      </c>
    </row>
    <row r="2893" ht="25" customHeight="1" spans="1:14">
      <c r="A2893" s="9" t="s">
        <v>238</v>
      </c>
      <c r="B2893" s="9" t="s">
        <v>235</v>
      </c>
      <c r="C2893" s="10">
        <v>46107</v>
      </c>
      <c r="D2893" s="15">
        <v>1.0025</v>
      </c>
      <c r="E2893" s="15">
        <v>1.0025</v>
      </c>
      <c r="F2893" s="15">
        <v>1.0025</v>
      </c>
      <c r="G2893" s="11">
        <v>0.0017</v>
      </c>
      <c r="H2893" s="9">
        <f>MAX($F$2857:F2893)</f>
        <v>1.0087</v>
      </c>
      <c r="I2893" s="11">
        <f t="shared" si="74"/>
        <v>0.00614652523049464</v>
      </c>
      <c r="J2893" s="9"/>
      <c r="K2893" s="11"/>
      <c r="L2893" s="9"/>
      <c r="M2893" s="11"/>
      <c r="N2893" s="9" t="s">
        <v>805</v>
      </c>
    </row>
    <row r="2894" ht="25" customHeight="1" spans="1:14">
      <c r="A2894" s="9" t="s">
        <v>238</v>
      </c>
      <c r="B2894" s="9" t="s">
        <v>235</v>
      </c>
      <c r="C2894" s="10">
        <v>46108</v>
      </c>
      <c r="D2894" s="15">
        <v>1.0035</v>
      </c>
      <c r="E2894" s="15">
        <v>1.0035</v>
      </c>
      <c r="F2894" s="15">
        <v>1.0035</v>
      </c>
      <c r="G2894" s="11">
        <v>0.001</v>
      </c>
      <c r="H2894" s="9">
        <f>MAX($F$2857:F2894)</f>
        <v>1.0087</v>
      </c>
      <c r="I2894" s="11">
        <f t="shared" si="74"/>
        <v>0.00515515019331803</v>
      </c>
      <c r="J2894" s="9"/>
      <c r="K2894" s="11"/>
      <c r="L2894" s="9"/>
      <c r="M2894" s="11"/>
      <c r="N2894" s="9" t="s">
        <v>805</v>
      </c>
    </row>
    <row r="2895" ht="25" customHeight="1" spans="1:14">
      <c r="A2895" s="9" t="s">
        <v>238</v>
      </c>
      <c r="B2895" s="9" t="s">
        <v>235</v>
      </c>
      <c r="C2895" s="10">
        <v>46111</v>
      </c>
      <c r="D2895" s="15">
        <v>1.0052</v>
      </c>
      <c r="E2895" s="15">
        <v>1.0052</v>
      </c>
      <c r="F2895" s="15">
        <v>1.0052</v>
      </c>
      <c r="G2895" s="11">
        <v>0.0017</v>
      </c>
      <c r="H2895" s="9">
        <f>MAX($F$2857:F2895)</f>
        <v>1.0087</v>
      </c>
      <c r="I2895" s="11">
        <f t="shared" si="74"/>
        <v>0.00346981263011781</v>
      </c>
      <c r="J2895" s="9"/>
      <c r="K2895" s="11"/>
      <c r="L2895" s="9"/>
      <c r="M2895" s="11"/>
      <c r="N2895" s="9" t="s">
        <v>805</v>
      </c>
    </row>
    <row r="2896" ht="25" customHeight="1" spans="1:14">
      <c r="A2896" s="9" t="s">
        <v>238</v>
      </c>
      <c r="B2896" s="9" t="s">
        <v>235</v>
      </c>
      <c r="C2896" s="10">
        <v>46112</v>
      </c>
      <c r="D2896" s="15">
        <v>1.0033</v>
      </c>
      <c r="E2896" s="15">
        <v>1.0033</v>
      </c>
      <c r="F2896" s="15">
        <v>1.0033</v>
      </c>
      <c r="G2896" s="11">
        <v>-0.0019</v>
      </c>
      <c r="H2896" s="9">
        <f>MAX($F$2857:F2896)</f>
        <v>1.0087</v>
      </c>
      <c r="I2896" s="11">
        <f t="shared" si="74"/>
        <v>0.00535342520075333</v>
      </c>
      <c r="J2896" s="9"/>
      <c r="K2896" s="11"/>
      <c r="L2896" s="9"/>
      <c r="M2896" s="11"/>
      <c r="N2896" s="9" t="s">
        <v>805</v>
      </c>
    </row>
    <row r="2897" ht="25" customHeight="1" spans="1:14">
      <c r="A2897" s="9" t="s">
        <v>238</v>
      </c>
      <c r="B2897" s="9" t="s">
        <v>235</v>
      </c>
      <c r="C2897" s="10">
        <v>46113</v>
      </c>
      <c r="D2897" s="15">
        <v>1.0032</v>
      </c>
      <c r="E2897" s="15">
        <v>1.0032</v>
      </c>
      <c r="F2897" s="15">
        <v>1.0032</v>
      </c>
      <c r="G2897" s="11">
        <v>-0.0001</v>
      </c>
      <c r="H2897" s="9">
        <f>MAX($F$2857:F2897)</f>
        <v>1.0087</v>
      </c>
      <c r="I2897" s="11">
        <f t="shared" si="74"/>
        <v>0.00545256270447092</v>
      </c>
      <c r="J2897" s="9"/>
      <c r="K2897" s="11"/>
      <c r="L2897" s="9"/>
      <c r="M2897" s="11"/>
      <c r="N2897" s="9" t="s">
        <v>805</v>
      </c>
    </row>
    <row r="2898" ht="25" customHeight="1" spans="1:14">
      <c r="A2898" s="9" t="s">
        <v>238</v>
      </c>
      <c r="B2898" s="9" t="s">
        <v>235</v>
      </c>
      <c r="C2898" s="10">
        <v>46114</v>
      </c>
      <c r="D2898" s="15">
        <v>1.0058</v>
      </c>
      <c r="E2898" s="15">
        <v>1.0058</v>
      </c>
      <c r="F2898" s="15">
        <v>1.0058</v>
      </c>
      <c r="G2898" s="11">
        <v>0.0026</v>
      </c>
      <c r="H2898" s="9">
        <f>MAX($F$2857:F2898)</f>
        <v>1.0087</v>
      </c>
      <c r="I2898" s="11">
        <f t="shared" si="74"/>
        <v>0.00287498760781191</v>
      </c>
      <c r="J2898" s="9"/>
      <c r="K2898" s="11"/>
      <c r="L2898" s="9"/>
      <c r="M2898" s="11"/>
      <c r="N2898" s="9" t="s">
        <v>805</v>
      </c>
    </row>
    <row r="2899" ht="25" customHeight="1" spans="1:14">
      <c r="A2899" s="9" t="s">
        <v>238</v>
      </c>
      <c r="B2899" s="9" t="s">
        <v>235</v>
      </c>
      <c r="C2899" s="10">
        <v>46115</v>
      </c>
      <c r="D2899" s="15">
        <v>1.0054</v>
      </c>
      <c r="E2899" s="15">
        <v>1.0054</v>
      </c>
      <c r="F2899" s="15">
        <v>1.0054</v>
      </c>
      <c r="G2899" s="11">
        <v>-0.0004</v>
      </c>
      <c r="H2899" s="9">
        <f>MAX($F$2857:F2899)</f>
        <v>1.0087</v>
      </c>
      <c r="I2899" s="11">
        <f t="shared" si="74"/>
        <v>0.00327153762268251</v>
      </c>
      <c r="J2899" s="9"/>
      <c r="K2899" s="11"/>
      <c r="L2899" s="9"/>
      <c r="M2899" s="11"/>
      <c r="N2899" s="9" t="s">
        <v>805</v>
      </c>
    </row>
    <row r="2900" ht="25" customHeight="1" spans="1:14">
      <c r="A2900" s="9" t="s">
        <v>238</v>
      </c>
      <c r="B2900" s="9" t="s">
        <v>235</v>
      </c>
      <c r="C2900" s="10">
        <v>46119</v>
      </c>
      <c r="D2900" s="15">
        <v>1.0051</v>
      </c>
      <c r="E2900" s="15">
        <v>1.0051</v>
      </c>
      <c r="F2900" s="15">
        <v>1.0051</v>
      </c>
      <c r="G2900" s="11">
        <v>-0.0003</v>
      </c>
      <c r="H2900" s="9">
        <f>MAX($F$2857:F2900)</f>
        <v>1.0087</v>
      </c>
      <c r="I2900" s="11">
        <f t="shared" si="74"/>
        <v>0.0035689501338354</v>
      </c>
      <c r="J2900" s="9"/>
      <c r="K2900" s="11"/>
      <c r="L2900" s="9"/>
      <c r="M2900" s="11"/>
      <c r="N2900" s="9" t="s">
        <v>805</v>
      </c>
    </row>
    <row r="2901" ht="25" customHeight="1" spans="1:14">
      <c r="A2901" s="9" t="s">
        <v>238</v>
      </c>
      <c r="B2901" s="9" t="s">
        <v>235</v>
      </c>
      <c r="C2901" s="10">
        <v>46120</v>
      </c>
      <c r="D2901" s="15">
        <v>1.0068</v>
      </c>
      <c r="E2901" s="15">
        <v>1.0068</v>
      </c>
      <c r="F2901" s="15">
        <v>1.0068</v>
      </c>
      <c r="G2901" s="11">
        <v>0.0017</v>
      </c>
      <c r="H2901" s="9">
        <f>MAX($F$2857:F2901)</f>
        <v>1.0087</v>
      </c>
      <c r="I2901" s="11">
        <f t="shared" si="74"/>
        <v>0.00188361257063552</v>
      </c>
      <c r="J2901" s="9"/>
      <c r="K2901" s="11"/>
      <c r="L2901" s="9"/>
      <c r="M2901" s="11"/>
      <c r="N2901" s="9" t="s">
        <v>805</v>
      </c>
    </row>
    <row r="2902" ht="25" customHeight="1" spans="1:14">
      <c r="A2902" s="9" t="s">
        <v>238</v>
      </c>
      <c r="B2902" s="9" t="s">
        <v>235</v>
      </c>
      <c r="C2902" s="10">
        <v>46121</v>
      </c>
      <c r="D2902" s="15">
        <v>1.0065</v>
      </c>
      <c r="E2902" s="15">
        <v>1.0065</v>
      </c>
      <c r="F2902" s="15">
        <v>1.0065</v>
      </c>
      <c r="G2902" s="11">
        <v>-0.0003</v>
      </c>
      <c r="H2902" s="9">
        <f>MAX($F$2857:F2902)</f>
        <v>1.0087</v>
      </c>
      <c r="I2902" s="11">
        <f t="shared" si="74"/>
        <v>0.00218102508178841</v>
      </c>
      <c r="J2902" s="9"/>
      <c r="K2902" s="11"/>
      <c r="L2902" s="9"/>
      <c r="M2902" s="11"/>
      <c r="N2902" s="9" t="s">
        <v>805</v>
      </c>
    </row>
    <row r="2903" ht="25" customHeight="1" spans="1:14">
      <c r="A2903" s="9" t="s">
        <v>238</v>
      </c>
      <c r="B2903" s="9" t="s">
        <v>235</v>
      </c>
      <c r="C2903" s="10">
        <v>46122</v>
      </c>
      <c r="D2903" s="15">
        <v>1.0053</v>
      </c>
      <c r="E2903" s="15">
        <v>1.0053</v>
      </c>
      <c r="F2903" s="15">
        <v>1.0053</v>
      </c>
      <c r="G2903" s="11">
        <v>-0.0012</v>
      </c>
      <c r="H2903" s="9">
        <f>MAX($F$2857:F2903)</f>
        <v>1.0087</v>
      </c>
      <c r="I2903" s="11">
        <f t="shared" si="74"/>
        <v>0.00337067512640021</v>
      </c>
      <c r="J2903" s="9"/>
      <c r="K2903" s="11"/>
      <c r="L2903" s="9"/>
      <c r="M2903" s="11"/>
      <c r="N2903" s="9" t="s">
        <v>805</v>
      </c>
    </row>
    <row r="2904" ht="25" customHeight="1" spans="1:14">
      <c r="A2904" s="9" t="s">
        <v>238</v>
      </c>
      <c r="B2904" s="9" t="s">
        <v>235</v>
      </c>
      <c r="C2904" s="10">
        <v>46125</v>
      </c>
      <c r="D2904" s="15">
        <v>1.0152</v>
      </c>
      <c r="E2904" s="15">
        <v>1.0152</v>
      </c>
      <c r="F2904" s="15">
        <v>1.0152</v>
      </c>
      <c r="G2904" s="11">
        <v>0.0098</v>
      </c>
      <c r="H2904" s="9">
        <f>MAX($F$2857:F2904)</f>
        <v>1.0152</v>
      </c>
      <c r="I2904" s="11">
        <f t="shared" si="74"/>
        <v>0</v>
      </c>
      <c r="J2904" s="9"/>
      <c r="K2904" s="11"/>
      <c r="L2904" s="9"/>
      <c r="M2904" s="11"/>
      <c r="N2904" s="9" t="s">
        <v>805</v>
      </c>
    </row>
    <row r="2905" ht="25" customHeight="1" spans="1:14">
      <c r="A2905" s="9" t="s">
        <v>238</v>
      </c>
      <c r="B2905" s="9" t="s">
        <v>235</v>
      </c>
      <c r="C2905" s="10">
        <v>46126</v>
      </c>
      <c r="D2905" s="15">
        <v>1.0208</v>
      </c>
      <c r="E2905" s="15">
        <v>1.0208</v>
      </c>
      <c r="F2905" s="15">
        <v>1.0208</v>
      </c>
      <c r="G2905" s="11">
        <v>0.0055</v>
      </c>
      <c r="H2905" s="9">
        <f>MAX($F$2857:F2905)</f>
        <v>1.0208</v>
      </c>
      <c r="I2905" s="11">
        <f t="shared" si="74"/>
        <v>0</v>
      </c>
      <c r="J2905" s="9"/>
      <c r="K2905" s="11"/>
      <c r="L2905" s="9"/>
      <c r="M2905" s="11"/>
      <c r="N2905" s="9" t="s">
        <v>805</v>
      </c>
    </row>
    <row r="2906" ht="25" customHeight="1" spans="1:14">
      <c r="A2906" s="9" t="s">
        <v>238</v>
      </c>
      <c r="B2906" s="9" t="s">
        <v>235</v>
      </c>
      <c r="C2906" s="10">
        <v>46127</v>
      </c>
      <c r="D2906" s="15">
        <v>1.0182</v>
      </c>
      <c r="E2906" s="15">
        <v>1.0182</v>
      </c>
      <c r="F2906" s="15">
        <v>1.0182</v>
      </c>
      <c r="G2906" s="11">
        <v>-0.0025</v>
      </c>
      <c r="H2906" s="9">
        <f>MAX($F$2857:F2906)</f>
        <v>1.0208</v>
      </c>
      <c r="I2906" s="11">
        <f t="shared" si="74"/>
        <v>0.00254702194357359</v>
      </c>
      <c r="J2906" s="9"/>
      <c r="K2906" s="11"/>
      <c r="L2906" s="9"/>
      <c r="M2906" s="11"/>
      <c r="N2906" s="9" t="s">
        <v>805</v>
      </c>
    </row>
    <row r="2907" ht="25" customHeight="1" spans="1:14">
      <c r="A2907" s="9" t="s">
        <v>238</v>
      </c>
      <c r="B2907" s="9" t="s">
        <v>235</v>
      </c>
      <c r="C2907" s="10">
        <v>46128</v>
      </c>
      <c r="D2907" s="15">
        <v>1.0171</v>
      </c>
      <c r="E2907" s="15">
        <v>1.0171</v>
      </c>
      <c r="F2907" s="15">
        <v>1.0171</v>
      </c>
      <c r="G2907" s="11">
        <v>-0.0011</v>
      </c>
      <c r="H2907" s="9">
        <f>MAX($F$2857:F2907)</f>
        <v>1.0208</v>
      </c>
      <c r="I2907" s="11">
        <f t="shared" si="74"/>
        <v>0.00362460815047028</v>
      </c>
      <c r="J2907" s="9"/>
      <c r="K2907" s="11"/>
      <c r="L2907" s="9"/>
      <c r="M2907" s="11"/>
      <c r="N2907" s="9" t="s">
        <v>805</v>
      </c>
    </row>
    <row r="2908" ht="25" customHeight="1" spans="1:14">
      <c r="A2908" s="9" t="s">
        <v>238</v>
      </c>
      <c r="B2908" s="9" t="s">
        <v>235</v>
      </c>
      <c r="C2908" s="10">
        <v>46129</v>
      </c>
      <c r="D2908" s="15">
        <v>1.016</v>
      </c>
      <c r="E2908" s="15">
        <v>1.016</v>
      </c>
      <c r="F2908" s="15">
        <v>1.016</v>
      </c>
      <c r="G2908" s="11">
        <v>-0.0011</v>
      </c>
      <c r="H2908" s="9">
        <f>MAX($F$2857:F2908)</f>
        <v>1.0208</v>
      </c>
      <c r="I2908" s="11">
        <f t="shared" si="74"/>
        <v>0.00470219435736674</v>
      </c>
      <c r="J2908" s="9"/>
      <c r="K2908" s="11"/>
      <c r="L2908" s="9"/>
      <c r="M2908" s="11"/>
      <c r="N2908" s="9" t="s">
        <v>805</v>
      </c>
    </row>
    <row r="2909" ht="25" customHeight="1" spans="1:14">
      <c r="A2909" s="9" t="s">
        <v>238</v>
      </c>
      <c r="B2909" s="9" t="s">
        <v>235</v>
      </c>
      <c r="C2909" s="10">
        <v>46132</v>
      </c>
      <c r="D2909" s="15">
        <v>1.0161</v>
      </c>
      <c r="E2909" s="15">
        <v>1.0161</v>
      </c>
      <c r="F2909" s="15">
        <v>1.0161</v>
      </c>
      <c r="G2909" s="11">
        <v>0.0001</v>
      </c>
      <c r="H2909" s="9">
        <f>MAX($F$2857:F2909)</f>
        <v>1.0208</v>
      </c>
      <c r="I2909" s="11">
        <f t="shared" si="74"/>
        <v>0.00460423197492155</v>
      </c>
      <c r="J2909" s="9"/>
      <c r="K2909" s="11"/>
      <c r="L2909" s="9"/>
      <c r="M2909" s="11"/>
      <c r="N2909" s="9" t="s">
        <v>805</v>
      </c>
    </row>
    <row r="2910" ht="25" customHeight="1" spans="1:14">
      <c r="A2910" s="9" t="s">
        <v>238</v>
      </c>
      <c r="B2910" s="9" t="s">
        <v>235</v>
      </c>
      <c r="C2910" s="10">
        <v>46133</v>
      </c>
      <c r="D2910" s="15">
        <v>1.017</v>
      </c>
      <c r="E2910" s="15">
        <v>1.017</v>
      </c>
      <c r="F2910" s="15">
        <v>1.017</v>
      </c>
      <c r="G2910" s="11">
        <v>0.0009</v>
      </c>
      <c r="H2910" s="9">
        <f>MAX($F$2857:F2910)</f>
        <v>1.0208</v>
      </c>
      <c r="I2910" s="11">
        <f t="shared" si="74"/>
        <v>0.00372257053291536</v>
      </c>
      <c r="J2910" s="9"/>
      <c r="K2910" s="11"/>
      <c r="L2910" s="9"/>
      <c r="M2910" s="11"/>
      <c r="N2910" s="9" t="s">
        <v>805</v>
      </c>
    </row>
    <row r="2911" ht="25" customHeight="1" spans="1:14">
      <c r="A2911" s="9" t="s">
        <v>238</v>
      </c>
      <c r="B2911" s="9" t="s">
        <v>235</v>
      </c>
      <c r="C2911" s="10">
        <v>46134</v>
      </c>
      <c r="D2911" s="15">
        <v>1.019</v>
      </c>
      <c r="E2911" s="15">
        <v>1.019</v>
      </c>
      <c r="F2911" s="15">
        <v>1.019</v>
      </c>
      <c r="G2911" s="11">
        <v>0.002</v>
      </c>
      <c r="H2911" s="9">
        <f>MAX($F$2857:F2911)</f>
        <v>1.0208</v>
      </c>
      <c r="I2911" s="11">
        <f t="shared" si="74"/>
        <v>0.0017633228840126</v>
      </c>
      <c r="J2911" s="9"/>
      <c r="K2911" s="11"/>
      <c r="L2911" s="9"/>
      <c r="M2911" s="11"/>
      <c r="N2911" s="9" t="s">
        <v>805</v>
      </c>
    </row>
    <row r="2912" ht="25" customHeight="1" spans="1:14">
      <c r="A2912" s="9" t="s">
        <v>238</v>
      </c>
      <c r="B2912" s="9" t="s">
        <v>235</v>
      </c>
      <c r="C2912" s="10">
        <v>46135</v>
      </c>
      <c r="D2912" s="15">
        <v>1.0189</v>
      </c>
      <c r="E2912" s="15">
        <v>1.0189</v>
      </c>
      <c r="F2912" s="15">
        <v>1.0189</v>
      </c>
      <c r="G2912" s="11">
        <v>-0.0001</v>
      </c>
      <c r="H2912" s="9">
        <f>MAX($F$2857:F2912)</f>
        <v>1.0208</v>
      </c>
      <c r="I2912" s="11">
        <f t="shared" si="74"/>
        <v>0.00186128526645768</v>
      </c>
      <c r="J2912" s="9"/>
      <c r="K2912" s="11"/>
      <c r="L2912" s="9"/>
      <c r="M2912" s="11"/>
      <c r="N2912" s="9" t="s">
        <v>805</v>
      </c>
    </row>
    <row r="2913" ht="25" customHeight="1" spans="1:14">
      <c r="A2913" s="9" t="s">
        <v>238</v>
      </c>
      <c r="B2913" s="9" t="s">
        <v>235</v>
      </c>
      <c r="C2913" s="10">
        <v>46136</v>
      </c>
      <c r="D2913" s="15">
        <v>1.0185</v>
      </c>
      <c r="E2913" s="15">
        <v>1.0185</v>
      </c>
      <c r="F2913" s="15">
        <v>1.0185</v>
      </c>
      <c r="G2913" s="11">
        <v>-0.0004</v>
      </c>
      <c r="H2913" s="9">
        <f>MAX($F$2857:F2913)</f>
        <v>1.0208</v>
      </c>
      <c r="I2913" s="11">
        <f t="shared" si="74"/>
        <v>0.00225313479623823</v>
      </c>
      <c r="J2913" s="9"/>
      <c r="K2913" s="11"/>
      <c r="L2913" s="9"/>
      <c r="M2913" s="11"/>
      <c r="N2913" s="9" t="s">
        <v>805</v>
      </c>
    </row>
    <row r="2914" ht="25" customHeight="1" spans="1:14">
      <c r="A2914" s="9" t="s">
        <v>238</v>
      </c>
      <c r="B2914" s="9" t="s">
        <v>235</v>
      </c>
      <c r="C2914" s="10">
        <v>46139</v>
      </c>
      <c r="D2914" s="15">
        <v>1.0192</v>
      </c>
      <c r="E2914" s="15">
        <v>1.0192</v>
      </c>
      <c r="F2914" s="15">
        <v>1.0192</v>
      </c>
      <c r="G2914" s="11">
        <v>0.0007</v>
      </c>
      <c r="H2914" s="9">
        <f>MAX($F$2857:F2914)</f>
        <v>1.0208</v>
      </c>
      <c r="I2914" s="11">
        <f t="shared" si="74"/>
        <v>0.0015673981191221</v>
      </c>
      <c r="J2914" s="9"/>
      <c r="K2914" s="11"/>
      <c r="L2914" s="9"/>
      <c r="M2914" s="11"/>
      <c r="N2914" s="9" t="s">
        <v>805</v>
      </c>
    </row>
    <row r="2915" ht="25" customHeight="1" spans="1:14">
      <c r="A2915" s="9" t="s">
        <v>238</v>
      </c>
      <c r="B2915" s="9" t="s">
        <v>235</v>
      </c>
      <c r="C2915" s="10">
        <v>46140</v>
      </c>
      <c r="D2915" s="15">
        <v>1.0201</v>
      </c>
      <c r="E2915" s="15">
        <v>1.0201</v>
      </c>
      <c r="F2915" s="15">
        <v>1.0201</v>
      </c>
      <c r="G2915" s="11">
        <v>0.0009</v>
      </c>
      <c r="H2915" s="9">
        <f>MAX($F$2857:F2915)</f>
        <v>1.0208</v>
      </c>
      <c r="I2915" s="11">
        <f t="shared" si="74"/>
        <v>0.000685736677115911</v>
      </c>
      <c r="J2915" s="9"/>
      <c r="K2915" s="11"/>
      <c r="L2915" s="9"/>
      <c r="M2915" s="11"/>
      <c r="N2915" s="9" t="s">
        <v>805</v>
      </c>
    </row>
    <row r="2916" ht="25" customHeight="1" spans="1:14">
      <c r="A2916" s="9" t="s">
        <v>238</v>
      </c>
      <c r="B2916" s="9" t="s">
        <v>235</v>
      </c>
      <c r="C2916" s="10">
        <v>46141</v>
      </c>
      <c r="D2916" s="15">
        <v>1.0225</v>
      </c>
      <c r="E2916" s="15">
        <v>1.0225</v>
      </c>
      <c r="F2916" s="15">
        <v>1.0225</v>
      </c>
      <c r="G2916" s="11">
        <v>0.0024</v>
      </c>
      <c r="H2916" s="9">
        <f>MAX($F$2857:F2916)</f>
        <v>1.0225</v>
      </c>
      <c r="I2916" s="11">
        <f t="shared" si="74"/>
        <v>0</v>
      </c>
      <c r="J2916" s="9"/>
      <c r="K2916" s="11"/>
      <c r="L2916" s="9"/>
      <c r="M2916" s="11"/>
      <c r="N2916" s="9" t="s">
        <v>805</v>
      </c>
    </row>
    <row r="2917" ht="25" customHeight="1" spans="1:14">
      <c r="A2917" s="9" t="s">
        <v>238</v>
      </c>
      <c r="B2917" s="9" t="s">
        <v>235</v>
      </c>
      <c r="C2917" s="10">
        <v>46142</v>
      </c>
      <c r="D2917" s="15">
        <v>1.0219</v>
      </c>
      <c r="E2917" s="15">
        <v>1.0219</v>
      </c>
      <c r="F2917" s="15">
        <v>1.0219</v>
      </c>
      <c r="G2917" s="11">
        <v>-0.0006</v>
      </c>
      <c r="H2917" s="9">
        <f>MAX($F$2857:F2917)</f>
        <v>1.0225</v>
      </c>
      <c r="I2917" s="11">
        <f t="shared" si="74"/>
        <v>0.00058679706601461</v>
      </c>
      <c r="J2917" s="9"/>
      <c r="K2917" s="11"/>
      <c r="L2917" s="9"/>
      <c r="M2917" s="11"/>
      <c r="N2917" s="9" t="s">
        <v>805</v>
      </c>
    </row>
    <row r="2918" ht="25" customHeight="1" spans="1:14">
      <c r="A2918" s="9" t="s">
        <v>238</v>
      </c>
      <c r="B2918" s="9" t="s">
        <v>235</v>
      </c>
      <c r="C2918" s="10">
        <v>46148</v>
      </c>
      <c r="D2918" s="15">
        <v>1.0224</v>
      </c>
      <c r="E2918" s="15">
        <v>1.0224</v>
      </c>
      <c r="F2918" s="15">
        <v>1.0224</v>
      </c>
      <c r="G2918" s="11">
        <v>0.0005</v>
      </c>
      <c r="H2918" s="9">
        <f>MAX($F$2857:F2918)</f>
        <v>1.0225</v>
      </c>
      <c r="I2918" s="11">
        <f t="shared" si="74"/>
        <v>9.77995110024166e-5</v>
      </c>
      <c r="J2918" s="9"/>
      <c r="K2918" s="11"/>
      <c r="L2918" s="9"/>
      <c r="M2918" s="11"/>
      <c r="N2918" s="9" t="s">
        <v>805</v>
      </c>
    </row>
    <row r="2919" ht="25" customHeight="1" spans="1:14">
      <c r="A2919" s="9" t="s">
        <v>238</v>
      </c>
      <c r="B2919" s="9" t="s">
        <v>235</v>
      </c>
      <c r="C2919" s="10">
        <v>46149</v>
      </c>
      <c r="D2919" s="15">
        <v>1.0229</v>
      </c>
      <c r="E2919" s="15">
        <v>1.0229</v>
      </c>
      <c r="F2919" s="15">
        <v>1.0229</v>
      </c>
      <c r="G2919" s="11">
        <v>0.0005</v>
      </c>
      <c r="H2919" s="9">
        <f>MAX($F$2857:F2919)</f>
        <v>1.0229</v>
      </c>
      <c r="I2919" s="11">
        <f t="shared" si="74"/>
        <v>0</v>
      </c>
      <c r="J2919" s="9"/>
      <c r="K2919" s="11"/>
      <c r="L2919" s="9"/>
      <c r="M2919" s="11"/>
      <c r="N2919" s="9" t="s">
        <v>805</v>
      </c>
    </row>
    <row r="2920" ht="25" customHeight="1" spans="1:14">
      <c r="A2920" s="9" t="s">
        <v>238</v>
      </c>
      <c r="B2920" s="9" t="s">
        <v>235</v>
      </c>
      <c r="C2920" s="10">
        <v>46150</v>
      </c>
      <c r="D2920" s="15">
        <v>1.023</v>
      </c>
      <c r="E2920" s="15">
        <v>1.023</v>
      </c>
      <c r="F2920" s="15">
        <v>1.023</v>
      </c>
      <c r="G2920" s="11">
        <v>0.0001</v>
      </c>
      <c r="H2920" s="9">
        <f>MAX($F$2857:F2920)</f>
        <v>1.023</v>
      </c>
      <c r="I2920" s="11">
        <f t="shared" si="74"/>
        <v>0</v>
      </c>
      <c r="J2920" s="9"/>
      <c r="K2920" s="11"/>
      <c r="L2920" s="9"/>
      <c r="M2920" s="11"/>
      <c r="N2920" s="9" t="s">
        <v>805</v>
      </c>
    </row>
    <row r="2921" ht="25" customHeight="1" spans="1:14">
      <c r="A2921" s="9" t="s">
        <v>238</v>
      </c>
      <c r="B2921" s="9" t="s">
        <v>235</v>
      </c>
      <c r="C2921" s="10">
        <v>46153</v>
      </c>
      <c r="D2921" s="15">
        <v>1.0232</v>
      </c>
      <c r="E2921" s="15">
        <v>1.0232</v>
      </c>
      <c r="F2921" s="15">
        <v>1.0232</v>
      </c>
      <c r="G2921" s="11">
        <v>0.0002</v>
      </c>
      <c r="H2921" s="9">
        <f>MAX($F$2857:F2921)</f>
        <v>1.0232</v>
      </c>
      <c r="I2921" s="11">
        <f t="shared" si="74"/>
        <v>0</v>
      </c>
      <c r="J2921" s="9"/>
      <c r="K2921" s="11"/>
      <c r="L2921" s="9"/>
      <c r="M2921" s="11"/>
      <c r="N2921" s="9" t="s">
        <v>805</v>
      </c>
    </row>
    <row r="2922" ht="25" customHeight="1" spans="1:14">
      <c r="A2922" s="9" t="s">
        <v>238</v>
      </c>
      <c r="B2922" s="9" t="s">
        <v>235</v>
      </c>
      <c r="C2922" s="10">
        <v>46154</v>
      </c>
      <c r="D2922" s="15">
        <v>1.0225</v>
      </c>
      <c r="E2922" s="15">
        <v>1.0225</v>
      </c>
      <c r="F2922" s="15">
        <v>1.0225</v>
      </c>
      <c r="G2922" s="11">
        <v>-0.0007</v>
      </c>
      <c r="H2922" s="9">
        <f>MAX($F$2857:F2922)</f>
        <v>1.0232</v>
      </c>
      <c r="I2922" s="11">
        <f t="shared" si="74"/>
        <v>0.000684128225176051</v>
      </c>
      <c r="J2922" s="9"/>
      <c r="K2922" s="11"/>
      <c r="L2922" s="9"/>
      <c r="M2922" s="11"/>
      <c r="N2922" s="9" t="s">
        <v>805</v>
      </c>
    </row>
    <row r="2923" ht="25" customHeight="1" spans="1:14">
      <c r="A2923" s="9" t="s">
        <v>238</v>
      </c>
      <c r="B2923" s="9" t="s">
        <v>235</v>
      </c>
      <c r="C2923" s="10">
        <v>46155</v>
      </c>
      <c r="D2923" s="15">
        <v>1.0214</v>
      </c>
      <c r="E2923" s="15">
        <v>1.0214</v>
      </c>
      <c r="F2923" s="15">
        <v>1.0214</v>
      </c>
      <c r="G2923" s="11">
        <v>-0.0011</v>
      </c>
      <c r="H2923" s="9">
        <f>MAX($F$2857:F2923)</f>
        <v>1.0232</v>
      </c>
      <c r="I2923" s="11">
        <f t="shared" si="74"/>
        <v>0.00175918686473808</v>
      </c>
      <c r="J2923" s="9"/>
      <c r="K2923" s="11"/>
      <c r="L2923" s="9"/>
      <c r="M2923" s="11"/>
      <c r="N2923" s="9" t="s">
        <v>805</v>
      </c>
    </row>
    <row r="2924" ht="25" customHeight="1" spans="1:14">
      <c r="A2924" s="9" t="s">
        <v>238</v>
      </c>
      <c r="B2924" s="9" t="s">
        <v>235</v>
      </c>
      <c r="C2924" s="10">
        <v>46156</v>
      </c>
      <c r="D2924" s="15">
        <v>1.0222</v>
      </c>
      <c r="E2924" s="15">
        <v>1.0222</v>
      </c>
      <c r="F2924" s="15">
        <v>1.0222</v>
      </c>
      <c r="G2924" s="11">
        <v>0.0008</v>
      </c>
      <c r="H2924" s="9">
        <f>MAX($F$2857:F2924)</f>
        <v>1.0232</v>
      </c>
      <c r="I2924" s="11">
        <f t="shared" si="74"/>
        <v>0.000977326035965675</v>
      </c>
      <c r="J2924" s="9"/>
      <c r="K2924" s="11"/>
      <c r="L2924" s="9"/>
      <c r="M2924" s="11"/>
      <c r="N2924" s="9" t="s">
        <v>805</v>
      </c>
    </row>
    <row r="2925" ht="25" customHeight="1" spans="1:14">
      <c r="A2925" s="9" t="s">
        <v>238</v>
      </c>
      <c r="B2925" s="9" t="s">
        <v>235</v>
      </c>
      <c r="C2925" s="10">
        <v>46157</v>
      </c>
      <c r="D2925" s="15">
        <v>1.0212</v>
      </c>
      <c r="E2925" s="15">
        <v>1.0212</v>
      </c>
      <c r="F2925" s="15">
        <v>1.0212</v>
      </c>
      <c r="G2925" s="11">
        <v>-0.001</v>
      </c>
      <c r="H2925" s="9">
        <f>MAX($F$2857:F2925)</f>
        <v>1.0232</v>
      </c>
      <c r="I2925" s="11">
        <f t="shared" si="74"/>
        <v>0.00195465207193124</v>
      </c>
      <c r="J2925" s="9"/>
      <c r="K2925" s="11"/>
      <c r="L2925" s="9"/>
      <c r="M2925" s="11"/>
      <c r="N2925" s="9" t="s">
        <v>805</v>
      </c>
    </row>
    <row r="2926" ht="25" customHeight="1" spans="1:14">
      <c r="A2926" s="9" t="s">
        <v>238</v>
      </c>
      <c r="B2926" s="9" t="s">
        <v>235</v>
      </c>
      <c r="C2926" s="10">
        <v>46160</v>
      </c>
      <c r="D2926" s="15">
        <v>1.022</v>
      </c>
      <c r="E2926" s="15">
        <v>1.022</v>
      </c>
      <c r="F2926" s="15">
        <v>1.022</v>
      </c>
      <c r="G2926" s="11">
        <v>0.0008</v>
      </c>
      <c r="H2926" s="9">
        <f>MAX($F$2857:F2926)</f>
        <v>1.0232</v>
      </c>
      <c r="I2926" s="11">
        <f t="shared" si="74"/>
        <v>0.00117279124315883</v>
      </c>
      <c r="J2926" s="9"/>
      <c r="K2926" s="11"/>
      <c r="L2926" s="9"/>
      <c r="M2926" s="11"/>
      <c r="N2926" s="9" t="s">
        <v>805</v>
      </c>
    </row>
    <row r="2927" ht="25" customHeight="1" spans="1:14">
      <c r="A2927" s="9" t="s">
        <v>238</v>
      </c>
      <c r="B2927" s="9" t="s">
        <v>235</v>
      </c>
      <c r="C2927" s="10">
        <v>46161</v>
      </c>
      <c r="D2927" s="15">
        <v>1.0226</v>
      </c>
      <c r="E2927" s="15">
        <v>1.0226</v>
      </c>
      <c r="F2927" s="15">
        <v>1.0226</v>
      </c>
      <c r="G2927" s="11">
        <v>0.0006</v>
      </c>
      <c r="H2927" s="9">
        <f>MAX($F$2857:F2927)</f>
        <v>1.0232</v>
      </c>
      <c r="I2927" s="11">
        <f t="shared" si="74"/>
        <v>0.000586395621579472</v>
      </c>
      <c r="J2927" s="9"/>
      <c r="K2927" s="11"/>
      <c r="L2927" s="9"/>
      <c r="M2927" s="11"/>
      <c r="N2927" s="9" t="s">
        <v>805</v>
      </c>
    </row>
    <row r="2928" ht="25" customHeight="1" spans="1:14">
      <c r="A2928" s="9" t="s">
        <v>238</v>
      </c>
      <c r="B2928" s="9" t="s">
        <v>235</v>
      </c>
      <c r="C2928" s="10">
        <v>46162</v>
      </c>
      <c r="D2928" s="15">
        <v>1.0229</v>
      </c>
      <c r="E2928" s="15">
        <v>1.0229</v>
      </c>
      <c r="F2928" s="15">
        <v>1.0229</v>
      </c>
      <c r="G2928" s="11">
        <v>0.0003</v>
      </c>
      <c r="H2928" s="9">
        <f>MAX($F$2857:F2928)</f>
        <v>1.0232</v>
      </c>
      <c r="I2928" s="11">
        <f t="shared" si="74"/>
        <v>0.000293197810789847</v>
      </c>
      <c r="J2928" s="9"/>
      <c r="K2928" s="11"/>
      <c r="L2928" s="9"/>
      <c r="M2928" s="11"/>
      <c r="N2928" s="9" t="s">
        <v>805</v>
      </c>
    </row>
    <row r="2929" ht="25" customHeight="1" spans="1:14">
      <c r="A2929" s="9" t="s">
        <v>238</v>
      </c>
      <c r="B2929" s="9" t="s">
        <v>235</v>
      </c>
      <c r="C2929" s="10">
        <v>46163</v>
      </c>
      <c r="D2929" s="15">
        <v>1.0259</v>
      </c>
      <c r="E2929" s="15">
        <v>1.0259</v>
      </c>
      <c r="F2929" s="15">
        <v>1.0259</v>
      </c>
      <c r="G2929" s="11">
        <v>0.0029</v>
      </c>
      <c r="H2929" s="9">
        <f>MAX($F$2857:F2929)</f>
        <v>1.0259</v>
      </c>
      <c r="I2929" s="11">
        <f t="shared" si="74"/>
        <v>0</v>
      </c>
      <c r="J2929" s="9"/>
      <c r="K2929" s="11"/>
      <c r="L2929" s="9"/>
      <c r="M2929" s="11"/>
      <c r="N2929" s="9" t="s">
        <v>805</v>
      </c>
    </row>
    <row r="2930" ht="25" customHeight="1" spans="1:14">
      <c r="A2930" s="9" t="s">
        <v>238</v>
      </c>
      <c r="B2930" s="9" t="s">
        <v>235</v>
      </c>
      <c r="C2930" s="10">
        <v>46164</v>
      </c>
      <c r="D2930" s="15">
        <v>1.0305</v>
      </c>
      <c r="E2930" s="15">
        <v>1.0305</v>
      </c>
      <c r="F2930" s="15">
        <v>1.0305</v>
      </c>
      <c r="G2930" s="11">
        <v>0.0045</v>
      </c>
      <c r="H2930" s="9">
        <f>MAX($F$2857:F2930)</f>
        <v>1.0305</v>
      </c>
      <c r="I2930" s="11">
        <f t="shared" si="74"/>
        <v>0</v>
      </c>
      <c r="J2930" s="9"/>
      <c r="K2930" s="11"/>
      <c r="L2930" s="9"/>
      <c r="M2930" s="11"/>
      <c r="N2930" s="9" t="s">
        <v>805</v>
      </c>
    </row>
    <row r="2931" ht="25" customHeight="1" spans="1:14">
      <c r="A2931" s="9" t="s">
        <v>238</v>
      </c>
      <c r="B2931" s="9" t="s">
        <v>235</v>
      </c>
      <c r="C2931" s="10">
        <v>46167</v>
      </c>
      <c r="D2931" s="15">
        <v>1.0296</v>
      </c>
      <c r="E2931" s="15">
        <v>1.0296</v>
      </c>
      <c r="F2931" s="15">
        <v>1.0296</v>
      </c>
      <c r="G2931" s="11">
        <v>-0.0009</v>
      </c>
      <c r="H2931" s="9">
        <f>MAX($F$2857:F2931)</f>
        <v>1.0305</v>
      </c>
      <c r="I2931" s="11">
        <f t="shared" si="74"/>
        <v>0.000873362445414805</v>
      </c>
      <c r="J2931" s="9"/>
      <c r="K2931" s="11"/>
      <c r="L2931" s="9"/>
      <c r="M2931" s="11"/>
      <c r="N2931" s="9" t="s">
        <v>805</v>
      </c>
    </row>
    <row r="2932" ht="25" customHeight="1" spans="1:14">
      <c r="A2932" s="9" t="s">
        <v>238</v>
      </c>
      <c r="B2932" s="9" t="s">
        <v>235</v>
      </c>
      <c r="C2932" s="10">
        <v>46168</v>
      </c>
      <c r="D2932" s="15">
        <v>1.0279</v>
      </c>
      <c r="E2932" s="15">
        <v>1.0279</v>
      </c>
      <c r="F2932" s="15">
        <v>1.0279</v>
      </c>
      <c r="G2932" s="11">
        <v>-0.0017</v>
      </c>
      <c r="H2932" s="9">
        <f>MAX($F$2857:F2932)</f>
        <v>1.0305</v>
      </c>
      <c r="I2932" s="11">
        <f t="shared" si="74"/>
        <v>0.00252304706453177</v>
      </c>
      <c r="J2932" s="9"/>
      <c r="K2932" s="11"/>
      <c r="L2932" s="9"/>
      <c r="M2932" s="11"/>
      <c r="N2932" s="9" t="s">
        <v>805</v>
      </c>
    </row>
    <row r="2933" ht="25" customHeight="1" spans="1:14">
      <c r="A2933" s="9" t="s">
        <v>238</v>
      </c>
      <c r="B2933" s="9" t="s">
        <v>235</v>
      </c>
      <c r="C2933" s="10">
        <v>46169</v>
      </c>
      <c r="D2933" s="15">
        <v>1.0261</v>
      </c>
      <c r="E2933" s="15">
        <v>1.0261</v>
      </c>
      <c r="F2933" s="15">
        <v>1.0261</v>
      </c>
      <c r="G2933" s="11">
        <v>-0.0018</v>
      </c>
      <c r="H2933" s="9">
        <f>MAX($F$2857:F2933)</f>
        <v>1.0305</v>
      </c>
      <c r="I2933" s="11">
        <f t="shared" si="74"/>
        <v>0.00426977195536149</v>
      </c>
      <c r="J2933" s="9"/>
      <c r="K2933" s="11"/>
      <c r="L2933" s="9"/>
      <c r="M2933" s="11"/>
      <c r="N2933" s="9" t="s">
        <v>805</v>
      </c>
    </row>
    <row r="2934" ht="25" customHeight="1" spans="1:14">
      <c r="A2934" s="9" t="s">
        <v>238</v>
      </c>
      <c r="B2934" s="9" t="s">
        <v>235</v>
      </c>
      <c r="C2934" s="10">
        <v>46170</v>
      </c>
      <c r="D2934" s="15">
        <v>1.0244</v>
      </c>
      <c r="E2934" s="15">
        <v>1.0244</v>
      </c>
      <c r="F2934" s="15">
        <v>1.0244</v>
      </c>
      <c r="G2934" s="11">
        <v>-0.0017</v>
      </c>
      <c r="H2934" s="9">
        <f>MAX($F$2857:F2934)</f>
        <v>1.0305</v>
      </c>
      <c r="I2934" s="11">
        <f t="shared" si="74"/>
        <v>0.00591945657447845</v>
      </c>
      <c r="J2934" s="9"/>
      <c r="K2934" s="11"/>
      <c r="L2934" s="9"/>
      <c r="M2934" s="11"/>
      <c r="N2934" s="9" t="s">
        <v>805</v>
      </c>
    </row>
    <row r="2935" ht="25" customHeight="1" spans="1:14">
      <c r="A2935" s="9" t="s">
        <v>238</v>
      </c>
      <c r="B2935" s="9" t="s">
        <v>235</v>
      </c>
      <c r="C2935" s="10">
        <v>46171</v>
      </c>
      <c r="D2935" s="15">
        <v>1.0255</v>
      </c>
      <c r="E2935" s="15">
        <v>1.0255</v>
      </c>
      <c r="F2935" s="15">
        <v>1.0255</v>
      </c>
      <c r="G2935" s="11">
        <v>0.0011</v>
      </c>
      <c r="H2935" s="9">
        <f>MAX($F$2857:F2935)</f>
        <v>1.0305</v>
      </c>
      <c r="I2935" s="11">
        <f t="shared" si="74"/>
        <v>0.00485201358563792</v>
      </c>
      <c r="J2935" s="9"/>
      <c r="K2935" s="11"/>
      <c r="L2935" s="9"/>
      <c r="M2935" s="11"/>
      <c r="N2935" s="9" t="s">
        <v>805</v>
      </c>
    </row>
    <row r="2936" ht="25" customHeight="1" spans="1:14">
      <c r="A2936" s="9" t="s">
        <v>238</v>
      </c>
      <c r="B2936" s="9" t="s">
        <v>235</v>
      </c>
      <c r="C2936" s="10">
        <v>46174</v>
      </c>
      <c r="D2936" s="15">
        <v>1.0251</v>
      </c>
      <c r="E2936" s="15">
        <v>1.0251</v>
      </c>
      <c r="F2936" s="15">
        <v>1.0251</v>
      </c>
      <c r="G2936" s="11">
        <v>-0.0004</v>
      </c>
      <c r="H2936" s="9">
        <f>MAX($F$2857:F2936)</f>
        <v>1.0305</v>
      </c>
      <c r="I2936" s="11">
        <f t="shared" si="74"/>
        <v>0.00524017467248916</v>
      </c>
      <c r="J2936" s="9"/>
      <c r="K2936" s="11"/>
      <c r="L2936" s="9"/>
      <c r="M2936" s="11"/>
      <c r="N2936" s="9" t="s">
        <v>805</v>
      </c>
    </row>
    <row r="2937" ht="25" customHeight="1" spans="1:14">
      <c r="A2937" s="9" t="s">
        <v>238</v>
      </c>
      <c r="B2937" s="9" t="s">
        <v>235</v>
      </c>
      <c r="C2937" s="10">
        <v>46175</v>
      </c>
      <c r="D2937" s="15">
        <v>1.0242</v>
      </c>
      <c r="E2937" s="15">
        <v>1.0242</v>
      </c>
      <c r="F2937" s="15">
        <v>1.0242</v>
      </c>
      <c r="G2937" s="11">
        <v>-0.0009</v>
      </c>
      <c r="H2937" s="9">
        <f>MAX($F$2857:F2937)</f>
        <v>1.0305</v>
      </c>
      <c r="I2937" s="11">
        <f t="shared" si="74"/>
        <v>0.00611353711790386</v>
      </c>
      <c r="J2937" s="9"/>
      <c r="K2937" s="11"/>
      <c r="L2937" s="9"/>
      <c r="M2937" s="11"/>
      <c r="N2937" s="9" t="s">
        <v>805</v>
      </c>
    </row>
    <row r="2938" ht="25" customHeight="1" spans="1:14">
      <c r="A2938" s="9" t="s">
        <v>238</v>
      </c>
      <c r="B2938" s="9" t="s">
        <v>235</v>
      </c>
      <c r="C2938" s="10">
        <v>46176</v>
      </c>
      <c r="D2938" s="15">
        <v>1.0239</v>
      </c>
      <c r="E2938" s="15">
        <v>1.0239</v>
      </c>
      <c r="F2938" s="15">
        <v>1.0239</v>
      </c>
      <c r="G2938" s="11">
        <v>-0.0003</v>
      </c>
      <c r="H2938" s="9">
        <f>MAX($F$2857:F2938)</f>
        <v>1.0305</v>
      </c>
      <c r="I2938" s="11">
        <f t="shared" si="74"/>
        <v>0.00640465793304212</v>
      </c>
      <c r="J2938" s="9"/>
      <c r="K2938" s="11"/>
      <c r="L2938" s="9"/>
      <c r="M2938" s="11"/>
      <c r="N2938" s="9" t="s">
        <v>805</v>
      </c>
    </row>
    <row r="2939" ht="25" customHeight="1" spans="1:14">
      <c r="A2939" s="9" t="s">
        <v>238</v>
      </c>
      <c r="B2939" s="9" t="s">
        <v>235</v>
      </c>
      <c r="C2939" s="10">
        <v>46177</v>
      </c>
      <c r="D2939" s="15">
        <v>1.0242</v>
      </c>
      <c r="E2939" s="15">
        <v>1.0242</v>
      </c>
      <c r="F2939" s="15">
        <v>1.0242</v>
      </c>
      <c r="G2939" s="11">
        <v>0.0003</v>
      </c>
      <c r="H2939" s="9">
        <f>MAX($F$2857:F2939)</f>
        <v>1.0305</v>
      </c>
      <c r="I2939" s="11">
        <f t="shared" si="74"/>
        <v>0.00611353711790386</v>
      </c>
      <c r="J2939" s="9"/>
      <c r="K2939" s="11"/>
      <c r="L2939" s="9"/>
      <c r="M2939" s="11"/>
      <c r="N2939" s="9" t="s">
        <v>805</v>
      </c>
    </row>
    <row r="2940" ht="25" customHeight="1" spans="1:14">
      <c r="A2940" s="9" t="s">
        <v>238</v>
      </c>
      <c r="B2940" s="9" t="s">
        <v>235</v>
      </c>
      <c r="C2940" s="10">
        <v>46178</v>
      </c>
      <c r="D2940" s="15">
        <v>1.0253</v>
      </c>
      <c r="E2940" s="15">
        <v>1.0253</v>
      </c>
      <c r="F2940" s="15">
        <v>1.0253</v>
      </c>
      <c r="G2940" s="11">
        <v>0.0011</v>
      </c>
      <c r="H2940" s="9">
        <f>MAX($F$2857:F2940)</f>
        <v>1.0305</v>
      </c>
      <c r="I2940" s="11">
        <f t="shared" si="74"/>
        <v>0.00504609412906343</v>
      </c>
      <c r="J2940" s="9"/>
      <c r="K2940" s="11"/>
      <c r="L2940" s="9"/>
      <c r="M2940" s="11"/>
      <c r="N2940" s="9" t="s">
        <v>805</v>
      </c>
    </row>
    <row r="2941" ht="25" customHeight="1" spans="1:14">
      <c r="A2941" s="9" t="s">
        <v>238</v>
      </c>
      <c r="B2941" s="9" t="s">
        <v>235</v>
      </c>
      <c r="C2941" s="10">
        <v>46181</v>
      </c>
      <c r="D2941" s="15">
        <v>1.0257</v>
      </c>
      <c r="E2941" s="15">
        <v>1.0257</v>
      </c>
      <c r="F2941" s="15">
        <v>1.0257</v>
      </c>
      <c r="G2941" s="11">
        <v>0.0004</v>
      </c>
      <c r="H2941" s="9">
        <f>MAX($F$2857:F2941)</f>
        <v>1.0305</v>
      </c>
      <c r="I2941" s="11">
        <f t="shared" si="74"/>
        <v>0.0046579330422124</v>
      </c>
      <c r="J2941" s="9"/>
      <c r="K2941" s="11"/>
      <c r="L2941" s="9"/>
      <c r="M2941" s="11"/>
      <c r="N2941" s="9" t="s">
        <v>805</v>
      </c>
    </row>
    <row r="2942" ht="25" customHeight="1" spans="1:14">
      <c r="A2942" s="9" t="s">
        <v>238</v>
      </c>
      <c r="B2942" s="9" t="s">
        <v>235</v>
      </c>
      <c r="C2942" s="10">
        <v>46182</v>
      </c>
      <c r="D2942" s="15">
        <v>1.029</v>
      </c>
      <c r="E2942" s="15">
        <v>1.029</v>
      </c>
      <c r="F2942" s="15">
        <v>1.029</v>
      </c>
      <c r="G2942" s="11">
        <v>0.0032</v>
      </c>
      <c r="H2942" s="9">
        <f>MAX($F$2857:F2942)</f>
        <v>1.0305</v>
      </c>
      <c r="I2942" s="11">
        <f t="shared" si="74"/>
        <v>0.00145560407569145</v>
      </c>
      <c r="J2942" s="9"/>
      <c r="K2942" s="11"/>
      <c r="L2942" s="9"/>
      <c r="M2942" s="11"/>
      <c r="N2942" s="9" t="s">
        <v>805</v>
      </c>
    </row>
    <row r="2943" ht="25" customHeight="1" spans="1:14">
      <c r="A2943" s="9" t="s">
        <v>238</v>
      </c>
      <c r="B2943" s="9" t="s">
        <v>235</v>
      </c>
      <c r="C2943" s="10">
        <v>46183</v>
      </c>
      <c r="D2943" s="15">
        <v>1.0265</v>
      </c>
      <c r="E2943" s="15">
        <v>1.0265</v>
      </c>
      <c r="F2943" s="15">
        <v>1.0265</v>
      </c>
      <c r="G2943" s="11">
        <v>-0.0024</v>
      </c>
      <c r="H2943" s="9">
        <f>MAX($F$2857:F2943)</f>
        <v>1.0305</v>
      </c>
      <c r="I2943" s="11">
        <f t="shared" si="74"/>
        <v>0.00388161086851047</v>
      </c>
      <c r="J2943" s="9"/>
      <c r="K2943" s="11"/>
      <c r="L2943" s="9"/>
      <c r="M2943" s="11"/>
      <c r="N2943" s="9" t="s">
        <v>805</v>
      </c>
    </row>
    <row r="2944" ht="25" customHeight="1" spans="1:14">
      <c r="A2944" s="9" t="s">
        <v>238</v>
      </c>
      <c r="B2944" s="9" t="s">
        <v>235</v>
      </c>
      <c r="C2944" s="10">
        <v>46184</v>
      </c>
      <c r="D2944" s="15">
        <v>1.0296</v>
      </c>
      <c r="E2944" s="15">
        <v>1.0296</v>
      </c>
      <c r="F2944" s="15">
        <v>1.0296</v>
      </c>
      <c r="G2944" s="11">
        <v>0.003</v>
      </c>
      <c r="H2944" s="9">
        <f>MAX($F$2857:F2944)</f>
        <v>1.0305</v>
      </c>
      <c r="I2944" s="11">
        <f t="shared" si="74"/>
        <v>0.000873362445414805</v>
      </c>
      <c r="J2944" s="9"/>
      <c r="K2944" s="11"/>
      <c r="L2944" s="9"/>
      <c r="M2944" s="11"/>
      <c r="N2944" s="9" t="s">
        <v>805</v>
      </c>
    </row>
    <row r="2945" ht="25" customHeight="1" spans="1:14">
      <c r="A2945" s="9" t="s">
        <v>238</v>
      </c>
      <c r="B2945" s="9" t="s">
        <v>235</v>
      </c>
      <c r="C2945" s="10">
        <v>46185</v>
      </c>
      <c r="D2945" s="15">
        <v>1.0294</v>
      </c>
      <c r="E2945" s="15">
        <v>1.0294</v>
      </c>
      <c r="F2945" s="15">
        <v>1.0294</v>
      </c>
      <c r="G2945" s="11">
        <v>-0.0002</v>
      </c>
      <c r="H2945" s="9">
        <f>MAX($F$2857:F2945)</f>
        <v>1.0305</v>
      </c>
      <c r="I2945" s="11">
        <f t="shared" si="74"/>
        <v>0.00106744298884021</v>
      </c>
      <c r="J2945" s="9"/>
      <c r="K2945" s="11"/>
      <c r="L2945" s="9"/>
      <c r="M2945" s="11"/>
      <c r="N2945" s="9" t="s">
        <v>805</v>
      </c>
    </row>
    <row r="2946" ht="25" customHeight="1" spans="1:14">
      <c r="A2946" s="9" t="s">
        <v>238</v>
      </c>
      <c r="B2946" s="9" t="s">
        <v>235</v>
      </c>
      <c r="C2946" s="10">
        <v>46188</v>
      </c>
      <c r="D2946" s="15">
        <v>1.0313</v>
      </c>
      <c r="E2946" s="15">
        <v>1.0313</v>
      </c>
      <c r="F2946" s="15">
        <v>1.0313</v>
      </c>
      <c r="G2946" s="11">
        <v>0.0018</v>
      </c>
      <c r="H2946" s="9">
        <f>MAX($F$2857:F2946)</f>
        <v>1.0313</v>
      </c>
      <c r="I2946" s="11">
        <f t="shared" ref="I2946:I3009" si="75">1-F2946/H2946</f>
        <v>0</v>
      </c>
      <c r="J2946" s="9"/>
      <c r="K2946" s="11"/>
      <c r="L2946" s="9"/>
      <c r="M2946" s="11"/>
      <c r="N2946" s="9" t="s">
        <v>805</v>
      </c>
    </row>
    <row r="2947" ht="25" customHeight="1" spans="1:14">
      <c r="A2947" s="9" t="s">
        <v>238</v>
      </c>
      <c r="B2947" s="9" t="s">
        <v>235</v>
      </c>
      <c r="C2947" s="10">
        <v>46189</v>
      </c>
      <c r="D2947" s="15">
        <v>1.0314</v>
      </c>
      <c r="E2947" s="15">
        <v>1.0314</v>
      </c>
      <c r="F2947" s="15">
        <v>1.0314</v>
      </c>
      <c r="G2947" s="11">
        <v>0.0001</v>
      </c>
      <c r="H2947" s="9">
        <f>MAX($F$2857:F2947)</f>
        <v>1.0314</v>
      </c>
      <c r="I2947" s="11">
        <f t="shared" si="75"/>
        <v>0</v>
      </c>
      <c r="J2947" s="9"/>
      <c r="K2947" s="11"/>
      <c r="L2947" s="9"/>
      <c r="M2947" s="11"/>
      <c r="N2947" s="9" t="s">
        <v>805</v>
      </c>
    </row>
    <row r="2948" ht="25" customHeight="1" spans="1:14">
      <c r="A2948" s="9" t="s">
        <v>238</v>
      </c>
      <c r="B2948" s="9" t="s">
        <v>235</v>
      </c>
      <c r="C2948" s="10">
        <v>46190</v>
      </c>
      <c r="D2948" s="15">
        <v>1.0314</v>
      </c>
      <c r="E2948" s="15">
        <v>1.0314</v>
      </c>
      <c r="F2948" s="15">
        <v>1.0314</v>
      </c>
      <c r="G2948" s="11">
        <v>0</v>
      </c>
      <c r="H2948" s="9">
        <f>MAX($F$2857:F2948)</f>
        <v>1.0314</v>
      </c>
      <c r="I2948" s="11">
        <f t="shared" si="75"/>
        <v>0</v>
      </c>
      <c r="J2948" s="9"/>
      <c r="K2948" s="11"/>
      <c r="L2948" s="9"/>
      <c r="M2948" s="11"/>
      <c r="N2948" s="9" t="s">
        <v>805</v>
      </c>
    </row>
    <row r="2949" ht="25" customHeight="1" spans="1:14">
      <c r="A2949" s="9" t="s">
        <v>238</v>
      </c>
      <c r="B2949" s="9" t="s">
        <v>235</v>
      </c>
      <c r="C2949" s="10">
        <v>46191</v>
      </c>
      <c r="D2949" s="15">
        <v>1.0326</v>
      </c>
      <c r="E2949" s="15">
        <v>1.0326</v>
      </c>
      <c r="F2949" s="15">
        <v>1.0326</v>
      </c>
      <c r="G2949" s="11">
        <v>0.0012</v>
      </c>
      <c r="H2949" s="9">
        <f>MAX($F$2857:F2949)</f>
        <v>1.0326</v>
      </c>
      <c r="I2949" s="11">
        <f t="shared" si="75"/>
        <v>0</v>
      </c>
      <c r="J2949" s="9"/>
      <c r="K2949" s="11"/>
      <c r="L2949" s="9"/>
      <c r="M2949" s="11"/>
      <c r="N2949" s="9" t="s">
        <v>805</v>
      </c>
    </row>
    <row r="2950" ht="25" customHeight="1" spans="1:14">
      <c r="A2950" s="9" t="s">
        <v>238</v>
      </c>
      <c r="B2950" s="9" t="s">
        <v>235</v>
      </c>
      <c r="C2950" s="10">
        <v>46195</v>
      </c>
      <c r="D2950" s="15">
        <v>1.0324</v>
      </c>
      <c r="E2950" s="15">
        <v>1.0324</v>
      </c>
      <c r="F2950" s="15">
        <v>1.0324</v>
      </c>
      <c r="G2950" s="11">
        <v>-0.0002</v>
      </c>
      <c r="H2950" s="9">
        <f>MAX($F$2857:F2950)</f>
        <v>1.0326</v>
      </c>
      <c r="I2950" s="11">
        <f t="shared" si="75"/>
        <v>0.000193685841564983</v>
      </c>
      <c r="J2950" s="9"/>
      <c r="K2950" s="11"/>
      <c r="L2950" s="9"/>
      <c r="M2950" s="11"/>
      <c r="N2950" s="9" t="s">
        <v>805</v>
      </c>
    </row>
    <row r="2951" ht="25" customHeight="1" spans="1:14">
      <c r="A2951" s="9" t="s">
        <v>238</v>
      </c>
      <c r="B2951" s="9" t="s">
        <v>235</v>
      </c>
      <c r="C2951" s="10">
        <v>46196</v>
      </c>
      <c r="D2951" s="15">
        <v>1.0318</v>
      </c>
      <c r="E2951" s="15">
        <v>1.0318</v>
      </c>
      <c r="F2951" s="15">
        <v>1.0318</v>
      </c>
      <c r="G2951" s="11">
        <v>-0.0006</v>
      </c>
      <c r="H2951" s="9">
        <f>MAX($F$2857:F2951)</f>
        <v>1.0326</v>
      </c>
      <c r="I2951" s="11">
        <f t="shared" si="75"/>
        <v>0.000774743366259822</v>
      </c>
      <c r="J2951" s="9"/>
      <c r="K2951" s="11"/>
      <c r="L2951" s="9"/>
      <c r="M2951" s="11"/>
      <c r="N2951" s="9" t="s">
        <v>805</v>
      </c>
    </row>
    <row r="2952" ht="25" customHeight="1" spans="1:14">
      <c r="A2952" s="9" t="s">
        <v>238</v>
      </c>
      <c r="B2952" s="9" t="s">
        <v>235</v>
      </c>
      <c r="C2952" s="10">
        <v>46197</v>
      </c>
      <c r="D2952" s="15">
        <v>1.0313</v>
      </c>
      <c r="E2952" s="15">
        <v>1.0313</v>
      </c>
      <c r="F2952" s="15">
        <v>1.0313</v>
      </c>
      <c r="G2952" s="11">
        <v>-0.0005</v>
      </c>
      <c r="H2952" s="9">
        <f>MAX($F$2857:F2952)</f>
        <v>1.0326</v>
      </c>
      <c r="I2952" s="11">
        <f t="shared" si="75"/>
        <v>0.00125895797017228</v>
      </c>
      <c r="J2952" s="9"/>
      <c r="K2952" s="11"/>
      <c r="L2952" s="9"/>
      <c r="M2952" s="11"/>
      <c r="N2952" s="9" t="s">
        <v>805</v>
      </c>
    </row>
    <row r="2953" ht="25" customHeight="1" spans="1:14">
      <c r="A2953" s="9" t="s">
        <v>238</v>
      </c>
      <c r="B2953" s="9" t="s">
        <v>235</v>
      </c>
      <c r="C2953" s="10">
        <v>46198</v>
      </c>
      <c r="D2953" s="15">
        <v>1.0306</v>
      </c>
      <c r="E2953" s="15">
        <v>1.0306</v>
      </c>
      <c r="F2953" s="15">
        <v>1.0306</v>
      </c>
      <c r="G2953" s="11">
        <v>-0.0007</v>
      </c>
      <c r="H2953" s="9">
        <f>MAX($F$2857:F2953)</f>
        <v>1.0326</v>
      </c>
      <c r="I2953" s="11">
        <f t="shared" si="75"/>
        <v>0.00193685841564983</v>
      </c>
      <c r="J2953" s="9"/>
      <c r="K2953" s="11"/>
      <c r="L2953" s="9"/>
      <c r="M2953" s="11"/>
      <c r="N2953" s="9" t="s">
        <v>805</v>
      </c>
    </row>
    <row r="2954" ht="25" customHeight="1" spans="1:14">
      <c r="A2954" s="9" t="s">
        <v>238</v>
      </c>
      <c r="B2954" s="9" t="s">
        <v>235</v>
      </c>
      <c r="C2954" s="10">
        <v>46199</v>
      </c>
      <c r="D2954" s="15">
        <v>1.028</v>
      </c>
      <c r="E2954" s="15">
        <v>1.028</v>
      </c>
      <c r="F2954" s="15">
        <v>1.028</v>
      </c>
      <c r="G2954" s="11">
        <v>-0.0025</v>
      </c>
      <c r="H2954" s="9">
        <f>MAX($F$2857:F2954)</f>
        <v>1.0326</v>
      </c>
      <c r="I2954" s="11">
        <f t="shared" si="75"/>
        <v>0.00445477435599451</v>
      </c>
      <c r="J2954" s="9"/>
      <c r="K2954" s="11"/>
      <c r="L2954" s="9"/>
      <c r="M2954" s="11"/>
      <c r="N2954" s="9" t="s">
        <v>805</v>
      </c>
    </row>
    <row r="2955" ht="25" customHeight="1" spans="1:14">
      <c r="A2955" s="9" t="s">
        <v>238</v>
      </c>
      <c r="B2955" s="9" t="s">
        <v>235</v>
      </c>
      <c r="C2955" s="10">
        <v>46202</v>
      </c>
      <c r="D2955" s="15">
        <v>1.0342</v>
      </c>
      <c r="E2955" s="15">
        <v>1.0342</v>
      </c>
      <c r="F2955" s="15">
        <v>1.0342</v>
      </c>
      <c r="G2955" s="11">
        <v>0.006</v>
      </c>
      <c r="H2955" s="9">
        <f>MAX($F$2857:F2955)</f>
        <v>1.0342</v>
      </c>
      <c r="I2955" s="11">
        <f t="shared" si="75"/>
        <v>0</v>
      </c>
      <c r="J2955" s="9"/>
      <c r="K2955" s="11"/>
      <c r="L2955" s="9"/>
      <c r="M2955" s="11"/>
      <c r="N2955" s="9" t="s">
        <v>805</v>
      </c>
    </row>
    <row r="2956" ht="25" customHeight="1" spans="1:14">
      <c r="A2956" s="9" t="s">
        <v>238</v>
      </c>
      <c r="B2956" s="9" t="s">
        <v>235</v>
      </c>
      <c r="C2956" s="10">
        <v>46203</v>
      </c>
      <c r="D2956" s="15">
        <v>1.0394</v>
      </c>
      <c r="E2956" s="15">
        <v>1.0394</v>
      </c>
      <c r="F2956" s="15">
        <v>1.0394</v>
      </c>
      <c r="G2956" s="11">
        <v>0.005</v>
      </c>
      <c r="H2956" s="9">
        <f>MAX($F$2857:F2956)</f>
        <v>1.0394</v>
      </c>
      <c r="I2956" s="11">
        <f t="shared" si="75"/>
        <v>0</v>
      </c>
      <c r="J2956" s="9"/>
      <c r="K2956" s="11"/>
      <c r="L2956" s="9"/>
      <c r="M2956" s="11"/>
      <c r="N2956" s="9" t="s">
        <v>805</v>
      </c>
    </row>
    <row r="2957" ht="25" customHeight="1" spans="1:14">
      <c r="A2957" s="9" t="s">
        <v>238</v>
      </c>
      <c r="B2957" s="9" t="s">
        <v>235</v>
      </c>
      <c r="C2957" s="10">
        <v>46204</v>
      </c>
      <c r="D2957" s="15">
        <v>1.0391</v>
      </c>
      <c r="E2957" s="15">
        <v>1.0391</v>
      </c>
      <c r="F2957" s="15">
        <v>1.0391</v>
      </c>
      <c r="G2957" s="11">
        <v>-0.0003</v>
      </c>
      <c r="H2957" s="9">
        <f>MAX($F$2857:F2957)</f>
        <v>1.0394</v>
      </c>
      <c r="I2957" s="11">
        <f t="shared" si="75"/>
        <v>0.000288628054647133</v>
      </c>
      <c r="J2957" s="9"/>
      <c r="K2957" s="11"/>
      <c r="L2957" s="9"/>
      <c r="M2957" s="11"/>
      <c r="N2957" s="9" t="s">
        <v>805</v>
      </c>
    </row>
    <row r="2958" ht="25" customHeight="1" spans="1:14">
      <c r="A2958" s="9" t="s">
        <v>238</v>
      </c>
      <c r="B2958" s="9" t="s">
        <v>235</v>
      </c>
      <c r="C2958" s="10">
        <v>46205</v>
      </c>
      <c r="D2958" s="15">
        <v>1.038</v>
      </c>
      <c r="E2958" s="15">
        <v>1.038</v>
      </c>
      <c r="F2958" s="15">
        <v>1.038</v>
      </c>
      <c r="G2958" s="11">
        <v>-0.0011</v>
      </c>
      <c r="H2958" s="9">
        <f>MAX($F$2857:F2958)</f>
        <v>1.0394</v>
      </c>
      <c r="I2958" s="11">
        <f t="shared" si="75"/>
        <v>0.0013469309216857</v>
      </c>
      <c r="J2958" s="9"/>
      <c r="K2958" s="11"/>
      <c r="L2958" s="9"/>
      <c r="M2958" s="11"/>
      <c r="N2958" s="9" t="s">
        <v>805</v>
      </c>
    </row>
    <row r="2959" ht="25" customHeight="1" spans="1:14">
      <c r="A2959" s="9" t="s">
        <v>238</v>
      </c>
      <c r="B2959" s="9" t="s">
        <v>235</v>
      </c>
      <c r="C2959" s="10">
        <v>46206</v>
      </c>
      <c r="D2959" s="15">
        <v>1.0349</v>
      </c>
      <c r="E2959" s="15">
        <v>1.0349</v>
      </c>
      <c r="F2959" s="15">
        <v>1.0349</v>
      </c>
      <c r="G2959" s="11">
        <v>-0.003</v>
      </c>
      <c r="H2959" s="9">
        <f>MAX($F$2857:F2959)</f>
        <v>1.0394</v>
      </c>
      <c r="I2959" s="11">
        <f t="shared" si="75"/>
        <v>0.00432942081970389</v>
      </c>
      <c r="J2959" s="9"/>
      <c r="K2959" s="11"/>
      <c r="L2959" s="9"/>
      <c r="M2959" s="11"/>
      <c r="N2959" s="9" t="s">
        <v>805</v>
      </c>
    </row>
    <row r="2960" ht="25" customHeight="1" spans="1:14">
      <c r="A2960" s="9" t="s">
        <v>238</v>
      </c>
      <c r="B2960" s="9" t="s">
        <v>235</v>
      </c>
      <c r="C2960" s="10">
        <v>46209</v>
      </c>
      <c r="D2960" s="15">
        <v>1.0346</v>
      </c>
      <c r="E2960" s="15">
        <v>1.0346</v>
      </c>
      <c r="F2960" s="15">
        <v>1.0346</v>
      </c>
      <c r="G2960" s="11">
        <v>-0.0003</v>
      </c>
      <c r="H2960" s="9">
        <f>MAX($F$2857:F2960)</f>
        <v>1.0394</v>
      </c>
      <c r="I2960" s="11">
        <f t="shared" si="75"/>
        <v>0.00461804887435069</v>
      </c>
      <c r="J2960" s="9"/>
      <c r="K2960" s="11"/>
      <c r="L2960" s="9"/>
      <c r="M2960" s="11"/>
      <c r="N2960" s="9" t="s">
        <v>805</v>
      </c>
    </row>
    <row r="2961" ht="25" customHeight="1" spans="1:14">
      <c r="A2961" s="9" t="s">
        <v>238</v>
      </c>
      <c r="B2961" s="9" t="s">
        <v>235</v>
      </c>
      <c r="C2961" s="10">
        <v>46210</v>
      </c>
      <c r="D2961" s="15">
        <v>1.0347</v>
      </c>
      <c r="E2961" s="15">
        <v>1.0347</v>
      </c>
      <c r="F2961" s="15">
        <v>1.0347</v>
      </c>
      <c r="G2961" s="11">
        <v>0.0001</v>
      </c>
      <c r="H2961" s="9">
        <f>MAX($F$2857:F2961)</f>
        <v>1.0394</v>
      </c>
      <c r="I2961" s="11">
        <f t="shared" si="75"/>
        <v>0.00452183952280172</v>
      </c>
      <c r="J2961" s="9"/>
      <c r="K2961" s="11"/>
      <c r="L2961" s="9"/>
      <c r="M2961" s="11"/>
      <c r="N2961" s="9" t="s">
        <v>805</v>
      </c>
    </row>
    <row r="2962" ht="25" customHeight="1" spans="1:14">
      <c r="A2962" s="9" t="s">
        <v>238</v>
      </c>
      <c r="B2962" s="9" t="s">
        <v>235</v>
      </c>
      <c r="C2962" s="10">
        <v>46211</v>
      </c>
      <c r="D2962" s="15">
        <v>1.0393</v>
      </c>
      <c r="E2962" s="15">
        <v>1.0393</v>
      </c>
      <c r="F2962" s="15">
        <v>1.0393</v>
      </c>
      <c r="G2962" s="11">
        <v>0.0044</v>
      </c>
      <c r="H2962" s="9">
        <f>MAX($F$2857:F2962)</f>
        <v>1.0394</v>
      </c>
      <c r="I2962" s="11">
        <f t="shared" si="75"/>
        <v>9.62093515491924e-5</v>
      </c>
      <c r="J2962" s="9"/>
      <c r="K2962" s="11"/>
      <c r="L2962" s="9"/>
      <c r="M2962" s="11"/>
      <c r="N2962" s="9" t="s">
        <v>805</v>
      </c>
    </row>
    <row r="2963" ht="25" customHeight="1" spans="1:14">
      <c r="A2963" s="9" t="s">
        <v>238</v>
      </c>
      <c r="B2963" s="9" t="s">
        <v>235</v>
      </c>
      <c r="C2963" s="10">
        <v>46212</v>
      </c>
      <c r="D2963" s="15">
        <v>1.0403</v>
      </c>
      <c r="E2963" s="15">
        <v>1.0403</v>
      </c>
      <c r="F2963" s="15">
        <v>1.0403</v>
      </c>
      <c r="G2963" s="11">
        <v>0.001</v>
      </c>
      <c r="H2963" s="9">
        <f>MAX($F$2857:F2963)</f>
        <v>1.0403</v>
      </c>
      <c r="I2963" s="11">
        <f t="shared" si="75"/>
        <v>0</v>
      </c>
      <c r="J2963" s="9"/>
      <c r="K2963" s="11"/>
      <c r="L2963" s="9"/>
      <c r="M2963" s="11"/>
      <c r="N2963" s="9" t="s">
        <v>805</v>
      </c>
    </row>
    <row r="2964" ht="25" customHeight="1" spans="1:14">
      <c r="A2964" s="9" t="s">
        <v>238</v>
      </c>
      <c r="B2964" s="9" t="s">
        <v>235</v>
      </c>
      <c r="C2964" s="10">
        <v>46213</v>
      </c>
      <c r="D2964" s="15">
        <v>1.041</v>
      </c>
      <c r="E2964" s="15">
        <v>1.041</v>
      </c>
      <c r="F2964" s="15">
        <v>1.041</v>
      </c>
      <c r="G2964" s="11">
        <v>0.0007</v>
      </c>
      <c r="H2964" s="9">
        <f>MAX($F$2857:F2964)</f>
        <v>1.041</v>
      </c>
      <c r="I2964" s="11">
        <f t="shared" si="75"/>
        <v>0</v>
      </c>
      <c r="J2964" s="9"/>
      <c r="K2964" s="11"/>
      <c r="L2964" s="9"/>
      <c r="M2964" s="11"/>
      <c r="N2964" s="9" t="s">
        <v>805</v>
      </c>
    </row>
    <row r="2965" ht="25" customHeight="1" spans="1:14">
      <c r="A2965" s="9" t="s">
        <v>238</v>
      </c>
      <c r="B2965" s="9" t="s">
        <v>235</v>
      </c>
      <c r="C2965" s="10">
        <v>46216</v>
      </c>
      <c r="D2965" s="15">
        <v>1.0404</v>
      </c>
      <c r="E2965" s="15">
        <v>1.0404</v>
      </c>
      <c r="F2965" s="15">
        <v>1.0404</v>
      </c>
      <c r="G2965" s="11">
        <v>-0.0006</v>
      </c>
      <c r="H2965" s="9">
        <f>MAX($F$2857:F2965)</f>
        <v>1.041</v>
      </c>
      <c r="I2965" s="11">
        <f t="shared" si="75"/>
        <v>0.000576368876080591</v>
      </c>
      <c r="J2965" s="9"/>
      <c r="K2965" s="11"/>
      <c r="L2965" s="9"/>
      <c r="M2965" s="11"/>
      <c r="N2965" s="9" t="s">
        <v>805</v>
      </c>
    </row>
    <row r="2966" ht="25" customHeight="1" spans="1:14">
      <c r="A2966" s="9" t="s">
        <v>238</v>
      </c>
      <c r="B2966" s="9" t="s">
        <v>235</v>
      </c>
      <c r="C2966" s="10">
        <v>46217</v>
      </c>
      <c r="D2966" s="15">
        <v>1.0412</v>
      </c>
      <c r="E2966" s="15">
        <v>1.0412</v>
      </c>
      <c r="F2966" s="15">
        <v>1.0412</v>
      </c>
      <c r="G2966" s="11">
        <v>0.0008</v>
      </c>
      <c r="H2966" s="9">
        <f>MAX($F$2857:F2966)</f>
        <v>1.0412</v>
      </c>
      <c r="I2966" s="11">
        <f t="shared" si="75"/>
        <v>0</v>
      </c>
      <c r="J2966" s="9"/>
      <c r="K2966" s="11"/>
      <c r="L2966" s="9"/>
      <c r="M2966" s="11"/>
      <c r="N2966" s="9" t="s">
        <v>805</v>
      </c>
    </row>
    <row r="2967" ht="25" customHeight="1" spans="1:14">
      <c r="A2967" s="9" t="s">
        <v>238</v>
      </c>
      <c r="B2967" s="9" t="s">
        <v>235</v>
      </c>
      <c r="C2967" s="10">
        <v>46218</v>
      </c>
      <c r="D2967" s="15">
        <v>1.0408</v>
      </c>
      <c r="E2967" s="15">
        <v>1.0408</v>
      </c>
      <c r="F2967" s="15">
        <v>1.0408</v>
      </c>
      <c r="G2967" s="11">
        <v>-0.0004</v>
      </c>
      <c r="H2967" s="9">
        <f>MAX($F$2857:F2967)</f>
        <v>1.0412</v>
      </c>
      <c r="I2967" s="11">
        <f t="shared" si="75"/>
        <v>0.000384172109104797</v>
      </c>
      <c r="J2967" s="9"/>
      <c r="K2967" s="11"/>
      <c r="L2967" s="9"/>
      <c r="M2967" s="11"/>
      <c r="N2967" s="9" t="s">
        <v>805</v>
      </c>
    </row>
    <row r="2968" ht="25" customHeight="1" spans="1:14">
      <c r="A2968" s="9" t="s">
        <v>238</v>
      </c>
      <c r="B2968" s="9" t="s">
        <v>235</v>
      </c>
      <c r="C2968" s="10">
        <v>46219</v>
      </c>
      <c r="D2968" s="15">
        <v>1.041</v>
      </c>
      <c r="E2968" s="15">
        <v>1.041</v>
      </c>
      <c r="F2968" s="15">
        <v>1.041</v>
      </c>
      <c r="G2968" s="11">
        <v>0.0002</v>
      </c>
      <c r="H2968" s="9">
        <f>MAX($F$2857:F2968)</f>
        <v>1.0412</v>
      </c>
      <c r="I2968" s="11">
        <f t="shared" si="75"/>
        <v>0.000192086054552454</v>
      </c>
      <c r="J2968" s="9"/>
      <c r="K2968" s="11"/>
      <c r="L2968" s="9"/>
      <c r="M2968" s="11"/>
      <c r="N2968" s="9" t="s">
        <v>805</v>
      </c>
    </row>
    <row r="2969" ht="25" customHeight="1" spans="1:14">
      <c r="A2969" s="9" t="s">
        <v>238</v>
      </c>
      <c r="B2969" s="9" t="s">
        <v>235</v>
      </c>
      <c r="C2969" s="10">
        <v>46220</v>
      </c>
      <c r="D2969" s="15">
        <v>1.0415</v>
      </c>
      <c r="E2969" s="15">
        <v>1.0415</v>
      </c>
      <c r="F2969" s="15">
        <v>1.0415</v>
      </c>
      <c r="G2969" s="11">
        <v>0.0005</v>
      </c>
      <c r="H2969" s="9">
        <f>MAX($F$2857:F2969)</f>
        <v>1.0415</v>
      </c>
      <c r="I2969" s="11">
        <f t="shared" si="75"/>
        <v>0</v>
      </c>
      <c r="J2969" s="9"/>
      <c r="K2969" s="11"/>
      <c r="L2969" s="9"/>
      <c r="M2969" s="11"/>
      <c r="N2969" s="9" t="s">
        <v>805</v>
      </c>
    </row>
    <row r="2970" ht="25" customHeight="1" spans="1:14">
      <c r="A2970" s="9" t="s">
        <v>238</v>
      </c>
      <c r="B2970" s="9" t="s">
        <v>235</v>
      </c>
      <c r="C2970" s="10">
        <v>46223</v>
      </c>
      <c r="D2970" s="15">
        <v>1.0446</v>
      </c>
      <c r="E2970" s="15">
        <v>1.0446</v>
      </c>
      <c r="F2970" s="15">
        <v>1.0446</v>
      </c>
      <c r="G2970" s="11">
        <v>0.003</v>
      </c>
      <c r="H2970" s="9">
        <f>MAX($F$2857:F2970)</f>
        <v>1.0446</v>
      </c>
      <c r="I2970" s="11">
        <f t="shared" si="75"/>
        <v>0</v>
      </c>
      <c r="J2970" s="9"/>
      <c r="K2970" s="11"/>
      <c r="L2970" s="9"/>
      <c r="M2970" s="11"/>
      <c r="N2970" s="9" t="s">
        <v>805</v>
      </c>
    </row>
    <row r="2971" ht="25" customHeight="1" spans="1:14">
      <c r="A2971" s="9" t="s">
        <v>238</v>
      </c>
      <c r="B2971" s="9" t="s">
        <v>235</v>
      </c>
      <c r="C2971" s="10">
        <v>46224</v>
      </c>
      <c r="D2971" s="15">
        <v>1.0462</v>
      </c>
      <c r="E2971" s="15">
        <v>1.0462</v>
      </c>
      <c r="F2971" s="15">
        <v>1.0462</v>
      </c>
      <c r="G2971" s="11">
        <v>0.0015</v>
      </c>
      <c r="H2971" s="9">
        <f>MAX($F$2857:F2971)</f>
        <v>1.0462</v>
      </c>
      <c r="I2971" s="11">
        <f t="shared" si="75"/>
        <v>0</v>
      </c>
      <c r="J2971" s="9"/>
      <c r="K2971" s="11"/>
      <c r="L2971" s="9"/>
      <c r="M2971" s="11"/>
      <c r="N2971" s="9" t="s">
        <v>805</v>
      </c>
    </row>
    <row r="2972" ht="25" customHeight="1" spans="1:14">
      <c r="A2972" s="9" t="s">
        <v>238</v>
      </c>
      <c r="B2972" s="9" t="s">
        <v>235</v>
      </c>
      <c r="C2972" s="10">
        <v>46225</v>
      </c>
      <c r="D2972" s="15">
        <v>1.0489</v>
      </c>
      <c r="E2972" s="15">
        <v>1.0489</v>
      </c>
      <c r="F2972" s="15">
        <v>1.0489</v>
      </c>
      <c r="G2972" s="11">
        <v>0.0026</v>
      </c>
      <c r="H2972" s="9">
        <f>MAX($F$2857:F2972)</f>
        <v>1.0489</v>
      </c>
      <c r="I2972" s="11">
        <f t="shared" si="75"/>
        <v>0</v>
      </c>
      <c r="J2972" s="9"/>
      <c r="K2972" s="11"/>
      <c r="L2972" s="9"/>
      <c r="M2972" s="11"/>
      <c r="N2972" s="9" t="s">
        <v>805</v>
      </c>
    </row>
    <row r="2973" ht="25" customHeight="1" spans="1:14">
      <c r="A2973" s="9" t="s">
        <v>238</v>
      </c>
      <c r="B2973" s="9" t="s">
        <v>235</v>
      </c>
      <c r="C2973" s="10">
        <v>46226</v>
      </c>
      <c r="D2973" s="15">
        <v>1.0483</v>
      </c>
      <c r="E2973" s="15">
        <v>1.0483</v>
      </c>
      <c r="F2973" s="15">
        <v>1.0483</v>
      </c>
      <c r="G2973" s="11">
        <v>-0.0006</v>
      </c>
      <c r="H2973" s="9">
        <f>MAX($F$2857:F2973)</f>
        <v>1.0489</v>
      </c>
      <c r="I2973" s="11">
        <f t="shared" si="75"/>
        <v>0.000572027838688038</v>
      </c>
      <c r="J2973" s="9"/>
      <c r="K2973" s="11"/>
      <c r="L2973" s="9"/>
      <c r="M2973" s="11"/>
      <c r="N2973" s="9" t="s">
        <v>805</v>
      </c>
    </row>
    <row r="2974" ht="25" customHeight="1" spans="1:14">
      <c r="A2974" s="9" t="s">
        <v>238</v>
      </c>
      <c r="B2974" s="9" t="s">
        <v>235</v>
      </c>
      <c r="C2974" s="10">
        <v>46227</v>
      </c>
      <c r="D2974" s="15">
        <v>1.0538</v>
      </c>
      <c r="E2974" s="15">
        <v>1.0538</v>
      </c>
      <c r="F2974" s="15">
        <v>1.0538</v>
      </c>
      <c r="G2974" s="11">
        <v>0.0052</v>
      </c>
      <c r="H2974" s="9">
        <f>MAX($F$2857:F2974)</f>
        <v>1.0538</v>
      </c>
      <c r="I2974" s="11">
        <f t="shared" si="75"/>
        <v>0</v>
      </c>
      <c r="J2974" s="9"/>
      <c r="K2974" s="11"/>
      <c r="L2974" s="9"/>
      <c r="M2974" s="11"/>
      <c r="N2974" s="9" t="s">
        <v>805</v>
      </c>
    </row>
    <row r="2975" ht="25" customHeight="1" spans="1:14">
      <c r="A2975" s="9" t="s">
        <v>238</v>
      </c>
      <c r="B2975" s="9" t="s">
        <v>235</v>
      </c>
      <c r="C2975" s="10">
        <v>46230</v>
      </c>
      <c r="D2975" s="15">
        <v>1.0542</v>
      </c>
      <c r="E2975" s="15">
        <v>1.0542</v>
      </c>
      <c r="F2975" s="15">
        <v>1.0542</v>
      </c>
      <c r="G2975" s="11">
        <v>0.0004</v>
      </c>
      <c r="H2975" s="9">
        <f>MAX($F$2857:F2975)</f>
        <v>1.0542</v>
      </c>
      <c r="I2975" s="11">
        <f t="shared" si="75"/>
        <v>0</v>
      </c>
      <c r="J2975" s="9"/>
      <c r="K2975" s="11"/>
      <c r="L2975" s="9"/>
      <c r="M2975" s="11"/>
      <c r="N2975" s="9" t="s">
        <v>805</v>
      </c>
    </row>
    <row r="2976" ht="25" customHeight="1" spans="1:14">
      <c r="A2976" s="9" t="s">
        <v>238</v>
      </c>
      <c r="B2976" s="9" t="s">
        <v>235</v>
      </c>
      <c r="C2976" s="10">
        <v>46231</v>
      </c>
      <c r="D2976" s="15">
        <v>1.0602</v>
      </c>
      <c r="E2976" s="15">
        <v>1.0602</v>
      </c>
      <c r="F2976" s="15">
        <v>1.0602</v>
      </c>
      <c r="G2976" s="11">
        <v>0.0057</v>
      </c>
      <c r="H2976" s="9">
        <f>MAX($F$2857:F2976)</f>
        <v>1.0602</v>
      </c>
      <c r="I2976" s="11">
        <f t="shared" si="75"/>
        <v>0</v>
      </c>
      <c r="J2976" s="9"/>
      <c r="K2976" s="11"/>
      <c r="L2976" s="9"/>
      <c r="M2976" s="11"/>
      <c r="N2976" s="9" t="s">
        <v>805</v>
      </c>
    </row>
    <row r="2977" ht="25" customHeight="1" spans="1:14">
      <c r="A2977" s="9" t="s">
        <v>238</v>
      </c>
      <c r="B2977" s="9" t="s">
        <v>235</v>
      </c>
      <c r="C2977" s="10">
        <v>46232</v>
      </c>
      <c r="D2977" s="15">
        <v>1.0596</v>
      </c>
      <c r="E2977" s="15">
        <v>1.0596</v>
      </c>
      <c r="F2977" s="15">
        <v>1.0596</v>
      </c>
      <c r="G2977" s="11">
        <v>-0.0006</v>
      </c>
      <c r="H2977" s="9">
        <f>MAX($F$2857:F2977)</f>
        <v>1.0602</v>
      </c>
      <c r="I2977" s="11">
        <f t="shared" si="75"/>
        <v>0.000565930956423211</v>
      </c>
      <c r="J2977" s="9"/>
      <c r="K2977" s="11"/>
      <c r="L2977" s="9"/>
      <c r="M2977" s="11"/>
      <c r="N2977" s="9" t="s">
        <v>805</v>
      </c>
    </row>
    <row r="2978" ht="25" customHeight="1" spans="1:14">
      <c r="A2978" s="9" t="s">
        <v>238</v>
      </c>
      <c r="B2978" s="9" t="s">
        <v>235</v>
      </c>
      <c r="C2978" s="10">
        <v>46233</v>
      </c>
      <c r="D2978" s="15">
        <v>1.068</v>
      </c>
      <c r="E2978" s="15">
        <v>1.068</v>
      </c>
      <c r="F2978" s="15">
        <v>1.068</v>
      </c>
      <c r="G2978" s="11">
        <v>0.0079</v>
      </c>
      <c r="H2978" s="9">
        <f>MAX($F$2857:F2978)</f>
        <v>1.068</v>
      </c>
      <c r="I2978" s="11">
        <f t="shared" si="75"/>
        <v>0</v>
      </c>
      <c r="J2978" s="9"/>
      <c r="K2978" s="11"/>
      <c r="L2978" s="9"/>
      <c r="M2978" s="11"/>
      <c r="N2978" s="9" t="s">
        <v>805</v>
      </c>
    </row>
    <row r="2979" ht="25" customHeight="1" spans="1:14">
      <c r="A2979" s="9" t="s">
        <v>238</v>
      </c>
      <c r="B2979" s="9" t="s">
        <v>235</v>
      </c>
      <c r="C2979" s="10">
        <v>46234</v>
      </c>
      <c r="D2979" s="15">
        <v>1.0698</v>
      </c>
      <c r="E2979" s="15">
        <v>1.0698</v>
      </c>
      <c r="F2979" s="15">
        <v>1.0698</v>
      </c>
      <c r="G2979" s="11">
        <v>0.0017</v>
      </c>
      <c r="H2979" s="9">
        <f>MAX($F$2857:F2979)</f>
        <v>1.0698</v>
      </c>
      <c r="I2979" s="11">
        <f t="shared" si="75"/>
        <v>0</v>
      </c>
      <c r="J2979" s="9"/>
      <c r="K2979" s="11"/>
      <c r="L2979" s="9"/>
      <c r="M2979" s="11"/>
      <c r="N2979" s="9" t="s">
        <v>805</v>
      </c>
    </row>
    <row r="2980" ht="25" customHeight="1" spans="1:14">
      <c r="A2980" s="9" t="s">
        <v>238</v>
      </c>
      <c r="B2980" s="9" t="s">
        <v>235</v>
      </c>
      <c r="C2980" s="10">
        <v>46237</v>
      </c>
      <c r="D2980" s="15">
        <v>1.0692</v>
      </c>
      <c r="E2980" s="15">
        <v>1.0692</v>
      </c>
      <c r="F2980" s="15">
        <v>1.0692</v>
      </c>
      <c r="G2980" s="11">
        <v>-0.0006</v>
      </c>
      <c r="H2980" s="9">
        <f>MAX($F$2857:F2980)</f>
        <v>1.0698</v>
      </c>
      <c r="I2980" s="11">
        <f t="shared" si="75"/>
        <v>0.00056085249579374</v>
      </c>
      <c r="J2980" s="9"/>
      <c r="K2980" s="11"/>
      <c r="L2980" s="9"/>
      <c r="M2980" s="11"/>
      <c r="N2980" s="9" t="s">
        <v>805</v>
      </c>
    </row>
    <row r="2981" ht="25" customHeight="1" spans="1:14">
      <c r="A2981" s="9" t="s">
        <v>238</v>
      </c>
      <c r="B2981" s="9" t="s">
        <v>235</v>
      </c>
      <c r="C2981" s="10">
        <v>46238</v>
      </c>
      <c r="D2981" s="15">
        <v>1.0692</v>
      </c>
      <c r="E2981" s="15">
        <v>1.0692</v>
      </c>
      <c r="F2981" s="15">
        <v>1.0692</v>
      </c>
      <c r="G2981" s="11">
        <v>0</v>
      </c>
      <c r="H2981" s="9">
        <f>MAX($F$2857:F2981)</f>
        <v>1.0698</v>
      </c>
      <c r="I2981" s="11">
        <f t="shared" si="75"/>
        <v>0.00056085249579374</v>
      </c>
      <c r="J2981" s="9"/>
      <c r="K2981" s="11"/>
      <c r="L2981" s="9"/>
      <c r="M2981" s="11"/>
      <c r="N2981" s="9" t="s">
        <v>805</v>
      </c>
    </row>
    <row r="2982" ht="25" customHeight="1" spans="1:14">
      <c r="A2982" s="9" t="s">
        <v>238</v>
      </c>
      <c r="B2982" s="9" t="s">
        <v>235</v>
      </c>
      <c r="C2982" s="10">
        <v>46239</v>
      </c>
      <c r="D2982" s="15">
        <v>1.0688</v>
      </c>
      <c r="E2982" s="15">
        <v>1.0688</v>
      </c>
      <c r="F2982" s="15">
        <v>1.0688</v>
      </c>
      <c r="G2982" s="11">
        <v>-0.0004</v>
      </c>
      <c r="H2982" s="9">
        <f>MAX($F$2857:F2982)</f>
        <v>1.0698</v>
      </c>
      <c r="I2982" s="11">
        <f t="shared" si="75"/>
        <v>0.000934754159656159</v>
      </c>
      <c r="J2982" s="9"/>
      <c r="K2982" s="11"/>
      <c r="L2982" s="9"/>
      <c r="M2982" s="11"/>
      <c r="N2982" s="9" t="s">
        <v>805</v>
      </c>
    </row>
    <row r="2983" ht="25" customHeight="1" spans="1:14">
      <c r="A2983" s="9" t="s">
        <v>238</v>
      </c>
      <c r="B2983" s="9" t="s">
        <v>235</v>
      </c>
      <c r="C2983" s="10">
        <v>46240</v>
      </c>
      <c r="D2983" s="15">
        <v>1.0748</v>
      </c>
      <c r="E2983" s="15">
        <v>1.0748</v>
      </c>
      <c r="F2983" s="15">
        <v>1.0748</v>
      </c>
      <c r="G2983" s="11">
        <v>0.0056</v>
      </c>
      <c r="H2983" s="9">
        <f>MAX($F$2857:F2983)</f>
        <v>1.0748</v>
      </c>
      <c r="I2983" s="11">
        <f t="shared" si="75"/>
        <v>0</v>
      </c>
      <c r="J2983" s="9"/>
      <c r="K2983" s="11"/>
      <c r="L2983" s="9"/>
      <c r="M2983" s="11"/>
      <c r="N2983" s="9" t="s">
        <v>805</v>
      </c>
    </row>
    <row r="2984" ht="25" customHeight="1" spans="1:14">
      <c r="A2984" s="9" t="s">
        <v>238</v>
      </c>
      <c r="B2984" s="9" t="s">
        <v>235</v>
      </c>
      <c r="C2984" s="10">
        <v>46241</v>
      </c>
      <c r="D2984" s="15">
        <v>1.0748</v>
      </c>
      <c r="E2984" s="15">
        <v>1.0748</v>
      </c>
      <c r="F2984" s="15">
        <v>1.0748</v>
      </c>
      <c r="G2984" s="11">
        <v>0</v>
      </c>
      <c r="H2984" s="9">
        <f>MAX($F$2857:F2984)</f>
        <v>1.0748</v>
      </c>
      <c r="I2984" s="11">
        <f t="shared" si="75"/>
        <v>0</v>
      </c>
      <c r="J2984" s="9"/>
      <c r="K2984" s="11"/>
      <c r="L2984" s="9"/>
      <c r="M2984" s="11"/>
      <c r="N2984" s="9" t="s">
        <v>805</v>
      </c>
    </row>
    <row r="2985" ht="25" customHeight="1" spans="1:14">
      <c r="A2985" s="9" t="s">
        <v>238</v>
      </c>
      <c r="B2985" s="9" t="s">
        <v>235</v>
      </c>
      <c r="C2985" s="10">
        <v>46244</v>
      </c>
      <c r="D2985" s="15">
        <v>1.0762</v>
      </c>
      <c r="E2985" s="15">
        <v>1.0762</v>
      </c>
      <c r="F2985" s="15">
        <v>1.0762</v>
      </c>
      <c r="G2985" s="11">
        <v>0.0013</v>
      </c>
      <c r="H2985" s="9">
        <f>MAX($F$2857:F2985)</f>
        <v>1.0762</v>
      </c>
      <c r="I2985" s="11">
        <f t="shared" si="75"/>
        <v>0</v>
      </c>
      <c r="J2985" s="9"/>
      <c r="K2985" s="11"/>
      <c r="L2985" s="9"/>
      <c r="M2985" s="11"/>
      <c r="N2985" s="9" t="s">
        <v>805</v>
      </c>
    </row>
    <row r="2986" ht="25" customHeight="1" spans="1:14">
      <c r="A2986" s="9" t="s">
        <v>238</v>
      </c>
      <c r="B2986" s="9" t="s">
        <v>235</v>
      </c>
      <c r="C2986" s="10">
        <v>46245</v>
      </c>
      <c r="D2986" s="15">
        <v>1.0752</v>
      </c>
      <c r="E2986" s="15">
        <v>1.0752</v>
      </c>
      <c r="F2986" s="15">
        <v>1.0752</v>
      </c>
      <c r="G2986" s="11">
        <v>-0.0009</v>
      </c>
      <c r="H2986" s="9">
        <f>MAX($F$2857:F2986)</f>
        <v>1.0762</v>
      </c>
      <c r="I2986" s="11">
        <f t="shared" si="75"/>
        <v>0.000929195316855758</v>
      </c>
      <c r="J2986" s="9"/>
      <c r="K2986" s="11"/>
      <c r="L2986" s="9"/>
      <c r="M2986" s="11"/>
      <c r="N2986" s="9" t="s">
        <v>805</v>
      </c>
    </row>
    <row r="2987" ht="25" customHeight="1" spans="1:14">
      <c r="A2987" s="9" t="s">
        <v>238</v>
      </c>
      <c r="B2987" s="9" t="s">
        <v>235</v>
      </c>
      <c r="C2987" s="10">
        <v>46246</v>
      </c>
      <c r="D2987" s="15">
        <v>1.08</v>
      </c>
      <c r="E2987" s="15">
        <v>1.08</v>
      </c>
      <c r="F2987" s="15">
        <v>1.08</v>
      </c>
      <c r="G2987" s="11">
        <v>0.0045</v>
      </c>
      <c r="H2987" s="9">
        <f>MAX($F$2857:F2987)</f>
        <v>1.08</v>
      </c>
      <c r="I2987" s="11">
        <f t="shared" si="75"/>
        <v>0</v>
      </c>
      <c r="J2987" s="9"/>
      <c r="K2987" s="11"/>
      <c r="L2987" s="9"/>
      <c r="M2987" s="11"/>
      <c r="N2987" s="9" t="s">
        <v>805</v>
      </c>
    </row>
    <row r="2988" ht="25" customHeight="1" spans="1:14">
      <c r="A2988" s="9" t="s">
        <v>238</v>
      </c>
      <c r="B2988" s="9" t="s">
        <v>235</v>
      </c>
      <c r="C2988" s="10">
        <v>46247</v>
      </c>
      <c r="D2988" s="15">
        <v>1.0804</v>
      </c>
      <c r="E2988" s="15">
        <v>1.0804</v>
      </c>
      <c r="F2988" s="15">
        <v>1.0804</v>
      </c>
      <c r="G2988" s="11">
        <v>0.0004</v>
      </c>
      <c r="H2988" s="9">
        <f>MAX($F$2857:F2988)</f>
        <v>1.0804</v>
      </c>
      <c r="I2988" s="11">
        <f t="shared" si="75"/>
        <v>0</v>
      </c>
      <c r="J2988" s="9"/>
      <c r="K2988" s="11"/>
      <c r="L2988" s="9"/>
      <c r="M2988" s="11"/>
      <c r="N2988" s="9" t="s">
        <v>805</v>
      </c>
    </row>
    <row r="2989" ht="25" customHeight="1" spans="1:14">
      <c r="A2989" s="9" t="s">
        <v>238</v>
      </c>
      <c r="B2989" s="9" t="s">
        <v>235</v>
      </c>
      <c r="C2989" s="10">
        <v>46248</v>
      </c>
      <c r="D2989" s="15">
        <v>1.0805</v>
      </c>
      <c r="E2989" s="15">
        <v>1.0805</v>
      </c>
      <c r="F2989" s="15">
        <v>1.0805</v>
      </c>
      <c r="G2989" s="11">
        <v>0.0001</v>
      </c>
      <c r="H2989" s="9">
        <f>MAX($F$2857:F2989)</f>
        <v>1.0805</v>
      </c>
      <c r="I2989" s="11">
        <f t="shared" si="75"/>
        <v>0</v>
      </c>
      <c r="J2989" s="9"/>
      <c r="K2989" s="11"/>
      <c r="L2989" s="9"/>
      <c r="M2989" s="11"/>
      <c r="N2989" s="9" t="s">
        <v>805</v>
      </c>
    </row>
    <row r="2990" ht="25" customHeight="1" spans="1:14">
      <c r="A2990" s="9" t="s">
        <v>238</v>
      </c>
      <c r="B2990" s="9" t="s">
        <v>235</v>
      </c>
      <c r="C2990" s="10">
        <v>46251</v>
      </c>
      <c r="D2990" s="15">
        <v>1.0817</v>
      </c>
      <c r="E2990" s="15">
        <v>1.0817</v>
      </c>
      <c r="F2990" s="15">
        <v>1.0817</v>
      </c>
      <c r="G2990" s="11">
        <v>0.0011</v>
      </c>
      <c r="H2990" s="9">
        <f>MAX($F$2857:F2990)</f>
        <v>1.0817</v>
      </c>
      <c r="I2990" s="11">
        <f t="shared" si="75"/>
        <v>0</v>
      </c>
      <c r="J2990" s="9"/>
      <c r="K2990" s="11"/>
      <c r="L2990" s="9"/>
      <c r="M2990" s="11"/>
      <c r="N2990" s="9" t="s">
        <v>805</v>
      </c>
    </row>
    <row r="2991" ht="25" customHeight="1" spans="1:14">
      <c r="A2991" s="9" t="s">
        <v>238</v>
      </c>
      <c r="B2991" s="9" t="s">
        <v>235</v>
      </c>
      <c r="C2991" s="10">
        <v>46252</v>
      </c>
      <c r="D2991" s="15">
        <v>1.0809</v>
      </c>
      <c r="E2991" s="15">
        <v>1.0809</v>
      </c>
      <c r="F2991" s="15">
        <v>1.0809</v>
      </c>
      <c r="G2991" s="11">
        <v>-0.0007</v>
      </c>
      <c r="H2991" s="9">
        <f>MAX($F$2857:F2991)</f>
        <v>1.0817</v>
      </c>
      <c r="I2991" s="11">
        <f t="shared" si="75"/>
        <v>0.000739576592400981</v>
      </c>
      <c r="J2991" s="9"/>
      <c r="K2991" s="11"/>
      <c r="L2991" s="9"/>
      <c r="M2991" s="11"/>
      <c r="N2991" s="9" t="s">
        <v>805</v>
      </c>
    </row>
    <row r="2992" ht="25" customHeight="1" spans="1:14">
      <c r="A2992" s="9" t="s">
        <v>238</v>
      </c>
      <c r="B2992" s="9" t="s">
        <v>235</v>
      </c>
      <c r="C2992" s="10">
        <v>46253</v>
      </c>
      <c r="D2992" s="15">
        <v>1.0797</v>
      </c>
      <c r="E2992" s="15">
        <v>1.0797</v>
      </c>
      <c r="F2992" s="15">
        <v>1.0797</v>
      </c>
      <c r="G2992" s="11">
        <v>-0.0011</v>
      </c>
      <c r="H2992" s="9">
        <f>MAX($F$2857:F2992)</f>
        <v>1.0817</v>
      </c>
      <c r="I2992" s="11">
        <f t="shared" si="75"/>
        <v>0.00184894148100212</v>
      </c>
      <c r="J2992" s="9"/>
      <c r="K2992" s="11"/>
      <c r="L2992" s="9"/>
      <c r="M2992" s="11"/>
      <c r="N2992" s="9" t="s">
        <v>805</v>
      </c>
    </row>
    <row r="2993" ht="25" customHeight="1" spans="1:14">
      <c r="A2993" s="9" t="s">
        <v>238</v>
      </c>
      <c r="B2993" s="9" t="s">
        <v>235</v>
      </c>
      <c r="C2993" s="10">
        <v>46254</v>
      </c>
      <c r="D2993" s="15">
        <v>1.0802</v>
      </c>
      <c r="E2993" s="15">
        <v>1.0802</v>
      </c>
      <c r="F2993" s="15">
        <v>1.0802</v>
      </c>
      <c r="G2993" s="11">
        <v>0.0005</v>
      </c>
      <c r="H2993" s="9">
        <f>MAX($F$2857:F2993)</f>
        <v>1.0817</v>
      </c>
      <c r="I2993" s="11">
        <f t="shared" si="75"/>
        <v>0.00138670611075165</v>
      </c>
      <c r="J2993" s="9"/>
      <c r="K2993" s="11"/>
      <c r="L2993" s="9"/>
      <c r="M2993" s="11"/>
      <c r="N2993" s="9" t="s">
        <v>805</v>
      </c>
    </row>
    <row r="2994" ht="25" customHeight="1" spans="1:14">
      <c r="A2994" s="9" t="s">
        <v>238</v>
      </c>
      <c r="B2994" s="9" t="s">
        <v>235</v>
      </c>
      <c r="C2994" s="10">
        <v>46255</v>
      </c>
      <c r="D2994" s="15">
        <v>1.0801</v>
      </c>
      <c r="E2994" s="15">
        <v>1.0801</v>
      </c>
      <c r="F2994" s="15">
        <v>1.0801</v>
      </c>
      <c r="G2994" s="11">
        <v>-0.0001</v>
      </c>
      <c r="H2994" s="9">
        <f>MAX($F$2857:F2994)</f>
        <v>1.0817</v>
      </c>
      <c r="I2994" s="11">
        <f t="shared" si="75"/>
        <v>0.00147915318480174</v>
      </c>
      <c r="J2994" s="9"/>
      <c r="K2994" s="11"/>
      <c r="L2994" s="9"/>
      <c r="M2994" s="11"/>
      <c r="N2994" s="9" t="s">
        <v>805</v>
      </c>
    </row>
    <row r="2995" ht="25" customHeight="1" spans="1:14">
      <c r="A2995" s="9" t="s">
        <v>238</v>
      </c>
      <c r="B2995" s="9" t="s">
        <v>235</v>
      </c>
      <c r="C2995" s="10">
        <v>46258</v>
      </c>
      <c r="D2995" s="15">
        <v>1.0802</v>
      </c>
      <c r="E2995" s="15">
        <v>1.0802</v>
      </c>
      <c r="F2995" s="15">
        <v>1.0802</v>
      </c>
      <c r="G2995" s="11">
        <v>0.0001</v>
      </c>
      <c r="H2995" s="9">
        <f>MAX($F$2857:F2995)</f>
        <v>1.0817</v>
      </c>
      <c r="I2995" s="11">
        <f t="shared" si="75"/>
        <v>0.00138670611075165</v>
      </c>
      <c r="J2995" s="9"/>
      <c r="K2995" s="11"/>
      <c r="L2995" s="9"/>
      <c r="M2995" s="11"/>
      <c r="N2995" s="9" t="s">
        <v>805</v>
      </c>
    </row>
    <row r="2996" ht="25" customHeight="1" spans="1:14">
      <c r="A2996" s="9" t="s">
        <v>238</v>
      </c>
      <c r="B2996" s="9" t="s">
        <v>235</v>
      </c>
      <c r="C2996" s="10">
        <v>46259</v>
      </c>
      <c r="D2996" s="15">
        <v>1.0801</v>
      </c>
      <c r="E2996" s="15">
        <v>1.0801</v>
      </c>
      <c r="F2996" s="15">
        <v>1.0801</v>
      </c>
      <c r="G2996" s="11">
        <v>-0.0001</v>
      </c>
      <c r="H2996" s="9">
        <f>MAX($F$2857:F2996)</f>
        <v>1.0817</v>
      </c>
      <c r="I2996" s="11">
        <f t="shared" si="75"/>
        <v>0.00147915318480174</v>
      </c>
      <c r="J2996" s="9"/>
      <c r="K2996" s="11"/>
      <c r="L2996" s="9"/>
      <c r="M2996" s="11"/>
      <c r="N2996" s="9" t="s">
        <v>805</v>
      </c>
    </row>
    <row r="2997" ht="25" customHeight="1" spans="1:14">
      <c r="A2997" s="9" t="s">
        <v>238</v>
      </c>
      <c r="B2997" s="9" t="s">
        <v>235</v>
      </c>
      <c r="C2997" s="10">
        <v>46260</v>
      </c>
      <c r="D2997" s="15">
        <v>1.0799</v>
      </c>
      <c r="E2997" s="15">
        <v>1.0799</v>
      </c>
      <c r="F2997" s="15">
        <v>1.0799</v>
      </c>
      <c r="G2997" s="11">
        <v>-0.0002</v>
      </c>
      <c r="H2997" s="9">
        <f>MAX($F$2857:F2997)</f>
        <v>1.0817</v>
      </c>
      <c r="I2997" s="11">
        <f t="shared" si="75"/>
        <v>0.00166404733290193</v>
      </c>
      <c r="J2997" s="9"/>
      <c r="K2997" s="11"/>
      <c r="L2997" s="9"/>
      <c r="M2997" s="11"/>
      <c r="N2997" s="9" t="s">
        <v>805</v>
      </c>
    </row>
    <row r="2998" ht="25" customHeight="1" spans="1:14">
      <c r="A2998" s="9" t="s">
        <v>238</v>
      </c>
      <c r="B2998" s="9" t="s">
        <v>235</v>
      </c>
      <c r="C2998" s="10">
        <v>46261</v>
      </c>
      <c r="D2998" s="15">
        <v>1.0797</v>
      </c>
      <c r="E2998" s="15">
        <v>1.0797</v>
      </c>
      <c r="F2998" s="15">
        <v>1.0797</v>
      </c>
      <c r="G2998" s="11">
        <v>-0.0002</v>
      </c>
      <c r="H2998" s="9">
        <f>MAX($F$2857:F2998)</f>
        <v>1.0817</v>
      </c>
      <c r="I2998" s="11">
        <f t="shared" si="75"/>
        <v>0.00184894148100212</v>
      </c>
      <c r="J2998" s="9"/>
      <c r="K2998" s="11"/>
      <c r="L2998" s="9"/>
      <c r="M2998" s="11"/>
      <c r="N2998" s="9" t="s">
        <v>805</v>
      </c>
    </row>
    <row r="2999" ht="25" customHeight="1" spans="1:14">
      <c r="A2999" s="9" t="s">
        <v>238</v>
      </c>
      <c r="B2999" s="9" t="s">
        <v>235</v>
      </c>
      <c r="C2999" s="10">
        <v>46262</v>
      </c>
      <c r="D2999" s="15">
        <v>1.0782</v>
      </c>
      <c r="E2999" s="15">
        <v>1.0782</v>
      </c>
      <c r="F2999" s="15">
        <v>1.0782</v>
      </c>
      <c r="G2999" s="11">
        <v>-0.0014</v>
      </c>
      <c r="H2999" s="9">
        <f>MAX($F$2857:F2999)</f>
        <v>1.0817</v>
      </c>
      <c r="I2999" s="11">
        <f t="shared" si="75"/>
        <v>0.00323564759175377</v>
      </c>
      <c r="J2999" s="9"/>
      <c r="K2999" s="11"/>
      <c r="L2999" s="9"/>
      <c r="M2999" s="11"/>
      <c r="N2999" s="9" t="s">
        <v>805</v>
      </c>
    </row>
    <row r="3000" ht="25" customHeight="1" spans="1:14">
      <c r="A3000" s="9" t="s">
        <v>238</v>
      </c>
      <c r="B3000" s="9" t="s">
        <v>235</v>
      </c>
      <c r="C3000" s="10">
        <v>46265</v>
      </c>
      <c r="D3000" s="15">
        <v>1.0782</v>
      </c>
      <c r="E3000" s="15">
        <v>1.0782</v>
      </c>
      <c r="F3000" s="15">
        <v>1.0782</v>
      </c>
      <c r="G3000" s="11">
        <v>0</v>
      </c>
      <c r="H3000" s="9">
        <f>MAX($F$2857:F3000)</f>
        <v>1.0817</v>
      </c>
      <c r="I3000" s="11">
        <f t="shared" si="75"/>
        <v>0.00323564759175377</v>
      </c>
      <c r="J3000" s="9"/>
      <c r="K3000" s="11"/>
      <c r="L3000" s="9"/>
      <c r="M3000" s="11"/>
      <c r="N3000" s="9" t="s">
        <v>805</v>
      </c>
    </row>
    <row r="3001" ht="25" customHeight="1" spans="1:14">
      <c r="A3001" s="9" t="s">
        <v>238</v>
      </c>
      <c r="B3001" s="9" t="s">
        <v>235</v>
      </c>
      <c r="C3001" s="10">
        <v>46266</v>
      </c>
      <c r="D3001" s="15">
        <v>1.0777</v>
      </c>
      <c r="E3001" s="15">
        <v>1.0777</v>
      </c>
      <c r="F3001" s="15">
        <v>1.0777</v>
      </c>
      <c r="G3001" s="11">
        <v>-0.0005</v>
      </c>
      <c r="H3001" s="9">
        <f>MAX($F$2857:F3001)</f>
        <v>1.0817</v>
      </c>
      <c r="I3001" s="11">
        <f t="shared" si="75"/>
        <v>0.00369788296200424</v>
      </c>
      <c r="J3001" s="9"/>
      <c r="K3001" s="11"/>
      <c r="L3001" s="9"/>
      <c r="M3001" s="11"/>
      <c r="N3001" s="9" t="s">
        <v>805</v>
      </c>
    </row>
    <row r="3002" ht="25" customHeight="1" spans="1:14">
      <c r="A3002" s="9" t="s">
        <v>238</v>
      </c>
      <c r="B3002" s="9" t="s">
        <v>235</v>
      </c>
      <c r="C3002" s="10">
        <v>46267</v>
      </c>
      <c r="D3002" s="15">
        <v>1.077</v>
      </c>
      <c r="E3002" s="15">
        <v>1.077</v>
      </c>
      <c r="F3002" s="15">
        <v>1.077</v>
      </c>
      <c r="G3002" s="11">
        <v>-0.0006</v>
      </c>
      <c r="H3002" s="9">
        <f>MAX($F$2857:F3002)</f>
        <v>1.0817</v>
      </c>
      <c r="I3002" s="11">
        <f t="shared" si="75"/>
        <v>0.00434501248035513</v>
      </c>
      <c r="J3002" s="9"/>
      <c r="K3002" s="11"/>
      <c r="L3002" s="9"/>
      <c r="M3002" s="11"/>
      <c r="N3002" s="9" t="s">
        <v>805</v>
      </c>
    </row>
    <row r="3003" ht="25" customHeight="1" spans="1:14">
      <c r="A3003" s="9" t="s">
        <v>238</v>
      </c>
      <c r="B3003" s="9" t="s">
        <v>235</v>
      </c>
      <c r="C3003" s="10">
        <v>46268</v>
      </c>
      <c r="D3003" s="15">
        <v>1.0782</v>
      </c>
      <c r="E3003" s="15">
        <v>1.0782</v>
      </c>
      <c r="F3003" s="15">
        <v>1.0782</v>
      </c>
      <c r="G3003" s="11">
        <v>0.0011</v>
      </c>
      <c r="H3003" s="9">
        <f>MAX($F$2857:F3003)</f>
        <v>1.0817</v>
      </c>
      <c r="I3003" s="11">
        <f t="shared" si="75"/>
        <v>0.00323564759175377</v>
      </c>
      <c r="J3003" s="9"/>
      <c r="K3003" s="11"/>
      <c r="L3003" s="9"/>
      <c r="M3003" s="11"/>
      <c r="N3003" s="9" t="s">
        <v>805</v>
      </c>
    </row>
    <row r="3004" ht="25" customHeight="1" spans="1:14">
      <c r="A3004" s="9" t="s">
        <v>238</v>
      </c>
      <c r="B3004" s="9" t="s">
        <v>235</v>
      </c>
      <c r="C3004" s="10">
        <v>46269</v>
      </c>
      <c r="D3004" s="15">
        <v>1.0809</v>
      </c>
      <c r="E3004" s="15">
        <v>1.0809</v>
      </c>
      <c r="F3004" s="15">
        <v>1.0809</v>
      </c>
      <c r="G3004" s="11">
        <v>0.0025</v>
      </c>
      <c r="H3004" s="9">
        <f>MAX($F$2857:F3004)</f>
        <v>1.0817</v>
      </c>
      <c r="I3004" s="11">
        <f t="shared" si="75"/>
        <v>0.000739576592400981</v>
      </c>
      <c r="J3004" s="9"/>
      <c r="K3004" s="11"/>
      <c r="L3004" s="9"/>
      <c r="M3004" s="11"/>
      <c r="N3004" s="9" t="s">
        <v>805</v>
      </c>
    </row>
    <row r="3005" ht="25" customHeight="1" spans="1:14">
      <c r="A3005" s="9" t="s">
        <v>238</v>
      </c>
      <c r="B3005" s="9" t="s">
        <v>235</v>
      </c>
      <c r="C3005" s="10">
        <v>46272</v>
      </c>
      <c r="D3005" s="15">
        <v>1.0818</v>
      </c>
      <c r="E3005" s="15">
        <v>1.0818</v>
      </c>
      <c r="F3005" s="15">
        <v>1.0818</v>
      </c>
      <c r="G3005" s="11">
        <v>0.0008</v>
      </c>
      <c r="H3005" s="9">
        <f>MAX($F$2857:F3005)</f>
        <v>1.0818</v>
      </c>
      <c r="I3005" s="11">
        <f t="shared" si="75"/>
        <v>0</v>
      </c>
      <c r="J3005" s="9"/>
      <c r="K3005" s="11"/>
      <c r="L3005" s="9"/>
      <c r="M3005" s="11"/>
      <c r="N3005" s="9" t="s">
        <v>805</v>
      </c>
    </row>
    <row r="3006" ht="25" customHeight="1" spans="1:14">
      <c r="A3006" s="9" t="s">
        <v>238</v>
      </c>
      <c r="B3006" s="9" t="s">
        <v>235</v>
      </c>
      <c r="C3006" s="10">
        <v>46273</v>
      </c>
      <c r="D3006" s="15">
        <v>1.0815</v>
      </c>
      <c r="E3006" s="15">
        <v>1.0815</v>
      </c>
      <c r="F3006" s="15">
        <v>1.0815</v>
      </c>
      <c r="G3006" s="11">
        <v>-0.0003</v>
      </c>
      <c r="H3006" s="9">
        <f>MAX($F$2857:F3006)</f>
        <v>1.0818</v>
      </c>
      <c r="I3006" s="11">
        <f t="shared" si="75"/>
        <v>0.000277315585136106</v>
      </c>
      <c r="J3006" s="9"/>
      <c r="K3006" s="11"/>
      <c r="L3006" s="9"/>
      <c r="M3006" s="11"/>
      <c r="N3006" s="9" t="s">
        <v>805</v>
      </c>
    </row>
    <row r="3007" ht="25" customHeight="1" spans="1:14">
      <c r="A3007" s="9" t="s">
        <v>238</v>
      </c>
      <c r="B3007" s="9" t="s">
        <v>235</v>
      </c>
      <c r="C3007" s="10">
        <v>46274</v>
      </c>
      <c r="D3007" s="15">
        <v>1.0812</v>
      </c>
      <c r="E3007" s="15">
        <v>1.0812</v>
      </c>
      <c r="F3007" s="15">
        <v>1.0812</v>
      </c>
      <c r="G3007" s="11">
        <v>-0.0003</v>
      </c>
      <c r="H3007" s="9">
        <f>MAX($F$2857:F3007)</f>
        <v>1.0818</v>
      </c>
      <c r="I3007" s="11">
        <f t="shared" si="75"/>
        <v>0.00055463117027188</v>
      </c>
      <c r="J3007" s="9"/>
      <c r="K3007" s="11"/>
      <c r="L3007" s="9"/>
      <c r="M3007" s="11"/>
      <c r="N3007" s="9" t="s">
        <v>805</v>
      </c>
    </row>
    <row r="3008" ht="25" customHeight="1" spans="1:14">
      <c r="A3008" s="9" t="s">
        <v>348</v>
      </c>
      <c r="B3008" s="9" t="s">
        <v>347</v>
      </c>
      <c r="C3008" s="10">
        <v>45595</v>
      </c>
      <c r="D3008" s="15">
        <v>1</v>
      </c>
      <c r="E3008" s="15">
        <v>1</v>
      </c>
      <c r="F3008" s="15">
        <v>1</v>
      </c>
      <c r="G3008" s="11"/>
      <c r="H3008" s="9">
        <f>MAX($F$3008:F3008)</f>
        <v>1</v>
      </c>
      <c r="I3008" s="11">
        <f t="shared" si="75"/>
        <v>0</v>
      </c>
      <c r="J3008" s="9"/>
      <c r="K3008" s="11"/>
      <c r="L3008" s="9"/>
      <c r="M3008" s="11"/>
      <c r="N3008" s="9" t="s">
        <v>811</v>
      </c>
    </row>
    <row r="3009" ht="25" customHeight="1" spans="1:14">
      <c r="A3009" s="9" t="s">
        <v>348</v>
      </c>
      <c r="B3009" s="9" t="s">
        <v>347</v>
      </c>
      <c r="C3009" s="10">
        <v>45596</v>
      </c>
      <c r="D3009" s="15">
        <v>1.0001</v>
      </c>
      <c r="E3009" s="15">
        <v>1.0001</v>
      </c>
      <c r="F3009" s="15">
        <v>1.0001</v>
      </c>
      <c r="G3009" s="11">
        <v>0.0001</v>
      </c>
      <c r="H3009" s="9">
        <f>MAX($F$3008:F3009)</f>
        <v>1.0001</v>
      </c>
      <c r="I3009" s="11">
        <f t="shared" si="75"/>
        <v>0</v>
      </c>
      <c r="J3009" s="9"/>
      <c r="K3009" s="11"/>
      <c r="L3009" s="9"/>
      <c r="M3009" s="11"/>
      <c r="N3009" s="9" t="s">
        <v>811</v>
      </c>
    </row>
    <row r="3010" ht="25" customHeight="1" spans="1:14">
      <c r="A3010" s="9" t="s">
        <v>348</v>
      </c>
      <c r="B3010" s="9" t="s">
        <v>347</v>
      </c>
      <c r="C3010" s="10">
        <v>45597</v>
      </c>
      <c r="D3010" s="15">
        <v>1.0001</v>
      </c>
      <c r="E3010" s="15">
        <v>1.0001</v>
      </c>
      <c r="F3010" s="15">
        <v>1.0001</v>
      </c>
      <c r="G3010" s="11">
        <v>0</v>
      </c>
      <c r="H3010" s="9">
        <f>MAX($F$3008:F3010)</f>
        <v>1.0001</v>
      </c>
      <c r="I3010" s="11">
        <f t="shared" ref="I3010:I3073" si="76">1-F3010/H3010</f>
        <v>0</v>
      </c>
      <c r="J3010" s="9"/>
      <c r="K3010" s="11"/>
      <c r="L3010" s="9"/>
      <c r="M3010" s="11"/>
      <c r="N3010" s="9" t="s">
        <v>811</v>
      </c>
    </row>
    <row r="3011" ht="25" customHeight="1" spans="1:14">
      <c r="A3011" s="9" t="s">
        <v>348</v>
      </c>
      <c r="B3011" s="9" t="s">
        <v>347</v>
      </c>
      <c r="C3011" s="10">
        <v>45600</v>
      </c>
      <c r="D3011" s="15">
        <v>1.0003</v>
      </c>
      <c r="E3011" s="15">
        <v>1.0003</v>
      </c>
      <c r="F3011" s="15">
        <v>1.0003</v>
      </c>
      <c r="G3011" s="11">
        <v>0.0002</v>
      </c>
      <c r="H3011" s="9">
        <f>MAX($F$3008:F3011)</f>
        <v>1.0003</v>
      </c>
      <c r="I3011" s="11">
        <f t="shared" si="76"/>
        <v>0</v>
      </c>
      <c r="J3011" s="9"/>
      <c r="K3011" s="11"/>
      <c r="L3011" s="9"/>
      <c r="M3011" s="11"/>
      <c r="N3011" s="9" t="s">
        <v>811</v>
      </c>
    </row>
    <row r="3012" ht="25" customHeight="1" spans="1:14">
      <c r="A3012" s="9" t="s">
        <v>348</v>
      </c>
      <c r="B3012" s="9" t="s">
        <v>347</v>
      </c>
      <c r="C3012" s="10">
        <v>45601</v>
      </c>
      <c r="D3012" s="15">
        <v>1.0003</v>
      </c>
      <c r="E3012" s="15">
        <v>1.0003</v>
      </c>
      <c r="F3012" s="15">
        <v>1.0003</v>
      </c>
      <c r="G3012" s="11">
        <v>0</v>
      </c>
      <c r="H3012" s="9">
        <f>MAX($F$3008:F3012)</f>
        <v>1.0003</v>
      </c>
      <c r="I3012" s="11">
        <f t="shared" si="76"/>
        <v>0</v>
      </c>
      <c r="J3012" s="9"/>
      <c r="K3012" s="11"/>
      <c r="L3012" s="9"/>
      <c r="M3012" s="11"/>
      <c r="N3012" s="9" t="s">
        <v>811</v>
      </c>
    </row>
    <row r="3013" ht="25" customHeight="1" spans="1:14">
      <c r="A3013" s="9" t="s">
        <v>348</v>
      </c>
      <c r="B3013" s="9" t="s">
        <v>347</v>
      </c>
      <c r="C3013" s="10">
        <v>45602</v>
      </c>
      <c r="D3013" s="15">
        <v>1.0003</v>
      </c>
      <c r="E3013" s="15">
        <v>1.0003</v>
      </c>
      <c r="F3013" s="15">
        <v>1.0003</v>
      </c>
      <c r="G3013" s="11">
        <v>0</v>
      </c>
      <c r="H3013" s="9">
        <f>MAX($F$3008:F3013)</f>
        <v>1.0003</v>
      </c>
      <c r="I3013" s="11">
        <f t="shared" si="76"/>
        <v>0</v>
      </c>
      <c r="J3013" s="9"/>
      <c r="K3013" s="11"/>
      <c r="L3013" s="9"/>
      <c r="M3013" s="11"/>
      <c r="N3013" s="9" t="s">
        <v>811</v>
      </c>
    </row>
    <row r="3014" ht="25" customHeight="1" spans="1:14">
      <c r="A3014" s="9" t="s">
        <v>348</v>
      </c>
      <c r="B3014" s="9" t="s">
        <v>347</v>
      </c>
      <c r="C3014" s="10">
        <v>45603</v>
      </c>
      <c r="D3014" s="15">
        <v>1.0004</v>
      </c>
      <c r="E3014" s="15">
        <v>1.0004</v>
      </c>
      <c r="F3014" s="15">
        <v>1.0004</v>
      </c>
      <c r="G3014" s="11">
        <v>0.0001</v>
      </c>
      <c r="H3014" s="9">
        <f>MAX($F$3008:F3014)</f>
        <v>1.0004</v>
      </c>
      <c r="I3014" s="11">
        <f t="shared" si="76"/>
        <v>0</v>
      </c>
      <c r="J3014" s="9"/>
      <c r="K3014" s="11"/>
      <c r="L3014" s="9"/>
      <c r="M3014" s="11"/>
      <c r="N3014" s="9" t="s">
        <v>811</v>
      </c>
    </row>
    <row r="3015" ht="25" customHeight="1" spans="1:14">
      <c r="A3015" s="9" t="s">
        <v>348</v>
      </c>
      <c r="B3015" s="9" t="s">
        <v>347</v>
      </c>
      <c r="C3015" s="10">
        <v>45604</v>
      </c>
      <c r="D3015" s="15">
        <v>1.0004</v>
      </c>
      <c r="E3015" s="15">
        <v>1.0004</v>
      </c>
      <c r="F3015" s="15">
        <v>1.0004</v>
      </c>
      <c r="G3015" s="11">
        <v>0</v>
      </c>
      <c r="H3015" s="9">
        <f>MAX($F$3008:F3015)</f>
        <v>1.0004</v>
      </c>
      <c r="I3015" s="11">
        <f t="shared" si="76"/>
        <v>0</v>
      </c>
      <c r="J3015" s="9"/>
      <c r="K3015" s="11"/>
      <c r="L3015" s="9"/>
      <c r="M3015" s="11"/>
      <c r="N3015" s="9" t="s">
        <v>811</v>
      </c>
    </row>
    <row r="3016" ht="25" customHeight="1" spans="1:14">
      <c r="A3016" s="9" t="s">
        <v>348</v>
      </c>
      <c r="B3016" s="9" t="s">
        <v>347</v>
      </c>
      <c r="C3016" s="10">
        <v>45607</v>
      </c>
      <c r="D3016" s="15">
        <v>1.0006</v>
      </c>
      <c r="E3016" s="15">
        <v>1.0006</v>
      </c>
      <c r="F3016" s="15">
        <v>1.0006</v>
      </c>
      <c r="G3016" s="11">
        <v>0.0002</v>
      </c>
      <c r="H3016" s="9">
        <f>MAX($F$3008:F3016)</f>
        <v>1.0006</v>
      </c>
      <c r="I3016" s="11">
        <f t="shared" si="76"/>
        <v>0</v>
      </c>
      <c r="J3016" s="9"/>
      <c r="K3016" s="11"/>
      <c r="L3016" s="9"/>
      <c r="M3016" s="11"/>
      <c r="N3016" s="9" t="s">
        <v>811</v>
      </c>
    </row>
    <row r="3017" ht="25" customHeight="1" spans="1:14">
      <c r="A3017" s="9" t="s">
        <v>348</v>
      </c>
      <c r="B3017" s="9" t="s">
        <v>347</v>
      </c>
      <c r="C3017" s="10">
        <v>45608</v>
      </c>
      <c r="D3017" s="15">
        <v>1.0006</v>
      </c>
      <c r="E3017" s="15">
        <v>1.0006</v>
      </c>
      <c r="F3017" s="15">
        <v>1.0006</v>
      </c>
      <c r="G3017" s="11">
        <v>0</v>
      </c>
      <c r="H3017" s="9">
        <f>MAX($F$3008:F3017)</f>
        <v>1.0006</v>
      </c>
      <c r="I3017" s="11">
        <f t="shared" si="76"/>
        <v>0</v>
      </c>
      <c r="J3017" s="9"/>
      <c r="K3017" s="11"/>
      <c r="L3017" s="9"/>
      <c r="M3017" s="11"/>
      <c r="N3017" s="9" t="s">
        <v>811</v>
      </c>
    </row>
    <row r="3018" ht="25" customHeight="1" spans="1:14">
      <c r="A3018" s="9" t="s">
        <v>348</v>
      </c>
      <c r="B3018" s="9" t="s">
        <v>347</v>
      </c>
      <c r="C3018" s="10">
        <v>45609</v>
      </c>
      <c r="D3018" s="15">
        <v>1.0006</v>
      </c>
      <c r="E3018" s="15">
        <v>1.0006</v>
      </c>
      <c r="F3018" s="15">
        <v>1.0006</v>
      </c>
      <c r="G3018" s="11">
        <v>0</v>
      </c>
      <c r="H3018" s="9">
        <f>MAX($F$3008:F3018)</f>
        <v>1.0006</v>
      </c>
      <c r="I3018" s="11">
        <f t="shared" si="76"/>
        <v>0</v>
      </c>
      <c r="J3018" s="9"/>
      <c r="K3018" s="11"/>
      <c r="L3018" s="9"/>
      <c r="M3018" s="11"/>
      <c r="N3018" s="9" t="s">
        <v>811</v>
      </c>
    </row>
    <row r="3019" ht="25" customHeight="1" spans="1:14">
      <c r="A3019" s="9" t="s">
        <v>348</v>
      </c>
      <c r="B3019" s="9" t="s">
        <v>347</v>
      </c>
      <c r="C3019" s="10">
        <v>45610</v>
      </c>
      <c r="D3019" s="15">
        <v>1.0006</v>
      </c>
      <c r="E3019" s="15">
        <v>1.0006</v>
      </c>
      <c r="F3019" s="15">
        <v>1.0006</v>
      </c>
      <c r="G3019" s="11">
        <v>0</v>
      </c>
      <c r="H3019" s="9">
        <f>MAX($F$3008:F3019)</f>
        <v>1.0006</v>
      </c>
      <c r="I3019" s="11">
        <f t="shared" si="76"/>
        <v>0</v>
      </c>
      <c r="J3019" s="9"/>
      <c r="K3019" s="11"/>
      <c r="L3019" s="9"/>
      <c r="M3019" s="11"/>
      <c r="N3019" s="9" t="s">
        <v>811</v>
      </c>
    </row>
    <row r="3020" ht="25" customHeight="1" spans="1:14">
      <c r="A3020" s="9" t="s">
        <v>348</v>
      </c>
      <c r="B3020" s="9" t="s">
        <v>347</v>
      </c>
      <c r="C3020" s="10">
        <v>45611</v>
      </c>
      <c r="D3020" s="15">
        <v>1.0007</v>
      </c>
      <c r="E3020" s="15">
        <v>1.0007</v>
      </c>
      <c r="F3020" s="15">
        <v>1.0007</v>
      </c>
      <c r="G3020" s="11">
        <v>0.0001</v>
      </c>
      <c r="H3020" s="9">
        <f>MAX($F$3008:F3020)</f>
        <v>1.0007</v>
      </c>
      <c r="I3020" s="11">
        <f t="shared" si="76"/>
        <v>0</v>
      </c>
      <c r="J3020" s="9"/>
      <c r="K3020" s="11"/>
      <c r="L3020" s="9"/>
      <c r="M3020" s="11"/>
      <c r="N3020" s="9" t="s">
        <v>811</v>
      </c>
    </row>
    <row r="3021" ht="25" customHeight="1" spans="1:14">
      <c r="A3021" s="9" t="s">
        <v>348</v>
      </c>
      <c r="B3021" s="9" t="s">
        <v>347</v>
      </c>
      <c r="C3021" s="10">
        <v>45614</v>
      </c>
      <c r="D3021" s="15">
        <v>1.0007</v>
      </c>
      <c r="E3021" s="15">
        <v>1.0007</v>
      </c>
      <c r="F3021" s="15">
        <v>1.0007</v>
      </c>
      <c r="G3021" s="11">
        <v>0</v>
      </c>
      <c r="H3021" s="9">
        <f>MAX($F$3008:F3021)</f>
        <v>1.0007</v>
      </c>
      <c r="I3021" s="11">
        <f t="shared" si="76"/>
        <v>0</v>
      </c>
      <c r="J3021" s="9"/>
      <c r="K3021" s="11"/>
      <c r="L3021" s="9"/>
      <c r="M3021" s="11"/>
      <c r="N3021" s="9" t="s">
        <v>811</v>
      </c>
    </row>
    <row r="3022" ht="25" customHeight="1" spans="1:14">
      <c r="A3022" s="9" t="s">
        <v>348</v>
      </c>
      <c r="B3022" s="9" t="s">
        <v>347</v>
      </c>
      <c r="C3022" s="10">
        <v>45615</v>
      </c>
      <c r="D3022" s="15">
        <v>1.0008</v>
      </c>
      <c r="E3022" s="15">
        <v>1.0008</v>
      </c>
      <c r="F3022" s="15">
        <v>1.0008</v>
      </c>
      <c r="G3022" s="11">
        <v>0.0001</v>
      </c>
      <c r="H3022" s="9">
        <f>MAX($F$3008:F3022)</f>
        <v>1.0008</v>
      </c>
      <c r="I3022" s="11">
        <f t="shared" si="76"/>
        <v>0</v>
      </c>
      <c r="J3022" s="9"/>
      <c r="K3022" s="11"/>
      <c r="L3022" s="9"/>
      <c r="M3022" s="11"/>
      <c r="N3022" s="9" t="s">
        <v>811</v>
      </c>
    </row>
    <row r="3023" ht="25" customHeight="1" spans="1:14">
      <c r="A3023" s="9" t="s">
        <v>348</v>
      </c>
      <c r="B3023" s="9" t="s">
        <v>347</v>
      </c>
      <c r="C3023" s="10">
        <v>45616</v>
      </c>
      <c r="D3023" s="15">
        <v>1.0008</v>
      </c>
      <c r="E3023" s="15">
        <v>1.0008</v>
      </c>
      <c r="F3023" s="15">
        <v>1.0008</v>
      </c>
      <c r="G3023" s="11">
        <v>0</v>
      </c>
      <c r="H3023" s="9">
        <f>MAX($F$3008:F3023)</f>
        <v>1.0008</v>
      </c>
      <c r="I3023" s="11">
        <f t="shared" si="76"/>
        <v>0</v>
      </c>
      <c r="J3023" s="9"/>
      <c r="K3023" s="11"/>
      <c r="L3023" s="9"/>
      <c r="M3023" s="11"/>
      <c r="N3023" s="9" t="s">
        <v>811</v>
      </c>
    </row>
    <row r="3024" ht="25" customHeight="1" spans="1:14">
      <c r="A3024" s="9" t="s">
        <v>348</v>
      </c>
      <c r="B3024" s="9" t="s">
        <v>347</v>
      </c>
      <c r="C3024" s="10">
        <v>45617</v>
      </c>
      <c r="D3024" s="15">
        <v>1.0007</v>
      </c>
      <c r="E3024" s="15">
        <v>1.0007</v>
      </c>
      <c r="F3024" s="15">
        <v>1.0007</v>
      </c>
      <c r="G3024" s="11">
        <v>-0.0001</v>
      </c>
      <c r="H3024" s="9">
        <f>MAX($F$3008:F3024)</f>
        <v>1.0008</v>
      </c>
      <c r="I3024" s="11">
        <f t="shared" si="76"/>
        <v>9.99200639488773e-5</v>
      </c>
      <c r="J3024" s="9"/>
      <c r="K3024" s="11"/>
      <c r="L3024" s="9"/>
      <c r="M3024" s="11"/>
      <c r="N3024" s="9" t="s">
        <v>811</v>
      </c>
    </row>
    <row r="3025" ht="25" customHeight="1" spans="1:14">
      <c r="A3025" s="9" t="s">
        <v>348</v>
      </c>
      <c r="B3025" s="9" t="s">
        <v>347</v>
      </c>
      <c r="C3025" s="10">
        <v>45618</v>
      </c>
      <c r="D3025" s="15">
        <v>1.0007</v>
      </c>
      <c r="E3025" s="15">
        <v>1.0007</v>
      </c>
      <c r="F3025" s="15">
        <v>1.0007</v>
      </c>
      <c r="G3025" s="11">
        <v>0</v>
      </c>
      <c r="H3025" s="9">
        <f>MAX($F$3008:F3025)</f>
        <v>1.0008</v>
      </c>
      <c r="I3025" s="11">
        <f t="shared" si="76"/>
        <v>9.99200639488773e-5</v>
      </c>
      <c r="J3025" s="9"/>
      <c r="K3025" s="11"/>
      <c r="L3025" s="9"/>
      <c r="M3025" s="11"/>
      <c r="N3025" s="9" t="s">
        <v>811</v>
      </c>
    </row>
    <row r="3026" ht="25" customHeight="1" spans="1:14">
      <c r="A3026" s="9" t="s">
        <v>348</v>
      </c>
      <c r="B3026" s="9" t="s">
        <v>347</v>
      </c>
      <c r="C3026" s="10">
        <v>45621</v>
      </c>
      <c r="D3026" s="15">
        <v>1.0007</v>
      </c>
      <c r="E3026" s="15">
        <v>1.0007</v>
      </c>
      <c r="F3026" s="15">
        <v>1.0007</v>
      </c>
      <c r="G3026" s="11">
        <v>0</v>
      </c>
      <c r="H3026" s="9">
        <f>MAX($F$3008:F3026)</f>
        <v>1.0008</v>
      </c>
      <c r="I3026" s="11">
        <f t="shared" si="76"/>
        <v>9.99200639488773e-5</v>
      </c>
      <c r="J3026" s="9"/>
      <c r="K3026" s="11"/>
      <c r="L3026" s="9"/>
      <c r="M3026" s="11"/>
      <c r="N3026" s="9" t="s">
        <v>811</v>
      </c>
    </row>
    <row r="3027" ht="25" customHeight="1" spans="1:14">
      <c r="A3027" s="9" t="s">
        <v>348</v>
      </c>
      <c r="B3027" s="9" t="s">
        <v>347</v>
      </c>
      <c r="C3027" s="10">
        <v>45622</v>
      </c>
      <c r="D3027" s="15">
        <v>1.0007</v>
      </c>
      <c r="E3027" s="15">
        <v>1.0007</v>
      </c>
      <c r="F3027" s="15">
        <v>1.0007</v>
      </c>
      <c r="G3027" s="11">
        <v>0</v>
      </c>
      <c r="H3027" s="9">
        <f>MAX($F$3008:F3027)</f>
        <v>1.0008</v>
      </c>
      <c r="I3027" s="11">
        <f t="shared" si="76"/>
        <v>9.99200639488773e-5</v>
      </c>
      <c r="J3027" s="9"/>
      <c r="K3027" s="11"/>
      <c r="L3027" s="9"/>
      <c r="M3027" s="11"/>
      <c r="N3027" s="9" t="s">
        <v>811</v>
      </c>
    </row>
    <row r="3028" ht="25" customHeight="1" spans="1:14">
      <c r="A3028" s="9" t="s">
        <v>348</v>
      </c>
      <c r="B3028" s="9" t="s">
        <v>347</v>
      </c>
      <c r="C3028" s="10">
        <v>45623</v>
      </c>
      <c r="D3028" s="15">
        <v>1.0007</v>
      </c>
      <c r="E3028" s="15">
        <v>1.0007</v>
      </c>
      <c r="F3028" s="15">
        <v>1.0007</v>
      </c>
      <c r="G3028" s="11">
        <v>0</v>
      </c>
      <c r="H3028" s="9">
        <f>MAX($F$3008:F3028)</f>
        <v>1.0008</v>
      </c>
      <c r="I3028" s="11">
        <f t="shared" si="76"/>
        <v>9.99200639488773e-5</v>
      </c>
      <c r="J3028" s="9"/>
      <c r="K3028" s="11"/>
      <c r="L3028" s="9"/>
      <c r="M3028" s="11"/>
      <c r="N3028" s="9" t="s">
        <v>811</v>
      </c>
    </row>
    <row r="3029" ht="25" customHeight="1" spans="1:14">
      <c r="A3029" s="9" t="s">
        <v>348</v>
      </c>
      <c r="B3029" s="9" t="s">
        <v>347</v>
      </c>
      <c r="C3029" s="10">
        <v>45624</v>
      </c>
      <c r="D3029" s="15">
        <v>1.0007</v>
      </c>
      <c r="E3029" s="15">
        <v>1.0007</v>
      </c>
      <c r="F3029" s="15">
        <v>1.0007</v>
      </c>
      <c r="G3029" s="11">
        <v>0</v>
      </c>
      <c r="H3029" s="9">
        <f>MAX($F$3008:F3029)</f>
        <v>1.0008</v>
      </c>
      <c r="I3029" s="11">
        <f t="shared" si="76"/>
        <v>9.99200639488773e-5</v>
      </c>
      <c r="J3029" s="9"/>
      <c r="K3029" s="11"/>
      <c r="L3029" s="9"/>
      <c r="M3029" s="11"/>
      <c r="N3029" s="9" t="s">
        <v>811</v>
      </c>
    </row>
    <row r="3030" ht="25" customHeight="1" spans="1:14">
      <c r="A3030" s="9" t="s">
        <v>348</v>
      </c>
      <c r="B3030" s="9" t="s">
        <v>347</v>
      </c>
      <c r="C3030" s="10">
        <v>45625</v>
      </c>
      <c r="D3030" s="15">
        <v>1.0027</v>
      </c>
      <c r="E3030" s="15">
        <v>1.0027</v>
      </c>
      <c r="F3030" s="15">
        <v>1.0027</v>
      </c>
      <c r="G3030" s="11">
        <v>0.002</v>
      </c>
      <c r="H3030" s="9">
        <f>MAX($F$3008:F3030)</f>
        <v>1.0027</v>
      </c>
      <c r="I3030" s="11">
        <f t="shared" si="76"/>
        <v>0</v>
      </c>
      <c r="J3030" s="9"/>
      <c r="K3030" s="11"/>
      <c r="L3030" s="9"/>
      <c r="M3030" s="11"/>
      <c r="N3030" s="9" t="s">
        <v>811</v>
      </c>
    </row>
    <row r="3031" ht="25" customHeight="1" spans="1:14">
      <c r="A3031" s="9" t="s">
        <v>348</v>
      </c>
      <c r="B3031" s="9" t="s">
        <v>347</v>
      </c>
      <c r="C3031" s="10">
        <v>45628</v>
      </c>
      <c r="D3031" s="15">
        <v>1.0026</v>
      </c>
      <c r="E3031" s="15">
        <v>1.0026</v>
      </c>
      <c r="F3031" s="15">
        <v>1.0026</v>
      </c>
      <c r="G3031" s="11">
        <v>-0.0001</v>
      </c>
      <c r="H3031" s="9">
        <f>MAX($F$3008:F3031)</f>
        <v>1.0027</v>
      </c>
      <c r="I3031" s="11">
        <f t="shared" si="76"/>
        <v>9.97307270369507e-5</v>
      </c>
      <c r="J3031" s="9"/>
      <c r="K3031" s="11"/>
      <c r="L3031" s="9"/>
      <c r="M3031" s="11"/>
      <c r="N3031" s="9" t="s">
        <v>811</v>
      </c>
    </row>
    <row r="3032" ht="25" customHeight="1" spans="1:14">
      <c r="A3032" s="9" t="s">
        <v>348</v>
      </c>
      <c r="B3032" s="9" t="s">
        <v>347</v>
      </c>
      <c r="C3032" s="10">
        <v>45629</v>
      </c>
      <c r="D3032" s="15">
        <v>1.0026</v>
      </c>
      <c r="E3032" s="15">
        <v>1.0026</v>
      </c>
      <c r="F3032" s="15">
        <v>1.0026</v>
      </c>
      <c r="G3032" s="11">
        <v>0</v>
      </c>
      <c r="H3032" s="9">
        <f>MAX($F$3008:F3032)</f>
        <v>1.0027</v>
      </c>
      <c r="I3032" s="11">
        <f t="shared" si="76"/>
        <v>9.97307270369507e-5</v>
      </c>
      <c r="J3032" s="9"/>
      <c r="K3032" s="11"/>
      <c r="L3032" s="9"/>
      <c r="M3032" s="11"/>
      <c r="N3032" s="9" t="s">
        <v>811</v>
      </c>
    </row>
    <row r="3033" ht="25" customHeight="1" spans="1:14">
      <c r="A3033" s="9" t="s">
        <v>348</v>
      </c>
      <c r="B3033" s="9" t="s">
        <v>347</v>
      </c>
      <c r="C3033" s="10">
        <v>45630</v>
      </c>
      <c r="D3033" s="15">
        <v>1.0026</v>
      </c>
      <c r="E3033" s="15">
        <v>1.0026</v>
      </c>
      <c r="F3033" s="15">
        <v>1.0026</v>
      </c>
      <c r="G3033" s="11">
        <v>0</v>
      </c>
      <c r="H3033" s="9">
        <f>MAX($F$3008:F3033)</f>
        <v>1.0027</v>
      </c>
      <c r="I3033" s="11">
        <f t="shared" si="76"/>
        <v>9.97307270369507e-5</v>
      </c>
      <c r="J3033" s="9"/>
      <c r="K3033" s="11"/>
      <c r="L3033" s="9"/>
      <c r="M3033" s="11"/>
      <c r="N3033" s="9" t="s">
        <v>811</v>
      </c>
    </row>
    <row r="3034" ht="25" customHeight="1" spans="1:14">
      <c r="A3034" s="9" t="s">
        <v>348</v>
      </c>
      <c r="B3034" s="9" t="s">
        <v>347</v>
      </c>
      <c r="C3034" s="10">
        <v>45631</v>
      </c>
      <c r="D3034" s="15">
        <v>1.0041</v>
      </c>
      <c r="E3034" s="15">
        <v>1.0041</v>
      </c>
      <c r="F3034" s="15">
        <v>1.0041</v>
      </c>
      <c r="G3034" s="11">
        <v>0.0015</v>
      </c>
      <c r="H3034" s="9">
        <f>MAX($F$3008:F3034)</f>
        <v>1.0041</v>
      </c>
      <c r="I3034" s="11">
        <f t="shared" si="76"/>
        <v>0</v>
      </c>
      <c r="J3034" s="9"/>
      <c r="K3034" s="11"/>
      <c r="L3034" s="9"/>
      <c r="M3034" s="11"/>
      <c r="N3034" s="9" t="s">
        <v>811</v>
      </c>
    </row>
    <row r="3035" ht="25" customHeight="1" spans="1:14">
      <c r="A3035" s="9" t="s">
        <v>348</v>
      </c>
      <c r="B3035" s="9" t="s">
        <v>347</v>
      </c>
      <c r="C3035" s="10">
        <v>45632</v>
      </c>
      <c r="D3035" s="15">
        <v>1.0041</v>
      </c>
      <c r="E3035" s="15">
        <v>1.0041</v>
      </c>
      <c r="F3035" s="15">
        <v>1.0041</v>
      </c>
      <c r="G3035" s="11">
        <v>0</v>
      </c>
      <c r="H3035" s="9">
        <f>MAX($F$3008:F3035)</f>
        <v>1.0041</v>
      </c>
      <c r="I3035" s="11">
        <f t="shared" si="76"/>
        <v>0</v>
      </c>
      <c r="J3035" s="9"/>
      <c r="K3035" s="11"/>
      <c r="L3035" s="9"/>
      <c r="M3035" s="11"/>
      <c r="N3035" s="9" t="s">
        <v>811</v>
      </c>
    </row>
    <row r="3036" ht="25" customHeight="1" spans="1:14">
      <c r="A3036" s="9" t="s">
        <v>348</v>
      </c>
      <c r="B3036" s="9" t="s">
        <v>347</v>
      </c>
      <c r="C3036" s="10">
        <v>45635</v>
      </c>
      <c r="D3036" s="15">
        <v>1.0041</v>
      </c>
      <c r="E3036" s="15">
        <v>1.0041</v>
      </c>
      <c r="F3036" s="15">
        <v>1.0041</v>
      </c>
      <c r="G3036" s="11">
        <v>0</v>
      </c>
      <c r="H3036" s="9">
        <f>MAX($F$3008:F3036)</f>
        <v>1.0041</v>
      </c>
      <c r="I3036" s="11">
        <f t="shared" si="76"/>
        <v>0</v>
      </c>
      <c r="J3036" s="9"/>
      <c r="K3036" s="11"/>
      <c r="L3036" s="9"/>
      <c r="M3036" s="11"/>
      <c r="N3036" s="9" t="s">
        <v>811</v>
      </c>
    </row>
    <row r="3037" ht="25" customHeight="1" spans="1:14">
      <c r="A3037" s="9" t="s">
        <v>348</v>
      </c>
      <c r="B3037" s="9" t="s">
        <v>347</v>
      </c>
      <c r="C3037" s="10">
        <v>45636</v>
      </c>
      <c r="D3037" s="15">
        <v>1.0045</v>
      </c>
      <c r="E3037" s="15">
        <v>1.0045</v>
      </c>
      <c r="F3037" s="15">
        <v>1.0045</v>
      </c>
      <c r="G3037" s="11">
        <v>0.0004</v>
      </c>
      <c r="H3037" s="9">
        <f>MAX($F$3008:F3037)</f>
        <v>1.0045</v>
      </c>
      <c r="I3037" s="11">
        <f t="shared" si="76"/>
        <v>0</v>
      </c>
      <c r="J3037" s="9"/>
      <c r="K3037" s="11"/>
      <c r="L3037" s="9"/>
      <c r="M3037" s="11"/>
      <c r="N3037" s="9" t="s">
        <v>811</v>
      </c>
    </row>
    <row r="3038" ht="25" customHeight="1" spans="1:14">
      <c r="A3038" s="9" t="s">
        <v>348</v>
      </c>
      <c r="B3038" s="9" t="s">
        <v>347</v>
      </c>
      <c r="C3038" s="10">
        <v>45637</v>
      </c>
      <c r="D3038" s="15">
        <v>1.0045</v>
      </c>
      <c r="E3038" s="15">
        <v>1.0045</v>
      </c>
      <c r="F3038" s="15">
        <v>1.0045</v>
      </c>
      <c r="G3038" s="11">
        <v>0</v>
      </c>
      <c r="H3038" s="9">
        <f>MAX($F$3008:F3038)</f>
        <v>1.0045</v>
      </c>
      <c r="I3038" s="11">
        <f t="shared" si="76"/>
        <v>0</v>
      </c>
      <c r="J3038" s="9"/>
      <c r="K3038" s="11"/>
      <c r="L3038" s="9"/>
      <c r="M3038" s="11"/>
      <c r="N3038" s="9" t="s">
        <v>811</v>
      </c>
    </row>
    <row r="3039" ht="25" customHeight="1" spans="1:14">
      <c r="A3039" s="9" t="s">
        <v>348</v>
      </c>
      <c r="B3039" s="9" t="s">
        <v>347</v>
      </c>
      <c r="C3039" s="10">
        <v>45638</v>
      </c>
      <c r="D3039" s="15">
        <v>1.0045</v>
      </c>
      <c r="E3039" s="15">
        <v>1.0045</v>
      </c>
      <c r="F3039" s="15">
        <v>1.0045</v>
      </c>
      <c r="G3039" s="11">
        <v>0</v>
      </c>
      <c r="H3039" s="9">
        <f>MAX($F$3008:F3039)</f>
        <v>1.0045</v>
      </c>
      <c r="I3039" s="11">
        <f t="shared" si="76"/>
        <v>0</v>
      </c>
      <c r="J3039" s="9"/>
      <c r="K3039" s="11"/>
      <c r="L3039" s="9"/>
      <c r="M3039" s="11"/>
      <c r="N3039" s="9" t="s">
        <v>811</v>
      </c>
    </row>
    <row r="3040" ht="25" customHeight="1" spans="1:14">
      <c r="A3040" s="9" t="s">
        <v>348</v>
      </c>
      <c r="B3040" s="9" t="s">
        <v>347</v>
      </c>
      <c r="C3040" s="10">
        <v>45639</v>
      </c>
      <c r="D3040" s="15">
        <v>1.0045</v>
      </c>
      <c r="E3040" s="15">
        <v>1.0045</v>
      </c>
      <c r="F3040" s="15">
        <v>1.0045</v>
      </c>
      <c r="G3040" s="11">
        <v>0</v>
      </c>
      <c r="H3040" s="9">
        <f>MAX($F$3008:F3040)</f>
        <v>1.0045</v>
      </c>
      <c r="I3040" s="11">
        <f t="shared" si="76"/>
        <v>0</v>
      </c>
      <c r="J3040" s="9"/>
      <c r="K3040" s="11"/>
      <c r="L3040" s="9"/>
      <c r="M3040" s="11"/>
      <c r="N3040" s="9" t="s">
        <v>811</v>
      </c>
    </row>
    <row r="3041" ht="25" customHeight="1" spans="1:14">
      <c r="A3041" s="9" t="s">
        <v>348</v>
      </c>
      <c r="B3041" s="9" t="s">
        <v>347</v>
      </c>
      <c r="C3041" s="10">
        <v>45642</v>
      </c>
      <c r="D3041" s="15">
        <v>1.0045</v>
      </c>
      <c r="E3041" s="15">
        <v>1.0045</v>
      </c>
      <c r="F3041" s="15">
        <v>1.0045</v>
      </c>
      <c r="G3041" s="11">
        <v>0</v>
      </c>
      <c r="H3041" s="9">
        <f>MAX($F$3008:F3041)</f>
        <v>1.0045</v>
      </c>
      <c r="I3041" s="11">
        <f t="shared" si="76"/>
        <v>0</v>
      </c>
      <c r="J3041" s="9"/>
      <c r="K3041" s="11"/>
      <c r="L3041" s="9"/>
      <c r="M3041" s="11"/>
      <c r="N3041" s="9" t="s">
        <v>811</v>
      </c>
    </row>
    <row r="3042" ht="25" customHeight="1" spans="1:14">
      <c r="A3042" s="9" t="s">
        <v>348</v>
      </c>
      <c r="B3042" s="9" t="s">
        <v>347</v>
      </c>
      <c r="C3042" s="10">
        <v>45643</v>
      </c>
      <c r="D3042" s="15">
        <v>1.0045</v>
      </c>
      <c r="E3042" s="15">
        <v>1.0045</v>
      </c>
      <c r="F3042" s="15">
        <v>1.0045</v>
      </c>
      <c r="G3042" s="11">
        <v>0</v>
      </c>
      <c r="H3042" s="9">
        <f>MAX($F$3008:F3042)</f>
        <v>1.0045</v>
      </c>
      <c r="I3042" s="11">
        <f t="shared" si="76"/>
        <v>0</v>
      </c>
      <c r="J3042" s="9"/>
      <c r="K3042" s="11"/>
      <c r="L3042" s="9"/>
      <c r="M3042" s="11"/>
      <c r="N3042" s="9" t="s">
        <v>811</v>
      </c>
    </row>
    <row r="3043" ht="25" customHeight="1" spans="1:14">
      <c r="A3043" s="9" t="s">
        <v>348</v>
      </c>
      <c r="B3043" s="9" t="s">
        <v>347</v>
      </c>
      <c r="C3043" s="10">
        <v>45644</v>
      </c>
      <c r="D3043" s="15">
        <v>1.005</v>
      </c>
      <c r="E3043" s="15">
        <v>1.005</v>
      </c>
      <c r="F3043" s="15">
        <v>1.005</v>
      </c>
      <c r="G3043" s="11">
        <v>0.0005</v>
      </c>
      <c r="H3043" s="9">
        <f>MAX($F$3008:F3043)</f>
        <v>1.005</v>
      </c>
      <c r="I3043" s="11">
        <f t="shared" si="76"/>
        <v>0</v>
      </c>
      <c r="J3043" s="9"/>
      <c r="K3043" s="11"/>
      <c r="L3043" s="9"/>
      <c r="M3043" s="11"/>
      <c r="N3043" s="9" t="s">
        <v>811</v>
      </c>
    </row>
    <row r="3044" ht="25" customHeight="1" spans="1:14">
      <c r="A3044" s="9" t="s">
        <v>348</v>
      </c>
      <c r="B3044" s="9" t="s">
        <v>347</v>
      </c>
      <c r="C3044" s="10">
        <v>45645</v>
      </c>
      <c r="D3044" s="15">
        <v>1.005</v>
      </c>
      <c r="E3044" s="15">
        <v>1.005</v>
      </c>
      <c r="F3044" s="15">
        <v>1.005</v>
      </c>
      <c r="G3044" s="11">
        <v>0</v>
      </c>
      <c r="H3044" s="9">
        <f>MAX($F$3008:F3044)</f>
        <v>1.005</v>
      </c>
      <c r="I3044" s="11">
        <f t="shared" si="76"/>
        <v>0</v>
      </c>
      <c r="J3044" s="9"/>
      <c r="K3044" s="11"/>
      <c r="L3044" s="9"/>
      <c r="M3044" s="11"/>
      <c r="N3044" s="9" t="s">
        <v>811</v>
      </c>
    </row>
    <row r="3045" ht="25" customHeight="1" spans="1:14">
      <c r="A3045" s="9" t="s">
        <v>348</v>
      </c>
      <c r="B3045" s="9" t="s">
        <v>347</v>
      </c>
      <c r="C3045" s="10">
        <v>45646</v>
      </c>
      <c r="D3045" s="15">
        <v>1.005</v>
      </c>
      <c r="E3045" s="15">
        <v>1.005</v>
      </c>
      <c r="F3045" s="15">
        <v>1.005</v>
      </c>
      <c r="G3045" s="11">
        <v>0</v>
      </c>
      <c r="H3045" s="9">
        <f>MAX($F$3008:F3045)</f>
        <v>1.005</v>
      </c>
      <c r="I3045" s="11">
        <f t="shared" si="76"/>
        <v>0</v>
      </c>
      <c r="J3045" s="9"/>
      <c r="K3045" s="11"/>
      <c r="L3045" s="9"/>
      <c r="M3045" s="11"/>
      <c r="N3045" s="9" t="s">
        <v>811</v>
      </c>
    </row>
    <row r="3046" ht="25" customHeight="1" spans="1:14">
      <c r="A3046" s="9" t="s">
        <v>348</v>
      </c>
      <c r="B3046" s="9" t="s">
        <v>347</v>
      </c>
      <c r="C3046" s="10">
        <v>45649</v>
      </c>
      <c r="D3046" s="15">
        <v>1.005</v>
      </c>
      <c r="E3046" s="15">
        <v>1.005</v>
      </c>
      <c r="F3046" s="15">
        <v>1.005</v>
      </c>
      <c r="G3046" s="11">
        <v>0</v>
      </c>
      <c r="H3046" s="9">
        <f>MAX($F$3008:F3046)</f>
        <v>1.005</v>
      </c>
      <c r="I3046" s="11">
        <f t="shared" si="76"/>
        <v>0</v>
      </c>
      <c r="J3046" s="9"/>
      <c r="K3046" s="11"/>
      <c r="L3046" s="9"/>
      <c r="M3046" s="11"/>
      <c r="N3046" s="9" t="s">
        <v>811</v>
      </c>
    </row>
    <row r="3047" ht="25" customHeight="1" spans="1:14">
      <c r="A3047" s="9" t="s">
        <v>348</v>
      </c>
      <c r="B3047" s="9" t="s">
        <v>347</v>
      </c>
      <c r="C3047" s="10">
        <v>45650</v>
      </c>
      <c r="D3047" s="15">
        <v>1.005</v>
      </c>
      <c r="E3047" s="15">
        <v>1.005</v>
      </c>
      <c r="F3047" s="15">
        <v>1.005</v>
      </c>
      <c r="G3047" s="11">
        <v>0</v>
      </c>
      <c r="H3047" s="9">
        <f>MAX($F$3008:F3047)</f>
        <v>1.005</v>
      </c>
      <c r="I3047" s="11">
        <f t="shared" si="76"/>
        <v>0</v>
      </c>
      <c r="J3047" s="9"/>
      <c r="K3047" s="11"/>
      <c r="L3047" s="9"/>
      <c r="M3047" s="11"/>
      <c r="N3047" s="9" t="s">
        <v>811</v>
      </c>
    </row>
    <row r="3048" ht="25" customHeight="1" spans="1:14">
      <c r="A3048" s="9" t="s">
        <v>348</v>
      </c>
      <c r="B3048" s="9" t="s">
        <v>347</v>
      </c>
      <c r="C3048" s="10">
        <v>45651</v>
      </c>
      <c r="D3048" s="15">
        <v>1.005</v>
      </c>
      <c r="E3048" s="15">
        <v>1.005</v>
      </c>
      <c r="F3048" s="15">
        <v>1.005</v>
      </c>
      <c r="G3048" s="11">
        <v>0</v>
      </c>
      <c r="H3048" s="9">
        <f>MAX($F$3008:F3048)</f>
        <v>1.005</v>
      </c>
      <c r="I3048" s="11">
        <f t="shared" si="76"/>
        <v>0</v>
      </c>
      <c r="J3048" s="9"/>
      <c r="K3048" s="11"/>
      <c r="L3048" s="9"/>
      <c r="M3048" s="11"/>
      <c r="N3048" s="9" t="s">
        <v>811</v>
      </c>
    </row>
    <row r="3049" ht="25" customHeight="1" spans="1:14">
      <c r="A3049" s="9" t="s">
        <v>348</v>
      </c>
      <c r="B3049" s="9" t="s">
        <v>347</v>
      </c>
      <c r="C3049" s="10">
        <v>45652</v>
      </c>
      <c r="D3049" s="15">
        <v>1.0059</v>
      </c>
      <c r="E3049" s="15">
        <v>1.0059</v>
      </c>
      <c r="F3049" s="15">
        <v>1.0059</v>
      </c>
      <c r="G3049" s="11">
        <v>0.0009</v>
      </c>
      <c r="H3049" s="9">
        <f>MAX($F$3008:F3049)</f>
        <v>1.0059</v>
      </c>
      <c r="I3049" s="11">
        <f t="shared" si="76"/>
        <v>0</v>
      </c>
      <c r="J3049" s="9"/>
      <c r="K3049" s="11"/>
      <c r="L3049" s="9"/>
      <c r="M3049" s="11"/>
      <c r="N3049" s="9" t="s">
        <v>811</v>
      </c>
    </row>
    <row r="3050" ht="25" customHeight="1" spans="1:14">
      <c r="A3050" s="9" t="s">
        <v>348</v>
      </c>
      <c r="B3050" s="9" t="s">
        <v>347</v>
      </c>
      <c r="C3050" s="10">
        <v>45653</v>
      </c>
      <c r="D3050" s="15">
        <v>1.0059</v>
      </c>
      <c r="E3050" s="15">
        <v>1.0059</v>
      </c>
      <c r="F3050" s="15">
        <v>1.0059</v>
      </c>
      <c r="G3050" s="11">
        <v>0</v>
      </c>
      <c r="H3050" s="9">
        <f>MAX($F$3008:F3050)</f>
        <v>1.0059</v>
      </c>
      <c r="I3050" s="11">
        <f t="shared" si="76"/>
        <v>0</v>
      </c>
      <c r="J3050" s="9"/>
      <c r="K3050" s="11"/>
      <c r="L3050" s="9"/>
      <c r="M3050" s="11"/>
      <c r="N3050" s="9" t="s">
        <v>811</v>
      </c>
    </row>
    <row r="3051" ht="25" customHeight="1" spans="1:14">
      <c r="A3051" s="9" t="s">
        <v>348</v>
      </c>
      <c r="B3051" s="9" t="s">
        <v>347</v>
      </c>
      <c r="C3051" s="10">
        <v>45656</v>
      </c>
      <c r="D3051" s="15">
        <v>1.0059</v>
      </c>
      <c r="E3051" s="15">
        <v>1.0059</v>
      </c>
      <c r="F3051" s="15">
        <v>1.0059</v>
      </c>
      <c r="G3051" s="11">
        <v>0</v>
      </c>
      <c r="H3051" s="9">
        <f>MAX($F$3008:F3051)</f>
        <v>1.0059</v>
      </c>
      <c r="I3051" s="11">
        <f t="shared" si="76"/>
        <v>0</v>
      </c>
      <c r="J3051" s="9"/>
      <c r="K3051" s="11"/>
      <c r="L3051" s="9"/>
      <c r="M3051" s="11"/>
      <c r="N3051" s="9" t="s">
        <v>811</v>
      </c>
    </row>
    <row r="3052" ht="25" customHeight="1" spans="1:14">
      <c r="A3052" s="9" t="s">
        <v>348</v>
      </c>
      <c r="B3052" s="9" t="s">
        <v>347</v>
      </c>
      <c r="C3052" s="10">
        <v>45657</v>
      </c>
      <c r="D3052" s="15">
        <v>1.0059</v>
      </c>
      <c r="E3052" s="15">
        <v>1.0059</v>
      </c>
      <c r="F3052" s="15">
        <v>1.0059</v>
      </c>
      <c r="G3052" s="11">
        <v>0</v>
      </c>
      <c r="H3052" s="9">
        <f>MAX($F$3008:F3052)</f>
        <v>1.0059</v>
      </c>
      <c r="I3052" s="11">
        <f t="shared" si="76"/>
        <v>0</v>
      </c>
      <c r="J3052" s="9"/>
      <c r="K3052" s="11"/>
      <c r="L3052" s="9"/>
      <c r="M3052" s="11"/>
      <c r="N3052" s="9" t="s">
        <v>811</v>
      </c>
    </row>
    <row r="3053" ht="25" customHeight="1" spans="1:14">
      <c r="A3053" s="9" t="s">
        <v>348</v>
      </c>
      <c r="B3053" s="9" t="s">
        <v>347</v>
      </c>
      <c r="C3053" s="10">
        <v>45659</v>
      </c>
      <c r="D3053" s="15">
        <v>1.0078</v>
      </c>
      <c r="E3053" s="15">
        <v>1.0078</v>
      </c>
      <c r="F3053" s="15">
        <v>1.0078</v>
      </c>
      <c r="G3053" s="11">
        <v>0.0019</v>
      </c>
      <c r="H3053" s="9">
        <f>MAX($F$3008:F3053)</f>
        <v>1.0078</v>
      </c>
      <c r="I3053" s="11">
        <f t="shared" si="76"/>
        <v>0</v>
      </c>
      <c r="J3053" s="9"/>
      <c r="K3053" s="11"/>
      <c r="L3053" s="9"/>
      <c r="M3053" s="11"/>
      <c r="N3053" s="9" t="s">
        <v>811</v>
      </c>
    </row>
    <row r="3054" ht="25" customHeight="1" spans="1:14">
      <c r="A3054" s="9" t="s">
        <v>348</v>
      </c>
      <c r="B3054" s="9" t="s">
        <v>347</v>
      </c>
      <c r="C3054" s="10">
        <v>45660</v>
      </c>
      <c r="D3054" s="15">
        <v>1.0078</v>
      </c>
      <c r="E3054" s="15">
        <v>1.0078</v>
      </c>
      <c r="F3054" s="15">
        <v>1.0078</v>
      </c>
      <c r="G3054" s="11">
        <v>0</v>
      </c>
      <c r="H3054" s="9">
        <f>MAX($F$3008:F3054)</f>
        <v>1.0078</v>
      </c>
      <c r="I3054" s="11">
        <f t="shared" si="76"/>
        <v>0</v>
      </c>
      <c r="J3054" s="9"/>
      <c r="K3054" s="11"/>
      <c r="L3054" s="9"/>
      <c r="M3054" s="11"/>
      <c r="N3054" s="9" t="s">
        <v>811</v>
      </c>
    </row>
    <row r="3055" ht="25" customHeight="1" spans="1:14">
      <c r="A3055" s="9" t="s">
        <v>348</v>
      </c>
      <c r="B3055" s="9" t="s">
        <v>347</v>
      </c>
      <c r="C3055" s="10">
        <v>45663</v>
      </c>
      <c r="D3055" s="15">
        <v>1.0078</v>
      </c>
      <c r="E3055" s="15">
        <v>1.0078</v>
      </c>
      <c r="F3055" s="15">
        <v>1.0078</v>
      </c>
      <c r="G3055" s="11">
        <v>0</v>
      </c>
      <c r="H3055" s="9">
        <f>MAX($F$3008:F3055)</f>
        <v>1.0078</v>
      </c>
      <c r="I3055" s="11">
        <f t="shared" si="76"/>
        <v>0</v>
      </c>
      <c r="J3055" s="9"/>
      <c r="K3055" s="11"/>
      <c r="L3055" s="9"/>
      <c r="M3055" s="11"/>
      <c r="N3055" s="9" t="s">
        <v>811</v>
      </c>
    </row>
    <row r="3056" ht="25" customHeight="1" spans="1:14">
      <c r="A3056" s="9" t="s">
        <v>348</v>
      </c>
      <c r="B3056" s="9" t="s">
        <v>347</v>
      </c>
      <c r="C3056" s="10">
        <v>45664</v>
      </c>
      <c r="D3056" s="15">
        <v>1.0078</v>
      </c>
      <c r="E3056" s="15">
        <v>1.0078</v>
      </c>
      <c r="F3056" s="15">
        <v>1.0078</v>
      </c>
      <c r="G3056" s="11">
        <v>0</v>
      </c>
      <c r="H3056" s="9">
        <f>MAX($F$3008:F3056)</f>
        <v>1.0078</v>
      </c>
      <c r="I3056" s="11">
        <f t="shared" si="76"/>
        <v>0</v>
      </c>
      <c r="J3056" s="9"/>
      <c r="K3056" s="11"/>
      <c r="L3056" s="9"/>
      <c r="M3056" s="11"/>
      <c r="N3056" s="9" t="s">
        <v>811</v>
      </c>
    </row>
    <row r="3057" ht="25" customHeight="1" spans="1:14">
      <c r="A3057" s="9" t="s">
        <v>348</v>
      </c>
      <c r="B3057" s="9" t="s">
        <v>347</v>
      </c>
      <c r="C3057" s="10">
        <v>45665</v>
      </c>
      <c r="D3057" s="15">
        <v>1.0078</v>
      </c>
      <c r="E3057" s="15">
        <v>1.0078</v>
      </c>
      <c r="F3057" s="15">
        <v>1.0078</v>
      </c>
      <c r="G3057" s="11">
        <v>0</v>
      </c>
      <c r="H3057" s="9">
        <f>MAX($F$3008:F3057)</f>
        <v>1.0078</v>
      </c>
      <c r="I3057" s="11">
        <f t="shared" si="76"/>
        <v>0</v>
      </c>
      <c r="J3057" s="9"/>
      <c r="K3057" s="11"/>
      <c r="L3057" s="9"/>
      <c r="M3057" s="11"/>
      <c r="N3057" s="9" t="s">
        <v>811</v>
      </c>
    </row>
    <row r="3058" ht="25" customHeight="1" spans="1:14">
      <c r="A3058" s="9" t="s">
        <v>348</v>
      </c>
      <c r="B3058" s="9" t="s">
        <v>347</v>
      </c>
      <c r="C3058" s="10">
        <v>45666</v>
      </c>
      <c r="D3058" s="15">
        <v>1.0078</v>
      </c>
      <c r="E3058" s="15">
        <v>1.0078</v>
      </c>
      <c r="F3058" s="15">
        <v>1.0078</v>
      </c>
      <c r="G3058" s="11">
        <v>0</v>
      </c>
      <c r="H3058" s="9">
        <f>MAX($F$3008:F3058)</f>
        <v>1.0078</v>
      </c>
      <c r="I3058" s="11">
        <f t="shared" si="76"/>
        <v>0</v>
      </c>
      <c r="J3058" s="9"/>
      <c r="K3058" s="11"/>
      <c r="L3058" s="9"/>
      <c r="M3058" s="11"/>
      <c r="N3058" s="9" t="s">
        <v>811</v>
      </c>
    </row>
    <row r="3059" ht="25" customHeight="1" spans="1:14">
      <c r="A3059" s="9" t="s">
        <v>348</v>
      </c>
      <c r="B3059" s="9" t="s">
        <v>347</v>
      </c>
      <c r="C3059" s="10">
        <v>45667</v>
      </c>
      <c r="D3059" s="15">
        <v>1.0081</v>
      </c>
      <c r="E3059" s="15">
        <v>1.0081</v>
      </c>
      <c r="F3059" s="15">
        <v>1.0081</v>
      </c>
      <c r="G3059" s="11">
        <v>0.0003</v>
      </c>
      <c r="H3059" s="9">
        <f>MAX($F$3008:F3059)</f>
        <v>1.0081</v>
      </c>
      <c r="I3059" s="11">
        <f t="shared" si="76"/>
        <v>0</v>
      </c>
      <c r="J3059" s="9"/>
      <c r="K3059" s="11"/>
      <c r="L3059" s="9"/>
      <c r="M3059" s="11"/>
      <c r="N3059" s="9" t="s">
        <v>811</v>
      </c>
    </row>
    <row r="3060" ht="25" customHeight="1" spans="1:14">
      <c r="A3060" s="9" t="s">
        <v>348</v>
      </c>
      <c r="B3060" s="9" t="s">
        <v>347</v>
      </c>
      <c r="C3060" s="10">
        <v>45670</v>
      </c>
      <c r="D3060" s="15">
        <v>1.0082</v>
      </c>
      <c r="E3060" s="15">
        <v>1.0082</v>
      </c>
      <c r="F3060" s="15">
        <v>1.0082</v>
      </c>
      <c r="G3060" s="11">
        <v>0.0001</v>
      </c>
      <c r="H3060" s="9">
        <f>MAX($F$3008:F3060)</f>
        <v>1.0082</v>
      </c>
      <c r="I3060" s="11">
        <f t="shared" si="76"/>
        <v>0</v>
      </c>
      <c r="J3060" s="9"/>
      <c r="K3060" s="11"/>
      <c r="L3060" s="9"/>
      <c r="M3060" s="11"/>
      <c r="N3060" s="9" t="s">
        <v>811</v>
      </c>
    </row>
    <row r="3061" ht="25" customHeight="1" spans="1:14">
      <c r="A3061" s="9" t="s">
        <v>348</v>
      </c>
      <c r="B3061" s="9" t="s">
        <v>347</v>
      </c>
      <c r="C3061" s="10">
        <v>45671</v>
      </c>
      <c r="D3061" s="15">
        <v>1.0082</v>
      </c>
      <c r="E3061" s="15">
        <v>1.0082</v>
      </c>
      <c r="F3061" s="15">
        <v>1.0082</v>
      </c>
      <c r="G3061" s="11">
        <v>0</v>
      </c>
      <c r="H3061" s="9">
        <f>MAX($F$3008:F3061)</f>
        <v>1.0082</v>
      </c>
      <c r="I3061" s="11">
        <f t="shared" si="76"/>
        <v>0</v>
      </c>
      <c r="J3061" s="9"/>
      <c r="K3061" s="11"/>
      <c r="L3061" s="9"/>
      <c r="M3061" s="11"/>
      <c r="N3061" s="9" t="s">
        <v>811</v>
      </c>
    </row>
    <row r="3062" ht="25" customHeight="1" spans="1:14">
      <c r="A3062" s="9" t="s">
        <v>348</v>
      </c>
      <c r="B3062" s="9" t="s">
        <v>347</v>
      </c>
      <c r="C3062" s="10">
        <v>45672</v>
      </c>
      <c r="D3062" s="15">
        <v>1.009</v>
      </c>
      <c r="E3062" s="15">
        <v>1.009</v>
      </c>
      <c r="F3062" s="15">
        <v>1.009</v>
      </c>
      <c r="G3062" s="11">
        <v>0.0008</v>
      </c>
      <c r="H3062" s="9">
        <f>MAX($F$3008:F3062)</f>
        <v>1.009</v>
      </c>
      <c r="I3062" s="11">
        <f t="shared" si="76"/>
        <v>0</v>
      </c>
      <c r="J3062" s="9"/>
      <c r="K3062" s="11"/>
      <c r="L3062" s="9"/>
      <c r="M3062" s="11"/>
      <c r="N3062" s="9" t="s">
        <v>811</v>
      </c>
    </row>
    <row r="3063" ht="25" customHeight="1" spans="1:14">
      <c r="A3063" s="9" t="s">
        <v>348</v>
      </c>
      <c r="B3063" s="9" t="s">
        <v>347</v>
      </c>
      <c r="C3063" s="10">
        <v>45673</v>
      </c>
      <c r="D3063" s="15">
        <v>1.009</v>
      </c>
      <c r="E3063" s="15">
        <v>1.009</v>
      </c>
      <c r="F3063" s="15">
        <v>1.009</v>
      </c>
      <c r="G3063" s="11">
        <v>0</v>
      </c>
      <c r="H3063" s="9">
        <f>MAX($F$3008:F3063)</f>
        <v>1.009</v>
      </c>
      <c r="I3063" s="11">
        <f t="shared" si="76"/>
        <v>0</v>
      </c>
      <c r="J3063" s="9"/>
      <c r="K3063" s="11"/>
      <c r="L3063" s="9"/>
      <c r="M3063" s="11"/>
      <c r="N3063" s="9" t="s">
        <v>811</v>
      </c>
    </row>
    <row r="3064" ht="25" customHeight="1" spans="1:14">
      <c r="A3064" s="9" t="s">
        <v>348</v>
      </c>
      <c r="B3064" s="9" t="s">
        <v>347</v>
      </c>
      <c r="C3064" s="10">
        <v>45674</v>
      </c>
      <c r="D3064" s="15">
        <v>1.0092</v>
      </c>
      <c r="E3064" s="15">
        <v>1.0092</v>
      </c>
      <c r="F3064" s="15">
        <v>1.0092</v>
      </c>
      <c r="G3064" s="11">
        <v>0.0002</v>
      </c>
      <c r="H3064" s="9">
        <f>MAX($F$3008:F3064)</f>
        <v>1.0092</v>
      </c>
      <c r="I3064" s="11">
        <f t="shared" si="76"/>
        <v>0</v>
      </c>
      <c r="J3064" s="9"/>
      <c r="K3064" s="11"/>
      <c r="L3064" s="9"/>
      <c r="M3064" s="11"/>
      <c r="N3064" s="9" t="s">
        <v>811</v>
      </c>
    </row>
    <row r="3065" ht="25" customHeight="1" spans="1:14">
      <c r="A3065" s="9" t="s">
        <v>348</v>
      </c>
      <c r="B3065" s="9" t="s">
        <v>347</v>
      </c>
      <c r="C3065" s="10">
        <v>45677</v>
      </c>
      <c r="D3065" s="15">
        <v>1.0093</v>
      </c>
      <c r="E3065" s="15">
        <v>1.0093</v>
      </c>
      <c r="F3065" s="15">
        <v>1.0093</v>
      </c>
      <c r="G3065" s="11">
        <v>0.0001</v>
      </c>
      <c r="H3065" s="9">
        <f>MAX($F$3008:F3065)</f>
        <v>1.0093</v>
      </c>
      <c r="I3065" s="11">
        <f t="shared" si="76"/>
        <v>0</v>
      </c>
      <c r="J3065" s="9"/>
      <c r="K3065" s="11"/>
      <c r="L3065" s="9"/>
      <c r="M3065" s="11"/>
      <c r="N3065" s="9" t="s">
        <v>811</v>
      </c>
    </row>
    <row r="3066" ht="25" customHeight="1" spans="1:14">
      <c r="A3066" s="9" t="s">
        <v>348</v>
      </c>
      <c r="B3066" s="9" t="s">
        <v>347</v>
      </c>
      <c r="C3066" s="10">
        <v>45678</v>
      </c>
      <c r="D3066" s="15">
        <v>1.0094</v>
      </c>
      <c r="E3066" s="15">
        <v>1.0094</v>
      </c>
      <c r="F3066" s="15">
        <v>1.0094</v>
      </c>
      <c r="G3066" s="11">
        <v>0.0001</v>
      </c>
      <c r="H3066" s="9">
        <f>MAX($F$3008:F3066)</f>
        <v>1.0094</v>
      </c>
      <c r="I3066" s="11">
        <f t="shared" si="76"/>
        <v>0</v>
      </c>
      <c r="J3066" s="9"/>
      <c r="K3066" s="11"/>
      <c r="L3066" s="9"/>
      <c r="M3066" s="11"/>
      <c r="N3066" s="9" t="s">
        <v>811</v>
      </c>
    </row>
    <row r="3067" ht="25" customHeight="1" spans="1:14">
      <c r="A3067" s="9" t="s">
        <v>348</v>
      </c>
      <c r="B3067" s="9" t="s">
        <v>347</v>
      </c>
      <c r="C3067" s="10">
        <v>45679</v>
      </c>
      <c r="D3067" s="15">
        <v>1.0094</v>
      </c>
      <c r="E3067" s="15">
        <v>1.0094</v>
      </c>
      <c r="F3067" s="15">
        <v>1.0094</v>
      </c>
      <c r="G3067" s="11">
        <v>0</v>
      </c>
      <c r="H3067" s="9">
        <f>MAX($F$3008:F3067)</f>
        <v>1.0094</v>
      </c>
      <c r="I3067" s="11">
        <f t="shared" si="76"/>
        <v>0</v>
      </c>
      <c r="J3067" s="9"/>
      <c r="K3067" s="11"/>
      <c r="L3067" s="9"/>
      <c r="M3067" s="11"/>
      <c r="N3067" s="9" t="s">
        <v>811</v>
      </c>
    </row>
    <row r="3068" ht="25" customHeight="1" spans="1:14">
      <c r="A3068" s="9" t="s">
        <v>348</v>
      </c>
      <c r="B3068" s="9" t="s">
        <v>347</v>
      </c>
      <c r="C3068" s="10">
        <v>45680</v>
      </c>
      <c r="D3068" s="15">
        <v>1.0094</v>
      </c>
      <c r="E3068" s="15">
        <v>1.0094</v>
      </c>
      <c r="F3068" s="15">
        <v>1.0094</v>
      </c>
      <c r="G3068" s="11">
        <v>0</v>
      </c>
      <c r="H3068" s="9">
        <f>MAX($F$3008:F3068)</f>
        <v>1.0094</v>
      </c>
      <c r="I3068" s="11">
        <f t="shared" si="76"/>
        <v>0</v>
      </c>
      <c r="J3068" s="9"/>
      <c r="K3068" s="11"/>
      <c r="L3068" s="9"/>
      <c r="M3068" s="11"/>
      <c r="N3068" s="9" t="s">
        <v>811</v>
      </c>
    </row>
    <row r="3069" ht="25" customHeight="1" spans="1:14">
      <c r="A3069" s="9" t="s">
        <v>348</v>
      </c>
      <c r="B3069" s="9" t="s">
        <v>347</v>
      </c>
      <c r="C3069" s="10">
        <v>45681</v>
      </c>
      <c r="D3069" s="15">
        <v>1.0097</v>
      </c>
      <c r="E3069" s="15">
        <v>1.0097</v>
      </c>
      <c r="F3069" s="15">
        <v>1.0097</v>
      </c>
      <c r="G3069" s="11">
        <v>0.0003</v>
      </c>
      <c r="H3069" s="9">
        <f>MAX($F$3008:F3069)</f>
        <v>1.0097</v>
      </c>
      <c r="I3069" s="11">
        <f t="shared" si="76"/>
        <v>0</v>
      </c>
      <c r="J3069" s="9"/>
      <c r="K3069" s="11"/>
      <c r="L3069" s="9"/>
      <c r="M3069" s="11"/>
      <c r="N3069" s="9" t="s">
        <v>811</v>
      </c>
    </row>
    <row r="3070" ht="25" customHeight="1" spans="1:14">
      <c r="A3070" s="9" t="s">
        <v>348</v>
      </c>
      <c r="B3070" s="9" t="s">
        <v>347</v>
      </c>
      <c r="C3070" s="10">
        <v>45684</v>
      </c>
      <c r="D3070" s="15">
        <v>1.0097</v>
      </c>
      <c r="E3070" s="15">
        <v>1.0097</v>
      </c>
      <c r="F3070" s="15">
        <v>1.0097</v>
      </c>
      <c r="G3070" s="11">
        <v>0</v>
      </c>
      <c r="H3070" s="9">
        <f>MAX($F$3008:F3070)</f>
        <v>1.0097</v>
      </c>
      <c r="I3070" s="11">
        <f t="shared" si="76"/>
        <v>0</v>
      </c>
      <c r="J3070" s="9"/>
      <c r="K3070" s="11"/>
      <c r="L3070" s="9"/>
      <c r="M3070" s="11"/>
      <c r="N3070" s="9" t="s">
        <v>811</v>
      </c>
    </row>
    <row r="3071" ht="25" customHeight="1" spans="1:14">
      <c r="A3071" s="9" t="s">
        <v>348</v>
      </c>
      <c r="B3071" s="9" t="s">
        <v>347</v>
      </c>
      <c r="C3071" s="10">
        <v>45693</v>
      </c>
      <c r="D3071" s="15">
        <v>1.0104</v>
      </c>
      <c r="E3071" s="15">
        <v>1.0104</v>
      </c>
      <c r="F3071" s="15">
        <v>1.0104</v>
      </c>
      <c r="G3071" s="11">
        <v>0.0007</v>
      </c>
      <c r="H3071" s="9">
        <f>MAX($F$3008:F3071)</f>
        <v>1.0104</v>
      </c>
      <c r="I3071" s="11">
        <f t="shared" si="76"/>
        <v>0</v>
      </c>
      <c r="J3071" s="9"/>
      <c r="K3071" s="11"/>
      <c r="L3071" s="9"/>
      <c r="M3071" s="11"/>
      <c r="N3071" s="9" t="s">
        <v>811</v>
      </c>
    </row>
    <row r="3072" ht="25" customHeight="1" spans="1:14">
      <c r="A3072" s="9" t="s">
        <v>348</v>
      </c>
      <c r="B3072" s="9" t="s">
        <v>347</v>
      </c>
      <c r="C3072" s="10">
        <v>45694</v>
      </c>
      <c r="D3072" s="15">
        <v>1.0108</v>
      </c>
      <c r="E3072" s="15">
        <v>1.0108</v>
      </c>
      <c r="F3072" s="15">
        <v>1.0108</v>
      </c>
      <c r="G3072" s="11">
        <v>0.0004</v>
      </c>
      <c r="H3072" s="9">
        <f>MAX($F$3008:F3072)</f>
        <v>1.0108</v>
      </c>
      <c r="I3072" s="11">
        <f t="shared" si="76"/>
        <v>0</v>
      </c>
      <c r="J3072" s="9"/>
      <c r="K3072" s="11"/>
      <c r="L3072" s="9"/>
      <c r="M3072" s="11"/>
      <c r="N3072" s="9" t="s">
        <v>811</v>
      </c>
    </row>
    <row r="3073" ht="25" customHeight="1" spans="1:14">
      <c r="A3073" s="9" t="s">
        <v>348</v>
      </c>
      <c r="B3073" s="9" t="s">
        <v>347</v>
      </c>
      <c r="C3073" s="10">
        <v>45695</v>
      </c>
      <c r="D3073" s="15">
        <v>1.0108</v>
      </c>
      <c r="E3073" s="15">
        <v>1.0108</v>
      </c>
      <c r="F3073" s="15">
        <v>1.0108</v>
      </c>
      <c r="G3073" s="11">
        <v>0</v>
      </c>
      <c r="H3073" s="9">
        <f>MAX($F$3008:F3073)</f>
        <v>1.0108</v>
      </c>
      <c r="I3073" s="11">
        <f t="shared" si="76"/>
        <v>0</v>
      </c>
      <c r="J3073" s="9"/>
      <c r="K3073" s="11"/>
      <c r="L3073" s="9"/>
      <c r="M3073" s="11"/>
      <c r="N3073" s="9" t="s">
        <v>811</v>
      </c>
    </row>
    <row r="3074" ht="25" customHeight="1" spans="1:14">
      <c r="A3074" s="9" t="s">
        <v>348</v>
      </c>
      <c r="B3074" s="9" t="s">
        <v>347</v>
      </c>
      <c r="C3074" s="10">
        <v>45698</v>
      </c>
      <c r="D3074" s="15">
        <v>1.0109</v>
      </c>
      <c r="E3074" s="15">
        <v>1.0109</v>
      </c>
      <c r="F3074" s="15">
        <v>1.0109</v>
      </c>
      <c r="G3074" s="11">
        <v>0.0001</v>
      </c>
      <c r="H3074" s="9">
        <f>MAX($F$3008:F3074)</f>
        <v>1.0109</v>
      </c>
      <c r="I3074" s="11">
        <f t="shared" ref="I3074:I3137" si="77">1-F3074/H3074</f>
        <v>0</v>
      </c>
      <c r="J3074" s="9"/>
      <c r="K3074" s="11"/>
      <c r="L3074" s="9"/>
      <c r="M3074" s="11"/>
      <c r="N3074" s="9" t="s">
        <v>811</v>
      </c>
    </row>
    <row r="3075" ht="25" customHeight="1" spans="1:14">
      <c r="A3075" s="9" t="s">
        <v>348</v>
      </c>
      <c r="B3075" s="9" t="s">
        <v>347</v>
      </c>
      <c r="C3075" s="10">
        <v>45699</v>
      </c>
      <c r="D3075" s="15">
        <v>1.011</v>
      </c>
      <c r="E3075" s="15">
        <v>1.011</v>
      </c>
      <c r="F3075" s="15">
        <v>1.011</v>
      </c>
      <c r="G3075" s="11">
        <v>0.0001</v>
      </c>
      <c r="H3075" s="9">
        <f>MAX($F$3008:F3075)</f>
        <v>1.011</v>
      </c>
      <c r="I3075" s="11">
        <f t="shared" si="77"/>
        <v>0</v>
      </c>
      <c r="J3075" s="9"/>
      <c r="K3075" s="11"/>
      <c r="L3075" s="9"/>
      <c r="M3075" s="11"/>
      <c r="N3075" s="9" t="s">
        <v>811</v>
      </c>
    </row>
    <row r="3076" ht="25" customHeight="1" spans="1:14">
      <c r="A3076" s="9" t="s">
        <v>348</v>
      </c>
      <c r="B3076" s="9" t="s">
        <v>347</v>
      </c>
      <c r="C3076" s="10">
        <v>45700</v>
      </c>
      <c r="D3076" s="15">
        <v>1.011</v>
      </c>
      <c r="E3076" s="15">
        <v>1.011</v>
      </c>
      <c r="F3076" s="15">
        <v>1.011</v>
      </c>
      <c r="G3076" s="11">
        <v>0</v>
      </c>
      <c r="H3076" s="9">
        <f>MAX($F$3008:F3076)</f>
        <v>1.011</v>
      </c>
      <c r="I3076" s="11">
        <f t="shared" si="77"/>
        <v>0</v>
      </c>
      <c r="J3076" s="9"/>
      <c r="K3076" s="11"/>
      <c r="L3076" s="9"/>
      <c r="M3076" s="11"/>
      <c r="N3076" s="9" t="s">
        <v>811</v>
      </c>
    </row>
    <row r="3077" ht="25" customHeight="1" spans="1:14">
      <c r="A3077" s="9" t="s">
        <v>348</v>
      </c>
      <c r="B3077" s="9" t="s">
        <v>347</v>
      </c>
      <c r="C3077" s="10">
        <v>45701</v>
      </c>
      <c r="D3077" s="15">
        <v>1.0111</v>
      </c>
      <c r="E3077" s="15">
        <v>1.0111</v>
      </c>
      <c r="F3077" s="15">
        <v>1.0111</v>
      </c>
      <c r="G3077" s="11">
        <v>0.0001</v>
      </c>
      <c r="H3077" s="9">
        <f>MAX($F$3008:F3077)</f>
        <v>1.0111</v>
      </c>
      <c r="I3077" s="11">
        <f t="shared" si="77"/>
        <v>0</v>
      </c>
      <c r="J3077" s="9"/>
      <c r="K3077" s="11"/>
      <c r="L3077" s="9"/>
      <c r="M3077" s="11"/>
      <c r="N3077" s="9" t="s">
        <v>811</v>
      </c>
    </row>
    <row r="3078" ht="25" customHeight="1" spans="1:14">
      <c r="A3078" s="9" t="s">
        <v>348</v>
      </c>
      <c r="B3078" s="9" t="s">
        <v>347</v>
      </c>
      <c r="C3078" s="10">
        <v>45702</v>
      </c>
      <c r="D3078" s="15">
        <v>1.0111</v>
      </c>
      <c r="E3078" s="15">
        <v>1.0111</v>
      </c>
      <c r="F3078" s="15">
        <v>1.0111</v>
      </c>
      <c r="G3078" s="11">
        <v>0</v>
      </c>
      <c r="H3078" s="9">
        <f>MAX($F$3008:F3078)</f>
        <v>1.0111</v>
      </c>
      <c r="I3078" s="11">
        <f t="shared" si="77"/>
        <v>0</v>
      </c>
      <c r="J3078" s="9"/>
      <c r="K3078" s="11"/>
      <c r="L3078" s="9"/>
      <c r="M3078" s="11"/>
      <c r="N3078" s="9" t="s">
        <v>811</v>
      </c>
    </row>
    <row r="3079" ht="25" customHeight="1" spans="1:14">
      <c r="A3079" s="9" t="s">
        <v>348</v>
      </c>
      <c r="B3079" s="9" t="s">
        <v>347</v>
      </c>
      <c r="C3079" s="10">
        <v>45705</v>
      </c>
      <c r="D3079" s="15">
        <v>1.0114</v>
      </c>
      <c r="E3079" s="15">
        <v>1.0114</v>
      </c>
      <c r="F3079" s="15">
        <v>1.0114</v>
      </c>
      <c r="G3079" s="11">
        <v>0.0003</v>
      </c>
      <c r="H3079" s="9">
        <f>MAX($F$3008:F3079)</f>
        <v>1.0114</v>
      </c>
      <c r="I3079" s="11">
        <f t="shared" si="77"/>
        <v>0</v>
      </c>
      <c r="J3079" s="9"/>
      <c r="K3079" s="11"/>
      <c r="L3079" s="9"/>
      <c r="M3079" s="11"/>
      <c r="N3079" s="9" t="s">
        <v>811</v>
      </c>
    </row>
    <row r="3080" ht="25" customHeight="1" spans="1:14">
      <c r="A3080" s="9" t="s">
        <v>348</v>
      </c>
      <c r="B3080" s="9" t="s">
        <v>347</v>
      </c>
      <c r="C3080" s="10">
        <v>45706</v>
      </c>
      <c r="D3080" s="15">
        <v>1.0115</v>
      </c>
      <c r="E3080" s="15">
        <v>1.0115</v>
      </c>
      <c r="F3080" s="15">
        <v>1.0115</v>
      </c>
      <c r="G3080" s="11">
        <v>0.0001</v>
      </c>
      <c r="H3080" s="9">
        <f>MAX($F$3008:F3080)</f>
        <v>1.0115</v>
      </c>
      <c r="I3080" s="11">
        <f t="shared" si="77"/>
        <v>0</v>
      </c>
      <c r="J3080" s="9"/>
      <c r="K3080" s="11"/>
      <c r="L3080" s="9"/>
      <c r="M3080" s="11"/>
      <c r="N3080" s="9" t="s">
        <v>811</v>
      </c>
    </row>
    <row r="3081" ht="25" customHeight="1" spans="1:14">
      <c r="A3081" s="9" t="s">
        <v>348</v>
      </c>
      <c r="B3081" s="9" t="s">
        <v>347</v>
      </c>
      <c r="C3081" s="10">
        <v>45707</v>
      </c>
      <c r="D3081" s="15">
        <v>1.0116</v>
      </c>
      <c r="E3081" s="15">
        <v>1.0116</v>
      </c>
      <c r="F3081" s="15">
        <v>1.0116</v>
      </c>
      <c r="G3081" s="11">
        <v>0.0001</v>
      </c>
      <c r="H3081" s="9">
        <f>MAX($F$3008:F3081)</f>
        <v>1.0116</v>
      </c>
      <c r="I3081" s="11">
        <f t="shared" si="77"/>
        <v>0</v>
      </c>
      <c r="J3081" s="9"/>
      <c r="K3081" s="11"/>
      <c r="L3081" s="9"/>
      <c r="M3081" s="11"/>
      <c r="N3081" s="9" t="s">
        <v>811</v>
      </c>
    </row>
    <row r="3082" ht="25" customHeight="1" spans="1:14">
      <c r="A3082" s="9" t="s">
        <v>348</v>
      </c>
      <c r="B3082" s="9" t="s">
        <v>347</v>
      </c>
      <c r="C3082" s="10">
        <v>45708</v>
      </c>
      <c r="D3082" s="15">
        <v>1.0102</v>
      </c>
      <c r="E3082" s="15">
        <v>1.0102</v>
      </c>
      <c r="F3082" s="15">
        <v>1.0102</v>
      </c>
      <c r="G3082" s="11">
        <v>-0.0014</v>
      </c>
      <c r="H3082" s="9">
        <f>MAX($F$3008:F3082)</f>
        <v>1.0116</v>
      </c>
      <c r="I3082" s="11">
        <f t="shared" si="77"/>
        <v>0.00138394622380389</v>
      </c>
      <c r="J3082" s="9"/>
      <c r="K3082" s="11"/>
      <c r="L3082" s="9"/>
      <c r="M3082" s="11"/>
      <c r="N3082" s="9" t="s">
        <v>811</v>
      </c>
    </row>
    <row r="3083" ht="25" customHeight="1" spans="1:14">
      <c r="A3083" s="9" t="s">
        <v>348</v>
      </c>
      <c r="B3083" s="9" t="s">
        <v>347</v>
      </c>
      <c r="C3083" s="10">
        <v>45709</v>
      </c>
      <c r="D3083" s="15">
        <v>1.0095</v>
      </c>
      <c r="E3083" s="15">
        <v>1.0095</v>
      </c>
      <c r="F3083" s="15">
        <v>1.0095</v>
      </c>
      <c r="G3083" s="11">
        <v>-0.0007</v>
      </c>
      <c r="H3083" s="9">
        <f>MAX($F$3008:F3083)</f>
        <v>1.0116</v>
      </c>
      <c r="I3083" s="11">
        <f t="shared" si="77"/>
        <v>0.00207591933570583</v>
      </c>
      <c r="J3083" s="9"/>
      <c r="K3083" s="11"/>
      <c r="L3083" s="9"/>
      <c r="M3083" s="11"/>
      <c r="N3083" s="9" t="s">
        <v>811</v>
      </c>
    </row>
    <row r="3084" ht="25" customHeight="1" spans="1:14">
      <c r="A3084" s="9" t="s">
        <v>348</v>
      </c>
      <c r="B3084" s="9" t="s">
        <v>347</v>
      </c>
      <c r="C3084" s="10">
        <v>45712</v>
      </c>
      <c r="D3084" s="15">
        <v>1.0096</v>
      </c>
      <c r="E3084" s="15">
        <v>1.0096</v>
      </c>
      <c r="F3084" s="15">
        <v>1.0096</v>
      </c>
      <c r="G3084" s="11">
        <v>0.0001</v>
      </c>
      <c r="H3084" s="9">
        <f>MAX($F$3008:F3084)</f>
        <v>1.0116</v>
      </c>
      <c r="I3084" s="11">
        <f t="shared" si="77"/>
        <v>0.00197706603400549</v>
      </c>
      <c r="J3084" s="9"/>
      <c r="K3084" s="11"/>
      <c r="L3084" s="9"/>
      <c r="M3084" s="11"/>
      <c r="N3084" s="9" t="s">
        <v>811</v>
      </c>
    </row>
    <row r="3085" ht="25" customHeight="1" spans="1:14">
      <c r="A3085" s="9" t="s">
        <v>348</v>
      </c>
      <c r="B3085" s="9" t="s">
        <v>347</v>
      </c>
      <c r="C3085" s="10">
        <v>45713</v>
      </c>
      <c r="D3085" s="15">
        <v>1.0096</v>
      </c>
      <c r="E3085" s="15">
        <v>1.0096</v>
      </c>
      <c r="F3085" s="15">
        <v>1.0096</v>
      </c>
      <c r="G3085" s="11">
        <v>0</v>
      </c>
      <c r="H3085" s="9">
        <f>MAX($F$3008:F3085)</f>
        <v>1.0116</v>
      </c>
      <c r="I3085" s="11">
        <f t="shared" si="77"/>
        <v>0.00197706603400549</v>
      </c>
      <c r="J3085" s="9"/>
      <c r="K3085" s="11"/>
      <c r="L3085" s="9"/>
      <c r="M3085" s="11"/>
      <c r="N3085" s="9" t="s">
        <v>811</v>
      </c>
    </row>
    <row r="3086" ht="25" customHeight="1" spans="1:14">
      <c r="A3086" s="9" t="s">
        <v>348</v>
      </c>
      <c r="B3086" s="9" t="s">
        <v>347</v>
      </c>
      <c r="C3086" s="10">
        <v>45714</v>
      </c>
      <c r="D3086" s="15">
        <v>1.0095</v>
      </c>
      <c r="E3086" s="15">
        <v>1.0095</v>
      </c>
      <c r="F3086" s="15">
        <v>1.0095</v>
      </c>
      <c r="G3086" s="11">
        <v>-0.0001</v>
      </c>
      <c r="H3086" s="9">
        <f>MAX($F$3008:F3086)</f>
        <v>1.0116</v>
      </c>
      <c r="I3086" s="11">
        <f t="shared" si="77"/>
        <v>0.00207591933570583</v>
      </c>
      <c r="J3086" s="9"/>
      <c r="K3086" s="11"/>
      <c r="L3086" s="9"/>
      <c r="M3086" s="11"/>
      <c r="N3086" s="9" t="s">
        <v>811</v>
      </c>
    </row>
    <row r="3087" ht="25" customHeight="1" spans="1:14">
      <c r="A3087" s="9" t="s">
        <v>348</v>
      </c>
      <c r="B3087" s="9" t="s">
        <v>347</v>
      </c>
      <c r="C3087" s="10">
        <v>45715</v>
      </c>
      <c r="D3087" s="15">
        <v>1.0108</v>
      </c>
      <c r="E3087" s="15">
        <v>1.0108</v>
      </c>
      <c r="F3087" s="15">
        <v>1.0108</v>
      </c>
      <c r="G3087" s="11">
        <v>0.0013</v>
      </c>
      <c r="H3087" s="9">
        <f>MAX($F$3008:F3087)</f>
        <v>1.0116</v>
      </c>
      <c r="I3087" s="11">
        <f t="shared" si="77"/>
        <v>0.000790826413602397</v>
      </c>
      <c r="J3087" s="9"/>
      <c r="K3087" s="11"/>
      <c r="L3087" s="9"/>
      <c r="M3087" s="11"/>
      <c r="N3087" s="9" t="s">
        <v>811</v>
      </c>
    </row>
    <row r="3088" ht="25" customHeight="1" spans="1:14">
      <c r="A3088" s="9" t="s">
        <v>348</v>
      </c>
      <c r="B3088" s="9" t="s">
        <v>347</v>
      </c>
      <c r="C3088" s="10">
        <v>45716</v>
      </c>
      <c r="D3088" s="15">
        <v>1.0114</v>
      </c>
      <c r="E3088" s="15">
        <v>1.0114</v>
      </c>
      <c r="F3088" s="15">
        <v>1.0114</v>
      </c>
      <c r="G3088" s="11">
        <v>0.0006</v>
      </c>
      <c r="H3088" s="9">
        <f>MAX($F$3008:F3088)</f>
        <v>1.0116</v>
      </c>
      <c r="I3088" s="11">
        <f t="shared" si="77"/>
        <v>0.000197706603400571</v>
      </c>
      <c r="J3088" s="9"/>
      <c r="K3088" s="11"/>
      <c r="L3088" s="9"/>
      <c r="M3088" s="11"/>
      <c r="N3088" s="9" t="s">
        <v>811</v>
      </c>
    </row>
    <row r="3089" ht="25" customHeight="1" spans="1:14">
      <c r="A3089" s="9" t="s">
        <v>348</v>
      </c>
      <c r="B3089" s="9" t="s">
        <v>347</v>
      </c>
      <c r="C3089" s="10">
        <v>45719</v>
      </c>
      <c r="D3089" s="15">
        <v>1.0081</v>
      </c>
      <c r="E3089" s="15">
        <v>1.0081</v>
      </c>
      <c r="F3089" s="15">
        <v>1.0081</v>
      </c>
      <c r="G3089" s="11">
        <v>-0.0033</v>
      </c>
      <c r="H3089" s="9">
        <f>MAX($F$3008:F3089)</f>
        <v>1.0116</v>
      </c>
      <c r="I3089" s="11">
        <f t="shared" si="77"/>
        <v>0.00345986555950972</v>
      </c>
      <c r="J3089" s="9"/>
      <c r="K3089" s="11"/>
      <c r="L3089" s="9"/>
      <c r="M3089" s="11"/>
      <c r="N3089" s="9" t="s">
        <v>811</v>
      </c>
    </row>
    <row r="3090" ht="25" customHeight="1" spans="1:14">
      <c r="A3090" s="9" t="s">
        <v>348</v>
      </c>
      <c r="B3090" s="9" t="s">
        <v>347</v>
      </c>
      <c r="C3090" s="10">
        <v>45720</v>
      </c>
      <c r="D3090" s="15">
        <v>1.0117</v>
      </c>
      <c r="E3090" s="15">
        <v>1.0117</v>
      </c>
      <c r="F3090" s="15">
        <v>1.0117</v>
      </c>
      <c r="G3090" s="11">
        <v>0.0036</v>
      </c>
      <c r="H3090" s="9">
        <f>MAX($F$3008:F3090)</f>
        <v>1.0117</v>
      </c>
      <c r="I3090" s="11">
        <f t="shared" si="77"/>
        <v>0</v>
      </c>
      <c r="J3090" s="9"/>
      <c r="K3090" s="11"/>
      <c r="L3090" s="9"/>
      <c r="M3090" s="11"/>
      <c r="N3090" s="9" t="s">
        <v>811</v>
      </c>
    </row>
    <row r="3091" ht="25" customHeight="1" spans="1:14">
      <c r="A3091" s="9" t="s">
        <v>348</v>
      </c>
      <c r="B3091" s="9" t="s">
        <v>347</v>
      </c>
      <c r="C3091" s="10">
        <v>45721</v>
      </c>
      <c r="D3091" s="15">
        <v>1.0119</v>
      </c>
      <c r="E3091" s="15">
        <v>1.0119</v>
      </c>
      <c r="F3091" s="15">
        <v>1.0119</v>
      </c>
      <c r="G3091" s="11">
        <v>0.0002</v>
      </c>
      <c r="H3091" s="9">
        <f>MAX($F$3008:F3091)</f>
        <v>1.0119</v>
      </c>
      <c r="I3091" s="11">
        <f t="shared" si="77"/>
        <v>0</v>
      </c>
      <c r="J3091" s="9"/>
      <c r="K3091" s="11"/>
      <c r="L3091" s="9"/>
      <c r="M3091" s="11"/>
      <c r="N3091" s="9" t="s">
        <v>811</v>
      </c>
    </row>
    <row r="3092" ht="25" customHeight="1" spans="1:14">
      <c r="A3092" s="9" t="s">
        <v>348</v>
      </c>
      <c r="B3092" s="9" t="s">
        <v>347</v>
      </c>
      <c r="C3092" s="10">
        <v>45722</v>
      </c>
      <c r="D3092" s="15">
        <v>1.0113</v>
      </c>
      <c r="E3092" s="15">
        <v>1.0113</v>
      </c>
      <c r="F3092" s="15">
        <v>1.0113</v>
      </c>
      <c r="G3092" s="11">
        <v>-0.0006</v>
      </c>
      <c r="H3092" s="9">
        <f>MAX($F$3008:F3092)</f>
        <v>1.0119</v>
      </c>
      <c r="I3092" s="11">
        <f t="shared" si="77"/>
        <v>0.000592943966795101</v>
      </c>
      <c r="J3092" s="9"/>
      <c r="K3092" s="11"/>
      <c r="L3092" s="9"/>
      <c r="M3092" s="11"/>
      <c r="N3092" s="9" t="s">
        <v>811</v>
      </c>
    </row>
    <row r="3093" ht="25" customHeight="1" spans="1:14">
      <c r="A3093" s="9" t="s">
        <v>348</v>
      </c>
      <c r="B3093" s="9" t="s">
        <v>347</v>
      </c>
      <c r="C3093" s="10">
        <v>45723</v>
      </c>
      <c r="D3093" s="15">
        <v>1.0118</v>
      </c>
      <c r="E3093" s="15">
        <v>1.0118</v>
      </c>
      <c r="F3093" s="15">
        <v>1.0118</v>
      </c>
      <c r="G3093" s="11">
        <v>0.0005</v>
      </c>
      <c r="H3093" s="9">
        <f>MAX($F$3008:F3093)</f>
        <v>1.0119</v>
      </c>
      <c r="I3093" s="11">
        <f t="shared" si="77"/>
        <v>9.88239944658131e-5</v>
      </c>
      <c r="J3093" s="9"/>
      <c r="K3093" s="11"/>
      <c r="L3093" s="9"/>
      <c r="M3093" s="11"/>
      <c r="N3093" s="9" t="s">
        <v>811</v>
      </c>
    </row>
    <row r="3094" ht="25" customHeight="1" spans="1:14">
      <c r="A3094" s="9" t="s">
        <v>348</v>
      </c>
      <c r="B3094" s="9" t="s">
        <v>347</v>
      </c>
      <c r="C3094" s="10">
        <v>45726</v>
      </c>
      <c r="D3094" s="15">
        <v>1.0117</v>
      </c>
      <c r="E3094" s="15">
        <v>1.0117</v>
      </c>
      <c r="F3094" s="15">
        <v>1.0117</v>
      </c>
      <c r="G3094" s="11">
        <v>-0.0001</v>
      </c>
      <c r="H3094" s="9">
        <f>MAX($F$3008:F3094)</f>
        <v>1.0119</v>
      </c>
      <c r="I3094" s="11">
        <f t="shared" si="77"/>
        <v>0.000197647988931737</v>
      </c>
      <c r="J3094" s="9"/>
      <c r="K3094" s="11"/>
      <c r="L3094" s="9"/>
      <c r="M3094" s="11"/>
      <c r="N3094" s="9" t="s">
        <v>811</v>
      </c>
    </row>
    <row r="3095" ht="25" customHeight="1" spans="1:14">
      <c r="A3095" s="9" t="s">
        <v>348</v>
      </c>
      <c r="B3095" s="9" t="s">
        <v>347</v>
      </c>
      <c r="C3095" s="10">
        <v>45727</v>
      </c>
      <c r="D3095" s="15">
        <v>1.0123</v>
      </c>
      <c r="E3095" s="15">
        <v>1.0123</v>
      </c>
      <c r="F3095" s="15">
        <v>1.0123</v>
      </c>
      <c r="G3095" s="11">
        <v>0.0006</v>
      </c>
      <c r="H3095" s="9">
        <f>MAX($F$3008:F3095)</f>
        <v>1.0123</v>
      </c>
      <c r="I3095" s="11">
        <f t="shared" si="77"/>
        <v>0</v>
      </c>
      <c r="J3095" s="9"/>
      <c r="K3095" s="11"/>
      <c r="L3095" s="9"/>
      <c r="M3095" s="11"/>
      <c r="N3095" s="9" t="s">
        <v>811</v>
      </c>
    </row>
    <row r="3096" ht="25" customHeight="1" spans="1:14">
      <c r="A3096" s="9" t="s">
        <v>348</v>
      </c>
      <c r="B3096" s="9" t="s">
        <v>347</v>
      </c>
      <c r="C3096" s="10">
        <v>45728</v>
      </c>
      <c r="D3096" s="15">
        <v>1.0125</v>
      </c>
      <c r="E3096" s="15">
        <v>1.0125</v>
      </c>
      <c r="F3096" s="15">
        <v>1.0125</v>
      </c>
      <c r="G3096" s="11">
        <v>0.0002</v>
      </c>
      <c r="H3096" s="9">
        <f>MAX($F$3008:F3096)</f>
        <v>1.0125</v>
      </c>
      <c r="I3096" s="11">
        <f t="shared" si="77"/>
        <v>0</v>
      </c>
      <c r="J3096" s="9"/>
      <c r="K3096" s="11"/>
      <c r="L3096" s="9"/>
      <c r="M3096" s="11"/>
      <c r="N3096" s="9" t="s">
        <v>811</v>
      </c>
    </row>
    <row r="3097" ht="25" customHeight="1" spans="1:14">
      <c r="A3097" s="9" t="s">
        <v>348</v>
      </c>
      <c r="B3097" s="9" t="s">
        <v>347</v>
      </c>
      <c r="C3097" s="10">
        <v>45729</v>
      </c>
      <c r="D3097" s="15">
        <v>1.0136</v>
      </c>
      <c r="E3097" s="15">
        <v>1.0136</v>
      </c>
      <c r="F3097" s="15">
        <v>1.0136</v>
      </c>
      <c r="G3097" s="11">
        <v>0.0011</v>
      </c>
      <c r="H3097" s="9">
        <f>MAX($F$3008:F3097)</f>
        <v>1.0136</v>
      </c>
      <c r="I3097" s="11">
        <f t="shared" si="77"/>
        <v>0</v>
      </c>
      <c r="J3097" s="9"/>
      <c r="K3097" s="11"/>
      <c r="L3097" s="9"/>
      <c r="M3097" s="11"/>
      <c r="N3097" s="9" t="s">
        <v>811</v>
      </c>
    </row>
    <row r="3098" ht="25" customHeight="1" spans="1:14">
      <c r="A3098" s="9" t="s">
        <v>348</v>
      </c>
      <c r="B3098" s="9" t="s">
        <v>347</v>
      </c>
      <c r="C3098" s="10">
        <v>45730</v>
      </c>
      <c r="D3098" s="15">
        <v>1.0124</v>
      </c>
      <c r="E3098" s="15">
        <v>1.0124</v>
      </c>
      <c r="F3098" s="15">
        <v>1.0124</v>
      </c>
      <c r="G3098" s="11">
        <v>-0.0012</v>
      </c>
      <c r="H3098" s="9">
        <f>MAX($F$3008:F3098)</f>
        <v>1.0136</v>
      </c>
      <c r="I3098" s="11">
        <f t="shared" si="77"/>
        <v>0.00118389897395432</v>
      </c>
      <c r="J3098" s="9"/>
      <c r="K3098" s="11"/>
      <c r="L3098" s="9"/>
      <c r="M3098" s="11"/>
      <c r="N3098" s="9" t="s">
        <v>811</v>
      </c>
    </row>
    <row r="3099" ht="25" customHeight="1" spans="1:14">
      <c r="A3099" s="9" t="s">
        <v>348</v>
      </c>
      <c r="B3099" s="9" t="s">
        <v>347</v>
      </c>
      <c r="C3099" s="10">
        <v>45733</v>
      </c>
      <c r="D3099" s="15">
        <v>1.0125</v>
      </c>
      <c r="E3099" s="15">
        <v>1.0125</v>
      </c>
      <c r="F3099" s="15">
        <v>1.0125</v>
      </c>
      <c r="G3099" s="11">
        <v>0.0001</v>
      </c>
      <c r="H3099" s="9">
        <f>MAX($F$3008:F3099)</f>
        <v>1.0136</v>
      </c>
      <c r="I3099" s="11">
        <f t="shared" si="77"/>
        <v>0.00108524072612481</v>
      </c>
      <c r="J3099" s="9"/>
      <c r="K3099" s="11"/>
      <c r="L3099" s="9"/>
      <c r="M3099" s="11"/>
      <c r="N3099" s="9" t="s">
        <v>811</v>
      </c>
    </row>
    <row r="3100" ht="25" customHeight="1" spans="1:14">
      <c r="A3100" s="9" t="s">
        <v>348</v>
      </c>
      <c r="B3100" s="9" t="s">
        <v>347</v>
      </c>
      <c r="C3100" s="10">
        <v>45734</v>
      </c>
      <c r="D3100" s="15">
        <v>1.013</v>
      </c>
      <c r="E3100" s="15">
        <v>1.013</v>
      </c>
      <c r="F3100" s="15">
        <v>1.013</v>
      </c>
      <c r="G3100" s="11">
        <v>0.0005</v>
      </c>
      <c r="H3100" s="9">
        <f>MAX($F$3008:F3100)</f>
        <v>1.0136</v>
      </c>
      <c r="I3100" s="11">
        <f t="shared" si="77"/>
        <v>0.000591949486977272</v>
      </c>
      <c r="J3100" s="9"/>
      <c r="K3100" s="11"/>
      <c r="L3100" s="9"/>
      <c r="M3100" s="11"/>
      <c r="N3100" s="9" t="s">
        <v>811</v>
      </c>
    </row>
    <row r="3101" ht="25" customHeight="1" spans="1:14">
      <c r="A3101" s="9" t="s">
        <v>348</v>
      </c>
      <c r="B3101" s="9" t="s">
        <v>347</v>
      </c>
      <c r="C3101" s="10">
        <v>45735</v>
      </c>
      <c r="D3101" s="15">
        <v>1.0123</v>
      </c>
      <c r="E3101" s="15">
        <v>1.0123</v>
      </c>
      <c r="F3101" s="15">
        <v>1.0123</v>
      </c>
      <c r="G3101" s="11">
        <v>-0.0007</v>
      </c>
      <c r="H3101" s="9">
        <f>MAX($F$3008:F3101)</f>
        <v>1.0136</v>
      </c>
      <c r="I3101" s="11">
        <f t="shared" si="77"/>
        <v>0.00128255722178383</v>
      </c>
      <c r="J3101" s="9"/>
      <c r="K3101" s="11"/>
      <c r="L3101" s="9"/>
      <c r="M3101" s="11"/>
      <c r="N3101" s="9" t="s">
        <v>811</v>
      </c>
    </row>
    <row r="3102" ht="25" customHeight="1" spans="1:14">
      <c r="A3102" s="9" t="s">
        <v>348</v>
      </c>
      <c r="B3102" s="9" t="s">
        <v>347</v>
      </c>
      <c r="C3102" s="10">
        <v>45736</v>
      </c>
      <c r="D3102" s="15">
        <v>1.0128</v>
      </c>
      <c r="E3102" s="15">
        <v>1.0128</v>
      </c>
      <c r="F3102" s="15">
        <v>1.0128</v>
      </c>
      <c r="G3102" s="11">
        <v>0.0005</v>
      </c>
      <c r="H3102" s="9">
        <f>MAX($F$3008:F3102)</f>
        <v>1.0136</v>
      </c>
      <c r="I3102" s="11">
        <f t="shared" si="77"/>
        <v>0.000789265982636289</v>
      </c>
      <c r="J3102" s="9"/>
      <c r="K3102" s="11"/>
      <c r="L3102" s="9"/>
      <c r="M3102" s="11"/>
      <c r="N3102" s="9" t="s">
        <v>811</v>
      </c>
    </row>
    <row r="3103" ht="25" customHeight="1" spans="1:14">
      <c r="A3103" s="9" t="s">
        <v>348</v>
      </c>
      <c r="B3103" s="9" t="s">
        <v>347</v>
      </c>
      <c r="C3103" s="10">
        <v>45737</v>
      </c>
      <c r="D3103" s="15">
        <v>1.0181</v>
      </c>
      <c r="E3103" s="15">
        <v>1.0181</v>
      </c>
      <c r="F3103" s="15">
        <v>1.0181</v>
      </c>
      <c r="G3103" s="11">
        <v>0.0052</v>
      </c>
      <c r="H3103" s="9">
        <f>MAX($F$3008:F3103)</f>
        <v>1.0181</v>
      </c>
      <c r="I3103" s="11">
        <f t="shared" si="77"/>
        <v>0</v>
      </c>
      <c r="J3103" s="9"/>
      <c r="K3103" s="11"/>
      <c r="L3103" s="9"/>
      <c r="M3103" s="11"/>
      <c r="N3103" s="9" t="s">
        <v>811</v>
      </c>
    </row>
    <row r="3104" ht="25" customHeight="1" spans="1:14">
      <c r="A3104" s="9" t="s">
        <v>348</v>
      </c>
      <c r="B3104" s="9" t="s">
        <v>347</v>
      </c>
      <c r="C3104" s="10">
        <v>45740</v>
      </c>
      <c r="D3104" s="15">
        <v>1.0186</v>
      </c>
      <c r="E3104" s="15">
        <v>1.0186</v>
      </c>
      <c r="F3104" s="15">
        <v>1.0186</v>
      </c>
      <c r="G3104" s="11">
        <v>0.0005</v>
      </c>
      <c r="H3104" s="9">
        <f>MAX($F$3008:F3104)</f>
        <v>1.0186</v>
      </c>
      <c r="I3104" s="11">
        <f t="shared" si="77"/>
        <v>0</v>
      </c>
      <c r="J3104" s="9"/>
      <c r="K3104" s="11"/>
      <c r="L3104" s="9"/>
      <c r="M3104" s="11"/>
      <c r="N3104" s="9" t="s">
        <v>811</v>
      </c>
    </row>
    <row r="3105" ht="25" customHeight="1" spans="1:14">
      <c r="A3105" s="9" t="s">
        <v>348</v>
      </c>
      <c r="B3105" s="9" t="s">
        <v>347</v>
      </c>
      <c r="C3105" s="10">
        <v>45741</v>
      </c>
      <c r="D3105" s="15">
        <v>1.0187</v>
      </c>
      <c r="E3105" s="15">
        <v>1.0187</v>
      </c>
      <c r="F3105" s="15">
        <v>1.0187</v>
      </c>
      <c r="G3105" s="11">
        <v>0.0001</v>
      </c>
      <c r="H3105" s="9">
        <f>MAX($F$3008:F3105)</f>
        <v>1.0187</v>
      </c>
      <c r="I3105" s="11">
        <f t="shared" si="77"/>
        <v>0</v>
      </c>
      <c r="J3105" s="9"/>
      <c r="K3105" s="11"/>
      <c r="L3105" s="9"/>
      <c r="M3105" s="11"/>
      <c r="N3105" s="9" t="s">
        <v>811</v>
      </c>
    </row>
    <row r="3106" ht="25" customHeight="1" spans="1:14">
      <c r="A3106" s="9" t="s">
        <v>348</v>
      </c>
      <c r="B3106" s="9" t="s">
        <v>347</v>
      </c>
      <c r="C3106" s="10">
        <v>45742</v>
      </c>
      <c r="D3106" s="15">
        <v>1.0176</v>
      </c>
      <c r="E3106" s="15">
        <v>1.0176</v>
      </c>
      <c r="F3106" s="15">
        <v>1.0176</v>
      </c>
      <c r="G3106" s="11">
        <v>-0.0011</v>
      </c>
      <c r="H3106" s="9">
        <f>MAX($F$3008:F3106)</f>
        <v>1.0187</v>
      </c>
      <c r="I3106" s="11">
        <f t="shared" si="77"/>
        <v>0.00107980759791881</v>
      </c>
      <c r="J3106" s="9"/>
      <c r="K3106" s="11"/>
      <c r="L3106" s="9"/>
      <c r="M3106" s="11"/>
      <c r="N3106" s="9" t="s">
        <v>811</v>
      </c>
    </row>
    <row r="3107" ht="25" customHeight="1" spans="1:14">
      <c r="A3107" s="9" t="s">
        <v>348</v>
      </c>
      <c r="B3107" s="9" t="s">
        <v>347</v>
      </c>
      <c r="C3107" s="10">
        <v>45743</v>
      </c>
      <c r="D3107" s="15">
        <v>1.0201</v>
      </c>
      <c r="E3107" s="15">
        <v>1.0201</v>
      </c>
      <c r="F3107" s="15">
        <v>1.0201</v>
      </c>
      <c r="G3107" s="11">
        <v>0.0025</v>
      </c>
      <c r="H3107" s="9">
        <f>MAX($F$3008:F3107)</f>
        <v>1.0201</v>
      </c>
      <c r="I3107" s="11">
        <f t="shared" si="77"/>
        <v>0</v>
      </c>
      <c r="J3107" s="9"/>
      <c r="K3107" s="11"/>
      <c r="L3107" s="9"/>
      <c r="M3107" s="11"/>
      <c r="N3107" s="9" t="s">
        <v>811</v>
      </c>
    </row>
    <row r="3108" ht="25" customHeight="1" spans="1:14">
      <c r="A3108" s="9" t="s">
        <v>348</v>
      </c>
      <c r="B3108" s="9" t="s">
        <v>347</v>
      </c>
      <c r="C3108" s="10">
        <v>45744</v>
      </c>
      <c r="D3108" s="15">
        <v>1.0178</v>
      </c>
      <c r="E3108" s="15">
        <v>1.0178</v>
      </c>
      <c r="F3108" s="15">
        <v>1.0178</v>
      </c>
      <c r="G3108" s="11">
        <v>-0.0023</v>
      </c>
      <c r="H3108" s="9">
        <f>MAX($F$3008:F3108)</f>
        <v>1.0201</v>
      </c>
      <c r="I3108" s="11">
        <f t="shared" si="77"/>
        <v>0.0022546809136359</v>
      </c>
      <c r="J3108" s="9"/>
      <c r="K3108" s="11"/>
      <c r="L3108" s="9"/>
      <c r="M3108" s="11"/>
      <c r="N3108" s="9" t="s">
        <v>811</v>
      </c>
    </row>
    <row r="3109" ht="25" customHeight="1" spans="1:14">
      <c r="A3109" s="9" t="s">
        <v>348</v>
      </c>
      <c r="B3109" s="9" t="s">
        <v>347</v>
      </c>
      <c r="C3109" s="10">
        <v>45747</v>
      </c>
      <c r="D3109" s="15">
        <v>1.018</v>
      </c>
      <c r="E3109" s="15">
        <v>1.018</v>
      </c>
      <c r="F3109" s="15">
        <v>1.018</v>
      </c>
      <c r="G3109" s="11">
        <v>0.0002</v>
      </c>
      <c r="H3109" s="9">
        <f>MAX($F$3008:F3109)</f>
        <v>1.0201</v>
      </c>
      <c r="I3109" s="11">
        <f t="shared" si="77"/>
        <v>0.00205862170375448</v>
      </c>
      <c r="J3109" s="9"/>
      <c r="K3109" s="11"/>
      <c r="L3109" s="9"/>
      <c r="M3109" s="11"/>
      <c r="N3109" s="9" t="s">
        <v>811</v>
      </c>
    </row>
    <row r="3110" ht="25" customHeight="1" spans="1:14">
      <c r="A3110" s="9" t="s">
        <v>348</v>
      </c>
      <c r="B3110" s="9" t="s">
        <v>347</v>
      </c>
      <c r="C3110" s="10">
        <v>45748</v>
      </c>
      <c r="D3110" s="15">
        <v>1.0187</v>
      </c>
      <c r="E3110" s="15">
        <v>1.0187</v>
      </c>
      <c r="F3110" s="15">
        <v>1.0187</v>
      </c>
      <c r="G3110" s="11">
        <v>0.0007</v>
      </c>
      <c r="H3110" s="9">
        <f>MAX($F$3008:F3110)</f>
        <v>1.0201</v>
      </c>
      <c r="I3110" s="11">
        <f t="shared" si="77"/>
        <v>0.0013724144691698</v>
      </c>
      <c r="J3110" s="9"/>
      <c r="K3110" s="11"/>
      <c r="L3110" s="9"/>
      <c r="M3110" s="11"/>
      <c r="N3110" s="9" t="s">
        <v>811</v>
      </c>
    </row>
    <row r="3111" ht="25" customHeight="1" spans="1:14">
      <c r="A3111" s="9" t="s">
        <v>348</v>
      </c>
      <c r="B3111" s="9" t="s">
        <v>347</v>
      </c>
      <c r="C3111" s="10">
        <v>45749</v>
      </c>
      <c r="D3111" s="15">
        <v>1.0195</v>
      </c>
      <c r="E3111" s="15">
        <v>1.0195</v>
      </c>
      <c r="F3111" s="15">
        <v>1.0195</v>
      </c>
      <c r="G3111" s="11">
        <v>0.0008</v>
      </c>
      <c r="H3111" s="9">
        <f>MAX($F$3008:F3111)</f>
        <v>1.0201</v>
      </c>
      <c r="I3111" s="11">
        <f t="shared" si="77"/>
        <v>0.000588177629644138</v>
      </c>
      <c r="J3111" s="9"/>
      <c r="K3111" s="11"/>
      <c r="L3111" s="9"/>
      <c r="M3111" s="11"/>
      <c r="N3111" s="9" t="s">
        <v>811</v>
      </c>
    </row>
    <row r="3112" ht="25" customHeight="1" spans="1:14">
      <c r="A3112" s="9" t="s">
        <v>348</v>
      </c>
      <c r="B3112" s="9" t="s">
        <v>347</v>
      </c>
      <c r="C3112" s="10">
        <v>45750</v>
      </c>
      <c r="D3112" s="15">
        <v>1.0218</v>
      </c>
      <c r="E3112" s="15">
        <v>1.0218</v>
      </c>
      <c r="F3112" s="15">
        <v>1.0218</v>
      </c>
      <c r="G3112" s="11">
        <v>0.0023</v>
      </c>
      <c r="H3112" s="9">
        <f>MAX($F$3008:F3112)</f>
        <v>1.0218</v>
      </c>
      <c r="I3112" s="11">
        <f t="shared" si="77"/>
        <v>0</v>
      </c>
      <c r="J3112" s="9"/>
      <c r="K3112" s="11"/>
      <c r="L3112" s="9"/>
      <c r="M3112" s="11"/>
      <c r="N3112" s="9" t="s">
        <v>811</v>
      </c>
    </row>
    <row r="3113" ht="25" customHeight="1" spans="1:14">
      <c r="A3113" s="9" t="s">
        <v>348</v>
      </c>
      <c r="B3113" s="9" t="s">
        <v>347</v>
      </c>
      <c r="C3113" s="10">
        <v>45754</v>
      </c>
      <c r="D3113" s="15">
        <v>1.0279</v>
      </c>
      <c r="E3113" s="15">
        <v>1.0279</v>
      </c>
      <c r="F3113" s="15">
        <v>1.0279</v>
      </c>
      <c r="G3113" s="11">
        <v>0.006</v>
      </c>
      <c r="H3113" s="9">
        <f>MAX($F$3008:F3113)</f>
        <v>1.0279</v>
      </c>
      <c r="I3113" s="11">
        <f t="shared" si="77"/>
        <v>0</v>
      </c>
      <c r="J3113" s="9"/>
      <c r="K3113" s="11"/>
      <c r="L3113" s="9"/>
      <c r="M3113" s="11"/>
      <c r="N3113" s="9" t="s">
        <v>811</v>
      </c>
    </row>
    <row r="3114" ht="25" customHeight="1" spans="1:14">
      <c r="A3114" s="9" t="s">
        <v>348</v>
      </c>
      <c r="B3114" s="9" t="s">
        <v>347</v>
      </c>
      <c r="C3114" s="10">
        <v>45755</v>
      </c>
      <c r="D3114" s="15">
        <v>1.0284</v>
      </c>
      <c r="E3114" s="15">
        <v>1.0284</v>
      </c>
      <c r="F3114" s="15">
        <v>1.0284</v>
      </c>
      <c r="G3114" s="11">
        <v>0.0005</v>
      </c>
      <c r="H3114" s="9">
        <f>MAX($F$3008:F3114)</f>
        <v>1.0284</v>
      </c>
      <c r="I3114" s="11">
        <f t="shared" si="77"/>
        <v>0</v>
      </c>
      <c r="J3114" s="9"/>
      <c r="K3114" s="11"/>
      <c r="L3114" s="9"/>
      <c r="M3114" s="11"/>
      <c r="N3114" s="9" t="s">
        <v>811</v>
      </c>
    </row>
    <row r="3115" ht="25" customHeight="1" spans="1:14">
      <c r="A3115" s="9" t="s">
        <v>348</v>
      </c>
      <c r="B3115" s="9" t="s">
        <v>347</v>
      </c>
      <c r="C3115" s="10">
        <v>45756</v>
      </c>
      <c r="D3115" s="15">
        <v>1.0302</v>
      </c>
      <c r="E3115" s="15">
        <v>1.0302</v>
      </c>
      <c r="F3115" s="15">
        <v>1.0302</v>
      </c>
      <c r="G3115" s="11">
        <v>0.0018</v>
      </c>
      <c r="H3115" s="9">
        <f>MAX($F$3008:F3115)</f>
        <v>1.0302</v>
      </c>
      <c r="I3115" s="11">
        <f t="shared" si="77"/>
        <v>0</v>
      </c>
      <c r="J3115" s="9"/>
      <c r="K3115" s="11"/>
      <c r="L3115" s="9"/>
      <c r="M3115" s="11"/>
      <c r="N3115" s="9" t="s">
        <v>811</v>
      </c>
    </row>
    <row r="3116" ht="25" customHeight="1" spans="1:14">
      <c r="A3116" s="9" t="s">
        <v>348</v>
      </c>
      <c r="B3116" s="9" t="s">
        <v>347</v>
      </c>
      <c r="C3116" s="10">
        <v>45757</v>
      </c>
      <c r="D3116" s="15">
        <v>1.0316</v>
      </c>
      <c r="E3116" s="15">
        <v>1.0316</v>
      </c>
      <c r="F3116" s="15">
        <v>1.0316</v>
      </c>
      <c r="G3116" s="11">
        <v>0.0014</v>
      </c>
      <c r="H3116" s="9">
        <f>MAX($F$3008:F3116)</f>
        <v>1.0316</v>
      </c>
      <c r="I3116" s="11">
        <f t="shared" si="77"/>
        <v>0</v>
      </c>
      <c r="J3116" s="9"/>
      <c r="K3116" s="11"/>
      <c r="L3116" s="9"/>
      <c r="M3116" s="11"/>
      <c r="N3116" s="9" t="s">
        <v>811</v>
      </c>
    </row>
    <row r="3117" ht="25" customHeight="1" spans="1:14">
      <c r="A3117" s="9" t="s">
        <v>348</v>
      </c>
      <c r="B3117" s="9" t="s">
        <v>347</v>
      </c>
      <c r="C3117" s="10">
        <v>45758</v>
      </c>
      <c r="D3117" s="15">
        <v>1.0328</v>
      </c>
      <c r="E3117" s="15">
        <v>1.0328</v>
      </c>
      <c r="F3117" s="15">
        <v>1.0328</v>
      </c>
      <c r="G3117" s="11">
        <v>0.0012</v>
      </c>
      <c r="H3117" s="9">
        <f>MAX($F$3008:F3117)</f>
        <v>1.0328</v>
      </c>
      <c r="I3117" s="11">
        <f t="shared" si="77"/>
        <v>0</v>
      </c>
      <c r="J3117" s="9"/>
      <c r="K3117" s="11"/>
      <c r="L3117" s="9"/>
      <c r="M3117" s="11"/>
      <c r="N3117" s="9" t="s">
        <v>811</v>
      </c>
    </row>
    <row r="3118" ht="25" customHeight="1" spans="1:14">
      <c r="A3118" s="9" t="s">
        <v>348</v>
      </c>
      <c r="B3118" s="9" t="s">
        <v>347</v>
      </c>
      <c r="C3118" s="10">
        <v>45761</v>
      </c>
      <c r="D3118" s="15">
        <v>1.0339</v>
      </c>
      <c r="E3118" s="15">
        <v>1.0339</v>
      </c>
      <c r="F3118" s="15">
        <v>1.0339</v>
      </c>
      <c r="G3118" s="11">
        <v>0.0011</v>
      </c>
      <c r="H3118" s="9">
        <f>MAX($F$3008:F3118)</f>
        <v>1.0339</v>
      </c>
      <c r="I3118" s="11">
        <f t="shared" si="77"/>
        <v>0</v>
      </c>
      <c r="J3118" s="9"/>
      <c r="K3118" s="11"/>
      <c r="L3118" s="9"/>
      <c r="M3118" s="11"/>
      <c r="N3118" s="9" t="s">
        <v>811</v>
      </c>
    </row>
    <row r="3119" ht="25" customHeight="1" spans="1:14">
      <c r="A3119" s="9" t="s">
        <v>348</v>
      </c>
      <c r="B3119" s="9" t="s">
        <v>347</v>
      </c>
      <c r="C3119" s="10">
        <v>45762</v>
      </c>
      <c r="D3119" s="15">
        <v>1.035</v>
      </c>
      <c r="E3119" s="15">
        <v>1.035</v>
      </c>
      <c r="F3119" s="15">
        <v>1.035</v>
      </c>
      <c r="G3119" s="11">
        <v>0.0011</v>
      </c>
      <c r="H3119" s="9">
        <f>MAX($F$3008:F3119)</f>
        <v>1.035</v>
      </c>
      <c r="I3119" s="11">
        <f t="shared" si="77"/>
        <v>0</v>
      </c>
      <c r="J3119" s="9"/>
      <c r="K3119" s="11"/>
      <c r="L3119" s="9"/>
      <c r="M3119" s="11"/>
      <c r="N3119" s="9" t="s">
        <v>811</v>
      </c>
    </row>
    <row r="3120" ht="25" customHeight="1" spans="1:14">
      <c r="A3120" s="9" t="s">
        <v>348</v>
      </c>
      <c r="B3120" s="9" t="s">
        <v>347</v>
      </c>
      <c r="C3120" s="10">
        <v>45763</v>
      </c>
      <c r="D3120" s="15">
        <v>1.0385</v>
      </c>
      <c r="E3120" s="15">
        <v>1.0385</v>
      </c>
      <c r="F3120" s="15">
        <v>1.0385</v>
      </c>
      <c r="G3120" s="11">
        <v>0.0034</v>
      </c>
      <c r="H3120" s="9">
        <f>MAX($F$3008:F3120)</f>
        <v>1.0385</v>
      </c>
      <c r="I3120" s="11">
        <f t="shared" si="77"/>
        <v>0</v>
      </c>
      <c r="J3120" s="9"/>
      <c r="K3120" s="11"/>
      <c r="L3120" s="9"/>
      <c r="M3120" s="11"/>
      <c r="N3120" s="9" t="s">
        <v>811</v>
      </c>
    </row>
    <row r="3121" ht="25" customHeight="1" spans="1:14">
      <c r="A3121" s="9" t="s">
        <v>348</v>
      </c>
      <c r="B3121" s="9" t="s">
        <v>347</v>
      </c>
      <c r="C3121" s="10">
        <v>45764</v>
      </c>
      <c r="D3121" s="15">
        <v>1.0386</v>
      </c>
      <c r="E3121" s="15">
        <v>1.0386</v>
      </c>
      <c r="F3121" s="15">
        <v>1.0386</v>
      </c>
      <c r="G3121" s="11">
        <v>0.0001</v>
      </c>
      <c r="H3121" s="9">
        <f>MAX($F$3008:F3121)</f>
        <v>1.0386</v>
      </c>
      <c r="I3121" s="11">
        <f t="shared" si="77"/>
        <v>0</v>
      </c>
      <c r="J3121" s="9"/>
      <c r="K3121" s="11"/>
      <c r="L3121" s="9"/>
      <c r="M3121" s="11"/>
      <c r="N3121" s="9" t="s">
        <v>811</v>
      </c>
    </row>
    <row r="3122" ht="25" customHeight="1" spans="1:14">
      <c r="A3122" s="9" t="s">
        <v>348</v>
      </c>
      <c r="B3122" s="9" t="s">
        <v>347</v>
      </c>
      <c r="C3122" s="10">
        <v>45765</v>
      </c>
      <c r="D3122" s="15">
        <v>1.0403</v>
      </c>
      <c r="E3122" s="15">
        <v>1.0403</v>
      </c>
      <c r="F3122" s="15">
        <v>1.0403</v>
      </c>
      <c r="G3122" s="11">
        <v>0.0016</v>
      </c>
      <c r="H3122" s="9">
        <f>MAX($F$3008:F3122)</f>
        <v>1.0403</v>
      </c>
      <c r="I3122" s="11">
        <f t="shared" si="77"/>
        <v>0</v>
      </c>
      <c r="J3122" s="9"/>
      <c r="K3122" s="11"/>
      <c r="L3122" s="9"/>
      <c r="M3122" s="11"/>
      <c r="N3122" s="9" t="s">
        <v>811</v>
      </c>
    </row>
    <row r="3123" ht="25" customHeight="1" spans="1:14">
      <c r="A3123" s="9" t="s">
        <v>348</v>
      </c>
      <c r="B3123" s="9" t="s">
        <v>347</v>
      </c>
      <c r="C3123" s="10">
        <v>45768</v>
      </c>
      <c r="D3123" s="15">
        <v>1.0439</v>
      </c>
      <c r="E3123" s="15">
        <v>1.0439</v>
      </c>
      <c r="F3123" s="15">
        <v>1.0439</v>
      </c>
      <c r="G3123" s="11">
        <v>0.0035</v>
      </c>
      <c r="H3123" s="9">
        <f>MAX($F$3008:F3123)</f>
        <v>1.0439</v>
      </c>
      <c r="I3123" s="11">
        <f t="shared" si="77"/>
        <v>0</v>
      </c>
      <c r="J3123" s="9"/>
      <c r="K3123" s="11"/>
      <c r="L3123" s="9"/>
      <c r="M3123" s="11"/>
      <c r="N3123" s="9" t="s">
        <v>811</v>
      </c>
    </row>
    <row r="3124" ht="25" customHeight="1" spans="1:14">
      <c r="A3124" s="9" t="s">
        <v>348</v>
      </c>
      <c r="B3124" s="9" t="s">
        <v>347</v>
      </c>
      <c r="C3124" s="10">
        <v>45769</v>
      </c>
      <c r="D3124" s="15">
        <v>1.0452</v>
      </c>
      <c r="E3124" s="15">
        <v>1.0452</v>
      </c>
      <c r="F3124" s="15">
        <v>1.0452</v>
      </c>
      <c r="G3124" s="11">
        <v>0.0012</v>
      </c>
      <c r="H3124" s="9">
        <f>MAX($F$3008:F3124)</f>
        <v>1.0452</v>
      </c>
      <c r="I3124" s="11">
        <f t="shared" si="77"/>
        <v>0</v>
      </c>
      <c r="J3124" s="9"/>
      <c r="K3124" s="11"/>
      <c r="L3124" s="9"/>
      <c r="M3124" s="11"/>
      <c r="N3124" s="9" t="s">
        <v>811</v>
      </c>
    </row>
    <row r="3125" ht="25" customHeight="1" spans="1:14">
      <c r="A3125" s="9" t="s">
        <v>348</v>
      </c>
      <c r="B3125" s="9" t="s">
        <v>347</v>
      </c>
      <c r="C3125" s="10">
        <v>45770</v>
      </c>
      <c r="D3125" s="15">
        <v>1.051</v>
      </c>
      <c r="E3125" s="15">
        <v>1.051</v>
      </c>
      <c r="F3125" s="15">
        <v>1.051</v>
      </c>
      <c r="G3125" s="11">
        <v>0.0055</v>
      </c>
      <c r="H3125" s="9">
        <f>MAX($F$3008:F3125)</f>
        <v>1.051</v>
      </c>
      <c r="I3125" s="11">
        <f t="shared" si="77"/>
        <v>0</v>
      </c>
      <c r="J3125" s="9"/>
      <c r="K3125" s="11"/>
      <c r="L3125" s="9"/>
      <c r="M3125" s="11"/>
      <c r="N3125" s="9" t="s">
        <v>811</v>
      </c>
    </row>
    <row r="3126" ht="25" customHeight="1" spans="1:14">
      <c r="A3126" s="9" t="s">
        <v>348</v>
      </c>
      <c r="B3126" s="9" t="s">
        <v>347</v>
      </c>
      <c r="C3126" s="10">
        <v>45771</v>
      </c>
      <c r="D3126" s="15">
        <v>1.0549</v>
      </c>
      <c r="E3126" s="15">
        <v>1.0549</v>
      </c>
      <c r="F3126" s="15">
        <v>1.0549</v>
      </c>
      <c r="G3126" s="11">
        <v>0.0037</v>
      </c>
      <c r="H3126" s="9">
        <f>MAX($F$3008:F3126)</f>
        <v>1.0549</v>
      </c>
      <c r="I3126" s="11">
        <f t="shared" si="77"/>
        <v>0</v>
      </c>
      <c r="J3126" s="9"/>
      <c r="K3126" s="11"/>
      <c r="L3126" s="9"/>
      <c r="M3126" s="11"/>
      <c r="N3126" s="9" t="s">
        <v>811</v>
      </c>
    </row>
    <row r="3127" ht="25" customHeight="1" spans="1:14">
      <c r="A3127" s="9" t="s">
        <v>348</v>
      </c>
      <c r="B3127" s="9" t="s">
        <v>347</v>
      </c>
      <c r="C3127" s="10">
        <v>45772</v>
      </c>
      <c r="D3127" s="15">
        <v>1.0522</v>
      </c>
      <c r="E3127" s="15">
        <v>1.0522</v>
      </c>
      <c r="F3127" s="15">
        <v>1.0522</v>
      </c>
      <c r="G3127" s="11">
        <v>-0.0026</v>
      </c>
      <c r="H3127" s="9">
        <f>MAX($F$3008:F3127)</f>
        <v>1.0549</v>
      </c>
      <c r="I3127" s="11">
        <f t="shared" si="77"/>
        <v>0.00255948431130903</v>
      </c>
      <c r="J3127" s="9"/>
      <c r="K3127" s="11"/>
      <c r="L3127" s="9"/>
      <c r="M3127" s="11"/>
      <c r="N3127" s="9" t="s">
        <v>811</v>
      </c>
    </row>
    <row r="3128" ht="25" customHeight="1" spans="1:14">
      <c r="A3128" s="9" t="s">
        <v>348</v>
      </c>
      <c r="B3128" s="9" t="s">
        <v>347</v>
      </c>
      <c r="C3128" s="10">
        <v>45775</v>
      </c>
      <c r="D3128" s="15">
        <v>1.0528</v>
      </c>
      <c r="E3128" s="15">
        <v>1.0528</v>
      </c>
      <c r="F3128" s="15">
        <v>1.0528</v>
      </c>
      <c r="G3128" s="11">
        <v>0.0006</v>
      </c>
      <c r="H3128" s="9">
        <f>MAX($F$3008:F3128)</f>
        <v>1.0549</v>
      </c>
      <c r="I3128" s="11">
        <f t="shared" si="77"/>
        <v>0.00199071001990714</v>
      </c>
      <c r="J3128" s="9"/>
      <c r="K3128" s="11"/>
      <c r="L3128" s="9"/>
      <c r="M3128" s="11"/>
      <c r="N3128" s="9" t="s">
        <v>811</v>
      </c>
    </row>
    <row r="3129" ht="25" customHeight="1" spans="1:14">
      <c r="A3129" s="9" t="s">
        <v>348</v>
      </c>
      <c r="B3129" s="9" t="s">
        <v>347</v>
      </c>
      <c r="C3129" s="10">
        <v>45776</v>
      </c>
      <c r="D3129" s="15">
        <v>1.0532</v>
      </c>
      <c r="E3129" s="15">
        <v>1.0532</v>
      </c>
      <c r="F3129" s="15">
        <v>1.0532</v>
      </c>
      <c r="G3129" s="11">
        <v>0.0004</v>
      </c>
      <c r="H3129" s="9">
        <f>MAX($F$3008:F3129)</f>
        <v>1.0549</v>
      </c>
      <c r="I3129" s="11">
        <f t="shared" si="77"/>
        <v>0.00161152715897239</v>
      </c>
      <c r="J3129" s="9"/>
      <c r="K3129" s="11"/>
      <c r="L3129" s="9"/>
      <c r="M3129" s="11"/>
      <c r="N3129" s="9" t="s">
        <v>811</v>
      </c>
    </row>
    <row r="3130" ht="25" customHeight="1" spans="1:14">
      <c r="A3130" s="9" t="s">
        <v>348</v>
      </c>
      <c r="B3130" s="9" t="s">
        <v>347</v>
      </c>
      <c r="C3130" s="10">
        <v>45777</v>
      </c>
      <c r="D3130" s="15">
        <v>1.0538</v>
      </c>
      <c r="E3130" s="15">
        <v>1.0538</v>
      </c>
      <c r="F3130" s="15">
        <v>1.0538</v>
      </c>
      <c r="G3130" s="11">
        <v>0.0006</v>
      </c>
      <c r="H3130" s="9">
        <f>MAX($F$3008:F3130)</f>
        <v>1.0549</v>
      </c>
      <c r="I3130" s="11">
        <f t="shared" si="77"/>
        <v>0.00104275286757027</v>
      </c>
      <c r="J3130" s="9"/>
      <c r="K3130" s="11"/>
      <c r="L3130" s="9"/>
      <c r="M3130" s="11"/>
      <c r="N3130" s="9" t="s">
        <v>811</v>
      </c>
    </row>
    <row r="3131" ht="25" customHeight="1" spans="1:14">
      <c r="A3131" s="9" t="s">
        <v>348</v>
      </c>
      <c r="B3131" s="9" t="s">
        <v>347</v>
      </c>
      <c r="C3131" s="10">
        <v>45783</v>
      </c>
      <c r="D3131" s="15">
        <v>1.0545</v>
      </c>
      <c r="E3131" s="15">
        <v>1.0545</v>
      </c>
      <c r="F3131" s="15">
        <v>1.0545</v>
      </c>
      <c r="G3131" s="11">
        <v>0.0007</v>
      </c>
      <c r="H3131" s="9">
        <f>MAX($F$3008:F3131)</f>
        <v>1.0549</v>
      </c>
      <c r="I3131" s="11">
        <f t="shared" si="77"/>
        <v>0.000379182860934635</v>
      </c>
      <c r="J3131" s="9"/>
      <c r="K3131" s="11"/>
      <c r="L3131" s="9"/>
      <c r="M3131" s="11"/>
      <c r="N3131" s="9" t="s">
        <v>811</v>
      </c>
    </row>
    <row r="3132" ht="25" customHeight="1" spans="1:14">
      <c r="A3132" s="9" t="s">
        <v>348</v>
      </c>
      <c r="B3132" s="9" t="s">
        <v>347</v>
      </c>
      <c r="C3132" s="10">
        <v>45784</v>
      </c>
      <c r="D3132" s="15">
        <v>1.0541</v>
      </c>
      <c r="E3132" s="15">
        <v>1.0541</v>
      </c>
      <c r="F3132" s="15">
        <v>1.0541</v>
      </c>
      <c r="G3132" s="11">
        <v>-0.0004</v>
      </c>
      <c r="H3132" s="9">
        <f>MAX($F$3008:F3132)</f>
        <v>1.0549</v>
      </c>
      <c r="I3132" s="11">
        <f t="shared" si="77"/>
        <v>0.00075836572186927</v>
      </c>
      <c r="J3132" s="9"/>
      <c r="K3132" s="11"/>
      <c r="L3132" s="9"/>
      <c r="M3132" s="11"/>
      <c r="N3132" s="9" t="s">
        <v>811</v>
      </c>
    </row>
    <row r="3133" ht="25" customHeight="1" spans="1:14">
      <c r="A3133" s="9" t="s">
        <v>348</v>
      </c>
      <c r="B3133" s="9" t="s">
        <v>347</v>
      </c>
      <c r="C3133" s="10">
        <v>45785</v>
      </c>
      <c r="D3133" s="15">
        <v>1.0558</v>
      </c>
      <c r="E3133" s="15">
        <v>1.0558</v>
      </c>
      <c r="F3133" s="15">
        <v>1.0558</v>
      </c>
      <c r="G3133" s="11">
        <v>0.0016</v>
      </c>
      <c r="H3133" s="9">
        <f>MAX($F$3008:F3133)</f>
        <v>1.0558</v>
      </c>
      <c r="I3133" s="11">
        <f t="shared" si="77"/>
        <v>0</v>
      </c>
      <c r="J3133" s="9"/>
      <c r="K3133" s="11"/>
      <c r="L3133" s="9"/>
      <c r="M3133" s="11"/>
      <c r="N3133" s="9" t="s">
        <v>811</v>
      </c>
    </row>
    <row r="3134" ht="25" customHeight="1" spans="1:14">
      <c r="A3134" s="9" t="s">
        <v>348</v>
      </c>
      <c r="B3134" s="9" t="s">
        <v>347</v>
      </c>
      <c r="C3134" s="10">
        <v>45786</v>
      </c>
      <c r="D3134" s="15">
        <v>1.0548</v>
      </c>
      <c r="E3134" s="15">
        <v>1.0548</v>
      </c>
      <c r="F3134" s="15">
        <v>1.0548</v>
      </c>
      <c r="G3134" s="11">
        <v>-0.0009</v>
      </c>
      <c r="H3134" s="9">
        <f>MAX($F$3008:F3134)</f>
        <v>1.0558</v>
      </c>
      <c r="I3134" s="11">
        <f t="shared" si="77"/>
        <v>0.000947149081265475</v>
      </c>
      <c r="J3134" s="9"/>
      <c r="K3134" s="11"/>
      <c r="L3134" s="9"/>
      <c r="M3134" s="11"/>
      <c r="N3134" s="9" t="s">
        <v>811</v>
      </c>
    </row>
    <row r="3135" ht="25" customHeight="1" spans="1:14">
      <c r="A3135" s="9" t="s">
        <v>348</v>
      </c>
      <c r="B3135" s="9" t="s">
        <v>347</v>
      </c>
      <c r="C3135" s="10">
        <v>45789</v>
      </c>
      <c r="D3135" s="15">
        <v>1.0608</v>
      </c>
      <c r="E3135" s="15">
        <v>1.0608</v>
      </c>
      <c r="F3135" s="15">
        <v>1.0608</v>
      </c>
      <c r="G3135" s="11">
        <v>0.0057</v>
      </c>
      <c r="H3135" s="9">
        <f>MAX($F$3008:F3135)</f>
        <v>1.0608</v>
      </c>
      <c r="I3135" s="11">
        <f t="shared" si="77"/>
        <v>0</v>
      </c>
      <c r="J3135" s="9"/>
      <c r="K3135" s="11"/>
      <c r="L3135" s="9"/>
      <c r="M3135" s="11"/>
      <c r="N3135" s="9" t="s">
        <v>811</v>
      </c>
    </row>
    <row r="3136" ht="25" customHeight="1" spans="1:14">
      <c r="A3136" s="9" t="s">
        <v>348</v>
      </c>
      <c r="B3136" s="9" t="s">
        <v>347</v>
      </c>
      <c r="C3136" s="10">
        <v>45790</v>
      </c>
      <c r="D3136" s="15">
        <v>1.059</v>
      </c>
      <c r="E3136" s="15">
        <v>1.059</v>
      </c>
      <c r="F3136" s="15">
        <v>1.059</v>
      </c>
      <c r="G3136" s="11">
        <v>-0.0017</v>
      </c>
      <c r="H3136" s="9">
        <f>MAX($F$3008:F3136)</f>
        <v>1.0608</v>
      </c>
      <c r="I3136" s="11">
        <f t="shared" si="77"/>
        <v>0.00169683257918551</v>
      </c>
      <c r="J3136" s="9"/>
      <c r="K3136" s="11"/>
      <c r="L3136" s="9"/>
      <c r="M3136" s="11"/>
      <c r="N3136" s="9" t="s">
        <v>811</v>
      </c>
    </row>
    <row r="3137" ht="25" customHeight="1" spans="1:14">
      <c r="A3137" s="9" t="s">
        <v>348</v>
      </c>
      <c r="B3137" s="9" t="s">
        <v>347</v>
      </c>
      <c r="C3137" s="10">
        <v>45791</v>
      </c>
      <c r="D3137" s="15">
        <v>1.0599</v>
      </c>
      <c r="E3137" s="15">
        <v>1.0599</v>
      </c>
      <c r="F3137" s="15">
        <v>1.0599</v>
      </c>
      <c r="G3137" s="11">
        <v>0.0008</v>
      </c>
      <c r="H3137" s="9">
        <f>MAX($F$3008:F3137)</f>
        <v>1.0608</v>
      </c>
      <c r="I3137" s="11">
        <f t="shared" si="77"/>
        <v>0.000848416289592646</v>
      </c>
      <c r="J3137" s="9"/>
      <c r="K3137" s="11"/>
      <c r="L3137" s="9"/>
      <c r="M3137" s="11"/>
      <c r="N3137" s="9" t="s">
        <v>811</v>
      </c>
    </row>
    <row r="3138" ht="25" customHeight="1" spans="1:14">
      <c r="A3138" s="9" t="s">
        <v>348</v>
      </c>
      <c r="B3138" s="9" t="s">
        <v>347</v>
      </c>
      <c r="C3138" s="10">
        <v>45792</v>
      </c>
      <c r="D3138" s="15">
        <v>1.0607</v>
      </c>
      <c r="E3138" s="15">
        <v>1.0607</v>
      </c>
      <c r="F3138" s="15">
        <v>1.0607</v>
      </c>
      <c r="G3138" s="11">
        <v>0.0008</v>
      </c>
      <c r="H3138" s="9">
        <f>MAX($F$3008:F3138)</f>
        <v>1.0608</v>
      </c>
      <c r="I3138" s="11">
        <f t="shared" ref="I3138:I3201" si="78">1-F3138/H3138</f>
        <v>9.42684766214175e-5</v>
      </c>
      <c r="J3138" s="9"/>
      <c r="K3138" s="11"/>
      <c r="L3138" s="9"/>
      <c r="M3138" s="11"/>
      <c r="N3138" s="9" t="s">
        <v>811</v>
      </c>
    </row>
    <row r="3139" ht="25" customHeight="1" spans="1:14">
      <c r="A3139" s="9" t="s">
        <v>348</v>
      </c>
      <c r="B3139" s="9" t="s">
        <v>347</v>
      </c>
      <c r="C3139" s="10">
        <v>45793</v>
      </c>
      <c r="D3139" s="15">
        <v>1.0616</v>
      </c>
      <c r="E3139" s="15">
        <v>1.0616</v>
      </c>
      <c r="F3139" s="15">
        <v>1.0616</v>
      </c>
      <c r="G3139" s="11">
        <v>0.0008</v>
      </c>
      <c r="H3139" s="9">
        <f>MAX($F$3008:F3139)</f>
        <v>1.0616</v>
      </c>
      <c r="I3139" s="11">
        <f t="shared" si="78"/>
        <v>0</v>
      </c>
      <c r="J3139" s="9"/>
      <c r="K3139" s="11"/>
      <c r="L3139" s="9"/>
      <c r="M3139" s="11"/>
      <c r="N3139" s="9" t="s">
        <v>811</v>
      </c>
    </row>
    <row r="3140" ht="25" customHeight="1" spans="1:14">
      <c r="A3140" s="9" t="s">
        <v>348</v>
      </c>
      <c r="B3140" s="9" t="s">
        <v>347</v>
      </c>
      <c r="C3140" s="10">
        <v>45796</v>
      </c>
      <c r="D3140" s="15">
        <v>1.0596</v>
      </c>
      <c r="E3140" s="15">
        <v>1.0596</v>
      </c>
      <c r="F3140" s="15">
        <v>1.0596</v>
      </c>
      <c r="G3140" s="11">
        <v>-0.0019</v>
      </c>
      <c r="H3140" s="9">
        <f>MAX($F$3008:F3140)</f>
        <v>1.0616</v>
      </c>
      <c r="I3140" s="11">
        <f t="shared" si="78"/>
        <v>0.00188394875659381</v>
      </c>
      <c r="J3140" s="9"/>
      <c r="K3140" s="11"/>
      <c r="L3140" s="9"/>
      <c r="M3140" s="11"/>
      <c r="N3140" s="9" t="s">
        <v>811</v>
      </c>
    </row>
    <row r="3141" ht="25" customHeight="1" spans="1:14">
      <c r="A3141" s="9" t="s">
        <v>348</v>
      </c>
      <c r="B3141" s="9" t="s">
        <v>347</v>
      </c>
      <c r="C3141" s="10">
        <v>45797</v>
      </c>
      <c r="D3141" s="15">
        <v>1.0606</v>
      </c>
      <c r="E3141" s="15">
        <v>1.0606</v>
      </c>
      <c r="F3141" s="15">
        <v>1.0606</v>
      </c>
      <c r="G3141" s="11">
        <v>0.0009</v>
      </c>
      <c r="H3141" s="9">
        <f>MAX($F$3008:F3141)</f>
        <v>1.0616</v>
      </c>
      <c r="I3141" s="11">
        <f t="shared" si="78"/>
        <v>0.000941974378297017</v>
      </c>
      <c r="J3141" s="9"/>
      <c r="K3141" s="11"/>
      <c r="L3141" s="9"/>
      <c r="M3141" s="11"/>
      <c r="N3141" s="9" t="s">
        <v>811</v>
      </c>
    </row>
    <row r="3142" ht="25" customHeight="1" spans="1:14">
      <c r="A3142" s="9" t="s">
        <v>348</v>
      </c>
      <c r="B3142" s="9" t="s">
        <v>347</v>
      </c>
      <c r="C3142" s="10">
        <v>45798</v>
      </c>
      <c r="D3142" s="15">
        <v>1.0633</v>
      </c>
      <c r="E3142" s="15">
        <v>1.0633</v>
      </c>
      <c r="F3142" s="15">
        <v>1.0633</v>
      </c>
      <c r="G3142" s="11">
        <v>0.0025</v>
      </c>
      <c r="H3142" s="9">
        <f>MAX($F$3008:F3142)</f>
        <v>1.0633</v>
      </c>
      <c r="I3142" s="11">
        <f t="shared" si="78"/>
        <v>0</v>
      </c>
      <c r="J3142" s="9"/>
      <c r="K3142" s="11"/>
      <c r="L3142" s="9"/>
      <c r="M3142" s="11"/>
      <c r="N3142" s="9" t="s">
        <v>811</v>
      </c>
    </row>
    <row r="3143" ht="25" customHeight="1" spans="1:14">
      <c r="A3143" s="9" t="s">
        <v>348</v>
      </c>
      <c r="B3143" s="9" t="s">
        <v>347</v>
      </c>
      <c r="C3143" s="10">
        <v>45799</v>
      </c>
      <c r="D3143" s="15">
        <v>1.0603</v>
      </c>
      <c r="E3143" s="15">
        <v>1.0603</v>
      </c>
      <c r="F3143" s="15">
        <v>1.0603</v>
      </c>
      <c r="G3143" s="11">
        <v>-0.0028</v>
      </c>
      <c r="H3143" s="9">
        <f>MAX($F$3008:F3143)</f>
        <v>1.0633</v>
      </c>
      <c r="I3143" s="11">
        <f t="shared" si="78"/>
        <v>0.00282140505971962</v>
      </c>
      <c r="J3143" s="9"/>
      <c r="K3143" s="11"/>
      <c r="L3143" s="9"/>
      <c r="M3143" s="11"/>
      <c r="N3143" s="9" t="s">
        <v>811</v>
      </c>
    </row>
    <row r="3144" ht="25" customHeight="1" spans="1:14">
      <c r="A3144" s="9" t="s">
        <v>348</v>
      </c>
      <c r="B3144" s="9" t="s">
        <v>347</v>
      </c>
      <c r="C3144" s="10">
        <v>45800</v>
      </c>
      <c r="D3144" s="15">
        <v>1.0613</v>
      </c>
      <c r="E3144" s="15">
        <v>1.0613</v>
      </c>
      <c r="F3144" s="15">
        <v>1.0613</v>
      </c>
      <c r="G3144" s="11">
        <v>0.0009</v>
      </c>
      <c r="H3144" s="9">
        <f>MAX($F$3008:F3144)</f>
        <v>1.0633</v>
      </c>
      <c r="I3144" s="11">
        <f t="shared" si="78"/>
        <v>0.00188093670647982</v>
      </c>
      <c r="J3144" s="9"/>
      <c r="K3144" s="11"/>
      <c r="L3144" s="9"/>
      <c r="M3144" s="11"/>
      <c r="N3144" s="9" t="s">
        <v>811</v>
      </c>
    </row>
    <row r="3145" ht="25" customHeight="1" spans="1:14">
      <c r="A3145" s="9" t="s">
        <v>348</v>
      </c>
      <c r="B3145" s="9" t="s">
        <v>347</v>
      </c>
      <c r="C3145" s="10">
        <v>45803</v>
      </c>
      <c r="D3145" s="15">
        <v>1.0644</v>
      </c>
      <c r="E3145" s="15">
        <v>1.0644</v>
      </c>
      <c r="F3145" s="15">
        <v>1.0644</v>
      </c>
      <c r="G3145" s="11">
        <v>0.0029</v>
      </c>
      <c r="H3145" s="9">
        <f>MAX($F$3008:F3145)</f>
        <v>1.0644</v>
      </c>
      <c r="I3145" s="11">
        <f t="shared" si="78"/>
        <v>0</v>
      </c>
      <c r="J3145" s="9"/>
      <c r="K3145" s="11"/>
      <c r="L3145" s="9"/>
      <c r="M3145" s="11"/>
      <c r="N3145" s="9" t="s">
        <v>811</v>
      </c>
    </row>
    <row r="3146" ht="25" customHeight="1" spans="1:14">
      <c r="A3146" s="9" t="s">
        <v>348</v>
      </c>
      <c r="B3146" s="9" t="s">
        <v>347</v>
      </c>
      <c r="C3146" s="10">
        <v>45804</v>
      </c>
      <c r="D3146" s="15">
        <v>1.0629</v>
      </c>
      <c r="E3146" s="15">
        <v>1.0629</v>
      </c>
      <c r="F3146" s="15">
        <v>1.0629</v>
      </c>
      <c r="G3146" s="11">
        <v>-0.0014</v>
      </c>
      <c r="H3146" s="9">
        <f>MAX($F$3008:F3146)</f>
        <v>1.0644</v>
      </c>
      <c r="I3146" s="11">
        <f t="shared" si="78"/>
        <v>0.00140924464487036</v>
      </c>
      <c r="J3146" s="9"/>
      <c r="K3146" s="11"/>
      <c r="L3146" s="9"/>
      <c r="M3146" s="11"/>
      <c r="N3146" s="9" t="s">
        <v>811</v>
      </c>
    </row>
    <row r="3147" ht="25" customHeight="1" spans="1:14">
      <c r="A3147" s="9" t="s">
        <v>348</v>
      </c>
      <c r="B3147" s="9" t="s">
        <v>347</v>
      </c>
      <c r="C3147" s="10">
        <v>45805</v>
      </c>
      <c r="D3147" s="15">
        <v>1.0595</v>
      </c>
      <c r="E3147" s="15">
        <v>1.0595</v>
      </c>
      <c r="F3147" s="15">
        <v>1.0595</v>
      </c>
      <c r="G3147" s="11">
        <v>-0.0032</v>
      </c>
      <c r="H3147" s="9">
        <f>MAX($F$3008:F3147)</f>
        <v>1.0644</v>
      </c>
      <c r="I3147" s="11">
        <f t="shared" si="78"/>
        <v>0.00460353250657641</v>
      </c>
      <c r="J3147" s="9"/>
      <c r="K3147" s="11"/>
      <c r="L3147" s="9"/>
      <c r="M3147" s="11"/>
      <c r="N3147" s="9" t="s">
        <v>811</v>
      </c>
    </row>
    <row r="3148" ht="25" customHeight="1" spans="1:14">
      <c r="A3148" s="9" t="s">
        <v>348</v>
      </c>
      <c r="B3148" s="9" t="s">
        <v>347</v>
      </c>
      <c r="C3148" s="10">
        <v>45806</v>
      </c>
      <c r="D3148" s="15">
        <v>1.0603</v>
      </c>
      <c r="E3148" s="15">
        <v>1.0603</v>
      </c>
      <c r="F3148" s="15">
        <v>1.0603</v>
      </c>
      <c r="G3148" s="11">
        <v>0.0008</v>
      </c>
      <c r="H3148" s="9">
        <f>MAX($F$3008:F3148)</f>
        <v>1.0644</v>
      </c>
      <c r="I3148" s="11">
        <f t="shared" si="78"/>
        <v>0.00385193536264561</v>
      </c>
      <c r="J3148" s="9"/>
      <c r="K3148" s="11"/>
      <c r="L3148" s="9"/>
      <c r="M3148" s="11"/>
      <c r="N3148" s="9" t="s">
        <v>811</v>
      </c>
    </row>
    <row r="3149" ht="25" customHeight="1" spans="1:14">
      <c r="A3149" s="9" t="s">
        <v>348</v>
      </c>
      <c r="B3149" s="9" t="s">
        <v>347</v>
      </c>
      <c r="C3149" s="10">
        <v>45807</v>
      </c>
      <c r="D3149" s="15">
        <v>1.0644</v>
      </c>
      <c r="E3149" s="15">
        <v>1.0644</v>
      </c>
      <c r="F3149" s="15">
        <v>1.0644</v>
      </c>
      <c r="G3149" s="11">
        <v>0.0039</v>
      </c>
      <c r="H3149" s="9">
        <f>MAX($F$3008:F3149)</f>
        <v>1.0644</v>
      </c>
      <c r="I3149" s="11">
        <f t="shared" si="78"/>
        <v>0</v>
      </c>
      <c r="J3149" s="9"/>
      <c r="K3149" s="11"/>
      <c r="L3149" s="9"/>
      <c r="M3149" s="11"/>
      <c r="N3149" s="9" t="s">
        <v>811</v>
      </c>
    </row>
    <row r="3150" ht="25" customHeight="1" spans="1:14">
      <c r="A3150" s="9" t="s">
        <v>348</v>
      </c>
      <c r="B3150" s="9" t="s">
        <v>347</v>
      </c>
      <c r="C3150" s="10">
        <v>45811</v>
      </c>
      <c r="D3150" s="15">
        <v>1.0614</v>
      </c>
      <c r="E3150" s="15">
        <v>1.0614</v>
      </c>
      <c r="F3150" s="15">
        <v>1.0614</v>
      </c>
      <c r="G3150" s="11">
        <v>-0.0028</v>
      </c>
      <c r="H3150" s="9">
        <f>MAX($F$3008:F3150)</f>
        <v>1.0644</v>
      </c>
      <c r="I3150" s="11">
        <f t="shared" si="78"/>
        <v>0.00281848928974082</v>
      </c>
      <c r="J3150" s="9"/>
      <c r="K3150" s="11"/>
      <c r="L3150" s="9"/>
      <c r="M3150" s="11"/>
      <c r="N3150" s="9" t="s">
        <v>811</v>
      </c>
    </row>
    <row r="3151" ht="25" customHeight="1" spans="1:14">
      <c r="A3151" s="9" t="s">
        <v>348</v>
      </c>
      <c r="B3151" s="9" t="s">
        <v>347</v>
      </c>
      <c r="C3151" s="10">
        <v>45812</v>
      </c>
      <c r="D3151" s="15">
        <v>1.0591</v>
      </c>
      <c r="E3151" s="15">
        <v>1.0591</v>
      </c>
      <c r="F3151" s="15">
        <v>1.0591</v>
      </c>
      <c r="G3151" s="11">
        <v>-0.0022</v>
      </c>
      <c r="H3151" s="9">
        <f>MAX($F$3008:F3151)</f>
        <v>1.0644</v>
      </c>
      <c r="I3151" s="11">
        <f t="shared" si="78"/>
        <v>0.00497933107854198</v>
      </c>
      <c r="J3151" s="9"/>
      <c r="K3151" s="11"/>
      <c r="L3151" s="9"/>
      <c r="M3151" s="11"/>
      <c r="N3151" s="9" t="s">
        <v>811</v>
      </c>
    </row>
    <row r="3152" ht="25" customHeight="1" spans="1:14">
      <c r="A3152" s="9" t="s">
        <v>348</v>
      </c>
      <c r="B3152" s="9" t="s">
        <v>347</v>
      </c>
      <c r="C3152" s="10">
        <v>45813</v>
      </c>
      <c r="D3152" s="15">
        <v>1.0597</v>
      </c>
      <c r="E3152" s="15">
        <v>1.0597</v>
      </c>
      <c r="F3152" s="15">
        <v>1.0597</v>
      </c>
      <c r="G3152" s="11">
        <v>0.0006</v>
      </c>
      <c r="H3152" s="9">
        <f>MAX($F$3008:F3152)</f>
        <v>1.0644</v>
      </c>
      <c r="I3152" s="11">
        <f t="shared" si="78"/>
        <v>0.00441563322059368</v>
      </c>
      <c r="J3152" s="9"/>
      <c r="K3152" s="11"/>
      <c r="L3152" s="9"/>
      <c r="M3152" s="11"/>
      <c r="N3152" s="9" t="s">
        <v>811</v>
      </c>
    </row>
    <row r="3153" ht="25" customHeight="1" spans="1:14">
      <c r="A3153" s="9" t="s">
        <v>348</v>
      </c>
      <c r="B3153" s="9" t="s">
        <v>347</v>
      </c>
      <c r="C3153" s="10">
        <v>45814</v>
      </c>
      <c r="D3153" s="15">
        <v>1.0604</v>
      </c>
      <c r="E3153" s="15">
        <v>1.0604</v>
      </c>
      <c r="F3153" s="15">
        <v>1.0604</v>
      </c>
      <c r="G3153" s="11">
        <v>0.0007</v>
      </c>
      <c r="H3153" s="9">
        <f>MAX($F$3008:F3153)</f>
        <v>1.0644</v>
      </c>
      <c r="I3153" s="11">
        <f t="shared" si="78"/>
        <v>0.00375798571965424</v>
      </c>
      <c r="J3153" s="9"/>
      <c r="K3153" s="11"/>
      <c r="L3153" s="9"/>
      <c r="M3153" s="11"/>
      <c r="N3153" s="9" t="s">
        <v>811</v>
      </c>
    </row>
    <row r="3154" ht="25" customHeight="1" spans="1:14">
      <c r="A3154" s="9" t="s">
        <v>348</v>
      </c>
      <c r="B3154" s="9" t="s">
        <v>347</v>
      </c>
      <c r="C3154" s="10">
        <v>45817</v>
      </c>
      <c r="D3154" s="15">
        <v>1.0636</v>
      </c>
      <c r="E3154" s="15">
        <v>1.0636</v>
      </c>
      <c r="F3154" s="15">
        <v>1.0636</v>
      </c>
      <c r="G3154" s="11">
        <v>0.003</v>
      </c>
      <c r="H3154" s="9">
        <f>MAX($F$3008:F3154)</f>
        <v>1.0644</v>
      </c>
      <c r="I3154" s="11">
        <f t="shared" si="78"/>
        <v>0.000751597143930804</v>
      </c>
      <c r="J3154" s="9"/>
      <c r="K3154" s="11"/>
      <c r="L3154" s="9"/>
      <c r="M3154" s="11"/>
      <c r="N3154" s="9" t="s">
        <v>811</v>
      </c>
    </row>
    <row r="3155" ht="25" customHeight="1" spans="1:14">
      <c r="A3155" s="9" t="s">
        <v>348</v>
      </c>
      <c r="B3155" s="9" t="s">
        <v>347</v>
      </c>
      <c r="C3155" s="10">
        <v>45818</v>
      </c>
      <c r="D3155" s="15">
        <v>1.0617</v>
      </c>
      <c r="E3155" s="15">
        <v>1.0617</v>
      </c>
      <c r="F3155" s="15">
        <v>1.0617</v>
      </c>
      <c r="G3155" s="11">
        <v>-0.0018</v>
      </c>
      <c r="H3155" s="9">
        <f>MAX($F$3008:F3155)</f>
        <v>1.0644</v>
      </c>
      <c r="I3155" s="11">
        <f t="shared" si="78"/>
        <v>0.00253664036076651</v>
      </c>
      <c r="J3155" s="9"/>
      <c r="K3155" s="11"/>
      <c r="L3155" s="9"/>
      <c r="M3155" s="11"/>
      <c r="N3155" s="9" t="s">
        <v>811</v>
      </c>
    </row>
    <row r="3156" ht="25" customHeight="1" spans="1:14">
      <c r="A3156" s="9" t="s">
        <v>348</v>
      </c>
      <c r="B3156" s="9" t="s">
        <v>347</v>
      </c>
      <c r="C3156" s="10">
        <v>45819</v>
      </c>
      <c r="D3156" s="15">
        <v>1.0604</v>
      </c>
      <c r="E3156" s="15">
        <v>1.0604</v>
      </c>
      <c r="F3156" s="15">
        <v>1.0604</v>
      </c>
      <c r="G3156" s="11">
        <v>-0.0012</v>
      </c>
      <c r="H3156" s="9">
        <f>MAX($F$3008:F3156)</f>
        <v>1.0644</v>
      </c>
      <c r="I3156" s="11">
        <f t="shared" si="78"/>
        <v>0.00375798571965424</v>
      </c>
      <c r="J3156" s="9"/>
      <c r="K3156" s="11"/>
      <c r="L3156" s="9"/>
      <c r="M3156" s="11"/>
      <c r="N3156" s="9" t="s">
        <v>811</v>
      </c>
    </row>
    <row r="3157" ht="25" customHeight="1" spans="1:14">
      <c r="A3157" s="9" t="s">
        <v>348</v>
      </c>
      <c r="B3157" s="9" t="s">
        <v>347</v>
      </c>
      <c r="C3157" s="10">
        <v>45820</v>
      </c>
      <c r="D3157" s="15">
        <v>1.0592</v>
      </c>
      <c r="E3157" s="15">
        <v>1.0592</v>
      </c>
      <c r="F3157" s="15">
        <v>1.0592</v>
      </c>
      <c r="G3157" s="11">
        <v>-0.0011</v>
      </c>
      <c r="H3157" s="9">
        <f>MAX($F$3008:F3157)</f>
        <v>1.0644</v>
      </c>
      <c r="I3157" s="11">
        <f t="shared" si="78"/>
        <v>0.00488538143555062</v>
      </c>
      <c r="J3157" s="9"/>
      <c r="K3157" s="11"/>
      <c r="L3157" s="9"/>
      <c r="M3157" s="11"/>
      <c r="N3157" s="9" t="s">
        <v>811</v>
      </c>
    </row>
    <row r="3158" ht="25" customHeight="1" spans="1:14">
      <c r="A3158" s="9" t="s">
        <v>348</v>
      </c>
      <c r="B3158" s="9" t="s">
        <v>347</v>
      </c>
      <c r="C3158" s="10">
        <v>45821</v>
      </c>
      <c r="D3158" s="15">
        <v>1.0619</v>
      </c>
      <c r="E3158" s="15">
        <v>1.0619</v>
      </c>
      <c r="F3158" s="15">
        <v>1.0619</v>
      </c>
      <c r="G3158" s="11">
        <v>0.0025</v>
      </c>
      <c r="H3158" s="9">
        <f>MAX($F$3008:F3158)</f>
        <v>1.0644</v>
      </c>
      <c r="I3158" s="11">
        <f t="shared" si="78"/>
        <v>0.00234874107478389</v>
      </c>
      <c r="J3158" s="9"/>
      <c r="K3158" s="11"/>
      <c r="L3158" s="9"/>
      <c r="M3158" s="11"/>
      <c r="N3158" s="9" t="s">
        <v>811</v>
      </c>
    </row>
    <row r="3159" ht="25" customHeight="1" spans="1:14">
      <c r="A3159" s="9" t="s">
        <v>348</v>
      </c>
      <c r="B3159" s="9" t="s">
        <v>347</v>
      </c>
      <c r="C3159" s="10">
        <v>45824</v>
      </c>
      <c r="D3159" s="15">
        <v>1.0622</v>
      </c>
      <c r="E3159" s="15">
        <v>1.0622</v>
      </c>
      <c r="F3159" s="15">
        <v>1.0622</v>
      </c>
      <c r="G3159" s="11">
        <v>0.0003</v>
      </c>
      <c r="H3159" s="9">
        <f>MAX($F$3008:F3159)</f>
        <v>1.0644</v>
      </c>
      <c r="I3159" s="11">
        <f t="shared" si="78"/>
        <v>0.0020668921458098</v>
      </c>
      <c r="J3159" s="9"/>
      <c r="K3159" s="11"/>
      <c r="L3159" s="9"/>
      <c r="M3159" s="11"/>
      <c r="N3159" s="9" t="s">
        <v>811</v>
      </c>
    </row>
    <row r="3160" ht="25" customHeight="1" spans="1:14">
      <c r="A3160" s="9" t="s">
        <v>348</v>
      </c>
      <c r="B3160" s="9" t="s">
        <v>347</v>
      </c>
      <c r="C3160" s="10">
        <v>45825</v>
      </c>
      <c r="D3160" s="15">
        <v>1.0625</v>
      </c>
      <c r="E3160" s="15">
        <v>1.0625</v>
      </c>
      <c r="F3160" s="15">
        <v>1.0625</v>
      </c>
      <c r="G3160" s="11">
        <v>0.0003</v>
      </c>
      <c r="H3160" s="9">
        <f>MAX($F$3008:F3160)</f>
        <v>1.0644</v>
      </c>
      <c r="I3160" s="11">
        <f t="shared" si="78"/>
        <v>0.00178504321683581</v>
      </c>
      <c r="J3160" s="9"/>
      <c r="K3160" s="11"/>
      <c r="L3160" s="9"/>
      <c r="M3160" s="11"/>
      <c r="N3160" s="9" t="s">
        <v>811</v>
      </c>
    </row>
    <row r="3161" ht="25" customHeight="1" spans="1:14">
      <c r="A3161" s="9" t="s">
        <v>348</v>
      </c>
      <c r="B3161" s="9" t="s">
        <v>347</v>
      </c>
      <c r="C3161" s="10">
        <v>45826</v>
      </c>
      <c r="D3161" s="15">
        <v>1.0627</v>
      </c>
      <c r="E3161" s="15">
        <v>1.0627</v>
      </c>
      <c r="F3161" s="15">
        <v>1.0627</v>
      </c>
      <c r="G3161" s="11">
        <v>0.0002</v>
      </c>
      <c r="H3161" s="9">
        <f>MAX($F$3008:F3161)</f>
        <v>1.0644</v>
      </c>
      <c r="I3161" s="11">
        <f t="shared" si="78"/>
        <v>0.00159714393085308</v>
      </c>
      <c r="J3161" s="9"/>
      <c r="K3161" s="11"/>
      <c r="L3161" s="9"/>
      <c r="M3161" s="11"/>
      <c r="N3161" s="9" t="s">
        <v>811</v>
      </c>
    </row>
    <row r="3162" ht="25" customHeight="1" spans="1:14">
      <c r="A3162" s="9" t="s">
        <v>348</v>
      </c>
      <c r="B3162" s="9" t="s">
        <v>347</v>
      </c>
      <c r="C3162" s="10">
        <v>45827</v>
      </c>
      <c r="D3162" s="15">
        <v>1.0612</v>
      </c>
      <c r="E3162" s="15">
        <v>1.0612</v>
      </c>
      <c r="F3162" s="15">
        <v>1.0612</v>
      </c>
      <c r="G3162" s="11">
        <v>-0.0014</v>
      </c>
      <c r="H3162" s="9">
        <f>MAX($F$3008:F3162)</f>
        <v>1.0644</v>
      </c>
      <c r="I3162" s="11">
        <f t="shared" si="78"/>
        <v>0.00300638857572355</v>
      </c>
      <c r="J3162" s="9"/>
      <c r="K3162" s="11"/>
      <c r="L3162" s="9"/>
      <c r="M3162" s="11"/>
      <c r="N3162" s="9" t="s">
        <v>811</v>
      </c>
    </row>
    <row r="3163" ht="25" customHeight="1" spans="1:14">
      <c r="A3163" s="9" t="s">
        <v>348</v>
      </c>
      <c r="B3163" s="9" t="s">
        <v>347</v>
      </c>
      <c r="C3163" s="10">
        <v>45828</v>
      </c>
      <c r="D3163" s="15">
        <v>1.066</v>
      </c>
      <c r="E3163" s="15">
        <v>1.066</v>
      </c>
      <c r="F3163" s="15">
        <v>1.066</v>
      </c>
      <c r="G3163" s="11">
        <v>0.0045</v>
      </c>
      <c r="H3163" s="9">
        <f>MAX($F$3008:F3163)</f>
        <v>1.066</v>
      </c>
      <c r="I3163" s="11">
        <f t="shared" si="78"/>
        <v>0</v>
      </c>
      <c r="J3163" s="9"/>
      <c r="K3163" s="11"/>
      <c r="L3163" s="9"/>
      <c r="M3163" s="11"/>
      <c r="N3163" s="9" t="s">
        <v>811</v>
      </c>
    </row>
    <row r="3164" ht="25" customHeight="1" spans="1:14">
      <c r="A3164" s="9" t="s">
        <v>348</v>
      </c>
      <c r="B3164" s="9" t="s">
        <v>347</v>
      </c>
      <c r="C3164" s="10">
        <v>45831</v>
      </c>
      <c r="D3164" s="15">
        <v>1.0641</v>
      </c>
      <c r="E3164" s="15">
        <v>1.0641</v>
      </c>
      <c r="F3164" s="15">
        <v>1.0641</v>
      </c>
      <c r="G3164" s="11">
        <v>-0.0018</v>
      </c>
      <c r="H3164" s="9">
        <f>MAX($F$3008:F3164)</f>
        <v>1.066</v>
      </c>
      <c r="I3164" s="11">
        <f t="shared" si="78"/>
        <v>0.00178236397748599</v>
      </c>
      <c r="J3164" s="9"/>
      <c r="K3164" s="11"/>
      <c r="L3164" s="9"/>
      <c r="M3164" s="11"/>
      <c r="N3164" s="9" t="s">
        <v>811</v>
      </c>
    </row>
    <row r="3165" ht="25" customHeight="1" spans="1:14">
      <c r="A3165" s="9" t="s">
        <v>348</v>
      </c>
      <c r="B3165" s="9" t="s">
        <v>347</v>
      </c>
      <c r="C3165" s="10">
        <v>45832</v>
      </c>
      <c r="D3165" s="15">
        <v>1.0734</v>
      </c>
      <c r="E3165" s="15">
        <v>1.0734</v>
      </c>
      <c r="F3165" s="15">
        <v>1.0734</v>
      </c>
      <c r="G3165" s="11">
        <v>0.0087</v>
      </c>
      <c r="H3165" s="9">
        <f>MAX($F$3008:F3165)</f>
        <v>1.0734</v>
      </c>
      <c r="I3165" s="11">
        <f t="shared" si="78"/>
        <v>0</v>
      </c>
      <c r="J3165" s="9"/>
      <c r="K3165" s="11"/>
      <c r="L3165" s="9"/>
      <c r="M3165" s="11"/>
      <c r="N3165" s="9" t="s">
        <v>811</v>
      </c>
    </row>
    <row r="3166" ht="25" customHeight="1" spans="1:14">
      <c r="A3166" s="9" t="s">
        <v>348</v>
      </c>
      <c r="B3166" s="9" t="s">
        <v>347</v>
      </c>
      <c r="C3166" s="10">
        <v>45833</v>
      </c>
      <c r="D3166" s="15">
        <v>1.0626</v>
      </c>
      <c r="E3166" s="15">
        <v>1.0626</v>
      </c>
      <c r="F3166" s="15">
        <v>1.0626</v>
      </c>
      <c r="G3166" s="11">
        <v>-0.0101</v>
      </c>
      <c r="H3166" s="9">
        <f>MAX($F$3008:F3166)</f>
        <v>1.0734</v>
      </c>
      <c r="I3166" s="11">
        <f t="shared" si="78"/>
        <v>0.0100614868641699</v>
      </c>
      <c r="J3166" s="9"/>
      <c r="K3166" s="11"/>
      <c r="L3166" s="9"/>
      <c r="M3166" s="11"/>
      <c r="N3166" s="9" t="s">
        <v>811</v>
      </c>
    </row>
    <row r="3167" ht="25" customHeight="1" spans="1:14">
      <c r="A3167" s="9" t="s">
        <v>348</v>
      </c>
      <c r="B3167" s="9" t="s">
        <v>347</v>
      </c>
      <c r="C3167" s="10">
        <v>45834</v>
      </c>
      <c r="D3167" s="15">
        <v>1.0653</v>
      </c>
      <c r="E3167" s="15">
        <v>1.0653</v>
      </c>
      <c r="F3167" s="15">
        <v>1.0653</v>
      </c>
      <c r="G3167" s="11">
        <v>0.0025</v>
      </c>
      <c r="H3167" s="9">
        <f>MAX($F$3008:F3167)</f>
        <v>1.0734</v>
      </c>
      <c r="I3167" s="11">
        <f t="shared" si="78"/>
        <v>0.00754611514812742</v>
      </c>
      <c r="J3167" s="9"/>
      <c r="K3167" s="11"/>
      <c r="L3167" s="9"/>
      <c r="M3167" s="11"/>
      <c r="N3167" s="9" t="s">
        <v>811</v>
      </c>
    </row>
    <row r="3168" ht="25" customHeight="1" spans="1:14">
      <c r="A3168" s="9" t="s">
        <v>348</v>
      </c>
      <c r="B3168" s="9" t="s">
        <v>347</v>
      </c>
      <c r="C3168" s="10">
        <v>45835</v>
      </c>
      <c r="D3168" s="15">
        <v>1.0685</v>
      </c>
      <c r="E3168" s="15">
        <v>1.0685</v>
      </c>
      <c r="F3168" s="15">
        <v>1.0685</v>
      </c>
      <c r="G3168" s="11">
        <v>0.003</v>
      </c>
      <c r="H3168" s="9">
        <f>MAX($F$3008:F3168)</f>
        <v>1.0734</v>
      </c>
      <c r="I3168" s="11">
        <f t="shared" si="78"/>
        <v>0.00456493385503998</v>
      </c>
      <c r="J3168" s="9"/>
      <c r="K3168" s="11"/>
      <c r="L3168" s="9"/>
      <c r="M3168" s="11"/>
      <c r="N3168" s="9" t="s">
        <v>811</v>
      </c>
    </row>
    <row r="3169" ht="25" customHeight="1" spans="1:14">
      <c r="A3169" s="9" t="s">
        <v>348</v>
      </c>
      <c r="B3169" s="9" t="s">
        <v>347</v>
      </c>
      <c r="C3169" s="10">
        <v>45838</v>
      </c>
      <c r="D3169" s="15">
        <v>1.0671</v>
      </c>
      <c r="E3169" s="15">
        <v>1.0671</v>
      </c>
      <c r="F3169" s="15">
        <v>1.0671</v>
      </c>
      <c r="G3169" s="11">
        <v>-0.0013</v>
      </c>
      <c r="H3169" s="9">
        <f>MAX($F$3008:F3169)</f>
        <v>1.0734</v>
      </c>
      <c r="I3169" s="11">
        <f t="shared" si="78"/>
        <v>0.0058692006707658</v>
      </c>
      <c r="J3169" s="9"/>
      <c r="K3169" s="11"/>
      <c r="L3169" s="9"/>
      <c r="M3169" s="11"/>
      <c r="N3169" s="9" t="s">
        <v>811</v>
      </c>
    </row>
    <row r="3170" ht="25" customHeight="1" spans="1:14">
      <c r="A3170" s="9" t="s">
        <v>348</v>
      </c>
      <c r="B3170" s="9" t="s">
        <v>347</v>
      </c>
      <c r="C3170" s="10">
        <v>45839</v>
      </c>
      <c r="D3170" s="15">
        <v>1.0646</v>
      </c>
      <c r="E3170" s="15">
        <v>1.0646</v>
      </c>
      <c r="F3170" s="15">
        <v>1.0646</v>
      </c>
      <c r="G3170" s="11">
        <v>-0.0023</v>
      </c>
      <c r="H3170" s="9">
        <f>MAX($F$3008:F3170)</f>
        <v>1.0734</v>
      </c>
      <c r="I3170" s="11">
        <f t="shared" si="78"/>
        <v>0.00819824855599027</v>
      </c>
      <c r="J3170" s="9"/>
      <c r="K3170" s="11"/>
      <c r="L3170" s="9"/>
      <c r="M3170" s="11"/>
      <c r="N3170" s="9" t="s">
        <v>811</v>
      </c>
    </row>
    <row r="3171" ht="25" customHeight="1" spans="1:14">
      <c r="A3171" s="9" t="s">
        <v>348</v>
      </c>
      <c r="B3171" s="9" t="s">
        <v>347</v>
      </c>
      <c r="C3171" s="10">
        <v>45840</v>
      </c>
      <c r="D3171" s="15">
        <v>1.0678</v>
      </c>
      <c r="E3171" s="15">
        <v>1.0678</v>
      </c>
      <c r="F3171" s="15">
        <v>1.0678</v>
      </c>
      <c r="G3171" s="11">
        <v>0.003</v>
      </c>
      <c r="H3171" s="9">
        <f>MAX($F$3008:F3171)</f>
        <v>1.0734</v>
      </c>
      <c r="I3171" s="11">
        <f t="shared" si="78"/>
        <v>0.00521706726290272</v>
      </c>
      <c r="J3171" s="9"/>
      <c r="K3171" s="11"/>
      <c r="L3171" s="9"/>
      <c r="M3171" s="11"/>
      <c r="N3171" s="9" t="s">
        <v>811</v>
      </c>
    </row>
    <row r="3172" ht="25" customHeight="1" spans="1:14">
      <c r="A3172" s="9" t="s">
        <v>348</v>
      </c>
      <c r="B3172" s="9" t="s">
        <v>347</v>
      </c>
      <c r="C3172" s="10">
        <v>45841</v>
      </c>
      <c r="D3172" s="15">
        <v>1.0663</v>
      </c>
      <c r="E3172" s="15">
        <v>1.0663</v>
      </c>
      <c r="F3172" s="15">
        <v>1.0663</v>
      </c>
      <c r="G3172" s="11">
        <v>-0.0014</v>
      </c>
      <c r="H3172" s="9">
        <f>MAX($F$3008:F3172)</f>
        <v>1.0734</v>
      </c>
      <c r="I3172" s="11">
        <f t="shared" si="78"/>
        <v>0.00661449599403752</v>
      </c>
      <c r="J3172" s="9"/>
      <c r="K3172" s="11"/>
      <c r="L3172" s="9"/>
      <c r="M3172" s="11"/>
      <c r="N3172" s="9" t="s">
        <v>811</v>
      </c>
    </row>
    <row r="3173" ht="25" customHeight="1" spans="1:14">
      <c r="A3173" s="9" t="s">
        <v>348</v>
      </c>
      <c r="B3173" s="9" t="s">
        <v>347</v>
      </c>
      <c r="C3173" s="10">
        <v>45842</v>
      </c>
      <c r="D3173" s="15">
        <v>1.0676</v>
      </c>
      <c r="E3173" s="15">
        <v>1.0676</v>
      </c>
      <c r="F3173" s="15">
        <v>1.0676</v>
      </c>
      <c r="G3173" s="11">
        <v>0.0012</v>
      </c>
      <c r="H3173" s="9">
        <f>MAX($F$3008:F3173)</f>
        <v>1.0734</v>
      </c>
      <c r="I3173" s="11">
        <f t="shared" si="78"/>
        <v>0.00540339109372068</v>
      </c>
      <c r="J3173" s="9"/>
      <c r="K3173" s="11"/>
      <c r="L3173" s="9"/>
      <c r="M3173" s="11"/>
      <c r="N3173" s="9" t="s">
        <v>811</v>
      </c>
    </row>
    <row r="3174" ht="25" customHeight="1" spans="1:14">
      <c r="A3174" s="9" t="s">
        <v>348</v>
      </c>
      <c r="B3174" s="9" t="s">
        <v>347</v>
      </c>
      <c r="C3174" s="10">
        <v>45845</v>
      </c>
      <c r="D3174" s="15">
        <v>1.0707</v>
      </c>
      <c r="E3174" s="15">
        <v>1.0707</v>
      </c>
      <c r="F3174" s="15">
        <v>1.0707</v>
      </c>
      <c r="G3174" s="11">
        <v>0.0029</v>
      </c>
      <c r="H3174" s="9">
        <f>MAX($F$3008:F3174)</f>
        <v>1.0734</v>
      </c>
      <c r="I3174" s="11">
        <f t="shared" si="78"/>
        <v>0.00251537171604244</v>
      </c>
      <c r="J3174" s="9"/>
      <c r="K3174" s="11"/>
      <c r="L3174" s="9"/>
      <c r="M3174" s="11"/>
      <c r="N3174" s="9" t="s">
        <v>811</v>
      </c>
    </row>
    <row r="3175" ht="25" customHeight="1" spans="1:14">
      <c r="A3175" s="9" t="s">
        <v>348</v>
      </c>
      <c r="B3175" s="9" t="s">
        <v>347</v>
      </c>
      <c r="C3175" s="10">
        <v>45846</v>
      </c>
      <c r="D3175" s="15">
        <v>1.0687</v>
      </c>
      <c r="E3175" s="15">
        <v>1.0687</v>
      </c>
      <c r="F3175" s="15">
        <v>1.0687</v>
      </c>
      <c r="G3175" s="11">
        <v>-0.0019</v>
      </c>
      <c r="H3175" s="9">
        <f>MAX($F$3008:F3175)</f>
        <v>1.0734</v>
      </c>
      <c r="I3175" s="11">
        <f t="shared" si="78"/>
        <v>0.00437861002422202</v>
      </c>
      <c r="J3175" s="9"/>
      <c r="K3175" s="11"/>
      <c r="L3175" s="9"/>
      <c r="M3175" s="11"/>
      <c r="N3175" s="9" t="s">
        <v>811</v>
      </c>
    </row>
    <row r="3176" ht="25" customHeight="1" spans="1:14">
      <c r="A3176" s="9" t="s">
        <v>348</v>
      </c>
      <c r="B3176" s="9" t="s">
        <v>347</v>
      </c>
      <c r="C3176" s="10">
        <v>45847</v>
      </c>
      <c r="D3176" s="15">
        <v>1.0702</v>
      </c>
      <c r="E3176" s="15">
        <v>1.0702</v>
      </c>
      <c r="F3176" s="15">
        <v>1.0702</v>
      </c>
      <c r="G3176" s="11">
        <v>0.0014</v>
      </c>
      <c r="H3176" s="9">
        <f>MAX($F$3008:F3176)</f>
        <v>1.0734</v>
      </c>
      <c r="I3176" s="11">
        <f t="shared" si="78"/>
        <v>0.00298118129308722</v>
      </c>
      <c r="J3176" s="9"/>
      <c r="K3176" s="11"/>
      <c r="L3176" s="9"/>
      <c r="M3176" s="11"/>
      <c r="N3176" s="9" t="s">
        <v>811</v>
      </c>
    </row>
    <row r="3177" ht="25" customHeight="1" spans="1:14">
      <c r="A3177" s="9" t="s">
        <v>348</v>
      </c>
      <c r="B3177" s="9" t="s">
        <v>347</v>
      </c>
      <c r="C3177" s="10">
        <v>45848</v>
      </c>
      <c r="D3177" s="15">
        <v>1.0735</v>
      </c>
      <c r="E3177" s="15">
        <v>1.0735</v>
      </c>
      <c r="F3177" s="15">
        <v>1.0735</v>
      </c>
      <c r="G3177" s="11">
        <v>0.0031</v>
      </c>
      <c r="H3177" s="9">
        <f>MAX($F$3008:F3177)</f>
        <v>1.0735</v>
      </c>
      <c r="I3177" s="11">
        <f t="shared" si="78"/>
        <v>0</v>
      </c>
      <c r="J3177" s="9"/>
      <c r="K3177" s="11"/>
      <c r="L3177" s="9"/>
      <c r="M3177" s="11"/>
      <c r="N3177" s="9" t="s">
        <v>811</v>
      </c>
    </row>
    <row r="3178" ht="25" customHeight="1" spans="1:14">
      <c r="A3178" s="9" t="s">
        <v>348</v>
      </c>
      <c r="B3178" s="9" t="s">
        <v>347</v>
      </c>
      <c r="C3178" s="10">
        <v>45849</v>
      </c>
      <c r="D3178" s="15">
        <v>1.0699</v>
      </c>
      <c r="E3178" s="15">
        <v>1.0699</v>
      </c>
      <c r="F3178" s="15">
        <v>1.0699</v>
      </c>
      <c r="G3178" s="11">
        <v>-0.0034</v>
      </c>
      <c r="H3178" s="9">
        <f>MAX($F$3008:F3178)</f>
        <v>1.0735</v>
      </c>
      <c r="I3178" s="11">
        <f t="shared" si="78"/>
        <v>0.0033535165346994</v>
      </c>
      <c r="J3178" s="9"/>
      <c r="K3178" s="11"/>
      <c r="L3178" s="9"/>
      <c r="M3178" s="11"/>
      <c r="N3178" s="9" t="s">
        <v>811</v>
      </c>
    </row>
    <row r="3179" ht="25" customHeight="1" spans="1:14">
      <c r="A3179" s="9" t="s">
        <v>348</v>
      </c>
      <c r="B3179" s="9" t="s">
        <v>347</v>
      </c>
      <c r="C3179" s="10">
        <v>45852</v>
      </c>
      <c r="D3179" s="15">
        <v>1.0688</v>
      </c>
      <c r="E3179" s="15">
        <v>1.0688</v>
      </c>
      <c r="F3179" s="15">
        <v>1.0688</v>
      </c>
      <c r="G3179" s="11">
        <v>-0.001</v>
      </c>
      <c r="H3179" s="9">
        <f>MAX($F$3008:F3179)</f>
        <v>1.0735</v>
      </c>
      <c r="I3179" s="11">
        <f t="shared" si="78"/>
        <v>0.00437820214252438</v>
      </c>
      <c r="J3179" s="9"/>
      <c r="K3179" s="11"/>
      <c r="L3179" s="9"/>
      <c r="M3179" s="11"/>
      <c r="N3179" s="9" t="s">
        <v>811</v>
      </c>
    </row>
    <row r="3180" ht="25" customHeight="1" spans="1:14">
      <c r="A3180" s="9" t="s">
        <v>348</v>
      </c>
      <c r="B3180" s="9" t="s">
        <v>347</v>
      </c>
      <c r="C3180" s="10">
        <v>45856</v>
      </c>
      <c r="D3180" s="15">
        <v>1.0683</v>
      </c>
      <c r="E3180" s="15">
        <v>1.0683</v>
      </c>
      <c r="F3180" s="15">
        <v>1.0683</v>
      </c>
      <c r="G3180" s="11">
        <v>-0.0005</v>
      </c>
      <c r="H3180" s="9">
        <f>MAX($F$3008:F3180)</f>
        <v>1.0735</v>
      </c>
      <c r="I3180" s="11">
        <f t="shared" si="78"/>
        <v>0.00484396832789924</v>
      </c>
      <c r="J3180" s="9"/>
      <c r="K3180" s="11"/>
      <c r="L3180" s="9"/>
      <c r="M3180" s="11"/>
      <c r="N3180" s="9" t="s">
        <v>811</v>
      </c>
    </row>
    <row r="3181" ht="25" customHeight="1" spans="1:14">
      <c r="A3181" s="9" t="s">
        <v>348</v>
      </c>
      <c r="B3181" s="9" t="s">
        <v>347</v>
      </c>
      <c r="C3181" s="10">
        <v>45863</v>
      </c>
      <c r="D3181" s="15">
        <v>1.0669</v>
      </c>
      <c r="E3181" s="15">
        <v>1.0669</v>
      </c>
      <c r="F3181" s="15">
        <v>1.0669</v>
      </c>
      <c r="G3181" s="11">
        <v>-0.0013</v>
      </c>
      <c r="H3181" s="9">
        <f>MAX($F$3008:F3181)</f>
        <v>1.0735</v>
      </c>
      <c r="I3181" s="11">
        <f t="shared" si="78"/>
        <v>0.00614811364694923</v>
      </c>
      <c r="J3181" s="9"/>
      <c r="K3181" s="11"/>
      <c r="L3181" s="9"/>
      <c r="M3181" s="11"/>
      <c r="N3181" s="9" t="s">
        <v>811</v>
      </c>
    </row>
    <row r="3182" ht="25" customHeight="1" spans="1:14">
      <c r="A3182" s="9" t="s">
        <v>348</v>
      </c>
      <c r="B3182" s="9" t="s">
        <v>347</v>
      </c>
      <c r="C3182" s="10">
        <v>45870</v>
      </c>
      <c r="D3182" s="15">
        <v>1.0681</v>
      </c>
      <c r="E3182" s="15">
        <v>1.0681</v>
      </c>
      <c r="F3182" s="15">
        <v>1.0681</v>
      </c>
      <c r="G3182" s="11">
        <v>0.0011</v>
      </c>
      <c r="H3182" s="9">
        <f>MAX($F$3008:F3182)</f>
        <v>1.0735</v>
      </c>
      <c r="I3182" s="11">
        <f t="shared" si="78"/>
        <v>0.00503027480204921</v>
      </c>
      <c r="J3182" s="9"/>
      <c r="K3182" s="11"/>
      <c r="L3182" s="9"/>
      <c r="M3182" s="11"/>
      <c r="N3182" s="9" t="s">
        <v>811</v>
      </c>
    </row>
    <row r="3183" ht="25" customHeight="1" spans="1:14">
      <c r="A3183" s="9" t="s">
        <v>348</v>
      </c>
      <c r="B3183" s="9" t="s">
        <v>347</v>
      </c>
      <c r="C3183" s="10">
        <v>45877</v>
      </c>
      <c r="D3183" s="15">
        <v>1.0675</v>
      </c>
      <c r="E3183" s="15">
        <v>1.0675</v>
      </c>
      <c r="F3183" s="15">
        <v>1.0675</v>
      </c>
      <c r="G3183" s="11">
        <v>-0.0006</v>
      </c>
      <c r="H3183" s="9">
        <f>MAX($F$3008:F3183)</f>
        <v>1.0735</v>
      </c>
      <c r="I3183" s="11">
        <f t="shared" si="78"/>
        <v>0.00558919422449933</v>
      </c>
      <c r="J3183" s="9"/>
      <c r="K3183" s="11"/>
      <c r="L3183" s="9"/>
      <c r="M3183" s="11"/>
      <c r="N3183" s="9" t="s">
        <v>811</v>
      </c>
    </row>
    <row r="3184" ht="25" customHeight="1" spans="1:14">
      <c r="A3184" s="9" t="s">
        <v>348</v>
      </c>
      <c r="B3184" s="9" t="s">
        <v>347</v>
      </c>
      <c r="C3184" s="10">
        <v>45884</v>
      </c>
      <c r="D3184" s="15">
        <v>1.0685</v>
      </c>
      <c r="E3184" s="15">
        <v>1.0685</v>
      </c>
      <c r="F3184" s="15">
        <v>1.0685</v>
      </c>
      <c r="G3184" s="11">
        <v>0.0009</v>
      </c>
      <c r="H3184" s="9">
        <f>MAX($F$3008:F3184)</f>
        <v>1.0735</v>
      </c>
      <c r="I3184" s="11">
        <f t="shared" si="78"/>
        <v>0.00465766185374927</v>
      </c>
      <c r="J3184" s="9"/>
      <c r="K3184" s="11"/>
      <c r="L3184" s="9"/>
      <c r="M3184" s="11"/>
      <c r="N3184" s="9" t="s">
        <v>811</v>
      </c>
    </row>
    <row r="3185" ht="25" customHeight="1" spans="1:14">
      <c r="A3185" s="9" t="s">
        <v>348</v>
      </c>
      <c r="B3185" s="9" t="s">
        <v>347</v>
      </c>
      <c r="C3185" s="10">
        <v>45891</v>
      </c>
      <c r="D3185" s="15">
        <v>1.0709</v>
      </c>
      <c r="E3185" s="15">
        <v>1.0709</v>
      </c>
      <c r="F3185" s="15">
        <v>1.0709</v>
      </c>
      <c r="G3185" s="11">
        <v>0.0022</v>
      </c>
      <c r="H3185" s="9">
        <f>MAX($F$3008:F3185)</f>
        <v>1.0735</v>
      </c>
      <c r="I3185" s="11">
        <f t="shared" si="78"/>
        <v>0.00242198416394968</v>
      </c>
      <c r="J3185" s="9"/>
      <c r="K3185" s="11"/>
      <c r="L3185" s="9"/>
      <c r="M3185" s="11"/>
      <c r="N3185" s="9" t="s">
        <v>811</v>
      </c>
    </row>
    <row r="3186" ht="25" customHeight="1" spans="1:14">
      <c r="A3186" s="9" t="s">
        <v>348</v>
      </c>
      <c r="B3186" s="9" t="s">
        <v>347</v>
      </c>
      <c r="C3186" s="10">
        <v>45898</v>
      </c>
      <c r="D3186" s="15">
        <v>1.0695</v>
      </c>
      <c r="E3186" s="15">
        <v>1.0695</v>
      </c>
      <c r="F3186" s="15">
        <v>1.0695</v>
      </c>
      <c r="G3186" s="11">
        <v>-0.0013</v>
      </c>
      <c r="H3186" s="9">
        <f>MAX($F$3008:F3186)</f>
        <v>1.0735</v>
      </c>
      <c r="I3186" s="11">
        <f t="shared" si="78"/>
        <v>0.00372612948299955</v>
      </c>
      <c r="J3186" s="9">
        <f>MAX($F$3186:F3186)</f>
        <v>1.0695</v>
      </c>
      <c r="K3186" s="11">
        <f t="shared" ref="K3186:K3238" si="79">1-F3186/J3186</f>
        <v>0</v>
      </c>
      <c r="L3186" s="9"/>
      <c r="M3186" s="11"/>
      <c r="N3186" s="9" t="s">
        <v>811</v>
      </c>
    </row>
    <row r="3187" ht="25" customHeight="1" spans="1:14">
      <c r="A3187" s="9" t="s">
        <v>348</v>
      </c>
      <c r="B3187" s="9" t="s">
        <v>347</v>
      </c>
      <c r="C3187" s="10">
        <v>45905</v>
      </c>
      <c r="D3187" s="15">
        <v>1.0656</v>
      </c>
      <c r="E3187" s="15">
        <v>1.0656</v>
      </c>
      <c r="F3187" s="15">
        <v>1.0656</v>
      </c>
      <c r="G3187" s="11">
        <v>-0.0036</v>
      </c>
      <c r="H3187" s="9">
        <f>MAX($F$3008:F3187)</f>
        <v>1.0735</v>
      </c>
      <c r="I3187" s="11">
        <f t="shared" si="78"/>
        <v>0.00735910572892384</v>
      </c>
      <c r="J3187" s="9">
        <f>MAX($F$3186:F3187)</f>
        <v>1.0695</v>
      </c>
      <c r="K3187" s="11">
        <f t="shared" si="79"/>
        <v>0.00364656381486661</v>
      </c>
      <c r="L3187" s="9"/>
      <c r="M3187" s="11"/>
      <c r="N3187" s="9" t="s">
        <v>811</v>
      </c>
    </row>
    <row r="3188" ht="25" customHeight="1" spans="1:14">
      <c r="A3188" s="9" t="s">
        <v>348</v>
      </c>
      <c r="B3188" s="9" t="s">
        <v>347</v>
      </c>
      <c r="C3188" s="10">
        <v>45912</v>
      </c>
      <c r="D3188" s="15">
        <v>1.0661</v>
      </c>
      <c r="E3188" s="15">
        <v>1.0661</v>
      </c>
      <c r="F3188" s="15">
        <v>1.0661</v>
      </c>
      <c r="G3188" s="11">
        <v>0.0005</v>
      </c>
      <c r="H3188" s="9">
        <f>MAX($F$3008:F3188)</f>
        <v>1.0735</v>
      </c>
      <c r="I3188" s="11">
        <f t="shared" si="78"/>
        <v>0.00689333954354898</v>
      </c>
      <c r="J3188" s="9">
        <f>MAX($F$3186:F3188)</f>
        <v>1.0695</v>
      </c>
      <c r="K3188" s="11">
        <f t="shared" si="79"/>
        <v>0.00317905563347343</v>
      </c>
      <c r="L3188" s="9"/>
      <c r="M3188" s="11"/>
      <c r="N3188" s="9" t="s">
        <v>811</v>
      </c>
    </row>
    <row r="3189" ht="25" customHeight="1" spans="1:14">
      <c r="A3189" s="9" t="s">
        <v>348</v>
      </c>
      <c r="B3189" s="9" t="s">
        <v>347</v>
      </c>
      <c r="C3189" s="10">
        <v>45919</v>
      </c>
      <c r="D3189" s="15">
        <v>1.0687</v>
      </c>
      <c r="E3189" s="15">
        <v>1.0687</v>
      </c>
      <c r="F3189" s="15">
        <v>1.0687</v>
      </c>
      <c r="G3189" s="11">
        <v>0.0024</v>
      </c>
      <c r="H3189" s="9">
        <f>MAX($F$3008:F3189)</f>
        <v>1.0735</v>
      </c>
      <c r="I3189" s="11">
        <f t="shared" si="78"/>
        <v>0.00447135537959942</v>
      </c>
      <c r="J3189" s="9">
        <f>MAX($F$3186:F3189)</f>
        <v>1.0695</v>
      </c>
      <c r="K3189" s="11">
        <f t="shared" si="79"/>
        <v>0.000748013090228983</v>
      </c>
      <c r="L3189" s="9"/>
      <c r="M3189" s="11"/>
      <c r="N3189" s="9" t="s">
        <v>811</v>
      </c>
    </row>
    <row r="3190" ht="25" customHeight="1" spans="1:14">
      <c r="A3190" s="9" t="s">
        <v>348</v>
      </c>
      <c r="B3190" s="9" t="s">
        <v>347</v>
      </c>
      <c r="C3190" s="10">
        <v>45926</v>
      </c>
      <c r="D3190" s="15">
        <v>1.0674</v>
      </c>
      <c r="E3190" s="15">
        <v>1.0674</v>
      </c>
      <c r="F3190" s="15">
        <v>1.0674</v>
      </c>
      <c r="G3190" s="11">
        <v>-0.0012</v>
      </c>
      <c r="H3190" s="9">
        <f>MAX($F$3008:F3190)</f>
        <v>1.0735</v>
      </c>
      <c r="I3190" s="11">
        <f t="shared" si="78"/>
        <v>0.00568234746157426</v>
      </c>
      <c r="J3190" s="9">
        <f>MAX($F$3186:F3190)</f>
        <v>1.0695</v>
      </c>
      <c r="K3190" s="11">
        <f t="shared" si="79"/>
        <v>0.00196353436185137</v>
      </c>
      <c r="L3190" s="9"/>
      <c r="M3190" s="11"/>
      <c r="N3190" s="9" t="s">
        <v>811</v>
      </c>
    </row>
    <row r="3191" ht="25" customHeight="1" spans="1:14">
      <c r="A3191" s="9" t="s">
        <v>348</v>
      </c>
      <c r="B3191" s="9" t="s">
        <v>347</v>
      </c>
      <c r="C3191" s="10">
        <v>45930</v>
      </c>
      <c r="D3191" s="15">
        <v>1.0708</v>
      </c>
      <c r="E3191" s="15">
        <v>1.0708</v>
      </c>
      <c r="F3191" s="15">
        <v>1.0708</v>
      </c>
      <c r="G3191" s="11">
        <v>0.0032</v>
      </c>
      <c r="H3191" s="9">
        <f>MAX($F$3008:F3191)</f>
        <v>1.0735</v>
      </c>
      <c r="I3191" s="11">
        <f t="shared" si="78"/>
        <v>0.0025151374010246</v>
      </c>
      <c r="J3191" s="9">
        <f>MAX($F$3186:F3191)</f>
        <v>1.0708</v>
      </c>
      <c r="K3191" s="11">
        <f t="shared" si="79"/>
        <v>0</v>
      </c>
      <c r="L3191" s="9"/>
      <c r="M3191" s="11"/>
      <c r="N3191" s="9" t="s">
        <v>811</v>
      </c>
    </row>
    <row r="3192" ht="25" customHeight="1" spans="1:14">
      <c r="A3192" s="9" t="s">
        <v>348</v>
      </c>
      <c r="B3192" s="9" t="s">
        <v>347</v>
      </c>
      <c r="C3192" s="10">
        <v>45940</v>
      </c>
      <c r="D3192" s="15">
        <v>1.0792</v>
      </c>
      <c r="E3192" s="15">
        <v>1.0792</v>
      </c>
      <c r="F3192" s="15">
        <v>1.0792</v>
      </c>
      <c r="G3192" s="11">
        <v>0.0078</v>
      </c>
      <c r="H3192" s="9">
        <f>MAX($F$3008:F3192)</f>
        <v>1.0792</v>
      </c>
      <c r="I3192" s="11">
        <f t="shared" si="78"/>
        <v>0</v>
      </c>
      <c r="J3192" s="9">
        <f>MAX($F$3186:F3192)</f>
        <v>1.0792</v>
      </c>
      <c r="K3192" s="11">
        <f t="shared" si="79"/>
        <v>0</v>
      </c>
      <c r="L3192" s="9"/>
      <c r="M3192" s="11"/>
      <c r="N3192" s="9" t="s">
        <v>811</v>
      </c>
    </row>
    <row r="3193" ht="25" customHeight="1" spans="1:14">
      <c r="A3193" s="9" t="s">
        <v>348</v>
      </c>
      <c r="B3193" s="9" t="s">
        <v>347</v>
      </c>
      <c r="C3193" s="10">
        <v>45947</v>
      </c>
      <c r="D3193" s="15">
        <v>1.0808</v>
      </c>
      <c r="E3193" s="15">
        <v>1.0808</v>
      </c>
      <c r="F3193" s="15">
        <v>1.0808</v>
      </c>
      <c r="G3193" s="11">
        <v>0.0015</v>
      </c>
      <c r="H3193" s="9">
        <f>MAX($F$3008:F3193)</f>
        <v>1.0808</v>
      </c>
      <c r="I3193" s="11">
        <f t="shared" si="78"/>
        <v>0</v>
      </c>
      <c r="J3193" s="9">
        <f>MAX($F$3186:F3193)</f>
        <v>1.0808</v>
      </c>
      <c r="K3193" s="11">
        <f t="shared" si="79"/>
        <v>0</v>
      </c>
      <c r="L3193" s="9"/>
      <c r="M3193" s="11"/>
      <c r="N3193" s="9" t="s">
        <v>811</v>
      </c>
    </row>
    <row r="3194" ht="25" customHeight="1" spans="1:14">
      <c r="A3194" s="9" t="s">
        <v>348</v>
      </c>
      <c r="B3194" s="9" t="s">
        <v>347</v>
      </c>
      <c r="C3194" s="10">
        <v>45954</v>
      </c>
      <c r="D3194" s="15">
        <v>1.088</v>
      </c>
      <c r="E3194" s="15">
        <v>1.088</v>
      </c>
      <c r="F3194" s="15">
        <v>1.088</v>
      </c>
      <c r="G3194" s="11">
        <v>0.0067</v>
      </c>
      <c r="H3194" s="9">
        <f>MAX($F$3008:F3194)</f>
        <v>1.088</v>
      </c>
      <c r="I3194" s="11">
        <f t="shared" si="78"/>
        <v>0</v>
      </c>
      <c r="J3194" s="9">
        <f>MAX($F$3186:F3194)</f>
        <v>1.088</v>
      </c>
      <c r="K3194" s="11">
        <f t="shared" si="79"/>
        <v>0</v>
      </c>
      <c r="L3194" s="9"/>
      <c r="M3194" s="11"/>
      <c r="N3194" s="9" t="s">
        <v>811</v>
      </c>
    </row>
    <row r="3195" ht="25" customHeight="1" spans="1:14">
      <c r="A3195" s="9" t="s">
        <v>348</v>
      </c>
      <c r="B3195" s="9" t="s">
        <v>347</v>
      </c>
      <c r="C3195" s="10">
        <v>45961</v>
      </c>
      <c r="D3195" s="15">
        <v>1.09</v>
      </c>
      <c r="E3195" s="15">
        <v>1.09</v>
      </c>
      <c r="F3195" s="15">
        <v>1.09</v>
      </c>
      <c r="G3195" s="11">
        <v>0.0018</v>
      </c>
      <c r="H3195" s="9">
        <f>MAX($F$3008:F3195)</f>
        <v>1.09</v>
      </c>
      <c r="I3195" s="11">
        <f t="shared" si="78"/>
        <v>0</v>
      </c>
      <c r="J3195" s="9">
        <f>MAX($F$3186:F3195)</f>
        <v>1.09</v>
      </c>
      <c r="K3195" s="11">
        <f t="shared" si="79"/>
        <v>0</v>
      </c>
      <c r="L3195" s="9"/>
      <c r="M3195" s="11"/>
      <c r="N3195" s="9" t="s">
        <v>811</v>
      </c>
    </row>
    <row r="3196" ht="25" customHeight="1" spans="1:14">
      <c r="A3196" s="9" t="s">
        <v>348</v>
      </c>
      <c r="B3196" s="9" t="s">
        <v>347</v>
      </c>
      <c r="C3196" s="10">
        <v>45968</v>
      </c>
      <c r="D3196" s="15">
        <v>1.0937</v>
      </c>
      <c r="E3196" s="15">
        <v>1.0937</v>
      </c>
      <c r="F3196" s="15">
        <v>1.0937</v>
      </c>
      <c r="G3196" s="11">
        <v>0.0034</v>
      </c>
      <c r="H3196" s="9">
        <f>MAX($F$3008:F3196)</f>
        <v>1.0937</v>
      </c>
      <c r="I3196" s="11">
        <f t="shared" si="78"/>
        <v>0</v>
      </c>
      <c r="J3196" s="9">
        <f>MAX($F$3186:F3196)</f>
        <v>1.0937</v>
      </c>
      <c r="K3196" s="11">
        <f t="shared" si="79"/>
        <v>0</v>
      </c>
      <c r="L3196" s="9"/>
      <c r="M3196" s="11"/>
      <c r="N3196" s="9" t="s">
        <v>811</v>
      </c>
    </row>
    <row r="3197" ht="25" customHeight="1" spans="1:14">
      <c r="A3197" s="9" t="s">
        <v>348</v>
      </c>
      <c r="B3197" s="9" t="s">
        <v>347</v>
      </c>
      <c r="C3197" s="10">
        <v>45975</v>
      </c>
      <c r="D3197" s="15">
        <v>1.0925</v>
      </c>
      <c r="E3197" s="15">
        <v>1.0925</v>
      </c>
      <c r="F3197" s="15">
        <v>1.0925</v>
      </c>
      <c r="G3197" s="11">
        <v>-0.0011</v>
      </c>
      <c r="H3197" s="9">
        <f>MAX($F$3008:F3197)</f>
        <v>1.0937</v>
      </c>
      <c r="I3197" s="11">
        <f t="shared" si="78"/>
        <v>0.0010971930145377</v>
      </c>
      <c r="J3197" s="9">
        <f>MAX($F$3186:F3197)</f>
        <v>1.0937</v>
      </c>
      <c r="K3197" s="11">
        <f t="shared" si="79"/>
        <v>0.0010971930145377</v>
      </c>
      <c r="L3197" s="9"/>
      <c r="M3197" s="11"/>
      <c r="N3197" s="9" t="s">
        <v>811</v>
      </c>
    </row>
    <row r="3198" ht="25" customHeight="1" spans="1:14">
      <c r="A3198" s="9" t="s">
        <v>348</v>
      </c>
      <c r="B3198" s="9" t="s">
        <v>347</v>
      </c>
      <c r="C3198" s="10">
        <v>45982</v>
      </c>
      <c r="D3198" s="15">
        <v>1.1061</v>
      </c>
      <c r="E3198" s="15">
        <v>1.1061</v>
      </c>
      <c r="F3198" s="15">
        <v>1.1061</v>
      </c>
      <c r="G3198" s="11">
        <v>0.0124</v>
      </c>
      <c r="H3198" s="9">
        <f>MAX($F$3008:F3198)</f>
        <v>1.1061</v>
      </c>
      <c r="I3198" s="11">
        <f t="shared" si="78"/>
        <v>0</v>
      </c>
      <c r="J3198" s="9">
        <f>MAX($F$3186:F3198)</f>
        <v>1.1061</v>
      </c>
      <c r="K3198" s="11">
        <f t="shared" si="79"/>
        <v>0</v>
      </c>
      <c r="L3198" s="9"/>
      <c r="M3198" s="11"/>
      <c r="N3198" s="9" t="s">
        <v>811</v>
      </c>
    </row>
    <row r="3199" ht="25" customHeight="1" spans="1:14">
      <c r="A3199" s="9" t="s">
        <v>348</v>
      </c>
      <c r="B3199" s="9" t="s">
        <v>347</v>
      </c>
      <c r="C3199" s="10">
        <v>45989</v>
      </c>
      <c r="D3199" s="15">
        <v>1.1033</v>
      </c>
      <c r="E3199" s="15">
        <v>1.1033</v>
      </c>
      <c r="F3199" s="15">
        <v>1.1033</v>
      </c>
      <c r="G3199" s="11">
        <v>-0.0025</v>
      </c>
      <c r="H3199" s="9">
        <f>MAX($F$3008:F3199)</f>
        <v>1.1061</v>
      </c>
      <c r="I3199" s="11">
        <f t="shared" si="78"/>
        <v>0.00253141668926871</v>
      </c>
      <c r="J3199" s="9">
        <f>MAX($F$3186:F3199)</f>
        <v>1.1061</v>
      </c>
      <c r="K3199" s="11">
        <f t="shared" si="79"/>
        <v>0.00253141668926871</v>
      </c>
      <c r="L3199" s="9"/>
      <c r="M3199" s="11"/>
      <c r="N3199" s="9" t="s">
        <v>811</v>
      </c>
    </row>
    <row r="3200" ht="25" customHeight="1" spans="1:14">
      <c r="A3200" s="9" t="s">
        <v>348</v>
      </c>
      <c r="B3200" s="9" t="s">
        <v>347</v>
      </c>
      <c r="C3200" s="10">
        <v>45996</v>
      </c>
      <c r="D3200" s="15">
        <v>1.1043</v>
      </c>
      <c r="E3200" s="15">
        <v>1.1043</v>
      </c>
      <c r="F3200" s="15">
        <v>1.1043</v>
      </c>
      <c r="G3200" s="11">
        <v>0.0009</v>
      </c>
      <c r="H3200" s="9">
        <f>MAX($F$3008:F3200)</f>
        <v>1.1061</v>
      </c>
      <c r="I3200" s="11">
        <f t="shared" si="78"/>
        <v>0.00162733930024417</v>
      </c>
      <c r="J3200" s="9">
        <f>MAX($F$3186:F3200)</f>
        <v>1.1061</v>
      </c>
      <c r="K3200" s="11">
        <f t="shared" si="79"/>
        <v>0.00162733930024417</v>
      </c>
      <c r="L3200" s="9"/>
      <c r="M3200" s="11"/>
      <c r="N3200" s="9" t="s">
        <v>811</v>
      </c>
    </row>
    <row r="3201" ht="25" customHeight="1" spans="1:14">
      <c r="A3201" s="9" t="s">
        <v>348</v>
      </c>
      <c r="B3201" s="9" t="s">
        <v>347</v>
      </c>
      <c r="C3201" s="10">
        <v>46003</v>
      </c>
      <c r="D3201" s="15">
        <v>1.1087</v>
      </c>
      <c r="E3201" s="15">
        <v>1.1087</v>
      </c>
      <c r="F3201" s="15">
        <v>1.1087</v>
      </c>
      <c r="G3201" s="11">
        <v>0.004</v>
      </c>
      <c r="H3201" s="9">
        <f>MAX($F$3008:F3201)</f>
        <v>1.1087</v>
      </c>
      <c r="I3201" s="11">
        <f t="shared" si="78"/>
        <v>0</v>
      </c>
      <c r="J3201" s="9">
        <f>MAX($F$3186:F3201)</f>
        <v>1.1087</v>
      </c>
      <c r="K3201" s="11">
        <f t="shared" si="79"/>
        <v>0</v>
      </c>
      <c r="L3201" s="9"/>
      <c r="M3201" s="11"/>
      <c r="N3201" s="9" t="s">
        <v>811</v>
      </c>
    </row>
    <row r="3202" ht="25" customHeight="1" spans="1:14">
      <c r="A3202" s="9" t="s">
        <v>348</v>
      </c>
      <c r="B3202" s="9" t="s">
        <v>347</v>
      </c>
      <c r="C3202" s="10">
        <v>46010</v>
      </c>
      <c r="D3202" s="15">
        <v>1.1109</v>
      </c>
      <c r="E3202" s="15">
        <v>1.1109</v>
      </c>
      <c r="F3202" s="15">
        <v>1.1109</v>
      </c>
      <c r="G3202" s="11">
        <v>0.002</v>
      </c>
      <c r="H3202" s="9">
        <f>MAX($F$3008:F3202)</f>
        <v>1.1109</v>
      </c>
      <c r="I3202" s="11">
        <f t="shared" ref="I3202:I3265" si="80">1-F3202/H3202</f>
        <v>0</v>
      </c>
      <c r="J3202" s="9">
        <f>MAX($F$3186:F3202)</f>
        <v>1.1109</v>
      </c>
      <c r="K3202" s="11">
        <f t="shared" si="79"/>
        <v>0</v>
      </c>
      <c r="L3202" s="9"/>
      <c r="M3202" s="11"/>
      <c r="N3202" s="9" t="s">
        <v>811</v>
      </c>
    </row>
    <row r="3203" ht="25" customHeight="1" spans="1:14">
      <c r="A3203" s="9" t="s">
        <v>348</v>
      </c>
      <c r="B3203" s="9" t="s">
        <v>347</v>
      </c>
      <c r="C3203" s="10">
        <v>46017</v>
      </c>
      <c r="D3203" s="15">
        <v>1.1149</v>
      </c>
      <c r="E3203" s="15">
        <v>1.1149</v>
      </c>
      <c r="F3203" s="15">
        <v>1.1149</v>
      </c>
      <c r="G3203" s="11">
        <v>0.0036</v>
      </c>
      <c r="H3203" s="9">
        <f>MAX($F$3008:F3203)</f>
        <v>1.1149</v>
      </c>
      <c r="I3203" s="11">
        <f t="shared" si="80"/>
        <v>0</v>
      </c>
      <c r="J3203" s="9">
        <f>MAX($F$3186:F3203)</f>
        <v>1.1149</v>
      </c>
      <c r="K3203" s="11">
        <f t="shared" si="79"/>
        <v>0</v>
      </c>
      <c r="L3203" s="9"/>
      <c r="M3203" s="11"/>
      <c r="N3203" s="9" t="s">
        <v>811</v>
      </c>
    </row>
    <row r="3204" ht="25" customHeight="1" spans="1:14">
      <c r="A3204" s="9" t="s">
        <v>348</v>
      </c>
      <c r="B3204" s="9" t="s">
        <v>347</v>
      </c>
      <c r="C3204" s="10">
        <v>46022</v>
      </c>
      <c r="D3204" s="15">
        <v>1.1168</v>
      </c>
      <c r="E3204" s="15">
        <v>1.1168</v>
      </c>
      <c r="F3204" s="15">
        <v>1.1168</v>
      </c>
      <c r="G3204" s="11">
        <v>0.0017</v>
      </c>
      <c r="H3204" s="9">
        <f>MAX($F$3008:F3204)</f>
        <v>1.1168</v>
      </c>
      <c r="I3204" s="11">
        <f t="shared" si="80"/>
        <v>0</v>
      </c>
      <c r="J3204" s="9">
        <f>MAX($F$3186:F3204)</f>
        <v>1.1168</v>
      </c>
      <c r="K3204" s="11">
        <f t="shared" si="79"/>
        <v>0</v>
      </c>
      <c r="L3204" s="9"/>
      <c r="M3204" s="11"/>
      <c r="N3204" s="9" t="s">
        <v>811</v>
      </c>
    </row>
    <row r="3205" ht="25" customHeight="1" spans="1:14">
      <c r="A3205" s="9" t="s">
        <v>348</v>
      </c>
      <c r="B3205" s="9" t="s">
        <v>347</v>
      </c>
      <c r="C3205" s="10">
        <v>46031</v>
      </c>
      <c r="D3205" s="15">
        <v>1.1206</v>
      </c>
      <c r="E3205" s="15">
        <v>1.1206</v>
      </c>
      <c r="F3205" s="15">
        <v>1.1206</v>
      </c>
      <c r="G3205" s="11">
        <v>0.0034</v>
      </c>
      <c r="H3205" s="9">
        <f>MAX($F$3008:F3205)</f>
        <v>1.1206</v>
      </c>
      <c r="I3205" s="11">
        <f t="shared" si="80"/>
        <v>0</v>
      </c>
      <c r="J3205" s="9">
        <f>MAX($F$3186:F3205)</f>
        <v>1.1206</v>
      </c>
      <c r="K3205" s="11">
        <f t="shared" si="79"/>
        <v>0</v>
      </c>
      <c r="L3205" s="9"/>
      <c r="M3205" s="11"/>
      <c r="N3205" s="9" t="s">
        <v>811</v>
      </c>
    </row>
    <row r="3206" ht="25" customHeight="1" spans="1:14">
      <c r="A3206" s="9" t="s">
        <v>348</v>
      </c>
      <c r="B3206" s="9" t="s">
        <v>347</v>
      </c>
      <c r="C3206" s="10">
        <v>46038</v>
      </c>
      <c r="D3206" s="15">
        <v>1.121</v>
      </c>
      <c r="E3206" s="15">
        <v>1.121</v>
      </c>
      <c r="F3206" s="15">
        <v>1.121</v>
      </c>
      <c r="G3206" s="11">
        <v>0.0004</v>
      </c>
      <c r="H3206" s="9">
        <f>MAX($F$3008:F3206)</f>
        <v>1.121</v>
      </c>
      <c r="I3206" s="11">
        <f t="shared" si="80"/>
        <v>0</v>
      </c>
      <c r="J3206" s="9">
        <f>MAX($F$3186:F3206)</f>
        <v>1.121</v>
      </c>
      <c r="K3206" s="11">
        <f t="shared" si="79"/>
        <v>0</v>
      </c>
      <c r="L3206" s="9"/>
      <c r="M3206" s="11"/>
      <c r="N3206" s="9" t="s">
        <v>811</v>
      </c>
    </row>
    <row r="3207" ht="25" customHeight="1" spans="1:14">
      <c r="A3207" s="9" t="s">
        <v>348</v>
      </c>
      <c r="B3207" s="9" t="s">
        <v>347</v>
      </c>
      <c r="C3207" s="10">
        <v>46045</v>
      </c>
      <c r="D3207" s="15">
        <v>1.1262</v>
      </c>
      <c r="E3207" s="15">
        <v>1.1262</v>
      </c>
      <c r="F3207" s="15">
        <v>1.1262</v>
      </c>
      <c r="G3207" s="11">
        <v>0.0046</v>
      </c>
      <c r="H3207" s="9">
        <f>MAX($F$3008:F3207)</f>
        <v>1.1262</v>
      </c>
      <c r="I3207" s="11">
        <f t="shared" si="80"/>
        <v>0</v>
      </c>
      <c r="J3207" s="9">
        <f>MAX($F$3186:F3207)</f>
        <v>1.1262</v>
      </c>
      <c r="K3207" s="11">
        <f t="shared" si="79"/>
        <v>0</v>
      </c>
      <c r="L3207" s="9"/>
      <c r="M3207" s="11"/>
      <c r="N3207" s="9" t="s">
        <v>811</v>
      </c>
    </row>
    <row r="3208" ht="25" customHeight="1" spans="1:14">
      <c r="A3208" s="9" t="s">
        <v>348</v>
      </c>
      <c r="B3208" s="9" t="s">
        <v>347</v>
      </c>
      <c r="C3208" s="10">
        <v>46052</v>
      </c>
      <c r="D3208" s="15">
        <v>1.1583</v>
      </c>
      <c r="E3208" s="15">
        <v>1.1583</v>
      </c>
      <c r="F3208" s="15">
        <v>1.1583</v>
      </c>
      <c r="G3208" s="11">
        <v>0.0285</v>
      </c>
      <c r="H3208" s="9">
        <f>MAX($F$3008:F3208)</f>
        <v>1.1583</v>
      </c>
      <c r="I3208" s="11">
        <f t="shared" si="80"/>
        <v>0</v>
      </c>
      <c r="J3208" s="9">
        <f>MAX($F$3186:F3208)</f>
        <v>1.1583</v>
      </c>
      <c r="K3208" s="11">
        <f t="shared" si="79"/>
        <v>0</v>
      </c>
      <c r="L3208" s="9"/>
      <c r="M3208" s="11"/>
      <c r="N3208" s="9" t="s">
        <v>811</v>
      </c>
    </row>
    <row r="3209" ht="25" customHeight="1" spans="1:14">
      <c r="A3209" s="9" t="s">
        <v>348</v>
      </c>
      <c r="B3209" s="9" t="s">
        <v>347</v>
      </c>
      <c r="C3209" s="10">
        <v>46059</v>
      </c>
      <c r="D3209" s="15">
        <v>1.1709</v>
      </c>
      <c r="E3209" s="15">
        <v>1.1709</v>
      </c>
      <c r="F3209" s="15">
        <v>1.1709</v>
      </c>
      <c r="G3209" s="11">
        <v>0.0109</v>
      </c>
      <c r="H3209" s="9">
        <f>MAX($F$3008:F3209)</f>
        <v>1.1709</v>
      </c>
      <c r="I3209" s="11">
        <f t="shared" si="80"/>
        <v>0</v>
      </c>
      <c r="J3209" s="9">
        <f>MAX($F$3186:F3209)</f>
        <v>1.1709</v>
      </c>
      <c r="K3209" s="11">
        <f t="shared" si="79"/>
        <v>0</v>
      </c>
      <c r="L3209" s="9"/>
      <c r="M3209" s="11"/>
      <c r="N3209" s="9" t="s">
        <v>811</v>
      </c>
    </row>
    <row r="3210" ht="25" customHeight="1" spans="1:14">
      <c r="A3210" s="9" t="s">
        <v>348</v>
      </c>
      <c r="B3210" s="9" t="s">
        <v>347</v>
      </c>
      <c r="C3210" s="10">
        <v>46066</v>
      </c>
      <c r="D3210" s="15">
        <v>1.1788</v>
      </c>
      <c r="E3210" s="15">
        <v>1.1788</v>
      </c>
      <c r="F3210" s="15">
        <v>1.1788</v>
      </c>
      <c r="G3210" s="11">
        <v>0.0067</v>
      </c>
      <c r="H3210" s="9">
        <f>MAX($F$3008:F3210)</f>
        <v>1.1788</v>
      </c>
      <c r="I3210" s="11">
        <f t="shared" si="80"/>
        <v>0</v>
      </c>
      <c r="J3210" s="9">
        <f>MAX($F$3186:F3210)</f>
        <v>1.1788</v>
      </c>
      <c r="K3210" s="11">
        <f t="shared" si="79"/>
        <v>0</v>
      </c>
      <c r="L3210" s="9"/>
      <c r="M3210" s="11"/>
      <c r="N3210" s="9" t="s">
        <v>811</v>
      </c>
    </row>
    <row r="3211" ht="25" customHeight="1" spans="1:14">
      <c r="A3211" s="9" t="s">
        <v>348</v>
      </c>
      <c r="B3211" s="9" t="s">
        <v>347</v>
      </c>
      <c r="C3211" s="10">
        <v>46080</v>
      </c>
      <c r="D3211" s="15">
        <v>1.1818</v>
      </c>
      <c r="E3211" s="15">
        <v>1.1818</v>
      </c>
      <c r="F3211" s="15">
        <v>1.1818</v>
      </c>
      <c r="G3211" s="11">
        <v>0.0025</v>
      </c>
      <c r="H3211" s="9">
        <f>MAX($F$3008:F3211)</f>
        <v>1.1818</v>
      </c>
      <c r="I3211" s="11">
        <f t="shared" si="80"/>
        <v>0</v>
      </c>
      <c r="J3211" s="9">
        <f>MAX($F$3186:F3211)</f>
        <v>1.1818</v>
      </c>
      <c r="K3211" s="11">
        <f t="shared" si="79"/>
        <v>0</v>
      </c>
      <c r="L3211" s="9"/>
      <c r="M3211" s="11"/>
      <c r="N3211" s="9" t="s">
        <v>811</v>
      </c>
    </row>
    <row r="3212" ht="25" customHeight="1" spans="1:14">
      <c r="A3212" s="9" t="s">
        <v>348</v>
      </c>
      <c r="B3212" s="9" t="s">
        <v>347</v>
      </c>
      <c r="C3212" s="10">
        <v>46087</v>
      </c>
      <c r="D3212" s="15">
        <v>1.1848</v>
      </c>
      <c r="E3212" s="15">
        <v>1.1848</v>
      </c>
      <c r="F3212" s="15">
        <v>1.1848</v>
      </c>
      <c r="G3212" s="11">
        <v>0.0025</v>
      </c>
      <c r="H3212" s="9">
        <f>MAX($F$3008:F3212)</f>
        <v>1.1848</v>
      </c>
      <c r="I3212" s="11">
        <f t="shared" si="80"/>
        <v>0</v>
      </c>
      <c r="J3212" s="9">
        <f>MAX($F$3186:F3212)</f>
        <v>1.1848</v>
      </c>
      <c r="K3212" s="11">
        <f t="shared" si="79"/>
        <v>0</v>
      </c>
      <c r="L3212" s="9"/>
      <c r="M3212" s="11"/>
      <c r="N3212" s="9" t="s">
        <v>811</v>
      </c>
    </row>
    <row r="3213" ht="25" customHeight="1" spans="1:14">
      <c r="A3213" s="9" t="s">
        <v>348</v>
      </c>
      <c r="B3213" s="9" t="s">
        <v>347</v>
      </c>
      <c r="C3213" s="10">
        <v>46094</v>
      </c>
      <c r="D3213" s="15">
        <v>1.193</v>
      </c>
      <c r="E3213" s="15">
        <v>1.193</v>
      </c>
      <c r="F3213" s="15">
        <v>1.193</v>
      </c>
      <c r="G3213" s="11">
        <v>0.0069</v>
      </c>
      <c r="H3213" s="9">
        <f>MAX($F$3008:F3213)</f>
        <v>1.193</v>
      </c>
      <c r="I3213" s="11">
        <f t="shared" si="80"/>
        <v>0</v>
      </c>
      <c r="J3213" s="9">
        <f>MAX($F$3186:F3213)</f>
        <v>1.193</v>
      </c>
      <c r="K3213" s="11">
        <f t="shared" si="79"/>
        <v>0</v>
      </c>
      <c r="L3213" s="9"/>
      <c r="M3213" s="11"/>
      <c r="N3213" s="9" t="s">
        <v>811</v>
      </c>
    </row>
    <row r="3214" ht="25" customHeight="1" spans="1:14">
      <c r="A3214" s="9" t="s">
        <v>348</v>
      </c>
      <c r="B3214" s="9" t="s">
        <v>347</v>
      </c>
      <c r="C3214" s="10">
        <v>46101</v>
      </c>
      <c r="D3214" s="15">
        <v>1.1957</v>
      </c>
      <c r="E3214" s="15">
        <v>1.1957</v>
      </c>
      <c r="F3214" s="15">
        <v>1.1957</v>
      </c>
      <c r="G3214" s="11">
        <v>0.0023</v>
      </c>
      <c r="H3214" s="9">
        <f>MAX($F$3008:F3214)</f>
        <v>1.1957</v>
      </c>
      <c r="I3214" s="11">
        <f t="shared" si="80"/>
        <v>0</v>
      </c>
      <c r="J3214" s="9">
        <f>MAX($F$3186:F3214)</f>
        <v>1.1957</v>
      </c>
      <c r="K3214" s="11">
        <f t="shared" si="79"/>
        <v>0</v>
      </c>
      <c r="L3214" s="9"/>
      <c r="M3214" s="11"/>
      <c r="N3214" s="9" t="s">
        <v>811</v>
      </c>
    </row>
    <row r="3215" ht="25" customHeight="1" spans="1:14">
      <c r="A3215" s="9" t="s">
        <v>348</v>
      </c>
      <c r="B3215" s="9" t="s">
        <v>347</v>
      </c>
      <c r="C3215" s="10">
        <v>46108</v>
      </c>
      <c r="D3215" s="15">
        <v>1.1989</v>
      </c>
      <c r="E3215" s="15">
        <v>1.1989</v>
      </c>
      <c r="F3215" s="15">
        <v>1.1989</v>
      </c>
      <c r="G3215" s="11">
        <v>0.0027</v>
      </c>
      <c r="H3215" s="9">
        <f>MAX($F$3008:F3215)</f>
        <v>1.1989</v>
      </c>
      <c r="I3215" s="11">
        <f t="shared" si="80"/>
        <v>0</v>
      </c>
      <c r="J3215" s="9">
        <f>MAX($F$3186:F3215)</f>
        <v>1.1989</v>
      </c>
      <c r="K3215" s="11">
        <f t="shared" si="79"/>
        <v>0</v>
      </c>
      <c r="L3215" s="9"/>
      <c r="M3215" s="11"/>
      <c r="N3215" s="9" t="s">
        <v>811</v>
      </c>
    </row>
    <row r="3216" ht="25" customHeight="1" spans="1:14">
      <c r="A3216" s="9" t="s">
        <v>348</v>
      </c>
      <c r="B3216" s="9" t="s">
        <v>347</v>
      </c>
      <c r="C3216" s="10">
        <v>46115</v>
      </c>
      <c r="D3216" s="15">
        <v>1.2001</v>
      </c>
      <c r="E3216" s="15">
        <v>1.2001</v>
      </c>
      <c r="F3216" s="15">
        <v>1.2001</v>
      </c>
      <c r="G3216" s="11">
        <v>0.001</v>
      </c>
      <c r="H3216" s="9">
        <f>MAX($F$3008:F3216)</f>
        <v>1.2001</v>
      </c>
      <c r="I3216" s="11">
        <f t="shared" si="80"/>
        <v>0</v>
      </c>
      <c r="J3216" s="9">
        <f>MAX($F$3186:F3216)</f>
        <v>1.2001</v>
      </c>
      <c r="K3216" s="11">
        <f t="shared" si="79"/>
        <v>0</v>
      </c>
      <c r="L3216" s="9"/>
      <c r="M3216" s="11"/>
      <c r="N3216" s="9" t="s">
        <v>811</v>
      </c>
    </row>
    <row r="3217" ht="25" customHeight="1" spans="1:14">
      <c r="A3217" s="9" t="s">
        <v>348</v>
      </c>
      <c r="B3217" s="9" t="s">
        <v>347</v>
      </c>
      <c r="C3217" s="10">
        <v>46122</v>
      </c>
      <c r="D3217" s="15">
        <v>1.2015</v>
      </c>
      <c r="E3217" s="15">
        <v>1.2015</v>
      </c>
      <c r="F3217" s="15">
        <v>1.2015</v>
      </c>
      <c r="G3217" s="11">
        <v>0.0012</v>
      </c>
      <c r="H3217" s="9">
        <f>MAX($F$3008:F3217)</f>
        <v>1.2015</v>
      </c>
      <c r="I3217" s="11">
        <f t="shared" si="80"/>
        <v>0</v>
      </c>
      <c r="J3217" s="9">
        <f>MAX($F$3186:F3217)</f>
        <v>1.2015</v>
      </c>
      <c r="K3217" s="11">
        <f t="shared" si="79"/>
        <v>0</v>
      </c>
      <c r="L3217" s="9"/>
      <c r="M3217" s="11"/>
      <c r="N3217" s="9" t="s">
        <v>811</v>
      </c>
    </row>
    <row r="3218" ht="25" customHeight="1" spans="1:14">
      <c r="A3218" s="9" t="s">
        <v>348</v>
      </c>
      <c r="B3218" s="9" t="s">
        <v>347</v>
      </c>
      <c r="C3218" s="10">
        <v>46129</v>
      </c>
      <c r="D3218" s="15">
        <v>1.1979</v>
      </c>
      <c r="E3218" s="15">
        <v>1.1979</v>
      </c>
      <c r="F3218" s="15">
        <v>1.1979</v>
      </c>
      <c r="G3218" s="11">
        <v>-0.003</v>
      </c>
      <c r="H3218" s="9">
        <f>MAX($F$3008:F3218)</f>
        <v>1.2015</v>
      </c>
      <c r="I3218" s="11">
        <f t="shared" si="80"/>
        <v>0.00299625468164799</v>
      </c>
      <c r="J3218" s="9">
        <f>MAX($F$3186:F3218)</f>
        <v>1.2015</v>
      </c>
      <c r="K3218" s="11">
        <f t="shared" si="79"/>
        <v>0.00299625468164799</v>
      </c>
      <c r="L3218" s="9"/>
      <c r="M3218" s="11"/>
      <c r="N3218" s="9" t="s">
        <v>811</v>
      </c>
    </row>
    <row r="3219" ht="25" customHeight="1" spans="1:14">
      <c r="A3219" s="9" t="s">
        <v>348</v>
      </c>
      <c r="B3219" s="9" t="s">
        <v>347</v>
      </c>
      <c r="C3219" s="10">
        <v>46136</v>
      </c>
      <c r="D3219" s="15">
        <v>1.202</v>
      </c>
      <c r="E3219" s="15">
        <v>1.202</v>
      </c>
      <c r="F3219" s="15">
        <v>1.202</v>
      </c>
      <c r="G3219" s="11">
        <v>0.0034</v>
      </c>
      <c r="H3219" s="9">
        <f>MAX($F$3008:F3219)</f>
        <v>1.202</v>
      </c>
      <c r="I3219" s="11">
        <f t="shared" si="80"/>
        <v>0</v>
      </c>
      <c r="J3219" s="9">
        <f>MAX($F$3186:F3219)</f>
        <v>1.202</v>
      </c>
      <c r="K3219" s="11">
        <f t="shared" si="79"/>
        <v>0</v>
      </c>
      <c r="L3219" s="9"/>
      <c r="M3219" s="11"/>
      <c r="N3219" s="9" t="s">
        <v>811</v>
      </c>
    </row>
    <row r="3220" ht="25" customHeight="1" spans="1:14">
      <c r="A3220" s="9" t="s">
        <v>348</v>
      </c>
      <c r="B3220" s="9" t="s">
        <v>347</v>
      </c>
      <c r="C3220" s="10">
        <v>46142</v>
      </c>
      <c r="D3220" s="15">
        <v>1.1985</v>
      </c>
      <c r="E3220" s="15">
        <v>1.1985</v>
      </c>
      <c r="F3220" s="15">
        <v>1.1985</v>
      </c>
      <c r="G3220" s="11">
        <v>-0.0029</v>
      </c>
      <c r="H3220" s="9">
        <f>MAX($F$3008:F3220)</f>
        <v>1.202</v>
      </c>
      <c r="I3220" s="11">
        <f t="shared" si="80"/>
        <v>0.00291181364392679</v>
      </c>
      <c r="J3220" s="9">
        <f>MAX($F$3186:F3220)</f>
        <v>1.202</v>
      </c>
      <c r="K3220" s="11">
        <f t="shared" si="79"/>
        <v>0.00291181364392679</v>
      </c>
      <c r="L3220" s="9"/>
      <c r="M3220" s="11"/>
      <c r="N3220" s="9" t="s">
        <v>811</v>
      </c>
    </row>
    <row r="3221" ht="25" customHeight="1" spans="1:14">
      <c r="A3221" s="9" t="s">
        <v>348</v>
      </c>
      <c r="B3221" s="9" t="s">
        <v>347</v>
      </c>
      <c r="C3221" s="10">
        <v>46150</v>
      </c>
      <c r="D3221" s="15">
        <v>1.197</v>
      </c>
      <c r="E3221" s="15">
        <v>1.197</v>
      </c>
      <c r="F3221" s="15">
        <v>1.197</v>
      </c>
      <c r="G3221" s="11">
        <v>-0.0013</v>
      </c>
      <c r="H3221" s="9">
        <f>MAX($F$3008:F3221)</f>
        <v>1.202</v>
      </c>
      <c r="I3221" s="11">
        <f t="shared" si="80"/>
        <v>0.00415973377703815</v>
      </c>
      <c r="J3221" s="9">
        <f>MAX($F$3186:F3221)</f>
        <v>1.202</v>
      </c>
      <c r="K3221" s="11">
        <f t="shared" si="79"/>
        <v>0.00415973377703815</v>
      </c>
      <c r="L3221" s="9"/>
      <c r="M3221" s="11"/>
      <c r="N3221" s="9" t="s">
        <v>811</v>
      </c>
    </row>
    <row r="3222" ht="25" customHeight="1" spans="1:14">
      <c r="A3222" s="9" t="s">
        <v>348</v>
      </c>
      <c r="B3222" s="9" t="s">
        <v>347</v>
      </c>
      <c r="C3222" s="10">
        <v>46157</v>
      </c>
      <c r="D3222" s="15">
        <v>1.2041</v>
      </c>
      <c r="E3222" s="15">
        <v>1.2041</v>
      </c>
      <c r="F3222" s="15">
        <v>1.2041</v>
      </c>
      <c r="G3222" s="11">
        <v>0.0059</v>
      </c>
      <c r="H3222" s="9">
        <f>MAX($F$3008:F3222)</f>
        <v>1.2041</v>
      </c>
      <c r="I3222" s="11">
        <f t="shared" si="80"/>
        <v>0</v>
      </c>
      <c r="J3222" s="9">
        <f>MAX($F$3186:F3222)</f>
        <v>1.2041</v>
      </c>
      <c r="K3222" s="11">
        <f t="shared" si="79"/>
        <v>0</v>
      </c>
      <c r="L3222" s="9"/>
      <c r="M3222" s="11"/>
      <c r="N3222" s="9" t="s">
        <v>811</v>
      </c>
    </row>
    <row r="3223" ht="25" customHeight="1" spans="1:14">
      <c r="A3223" s="9" t="s">
        <v>348</v>
      </c>
      <c r="B3223" s="9" t="s">
        <v>347</v>
      </c>
      <c r="C3223" s="10">
        <v>46164</v>
      </c>
      <c r="D3223" s="15">
        <v>1.2046</v>
      </c>
      <c r="E3223" s="15">
        <v>1.2046</v>
      </c>
      <c r="F3223" s="15">
        <v>1.2046</v>
      </c>
      <c r="G3223" s="11">
        <v>0.0004</v>
      </c>
      <c r="H3223" s="9">
        <f>MAX($F$3008:F3223)</f>
        <v>1.2046</v>
      </c>
      <c r="I3223" s="11">
        <f t="shared" si="80"/>
        <v>0</v>
      </c>
      <c r="J3223" s="9">
        <f>MAX($F$3186:F3223)</f>
        <v>1.2046</v>
      </c>
      <c r="K3223" s="11">
        <f t="shared" si="79"/>
        <v>0</v>
      </c>
      <c r="L3223" s="9"/>
      <c r="M3223" s="11"/>
      <c r="N3223" s="9" t="s">
        <v>811</v>
      </c>
    </row>
    <row r="3224" ht="25" customHeight="1" spans="1:14">
      <c r="A3224" s="9" t="s">
        <v>348</v>
      </c>
      <c r="B3224" s="9" t="s">
        <v>347</v>
      </c>
      <c r="C3224" s="10">
        <v>46171</v>
      </c>
      <c r="D3224" s="15">
        <v>1.1974</v>
      </c>
      <c r="E3224" s="15">
        <v>1.1974</v>
      </c>
      <c r="F3224" s="15">
        <v>1.1974</v>
      </c>
      <c r="G3224" s="11">
        <v>-0.006</v>
      </c>
      <c r="H3224" s="9">
        <f>MAX($F$3008:F3224)</f>
        <v>1.2046</v>
      </c>
      <c r="I3224" s="11">
        <f t="shared" si="80"/>
        <v>0.00597708782998496</v>
      </c>
      <c r="J3224" s="9">
        <f>MAX($F$3186:F3224)</f>
        <v>1.2046</v>
      </c>
      <c r="K3224" s="11">
        <f t="shared" si="79"/>
        <v>0.00597708782998496</v>
      </c>
      <c r="L3224" s="9"/>
      <c r="M3224" s="11"/>
      <c r="N3224" s="9" t="s">
        <v>811</v>
      </c>
    </row>
    <row r="3225" ht="25" customHeight="1" spans="1:14">
      <c r="A3225" s="9" t="s">
        <v>348</v>
      </c>
      <c r="B3225" s="9" t="s">
        <v>347</v>
      </c>
      <c r="C3225" s="10">
        <v>46178</v>
      </c>
      <c r="D3225" s="15">
        <v>1.1964</v>
      </c>
      <c r="E3225" s="15">
        <v>1.1964</v>
      </c>
      <c r="F3225" s="15">
        <v>1.1964</v>
      </c>
      <c r="G3225" s="11">
        <v>-0.0008</v>
      </c>
      <c r="H3225" s="9">
        <f>MAX($F$3008:F3225)</f>
        <v>1.2046</v>
      </c>
      <c r="I3225" s="11">
        <f t="shared" si="80"/>
        <v>0.00680723891748292</v>
      </c>
      <c r="J3225" s="9">
        <f>MAX($F$3186:F3225)</f>
        <v>1.2046</v>
      </c>
      <c r="K3225" s="11">
        <f t="shared" si="79"/>
        <v>0.00680723891748292</v>
      </c>
      <c r="L3225" s="9"/>
      <c r="M3225" s="11"/>
      <c r="N3225" s="9" t="s">
        <v>811</v>
      </c>
    </row>
    <row r="3226" ht="25" customHeight="1" spans="1:14">
      <c r="A3226" s="9" t="s">
        <v>348</v>
      </c>
      <c r="B3226" s="9" t="s">
        <v>347</v>
      </c>
      <c r="C3226" s="10">
        <v>46185</v>
      </c>
      <c r="D3226" s="15">
        <v>1.2004</v>
      </c>
      <c r="E3226" s="15">
        <v>1.2004</v>
      </c>
      <c r="F3226" s="15">
        <v>1.2004</v>
      </c>
      <c r="G3226" s="11">
        <v>0.0033</v>
      </c>
      <c r="H3226" s="9">
        <f>MAX($F$3008:F3226)</f>
        <v>1.2046</v>
      </c>
      <c r="I3226" s="11">
        <f t="shared" si="80"/>
        <v>0.00348663456749132</v>
      </c>
      <c r="J3226" s="9">
        <f>MAX($F$3186:F3226)</f>
        <v>1.2046</v>
      </c>
      <c r="K3226" s="11">
        <f t="shared" si="79"/>
        <v>0.00348663456749132</v>
      </c>
      <c r="L3226" s="9"/>
      <c r="M3226" s="11"/>
      <c r="N3226" s="9" t="s">
        <v>811</v>
      </c>
    </row>
    <row r="3227" ht="25" customHeight="1" spans="1:14">
      <c r="A3227" s="9" t="s">
        <v>348</v>
      </c>
      <c r="B3227" s="9" t="s">
        <v>347</v>
      </c>
      <c r="C3227" s="10">
        <v>46191</v>
      </c>
      <c r="D3227" s="15">
        <v>1.192</v>
      </c>
      <c r="E3227" s="15">
        <v>1.192</v>
      </c>
      <c r="F3227" s="15">
        <v>1.192</v>
      </c>
      <c r="G3227" s="11">
        <v>-0.007</v>
      </c>
      <c r="H3227" s="9">
        <f>MAX($F$3008:F3227)</f>
        <v>1.2046</v>
      </c>
      <c r="I3227" s="11">
        <f t="shared" si="80"/>
        <v>0.0104599037024738</v>
      </c>
      <c r="J3227" s="9">
        <f>MAX($F$3186:F3227)</f>
        <v>1.2046</v>
      </c>
      <c r="K3227" s="11">
        <f t="shared" si="79"/>
        <v>0.0104599037024738</v>
      </c>
      <c r="L3227" s="9"/>
      <c r="M3227" s="11"/>
      <c r="N3227" s="9" t="s">
        <v>811</v>
      </c>
    </row>
    <row r="3228" ht="25" customHeight="1" spans="1:14">
      <c r="A3228" s="9" t="s">
        <v>348</v>
      </c>
      <c r="B3228" s="9" t="s">
        <v>347</v>
      </c>
      <c r="C3228" s="10">
        <v>46199</v>
      </c>
      <c r="D3228" s="15">
        <v>1.1962</v>
      </c>
      <c r="E3228" s="15">
        <v>1.1962</v>
      </c>
      <c r="F3228" s="15">
        <v>1.1962</v>
      </c>
      <c r="G3228" s="11">
        <v>0.0035</v>
      </c>
      <c r="H3228" s="9">
        <f>MAX($F$3008:F3228)</f>
        <v>1.2046</v>
      </c>
      <c r="I3228" s="11">
        <f t="shared" si="80"/>
        <v>0.00697326913498253</v>
      </c>
      <c r="J3228" s="9">
        <f>MAX($F$3186:F3228)</f>
        <v>1.2046</v>
      </c>
      <c r="K3228" s="11">
        <f t="shared" si="79"/>
        <v>0.00697326913498253</v>
      </c>
      <c r="L3228" s="9"/>
      <c r="M3228" s="11"/>
      <c r="N3228" s="9" t="s">
        <v>811</v>
      </c>
    </row>
    <row r="3229" ht="25" customHeight="1" spans="1:14">
      <c r="A3229" s="9" t="s">
        <v>348</v>
      </c>
      <c r="B3229" s="9" t="s">
        <v>347</v>
      </c>
      <c r="C3229" s="10">
        <v>46206</v>
      </c>
      <c r="D3229" s="15">
        <v>1.1968</v>
      </c>
      <c r="E3229" s="15">
        <v>1.1968</v>
      </c>
      <c r="F3229" s="15">
        <v>1.1968</v>
      </c>
      <c r="G3229" s="11">
        <v>0.0005</v>
      </c>
      <c r="H3229" s="9">
        <f>MAX($F$3008:F3229)</f>
        <v>1.2046</v>
      </c>
      <c r="I3229" s="11">
        <f t="shared" si="80"/>
        <v>0.00647517848248369</v>
      </c>
      <c r="J3229" s="9">
        <f>MAX($F$3186:F3229)</f>
        <v>1.2046</v>
      </c>
      <c r="K3229" s="11">
        <f t="shared" si="79"/>
        <v>0.00647517848248369</v>
      </c>
      <c r="L3229" s="9"/>
      <c r="M3229" s="11"/>
      <c r="N3229" s="9" t="s">
        <v>811</v>
      </c>
    </row>
    <row r="3230" ht="25" customHeight="1" spans="1:14">
      <c r="A3230" s="9" t="s">
        <v>348</v>
      </c>
      <c r="B3230" s="9" t="s">
        <v>347</v>
      </c>
      <c r="C3230" s="10">
        <v>46213</v>
      </c>
      <c r="D3230" s="15">
        <v>1.1963</v>
      </c>
      <c r="E3230" s="15">
        <v>1.1963</v>
      </c>
      <c r="F3230" s="15">
        <v>1.1963</v>
      </c>
      <c r="G3230" s="11">
        <v>-0.0004</v>
      </c>
      <c r="H3230" s="9">
        <f>MAX($F$3008:F3230)</f>
        <v>1.2046</v>
      </c>
      <c r="I3230" s="11">
        <f t="shared" si="80"/>
        <v>0.00689025402623278</v>
      </c>
      <c r="J3230" s="9">
        <f>MAX($F$3186:F3230)</f>
        <v>1.2046</v>
      </c>
      <c r="K3230" s="11">
        <f t="shared" si="79"/>
        <v>0.00689025402623278</v>
      </c>
      <c r="L3230" s="9"/>
      <c r="M3230" s="11"/>
      <c r="N3230" s="9" t="s">
        <v>811</v>
      </c>
    </row>
    <row r="3231" ht="25" customHeight="1" spans="1:14">
      <c r="A3231" s="9" t="s">
        <v>348</v>
      </c>
      <c r="B3231" s="9" t="s">
        <v>347</v>
      </c>
      <c r="C3231" s="10">
        <v>46220</v>
      </c>
      <c r="D3231" s="15">
        <v>1.1965</v>
      </c>
      <c r="E3231" s="15">
        <v>1.1965</v>
      </c>
      <c r="F3231" s="15">
        <v>1.1965</v>
      </c>
      <c r="G3231" s="11">
        <v>0.0002</v>
      </c>
      <c r="H3231" s="9">
        <f>MAX($F$3008:F3231)</f>
        <v>1.2046</v>
      </c>
      <c r="I3231" s="11">
        <f t="shared" si="80"/>
        <v>0.00672422380873317</v>
      </c>
      <c r="J3231" s="9">
        <f>MAX($F$3186:F3231)</f>
        <v>1.2046</v>
      </c>
      <c r="K3231" s="11">
        <f t="shared" si="79"/>
        <v>0.00672422380873317</v>
      </c>
      <c r="L3231" s="9"/>
      <c r="M3231" s="11"/>
      <c r="N3231" s="9" t="s">
        <v>811</v>
      </c>
    </row>
    <row r="3232" ht="25" customHeight="1" spans="1:14">
      <c r="A3232" s="9" t="s">
        <v>348</v>
      </c>
      <c r="B3232" s="9" t="s">
        <v>347</v>
      </c>
      <c r="C3232" s="10">
        <v>46227</v>
      </c>
      <c r="D3232" s="15">
        <v>1.1959</v>
      </c>
      <c r="E3232" s="15">
        <v>1.1959</v>
      </c>
      <c r="F3232" s="15">
        <v>1.1959</v>
      </c>
      <c r="G3232" s="11">
        <v>-0.0005</v>
      </c>
      <c r="H3232" s="9">
        <f>MAX($F$3008:F3232)</f>
        <v>1.2046</v>
      </c>
      <c r="I3232" s="11">
        <f t="shared" si="80"/>
        <v>0.00722231446123189</v>
      </c>
      <c r="J3232" s="9">
        <f>MAX($F$3186:F3232)</f>
        <v>1.2046</v>
      </c>
      <c r="K3232" s="11">
        <f t="shared" si="79"/>
        <v>0.00722231446123189</v>
      </c>
      <c r="L3232" s="9"/>
      <c r="M3232" s="11"/>
      <c r="N3232" s="9" t="s">
        <v>811</v>
      </c>
    </row>
    <row r="3233" ht="25" customHeight="1" spans="1:14">
      <c r="A3233" s="9" t="s">
        <v>348</v>
      </c>
      <c r="B3233" s="9" t="s">
        <v>347</v>
      </c>
      <c r="C3233" s="10">
        <v>46234</v>
      </c>
      <c r="D3233" s="15">
        <v>1.1948</v>
      </c>
      <c r="E3233" s="15">
        <v>1.1948</v>
      </c>
      <c r="F3233" s="15">
        <v>1.1948</v>
      </c>
      <c r="G3233" s="11">
        <v>-0.0009</v>
      </c>
      <c r="H3233" s="9">
        <f>MAX($F$3008:F3233)</f>
        <v>1.2046</v>
      </c>
      <c r="I3233" s="11">
        <f t="shared" si="80"/>
        <v>0.00813548065747949</v>
      </c>
      <c r="J3233" s="9">
        <f>MAX($F$3186:F3233)</f>
        <v>1.2046</v>
      </c>
      <c r="K3233" s="11">
        <f t="shared" si="79"/>
        <v>0.00813548065747949</v>
      </c>
      <c r="L3233" s="9"/>
      <c r="M3233" s="11"/>
      <c r="N3233" s="9" t="s">
        <v>811</v>
      </c>
    </row>
    <row r="3234" ht="25" customHeight="1" spans="1:14">
      <c r="A3234" s="9" t="s">
        <v>348</v>
      </c>
      <c r="B3234" s="9" t="s">
        <v>347</v>
      </c>
      <c r="C3234" s="10">
        <v>46241</v>
      </c>
      <c r="D3234" s="15">
        <v>1.1931</v>
      </c>
      <c r="E3234" s="15">
        <v>1.1931</v>
      </c>
      <c r="F3234" s="15">
        <v>1.1931</v>
      </c>
      <c r="G3234" s="11">
        <v>-0.0014</v>
      </c>
      <c r="H3234" s="9">
        <f>MAX($F$3008:F3234)</f>
        <v>1.2046</v>
      </c>
      <c r="I3234" s="11">
        <f t="shared" si="80"/>
        <v>0.00954673750622603</v>
      </c>
      <c r="J3234" s="9">
        <f>MAX($F$3186:F3234)</f>
        <v>1.2046</v>
      </c>
      <c r="K3234" s="11">
        <f t="shared" si="79"/>
        <v>0.00954673750622603</v>
      </c>
      <c r="L3234" s="9"/>
      <c r="M3234" s="11"/>
      <c r="N3234" s="9" t="s">
        <v>811</v>
      </c>
    </row>
    <row r="3235" ht="25" customHeight="1" spans="1:14">
      <c r="A3235" s="9" t="s">
        <v>348</v>
      </c>
      <c r="B3235" s="9" t="s">
        <v>347</v>
      </c>
      <c r="C3235" s="10">
        <v>46248</v>
      </c>
      <c r="D3235" s="15">
        <v>1.1929</v>
      </c>
      <c r="E3235" s="15">
        <v>1.1929</v>
      </c>
      <c r="F3235" s="15">
        <v>1.1929</v>
      </c>
      <c r="G3235" s="11">
        <v>-0.0002</v>
      </c>
      <c r="H3235" s="9">
        <f>MAX($F$3008:F3235)</f>
        <v>1.2046</v>
      </c>
      <c r="I3235" s="11">
        <f t="shared" si="80"/>
        <v>0.00971276772372553</v>
      </c>
      <c r="J3235" s="9">
        <f>MAX($F$3186:F3235)</f>
        <v>1.2046</v>
      </c>
      <c r="K3235" s="11">
        <f t="shared" si="79"/>
        <v>0.00971276772372553</v>
      </c>
      <c r="L3235" s="9"/>
      <c r="M3235" s="11"/>
      <c r="N3235" s="9" t="s">
        <v>811</v>
      </c>
    </row>
    <row r="3236" ht="25" customHeight="1" spans="1:14">
      <c r="A3236" s="9" t="s">
        <v>348</v>
      </c>
      <c r="B3236" s="9" t="s">
        <v>347</v>
      </c>
      <c r="C3236" s="10">
        <v>46255</v>
      </c>
      <c r="D3236" s="15">
        <v>1.1931</v>
      </c>
      <c r="E3236" s="15">
        <v>1.1931</v>
      </c>
      <c r="F3236" s="15">
        <v>1.1931</v>
      </c>
      <c r="G3236" s="11">
        <v>0.0002</v>
      </c>
      <c r="H3236" s="9">
        <f>MAX($F$3008:F3236)</f>
        <v>1.2046</v>
      </c>
      <c r="I3236" s="11">
        <f t="shared" si="80"/>
        <v>0.00954673750622603</v>
      </c>
      <c r="J3236" s="9">
        <f>MAX($F$3186:F3236)</f>
        <v>1.2046</v>
      </c>
      <c r="K3236" s="11">
        <f t="shared" si="79"/>
        <v>0.00954673750622603</v>
      </c>
      <c r="L3236" s="9"/>
      <c r="M3236" s="11"/>
      <c r="N3236" s="9" t="s">
        <v>811</v>
      </c>
    </row>
    <row r="3237" ht="25" customHeight="1" spans="1:14">
      <c r="A3237" s="9" t="s">
        <v>348</v>
      </c>
      <c r="B3237" s="9" t="s">
        <v>347</v>
      </c>
      <c r="C3237" s="10">
        <v>46262</v>
      </c>
      <c r="D3237" s="15">
        <v>1.1926</v>
      </c>
      <c r="E3237" s="15">
        <v>1.1926</v>
      </c>
      <c r="F3237" s="15">
        <v>1.1926</v>
      </c>
      <c r="G3237" s="11">
        <v>-0.0004</v>
      </c>
      <c r="H3237" s="9">
        <f>MAX($F$3008:F3237)</f>
        <v>1.2046</v>
      </c>
      <c r="I3237" s="11">
        <f t="shared" si="80"/>
        <v>0.0099618130499749</v>
      </c>
      <c r="J3237" s="9">
        <f>MAX($F$3186:F3237)</f>
        <v>1.2046</v>
      </c>
      <c r="K3237" s="11">
        <f t="shared" si="79"/>
        <v>0.0099618130499749</v>
      </c>
      <c r="L3237" s="9"/>
      <c r="M3237" s="11"/>
      <c r="N3237" s="9" t="s">
        <v>811</v>
      </c>
    </row>
    <row r="3238" ht="25" customHeight="1" spans="1:14">
      <c r="A3238" s="9" t="s">
        <v>348</v>
      </c>
      <c r="B3238" s="9" t="s">
        <v>347</v>
      </c>
      <c r="C3238" s="10">
        <v>46269</v>
      </c>
      <c r="D3238" s="15">
        <v>1.1932</v>
      </c>
      <c r="E3238" s="15">
        <v>1.1932</v>
      </c>
      <c r="F3238" s="15">
        <v>1.1932</v>
      </c>
      <c r="G3238" s="11">
        <v>0.0005</v>
      </c>
      <c r="H3238" s="9">
        <f>MAX($F$3008:F3238)</f>
        <v>1.2046</v>
      </c>
      <c r="I3238" s="11">
        <f t="shared" si="80"/>
        <v>0.00946372239747617</v>
      </c>
      <c r="J3238" s="9">
        <f>MAX($F$3186:F3238)</f>
        <v>1.2046</v>
      </c>
      <c r="K3238" s="11">
        <f t="shared" si="79"/>
        <v>0.00946372239747617</v>
      </c>
      <c r="L3238" s="9"/>
      <c r="M3238" s="11"/>
      <c r="N3238" s="9" t="s">
        <v>811</v>
      </c>
    </row>
    <row r="3239" ht="25" customHeight="1" spans="1:14">
      <c r="A3239" s="9" t="s">
        <v>327</v>
      </c>
      <c r="B3239" s="9" t="s">
        <v>326</v>
      </c>
      <c r="C3239" s="10">
        <v>43490</v>
      </c>
      <c r="D3239" s="15">
        <v>1.0001</v>
      </c>
      <c r="E3239" s="15">
        <v>1.0001</v>
      </c>
      <c r="F3239" s="15">
        <v>1.0001</v>
      </c>
      <c r="G3239" s="11"/>
      <c r="H3239" s="9">
        <f>MAX($F$3239:F3239)</f>
        <v>1.0001</v>
      </c>
      <c r="I3239" s="11">
        <f t="shared" si="80"/>
        <v>0</v>
      </c>
      <c r="J3239" s="9"/>
      <c r="K3239" s="11"/>
      <c r="L3239" s="9"/>
      <c r="M3239" s="11"/>
      <c r="N3239" s="9" t="s">
        <v>809</v>
      </c>
    </row>
    <row r="3240" ht="25" customHeight="1" spans="1:14">
      <c r="A3240" s="9" t="s">
        <v>327</v>
      </c>
      <c r="B3240" s="9" t="s">
        <v>326</v>
      </c>
      <c r="C3240" s="10">
        <v>43493</v>
      </c>
      <c r="D3240" s="15">
        <v>1.0001</v>
      </c>
      <c r="E3240" s="15">
        <v>1.0001</v>
      </c>
      <c r="F3240" s="15">
        <v>1.0001</v>
      </c>
      <c r="G3240" s="11">
        <v>0</v>
      </c>
      <c r="H3240" s="9">
        <f>MAX($F$3239:F3240)</f>
        <v>1.0001</v>
      </c>
      <c r="I3240" s="11">
        <f t="shared" si="80"/>
        <v>0</v>
      </c>
      <c r="J3240" s="9"/>
      <c r="K3240" s="11"/>
      <c r="L3240" s="9"/>
      <c r="M3240" s="11"/>
      <c r="N3240" s="9" t="s">
        <v>809</v>
      </c>
    </row>
    <row r="3241" ht="25" customHeight="1" spans="1:14">
      <c r="A3241" s="9" t="s">
        <v>327</v>
      </c>
      <c r="B3241" s="9" t="s">
        <v>326</v>
      </c>
      <c r="C3241" s="10">
        <v>43494</v>
      </c>
      <c r="D3241" s="15">
        <v>1.0001</v>
      </c>
      <c r="E3241" s="15">
        <v>1.0001</v>
      </c>
      <c r="F3241" s="15">
        <v>1.0001</v>
      </c>
      <c r="G3241" s="11">
        <v>0</v>
      </c>
      <c r="H3241" s="9">
        <f>MAX($F$3239:F3241)</f>
        <v>1.0001</v>
      </c>
      <c r="I3241" s="11">
        <f t="shared" si="80"/>
        <v>0</v>
      </c>
      <c r="J3241" s="9"/>
      <c r="K3241" s="11"/>
      <c r="L3241" s="9"/>
      <c r="M3241" s="11"/>
      <c r="N3241" s="9" t="s">
        <v>809</v>
      </c>
    </row>
    <row r="3242" ht="25" customHeight="1" spans="1:14">
      <c r="A3242" s="9" t="s">
        <v>327</v>
      </c>
      <c r="B3242" s="9" t="s">
        <v>326</v>
      </c>
      <c r="C3242" s="10">
        <v>43495</v>
      </c>
      <c r="D3242" s="15">
        <v>1.0001</v>
      </c>
      <c r="E3242" s="15">
        <v>1.0001</v>
      </c>
      <c r="F3242" s="15">
        <v>1.0001</v>
      </c>
      <c r="G3242" s="11">
        <v>0</v>
      </c>
      <c r="H3242" s="9">
        <f>MAX($F$3239:F3242)</f>
        <v>1.0001</v>
      </c>
      <c r="I3242" s="11">
        <f t="shared" si="80"/>
        <v>0</v>
      </c>
      <c r="J3242" s="9"/>
      <c r="K3242" s="11"/>
      <c r="L3242" s="9"/>
      <c r="M3242" s="11"/>
      <c r="N3242" s="9" t="s">
        <v>809</v>
      </c>
    </row>
    <row r="3243" ht="25" customHeight="1" spans="1:14">
      <c r="A3243" s="9" t="s">
        <v>327</v>
      </c>
      <c r="B3243" s="9" t="s">
        <v>326</v>
      </c>
      <c r="C3243" s="10">
        <v>43496</v>
      </c>
      <c r="D3243" s="15">
        <v>1.0001</v>
      </c>
      <c r="E3243" s="15">
        <v>1.0001</v>
      </c>
      <c r="F3243" s="15">
        <v>1.0001</v>
      </c>
      <c r="G3243" s="11">
        <v>0</v>
      </c>
      <c r="H3243" s="9">
        <f>MAX($F$3239:F3243)</f>
        <v>1.0001</v>
      </c>
      <c r="I3243" s="11">
        <f t="shared" si="80"/>
        <v>0</v>
      </c>
      <c r="J3243" s="9"/>
      <c r="K3243" s="11"/>
      <c r="L3243" s="9"/>
      <c r="M3243" s="11"/>
      <c r="N3243" s="9" t="s">
        <v>809</v>
      </c>
    </row>
    <row r="3244" ht="25" customHeight="1" spans="1:14">
      <c r="A3244" s="9" t="s">
        <v>327</v>
      </c>
      <c r="B3244" s="9" t="s">
        <v>326</v>
      </c>
      <c r="C3244" s="10">
        <v>43497</v>
      </c>
      <c r="D3244" s="15">
        <v>1.0001</v>
      </c>
      <c r="E3244" s="15">
        <v>1.0001</v>
      </c>
      <c r="F3244" s="15">
        <v>1.0001</v>
      </c>
      <c r="G3244" s="11">
        <v>0</v>
      </c>
      <c r="H3244" s="9">
        <f>MAX($F$3239:F3244)</f>
        <v>1.0001</v>
      </c>
      <c r="I3244" s="11">
        <f t="shared" si="80"/>
        <v>0</v>
      </c>
      <c r="J3244" s="9"/>
      <c r="K3244" s="11"/>
      <c r="L3244" s="9"/>
      <c r="M3244" s="11"/>
      <c r="N3244" s="9" t="s">
        <v>809</v>
      </c>
    </row>
    <row r="3245" ht="25" customHeight="1" spans="1:14">
      <c r="A3245" s="9" t="s">
        <v>327</v>
      </c>
      <c r="B3245" s="9" t="s">
        <v>326</v>
      </c>
      <c r="C3245" s="10">
        <v>43507</v>
      </c>
      <c r="D3245" s="15">
        <v>1</v>
      </c>
      <c r="E3245" s="15">
        <v>1</v>
      </c>
      <c r="F3245" s="15">
        <v>1</v>
      </c>
      <c r="G3245" s="11">
        <v>-0.0001</v>
      </c>
      <c r="H3245" s="9">
        <f>MAX($F$3239:F3245)</f>
        <v>1.0001</v>
      </c>
      <c r="I3245" s="11">
        <f t="shared" si="80"/>
        <v>9.99900009999166e-5</v>
      </c>
      <c r="J3245" s="9"/>
      <c r="K3245" s="11"/>
      <c r="L3245" s="9"/>
      <c r="M3245" s="11"/>
      <c r="N3245" s="9" t="s">
        <v>809</v>
      </c>
    </row>
    <row r="3246" ht="25" customHeight="1" spans="1:14">
      <c r="A3246" s="9" t="s">
        <v>327</v>
      </c>
      <c r="B3246" s="9" t="s">
        <v>326</v>
      </c>
      <c r="C3246" s="10">
        <v>43508</v>
      </c>
      <c r="D3246" s="15">
        <v>1</v>
      </c>
      <c r="E3246" s="15">
        <v>1</v>
      </c>
      <c r="F3246" s="15">
        <v>1</v>
      </c>
      <c r="G3246" s="11">
        <v>0</v>
      </c>
      <c r="H3246" s="9">
        <f>MAX($F$3239:F3246)</f>
        <v>1.0001</v>
      </c>
      <c r="I3246" s="11">
        <f t="shared" si="80"/>
        <v>9.99900009999166e-5</v>
      </c>
      <c r="J3246" s="9"/>
      <c r="K3246" s="11"/>
      <c r="L3246" s="9"/>
      <c r="M3246" s="11"/>
      <c r="N3246" s="9" t="s">
        <v>809</v>
      </c>
    </row>
    <row r="3247" ht="25" customHeight="1" spans="1:14">
      <c r="A3247" s="9" t="s">
        <v>327</v>
      </c>
      <c r="B3247" s="9" t="s">
        <v>326</v>
      </c>
      <c r="C3247" s="10">
        <v>43509</v>
      </c>
      <c r="D3247" s="15">
        <v>1</v>
      </c>
      <c r="E3247" s="15">
        <v>1</v>
      </c>
      <c r="F3247" s="15">
        <v>1</v>
      </c>
      <c r="G3247" s="11">
        <v>0</v>
      </c>
      <c r="H3247" s="9">
        <f>MAX($F$3239:F3247)</f>
        <v>1.0001</v>
      </c>
      <c r="I3247" s="11">
        <f t="shared" si="80"/>
        <v>9.99900009999166e-5</v>
      </c>
      <c r="J3247" s="9"/>
      <c r="K3247" s="11"/>
      <c r="L3247" s="9"/>
      <c r="M3247" s="11"/>
      <c r="N3247" s="9" t="s">
        <v>809</v>
      </c>
    </row>
    <row r="3248" ht="25" customHeight="1" spans="1:14">
      <c r="A3248" s="9" t="s">
        <v>327</v>
      </c>
      <c r="B3248" s="9" t="s">
        <v>326</v>
      </c>
      <c r="C3248" s="10">
        <v>43510</v>
      </c>
      <c r="D3248" s="15">
        <v>1</v>
      </c>
      <c r="E3248" s="15">
        <v>1</v>
      </c>
      <c r="F3248" s="15">
        <v>1</v>
      </c>
      <c r="G3248" s="11">
        <v>0</v>
      </c>
      <c r="H3248" s="9">
        <f>MAX($F$3239:F3248)</f>
        <v>1.0001</v>
      </c>
      <c r="I3248" s="11">
        <f t="shared" si="80"/>
        <v>9.99900009999166e-5</v>
      </c>
      <c r="J3248" s="9"/>
      <c r="K3248" s="11"/>
      <c r="L3248" s="9"/>
      <c r="M3248" s="11"/>
      <c r="N3248" s="9" t="s">
        <v>809</v>
      </c>
    </row>
    <row r="3249" ht="25" customHeight="1" spans="1:14">
      <c r="A3249" s="9" t="s">
        <v>327</v>
      </c>
      <c r="B3249" s="9" t="s">
        <v>326</v>
      </c>
      <c r="C3249" s="10">
        <v>43511</v>
      </c>
      <c r="D3249" s="15">
        <v>1</v>
      </c>
      <c r="E3249" s="15">
        <v>1</v>
      </c>
      <c r="F3249" s="15">
        <v>1</v>
      </c>
      <c r="G3249" s="11">
        <v>0</v>
      </c>
      <c r="H3249" s="9">
        <f>MAX($F$3239:F3249)</f>
        <v>1.0001</v>
      </c>
      <c r="I3249" s="11">
        <f t="shared" si="80"/>
        <v>9.99900009999166e-5</v>
      </c>
      <c r="J3249" s="9"/>
      <c r="K3249" s="11"/>
      <c r="L3249" s="9"/>
      <c r="M3249" s="11"/>
      <c r="N3249" s="9" t="s">
        <v>809</v>
      </c>
    </row>
    <row r="3250" ht="25" customHeight="1" spans="1:14">
      <c r="A3250" s="9" t="s">
        <v>327</v>
      </c>
      <c r="B3250" s="9" t="s">
        <v>326</v>
      </c>
      <c r="C3250" s="10">
        <v>43514</v>
      </c>
      <c r="D3250" s="15">
        <v>1</v>
      </c>
      <c r="E3250" s="15">
        <v>1</v>
      </c>
      <c r="F3250" s="15">
        <v>1</v>
      </c>
      <c r="G3250" s="11">
        <v>0</v>
      </c>
      <c r="H3250" s="9">
        <f>MAX($F$3239:F3250)</f>
        <v>1.0001</v>
      </c>
      <c r="I3250" s="11">
        <f t="shared" si="80"/>
        <v>9.99900009999166e-5</v>
      </c>
      <c r="J3250" s="9"/>
      <c r="K3250" s="11"/>
      <c r="L3250" s="9"/>
      <c r="M3250" s="11"/>
      <c r="N3250" s="9" t="s">
        <v>809</v>
      </c>
    </row>
    <row r="3251" ht="25" customHeight="1" spans="1:14">
      <c r="A3251" s="9" t="s">
        <v>327</v>
      </c>
      <c r="B3251" s="9" t="s">
        <v>326</v>
      </c>
      <c r="C3251" s="10">
        <v>43515</v>
      </c>
      <c r="D3251" s="15">
        <v>1</v>
      </c>
      <c r="E3251" s="15">
        <v>1</v>
      </c>
      <c r="F3251" s="15">
        <v>1</v>
      </c>
      <c r="G3251" s="11">
        <v>0</v>
      </c>
      <c r="H3251" s="9">
        <f>MAX($F$3239:F3251)</f>
        <v>1.0001</v>
      </c>
      <c r="I3251" s="11">
        <f t="shared" si="80"/>
        <v>9.99900009999166e-5</v>
      </c>
      <c r="J3251" s="9"/>
      <c r="K3251" s="11"/>
      <c r="L3251" s="9"/>
      <c r="M3251" s="11"/>
      <c r="N3251" s="9" t="s">
        <v>809</v>
      </c>
    </row>
    <row r="3252" ht="25" customHeight="1" spans="1:14">
      <c r="A3252" s="9" t="s">
        <v>327</v>
      </c>
      <c r="B3252" s="9" t="s">
        <v>326</v>
      </c>
      <c r="C3252" s="10">
        <v>43516</v>
      </c>
      <c r="D3252" s="15">
        <v>1</v>
      </c>
      <c r="E3252" s="15">
        <v>1</v>
      </c>
      <c r="F3252" s="15">
        <v>1</v>
      </c>
      <c r="G3252" s="11">
        <v>0</v>
      </c>
      <c r="H3252" s="9">
        <f>MAX($F$3239:F3252)</f>
        <v>1.0001</v>
      </c>
      <c r="I3252" s="11">
        <f t="shared" si="80"/>
        <v>9.99900009999166e-5</v>
      </c>
      <c r="J3252" s="9"/>
      <c r="K3252" s="11"/>
      <c r="L3252" s="9"/>
      <c r="M3252" s="11"/>
      <c r="N3252" s="9" t="s">
        <v>809</v>
      </c>
    </row>
    <row r="3253" ht="25" customHeight="1" spans="1:14">
      <c r="A3253" s="9" t="s">
        <v>327</v>
      </c>
      <c r="B3253" s="9" t="s">
        <v>326</v>
      </c>
      <c r="C3253" s="10">
        <v>43517</v>
      </c>
      <c r="D3253" s="15">
        <v>1.0001</v>
      </c>
      <c r="E3253" s="15">
        <v>1.0001</v>
      </c>
      <c r="F3253" s="15">
        <v>1.0001</v>
      </c>
      <c r="G3253" s="11">
        <v>0.0001</v>
      </c>
      <c r="H3253" s="9">
        <f>MAX($F$3239:F3253)</f>
        <v>1.0001</v>
      </c>
      <c r="I3253" s="11">
        <f t="shared" si="80"/>
        <v>0</v>
      </c>
      <c r="J3253" s="9"/>
      <c r="K3253" s="11"/>
      <c r="L3253" s="9"/>
      <c r="M3253" s="11"/>
      <c r="N3253" s="9" t="s">
        <v>809</v>
      </c>
    </row>
    <row r="3254" ht="25" customHeight="1" spans="1:14">
      <c r="A3254" s="9" t="s">
        <v>327</v>
      </c>
      <c r="B3254" s="9" t="s">
        <v>326</v>
      </c>
      <c r="C3254" s="10">
        <v>43518</v>
      </c>
      <c r="D3254" s="15">
        <v>0.998</v>
      </c>
      <c r="E3254" s="15">
        <v>0.998</v>
      </c>
      <c r="F3254" s="15">
        <v>0.998</v>
      </c>
      <c r="G3254" s="11">
        <v>-0.0021</v>
      </c>
      <c r="H3254" s="9">
        <f>MAX($F$3239:F3254)</f>
        <v>1.0001</v>
      </c>
      <c r="I3254" s="11">
        <f t="shared" si="80"/>
        <v>0.00209979002099792</v>
      </c>
      <c r="J3254" s="9"/>
      <c r="K3254" s="11"/>
      <c r="L3254" s="9"/>
      <c r="M3254" s="11"/>
      <c r="N3254" s="9" t="s">
        <v>809</v>
      </c>
    </row>
    <row r="3255" ht="25" customHeight="1" spans="1:14">
      <c r="A3255" s="9" t="s">
        <v>327</v>
      </c>
      <c r="B3255" s="9" t="s">
        <v>326</v>
      </c>
      <c r="C3255" s="10">
        <v>43521</v>
      </c>
      <c r="D3255" s="15">
        <v>0.9979</v>
      </c>
      <c r="E3255" s="15">
        <v>0.9979</v>
      </c>
      <c r="F3255" s="15">
        <v>0.9979</v>
      </c>
      <c r="G3255" s="11">
        <v>-0.0001</v>
      </c>
      <c r="H3255" s="9">
        <f>MAX($F$3239:F3255)</f>
        <v>1.0001</v>
      </c>
      <c r="I3255" s="11">
        <f t="shared" si="80"/>
        <v>0.00219978002199783</v>
      </c>
      <c r="J3255" s="9"/>
      <c r="K3255" s="11"/>
      <c r="L3255" s="9"/>
      <c r="M3255" s="11"/>
      <c r="N3255" s="9" t="s">
        <v>809</v>
      </c>
    </row>
    <row r="3256" ht="25" customHeight="1" spans="1:14">
      <c r="A3256" s="9" t="s">
        <v>327</v>
      </c>
      <c r="B3256" s="9" t="s">
        <v>326</v>
      </c>
      <c r="C3256" s="10">
        <v>43522</v>
      </c>
      <c r="D3256" s="15">
        <v>0.9958</v>
      </c>
      <c r="E3256" s="15">
        <v>0.9958</v>
      </c>
      <c r="F3256" s="15">
        <v>0.9958</v>
      </c>
      <c r="G3256" s="11">
        <v>-0.0021</v>
      </c>
      <c r="H3256" s="9">
        <f>MAX($F$3239:F3256)</f>
        <v>1.0001</v>
      </c>
      <c r="I3256" s="11">
        <f t="shared" si="80"/>
        <v>0.00429957004299564</v>
      </c>
      <c r="J3256" s="9"/>
      <c r="K3256" s="11"/>
      <c r="L3256" s="9"/>
      <c r="M3256" s="11"/>
      <c r="N3256" s="9" t="s">
        <v>809</v>
      </c>
    </row>
    <row r="3257" ht="25" customHeight="1" spans="1:14">
      <c r="A3257" s="9" t="s">
        <v>327</v>
      </c>
      <c r="B3257" s="9" t="s">
        <v>326</v>
      </c>
      <c r="C3257" s="10">
        <v>43523</v>
      </c>
      <c r="D3257" s="15">
        <v>0.9952</v>
      </c>
      <c r="E3257" s="15">
        <v>0.9952</v>
      </c>
      <c r="F3257" s="15">
        <v>0.9952</v>
      </c>
      <c r="G3257" s="11">
        <v>-0.0006</v>
      </c>
      <c r="H3257" s="9">
        <f>MAX($F$3239:F3257)</f>
        <v>1.0001</v>
      </c>
      <c r="I3257" s="11">
        <f t="shared" si="80"/>
        <v>0.00489951004899514</v>
      </c>
      <c r="J3257" s="9"/>
      <c r="K3257" s="11"/>
      <c r="L3257" s="9"/>
      <c r="M3257" s="11"/>
      <c r="N3257" s="9" t="s">
        <v>809</v>
      </c>
    </row>
    <row r="3258" ht="25" customHeight="1" spans="1:14">
      <c r="A3258" s="9" t="s">
        <v>327</v>
      </c>
      <c r="B3258" s="9" t="s">
        <v>326</v>
      </c>
      <c r="C3258" s="10">
        <v>43524</v>
      </c>
      <c r="D3258" s="15">
        <v>0.9933</v>
      </c>
      <c r="E3258" s="15">
        <v>0.9933</v>
      </c>
      <c r="F3258" s="15">
        <v>0.9933</v>
      </c>
      <c r="G3258" s="11">
        <v>-0.0019</v>
      </c>
      <c r="H3258" s="9">
        <f>MAX($F$3239:F3258)</f>
        <v>1.0001</v>
      </c>
      <c r="I3258" s="11">
        <f t="shared" si="80"/>
        <v>0.00679932006799322</v>
      </c>
      <c r="J3258" s="9"/>
      <c r="K3258" s="11"/>
      <c r="L3258" s="9"/>
      <c r="M3258" s="11"/>
      <c r="N3258" s="9" t="s">
        <v>809</v>
      </c>
    </row>
    <row r="3259" ht="25" customHeight="1" spans="1:14">
      <c r="A3259" s="9" t="s">
        <v>327</v>
      </c>
      <c r="B3259" s="9" t="s">
        <v>326</v>
      </c>
      <c r="C3259" s="10">
        <v>43525</v>
      </c>
      <c r="D3259" s="15">
        <v>0.993</v>
      </c>
      <c r="E3259" s="15">
        <v>0.993</v>
      </c>
      <c r="F3259" s="15">
        <v>0.993</v>
      </c>
      <c r="G3259" s="11">
        <v>-0.0003</v>
      </c>
      <c r="H3259" s="9">
        <f>MAX($F$3239:F3259)</f>
        <v>1.0001</v>
      </c>
      <c r="I3259" s="11">
        <f t="shared" si="80"/>
        <v>0.00709929007099286</v>
      </c>
      <c r="J3259" s="9"/>
      <c r="K3259" s="11"/>
      <c r="L3259" s="9"/>
      <c r="M3259" s="11"/>
      <c r="N3259" s="9" t="s">
        <v>809</v>
      </c>
    </row>
    <row r="3260" ht="25" customHeight="1" spans="1:14">
      <c r="A3260" s="9" t="s">
        <v>327</v>
      </c>
      <c r="B3260" s="9" t="s">
        <v>326</v>
      </c>
      <c r="C3260" s="10">
        <v>43528</v>
      </c>
      <c r="D3260" s="15">
        <v>0.99</v>
      </c>
      <c r="E3260" s="15">
        <v>0.99</v>
      </c>
      <c r="F3260" s="15">
        <v>0.99</v>
      </c>
      <c r="G3260" s="11">
        <v>-0.003</v>
      </c>
      <c r="H3260" s="9">
        <f>MAX($F$3239:F3260)</f>
        <v>1.0001</v>
      </c>
      <c r="I3260" s="11">
        <f t="shared" si="80"/>
        <v>0.0100989901009899</v>
      </c>
      <c r="J3260" s="9"/>
      <c r="K3260" s="11"/>
      <c r="L3260" s="9"/>
      <c r="M3260" s="11"/>
      <c r="N3260" s="9" t="s">
        <v>809</v>
      </c>
    </row>
    <row r="3261" ht="25" customHeight="1" spans="1:14">
      <c r="A3261" s="9" t="s">
        <v>327</v>
      </c>
      <c r="B3261" s="9" t="s">
        <v>326</v>
      </c>
      <c r="C3261" s="10">
        <v>43529</v>
      </c>
      <c r="D3261" s="15">
        <v>0.9873</v>
      </c>
      <c r="E3261" s="15">
        <v>0.9873</v>
      </c>
      <c r="F3261" s="15">
        <v>0.9873</v>
      </c>
      <c r="G3261" s="11">
        <v>-0.0027</v>
      </c>
      <c r="H3261" s="9">
        <f>MAX($F$3239:F3261)</f>
        <v>1.0001</v>
      </c>
      <c r="I3261" s="11">
        <f t="shared" si="80"/>
        <v>0.0127987201279872</v>
      </c>
      <c r="J3261" s="9"/>
      <c r="K3261" s="11"/>
      <c r="L3261" s="9"/>
      <c r="M3261" s="11"/>
      <c r="N3261" s="9" t="s">
        <v>809</v>
      </c>
    </row>
    <row r="3262" ht="25" customHeight="1" spans="1:14">
      <c r="A3262" s="9" t="s">
        <v>327</v>
      </c>
      <c r="B3262" s="9" t="s">
        <v>326</v>
      </c>
      <c r="C3262" s="10">
        <v>43530</v>
      </c>
      <c r="D3262" s="15">
        <v>0.9867</v>
      </c>
      <c r="E3262" s="15">
        <v>0.9867</v>
      </c>
      <c r="F3262" s="15">
        <v>0.9867</v>
      </c>
      <c r="G3262" s="11">
        <v>-0.0006</v>
      </c>
      <c r="H3262" s="9">
        <f>MAX($F$3239:F3262)</f>
        <v>1.0001</v>
      </c>
      <c r="I3262" s="11">
        <f t="shared" si="80"/>
        <v>0.0133986601339866</v>
      </c>
      <c r="J3262" s="9"/>
      <c r="K3262" s="11"/>
      <c r="L3262" s="9"/>
      <c r="M3262" s="11"/>
      <c r="N3262" s="9" t="s">
        <v>809</v>
      </c>
    </row>
    <row r="3263" ht="25" customHeight="1" spans="1:14">
      <c r="A3263" s="9" t="s">
        <v>327</v>
      </c>
      <c r="B3263" s="9" t="s">
        <v>326</v>
      </c>
      <c r="C3263" s="10">
        <v>43531</v>
      </c>
      <c r="D3263" s="15">
        <v>0.9887</v>
      </c>
      <c r="E3263" s="15">
        <v>0.9887</v>
      </c>
      <c r="F3263" s="15">
        <v>0.9887</v>
      </c>
      <c r="G3263" s="11">
        <v>0.002</v>
      </c>
      <c r="H3263" s="9">
        <f>MAX($F$3239:F3263)</f>
        <v>1.0001</v>
      </c>
      <c r="I3263" s="11">
        <f t="shared" si="80"/>
        <v>0.0113988601139886</v>
      </c>
      <c r="J3263" s="9"/>
      <c r="K3263" s="11"/>
      <c r="L3263" s="9"/>
      <c r="M3263" s="11"/>
      <c r="N3263" s="9" t="s">
        <v>809</v>
      </c>
    </row>
    <row r="3264" ht="25" customHeight="1" spans="1:14">
      <c r="A3264" s="9" t="s">
        <v>327</v>
      </c>
      <c r="B3264" s="9" t="s">
        <v>326</v>
      </c>
      <c r="C3264" s="10">
        <v>43532</v>
      </c>
      <c r="D3264" s="15">
        <v>0.99</v>
      </c>
      <c r="E3264" s="15">
        <v>0.99</v>
      </c>
      <c r="F3264" s="15">
        <v>0.99</v>
      </c>
      <c r="G3264" s="11">
        <v>0.0013</v>
      </c>
      <c r="H3264" s="9">
        <f>MAX($F$3239:F3264)</f>
        <v>1.0001</v>
      </c>
      <c r="I3264" s="11">
        <f t="shared" si="80"/>
        <v>0.0100989901009899</v>
      </c>
      <c r="J3264" s="9"/>
      <c r="K3264" s="11"/>
      <c r="L3264" s="9"/>
      <c r="M3264" s="11"/>
      <c r="N3264" s="9" t="s">
        <v>809</v>
      </c>
    </row>
    <row r="3265" ht="25" customHeight="1" spans="1:14">
      <c r="A3265" s="9" t="s">
        <v>327</v>
      </c>
      <c r="B3265" s="9" t="s">
        <v>326</v>
      </c>
      <c r="C3265" s="10">
        <v>43535</v>
      </c>
      <c r="D3265" s="15">
        <v>0.9902</v>
      </c>
      <c r="E3265" s="15">
        <v>0.9902</v>
      </c>
      <c r="F3265" s="15">
        <v>0.9902</v>
      </c>
      <c r="G3265" s="11">
        <v>0.0002</v>
      </c>
      <c r="H3265" s="9">
        <f>MAX($F$3239:F3265)</f>
        <v>1.0001</v>
      </c>
      <c r="I3265" s="11">
        <f t="shared" si="80"/>
        <v>0.00989901009899008</v>
      </c>
      <c r="J3265" s="9"/>
      <c r="K3265" s="11"/>
      <c r="L3265" s="9"/>
      <c r="M3265" s="11"/>
      <c r="N3265" s="9" t="s">
        <v>809</v>
      </c>
    </row>
    <row r="3266" ht="25" customHeight="1" spans="1:14">
      <c r="A3266" s="9" t="s">
        <v>327</v>
      </c>
      <c r="B3266" s="9" t="s">
        <v>326</v>
      </c>
      <c r="C3266" s="10">
        <v>43536</v>
      </c>
      <c r="D3266" s="15">
        <v>0.9913</v>
      </c>
      <c r="E3266" s="15">
        <v>0.9913</v>
      </c>
      <c r="F3266" s="15">
        <v>0.9913</v>
      </c>
      <c r="G3266" s="11">
        <v>0.0011</v>
      </c>
      <c r="H3266" s="9">
        <f>MAX($F$3239:F3266)</f>
        <v>1.0001</v>
      </c>
      <c r="I3266" s="11">
        <f t="shared" ref="I3266:I3329" si="81">1-F3266/H3266</f>
        <v>0.00879912008799122</v>
      </c>
      <c r="J3266" s="9"/>
      <c r="K3266" s="11"/>
      <c r="L3266" s="9"/>
      <c r="M3266" s="11"/>
      <c r="N3266" s="9" t="s">
        <v>809</v>
      </c>
    </row>
    <row r="3267" ht="25" customHeight="1" spans="1:14">
      <c r="A3267" s="9" t="s">
        <v>327</v>
      </c>
      <c r="B3267" s="9" t="s">
        <v>326</v>
      </c>
      <c r="C3267" s="10">
        <v>43537</v>
      </c>
      <c r="D3267" s="15">
        <v>0.9927</v>
      </c>
      <c r="E3267" s="15">
        <v>0.9927</v>
      </c>
      <c r="F3267" s="15">
        <v>0.9927</v>
      </c>
      <c r="G3267" s="11">
        <v>0.0014</v>
      </c>
      <c r="H3267" s="9">
        <f>MAX($F$3239:F3267)</f>
        <v>1.0001</v>
      </c>
      <c r="I3267" s="11">
        <f t="shared" si="81"/>
        <v>0.00739926007399261</v>
      </c>
      <c r="J3267" s="9"/>
      <c r="K3267" s="11"/>
      <c r="L3267" s="9"/>
      <c r="M3267" s="11"/>
      <c r="N3267" s="9" t="s">
        <v>809</v>
      </c>
    </row>
    <row r="3268" ht="25" customHeight="1" spans="1:14">
      <c r="A3268" s="9" t="s">
        <v>327</v>
      </c>
      <c r="B3268" s="9" t="s">
        <v>326</v>
      </c>
      <c r="C3268" s="10">
        <v>43538</v>
      </c>
      <c r="D3268" s="15">
        <v>0.9939</v>
      </c>
      <c r="E3268" s="15">
        <v>0.9939</v>
      </c>
      <c r="F3268" s="15">
        <v>0.9939</v>
      </c>
      <c r="G3268" s="11">
        <v>0.0012</v>
      </c>
      <c r="H3268" s="9">
        <f>MAX($F$3239:F3268)</f>
        <v>1.0001</v>
      </c>
      <c r="I3268" s="11">
        <f t="shared" si="81"/>
        <v>0.00619938006199383</v>
      </c>
      <c r="J3268" s="9"/>
      <c r="K3268" s="11"/>
      <c r="L3268" s="9"/>
      <c r="M3268" s="11"/>
      <c r="N3268" s="9" t="s">
        <v>809</v>
      </c>
    </row>
    <row r="3269" ht="25" customHeight="1" spans="1:14">
      <c r="A3269" s="9" t="s">
        <v>327</v>
      </c>
      <c r="B3269" s="9" t="s">
        <v>326</v>
      </c>
      <c r="C3269" s="10">
        <v>43539</v>
      </c>
      <c r="D3269" s="15">
        <v>0.993</v>
      </c>
      <c r="E3269" s="15">
        <v>0.993</v>
      </c>
      <c r="F3269" s="15">
        <v>0.993</v>
      </c>
      <c r="G3269" s="11">
        <v>-0.0009</v>
      </c>
      <c r="H3269" s="9">
        <f>MAX($F$3239:F3269)</f>
        <v>1.0001</v>
      </c>
      <c r="I3269" s="11">
        <f t="shared" si="81"/>
        <v>0.00709929007099286</v>
      </c>
      <c r="J3269" s="9"/>
      <c r="K3269" s="11"/>
      <c r="L3269" s="9"/>
      <c r="M3269" s="11"/>
      <c r="N3269" s="9" t="s">
        <v>809</v>
      </c>
    </row>
    <row r="3270" ht="25" customHeight="1" spans="1:14">
      <c r="A3270" s="9" t="s">
        <v>327</v>
      </c>
      <c r="B3270" s="9" t="s">
        <v>326</v>
      </c>
      <c r="C3270" s="10">
        <v>43542</v>
      </c>
      <c r="D3270" s="15">
        <v>0.9941</v>
      </c>
      <c r="E3270" s="15">
        <v>0.9941</v>
      </c>
      <c r="F3270" s="15">
        <v>0.9941</v>
      </c>
      <c r="G3270" s="11">
        <v>0.0011</v>
      </c>
      <c r="H3270" s="9">
        <f>MAX($F$3239:F3270)</f>
        <v>1.0001</v>
      </c>
      <c r="I3270" s="11">
        <f t="shared" si="81"/>
        <v>0.005999400059994</v>
      </c>
      <c r="J3270" s="9"/>
      <c r="K3270" s="11"/>
      <c r="L3270" s="9"/>
      <c r="M3270" s="11"/>
      <c r="N3270" s="9" t="s">
        <v>809</v>
      </c>
    </row>
    <row r="3271" ht="25" customHeight="1" spans="1:14">
      <c r="A3271" s="9" t="s">
        <v>327</v>
      </c>
      <c r="B3271" s="9" t="s">
        <v>326</v>
      </c>
      <c r="C3271" s="10">
        <v>43543</v>
      </c>
      <c r="D3271" s="15">
        <v>0.9947</v>
      </c>
      <c r="E3271" s="15">
        <v>0.9947</v>
      </c>
      <c r="F3271" s="15">
        <v>0.9947</v>
      </c>
      <c r="G3271" s="11">
        <v>0.0006</v>
      </c>
      <c r="H3271" s="9">
        <f>MAX($F$3239:F3271)</f>
        <v>1.0001</v>
      </c>
      <c r="I3271" s="11">
        <f t="shared" si="81"/>
        <v>0.00539946005399461</v>
      </c>
      <c r="J3271" s="9"/>
      <c r="K3271" s="11"/>
      <c r="L3271" s="9"/>
      <c r="M3271" s="11"/>
      <c r="N3271" s="9" t="s">
        <v>809</v>
      </c>
    </row>
    <row r="3272" ht="25" customHeight="1" spans="1:14">
      <c r="A3272" s="9" t="s">
        <v>327</v>
      </c>
      <c r="B3272" s="9" t="s">
        <v>326</v>
      </c>
      <c r="C3272" s="10">
        <v>43544</v>
      </c>
      <c r="D3272" s="15">
        <v>0.9943</v>
      </c>
      <c r="E3272" s="15">
        <v>0.9943</v>
      </c>
      <c r="F3272" s="15">
        <v>0.9943</v>
      </c>
      <c r="G3272" s="11">
        <v>-0.0004</v>
      </c>
      <c r="H3272" s="9">
        <f>MAX($F$3239:F3272)</f>
        <v>1.0001</v>
      </c>
      <c r="I3272" s="11">
        <f t="shared" si="81"/>
        <v>0.00579942005799428</v>
      </c>
      <c r="J3272" s="9"/>
      <c r="K3272" s="11"/>
      <c r="L3272" s="9"/>
      <c r="M3272" s="11"/>
      <c r="N3272" s="9" t="s">
        <v>809</v>
      </c>
    </row>
    <row r="3273" ht="25" customHeight="1" spans="1:14">
      <c r="A3273" s="9" t="s">
        <v>327</v>
      </c>
      <c r="B3273" s="9" t="s">
        <v>326</v>
      </c>
      <c r="C3273" s="10">
        <v>43545</v>
      </c>
      <c r="D3273" s="15">
        <v>0.9958</v>
      </c>
      <c r="E3273" s="15">
        <v>0.9958</v>
      </c>
      <c r="F3273" s="15">
        <v>0.9958</v>
      </c>
      <c r="G3273" s="11">
        <v>0.0015</v>
      </c>
      <c r="H3273" s="9">
        <f>MAX($F$3239:F3273)</f>
        <v>1.0001</v>
      </c>
      <c r="I3273" s="11">
        <f t="shared" si="81"/>
        <v>0.00429957004299564</v>
      </c>
      <c r="J3273" s="9"/>
      <c r="K3273" s="11"/>
      <c r="L3273" s="9"/>
      <c r="M3273" s="11"/>
      <c r="N3273" s="9" t="s">
        <v>809</v>
      </c>
    </row>
    <row r="3274" ht="25" customHeight="1" spans="1:14">
      <c r="A3274" s="9" t="s">
        <v>327</v>
      </c>
      <c r="B3274" s="9" t="s">
        <v>326</v>
      </c>
      <c r="C3274" s="10">
        <v>43546</v>
      </c>
      <c r="D3274" s="15">
        <v>0.9958</v>
      </c>
      <c r="E3274" s="15">
        <v>0.9958</v>
      </c>
      <c r="F3274" s="15">
        <v>0.9958</v>
      </c>
      <c r="G3274" s="11">
        <v>0</v>
      </c>
      <c r="H3274" s="9">
        <f>MAX($F$3239:F3274)</f>
        <v>1.0001</v>
      </c>
      <c r="I3274" s="11">
        <f t="shared" si="81"/>
        <v>0.00429957004299564</v>
      </c>
      <c r="J3274" s="9"/>
      <c r="K3274" s="11"/>
      <c r="L3274" s="9"/>
      <c r="M3274" s="11"/>
      <c r="N3274" s="9" t="s">
        <v>809</v>
      </c>
    </row>
    <row r="3275" ht="25" customHeight="1" spans="1:14">
      <c r="A3275" s="9" t="s">
        <v>327</v>
      </c>
      <c r="B3275" s="9" t="s">
        <v>326</v>
      </c>
      <c r="C3275" s="10">
        <v>43549</v>
      </c>
      <c r="D3275" s="15">
        <v>0.9974</v>
      </c>
      <c r="E3275" s="15">
        <v>0.9974</v>
      </c>
      <c r="F3275" s="15">
        <v>0.9974</v>
      </c>
      <c r="G3275" s="11">
        <v>0.0016</v>
      </c>
      <c r="H3275" s="9">
        <f>MAX($F$3239:F3275)</f>
        <v>1.0001</v>
      </c>
      <c r="I3275" s="11">
        <f t="shared" si="81"/>
        <v>0.0026997300269973</v>
      </c>
      <c r="J3275" s="9"/>
      <c r="K3275" s="11"/>
      <c r="L3275" s="9"/>
      <c r="M3275" s="11"/>
      <c r="N3275" s="9" t="s">
        <v>809</v>
      </c>
    </row>
    <row r="3276" ht="25" customHeight="1" spans="1:14">
      <c r="A3276" s="9" t="s">
        <v>327</v>
      </c>
      <c r="B3276" s="9" t="s">
        <v>326</v>
      </c>
      <c r="C3276" s="10">
        <v>43550</v>
      </c>
      <c r="D3276" s="15">
        <v>0.9969</v>
      </c>
      <c r="E3276" s="15">
        <v>0.9969</v>
      </c>
      <c r="F3276" s="15">
        <v>0.9969</v>
      </c>
      <c r="G3276" s="11">
        <v>-0.0005</v>
      </c>
      <c r="H3276" s="9">
        <f>MAX($F$3239:F3276)</f>
        <v>1.0001</v>
      </c>
      <c r="I3276" s="11">
        <f t="shared" si="81"/>
        <v>0.00319968003199678</v>
      </c>
      <c r="J3276" s="9"/>
      <c r="K3276" s="11"/>
      <c r="L3276" s="9"/>
      <c r="M3276" s="11"/>
      <c r="N3276" s="9" t="s">
        <v>809</v>
      </c>
    </row>
    <row r="3277" ht="25" customHeight="1" spans="1:14">
      <c r="A3277" s="9" t="s">
        <v>327</v>
      </c>
      <c r="B3277" s="9" t="s">
        <v>326</v>
      </c>
      <c r="C3277" s="10">
        <v>43551</v>
      </c>
      <c r="D3277" s="15">
        <v>1.0035</v>
      </c>
      <c r="E3277" s="15">
        <v>1.0035</v>
      </c>
      <c r="F3277" s="15">
        <v>1.0035</v>
      </c>
      <c r="G3277" s="11">
        <v>0.0066</v>
      </c>
      <c r="H3277" s="9">
        <f>MAX($F$3239:F3277)</f>
        <v>1.0035</v>
      </c>
      <c r="I3277" s="11">
        <f t="shared" si="81"/>
        <v>0</v>
      </c>
      <c r="J3277" s="9"/>
      <c r="K3277" s="11"/>
      <c r="L3277" s="9"/>
      <c r="M3277" s="11"/>
      <c r="N3277" s="9" t="s">
        <v>809</v>
      </c>
    </row>
    <row r="3278" ht="25" customHeight="1" spans="1:14">
      <c r="A3278" s="9" t="s">
        <v>327</v>
      </c>
      <c r="B3278" s="9" t="s">
        <v>326</v>
      </c>
      <c r="C3278" s="10">
        <v>43552</v>
      </c>
      <c r="D3278" s="15">
        <v>1.0045</v>
      </c>
      <c r="E3278" s="15">
        <v>1.0045</v>
      </c>
      <c r="F3278" s="15">
        <v>1.0045</v>
      </c>
      <c r="G3278" s="11">
        <v>0.001</v>
      </c>
      <c r="H3278" s="9">
        <f>MAX($F$3239:F3278)</f>
        <v>1.0045</v>
      </c>
      <c r="I3278" s="11">
        <f t="shared" si="81"/>
        <v>0</v>
      </c>
      <c r="J3278" s="9"/>
      <c r="K3278" s="11"/>
      <c r="L3278" s="9"/>
      <c r="M3278" s="11"/>
      <c r="N3278" s="9" t="s">
        <v>809</v>
      </c>
    </row>
    <row r="3279" ht="25" customHeight="1" spans="1:14">
      <c r="A3279" s="9" t="s">
        <v>327</v>
      </c>
      <c r="B3279" s="9" t="s">
        <v>326</v>
      </c>
      <c r="C3279" s="10">
        <v>43553</v>
      </c>
      <c r="D3279" s="15">
        <v>1.0059</v>
      </c>
      <c r="E3279" s="15">
        <v>1.0059</v>
      </c>
      <c r="F3279" s="15">
        <v>1.0059</v>
      </c>
      <c r="G3279" s="11">
        <v>0.0014</v>
      </c>
      <c r="H3279" s="9">
        <f>MAX($F$3239:F3279)</f>
        <v>1.0059</v>
      </c>
      <c r="I3279" s="11">
        <f t="shared" si="81"/>
        <v>0</v>
      </c>
      <c r="J3279" s="9"/>
      <c r="K3279" s="11"/>
      <c r="L3279" s="9"/>
      <c r="M3279" s="11"/>
      <c r="N3279" s="9" t="s">
        <v>809</v>
      </c>
    </row>
    <row r="3280" ht="25" customHeight="1" spans="1:14">
      <c r="A3280" s="9" t="s">
        <v>327</v>
      </c>
      <c r="B3280" s="9" t="s">
        <v>326</v>
      </c>
      <c r="C3280" s="10">
        <v>43556</v>
      </c>
      <c r="D3280" s="15">
        <v>1.007</v>
      </c>
      <c r="E3280" s="15">
        <v>1.007</v>
      </c>
      <c r="F3280" s="15">
        <v>1.007</v>
      </c>
      <c r="G3280" s="11">
        <v>0.0011</v>
      </c>
      <c r="H3280" s="9">
        <f>MAX($F$3239:F3280)</f>
        <v>1.007</v>
      </c>
      <c r="I3280" s="11">
        <f t="shared" si="81"/>
        <v>0</v>
      </c>
      <c r="J3280" s="9"/>
      <c r="K3280" s="11"/>
      <c r="L3280" s="9"/>
      <c r="M3280" s="11"/>
      <c r="N3280" s="9" t="s">
        <v>809</v>
      </c>
    </row>
    <row r="3281" ht="25" customHeight="1" spans="1:14">
      <c r="A3281" s="9" t="s">
        <v>327</v>
      </c>
      <c r="B3281" s="9" t="s">
        <v>326</v>
      </c>
      <c r="C3281" s="10">
        <v>43557</v>
      </c>
      <c r="D3281" s="15">
        <v>1.0074</v>
      </c>
      <c r="E3281" s="15">
        <v>1.0074</v>
      </c>
      <c r="F3281" s="15">
        <v>1.0074</v>
      </c>
      <c r="G3281" s="11">
        <v>0.0004</v>
      </c>
      <c r="H3281" s="9">
        <f>MAX($F$3239:F3281)</f>
        <v>1.0074</v>
      </c>
      <c r="I3281" s="11">
        <f t="shared" si="81"/>
        <v>0</v>
      </c>
      <c r="J3281" s="9"/>
      <c r="K3281" s="11"/>
      <c r="L3281" s="9"/>
      <c r="M3281" s="11"/>
      <c r="N3281" s="9" t="s">
        <v>809</v>
      </c>
    </row>
    <row r="3282" ht="25" customHeight="1" spans="1:14">
      <c r="A3282" s="9" t="s">
        <v>327</v>
      </c>
      <c r="B3282" s="9" t="s">
        <v>326</v>
      </c>
      <c r="C3282" s="10">
        <v>43558</v>
      </c>
      <c r="D3282" s="15">
        <v>1.0094</v>
      </c>
      <c r="E3282" s="15">
        <v>1.0094</v>
      </c>
      <c r="F3282" s="15">
        <v>1.0094</v>
      </c>
      <c r="G3282" s="11">
        <v>0.002</v>
      </c>
      <c r="H3282" s="9">
        <f>MAX($F$3239:F3282)</f>
        <v>1.0094</v>
      </c>
      <c r="I3282" s="11">
        <f t="shared" si="81"/>
        <v>0</v>
      </c>
      <c r="J3282" s="9"/>
      <c r="K3282" s="11"/>
      <c r="L3282" s="9"/>
      <c r="M3282" s="11"/>
      <c r="N3282" s="9" t="s">
        <v>809</v>
      </c>
    </row>
    <row r="3283" ht="25" customHeight="1" spans="1:14">
      <c r="A3283" s="9" t="s">
        <v>327</v>
      </c>
      <c r="B3283" s="9" t="s">
        <v>326</v>
      </c>
      <c r="C3283" s="10">
        <v>43559</v>
      </c>
      <c r="D3283" s="15">
        <v>1.01</v>
      </c>
      <c r="E3283" s="15">
        <v>1.01</v>
      </c>
      <c r="F3283" s="15">
        <v>1.01</v>
      </c>
      <c r="G3283" s="11">
        <v>0.0006</v>
      </c>
      <c r="H3283" s="9">
        <f>MAX($F$3239:F3283)</f>
        <v>1.01</v>
      </c>
      <c r="I3283" s="11">
        <f t="shared" si="81"/>
        <v>0</v>
      </c>
      <c r="J3283" s="9"/>
      <c r="K3283" s="11"/>
      <c r="L3283" s="9"/>
      <c r="M3283" s="11"/>
      <c r="N3283" s="9" t="s">
        <v>809</v>
      </c>
    </row>
    <row r="3284" ht="25" customHeight="1" spans="1:14">
      <c r="A3284" s="9" t="s">
        <v>327</v>
      </c>
      <c r="B3284" s="9" t="s">
        <v>326</v>
      </c>
      <c r="C3284" s="10">
        <v>43563</v>
      </c>
      <c r="D3284" s="15">
        <v>1.0114</v>
      </c>
      <c r="E3284" s="15">
        <v>1.0114</v>
      </c>
      <c r="F3284" s="15">
        <v>1.0114</v>
      </c>
      <c r="G3284" s="11">
        <v>0.0014</v>
      </c>
      <c r="H3284" s="9">
        <f>MAX($F$3239:F3284)</f>
        <v>1.0114</v>
      </c>
      <c r="I3284" s="11">
        <f t="shared" si="81"/>
        <v>0</v>
      </c>
      <c r="J3284" s="9"/>
      <c r="K3284" s="11"/>
      <c r="L3284" s="9"/>
      <c r="M3284" s="11"/>
      <c r="N3284" s="9" t="s">
        <v>809</v>
      </c>
    </row>
    <row r="3285" ht="25" customHeight="1" spans="1:14">
      <c r="A3285" s="9" t="s">
        <v>327</v>
      </c>
      <c r="B3285" s="9" t="s">
        <v>326</v>
      </c>
      <c r="C3285" s="10">
        <v>43564</v>
      </c>
      <c r="D3285" s="15">
        <v>1.0111</v>
      </c>
      <c r="E3285" s="15">
        <v>1.0111</v>
      </c>
      <c r="F3285" s="15">
        <v>1.0111</v>
      </c>
      <c r="G3285" s="11">
        <v>-0.0003</v>
      </c>
      <c r="H3285" s="9">
        <f>MAX($F$3239:F3285)</f>
        <v>1.0114</v>
      </c>
      <c r="I3285" s="11">
        <f t="shared" si="81"/>
        <v>0.000296618548546568</v>
      </c>
      <c r="J3285" s="9"/>
      <c r="K3285" s="11"/>
      <c r="L3285" s="9"/>
      <c r="M3285" s="11"/>
      <c r="N3285" s="9" t="s">
        <v>809</v>
      </c>
    </row>
    <row r="3286" ht="25" customHeight="1" spans="1:14">
      <c r="A3286" s="9" t="s">
        <v>327</v>
      </c>
      <c r="B3286" s="9" t="s">
        <v>326</v>
      </c>
      <c r="C3286" s="10">
        <v>43565</v>
      </c>
      <c r="D3286" s="15">
        <v>1.0112</v>
      </c>
      <c r="E3286" s="15">
        <v>1.0112</v>
      </c>
      <c r="F3286" s="15">
        <v>1.0112</v>
      </c>
      <c r="G3286" s="11">
        <v>0.0001</v>
      </c>
      <c r="H3286" s="9">
        <f>MAX($F$3239:F3286)</f>
        <v>1.0114</v>
      </c>
      <c r="I3286" s="11">
        <f t="shared" si="81"/>
        <v>0.000197745699030971</v>
      </c>
      <c r="J3286" s="9"/>
      <c r="K3286" s="11"/>
      <c r="L3286" s="9"/>
      <c r="M3286" s="11"/>
      <c r="N3286" s="9" t="s">
        <v>809</v>
      </c>
    </row>
    <row r="3287" ht="25" customHeight="1" spans="1:14">
      <c r="A3287" s="9" t="s">
        <v>327</v>
      </c>
      <c r="B3287" s="9" t="s">
        <v>326</v>
      </c>
      <c r="C3287" s="10">
        <v>43566</v>
      </c>
      <c r="D3287" s="15">
        <v>1.012</v>
      </c>
      <c r="E3287" s="15">
        <v>1.012</v>
      </c>
      <c r="F3287" s="15">
        <v>1.012</v>
      </c>
      <c r="G3287" s="11">
        <v>0.0008</v>
      </c>
      <c r="H3287" s="9">
        <f>MAX($F$3239:F3287)</f>
        <v>1.012</v>
      </c>
      <c r="I3287" s="11">
        <f t="shared" si="81"/>
        <v>0</v>
      </c>
      <c r="J3287" s="9"/>
      <c r="K3287" s="11"/>
      <c r="L3287" s="9"/>
      <c r="M3287" s="11"/>
      <c r="N3287" s="9" t="s">
        <v>809</v>
      </c>
    </row>
    <row r="3288" ht="25" customHeight="1" spans="1:14">
      <c r="A3288" s="9" t="s">
        <v>327</v>
      </c>
      <c r="B3288" s="9" t="s">
        <v>326</v>
      </c>
      <c r="C3288" s="10">
        <v>43567</v>
      </c>
      <c r="D3288" s="15">
        <v>1.0135</v>
      </c>
      <c r="E3288" s="15">
        <v>1.0135</v>
      </c>
      <c r="F3288" s="15">
        <v>1.0135</v>
      </c>
      <c r="G3288" s="11">
        <v>0.0015</v>
      </c>
      <c r="H3288" s="9">
        <f>MAX($F$3239:F3288)</f>
        <v>1.0135</v>
      </c>
      <c r="I3288" s="11">
        <f t="shared" si="81"/>
        <v>0</v>
      </c>
      <c r="J3288" s="9"/>
      <c r="K3288" s="11"/>
      <c r="L3288" s="9"/>
      <c r="M3288" s="11"/>
      <c r="N3288" s="9" t="s">
        <v>809</v>
      </c>
    </row>
    <row r="3289" ht="25" customHeight="1" spans="1:14">
      <c r="A3289" s="9" t="s">
        <v>327</v>
      </c>
      <c r="B3289" s="9" t="s">
        <v>326</v>
      </c>
      <c r="C3289" s="10">
        <v>43570</v>
      </c>
      <c r="D3289" s="15">
        <v>1.0138</v>
      </c>
      <c r="E3289" s="15">
        <v>1.0138</v>
      </c>
      <c r="F3289" s="15">
        <v>1.0138</v>
      </c>
      <c r="G3289" s="11">
        <v>0.0003</v>
      </c>
      <c r="H3289" s="9">
        <f>MAX($F$3239:F3289)</f>
        <v>1.0138</v>
      </c>
      <c r="I3289" s="11">
        <f t="shared" si="81"/>
        <v>0</v>
      </c>
      <c r="J3289" s="9"/>
      <c r="K3289" s="11"/>
      <c r="L3289" s="9"/>
      <c r="M3289" s="11"/>
      <c r="N3289" s="9" t="s">
        <v>809</v>
      </c>
    </row>
    <row r="3290" ht="25" customHeight="1" spans="1:14">
      <c r="A3290" s="9" t="s">
        <v>327</v>
      </c>
      <c r="B3290" s="9" t="s">
        <v>326</v>
      </c>
      <c r="C3290" s="10">
        <v>43571</v>
      </c>
      <c r="D3290" s="15">
        <v>1.0125</v>
      </c>
      <c r="E3290" s="15">
        <v>1.0125</v>
      </c>
      <c r="F3290" s="15">
        <v>1.0125</v>
      </c>
      <c r="G3290" s="11">
        <v>-0.0013</v>
      </c>
      <c r="H3290" s="9">
        <f>MAX($F$3239:F3290)</f>
        <v>1.0138</v>
      </c>
      <c r="I3290" s="11">
        <f t="shared" si="81"/>
        <v>0.00128230420201236</v>
      </c>
      <c r="J3290" s="9"/>
      <c r="K3290" s="11"/>
      <c r="L3290" s="9"/>
      <c r="M3290" s="11"/>
      <c r="N3290" s="9" t="s">
        <v>809</v>
      </c>
    </row>
    <row r="3291" ht="25" customHeight="1" spans="1:14">
      <c r="A3291" s="9" t="s">
        <v>327</v>
      </c>
      <c r="B3291" s="9" t="s">
        <v>326</v>
      </c>
      <c r="C3291" s="10">
        <v>43572</v>
      </c>
      <c r="D3291" s="15">
        <v>1.0122</v>
      </c>
      <c r="E3291" s="15">
        <v>1.0122</v>
      </c>
      <c r="F3291" s="15">
        <v>1.0122</v>
      </c>
      <c r="G3291" s="11">
        <v>-0.0003</v>
      </c>
      <c r="H3291" s="9">
        <f>MAX($F$3239:F3291)</f>
        <v>1.0138</v>
      </c>
      <c r="I3291" s="11">
        <f t="shared" si="81"/>
        <v>0.00157822055632284</v>
      </c>
      <c r="J3291" s="9"/>
      <c r="K3291" s="11"/>
      <c r="L3291" s="9"/>
      <c r="M3291" s="11"/>
      <c r="N3291" s="9" t="s">
        <v>809</v>
      </c>
    </row>
    <row r="3292" ht="25" customHeight="1" spans="1:14">
      <c r="A3292" s="9" t="s">
        <v>327</v>
      </c>
      <c r="B3292" s="9" t="s">
        <v>326</v>
      </c>
      <c r="C3292" s="10">
        <v>43573</v>
      </c>
      <c r="D3292" s="15">
        <v>1.0136</v>
      </c>
      <c r="E3292" s="15">
        <v>1.0136</v>
      </c>
      <c r="F3292" s="15">
        <v>1.0136</v>
      </c>
      <c r="G3292" s="11">
        <v>0.0014</v>
      </c>
      <c r="H3292" s="9">
        <f>MAX($F$3239:F3292)</f>
        <v>1.0138</v>
      </c>
      <c r="I3292" s="11">
        <f t="shared" si="81"/>
        <v>0.000197277569540355</v>
      </c>
      <c r="J3292" s="9"/>
      <c r="K3292" s="11"/>
      <c r="L3292" s="9"/>
      <c r="M3292" s="11"/>
      <c r="N3292" s="9" t="s">
        <v>809</v>
      </c>
    </row>
    <row r="3293" ht="25" customHeight="1" spans="1:14">
      <c r="A3293" s="9" t="s">
        <v>327</v>
      </c>
      <c r="B3293" s="9" t="s">
        <v>326</v>
      </c>
      <c r="C3293" s="10">
        <v>43574</v>
      </c>
      <c r="D3293" s="15">
        <v>1.0134</v>
      </c>
      <c r="E3293" s="15">
        <v>1.0134</v>
      </c>
      <c r="F3293" s="15">
        <v>1.0134</v>
      </c>
      <c r="G3293" s="11">
        <v>-0.0002</v>
      </c>
      <c r="H3293" s="9">
        <f>MAX($F$3239:F3293)</f>
        <v>1.0138</v>
      </c>
      <c r="I3293" s="11">
        <f t="shared" si="81"/>
        <v>0.000394555139080599</v>
      </c>
      <c r="J3293" s="9"/>
      <c r="K3293" s="11"/>
      <c r="L3293" s="9"/>
      <c r="M3293" s="11"/>
      <c r="N3293" s="9" t="s">
        <v>809</v>
      </c>
    </row>
    <row r="3294" ht="25" customHeight="1" spans="1:14">
      <c r="A3294" s="9" t="s">
        <v>327</v>
      </c>
      <c r="B3294" s="9" t="s">
        <v>326</v>
      </c>
      <c r="C3294" s="10">
        <v>43577</v>
      </c>
      <c r="D3294" s="15">
        <v>1.0134</v>
      </c>
      <c r="E3294" s="15">
        <v>1.0134</v>
      </c>
      <c r="F3294" s="15">
        <v>1.0134</v>
      </c>
      <c r="G3294" s="11">
        <v>0</v>
      </c>
      <c r="H3294" s="9">
        <f>MAX($F$3239:F3294)</f>
        <v>1.0138</v>
      </c>
      <c r="I3294" s="11">
        <f t="shared" si="81"/>
        <v>0.000394555139080599</v>
      </c>
      <c r="J3294" s="9"/>
      <c r="K3294" s="11"/>
      <c r="L3294" s="9"/>
      <c r="M3294" s="11"/>
      <c r="N3294" s="9" t="s">
        <v>809</v>
      </c>
    </row>
    <row r="3295" ht="25" customHeight="1" spans="1:14">
      <c r="A3295" s="9" t="s">
        <v>327</v>
      </c>
      <c r="B3295" s="9" t="s">
        <v>326</v>
      </c>
      <c r="C3295" s="10">
        <v>43578</v>
      </c>
      <c r="D3295" s="15">
        <v>1.0141</v>
      </c>
      <c r="E3295" s="15">
        <v>1.0141</v>
      </c>
      <c r="F3295" s="15">
        <v>1.0141</v>
      </c>
      <c r="G3295" s="11">
        <v>0.0007</v>
      </c>
      <c r="H3295" s="9">
        <f>MAX($F$3239:F3295)</f>
        <v>1.0141</v>
      </c>
      <c r="I3295" s="11">
        <f t="shared" si="81"/>
        <v>0</v>
      </c>
      <c r="J3295" s="9"/>
      <c r="K3295" s="11"/>
      <c r="L3295" s="9"/>
      <c r="M3295" s="11"/>
      <c r="N3295" s="9" t="s">
        <v>809</v>
      </c>
    </row>
    <row r="3296" ht="25" customHeight="1" spans="1:14">
      <c r="A3296" s="9" t="s">
        <v>327</v>
      </c>
      <c r="B3296" s="9" t="s">
        <v>326</v>
      </c>
      <c r="C3296" s="10">
        <v>43579</v>
      </c>
      <c r="D3296" s="15">
        <v>1.0125</v>
      </c>
      <c r="E3296" s="15">
        <v>1.0125</v>
      </c>
      <c r="F3296" s="15">
        <v>1.0125</v>
      </c>
      <c r="G3296" s="11">
        <v>-0.0016</v>
      </c>
      <c r="H3296" s="9">
        <f>MAX($F$3239:F3296)</f>
        <v>1.0141</v>
      </c>
      <c r="I3296" s="11">
        <f t="shared" si="81"/>
        <v>0.00157775367320778</v>
      </c>
      <c r="J3296" s="9"/>
      <c r="K3296" s="11"/>
      <c r="L3296" s="9"/>
      <c r="M3296" s="11"/>
      <c r="N3296" s="9" t="s">
        <v>809</v>
      </c>
    </row>
    <row r="3297" ht="25" customHeight="1" spans="1:14">
      <c r="A3297" s="9" t="s">
        <v>327</v>
      </c>
      <c r="B3297" s="9" t="s">
        <v>326</v>
      </c>
      <c r="C3297" s="10">
        <v>43580</v>
      </c>
      <c r="D3297" s="15">
        <v>1.0119</v>
      </c>
      <c r="E3297" s="15">
        <v>1.0119</v>
      </c>
      <c r="F3297" s="15">
        <v>1.0119</v>
      </c>
      <c r="G3297" s="11">
        <v>-0.0006</v>
      </c>
      <c r="H3297" s="9">
        <f>MAX($F$3239:F3297)</f>
        <v>1.0141</v>
      </c>
      <c r="I3297" s="11">
        <f t="shared" si="81"/>
        <v>0.00216941130066062</v>
      </c>
      <c r="J3297" s="9"/>
      <c r="K3297" s="11"/>
      <c r="L3297" s="9"/>
      <c r="M3297" s="11"/>
      <c r="N3297" s="9" t="s">
        <v>809</v>
      </c>
    </row>
    <row r="3298" ht="25" customHeight="1" spans="1:14">
      <c r="A3298" s="9" t="s">
        <v>327</v>
      </c>
      <c r="B3298" s="9" t="s">
        <v>326</v>
      </c>
      <c r="C3298" s="10">
        <v>43581</v>
      </c>
      <c r="D3298" s="15">
        <v>1.0119</v>
      </c>
      <c r="E3298" s="15">
        <v>1.0119</v>
      </c>
      <c r="F3298" s="15">
        <v>1.0119</v>
      </c>
      <c r="G3298" s="11">
        <v>0</v>
      </c>
      <c r="H3298" s="9">
        <f>MAX($F$3239:F3298)</f>
        <v>1.0141</v>
      </c>
      <c r="I3298" s="11">
        <f t="shared" si="81"/>
        <v>0.00216941130066062</v>
      </c>
      <c r="J3298" s="9"/>
      <c r="K3298" s="11"/>
      <c r="L3298" s="9"/>
      <c r="M3298" s="11"/>
      <c r="N3298" s="9" t="s">
        <v>809</v>
      </c>
    </row>
    <row r="3299" ht="25" customHeight="1" spans="1:14">
      <c r="A3299" s="9" t="s">
        <v>327</v>
      </c>
      <c r="B3299" s="9" t="s">
        <v>326</v>
      </c>
      <c r="C3299" s="10">
        <v>43584</v>
      </c>
      <c r="D3299" s="15">
        <v>1.0114</v>
      </c>
      <c r="E3299" s="15">
        <v>1.0114</v>
      </c>
      <c r="F3299" s="15">
        <v>1.0114</v>
      </c>
      <c r="G3299" s="11">
        <v>-0.0005</v>
      </c>
      <c r="H3299" s="9">
        <f>MAX($F$3239:F3299)</f>
        <v>1.0141</v>
      </c>
      <c r="I3299" s="11">
        <f t="shared" si="81"/>
        <v>0.00266245932353804</v>
      </c>
      <c r="J3299" s="9"/>
      <c r="K3299" s="11"/>
      <c r="L3299" s="9"/>
      <c r="M3299" s="11"/>
      <c r="N3299" s="9" t="s">
        <v>809</v>
      </c>
    </row>
    <row r="3300" ht="25" customHeight="1" spans="1:14">
      <c r="A3300" s="9" t="s">
        <v>327</v>
      </c>
      <c r="B3300" s="9" t="s">
        <v>326</v>
      </c>
      <c r="C3300" s="10">
        <v>43585</v>
      </c>
      <c r="D3300" s="15">
        <v>1.0108</v>
      </c>
      <c r="E3300" s="15">
        <v>1.0108</v>
      </c>
      <c r="F3300" s="15">
        <v>1.0108</v>
      </c>
      <c r="G3300" s="11">
        <v>-0.0006</v>
      </c>
      <c r="H3300" s="9">
        <f>MAX($F$3239:F3300)</f>
        <v>1.0141</v>
      </c>
      <c r="I3300" s="11">
        <f t="shared" si="81"/>
        <v>0.00325411695099109</v>
      </c>
      <c r="J3300" s="9"/>
      <c r="K3300" s="11"/>
      <c r="L3300" s="9"/>
      <c r="M3300" s="11"/>
      <c r="N3300" s="9" t="s">
        <v>809</v>
      </c>
    </row>
    <row r="3301" ht="25" customHeight="1" spans="1:14">
      <c r="A3301" s="9" t="s">
        <v>327</v>
      </c>
      <c r="B3301" s="9" t="s">
        <v>326</v>
      </c>
      <c r="C3301" s="10">
        <v>43591</v>
      </c>
      <c r="D3301" s="15">
        <v>1.0121</v>
      </c>
      <c r="E3301" s="15">
        <v>1.0121</v>
      </c>
      <c r="F3301" s="15">
        <v>1.0121</v>
      </c>
      <c r="G3301" s="11">
        <v>0.0013</v>
      </c>
      <c r="H3301" s="9">
        <f>MAX($F$3239:F3301)</f>
        <v>1.0141</v>
      </c>
      <c r="I3301" s="11">
        <f t="shared" si="81"/>
        <v>0.00197219209150967</v>
      </c>
      <c r="J3301" s="9"/>
      <c r="K3301" s="11"/>
      <c r="L3301" s="9"/>
      <c r="M3301" s="11"/>
      <c r="N3301" s="9" t="s">
        <v>809</v>
      </c>
    </row>
    <row r="3302" ht="25" customHeight="1" spans="1:14">
      <c r="A3302" s="9" t="s">
        <v>327</v>
      </c>
      <c r="B3302" s="9" t="s">
        <v>326</v>
      </c>
      <c r="C3302" s="10">
        <v>43592</v>
      </c>
      <c r="D3302" s="15">
        <v>1.0128</v>
      </c>
      <c r="E3302" s="15">
        <v>1.0128</v>
      </c>
      <c r="F3302" s="15">
        <v>1.0128</v>
      </c>
      <c r="G3302" s="11">
        <v>0.0007</v>
      </c>
      <c r="H3302" s="9">
        <f>MAX($F$3239:F3302)</f>
        <v>1.0141</v>
      </c>
      <c r="I3302" s="11">
        <f t="shared" si="81"/>
        <v>0.00128192485948142</v>
      </c>
      <c r="J3302" s="9"/>
      <c r="K3302" s="11"/>
      <c r="L3302" s="9"/>
      <c r="M3302" s="11"/>
      <c r="N3302" s="9" t="s">
        <v>809</v>
      </c>
    </row>
    <row r="3303" ht="25" customHeight="1" spans="1:14">
      <c r="A3303" s="9" t="s">
        <v>327</v>
      </c>
      <c r="B3303" s="9" t="s">
        <v>326</v>
      </c>
      <c r="C3303" s="10">
        <v>43593</v>
      </c>
      <c r="D3303" s="15">
        <v>1.0164</v>
      </c>
      <c r="E3303" s="15">
        <v>1.0164</v>
      </c>
      <c r="F3303" s="15">
        <v>1.0164</v>
      </c>
      <c r="G3303" s="11">
        <v>0.0036</v>
      </c>
      <c r="H3303" s="9">
        <f>MAX($F$3239:F3303)</f>
        <v>1.0164</v>
      </c>
      <c r="I3303" s="11">
        <f t="shared" si="81"/>
        <v>0</v>
      </c>
      <c r="J3303" s="9"/>
      <c r="K3303" s="11"/>
      <c r="L3303" s="9"/>
      <c r="M3303" s="11"/>
      <c r="N3303" s="9" t="s">
        <v>809</v>
      </c>
    </row>
    <row r="3304" ht="25" customHeight="1" spans="1:14">
      <c r="A3304" s="9" t="s">
        <v>327</v>
      </c>
      <c r="B3304" s="9" t="s">
        <v>326</v>
      </c>
      <c r="C3304" s="10">
        <v>43594</v>
      </c>
      <c r="D3304" s="15">
        <v>1.0174</v>
      </c>
      <c r="E3304" s="15">
        <v>1.0174</v>
      </c>
      <c r="F3304" s="15">
        <v>1.0174</v>
      </c>
      <c r="G3304" s="11">
        <v>0.001</v>
      </c>
      <c r="H3304" s="9">
        <f>MAX($F$3239:F3304)</f>
        <v>1.0174</v>
      </c>
      <c r="I3304" s="11">
        <f t="shared" si="81"/>
        <v>0</v>
      </c>
      <c r="J3304" s="9"/>
      <c r="K3304" s="11"/>
      <c r="L3304" s="9"/>
      <c r="M3304" s="11"/>
      <c r="N3304" s="9" t="s">
        <v>809</v>
      </c>
    </row>
    <row r="3305" ht="25" customHeight="1" spans="1:14">
      <c r="A3305" s="9" t="s">
        <v>327</v>
      </c>
      <c r="B3305" s="9" t="s">
        <v>326</v>
      </c>
      <c r="C3305" s="10">
        <v>43595</v>
      </c>
      <c r="D3305" s="15">
        <v>1.019</v>
      </c>
      <c r="E3305" s="15">
        <v>1.019</v>
      </c>
      <c r="F3305" s="15">
        <v>1.019</v>
      </c>
      <c r="G3305" s="11">
        <v>0.0016</v>
      </c>
      <c r="H3305" s="9">
        <f>MAX($F$3239:F3305)</f>
        <v>1.019</v>
      </c>
      <c r="I3305" s="11">
        <f t="shared" si="81"/>
        <v>0</v>
      </c>
      <c r="J3305" s="9"/>
      <c r="K3305" s="11"/>
      <c r="L3305" s="9"/>
      <c r="M3305" s="11"/>
      <c r="N3305" s="9" t="s">
        <v>809</v>
      </c>
    </row>
    <row r="3306" ht="25" customHeight="1" spans="1:14">
      <c r="A3306" s="9" t="s">
        <v>327</v>
      </c>
      <c r="B3306" s="9" t="s">
        <v>326</v>
      </c>
      <c r="C3306" s="10">
        <v>43598</v>
      </c>
      <c r="D3306" s="15">
        <v>1.0185</v>
      </c>
      <c r="E3306" s="15">
        <v>1.0185</v>
      </c>
      <c r="F3306" s="15">
        <v>1.0185</v>
      </c>
      <c r="G3306" s="11">
        <v>-0.0005</v>
      </c>
      <c r="H3306" s="9">
        <f>MAX($F$3239:F3306)</f>
        <v>1.019</v>
      </c>
      <c r="I3306" s="11">
        <f t="shared" si="81"/>
        <v>0.000490677134445505</v>
      </c>
      <c r="J3306" s="9"/>
      <c r="K3306" s="11"/>
      <c r="L3306" s="9"/>
      <c r="M3306" s="11"/>
      <c r="N3306" s="9" t="s">
        <v>809</v>
      </c>
    </row>
    <row r="3307" ht="25" customHeight="1" spans="1:14">
      <c r="A3307" s="9" t="s">
        <v>327</v>
      </c>
      <c r="B3307" s="9" t="s">
        <v>326</v>
      </c>
      <c r="C3307" s="10">
        <v>43599</v>
      </c>
      <c r="D3307" s="15">
        <v>1.0191</v>
      </c>
      <c r="E3307" s="15">
        <v>1.0191</v>
      </c>
      <c r="F3307" s="15">
        <v>1.0191</v>
      </c>
      <c r="G3307" s="11">
        <v>0.0006</v>
      </c>
      <c r="H3307" s="9">
        <f>MAX($F$3239:F3307)</f>
        <v>1.0191</v>
      </c>
      <c r="I3307" s="11">
        <f t="shared" si="81"/>
        <v>0</v>
      </c>
      <c r="J3307" s="9"/>
      <c r="K3307" s="11"/>
      <c r="L3307" s="9"/>
      <c r="M3307" s="11"/>
      <c r="N3307" s="9" t="s">
        <v>809</v>
      </c>
    </row>
    <row r="3308" ht="25" customHeight="1" spans="1:14">
      <c r="A3308" s="9" t="s">
        <v>327</v>
      </c>
      <c r="B3308" s="9" t="s">
        <v>326</v>
      </c>
      <c r="C3308" s="10">
        <v>43600</v>
      </c>
      <c r="D3308" s="15">
        <v>1.0201</v>
      </c>
      <c r="E3308" s="15">
        <v>1.0201</v>
      </c>
      <c r="F3308" s="15">
        <v>1.0201</v>
      </c>
      <c r="G3308" s="11">
        <v>0.001</v>
      </c>
      <c r="H3308" s="9">
        <f>MAX($F$3239:F3308)</f>
        <v>1.0201</v>
      </c>
      <c r="I3308" s="11">
        <f t="shared" si="81"/>
        <v>0</v>
      </c>
      <c r="J3308" s="9"/>
      <c r="K3308" s="11"/>
      <c r="L3308" s="9"/>
      <c r="M3308" s="11"/>
      <c r="N3308" s="9" t="s">
        <v>809</v>
      </c>
    </row>
    <row r="3309" ht="25" customHeight="1" spans="1:14">
      <c r="A3309" s="9" t="s">
        <v>327</v>
      </c>
      <c r="B3309" s="9" t="s">
        <v>326</v>
      </c>
      <c r="C3309" s="10">
        <v>43601</v>
      </c>
      <c r="D3309" s="15">
        <v>1.0211</v>
      </c>
      <c r="E3309" s="15">
        <v>1.0211</v>
      </c>
      <c r="F3309" s="15">
        <v>1.0211</v>
      </c>
      <c r="G3309" s="11">
        <v>0.001</v>
      </c>
      <c r="H3309" s="9">
        <f>MAX($F$3239:F3309)</f>
        <v>1.0211</v>
      </c>
      <c r="I3309" s="11">
        <f t="shared" si="81"/>
        <v>0</v>
      </c>
      <c r="J3309" s="9"/>
      <c r="K3309" s="11"/>
      <c r="L3309" s="9"/>
      <c r="M3309" s="11"/>
      <c r="N3309" s="9" t="s">
        <v>809</v>
      </c>
    </row>
    <row r="3310" ht="25" customHeight="1" spans="1:14">
      <c r="A3310" s="9" t="s">
        <v>327</v>
      </c>
      <c r="B3310" s="9" t="s">
        <v>326</v>
      </c>
      <c r="C3310" s="10">
        <v>43602</v>
      </c>
      <c r="D3310" s="15">
        <v>1.0204</v>
      </c>
      <c r="E3310" s="15">
        <v>1.0204</v>
      </c>
      <c r="F3310" s="15">
        <v>1.0204</v>
      </c>
      <c r="G3310" s="11">
        <v>-0.0007</v>
      </c>
      <c r="H3310" s="9">
        <f>MAX($F$3239:F3310)</f>
        <v>1.0211</v>
      </c>
      <c r="I3310" s="11">
        <f t="shared" si="81"/>
        <v>0.00068553520712944</v>
      </c>
      <c r="J3310" s="9"/>
      <c r="K3310" s="11"/>
      <c r="L3310" s="9"/>
      <c r="M3310" s="11"/>
      <c r="N3310" s="9" t="s">
        <v>809</v>
      </c>
    </row>
    <row r="3311" ht="25" customHeight="1" spans="1:14">
      <c r="A3311" s="9" t="s">
        <v>327</v>
      </c>
      <c r="B3311" s="9" t="s">
        <v>326</v>
      </c>
      <c r="C3311" s="10">
        <v>43605</v>
      </c>
      <c r="D3311" s="15">
        <v>1.0199</v>
      </c>
      <c r="E3311" s="15">
        <v>1.0199</v>
      </c>
      <c r="F3311" s="15">
        <v>1.0199</v>
      </c>
      <c r="G3311" s="11">
        <v>-0.0005</v>
      </c>
      <c r="H3311" s="9">
        <f>MAX($F$3239:F3311)</f>
        <v>1.0211</v>
      </c>
      <c r="I3311" s="11">
        <f t="shared" si="81"/>
        <v>0.00117520321222198</v>
      </c>
      <c r="J3311" s="9"/>
      <c r="K3311" s="11"/>
      <c r="L3311" s="9"/>
      <c r="M3311" s="11"/>
      <c r="N3311" s="9" t="s">
        <v>809</v>
      </c>
    </row>
    <row r="3312" ht="25" customHeight="1" spans="1:14">
      <c r="A3312" s="9" t="s">
        <v>327</v>
      </c>
      <c r="B3312" s="9" t="s">
        <v>326</v>
      </c>
      <c r="C3312" s="10">
        <v>43606</v>
      </c>
      <c r="D3312" s="15">
        <v>1.0212</v>
      </c>
      <c r="E3312" s="15">
        <v>1.0212</v>
      </c>
      <c r="F3312" s="15">
        <v>1.0212</v>
      </c>
      <c r="G3312" s="11">
        <v>0.0013</v>
      </c>
      <c r="H3312" s="9">
        <f>MAX($F$3239:F3312)</f>
        <v>1.0212</v>
      </c>
      <c r="I3312" s="11">
        <f t="shared" si="81"/>
        <v>0</v>
      </c>
      <c r="J3312" s="9"/>
      <c r="K3312" s="11"/>
      <c r="L3312" s="9"/>
      <c r="M3312" s="11"/>
      <c r="N3312" s="9" t="s">
        <v>809</v>
      </c>
    </row>
    <row r="3313" ht="25" customHeight="1" spans="1:14">
      <c r="A3313" s="9" t="s">
        <v>327</v>
      </c>
      <c r="B3313" s="9" t="s">
        <v>326</v>
      </c>
      <c r="C3313" s="10">
        <v>43607</v>
      </c>
      <c r="D3313" s="15">
        <v>1.022</v>
      </c>
      <c r="E3313" s="15">
        <v>1.022</v>
      </c>
      <c r="F3313" s="15">
        <v>1.022</v>
      </c>
      <c r="G3313" s="11">
        <v>0.0008</v>
      </c>
      <c r="H3313" s="9">
        <f>MAX($F$3239:F3313)</f>
        <v>1.022</v>
      </c>
      <c r="I3313" s="11">
        <f t="shared" si="81"/>
        <v>0</v>
      </c>
      <c r="J3313" s="9"/>
      <c r="K3313" s="11"/>
      <c r="L3313" s="9"/>
      <c r="M3313" s="11"/>
      <c r="N3313" s="9" t="s">
        <v>809</v>
      </c>
    </row>
    <row r="3314" ht="25" customHeight="1" spans="1:14">
      <c r="A3314" s="9" t="s">
        <v>327</v>
      </c>
      <c r="B3314" s="9" t="s">
        <v>326</v>
      </c>
      <c r="C3314" s="10">
        <v>43608</v>
      </c>
      <c r="D3314" s="15">
        <v>1.022</v>
      </c>
      <c r="E3314" s="15">
        <v>1.022</v>
      </c>
      <c r="F3314" s="15">
        <v>1.022</v>
      </c>
      <c r="G3314" s="11">
        <v>0</v>
      </c>
      <c r="H3314" s="9">
        <f>MAX($F$3239:F3314)</f>
        <v>1.022</v>
      </c>
      <c r="I3314" s="11">
        <f t="shared" si="81"/>
        <v>0</v>
      </c>
      <c r="J3314" s="9"/>
      <c r="K3314" s="11"/>
      <c r="L3314" s="9"/>
      <c r="M3314" s="11"/>
      <c r="N3314" s="9" t="s">
        <v>809</v>
      </c>
    </row>
    <row r="3315" ht="25" customHeight="1" spans="1:14">
      <c r="A3315" s="9" t="s">
        <v>327</v>
      </c>
      <c r="B3315" s="9" t="s">
        <v>326</v>
      </c>
      <c r="C3315" s="10">
        <v>43609</v>
      </c>
      <c r="D3315" s="15">
        <v>1.0222</v>
      </c>
      <c r="E3315" s="15">
        <v>1.0222</v>
      </c>
      <c r="F3315" s="15">
        <v>1.0222</v>
      </c>
      <c r="G3315" s="11">
        <v>0.0002</v>
      </c>
      <c r="H3315" s="9">
        <f>MAX($F$3239:F3315)</f>
        <v>1.0222</v>
      </c>
      <c r="I3315" s="11">
        <f t="shared" si="81"/>
        <v>0</v>
      </c>
      <c r="J3315" s="9"/>
      <c r="K3315" s="11"/>
      <c r="L3315" s="9"/>
      <c r="M3315" s="11"/>
      <c r="N3315" s="9" t="s">
        <v>809</v>
      </c>
    </row>
    <row r="3316" ht="25" customHeight="1" spans="1:14">
      <c r="A3316" s="9" t="s">
        <v>327</v>
      </c>
      <c r="B3316" s="9" t="s">
        <v>326</v>
      </c>
      <c r="C3316" s="10">
        <v>43612</v>
      </c>
      <c r="D3316" s="15">
        <v>1.0222</v>
      </c>
      <c r="E3316" s="15">
        <v>1.0222</v>
      </c>
      <c r="F3316" s="15">
        <v>1.0222</v>
      </c>
      <c r="G3316" s="11">
        <v>0</v>
      </c>
      <c r="H3316" s="9">
        <f>MAX($F$3239:F3316)</f>
        <v>1.0222</v>
      </c>
      <c r="I3316" s="11">
        <f t="shared" si="81"/>
        <v>0</v>
      </c>
      <c r="J3316" s="9"/>
      <c r="K3316" s="11"/>
      <c r="L3316" s="9"/>
      <c r="M3316" s="11"/>
      <c r="N3316" s="9" t="s">
        <v>809</v>
      </c>
    </row>
    <row r="3317" ht="25" customHeight="1" spans="1:14">
      <c r="A3317" s="9" t="s">
        <v>327</v>
      </c>
      <c r="B3317" s="9" t="s">
        <v>326</v>
      </c>
      <c r="C3317" s="10">
        <v>43613</v>
      </c>
      <c r="D3317" s="15">
        <v>1.0221</v>
      </c>
      <c r="E3317" s="15">
        <v>1.0221</v>
      </c>
      <c r="F3317" s="15">
        <v>1.0221</v>
      </c>
      <c r="G3317" s="11">
        <v>-0.0001</v>
      </c>
      <c r="H3317" s="9">
        <f>MAX($F$3239:F3317)</f>
        <v>1.0222</v>
      </c>
      <c r="I3317" s="11">
        <f t="shared" si="81"/>
        <v>9.7828213656781e-5</v>
      </c>
      <c r="J3317" s="9"/>
      <c r="K3317" s="11"/>
      <c r="L3317" s="9"/>
      <c r="M3317" s="11"/>
      <c r="N3317" s="9" t="s">
        <v>809</v>
      </c>
    </row>
    <row r="3318" ht="25" customHeight="1" spans="1:14">
      <c r="A3318" s="9" t="s">
        <v>327</v>
      </c>
      <c r="B3318" s="9" t="s">
        <v>326</v>
      </c>
      <c r="C3318" s="10">
        <v>43614</v>
      </c>
      <c r="D3318" s="15">
        <v>1.022</v>
      </c>
      <c r="E3318" s="15">
        <v>1.022</v>
      </c>
      <c r="F3318" s="15">
        <v>1.022</v>
      </c>
      <c r="G3318" s="11">
        <v>-0.0001</v>
      </c>
      <c r="H3318" s="9">
        <f>MAX($F$3239:F3318)</f>
        <v>1.0222</v>
      </c>
      <c r="I3318" s="11">
        <f t="shared" si="81"/>
        <v>0.000195656427313562</v>
      </c>
      <c r="J3318" s="9"/>
      <c r="K3318" s="11"/>
      <c r="L3318" s="9"/>
      <c r="M3318" s="11"/>
      <c r="N3318" s="9" t="s">
        <v>809</v>
      </c>
    </row>
    <row r="3319" ht="25" customHeight="1" spans="1:14">
      <c r="A3319" s="9" t="s">
        <v>327</v>
      </c>
      <c r="B3319" s="9" t="s">
        <v>326</v>
      </c>
      <c r="C3319" s="10">
        <v>43615</v>
      </c>
      <c r="D3319" s="15">
        <v>1.0224</v>
      </c>
      <c r="E3319" s="15">
        <v>1.0224</v>
      </c>
      <c r="F3319" s="15">
        <v>1.0224</v>
      </c>
      <c r="G3319" s="11">
        <v>0.0004</v>
      </c>
      <c r="H3319" s="9">
        <f>MAX($F$3239:F3319)</f>
        <v>1.0224</v>
      </c>
      <c r="I3319" s="11">
        <f t="shared" si="81"/>
        <v>0</v>
      </c>
      <c r="J3319" s="9"/>
      <c r="K3319" s="11"/>
      <c r="L3319" s="9"/>
      <c r="M3319" s="11"/>
      <c r="N3319" s="9" t="s">
        <v>809</v>
      </c>
    </row>
    <row r="3320" ht="25" customHeight="1" spans="1:14">
      <c r="A3320" s="9" t="s">
        <v>327</v>
      </c>
      <c r="B3320" s="9" t="s">
        <v>326</v>
      </c>
      <c r="C3320" s="10">
        <v>43616</v>
      </c>
      <c r="D3320" s="15">
        <v>1.0221</v>
      </c>
      <c r="E3320" s="15">
        <v>1.0221</v>
      </c>
      <c r="F3320" s="15">
        <v>1.0221</v>
      </c>
      <c r="G3320" s="11">
        <v>-0.0003</v>
      </c>
      <c r="H3320" s="9">
        <f>MAX($F$3239:F3320)</f>
        <v>1.0224</v>
      </c>
      <c r="I3320" s="11">
        <f t="shared" si="81"/>
        <v>0.000293427230046883</v>
      </c>
      <c r="J3320" s="9"/>
      <c r="K3320" s="11"/>
      <c r="L3320" s="9"/>
      <c r="M3320" s="11"/>
      <c r="N3320" s="9" t="s">
        <v>809</v>
      </c>
    </row>
    <row r="3321" ht="25" customHeight="1" spans="1:14">
      <c r="A3321" s="9" t="s">
        <v>327</v>
      </c>
      <c r="B3321" s="9" t="s">
        <v>326</v>
      </c>
      <c r="C3321" s="10">
        <v>43619</v>
      </c>
      <c r="D3321" s="15">
        <v>1.0228</v>
      </c>
      <c r="E3321" s="15">
        <v>1.0228</v>
      </c>
      <c r="F3321" s="15">
        <v>1.0228</v>
      </c>
      <c r="G3321" s="11">
        <v>0.0007</v>
      </c>
      <c r="H3321" s="9">
        <f>MAX($F$3239:F3321)</f>
        <v>1.0228</v>
      </c>
      <c r="I3321" s="11">
        <f t="shared" si="81"/>
        <v>0</v>
      </c>
      <c r="J3321" s="9"/>
      <c r="K3321" s="11"/>
      <c r="L3321" s="9"/>
      <c r="M3321" s="11"/>
      <c r="N3321" s="9" t="s">
        <v>809</v>
      </c>
    </row>
    <row r="3322" ht="25" customHeight="1" spans="1:14">
      <c r="A3322" s="9" t="s">
        <v>327</v>
      </c>
      <c r="B3322" s="9" t="s">
        <v>326</v>
      </c>
      <c r="C3322" s="10">
        <v>43620</v>
      </c>
      <c r="D3322" s="15">
        <v>1.0221</v>
      </c>
      <c r="E3322" s="15">
        <v>1.0221</v>
      </c>
      <c r="F3322" s="15">
        <v>1.0221</v>
      </c>
      <c r="G3322" s="11">
        <v>-0.0007</v>
      </c>
      <c r="H3322" s="9">
        <f>MAX($F$3239:F3322)</f>
        <v>1.0228</v>
      </c>
      <c r="I3322" s="11">
        <f t="shared" si="81"/>
        <v>0.000684395776300306</v>
      </c>
      <c r="J3322" s="9"/>
      <c r="K3322" s="11"/>
      <c r="L3322" s="9"/>
      <c r="M3322" s="11"/>
      <c r="N3322" s="9" t="s">
        <v>809</v>
      </c>
    </row>
    <row r="3323" ht="25" customHeight="1" spans="1:14">
      <c r="A3323" s="9" t="s">
        <v>327</v>
      </c>
      <c r="B3323" s="9" t="s">
        <v>326</v>
      </c>
      <c r="C3323" s="10">
        <v>43621</v>
      </c>
      <c r="D3323" s="15">
        <v>1.0242</v>
      </c>
      <c r="E3323" s="15">
        <v>1.0242</v>
      </c>
      <c r="F3323" s="15">
        <v>1.0242</v>
      </c>
      <c r="G3323" s="11">
        <v>0.0021</v>
      </c>
      <c r="H3323" s="9">
        <f>MAX($F$3239:F3323)</f>
        <v>1.0242</v>
      </c>
      <c r="I3323" s="11">
        <f t="shared" si="81"/>
        <v>0</v>
      </c>
      <c r="J3323" s="9"/>
      <c r="K3323" s="11"/>
      <c r="L3323" s="9"/>
      <c r="M3323" s="11"/>
      <c r="N3323" s="9" t="s">
        <v>809</v>
      </c>
    </row>
    <row r="3324" ht="25" customHeight="1" spans="1:14">
      <c r="A3324" s="9" t="s">
        <v>327</v>
      </c>
      <c r="B3324" s="9" t="s">
        <v>326</v>
      </c>
      <c r="C3324" s="10">
        <v>43622</v>
      </c>
      <c r="D3324" s="15">
        <v>1.0251</v>
      </c>
      <c r="E3324" s="15">
        <v>1.0251</v>
      </c>
      <c r="F3324" s="15">
        <v>1.0251</v>
      </c>
      <c r="G3324" s="11">
        <v>0.0009</v>
      </c>
      <c r="H3324" s="9">
        <f>MAX($F$3239:F3324)</f>
        <v>1.0251</v>
      </c>
      <c r="I3324" s="11">
        <f t="shared" si="81"/>
        <v>0</v>
      </c>
      <c r="J3324" s="9"/>
      <c r="K3324" s="11"/>
      <c r="L3324" s="9"/>
      <c r="M3324" s="11"/>
      <c r="N3324" s="9" t="s">
        <v>809</v>
      </c>
    </row>
    <row r="3325" ht="25" customHeight="1" spans="1:14">
      <c r="A3325" s="9" t="s">
        <v>327</v>
      </c>
      <c r="B3325" s="9" t="s">
        <v>326</v>
      </c>
      <c r="C3325" s="10">
        <v>43626</v>
      </c>
      <c r="D3325" s="15">
        <v>1.0251</v>
      </c>
      <c r="E3325" s="15">
        <v>1.0251</v>
      </c>
      <c r="F3325" s="15">
        <v>1.0251</v>
      </c>
      <c r="G3325" s="11">
        <v>0</v>
      </c>
      <c r="H3325" s="9">
        <f>MAX($F$3239:F3325)</f>
        <v>1.0251</v>
      </c>
      <c r="I3325" s="11">
        <f t="shared" si="81"/>
        <v>0</v>
      </c>
      <c r="J3325" s="9"/>
      <c r="K3325" s="11"/>
      <c r="L3325" s="9"/>
      <c r="M3325" s="11"/>
      <c r="N3325" s="9" t="s">
        <v>809</v>
      </c>
    </row>
    <row r="3326" ht="25" customHeight="1" spans="1:14">
      <c r="A3326" s="9" t="s">
        <v>327</v>
      </c>
      <c r="B3326" s="9" t="s">
        <v>326</v>
      </c>
      <c r="C3326" s="10">
        <v>43627</v>
      </c>
      <c r="D3326" s="15">
        <v>1.0252</v>
      </c>
      <c r="E3326" s="15">
        <v>1.0252</v>
      </c>
      <c r="F3326" s="15">
        <v>1.0252</v>
      </c>
      <c r="G3326" s="11">
        <v>0.0001</v>
      </c>
      <c r="H3326" s="9">
        <f>MAX($F$3239:F3326)</f>
        <v>1.0252</v>
      </c>
      <c r="I3326" s="11">
        <f t="shared" si="81"/>
        <v>0</v>
      </c>
      <c r="J3326" s="9"/>
      <c r="K3326" s="11"/>
      <c r="L3326" s="9"/>
      <c r="M3326" s="11"/>
      <c r="N3326" s="9" t="s">
        <v>809</v>
      </c>
    </row>
    <row r="3327" ht="25" customHeight="1" spans="1:14">
      <c r="A3327" s="9" t="s">
        <v>327</v>
      </c>
      <c r="B3327" s="9" t="s">
        <v>326</v>
      </c>
      <c r="C3327" s="10">
        <v>43628</v>
      </c>
      <c r="D3327" s="15">
        <v>1.0261</v>
      </c>
      <c r="E3327" s="15">
        <v>1.0261</v>
      </c>
      <c r="F3327" s="15">
        <v>1.0261</v>
      </c>
      <c r="G3327" s="11">
        <v>0.0009</v>
      </c>
      <c r="H3327" s="9">
        <f>MAX($F$3239:F3327)</f>
        <v>1.0261</v>
      </c>
      <c r="I3327" s="11">
        <f t="shared" si="81"/>
        <v>0</v>
      </c>
      <c r="J3327" s="9"/>
      <c r="K3327" s="11"/>
      <c r="L3327" s="9"/>
      <c r="M3327" s="11"/>
      <c r="N3327" s="9" t="s">
        <v>809</v>
      </c>
    </row>
    <row r="3328" ht="25" customHeight="1" spans="1:14">
      <c r="A3328" s="9" t="s">
        <v>327</v>
      </c>
      <c r="B3328" s="9" t="s">
        <v>326</v>
      </c>
      <c r="C3328" s="10">
        <v>43629</v>
      </c>
      <c r="D3328" s="15">
        <v>1.0271</v>
      </c>
      <c r="E3328" s="15">
        <v>1.0271</v>
      </c>
      <c r="F3328" s="15">
        <v>1.0271</v>
      </c>
      <c r="G3328" s="11">
        <v>0.001</v>
      </c>
      <c r="H3328" s="9">
        <f>MAX($F$3239:F3328)</f>
        <v>1.0271</v>
      </c>
      <c r="I3328" s="11">
        <f t="shared" si="81"/>
        <v>0</v>
      </c>
      <c r="J3328" s="9"/>
      <c r="K3328" s="11"/>
      <c r="L3328" s="9"/>
      <c r="M3328" s="11"/>
      <c r="N3328" s="9" t="s">
        <v>809</v>
      </c>
    </row>
    <row r="3329" ht="25" customHeight="1" spans="1:14">
      <c r="A3329" s="9" t="s">
        <v>327</v>
      </c>
      <c r="B3329" s="9" t="s">
        <v>326</v>
      </c>
      <c r="C3329" s="10">
        <v>43630</v>
      </c>
      <c r="D3329" s="15">
        <v>1.0279</v>
      </c>
      <c r="E3329" s="15">
        <v>1.0279</v>
      </c>
      <c r="F3329" s="15">
        <v>1.0279</v>
      </c>
      <c r="G3329" s="11">
        <v>0.0008</v>
      </c>
      <c r="H3329" s="9">
        <f>MAX($F$3239:F3329)</f>
        <v>1.0279</v>
      </c>
      <c r="I3329" s="11">
        <f t="shared" si="81"/>
        <v>0</v>
      </c>
      <c r="J3329" s="9"/>
      <c r="K3329" s="11"/>
      <c r="L3329" s="9"/>
      <c r="M3329" s="11"/>
      <c r="N3329" s="9" t="s">
        <v>809</v>
      </c>
    </row>
    <row r="3330" ht="25" customHeight="1" spans="1:14">
      <c r="A3330" s="9" t="s">
        <v>327</v>
      </c>
      <c r="B3330" s="9" t="s">
        <v>326</v>
      </c>
      <c r="C3330" s="10">
        <v>43633</v>
      </c>
      <c r="D3330" s="15">
        <v>1.0291</v>
      </c>
      <c r="E3330" s="15">
        <v>1.0291</v>
      </c>
      <c r="F3330" s="15">
        <v>1.0291</v>
      </c>
      <c r="G3330" s="11">
        <v>0.0012</v>
      </c>
      <c r="H3330" s="9">
        <f>MAX($F$3239:F3330)</f>
        <v>1.0291</v>
      </c>
      <c r="I3330" s="11">
        <f t="shared" ref="I3330:I3393" si="82">1-F3330/H3330</f>
        <v>0</v>
      </c>
      <c r="J3330" s="9"/>
      <c r="K3330" s="11"/>
      <c r="L3330" s="9"/>
      <c r="M3330" s="11"/>
      <c r="N3330" s="9" t="s">
        <v>809</v>
      </c>
    </row>
    <row r="3331" ht="25" customHeight="1" spans="1:14">
      <c r="A3331" s="9" t="s">
        <v>327</v>
      </c>
      <c r="B3331" s="9" t="s">
        <v>326</v>
      </c>
      <c r="C3331" s="10">
        <v>43634</v>
      </c>
      <c r="D3331" s="15">
        <v>1.0317</v>
      </c>
      <c r="E3331" s="15">
        <v>1.0317</v>
      </c>
      <c r="F3331" s="15">
        <v>1.0317</v>
      </c>
      <c r="G3331" s="11">
        <v>0.0025</v>
      </c>
      <c r="H3331" s="9">
        <f>MAX($F$3239:F3331)</f>
        <v>1.0317</v>
      </c>
      <c r="I3331" s="11">
        <f t="shared" si="82"/>
        <v>0</v>
      </c>
      <c r="J3331" s="9"/>
      <c r="K3331" s="11"/>
      <c r="L3331" s="9"/>
      <c r="M3331" s="11"/>
      <c r="N3331" s="9" t="s">
        <v>809</v>
      </c>
    </row>
    <row r="3332" ht="25" customHeight="1" spans="1:14">
      <c r="A3332" s="9" t="s">
        <v>327</v>
      </c>
      <c r="B3332" s="9" t="s">
        <v>326</v>
      </c>
      <c r="C3332" s="10">
        <v>43635</v>
      </c>
      <c r="D3332" s="15">
        <v>1.033</v>
      </c>
      <c r="E3332" s="15">
        <v>1.033</v>
      </c>
      <c r="F3332" s="15">
        <v>1.033</v>
      </c>
      <c r="G3332" s="11">
        <v>0.0013</v>
      </c>
      <c r="H3332" s="9">
        <f>MAX($F$3239:F3332)</f>
        <v>1.033</v>
      </c>
      <c r="I3332" s="11">
        <f t="shared" si="82"/>
        <v>0</v>
      </c>
      <c r="J3332" s="9"/>
      <c r="K3332" s="11"/>
      <c r="L3332" s="9"/>
      <c r="M3332" s="11"/>
      <c r="N3332" s="9" t="s">
        <v>809</v>
      </c>
    </row>
    <row r="3333" ht="25" customHeight="1" spans="1:14">
      <c r="A3333" s="9" t="s">
        <v>327</v>
      </c>
      <c r="B3333" s="9" t="s">
        <v>326</v>
      </c>
      <c r="C3333" s="10">
        <v>43636</v>
      </c>
      <c r="D3333" s="15">
        <v>1.001</v>
      </c>
      <c r="E3333" s="15">
        <v>1.036</v>
      </c>
      <c r="F3333" s="15">
        <v>1.036</v>
      </c>
      <c r="G3333" s="11">
        <v>0.0029</v>
      </c>
      <c r="H3333" s="9">
        <f>MAX($F$3239:F3333)</f>
        <v>1.036</v>
      </c>
      <c r="I3333" s="11">
        <f t="shared" si="82"/>
        <v>0</v>
      </c>
      <c r="J3333" s="9"/>
      <c r="K3333" s="11"/>
      <c r="L3333" s="9"/>
      <c r="M3333" s="11"/>
      <c r="N3333" s="9" t="s">
        <v>809</v>
      </c>
    </row>
    <row r="3334" ht="25" customHeight="1" spans="1:14">
      <c r="A3334" s="9" t="s">
        <v>327</v>
      </c>
      <c r="B3334" s="9" t="s">
        <v>326</v>
      </c>
      <c r="C3334" s="10">
        <v>43637</v>
      </c>
      <c r="D3334" s="15">
        <v>1.0022</v>
      </c>
      <c r="E3334" s="15">
        <v>1.0372</v>
      </c>
      <c r="F3334" s="15">
        <v>1.0372</v>
      </c>
      <c r="G3334" s="11">
        <v>0.0012</v>
      </c>
      <c r="H3334" s="9">
        <f>MAX($F$3239:F3334)</f>
        <v>1.0372</v>
      </c>
      <c r="I3334" s="11">
        <f t="shared" si="82"/>
        <v>0</v>
      </c>
      <c r="J3334" s="9"/>
      <c r="K3334" s="11"/>
      <c r="L3334" s="9"/>
      <c r="M3334" s="11"/>
      <c r="N3334" s="9" t="s">
        <v>809</v>
      </c>
    </row>
    <row r="3335" ht="25" customHeight="1" spans="1:14">
      <c r="A3335" s="9" t="s">
        <v>327</v>
      </c>
      <c r="B3335" s="9" t="s">
        <v>326</v>
      </c>
      <c r="C3335" s="10">
        <v>43640</v>
      </c>
      <c r="D3335" s="15">
        <v>1.0016</v>
      </c>
      <c r="E3335" s="15">
        <v>1.0366</v>
      </c>
      <c r="F3335" s="15">
        <v>1.0366</v>
      </c>
      <c r="G3335" s="11">
        <v>-0.0006</v>
      </c>
      <c r="H3335" s="9">
        <f>MAX($F$3239:F3335)</f>
        <v>1.0372</v>
      </c>
      <c r="I3335" s="11">
        <f t="shared" si="82"/>
        <v>0.000578480524488945</v>
      </c>
      <c r="J3335" s="9"/>
      <c r="K3335" s="11"/>
      <c r="L3335" s="9"/>
      <c r="M3335" s="11"/>
      <c r="N3335" s="9" t="s">
        <v>809</v>
      </c>
    </row>
    <row r="3336" ht="25" customHeight="1" spans="1:14">
      <c r="A3336" s="9" t="s">
        <v>327</v>
      </c>
      <c r="B3336" s="9" t="s">
        <v>326</v>
      </c>
      <c r="C3336" s="10">
        <v>43641</v>
      </c>
      <c r="D3336" s="15">
        <v>1.0022</v>
      </c>
      <c r="E3336" s="15">
        <v>1.0372</v>
      </c>
      <c r="F3336" s="15">
        <v>1.0372</v>
      </c>
      <c r="G3336" s="11">
        <v>0.0006</v>
      </c>
      <c r="H3336" s="9">
        <f>MAX($F$3239:F3336)</f>
        <v>1.0372</v>
      </c>
      <c r="I3336" s="11">
        <f t="shared" si="82"/>
        <v>0</v>
      </c>
      <c r="J3336" s="9"/>
      <c r="K3336" s="11"/>
      <c r="L3336" s="9"/>
      <c r="M3336" s="11"/>
      <c r="N3336" s="9" t="s">
        <v>809</v>
      </c>
    </row>
    <row r="3337" ht="25" customHeight="1" spans="1:14">
      <c r="A3337" s="9" t="s">
        <v>327</v>
      </c>
      <c r="B3337" s="9" t="s">
        <v>326</v>
      </c>
      <c r="C3337" s="10">
        <v>43642</v>
      </c>
      <c r="D3337" s="15">
        <v>1.0031</v>
      </c>
      <c r="E3337" s="15">
        <v>1.0381</v>
      </c>
      <c r="F3337" s="15">
        <v>1.0382</v>
      </c>
      <c r="G3337" s="11">
        <v>0.0009</v>
      </c>
      <c r="H3337" s="9">
        <f>MAX($F$3239:F3337)</f>
        <v>1.0382</v>
      </c>
      <c r="I3337" s="11">
        <f t="shared" si="82"/>
        <v>0</v>
      </c>
      <c r="J3337" s="9"/>
      <c r="K3337" s="11"/>
      <c r="L3337" s="9"/>
      <c r="M3337" s="11"/>
      <c r="N3337" s="9" t="s">
        <v>809</v>
      </c>
    </row>
    <row r="3338" ht="25" customHeight="1" spans="1:14">
      <c r="A3338" s="9" t="s">
        <v>327</v>
      </c>
      <c r="B3338" s="9" t="s">
        <v>326</v>
      </c>
      <c r="C3338" s="10">
        <v>43643</v>
      </c>
      <c r="D3338" s="15">
        <v>1.0033</v>
      </c>
      <c r="E3338" s="15">
        <v>1.0383</v>
      </c>
      <c r="F3338" s="15">
        <v>1.0384</v>
      </c>
      <c r="G3338" s="11">
        <v>0.0002</v>
      </c>
      <c r="H3338" s="9">
        <f>MAX($F$3239:F3338)</f>
        <v>1.0384</v>
      </c>
      <c r="I3338" s="11">
        <f t="shared" si="82"/>
        <v>0</v>
      </c>
      <c r="J3338" s="9"/>
      <c r="K3338" s="11"/>
      <c r="L3338" s="9"/>
      <c r="M3338" s="11"/>
      <c r="N3338" s="9" t="s">
        <v>809</v>
      </c>
    </row>
    <row r="3339" ht="25" customHeight="1" spans="1:14">
      <c r="A3339" s="9" t="s">
        <v>327</v>
      </c>
      <c r="B3339" s="9" t="s">
        <v>326</v>
      </c>
      <c r="C3339" s="10">
        <v>43644</v>
      </c>
      <c r="D3339" s="15">
        <v>1.0047</v>
      </c>
      <c r="E3339" s="15">
        <v>1.0397</v>
      </c>
      <c r="F3339" s="15">
        <v>1.0398</v>
      </c>
      <c r="G3339" s="11">
        <v>0.0014</v>
      </c>
      <c r="H3339" s="9">
        <f>MAX($F$3239:F3339)</f>
        <v>1.0398</v>
      </c>
      <c r="I3339" s="11">
        <f t="shared" si="82"/>
        <v>0</v>
      </c>
      <c r="J3339" s="9"/>
      <c r="K3339" s="11"/>
      <c r="L3339" s="9"/>
      <c r="M3339" s="11"/>
      <c r="N3339" s="9" t="s">
        <v>809</v>
      </c>
    </row>
    <row r="3340" ht="25" customHeight="1" spans="1:14">
      <c r="A3340" s="9" t="s">
        <v>327</v>
      </c>
      <c r="B3340" s="9" t="s">
        <v>326</v>
      </c>
      <c r="C3340" s="10">
        <v>43647</v>
      </c>
      <c r="D3340" s="15">
        <v>1.0075</v>
      </c>
      <c r="E3340" s="15">
        <v>1.0425</v>
      </c>
      <c r="F3340" s="15">
        <v>1.0427</v>
      </c>
      <c r="G3340" s="11">
        <v>0.0028</v>
      </c>
      <c r="H3340" s="9">
        <f>MAX($F$3239:F3340)</f>
        <v>1.0427</v>
      </c>
      <c r="I3340" s="11">
        <f t="shared" si="82"/>
        <v>0</v>
      </c>
      <c r="J3340" s="9"/>
      <c r="K3340" s="11"/>
      <c r="L3340" s="9"/>
      <c r="M3340" s="11"/>
      <c r="N3340" s="9" t="s">
        <v>809</v>
      </c>
    </row>
    <row r="3341" ht="25" customHeight="1" spans="1:14">
      <c r="A3341" s="9" t="s">
        <v>327</v>
      </c>
      <c r="B3341" s="9" t="s">
        <v>326</v>
      </c>
      <c r="C3341" s="10">
        <v>43648</v>
      </c>
      <c r="D3341" s="15">
        <v>1.007</v>
      </c>
      <c r="E3341" s="15">
        <v>1.042</v>
      </c>
      <c r="F3341" s="15">
        <v>1.0422</v>
      </c>
      <c r="G3341" s="11">
        <v>-0.0005</v>
      </c>
      <c r="H3341" s="9">
        <f>MAX($F$3239:F3341)</f>
        <v>1.0427</v>
      </c>
      <c r="I3341" s="11">
        <f t="shared" si="82"/>
        <v>0.000479524311882584</v>
      </c>
      <c r="J3341" s="9"/>
      <c r="K3341" s="11"/>
      <c r="L3341" s="9"/>
      <c r="M3341" s="11"/>
      <c r="N3341" s="9" t="s">
        <v>809</v>
      </c>
    </row>
    <row r="3342" ht="25" customHeight="1" spans="1:14">
      <c r="A3342" s="9" t="s">
        <v>327</v>
      </c>
      <c r="B3342" s="9" t="s">
        <v>326</v>
      </c>
      <c r="C3342" s="10">
        <v>43649</v>
      </c>
      <c r="D3342" s="15">
        <v>1.0091</v>
      </c>
      <c r="E3342" s="15">
        <v>1.0441</v>
      </c>
      <c r="F3342" s="15">
        <v>1.0444</v>
      </c>
      <c r="G3342" s="11">
        <v>0.0021</v>
      </c>
      <c r="H3342" s="9">
        <f>MAX($F$3239:F3342)</f>
        <v>1.0444</v>
      </c>
      <c r="I3342" s="11">
        <f t="shared" si="82"/>
        <v>0</v>
      </c>
      <c r="J3342" s="9"/>
      <c r="K3342" s="11"/>
      <c r="L3342" s="9"/>
      <c r="M3342" s="11"/>
      <c r="N3342" s="9" t="s">
        <v>809</v>
      </c>
    </row>
    <row r="3343" ht="25" customHeight="1" spans="1:14">
      <c r="A3343" s="9" t="s">
        <v>327</v>
      </c>
      <c r="B3343" s="9" t="s">
        <v>326</v>
      </c>
      <c r="C3343" s="10">
        <v>43650</v>
      </c>
      <c r="D3343" s="15">
        <v>1.0097</v>
      </c>
      <c r="E3343" s="15">
        <v>1.0447</v>
      </c>
      <c r="F3343" s="15">
        <v>1.045</v>
      </c>
      <c r="G3343" s="11">
        <v>0.0006</v>
      </c>
      <c r="H3343" s="9">
        <f>MAX($F$3239:F3343)</f>
        <v>1.045</v>
      </c>
      <c r="I3343" s="11">
        <f t="shared" si="82"/>
        <v>0</v>
      </c>
      <c r="J3343" s="9"/>
      <c r="K3343" s="11"/>
      <c r="L3343" s="9"/>
      <c r="M3343" s="11"/>
      <c r="N3343" s="9" t="s">
        <v>809</v>
      </c>
    </row>
    <row r="3344" ht="25" customHeight="1" spans="1:14">
      <c r="A3344" s="9" t="s">
        <v>327</v>
      </c>
      <c r="B3344" s="9" t="s">
        <v>326</v>
      </c>
      <c r="C3344" s="10">
        <v>43651</v>
      </c>
      <c r="D3344" s="15">
        <v>1.0106</v>
      </c>
      <c r="E3344" s="15">
        <v>1.0456</v>
      </c>
      <c r="F3344" s="15">
        <v>1.0459</v>
      </c>
      <c r="G3344" s="11">
        <v>0.0009</v>
      </c>
      <c r="H3344" s="9">
        <f>MAX($F$3239:F3344)</f>
        <v>1.0459</v>
      </c>
      <c r="I3344" s="11">
        <f t="shared" si="82"/>
        <v>0</v>
      </c>
      <c r="J3344" s="9"/>
      <c r="K3344" s="11"/>
      <c r="L3344" s="9"/>
      <c r="M3344" s="11"/>
      <c r="N3344" s="9" t="s">
        <v>809</v>
      </c>
    </row>
    <row r="3345" ht="25" customHeight="1" spans="1:14">
      <c r="A3345" s="9" t="s">
        <v>327</v>
      </c>
      <c r="B3345" s="9" t="s">
        <v>326</v>
      </c>
      <c r="C3345" s="10">
        <v>43654</v>
      </c>
      <c r="D3345" s="15">
        <v>1.0125</v>
      </c>
      <c r="E3345" s="15">
        <v>1.0475</v>
      </c>
      <c r="F3345" s="15">
        <v>1.0479</v>
      </c>
      <c r="G3345" s="11">
        <v>0.0019</v>
      </c>
      <c r="H3345" s="9">
        <f>MAX($F$3239:F3345)</f>
        <v>1.0479</v>
      </c>
      <c r="I3345" s="11">
        <f t="shared" si="82"/>
        <v>0</v>
      </c>
      <c r="J3345" s="9"/>
      <c r="K3345" s="11"/>
      <c r="L3345" s="9"/>
      <c r="M3345" s="11"/>
      <c r="N3345" s="9" t="s">
        <v>809</v>
      </c>
    </row>
    <row r="3346" ht="25" customHeight="1" spans="1:14">
      <c r="A3346" s="9" t="s">
        <v>327</v>
      </c>
      <c r="B3346" s="9" t="s">
        <v>326</v>
      </c>
      <c r="C3346" s="10">
        <v>43655</v>
      </c>
      <c r="D3346" s="15">
        <v>1.013</v>
      </c>
      <c r="E3346" s="15">
        <v>1.048</v>
      </c>
      <c r="F3346" s="15">
        <v>1.0484</v>
      </c>
      <c r="G3346" s="11">
        <v>0.0005</v>
      </c>
      <c r="H3346" s="9">
        <f>MAX($F$3239:F3346)</f>
        <v>1.0484</v>
      </c>
      <c r="I3346" s="11">
        <f t="shared" si="82"/>
        <v>0</v>
      </c>
      <c r="J3346" s="9"/>
      <c r="K3346" s="11"/>
      <c r="L3346" s="9"/>
      <c r="M3346" s="11"/>
      <c r="N3346" s="9" t="s">
        <v>809</v>
      </c>
    </row>
    <row r="3347" ht="25" customHeight="1" spans="1:14">
      <c r="A3347" s="9" t="s">
        <v>327</v>
      </c>
      <c r="B3347" s="9" t="s">
        <v>326</v>
      </c>
      <c r="C3347" s="10">
        <v>43656</v>
      </c>
      <c r="D3347" s="15">
        <v>1.0133</v>
      </c>
      <c r="E3347" s="15">
        <v>1.0483</v>
      </c>
      <c r="F3347" s="15">
        <v>1.0487</v>
      </c>
      <c r="G3347" s="11">
        <v>0.0003</v>
      </c>
      <c r="H3347" s="9">
        <f>MAX($F$3239:F3347)</f>
        <v>1.0487</v>
      </c>
      <c r="I3347" s="11">
        <f t="shared" si="82"/>
        <v>0</v>
      </c>
      <c r="J3347" s="9"/>
      <c r="K3347" s="11"/>
      <c r="L3347" s="9"/>
      <c r="M3347" s="11"/>
      <c r="N3347" s="9" t="s">
        <v>809</v>
      </c>
    </row>
    <row r="3348" ht="25" customHeight="1" spans="1:14">
      <c r="A3348" s="9" t="s">
        <v>327</v>
      </c>
      <c r="B3348" s="9" t="s">
        <v>326</v>
      </c>
      <c r="C3348" s="10">
        <v>43657</v>
      </c>
      <c r="D3348" s="15">
        <v>1.0161</v>
      </c>
      <c r="E3348" s="15">
        <v>1.0511</v>
      </c>
      <c r="F3348" s="15">
        <v>1.0516</v>
      </c>
      <c r="G3348" s="11">
        <v>0.0028</v>
      </c>
      <c r="H3348" s="9">
        <f>MAX($F$3239:F3348)</f>
        <v>1.0516</v>
      </c>
      <c r="I3348" s="11">
        <f t="shared" si="82"/>
        <v>0</v>
      </c>
      <c r="J3348" s="9"/>
      <c r="K3348" s="11"/>
      <c r="L3348" s="9"/>
      <c r="M3348" s="11"/>
      <c r="N3348" s="9" t="s">
        <v>809</v>
      </c>
    </row>
    <row r="3349" ht="25" customHeight="1" spans="1:14">
      <c r="A3349" s="9" t="s">
        <v>327</v>
      </c>
      <c r="B3349" s="9" t="s">
        <v>326</v>
      </c>
      <c r="C3349" s="10">
        <v>43658</v>
      </c>
      <c r="D3349" s="15">
        <v>1.0166</v>
      </c>
      <c r="E3349" s="15">
        <v>1.0516</v>
      </c>
      <c r="F3349" s="15">
        <v>1.0521</v>
      </c>
      <c r="G3349" s="11">
        <v>0.0005</v>
      </c>
      <c r="H3349" s="9">
        <f>MAX($F$3239:F3349)</f>
        <v>1.0521</v>
      </c>
      <c r="I3349" s="11">
        <f t="shared" si="82"/>
        <v>0</v>
      </c>
      <c r="J3349" s="9"/>
      <c r="K3349" s="11"/>
      <c r="L3349" s="9"/>
      <c r="M3349" s="11"/>
      <c r="N3349" s="9" t="s">
        <v>809</v>
      </c>
    </row>
    <row r="3350" ht="25" customHeight="1" spans="1:14">
      <c r="A3350" s="9" t="s">
        <v>327</v>
      </c>
      <c r="B3350" s="9" t="s">
        <v>326</v>
      </c>
      <c r="C3350" s="10">
        <v>43661</v>
      </c>
      <c r="D3350" s="15">
        <v>1.0187</v>
      </c>
      <c r="E3350" s="15">
        <v>1.0537</v>
      </c>
      <c r="F3350" s="15">
        <v>1.0543</v>
      </c>
      <c r="G3350" s="11">
        <v>0.0021</v>
      </c>
      <c r="H3350" s="9">
        <f>MAX($F$3239:F3350)</f>
        <v>1.0543</v>
      </c>
      <c r="I3350" s="11">
        <f t="shared" si="82"/>
        <v>0</v>
      </c>
      <c r="J3350" s="9"/>
      <c r="K3350" s="11"/>
      <c r="L3350" s="9"/>
      <c r="M3350" s="11"/>
      <c r="N3350" s="9" t="s">
        <v>809</v>
      </c>
    </row>
    <row r="3351" ht="25" customHeight="1" spans="1:14">
      <c r="A3351" s="9" t="s">
        <v>327</v>
      </c>
      <c r="B3351" s="9" t="s">
        <v>326</v>
      </c>
      <c r="C3351" s="10">
        <v>43662</v>
      </c>
      <c r="D3351" s="15">
        <v>1.0199</v>
      </c>
      <c r="E3351" s="15">
        <v>1.0549</v>
      </c>
      <c r="F3351" s="15">
        <v>1.0556</v>
      </c>
      <c r="G3351" s="11">
        <v>0.0012</v>
      </c>
      <c r="H3351" s="9">
        <f>MAX($F$3239:F3351)</f>
        <v>1.0556</v>
      </c>
      <c r="I3351" s="11">
        <f t="shared" si="82"/>
        <v>0</v>
      </c>
      <c r="J3351" s="9"/>
      <c r="K3351" s="11"/>
      <c r="L3351" s="9"/>
      <c r="M3351" s="11"/>
      <c r="N3351" s="9" t="s">
        <v>809</v>
      </c>
    </row>
    <row r="3352" ht="25" customHeight="1" spans="1:14">
      <c r="A3352" s="9" t="s">
        <v>327</v>
      </c>
      <c r="B3352" s="9" t="s">
        <v>326</v>
      </c>
      <c r="C3352" s="10">
        <v>43663</v>
      </c>
      <c r="D3352" s="15">
        <v>1.0197</v>
      </c>
      <c r="E3352" s="15">
        <v>1.0547</v>
      </c>
      <c r="F3352" s="15">
        <v>1.0554</v>
      </c>
      <c r="G3352" s="11">
        <v>-0.0002</v>
      </c>
      <c r="H3352" s="9">
        <f>MAX($F$3239:F3352)</f>
        <v>1.0556</v>
      </c>
      <c r="I3352" s="11">
        <f t="shared" si="82"/>
        <v>0.000189465706707304</v>
      </c>
      <c r="J3352" s="9"/>
      <c r="K3352" s="11"/>
      <c r="L3352" s="9"/>
      <c r="M3352" s="11"/>
      <c r="N3352" s="9" t="s">
        <v>809</v>
      </c>
    </row>
    <row r="3353" ht="25" customHeight="1" spans="1:14">
      <c r="A3353" s="9" t="s">
        <v>327</v>
      </c>
      <c r="B3353" s="9" t="s">
        <v>326</v>
      </c>
      <c r="C3353" s="10">
        <v>43664</v>
      </c>
      <c r="D3353" s="15">
        <v>1.0207</v>
      </c>
      <c r="E3353" s="15">
        <v>1.0557</v>
      </c>
      <c r="F3353" s="15">
        <v>1.0564</v>
      </c>
      <c r="G3353" s="11">
        <v>0.001</v>
      </c>
      <c r="H3353" s="9">
        <f>MAX($F$3239:F3353)</f>
        <v>1.0564</v>
      </c>
      <c r="I3353" s="11">
        <f t="shared" si="82"/>
        <v>0</v>
      </c>
      <c r="J3353" s="9"/>
      <c r="K3353" s="11"/>
      <c r="L3353" s="9"/>
      <c r="M3353" s="11"/>
      <c r="N3353" s="9" t="s">
        <v>809</v>
      </c>
    </row>
    <row r="3354" ht="25" customHeight="1" spans="1:14">
      <c r="A3354" s="9" t="s">
        <v>327</v>
      </c>
      <c r="B3354" s="9" t="s">
        <v>326</v>
      </c>
      <c r="C3354" s="10">
        <v>43665</v>
      </c>
      <c r="D3354" s="15">
        <v>1.0233</v>
      </c>
      <c r="E3354" s="15">
        <v>1.0583</v>
      </c>
      <c r="F3354" s="15">
        <v>1.0591</v>
      </c>
      <c r="G3354" s="11">
        <v>0.0025</v>
      </c>
      <c r="H3354" s="9">
        <f>MAX($F$3239:F3354)</f>
        <v>1.0591</v>
      </c>
      <c r="I3354" s="11">
        <f t="shared" si="82"/>
        <v>0</v>
      </c>
      <c r="J3354" s="9"/>
      <c r="K3354" s="11"/>
      <c r="L3354" s="9"/>
      <c r="M3354" s="11"/>
      <c r="N3354" s="9" t="s">
        <v>809</v>
      </c>
    </row>
    <row r="3355" ht="25" customHeight="1" spans="1:14">
      <c r="A3355" s="9" t="s">
        <v>327</v>
      </c>
      <c r="B3355" s="9" t="s">
        <v>326</v>
      </c>
      <c r="C3355" s="10">
        <v>43668</v>
      </c>
      <c r="D3355" s="15">
        <v>1.0246</v>
      </c>
      <c r="E3355" s="15">
        <v>1.0596</v>
      </c>
      <c r="F3355" s="15">
        <v>1.0604</v>
      </c>
      <c r="G3355" s="11">
        <v>0.0013</v>
      </c>
      <c r="H3355" s="9">
        <f>MAX($F$3239:F3355)</f>
        <v>1.0604</v>
      </c>
      <c r="I3355" s="11">
        <f t="shared" si="82"/>
        <v>0</v>
      </c>
      <c r="J3355" s="9"/>
      <c r="K3355" s="11"/>
      <c r="L3355" s="9"/>
      <c r="M3355" s="11"/>
      <c r="N3355" s="9" t="s">
        <v>809</v>
      </c>
    </row>
    <row r="3356" ht="25" customHeight="1" spans="1:14">
      <c r="A3356" s="9" t="s">
        <v>327</v>
      </c>
      <c r="B3356" s="9" t="s">
        <v>326</v>
      </c>
      <c r="C3356" s="10">
        <v>43669</v>
      </c>
      <c r="D3356" s="15">
        <v>1.0253</v>
      </c>
      <c r="E3356" s="15">
        <v>1.0603</v>
      </c>
      <c r="F3356" s="15">
        <v>1.0611</v>
      </c>
      <c r="G3356" s="11">
        <v>0.0007</v>
      </c>
      <c r="H3356" s="9">
        <f>MAX($F$3239:F3356)</f>
        <v>1.0611</v>
      </c>
      <c r="I3356" s="11">
        <f t="shared" si="82"/>
        <v>0</v>
      </c>
      <c r="J3356" s="9"/>
      <c r="K3356" s="11"/>
      <c r="L3356" s="9"/>
      <c r="M3356" s="11"/>
      <c r="N3356" s="9" t="s">
        <v>809</v>
      </c>
    </row>
    <row r="3357" ht="25" customHeight="1" spans="1:14">
      <c r="A3357" s="9" t="s">
        <v>327</v>
      </c>
      <c r="B3357" s="9" t="s">
        <v>326</v>
      </c>
      <c r="C3357" s="10">
        <v>43670</v>
      </c>
      <c r="D3357" s="15">
        <v>1.0259</v>
      </c>
      <c r="E3357" s="15">
        <v>1.0609</v>
      </c>
      <c r="F3357" s="15">
        <v>1.0618</v>
      </c>
      <c r="G3357" s="11">
        <v>0.0006</v>
      </c>
      <c r="H3357" s="9">
        <f>MAX($F$3239:F3357)</f>
        <v>1.0618</v>
      </c>
      <c r="I3357" s="11">
        <f t="shared" si="82"/>
        <v>0</v>
      </c>
      <c r="J3357" s="9"/>
      <c r="K3357" s="11"/>
      <c r="L3357" s="9"/>
      <c r="M3357" s="11"/>
      <c r="N3357" s="9" t="s">
        <v>809</v>
      </c>
    </row>
    <row r="3358" ht="25" customHeight="1" spans="1:14">
      <c r="A3358" s="9" t="s">
        <v>327</v>
      </c>
      <c r="B3358" s="9" t="s">
        <v>326</v>
      </c>
      <c r="C3358" s="10">
        <v>43671</v>
      </c>
      <c r="D3358" s="15">
        <v>1.0269</v>
      </c>
      <c r="E3358" s="15">
        <v>1.0619</v>
      </c>
      <c r="F3358" s="15">
        <v>1.0628</v>
      </c>
      <c r="G3358" s="11">
        <v>0.001</v>
      </c>
      <c r="H3358" s="9">
        <f>MAX($F$3239:F3358)</f>
        <v>1.0628</v>
      </c>
      <c r="I3358" s="11">
        <f t="shared" si="82"/>
        <v>0</v>
      </c>
      <c r="J3358" s="9"/>
      <c r="K3358" s="11"/>
      <c r="L3358" s="9"/>
      <c r="M3358" s="11"/>
      <c r="N3358" s="9" t="s">
        <v>809</v>
      </c>
    </row>
    <row r="3359" ht="25" customHeight="1" spans="1:14">
      <c r="A3359" s="9" t="s">
        <v>327</v>
      </c>
      <c r="B3359" s="9" t="s">
        <v>326</v>
      </c>
      <c r="C3359" s="10">
        <v>43672</v>
      </c>
      <c r="D3359" s="15">
        <v>1.0276</v>
      </c>
      <c r="E3359" s="15">
        <v>1.0626</v>
      </c>
      <c r="F3359" s="15">
        <v>1.0635</v>
      </c>
      <c r="G3359" s="11">
        <v>0.0007</v>
      </c>
      <c r="H3359" s="9">
        <f>MAX($F$3239:F3359)</f>
        <v>1.0635</v>
      </c>
      <c r="I3359" s="11">
        <f t="shared" si="82"/>
        <v>0</v>
      </c>
      <c r="J3359" s="9"/>
      <c r="K3359" s="11"/>
      <c r="L3359" s="9"/>
      <c r="M3359" s="11"/>
      <c r="N3359" s="9" t="s">
        <v>809</v>
      </c>
    </row>
    <row r="3360" ht="25" customHeight="1" spans="1:14">
      <c r="A3360" s="9" t="s">
        <v>327</v>
      </c>
      <c r="B3360" s="9" t="s">
        <v>326</v>
      </c>
      <c r="C3360" s="10">
        <v>43675</v>
      </c>
      <c r="D3360" s="15">
        <v>1.0283</v>
      </c>
      <c r="E3360" s="15">
        <v>1.0633</v>
      </c>
      <c r="F3360" s="15">
        <v>1.0643</v>
      </c>
      <c r="G3360" s="11">
        <v>0.0007</v>
      </c>
      <c r="H3360" s="9">
        <f>MAX($F$3239:F3360)</f>
        <v>1.0643</v>
      </c>
      <c r="I3360" s="11">
        <f t="shared" si="82"/>
        <v>0</v>
      </c>
      <c r="J3360" s="9"/>
      <c r="K3360" s="11"/>
      <c r="L3360" s="9"/>
      <c r="M3360" s="11"/>
      <c r="N3360" s="9" t="s">
        <v>809</v>
      </c>
    </row>
    <row r="3361" ht="25" customHeight="1" spans="1:14">
      <c r="A3361" s="9" t="s">
        <v>327</v>
      </c>
      <c r="B3361" s="9" t="s">
        <v>326</v>
      </c>
      <c r="C3361" s="10">
        <v>43676</v>
      </c>
      <c r="D3361" s="15">
        <v>1.0281</v>
      </c>
      <c r="E3361" s="15">
        <v>1.0631</v>
      </c>
      <c r="F3361" s="15">
        <v>1.064</v>
      </c>
      <c r="G3361" s="11">
        <v>-0.0002</v>
      </c>
      <c r="H3361" s="9">
        <f>MAX($F$3239:F3361)</f>
        <v>1.0643</v>
      </c>
      <c r="I3361" s="11">
        <f t="shared" si="82"/>
        <v>0.000281875411068278</v>
      </c>
      <c r="J3361" s="9"/>
      <c r="K3361" s="11"/>
      <c r="L3361" s="9"/>
      <c r="M3361" s="11"/>
      <c r="N3361" s="9" t="s">
        <v>809</v>
      </c>
    </row>
    <row r="3362" ht="25" customHeight="1" spans="1:14">
      <c r="A3362" s="9" t="s">
        <v>327</v>
      </c>
      <c r="B3362" s="9" t="s">
        <v>326</v>
      </c>
      <c r="C3362" s="10">
        <v>43677</v>
      </c>
      <c r="D3362" s="15">
        <v>1.0282</v>
      </c>
      <c r="E3362" s="15">
        <v>1.0632</v>
      </c>
      <c r="F3362" s="15">
        <v>1.0642</v>
      </c>
      <c r="G3362" s="11">
        <v>0.0001</v>
      </c>
      <c r="H3362" s="9">
        <f>MAX($F$3239:F3362)</f>
        <v>1.0643</v>
      </c>
      <c r="I3362" s="11">
        <f t="shared" si="82"/>
        <v>9.39584703560925e-5</v>
      </c>
      <c r="J3362" s="9"/>
      <c r="K3362" s="11"/>
      <c r="L3362" s="9"/>
      <c r="M3362" s="11"/>
      <c r="N3362" s="9" t="s">
        <v>809</v>
      </c>
    </row>
    <row r="3363" ht="25" customHeight="1" spans="1:14">
      <c r="A3363" s="9" t="s">
        <v>327</v>
      </c>
      <c r="B3363" s="9" t="s">
        <v>326</v>
      </c>
      <c r="C3363" s="10">
        <v>43678</v>
      </c>
      <c r="D3363" s="15">
        <v>1.0286</v>
      </c>
      <c r="E3363" s="15">
        <v>1.0636</v>
      </c>
      <c r="F3363" s="15">
        <v>1.0646</v>
      </c>
      <c r="G3363" s="11">
        <v>0.0004</v>
      </c>
      <c r="H3363" s="9">
        <f>MAX($F$3239:F3363)</f>
        <v>1.0646</v>
      </c>
      <c r="I3363" s="11">
        <f t="shared" si="82"/>
        <v>0</v>
      </c>
      <c r="J3363" s="9"/>
      <c r="K3363" s="11"/>
      <c r="L3363" s="9"/>
      <c r="M3363" s="11"/>
      <c r="N3363" s="9" t="s">
        <v>809</v>
      </c>
    </row>
    <row r="3364" ht="25" customHeight="1" spans="1:14">
      <c r="A3364" s="9" t="s">
        <v>327</v>
      </c>
      <c r="B3364" s="9" t="s">
        <v>326</v>
      </c>
      <c r="C3364" s="10">
        <v>43679</v>
      </c>
      <c r="D3364" s="15">
        <v>1.026</v>
      </c>
      <c r="E3364" s="15">
        <v>1.061</v>
      </c>
      <c r="F3364" s="15">
        <v>1.0619</v>
      </c>
      <c r="G3364" s="11">
        <v>-0.0025</v>
      </c>
      <c r="H3364" s="9">
        <f>MAX($F$3239:F3364)</f>
        <v>1.0646</v>
      </c>
      <c r="I3364" s="11">
        <f t="shared" si="82"/>
        <v>0.00253616381739619</v>
      </c>
      <c r="J3364" s="9"/>
      <c r="K3364" s="11"/>
      <c r="L3364" s="9"/>
      <c r="M3364" s="11"/>
      <c r="N3364" s="9" t="s">
        <v>809</v>
      </c>
    </row>
    <row r="3365" ht="25" customHeight="1" spans="1:14">
      <c r="A3365" s="9" t="s">
        <v>327</v>
      </c>
      <c r="B3365" s="9" t="s">
        <v>326</v>
      </c>
      <c r="C3365" s="10">
        <v>43682</v>
      </c>
      <c r="D3365" s="15">
        <v>1.0383</v>
      </c>
      <c r="E3365" s="15">
        <v>1.0733</v>
      </c>
      <c r="F3365" s="15">
        <v>1.0746</v>
      </c>
      <c r="G3365" s="11">
        <v>0.012</v>
      </c>
      <c r="H3365" s="9">
        <f>MAX($F$3239:F3365)</f>
        <v>1.0746</v>
      </c>
      <c r="I3365" s="11">
        <f t="shared" si="82"/>
        <v>0</v>
      </c>
      <c r="J3365" s="9"/>
      <c r="K3365" s="11"/>
      <c r="L3365" s="9"/>
      <c r="M3365" s="11"/>
      <c r="N3365" s="9" t="s">
        <v>809</v>
      </c>
    </row>
    <row r="3366" ht="25" customHeight="1" spans="1:14">
      <c r="A3366" s="9" t="s">
        <v>327</v>
      </c>
      <c r="B3366" s="9" t="s">
        <v>326</v>
      </c>
      <c r="C3366" s="10">
        <v>43683</v>
      </c>
      <c r="D3366" s="15">
        <v>1.0392</v>
      </c>
      <c r="E3366" s="15">
        <v>1.0742</v>
      </c>
      <c r="F3366" s="15">
        <v>1.0755</v>
      </c>
      <c r="G3366" s="11">
        <v>0.0009</v>
      </c>
      <c r="H3366" s="9">
        <f>MAX($F$3239:F3366)</f>
        <v>1.0755</v>
      </c>
      <c r="I3366" s="11">
        <f t="shared" si="82"/>
        <v>0</v>
      </c>
      <c r="J3366" s="9"/>
      <c r="K3366" s="11"/>
      <c r="L3366" s="9"/>
      <c r="M3366" s="11"/>
      <c r="N3366" s="9" t="s">
        <v>809</v>
      </c>
    </row>
    <row r="3367" ht="25" customHeight="1" spans="1:14">
      <c r="A3367" s="9" t="s">
        <v>327</v>
      </c>
      <c r="B3367" s="9" t="s">
        <v>326</v>
      </c>
      <c r="C3367" s="10">
        <v>43684</v>
      </c>
      <c r="D3367" s="15">
        <v>1.04</v>
      </c>
      <c r="E3367" s="15">
        <v>1.075</v>
      </c>
      <c r="F3367" s="15">
        <v>1.0764</v>
      </c>
      <c r="G3367" s="11">
        <v>0.0008</v>
      </c>
      <c r="H3367" s="9">
        <f>MAX($F$3239:F3367)</f>
        <v>1.0764</v>
      </c>
      <c r="I3367" s="11">
        <f t="shared" si="82"/>
        <v>0</v>
      </c>
      <c r="J3367" s="9"/>
      <c r="K3367" s="11"/>
      <c r="L3367" s="9"/>
      <c r="M3367" s="11"/>
      <c r="N3367" s="9" t="s">
        <v>809</v>
      </c>
    </row>
    <row r="3368" ht="25" customHeight="1" spans="1:14">
      <c r="A3368" s="9" t="s">
        <v>327</v>
      </c>
      <c r="B3368" s="9" t="s">
        <v>326</v>
      </c>
      <c r="C3368" s="10">
        <v>43685</v>
      </c>
      <c r="D3368" s="15">
        <v>1.0408</v>
      </c>
      <c r="E3368" s="15">
        <v>1.0758</v>
      </c>
      <c r="F3368" s="15">
        <v>1.0772</v>
      </c>
      <c r="G3368" s="11">
        <v>0.0008</v>
      </c>
      <c r="H3368" s="9">
        <f>MAX($F$3239:F3368)</f>
        <v>1.0772</v>
      </c>
      <c r="I3368" s="11">
        <f t="shared" si="82"/>
        <v>0</v>
      </c>
      <c r="J3368" s="9"/>
      <c r="K3368" s="11"/>
      <c r="L3368" s="9"/>
      <c r="M3368" s="11"/>
      <c r="N3368" s="9" t="s">
        <v>809</v>
      </c>
    </row>
    <row r="3369" ht="25" customHeight="1" spans="1:14">
      <c r="A3369" s="9" t="s">
        <v>327</v>
      </c>
      <c r="B3369" s="9" t="s">
        <v>326</v>
      </c>
      <c r="C3369" s="10">
        <v>43686</v>
      </c>
      <c r="D3369" s="15">
        <v>1.0423</v>
      </c>
      <c r="E3369" s="15">
        <v>1.0773</v>
      </c>
      <c r="F3369" s="15">
        <v>1.0787</v>
      </c>
      <c r="G3369" s="11">
        <v>0.0014</v>
      </c>
      <c r="H3369" s="9">
        <f>MAX($F$3239:F3369)</f>
        <v>1.0787</v>
      </c>
      <c r="I3369" s="11">
        <f t="shared" si="82"/>
        <v>0</v>
      </c>
      <c r="J3369" s="9"/>
      <c r="K3369" s="11"/>
      <c r="L3369" s="9"/>
      <c r="M3369" s="11"/>
      <c r="N3369" s="9" t="s">
        <v>809</v>
      </c>
    </row>
    <row r="3370" ht="25" customHeight="1" spans="1:14">
      <c r="A3370" s="9" t="s">
        <v>327</v>
      </c>
      <c r="B3370" s="9" t="s">
        <v>326</v>
      </c>
      <c r="C3370" s="10">
        <v>43689</v>
      </c>
      <c r="D3370" s="15">
        <v>1.0443</v>
      </c>
      <c r="E3370" s="15">
        <v>1.0793</v>
      </c>
      <c r="F3370" s="15">
        <v>1.0808</v>
      </c>
      <c r="G3370" s="11">
        <v>0.0019</v>
      </c>
      <c r="H3370" s="9">
        <f>MAX($F$3239:F3370)</f>
        <v>1.0808</v>
      </c>
      <c r="I3370" s="11">
        <f t="shared" si="82"/>
        <v>0</v>
      </c>
      <c r="J3370" s="9"/>
      <c r="K3370" s="11"/>
      <c r="L3370" s="9"/>
      <c r="M3370" s="11"/>
      <c r="N3370" s="9" t="s">
        <v>809</v>
      </c>
    </row>
    <row r="3371" ht="25" customHeight="1" spans="1:14">
      <c r="A3371" s="9" t="s">
        <v>327</v>
      </c>
      <c r="B3371" s="9" t="s">
        <v>326</v>
      </c>
      <c r="C3371" s="10">
        <v>43690</v>
      </c>
      <c r="D3371" s="15">
        <v>1.045</v>
      </c>
      <c r="E3371" s="15">
        <v>1.08</v>
      </c>
      <c r="F3371" s="15">
        <v>1.0815</v>
      </c>
      <c r="G3371" s="11">
        <v>0.0007</v>
      </c>
      <c r="H3371" s="9">
        <f>MAX($F$3239:F3371)</f>
        <v>1.0815</v>
      </c>
      <c r="I3371" s="11">
        <f t="shared" si="82"/>
        <v>0</v>
      </c>
      <c r="J3371" s="9"/>
      <c r="K3371" s="11"/>
      <c r="L3371" s="9"/>
      <c r="M3371" s="11"/>
      <c r="N3371" s="9" t="s">
        <v>809</v>
      </c>
    </row>
    <row r="3372" ht="25" customHeight="1" spans="1:14">
      <c r="A3372" s="9" t="s">
        <v>327</v>
      </c>
      <c r="B3372" s="9" t="s">
        <v>326</v>
      </c>
      <c r="C3372" s="10">
        <v>43691</v>
      </c>
      <c r="D3372" s="15">
        <v>1.0445</v>
      </c>
      <c r="E3372" s="15">
        <v>1.0795</v>
      </c>
      <c r="F3372" s="15">
        <v>1.081</v>
      </c>
      <c r="G3372" s="11">
        <v>-0.0005</v>
      </c>
      <c r="H3372" s="9">
        <f>MAX($F$3239:F3372)</f>
        <v>1.0815</v>
      </c>
      <c r="I3372" s="11">
        <f t="shared" si="82"/>
        <v>0.000462320850670328</v>
      </c>
      <c r="J3372" s="9"/>
      <c r="K3372" s="11"/>
      <c r="L3372" s="9"/>
      <c r="M3372" s="11"/>
      <c r="N3372" s="9" t="s">
        <v>809</v>
      </c>
    </row>
    <row r="3373" ht="25" customHeight="1" spans="1:14">
      <c r="A3373" s="9" t="s">
        <v>327</v>
      </c>
      <c r="B3373" s="9" t="s">
        <v>326</v>
      </c>
      <c r="C3373" s="10">
        <v>43692</v>
      </c>
      <c r="D3373" s="15">
        <v>1.0458</v>
      </c>
      <c r="E3373" s="15">
        <v>1.0808</v>
      </c>
      <c r="F3373" s="15">
        <v>1.0824</v>
      </c>
      <c r="G3373" s="11">
        <v>0.0012</v>
      </c>
      <c r="H3373" s="9">
        <f>MAX($F$3239:F3373)</f>
        <v>1.0824</v>
      </c>
      <c r="I3373" s="11">
        <f t="shared" si="82"/>
        <v>0</v>
      </c>
      <c r="J3373" s="9"/>
      <c r="K3373" s="11"/>
      <c r="L3373" s="9"/>
      <c r="M3373" s="11"/>
      <c r="N3373" s="9" t="s">
        <v>809</v>
      </c>
    </row>
    <row r="3374" ht="25" customHeight="1" spans="1:14">
      <c r="A3374" s="9" t="s">
        <v>327</v>
      </c>
      <c r="B3374" s="9" t="s">
        <v>326</v>
      </c>
      <c r="C3374" s="10">
        <v>43693</v>
      </c>
      <c r="D3374" s="15">
        <v>1.0444</v>
      </c>
      <c r="E3374" s="15">
        <v>1.0794</v>
      </c>
      <c r="F3374" s="15">
        <v>1.0809</v>
      </c>
      <c r="G3374" s="11">
        <v>-0.0013</v>
      </c>
      <c r="H3374" s="9">
        <f>MAX($F$3239:F3374)</f>
        <v>1.0824</v>
      </c>
      <c r="I3374" s="11">
        <f t="shared" si="82"/>
        <v>0.00138580931263865</v>
      </c>
      <c r="J3374" s="9"/>
      <c r="K3374" s="11"/>
      <c r="L3374" s="9"/>
      <c r="M3374" s="11"/>
      <c r="N3374" s="9" t="s">
        <v>809</v>
      </c>
    </row>
    <row r="3375" ht="25" customHeight="1" spans="1:14">
      <c r="A3375" s="9" t="s">
        <v>327</v>
      </c>
      <c r="B3375" s="9" t="s">
        <v>326</v>
      </c>
      <c r="C3375" s="10">
        <v>43696</v>
      </c>
      <c r="D3375" s="15">
        <v>1.044</v>
      </c>
      <c r="E3375" s="15">
        <v>1.079</v>
      </c>
      <c r="F3375" s="15">
        <v>1.0805</v>
      </c>
      <c r="G3375" s="11">
        <v>-0.0004</v>
      </c>
      <c r="H3375" s="9">
        <f>MAX($F$3239:F3375)</f>
        <v>1.0824</v>
      </c>
      <c r="I3375" s="11">
        <f t="shared" si="82"/>
        <v>0.00175535846267549</v>
      </c>
      <c r="J3375" s="9"/>
      <c r="K3375" s="11"/>
      <c r="L3375" s="9"/>
      <c r="M3375" s="11"/>
      <c r="N3375" s="9" t="s">
        <v>809</v>
      </c>
    </row>
    <row r="3376" ht="25" customHeight="1" spans="1:14">
      <c r="A3376" s="9" t="s">
        <v>327</v>
      </c>
      <c r="B3376" s="9" t="s">
        <v>326</v>
      </c>
      <c r="C3376" s="10">
        <v>43697</v>
      </c>
      <c r="D3376" s="15">
        <v>1.0442</v>
      </c>
      <c r="E3376" s="15">
        <v>1.0792</v>
      </c>
      <c r="F3376" s="15">
        <v>1.0807</v>
      </c>
      <c r="G3376" s="11">
        <v>0.0002</v>
      </c>
      <c r="H3376" s="9">
        <f>MAX($F$3239:F3376)</f>
        <v>1.0824</v>
      </c>
      <c r="I3376" s="11">
        <f t="shared" si="82"/>
        <v>0.00157058388765707</v>
      </c>
      <c r="J3376" s="9"/>
      <c r="K3376" s="11"/>
      <c r="L3376" s="9"/>
      <c r="M3376" s="11"/>
      <c r="N3376" s="9" t="s">
        <v>809</v>
      </c>
    </row>
    <row r="3377" ht="25" customHeight="1" spans="1:14">
      <c r="A3377" s="9" t="s">
        <v>327</v>
      </c>
      <c r="B3377" s="9" t="s">
        <v>326</v>
      </c>
      <c r="C3377" s="10">
        <v>43698</v>
      </c>
      <c r="D3377" s="15">
        <v>1.044</v>
      </c>
      <c r="E3377" s="15">
        <v>1.079</v>
      </c>
      <c r="F3377" s="15">
        <v>1.0805</v>
      </c>
      <c r="G3377" s="11">
        <v>-0.0002</v>
      </c>
      <c r="H3377" s="9">
        <f>MAX($F$3239:F3377)</f>
        <v>1.0824</v>
      </c>
      <c r="I3377" s="11">
        <f t="shared" si="82"/>
        <v>0.00175535846267549</v>
      </c>
      <c r="J3377" s="9"/>
      <c r="K3377" s="11"/>
      <c r="L3377" s="9"/>
      <c r="M3377" s="11"/>
      <c r="N3377" s="9" t="s">
        <v>809</v>
      </c>
    </row>
    <row r="3378" ht="25" customHeight="1" spans="1:14">
      <c r="A3378" s="9" t="s">
        <v>327</v>
      </c>
      <c r="B3378" s="9" t="s">
        <v>326</v>
      </c>
      <c r="C3378" s="10">
        <v>43699</v>
      </c>
      <c r="D3378" s="15">
        <v>1.0437</v>
      </c>
      <c r="E3378" s="15">
        <v>1.0787</v>
      </c>
      <c r="F3378" s="15">
        <v>1.0802</v>
      </c>
      <c r="G3378" s="11">
        <v>-0.0003</v>
      </c>
      <c r="H3378" s="9">
        <f>MAX($F$3239:F3378)</f>
        <v>1.0824</v>
      </c>
      <c r="I3378" s="11">
        <f t="shared" si="82"/>
        <v>0.00203252032520318</v>
      </c>
      <c r="J3378" s="9"/>
      <c r="K3378" s="11"/>
      <c r="L3378" s="9"/>
      <c r="M3378" s="11"/>
      <c r="N3378" s="9" t="s">
        <v>809</v>
      </c>
    </row>
    <row r="3379" ht="25" customHeight="1" spans="1:14">
      <c r="A3379" s="9" t="s">
        <v>327</v>
      </c>
      <c r="B3379" s="9" t="s">
        <v>326</v>
      </c>
      <c r="C3379" s="10">
        <v>43700</v>
      </c>
      <c r="D3379" s="15">
        <v>1.0429</v>
      </c>
      <c r="E3379" s="15">
        <v>1.0779</v>
      </c>
      <c r="F3379" s="15">
        <v>1.0794</v>
      </c>
      <c r="G3379" s="11">
        <v>-0.0008</v>
      </c>
      <c r="H3379" s="9">
        <f>MAX($F$3239:F3379)</f>
        <v>1.0824</v>
      </c>
      <c r="I3379" s="11">
        <f t="shared" si="82"/>
        <v>0.00277161862527731</v>
      </c>
      <c r="J3379" s="9"/>
      <c r="K3379" s="11"/>
      <c r="L3379" s="9"/>
      <c r="M3379" s="11"/>
      <c r="N3379" s="9" t="s">
        <v>809</v>
      </c>
    </row>
    <row r="3380" ht="25" customHeight="1" spans="1:14">
      <c r="A3380" s="9" t="s">
        <v>327</v>
      </c>
      <c r="B3380" s="9" t="s">
        <v>326</v>
      </c>
      <c r="C3380" s="10">
        <v>43703</v>
      </c>
      <c r="D3380" s="15">
        <v>1.0433</v>
      </c>
      <c r="E3380" s="15">
        <v>1.0783</v>
      </c>
      <c r="F3380" s="15">
        <v>1.0798</v>
      </c>
      <c r="G3380" s="11">
        <v>0.0004</v>
      </c>
      <c r="H3380" s="9">
        <f>MAX($F$3239:F3380)</f>
        <v>1.0824</v>
      </c>
      <c r="I3380" s="11">
        <f t="shared" si="82"/>
        <v>0.00240206947524013</v>
      </c>
      <c r="J3380" s="9"/>
      <c r="K3380" s="11"/>
      <c r="L3380" s="9"/>
      <c r="M3380" s="11"/>
      <c r="N3380" s="9" t="s">
        <v>809</v>
      </c>
    </row>
    <row r="3381" ht="25" customHeight="1" spans="1:14">
      <c r="A3381" s="9" t="s">
        <v>327</v>
      </c>
      <c r="B3381" s="9" t="s">
        <v>326</v>
      </c>
      <c r="C3381" s="10">
        <v>43704</v>
      </c>
      <c r="D3381" s="15">
        <v>1.0432</v>
      </c>
      <c r="E3381" s="15">
        <v>1.0782</v>
      </c>
      <c r="F3381" s="15">
        <v>1.0797</v>
      </c>
      <c r="G3381" s="11">
        <v>-0.0001</v>
      </c>
      <c r="H3381" s="9">
        <f>MAX($F$3239:F3381)</f>
        <v>1.0824</v>
      </c>
      <c r="I3381" s="11">
        <f t="shared" si="82"/>
        <v>0.0024944567627494</v>
      </c>
      <c r="J3381" s="9"/>
      <c r="K3381" s="11"/>
      <c r="L3381" s="9"/>
      <c r="M3381" s="11"/>
      <c r="N3381" s="9" t="s">
        <v>809</v>
      </c>
    </row>
    <row r="3382" ht="25" customHeight="1" spans="1:14">
      <c r="A3382" s="9" t="s">
        <v>327</v>
      </c>
      <c r="B3382" s="9" t="s">
        <v>326</v>
      </c>
      <c r="C3382" s="10">
        <v>43705</v>
      </c>
      <c r="D3382" s="15">
        <v>1.0444</v>
      </c>
      <c r="E3382" s="15">
        <v>1.0794</v>
      </c>
      <c r="F3382" s="15">
        <v>1.0809</v>
      </c>
      <c r="G3382" s="11">
        <v>0.0012</v>
      </c>
      <c r="H3382" s="9">
        <f>MAX($F$3239:F3382)</f>
        <v>1.0824</v>
      </c>
      <c r="I3382" s="11">
        <f t="shared" si="82"/>
        <v>0.00138580931263865</v>
      </c>
      <c r="J3382" s="9"/>
      <c r="K3382" s="11"/>
      <c r="L3382" s="9"/>
      <c r="M3382" s="11"/>
      <c r="N3382" s="9" t="s">
        <v>809</v>
      </c>
    </row>
    <row r="3383" ht="25" customHeight="1" spans="1:14">
      <c r="A3383" s="9" t="s">
        <v>327</v>
      </c>
      <c r="B3383" s="9" t="s">
        <v>326</v>
      </c>
      <c r="C3383" s="10">
        <v>43706</v>
      </c>
      <c r="D3383" s="15">
        <v>1.0448</v>
      </c>
      <c r="E3383" s="15">
        <v>1.0798</v>
      </c>
      <c r="F3383" s="15">
        <v>1.0813</v>
      </c>
      <c r="G3383" s="11">
        <v>0.0004</v>
      </c>
      <c r="H3383" s="9">
        <f>MAX($F$3239:F3383)</f>
        <v>1.0824</v>
      </c>
      <c r="I3383" s="11">
        <f t="shared" si="82"/>
        <v>0.0010162601626017</v>
      </c>
      <c r="J3383" s="9"/>
      <c r="K3383" s="11"/>
      <c r="L3383" s="9"/>
      <c r="M3383" s="11"/>
      <c r="N3383" s="9" t="s">
        <v>809</v>
      </c>
    </row>
    <row r="3384" ht="25" customHeight="1" spans="1:14">
      <c r="A3384" s="9" t="s">
        <v>327</v>
      </c>
      <c r="B3384" s="9" t="s">
        <v>326</v>
      </c>
      <c r="C3384" s="10">
        <v>43707</v>
      </c>
      <c r="D3384" s="15">
        <v>1.0459</v>
      </c>
      <c r="E3384" s="15">
        <v>1.0809</v>
      </c>
      <c r="F3384" s="15">
        <v>1.0825</v>
      </c>
      <c r="G3384" s="11">
        <v>0.0011</v>
      </c>
      <c r="H3384" s="9">
        <f>MAX($F$3239:F3384)</f>
        <v>1.0825</v>
      </c>
      <c r="I3384" s="11">
        <f t="shared" si="82"/>
        <v>0</v>
      </c>
      <c r="J3384" s="9"/>
      <c r="K3384" s="11"/>
      <c r="L3384" s="9"/>
      <c r="M3384" s="11"/>
      <c r="N3384" s="9" t="s">
        <v>809</v>
      </c>
    </row>
    <row r="3385" ht="25" customHeight="1" spans="1:14">
      <c r="A3385" s="9" t="s">
        <v>327</v>
      </c>
      <c r="B3385" s="9" t="s">
        <v>326</v>
      </c>
      <c r="C3385" s="10">
        <v>43710</v>
      </c>
      <c r="D3385" s="15">
        <v>1.0459</v>
      </c>
      <c r="E3385" s="15">
        <v>1.0809</v>
      </c>
      <c r="F3385" s="15">
        <v>1.0825</v>
      </c>
      <c r="G3385" s="11">
        <v>0</v>
      </c>
      <c r="H3385" s="9">
        <f>MAX($F$3239:F3385)</f>
        <v>1.0825</v>
      </c>
      <c r="I3385" s="11">
        <f t="shared" si="82"/>
        <v>0</v>
      </c>
      <c r="J3385" s="9"/>
      <c r="K3385" s="11"/>
      <c r="L3385" s="9"/>
      <c r="M3385" s="11"/>
      <c r="N3385" s="9" t="s">
        <v>809</v>
      </c>
    </row>
    <row r="3386" ht="25" customHeight="1" spans="1:14">
      <c r="A3386" s="9" t="s">
        <v>327</v>
      </c>
      <c r="B3386" s="9" t="s">
        <v>326</v>
      </c>
      <c r="C3386" s="10">
        <v>43711</v>
      </c>
      <c r="D3386" s="15">
        <v>1.0458</v>
      </c>
      <c r="E3386" s="15">
        <v>1.0808</v>
      </c>
      <c r="F3386" s="15">
        <v>1.0824</v>
      </c>
      <c r="G3386" s="11">
        <v>-0.0001</v>
      </c>
      <c r="H3386" s="9">
        <f>MAX($F$3239:F3386)</f>
        <v>1.0825</v>
      </c>
      <c r="I3386" s="11">
        <f t="shared" si="82"/>
        <v>9.23787528868125e-5</v>
      </c>
      <c r="J3386" s="9"/>
      <c r="K3386" s="11"/>
      <c r="L3386" s="9"/>
      <c r="M3386" s="11"/>
      <c r="N3386" s="9" t="s">
        <v>809</v>
      </c>
    </row>
    <row r="3387" ht="25" customHeight="1" spans="1:14">
      <c r="A3387" s="9" t="s">
        <v>327</v>
      </c>
      <c r="B3387" s="9" t="s">
        <v>326</v>
      </c>
      <c r="C3387" s="10">
        <v>43712</v>
      </c>
      <c r="D3387" s="15">
        <v>1.0524</v>
      </c>
      <c r="E3387" s="15">
        <v>1.0874</v>
      </c>
      <c r="F3387" s="15">
        <v>1.0892</v>
      </c>
      <c r="G3387" s="11">
        <v>0.0063</v>
      </c>
      <c r="H3387" s="9">
        <f>MAX($F$3239:F3387)</f>
        <v>1.0892</v>
      </c>
      <c r="I3387" s="11">
        <f t="shared" si="82"/>
        <v>0</v>
      </c>
      <c r="J3387" s="9"/>
      <c r="K3387" s="11"/>
      <c r="L3387" s="9"/>
      <c r="M3387" s="11"/>
      <c r="N3387" s="9" t="s">
        <v>809</v>
      </c>
    </row>
    <row r="3388" ht="25" customHeight="1" spans="1:14">
      <c r="A3388" s="9" t="s">
        <v>327</v>
      </c>
      <c r="B3388" s="9" t="s">
        <v>326</v>
      </c>
      <c r="C3388" s="10">
        <v>43713</v>
      </c>
      <c r="D3388" s="15">
        <v>1.0527</v>
      </c>
      <c r="E3388" s="15">
        <v>1.0877</v>
      </c>
      <c r="F3388" s="15">
        <v>1.0895</v>
      </c>
      <c r="G3388" s="11">
        <v>0.0003</v>
      </c>
      <c r="H3388" s="9">
        <f>MAX($F$3239:F3388)</f>
        <v>1.0895</v>
      </c>
      <c r="I3388" s="11">
        <f t="shared" si="82"/>
        <v>0</v>
      </c>
      <c r="J3388" s="9"/>
      <c r="K3388" s="11"/>
      <c r="L3388" s="9"/>
      <c r="M3388" s="11"/>
      <c r="N3388" s="9" t="s">
        <v>809</v>
      </c>
    </row>
    <row r="3389" ht="25" customHeight="1" spans="1:14">
      <c r="A3389" s="9" t="s">
        <v>327</v>
      </c>
      <c r="B3389" s="9" t="s">
        <v>326</v>
      </c>
      <c r="C3389" s="10">
        <v>43714</v>
      </c>
      <c r="D3389" s="15">
        <v>1.0529</v>
      </c>
      <c r="E3389" s="15">
        <v>1.0879</v>
      </c>
      <c r="F3389" s="15">
        <v>1.0897</v>
      </c>
      <c r="G3389" s="11">
        <v>0.0002</v>
      </c>
      <c r="H3389" s="9">
        <f>MAX($F$3239:F3389)</f>
        <v>1.0897</v>
      </c>
      <c r="I3389" s="11">
        <f t="shared" si="82"/>
        <v>0</v>
      </c>
      <c r="J3389" s="9"/>
      <c r="K3389" s="11"/>
      <c r="L3389" s="9"/>
      <c r="M3389" s="11"/>
      <c r="N3389" s="9" t="s">
        <v>809</v>
      </c>
    </row>
    <row r="3390" ht="25" customHeight="1" spans="1:14">
      <c r="A3390" s="9" t="s">
        <v>327</v>
      </c>
      <c r="B3390" s="9" t="s">
        <v>326</v>
      </c>
      <c r="C3390" s="10">
        <v>43717</v>
      </c>
      <c r="D3390" s="15">
        <v>1.0531</v>
      </c>
      <c r="E3390" s="15">
        <v>1.0881</v>
      </c>
      <c r="F3390" s="15">
        <v>1.0899</v>
      </c>
      <c r="G3390" s="11">
        <v>0.0002</v>
      </c>
      <c r="H3390" s="9">
        <f>MAX($F$3239:F3390)</f>
        <v>1.0899</v>
      </c>
      <c r="I3390" s="11">
        <f t="shared" si="82"/>
        <v>0</v>
      </c>
      <c r="J3390" s="9"/>
      <c r="K3390" s="11"/>
      <c r="L3390" s="9"/>
      <c r="M3390" s="11"/>
      <c r="N3390" s="9" t="s">
        <v>809</v>
      </c>
    </row>
    <row r="3391" ht="25" customHeight="1" spans="1:14">
      <c r="A3391" s="9" t="s">
        <v>327</v>
      </c>
      <c r="B3391" s="9" t="s">
        <v>326</v>
      </c>
      <c r="C3391" s="10">
        <v>43718</v>
      </c>
      <c r="D3391" s="15">
        <v>1.0542</v>
      </c>
      <c r="E3391" s="15">
        <v>1.0892</v>
      </c>
      <c r="F3391" s="15">
        <v>1.0911</v>
      </c>
      <c r="G3391" s="11">
        <v>0.001</v>
      </c>
      <c r="H3391" s="9">
        <f>MAX($F$3239:F3391)</f>
        <v>1.0911</v>
      </c>
      <c r="I3391" s="11">
        <f t="shared" si="82"/>
        <v>0</v>
      </c>
      <c r="J3391" s="9"/>
      <c r="K3391" s="11"/>
      <c r="L3391" s="9"/>
      <c r="M3391" s="11"/>
      <c r="N3391" s="9" t="s">
        <v>809</v>
      </c>
    </row>
    <row r="3392" ht="25" customHeight="1" spans="1:14">
      <c r="A3392" s="9" t="s">
        <v>327</v>
      </c>
      <c r="B3392" s="9" t="s">
        <v>326</v>
      </c>
      <c r="C3392" s="10">
        <v>43719</v>
      </c>
      <c r="D3392" s="15">
        <v>1.0541</v>
      </c>
      <c r="E3392" s="15">
        <v>1.0891</v>
      </c>
      <c r="F3392" s="15">
        <v>1.091</v>
      </c>
      <c r="G3392" s="11">
        <v>-0.0001</v>
      </c>
      <c r="H3392" s="9">
        <f>MAX($F$3239:F3392)</f>
        <v>1.0911</v>
      </c>
      <c r="I3392" s="11">
        <f t="shared" si="82"/>
        <v>9.16506278068052e-5</v>
      </c>
      <c r="J3392" s="9"/>
      <c r="K3392" s="11"/>
      <c r="L3392" s="9"/>
      <c r="M3392" s="11"/>
      <c r="N3392" s="9" t="s">
        <v>809</v>
      </c>
    </row>
    <row r="3393" ht="25" customHeight="1" spans="1:14">
      <c r="A3393" s="9" t="s">
        <v>327</v>
      </c>
      <c r="B3393" s="9" t="s">
        <v>326</v>
      </c>
      <c r="C3393" s="10">
        <v>43720</v>
      </c>
      <c r="D3393" s="15">
        <v>1.0548</v>
      </c>
      <c r="E3393" s="15">
        <v>1.0898</v>
      </c>
      <c r="F3393" s="15">
        <v>1.0917</v>
      </c>
      <c r="G3393" s="11">
        <v>0.0007</v>
      </c>
      <c r="H3393" s="9">
        <f>MAX($F$3239:F3393)</f>
        <v>1.0917</v>
      </c>
      <c r="I3393" s="11">
        <f t="shared" si="82"/>
        <v>0</v>
      </c>
      <c r="J3393" s="9"/>
      <c r="K3393" s="11"/>
      <c r="L3393" s="9"/>
      <c r="M3393" s="11"/>
      <c r="N3393" s="9" t="s">
        <v>809</v>
      </c>
    </row>
    <row r="3394" ht="25" customHeight="1" spans="1:14">
      <c r="A3394" s="9" t="s">
        <v>327</v>
      </c>
      <c r="B3394" s="9" t="s">
        <v>326</v>
      </c>
      <c r="C3394" s="10">
        <v>43724</v>
      </c>
      <c r="D3394" s="15">
        <v>1.0551</v>
      </c>
      <c r="E3394" s="15">
        <v>1.0901</v>
      </c>
      <c r="F3394" s="15">
        <v>1.092</v>
      </c>
      <c r="G3394" s="11">
        <v>0.0003</v>
      </c>
      <c r="H3394" s="9">
        <f>MAX($F$3239:F3394)</f>
        <v>1.092</v>
      </c>
      <c r="I3394" s="11">
        <f t="shared" ref="I3394:I3457" si="83">1-F3394/H3394</f>
        <v>0</v>
      </c>
      <c r="J3394" s="9"/>
      <c r="K3394" s="11"/>
      <c r="L3394" s="9"/>
      <c r="M3394" s="11"/>
      <c r="N3394" s="9" t="s">
        <v>809</v>
      </c>
    </row>
    <row r="3395" ht="25" customHeight="1" spans="1:14">
      <c r="A3395" s="9" t="s">
        <v>327</v>
      </c>
      <c r="B3395" s="9" t="s">
        <v>326</v>
      </c>
      <c r="C3395" s="10">
        <v>43725</v>
      </c>
      <c r="D3395" s="15">
        <v>1.0545</v>
      </c>
      <c r="E3395" s="15">
        <v>1.0895</v>
      </c>
      <c r="F3395" s="15">
        <v>1.0914</v>
      </c>
      <c r="G3395" s="11">
        <v>-0.0006</v>
      </c>
      <c r="H3395" s="9">
        <f>MAX($F$3239:F3395)</f>
        <v>1.092</v>
      </c>
      <c r="I3395" s="11">
        <f t="shared" si="83"/>
        <v>0.000549450549450659</v>
      </c>
      <c r="J3395" s="9"/>
      <c r="K3395" s="11"/>
      <c r="L3395" s="9"/>
      <c r="M3395" s="11"/>
      <c r="N3395" s="9" t="s">
        <v>809</v>
      </c>
    </row>
    <row r="3396" ht="25" customHeight="1" spans="1:14">
      <c r="A3396" s="9" t="s">
        <v>327</v>
      </c>
      <c r="B3396" s="9" t="s">
        <v>326</v>
      </c>
      <c r="C3396" s="10">
        <v>43726</v>
      </c>
      <c r="D3396" s="15">
        <v>1.0541</v>
      </c>
      <c r="E3396" s="15">
        <v>1.0891</v>
      </c>
      <c r="F3396" s="15">
        <v>1.091</v>
      </c>
      <c r="G3396" s="11">
        <v>-0.0004</v>
      </c>
      <c r="H3396" s="9">
        <f>MAX($F$3239:F3396)</f>
        <v>1.092</v>
      </c>
      <c r="I3396" s="11">
        <f t="shared" si="83"/>
        <v>0.000915750915751024</v>
      </c>
      <c r="J3396" s="9"/>
      <c r="K3396" s="11"/>
      <c r="L3396" s="9"/>
      <c r="M3396" s="11"/>
      <c r="N3396" s="9" t="s">
        <v>809</v>
      </c>
    </row>
    <row r="3397" ht="25" customHeight="1" spans="1:14">
      <c r="A3397" s="9" t="s">
        <v>327</v>
      </c>
      <c r="B3397" s="9" t="s">
        <v>326</v>
      </c>
      <c r="C3397" s="10">
        <v>43727</v>
      </c>
      <c r="D3397" s="15">
        <v>1.0545</v>
      </c>
      <c r="E3397" s="15">
        <v>1.0895</v>
      </c>
      <c r="F3397" s="15">
        <v>1.0914</v>
      </c>
      <c r="G3397" s="11">
        <v>0.0004</v>
      </c>
      <c r="H3397" s="9">
        <f>MAX($F$3239:F3397)</f>
        <v>1.092</v>
      </c>
      <c r="I3397" s="11">
        <f t="shared" si="83"/>
        <v>0.000549450549450659</v>
      </c>
      <c r="J3397" s="9"/>
      <c r="K3397" s="11"/>
      <c r="L3397" s="9"/>
      <c r="M3397" s="11"/>
      <c r="N3397" s="9" t="s">
        <v>809</v>
      </c>
    </row>
    <row r="3398" ht="25" customHeight="1" spans="1:14">
      <c r="A3398" s="9" t="s">
        <v>327</v>
      </c>
      <c r="B3398" s="9" t="s">
        <v>326</v>
      </c>
      <c r="C3398" s="10">
        <v>43728</v>
      </c>
      <c r="D3398" s="15">
        <v>1.0548</v>
      </c>
      <c r="E3398" s="15">
        <v>1.0898</v>
      </c>
      <c r="F3398" s="15">
        <v>1.0917</v>
      </c>
      <c r="G3398" s="11">
        <v>0.0003</v>
      </c>
      <c r="H3398" s="9">
        <f>MAX($F$3239:F3398)</f>
        <v>1.092</v>
      </c>
      <c r="I3398" s="11">
        <f t="shared" si="83"/>
        <v>0.000274725274725496</v>
      </c>
      <c r="J3398" s="9"/>
      <c r="K3398" s="11"/>
      <c r="L3398" s="9"/>
      <c r="M3398" s="11"/>
      <c r="N3398" s="9" t="s">
        <v>809</v>
      </c>
    </row>
    <row r="3399" ht="25" customHeight="1" spans="1:14">
      <c r="A3399" s="9" t="s">
        <v>327</v>
      </c>
      <c r="B3399" s="9" t="s">
        <v>326</v>
      </c>
      <c r="C3399" s="10">
        <v>43731</v>
      </c>
      <c r="D3399" s="15">
        <v>1.0549</v>
      </c>
      <c r="E3399" s="15">
        <v>1.0899</v>
      </c>
      <c r="F3399" s="15">
        <v>1.0918</v>
      </c>
      <c r="G3399" s="11">
        <v>0.0001</v>
      </c>
      <c r="H3399" s="9">
        <f>MAX($F$3239:F3399)</f>
        <v>1.092</v>
      </c>
      <c r="I3399" s="11">
        <f t="shared" si="83"/>
        <v>0.000183150183150182</v>
      </c>
      <c r="J3399" s="9"/>
      <c r="K3399" s="11"/>
      <c r="L3399" s="9"/>
      <c r="M3399" s="11"/>
      <c r="N3399" s="9" t="s">
        <v>809</v>
      </c>
    </row>
    <row r="3400" ht="25" customHeight="1" spans="1:14">
      <c r="A3400" s="9" t="s">
        <v>327</v>
      </c>
      <c r="B3400" s="9" t="s">
        <v>326</v>
      </c>
      <c r="C3400" s="10">
        <v>43732</v>
      </c>
      <c r="D3400" s="15">
        <v>1.0551</v>
      </c>
      <c r="E3400" s="15">
        <v>1.0901</v>
      </c>
      <c r="F3400" s="15">
        <v>1.092</v>
      </c>
      <c r="G3400" s="11">
        <v>0.0002</v>
      </c>
      <c r="H3400" s="9">
        <f>MAX($F$3239:F3400)</f>
        <v>1.092</v>
      </c>
      <c r="I3400" s="11">
        <f t="shared" si="83"/>
        <v>0</v>
      </c>
      <c r="J3400" s="9"/>
      <c r="K3400" s="11"/>
      <c r="L3400" s="9"/>
      <c r="M3400" s="11"/>
      <c r="N3400" s="9" t="s">
        <v>809</v>
      </c>
    </row>
    <row r="3401" ht="25" customHeight="1" spans="1:14">
      <c r="A3401" s="9" t="s">
        <v>327</v>
      </c>
      <c r="B3401" s="9" t="s">
        <v>326</v>
      </c>
      <c r="C3401" s="10">
        <v>43733</v>
      </c>
      <c r="D3401" s="15">
        <v>1.0568</v>
      </c>
      <c r="E3401" s="15">
        <v>1.0918</v>
      </c>
      <c r="F3401" s="15">
        <v>1.0938</v>
      </c>
      <c r="G3401" s="11">
        <v>0.0016</v>
      </c>
      <c r="H3401" s="9">
        <f>MAX($F$3239:F3401)</f>
        <v>1.0938</v>
      </c>
      <c r="I3401" s="11">
        <f t="shared" si="83"/>
        <v>0</v>
      </c>
      <c r="J3401" s="9"/>
      <c r="K3401" s="11"/>
      <c r="L3401" s="9"/>
      <c r="M3401" s="11"/>
      <c r="N3401" s="9" t="s">
        <v>809</v>
      </c>
    </row>
    <row r="3402" ht="25" customHeight="1" spans="1:14">
      <c r="A3402" s="9" t="s">
        <v>327</v>
      </c>
      <c r="B3402" s="9" t="s">
        <v>326</v>
      </c>
      <c r="C3402" s="10">
        <v>43734</v>
      </c>
      <c r="D3402" s="15">
        <v>1.0574</v>
      </c>
      <c r="E3402" s="15">
        <v>1.0924</v>
      </c>
      <c r="F3402" s="15">
        <v>1.0944</v>
      </c>
      <c r="G3402" s="11">
        <v>0.0006</v>
      </c>
      <c r="H3402" s="9">
        <f>MAX($F$3239:F3402)</f>
        <v>1.0944</v>
      </c>
      <c r="I3402" s="11">
        <f t="shared" si="83"/>
        <v>0</v>
      </c>
      <c r="J3402" s="9"/>
      <c r="K3402" s="11"/>
      <c r="L3402" s="9"/>
      <c r="M3402" s="11"/>
      <c r="N3402" s="9" t="s">
        <v>809</v>
      </c>
    </row>
    <row r="3403" ht="25" customHeight="1" spans="1:14">
      <c r="A3403" s="9" t="s">
        <v>327</v>
      </c>
      <c r="B3403" s="9" t="s">
        <v>326</v>
      </c>
      <c r="C3403" s="10">
        <v>43735</v>
      </c>
      <c r="D3403" s="15">
        <v>1.0573</v>
      </c>
      <c r="E3403" s="15">
        <v>1.0923</v>
      </c>
      <c r="F3403" s="15">
        <v>1.0943</v>
      </c>
      <c r="G3403" s="11">
        <v>-0.0001</v>
      </c>
      <c r="H3403" s="9">
        <f>MAX($F$3239:F3403)</f>
        <v>1.0944</v>
      </c>
      <c r="I3403" s="11">
        <f t="shared" si="83"/>
        <v>9.13742690058506e-5</v>
      </c>
      <c r="J3403" s="9"/>
      <c r="K3403" s="11"/>
      <c r="L3403" s="9"/>
      <c r="M3403" s="11"/>
      <c r="N3403" s="9" t="s">
        <v>809</v>
      </c>
    </row>
    <row r="3404" ht="25" customHeight="1" spans="1:14">
      <c r="A3404" s="9" t="s">
        <v>327</v>
      </c>
      <c r="B3404" s="9" t="s">
        <v>326</v>
      </c>
      <c r="C3404" s="10">
        <v>43738</v>
      </c>
      <c r="D3404" s="15">
        <v>1.0558</v>
      </c>
      <c r="E3404" s="15">
        <v>1.0908</v>
      </c>
      <c r="F3404" s="15">
        <v>1.0927</v>
      </c>
      <c r="G3404" s="11">
        <v>-0.0014</v>
      </c>
      <c r="H3404" s="9">
        <f>MAX($F$3239:F3404)</f>
        <v>1.0944</v>
      </c>
      <c r="I3404" s="11">
        <f t="shared" si="83"/>
        <v>0.00155336257309946</v>
      </c>
      <c r="J3404" s="9"/>
      <c r="K3404" s="11"/>
      <c r="L3404" s="9"/>
      <c r="M3404" s="11"/>
      <c r="N3404" s="9" t="s">
        <v>809</v>
      </c>
    </row>
    <row r="3405" ht="25" customHeight="1" spans="1:14">
      <c r="A3405" s="9" t="s">
        <v>327</v>
      </c>
      <c r="B3405" s="9" t="s">
        <v>326</v>
      </c>
      <c r="C3405" s="10">
        <v>43746</v>
      </c>
      <c r="D3405" s="15">
        <v>1.0561</v>
      </c>
      <c r="E3405" s="15">
        <v>1.0911</v>
      </c>
      <c r="F3405" s="15">
        <v>1.093</v>
      </c>
      <c r="G3405" s="11">
        <v>0.0003</v>
      </c>
      <c r="H3405" s="9">
        <f>MAX($F$3239:F3405)</f>
        <v>1.0944</v>
      </c>
      <c r="I3405" s="11">
        <f t="shared" si="83"/>
        <v>0.00127923976608191</v>
      </c>
      <c r="J3405" s="9"/>
      <c r="K3405" s="11"/>
      <c r="L3405" s="9"/>
      <c r="M3405" s="11"/>
      <c r="N3405" s="9" t="s">
        <v>809</v>
      </c>
    </row>
    <row r="3406" ht="25" customHeight="1" spans="1:14">
      <c r="A3406" s="9" t="s">
        <v>327</v>
      </c>
      <c r="B3406" s="9" t="s">
        <v>326</v>
      </c>
      <c r="C3406" s="10">
        <v>43747</v>
      </c>
      <c r="D3406" s="15">
        <v>1.0557</v>
      </c>
      <c r="E3406" s="15">
        <v>1.0907</v>
      </c>
      <c r="F3406" s="15">
        <v>1.0926</v>
      </c>
      <c r="G3406" s="11">
        <v>-0.0004</v>
      </c>
      <c r="H3406" s="9">
        <f>MAX($F$3239:F3406)</f>
        <v>1.0944</v>
      </c>
      <c r="I3406" s="11">
        <f t="shared" si="83"/>
        <v>0.00164473684210531</v>
      </c>
      <c r="J3406" s="9"/>
      <c r="K3406" s="11"/>
      <c r="L3406" s="9"/>
      <c r="M3406" s="11"/>
      <c r="N3406" s="9" t="s">
        <v>809</v>
      </c>
    </row>
    <row r="3407" ht="25" customHeight="1" spans="1:14">
      <c r="A3407" s="9" t="s">
        <v>327</v>
      </c>
      <c r="B3407" s="9" t="s">
        <v>326</v>
      </c>
      <c r="C3407" s="10">
        <v>43748</v>
      </c>
      <c r="D3407" s="15">
        <v>1.0599</v>
      </c>
      <c r="E3407" s="15">
        <v>1.0949</v>
      </c>
      <c r="F3407" s="15">
        <v>1.097</v>
      </c>
      <c r="G3407" s="11">
        <v>0.004</v>
      </c>
      <c r="H3407" s="9">
        <f>MAX($F$3239:F3407)</f>
        <v>1.097</v>
      </c>
      <c r="I3407" s="11">
        <f t="shared" si="83"/>
        <v>0</v>
      </c>
      <c r="J3407" s="9"/>
      <c r="K3407" s="11"/>
      <c r="L3407" s="9"/>
      <c r="M3407" s="11"/>
      <c r="N3407" s="9" t="s">
        <v>809</v>
      </c>
    </row>
    <row r="3408" ht="25" customHeight="1" spans="1:14">
      <c r="A3408" s="9" t="s">
        <v>327</v>
      </c>
      <c r="B3408" s="9" t="s">
        <v>326</v>
      </c>
      <c r="C3408" s="10">
        <v>43749</v>
      </c>
      <c r="D3408" s="15">
        <v>1.0591</v>
      </c>
      <c r="E3408" s="15">
        <v>1.0941</v>
      </c>
      <c r="F3408" s="15">
        <v>1.0961</v>
      </c>
      <c r="G3408" s="11">
        <v>-0.0008</v>
      </c>
      <c r="H3408" s="9">
        <f>MAX($F$3239:F3408)</f>
        <v>1.097</v>
      </c>
      <c r="I3408" s="11">
        <f t="shared" si="83"/>
        <v>0.000820419325432864</v>
      </c>
      <c r="J3408" s="9"/>
      <c r="K3408" s="11"/>
      <c r="L3408" s="9"/>
      <c r="M3408" s="11"/>
      <c r="N3408" s="9" t="s">
        <v>809</v>
      </c>
    </row>
    <row r="3409" ht="25" customHeight="1" spans="1:14">
      <c r="A3409" s="9" t="s">
        <v>327</v>
      </c>
      <c r="B3409" s="9" t="s">
        <v>326</v>
      </c>
      <c r="C3409" s="10">
        <v>43752</v>
      </c>
      <c r="D3409" s="15">
        <v>1.0594</v>
      </c>
      <c r="E3409" s="15">
        <v>1.0944</v>
      </c>
      <c r="F3409" s="15">
        <v>1.0964</v>
      </c>
      <c r="G3409" s="11">
        <v>0.0003</v>
      </c>
      <c r="H3409" s="9">
        <f>MAX($F$3239:F3409)</f>
        <v>1.097</v>
      </c>
      <c r="I3409" s="11">
        <f t="shared" si="83"/>
        <v>0.00054694621695528</v>
      </c>
      <c r="J3409" s="9"/>
      <c r="K3409" s="11"/>
      <c r="L3409" s="9"/>
      <c r="M3409" s="11"/>
      <c r="N3409" s="9" t="s">
        <v>809</v>
      </c>
    </row>
    <row r="3410" ht="25" customHeight="1" spans="1:14">
      <c r="A3410" s="9" t="s">
        <v>327</v>
      </c>
      <c r="B3410" s="9" t="s">
        <v>326</v>
      </c>
      <c r="C3410" s="10">
        <v>43753</v>
      </c>
      <c r="D3410" s="15">
        <v>1.0591</v>
      </c>
      <c r="E3410" s="15">
        <v>1.0941</v>
      </c>
      <c r="F3410" s="15">
        <v>1.0961</v>
      </c>
      <c r="G3410" s="11">
        <v>-0.0003</v>
      </c>
      <c r="H3410" s="9">
        <f>MAX($F$3239:F3410)</f>
        <v>1.097</v>
      </c>
      <c r="I3410" s="11">
        <f t="shared" si="83"/>
        <v>0.000820419325432864</v>
      </c>
      <c r="J3410" s="9"/>
      <c r="K3410" s="11"/>
      <c r="L3410" s="9"/>
      <c r="M3410" s="11"/>
      <c r="N3410" s="9" t="s">
        <v>809</v>
      </c>
    </row>
    <row r="3411" ht="25" customHeight="1" spans="1:14">
      <c r="A3411" s="9" t="s">
        <v>327</v>
      </c>
      <c r="B3411" s="9" t="s">
        <v>326</v>
      </c>
      <c r="C3411" s="10">
        <v>43754</v>
      </c>
      <c r="D3411" s="15">
        <v>1.0596</v>
      </c>
      <c r="E3411" s="15">
        <v>1.0946</v>
      </c>
      <c r="F3411" s="15">
        <v>1.0966</v>
      </c>
      <c r="G3411" s="11">
        <v>0.0005</v>
      </c>
      <c r="H3411" s="9">
        <f>MAX($F$3239:F3411)</f>
        <v>1.097</v>
      </c>
      <c r="I3411" s="11">
        <f t="shared" si="83"/>
        <v>0.000364630811303557</v>
      </c>
      <c r="J3411" s="9"/>
      <c r="K3411" s="11"/>
      <c r="L3411" s="9"/>
      <c r="M3411" s="11"/>
      <c r="N3411" s="9" t="s">
        <v>809</v>
      </c>
    </row>
    <row r="3412" ht="25" customHeight="1" spans="1:14">
      <c r="A3412" s="9" t="s">
        <v>327</v>
      </c>
      <c r="B3412" s="9" t="s">
        <v>326</v>
      </c>
      <c r="C3412" s="10">
        <v>43755</v>
      </c>
      <c r="D3412" s="15">
        <v>1.0594</v>
      </c>
      <c r="E3412" s="15">
        <v>1.0944</v>
      </c>
      <c r="F3412" s="15">
        <v>1.0964</v>
      </c>
      <c r="G3412" s="11">
        <v>-0.0002</v>
      </c>
      <c r="H3412" s="9">
        <f>MAX($F$3239:F3412)</f>
        <v>1.097</v>
      </c>
      <c r="I3412" s="11">
        <f t="shared" si="83"/>
        <v>0.00054694621695528</v>
      </c>
      <c r="J3412" s="9"/>
      <c r="K3412" s="11"/>
      <c r="L3412" s="9"/>
      <c r="M3412" s="11"/>
      <c r="N3412" s="9" t="s">
        <v>809</v>
      </c>
    </row>
    <row r="3413" ht="25" customHeight="1" spans="1:14">
      <c r="A3413" s="9" t="s">
        <v>327</v>
      </c>
      <c r="B3413" s="9" t="s">
        <v>326</v>
      </c>
      <c r="C3413" s="10">
        <v>43756</v>
      </c>
      <c r="D3413" s="15">
        <v>1.06</v>
      </c>
      <c r="E3413" s="15">
        <v>1.095</v>
      </c>
      <c r="F3413" s="15">
        <v>1.0971</v>
      </c>
      <c r="G3413" s="11">
        <v>0.0006</v>
      </c>
      <c r="H3413" s="9">
        <f>MAX($F$3239:F3413)</f>
        <v>1.0971</v>
      </c>
      <c r="I3413" s="11">
        <f t="shared" si="83"/>
        <v>0</v>
      </c>
      <c r="J3413" s="9"/>
      <c r="K3413" s="11"/>
      <c r="L3413" s="9"/>
      <c r="M3413" s="11"/>
      <c r="N3413" s="9" t="s">
        <v>809</v>
      </c>
    </row>
    <row r="3414" ht="25" customHeight="1" spans="1:14">
      <c r="A3414" s="9" t="s">
        <v>327</v>
      </c>
      <c r="B3414" s="9" t="s">
        <v>326</v>
      </c>
      <c r="C3414" s="10">
        <v>43759</v>
      </c>
      <c r="D3414" s="15">
        <v>1.0596</v>
      </c>
      <c r="E3414" s="15">
        <v>1.0946</v>
      </c>
      <c r="F3414" s="15">
        <v>1.0966</v>
      </c>
      <c r="G3414" s="11">
        <v>-0.0004</v>
      </c>
      <c r="H3414" s="9">
        <f>MAX($F$3239:F3414)</f>
        <v>1.0971</v>
      </c>
      <c r="I3414" s="11">
        <f t="shared" si="83"/>
        <v>0.000455746969282633</v>
      </c>
      <c r="J3414" s="9"/>
      <c r="K3414" s="11"/>
      <c r="L3414" s="9"/>
      <c r="M3414" s="11"/>
      <c r="N3414" s="9" t="s">
        <v>809</v>
      </c>
    </row>
    <row r="3415" ht="25" customHeight="1" spans="1:14">
      <c r="A3415" s="9" t="s">
        <v>327</v>
      </c>
      <c r="B3415" s="9" t="s">
        <v>326</v>
      </c>
      <c r="C3415" s="10">
        <v>43760</v>
      </c>
      <c r="D3415" s="15">
        <v>1.0587</v>
      </c>
      <c r="E3415" s="15">
        <v>1.0937</v>
      </c>
      <c r="F3415" s="15">
        <v>1.0957</v>
      </c>
      <c r="G3415" s="11">
        <v>-0.0008</v>
      </c>
      <c r="H3415" s="9">
        <f>MAX($F$3239:F3415)</f>
        <v>1.0971</v>
      </c>
      <c r="I3415" s="11">
        <f t="shared" si="83"/>
        <v>0.00127609151399144</v>
      </c>
      <c r="J3415" s="9"/>
      <c r="K3415" s="11"/>
      <c r="L3415" s="9"/>
      <c r="M3415" s="11"/>
      <c r="N3415" s="9" t="s">
        <v>809</v>
      </c>
    </row>
    <row r="3416" ht="25" customHeight="1" spans="1:14">
      <c r="A3416" s="9" t="s">
        <v>327</v>
      </c>
      <c r="B3416" s="9" t="s">
        <v>326</v>
      </c>
      <c r="C3416" s="10">
        <v>43761</v>
      </c>
      <c r="D3416" s="15">
        <v>1.058</v>
      </c>
      <c r="E3416" s="15">
        <v>1.093</v>
      </c>
      <c r="F3416" s="15">
        <v>1.095</v>
      </c>
      <c r="G3416" s="11">
        <v>-0.0007</v>
      </c>
      <c r="H3416" s="9">
        <f>MAX($F$3239:F3416)</f>
        <v>1.0971</v>
      </c>
      <c r="I3416" s="11">
        <f t="shared" si="83"/>
        <v>0.0019141372709871</v>
      </c>
      <c r="J3416" s="9"/>
      <c r="K3416" s="11"/>
      <c r="L3416" s="9"/>
      <c r="M3416" s="11"/>
      <c r="N3416" s="9" t="s">
        <v>809</v>
      </c>
    </row>
    <row r="3417" ht="25" customHeight="1" spans="1:14">
      <c r="A3417" s="9" t="s">
        <v>327</v>
      </c>
      <c r="B3417" s="9" t="s">
        <v>326</v>
      </c>
      <c r="C3417" s="10">
        <v>43762</v>
      </c>
      <c r="D3417" s="15">
        <v>1.0573</v>
      </c>
      <c r="E3417" s="15">
        <v>1.0923</v>
      </c>
      <c r="F3417" s="15">
        <v>1.0943</v>
      </c>
      <c r="G3417" s="11">
        <v>-0.0007</v>
      </c>
      <c r="H3417" s="9">
        <f>MAX($F$3239:F3417)</f>
        <v>1.0971</v>
      </c>
      <c r="I3417" s="11">
        <f t="shared" si="83"/>
        <v>0.00255218302798277</v>
      </c>
      <c r="J3417" s="9"/>
      <c r="K3417" s="11"/>
      <c r="L3417" s="9"/>
      <c r="M3417" s="11"/>
      <c r="N3417" s="9" t="s">
        <v>809</v>
      </c>
    </row>
    <row r="3418" ht="25" customHeight="1" spans="1:14">
      <c r="A3418" s="9" t="s">
        <v>327</v>
      </c>
      <c r="B3418" s="9" t="s">
        <v>326</v>
      </c>
      <c r="C3418" s="10">
        <v>43763</v>
      </c>
      <c r="D3418" s="15">
        <v>1.0572</v>
      </c>
      <c r="E3418" s="15">
        <v>1.0922</v>
      </c>
      <c r="F3418" s="15">
        <v>1.0942</v>
      </c>
      <c r="G3418" s="11">
        <v>-0.0001</v>
      </c>
      <c r="H3418" s="9">
        <f>MAX($F$3239:F3418)</f>
        <v>1.0971</v>
      </c>
      <c r="I3418" s="11">
        <f t="shared" si="83"/>
        <v>0.00264333242183934</v>
      </c>
      <c r="J3418" s="9"/>
      <c r="K3418" s="11"/>
      <c r="L3418" s="9"/>
      <c r="M3418" s="11"/>
      <c r="N3418" s="9" t="s">
        <v>809</v>
      </c>
    </row>
    <row r="3419" ht="25" customHeight="1" spans="1:14">
      <c r="A3419" s="9" t="s">
        <v>327</v>
      </c>
      <c r="B3419" s="9" t="s">
        <v>326</v>
      </c>
      <c r="C3419" s="10">
        <v>43766</v>
      </c>
      <c r="D3419" s="15">
        <v>1.0566</v>
      </c>
      <c r="E3419" s="15">
        <v>1.0916</v>
      </c>
      <c r="F3419" s="15">
        <v>1.0935</v>
      </c>
      <c r="G3419" s="11">
        <v>-0.0006</v>
      </c>
      <c r="H3419" s="9">
        <f>MAX($F$3239:F3419)</f>
        <v>1.0971</v>
      </c>
      <c r="I3419" s="11">
        <f t="shared" si="83"/>
        <v>0.00328137817883511</v>
      </c>
      <c r="J3419" s="9"/>
      <c r="K3419" s="11"/>
      <c r="L3419" s="9"/>
      <c r="M3419" s="11"/>
      <c r="N3419" s="9" t="s">
        <v>809</v>
      </c>
    </row>
    <row r="3420" ht="25" customHeight="1" spans="1:14">
      <c r="A3420" s="9" t="s">
        <v>327</v>
      </c>
      <c r="B3420" s="9" t="s">
        <v>326</v>
      </c>
      <c r="C3420" s="10">
        <v>43767</v>
      </c>
      <c r="D3420" s="15">
        <v>1.0551</v>
      </c>
      <c r="E3420" s="15">
        <v>1.0901</v>
      </c>
      <c r="F3420" s="15">
        <v>1.092</v>
      </c>
      <c r="G3420" s="11">
        <v>-0.0014</v>
      </c>
      <c r="H3420" s="9">
        <f>MAX($F$3239:F3420)</f>
        <v>1.0971</v>
      </c>
      <c r="I3420" s="11">
        <f t="shared" si="83"/>
        <v>0.00464861908668301</v>
      </c>
      <c r="J3420" s="9"/>
      <c r="K3420" s="11"/>
      <c r="L3420" s="9"/>
      <c r="M3420" s="11"/>
      <c r="N3420" s="9" t="s">
        <v>809</v>
      </c>
    </row>
    <row r="3421" ht="25" customHeight="1" spans="1:14">
      <c r="A3421" s="9" t="s">
        <v>327</v>
      </c>
      <c r="B3421" s="9" t="s">
        <v>326</v>
      </c>
      <c r="C3421" s="10">
        <v>43768</v>
      </c>
      <c r="D3421" s="15">
        <v>1.0563</v>
      </c>
      <c r="E3421" s="15">
        <v>1.0913</v>
      </c>
      <c r="F3421" s="15">
        <v>1.0932</v>
      </c>
      <c r="G3421" s="11">
        <v>0.0011</v>
      </c>
      <c r="H3421" s="9">
        <f>MAX($F$3239:F3421)</f>
        <v>1.0971</v>
      </c>
      <c r="I3421" s="11">
        <f t="shared" si="83"/>
        <v>0.00355482636040472</v>
      </c>
      <c r="J3421" s="9"/>
      <c r="K3421" s="11"/>
      <c r="L3421" s="9"/>
      <c r="M3421" s="11"/>
      <c r="N3421" s="9" t="s">
        <v>809</v>
      </c>
    </row>
    <row r="3422" ht="25" customHeight="1" spans="1:14">
      <c r="A3422" s="9" t="s">
        <v>327</v>
      </c>
      <c r="B3422" s="9" t="s">
        <v>326</v>
      </c>
      <c r="C3422" s="10">
        <v>43769</v>
      </c>
      <c r="D3422" s="15">
        <v>1.056</v>
      </c>
      <c r="E3422" s="15">
        <v>1.091</v>
      </c>
      <c r="F3422" s="15">
        <v>1.0929</v>
      </c>
      <c r="G3422" s="11">
        <v>-0.0003</v>
      </c>
      <c r="H3422" s="9">
        <f>MAX($F$3239:F3422)</f>
        <v>1.0971</v>
      </c>
      <c r="I3422" s="11">
        <f t="shared" si="83"/>
        <v>0.00382827454197432</v>
      </c>
      <c r="J3422" s="9"/>
      <c r="K3422" s="11"/>
      <c r="L3422" s="9"/>
      <c r="M3422" s="11"/>
      <c r="N3422" s="9" t="s">
        <v>809</v>
      </c>
    </row>
    <row r="3423" ht="25" customHeight="1" spans="1:14">
      <c r="A3423" s="9" t="s">
        <v>327</v>
      </c>
      <c r="B3423" s="9" t="s">
        <v>326</v>
      </c>
      <c r="C3423" s="10">
        <v>43770</v>
      </c>
      <c r="D3423" s="15">
        <v>1.0561</v>
      </c>
      <c r="E3423" s="15">
        <v>1.0911</v>
      </c>
      <c r="F3423" s="15">
        <v>1.093</v>
      </c>
      <c r="G3423" s="11">
        <v>0.0001</v>
      </c>
      <c r="H3423" s="9">
        <f>MAX($F$3239:F3423)</f>
        <v>1.0971</v>
      </c>
      <c r="I3423" s="11">
        <f t="shared" si="83"/>
        <v>0.00373712514811775</v>
      </c>
      <c r="J3423" s="9"/>
      <c r="K3423" s="11"/>
      <c r="L3423" s="9"/>
      <c r="M3423" s="11"/>
      <c r="N3423" s="9" t="s">
        <v>809</v>
      </c>
    </row>
    <row r="3424" ht="25" customHeight="1" spans="1:14">
      <c r="A3424" s="9" t="s">
        <v>327</v>
      </c>
      <c r="B3424" s="9" t="s">
        <v>326</v>
      </c>
      <c r="C3424" s="10">
        <v>43773</v>
      </c>
      <c r="D3424" s="15">
        <v>1.0558</v>
      </c>
      <c r="E3424" s="15">
        <v>1.0908</v>
      </c>
      <c r="F3424" s="15">
        <v>1.0927</v>
      </c>
      <c r="G3424" s="11">
        <v>-0.0003</v>
      </c>
      <c r="H3424" s="9">
        <f>MAX($F$3239:F3424)</f>
        <v>1.0971</v>
      </c>
      <c r="I3424" s="11">
        <f t="shared" si="83"/>
        <v>0.00401057332968735</v>
      </c>
      <c r="J3424" s="9"/>
      <c r="K3424" s="11"/>
      <c r="L3424" s="9"/>
      <c r="M3424" s="11"/>
      <c r="N3424" s="9" t="s">
        <v>809</v>
      </c>
    </row>
    <row r="3425" ht="25" customHeight="1" spans="1:14">
      <c r="A3425" s="9" t="s">
        <v>327</v>
      </c>
      <c r="B3425" s="9" t="s">
        <v>326</v>
      </c>
      <c r="C3425" s="10">
        <v>43774</v>
      </c>
      <c r="D3425" s="15">
        <v>1.0601</v>
      </c>
      <c r="E3425" s="15">
        <v>1.0951</v>
      </c>
      <c r="F3425" s="15">
        <v>1.0972</v>
      </c>
      <c r="G3425" s="11">
        <v>0.0041</v>
      </c>
      <c r="H3425" s="9">
        <f>MAX($F$3239:F3425)</f>
        <v>1.0972</v>
      </c>
      <c r="I3425" s="11">
        <f t="shared" si="83"/>
        <v>0</v>
      </c>
      <c r="J3425" s="9"/>
      <c r="K3425" s="11"/>
      <c r="L3425" s="9"/>
      <c r="M3425" s="11"/>
      <c r="N3425" s="9" t="s">
        <v>809</v>
      </c>
    </row>
    <row r="3426" ht="25" customHeight="1" spans="1:14">
      <c r="A3426" s="9" t="s">
        <v>327</v>
      </c>
      <c r="B3426" s="9" t="s">
        <v>326</v>
      </c>
      <c r="C3426" s="10">
        <v>43775</v>
      </c>
      <c r="D3426" s="15">
        <v>1.06</v>
      </c>
      <c r="E3426" s="15">
        <v>1.095</v>
      </c>
      <c r="F3426" s="15">
        <v>1.0971</v>
      </c>
      <c r="G3426" s="11">
        <v>-0.0001</v>
      </c>
      <c r="H3426" s="9">
        <f>MAX($F$3239:F3426)</f>
        <v>1.0972</v>
      </c>
      <c r="I3426" s="11">
        <f t="shared" si="83"/>
        <v>9.11410864017359e-5</v>
      </c>
      <c r="J3426" s="9"/>
      <c r="K3426" s="11"/>
      <c r="L3426" s="9"/>
      <c r="M3426" s="11"/>
      <c r="N3426" s="9" t="s">
        <v>809</v>
      </c>
    </row>
    <row r="3427" ht="25" customHeight="1" spans="1:14">
      <c r="A3427" s="9" t="s">
        <v>327</v>
      </c>
      <c r="B3427" s="9" t="s">
        <v>326</v>
      </c>
      <c r="C3427" s="10">
        <v>43776</v>
      </c>
      <c r="D3427" s="15">
        <v>1.0608</v>
      </c>
      <c r="E3427" s="15">
        <v>1.0958</v>
      </c>
      <c r="F3427" s="15">
        <v>1.0979</v>
      </c>
      <c r="G3427" s="11">
        <v>0.0008</v>
      </c>
      <c r="H3427" s="9">
        <f>MAX($F$3239:F3427)</f>
        <v>1.0979</v>
      </c>
      <c r="I3427" s="11">
        <f t="shared" si="83"/>
        <v>0</v>
      </c>
      <c r="J3427" s="9"/>
      <c r="K3427" s="11"/>
      <c r="L3427" s="9"/>
      <c r="M3427" s="11"/>
      <c r="N3427" s="9" t="s">
        <v>809</v>
      </c>
    </row>
    <row r="3428" ht="25" customHeight="1" spans="1:14">
      <c r="A3428" s="9" t="s">
        <v>327</v>
      </c>
      <c r="B3428" s="9" t="s">
        <v>326</v>
      </c>
      <c r="C3428" s="10">
        <v>43777</v>
      </c>
      <c r="D3428" s="15">
        <v>1.062</v>
      </c>
      <c r="E3428" s="15">
        <v>1.097</v>
      </c>
      <c r="F3428" s="15">
        <v>1.0991</v>
      </c>
      <c r="G3428" s="11">
        <v>0.0011</v>
      </c>
      <c r="H3428" s="9">
        <f>MAX($F$3239:F3428)</f>
        <v>1.0991</v>
      </c>
      <c r="I3428" s="11">
        <f t="shared" si="83"/>
        <v>0</v>
      </c>
      <c r="J3428" s="9"/>
      <c r="K3428" s="11"/>
      <c r="L3428" s="9"/>
      <c r="M3428" s="11"/>
      <c r="N3428" s="9" t="s">
        <v>809</v>
      </c>
    </row>
    <row r="3429" ht="25" customHeight="1" spans="1:14">
      <c r="A3429" s="9" t="s">
        <v>327</v>
      </c>
      <c r="B3429" s="9" t="s">
        <v>326</v>
      </c>
      <c r="C3429" s="10">
        <v>43780</v>
      </c>
      <c r="D3429" s="15">
        <v>1.062</v>
      </c>
      <c r="E3429" s="15">
        <v>1.097</v>
      </c>
      <c r="F3429" s="15">
        <v>1.0991</v>
      </c>
      <c r="G3429" s="11">
        <v>0</v>
      </c>
      <c r="H3429" s="9">
        <f>MAX($F$3239:F3429)</f>
        <v>1.0991</v>
      </c>
      <c r="I3429" s="11">
        <f t="shared" si="83"/>
        <v>0</v>
      </c>
      <c r="J3429" s="9"/>
      <c r="K3429" s="11"/>
      <c r="L3429" s="9"/>
      <c r="M3429" s="11"/>
      <c r="N3429" s="9" t="s">
        <v>809</v>
      </c>
    </row>
    <row r="3430" ht="25" customHeight="1" spans="1:14">
      <c r="A3430" s="9" t="s">
        <v>327</v>
      </c>
      <c r="B3430" s="9" t="s">
        <v>326</v>
      </c>
      <c r="C3430" s="10">
        <v>43781</v>
      </c>
      <c r="D3430" s="15">
        <v>1.0626</v>
      </c>
      <c r="E3430" s="15">
        <v>1.0976</v>
      </c>
      <c r="F3430" s="15">
        <v>1.0998</v>
      </c>
      <c r="G3430" s="11">
        <v>0.0006</v>
      </c>
      <c r="H3430" s="9">
        <f>MAX($F$3239:F3430)</f>
        <v>1.0998</v>
      </c>
      <c r="I3430" s="11">
        <f t="shared" si="83"/>
        <v>0</v>
      </c>
      <c r="J3430" s="9"/>
      <c r="K3430" s="11"/>
      <c r="L3430" s="9"/>
      <c r="M3430" s="11"/>
      <c r="N3430" s="9" t="s">
        <v>809</v>
      </c>
    </row>
    <row r="3431" ht="25" customHeight="1" spans="1:14">
      <c r="A3431" s="9" t="s">
        <v>327</v>
      </c>
      <c r="B3431" s="9" t="s">
        <v>326</v>
      </c>
      <c r="C3431" s="10">
        <v>43782</v>
      </c>
      <c r="D3431" s="15">
        <v>1.0629</v>
      </c>
      <c r="E3431" s="15">
        <v>1.0979</v>
      </c>
      <c r="F3431" s="15">
        <v>1.1001</v>
      </c>
      <c r="G3431" s="11">
        <v>0.0003</v>
      </c>
      <c r="H3431" s="9">
        <f>MAX($F$3239:F3431)</f>
        <v>1.1001</v>
      </c>
      <c r="I3431" s="11">
        <f t="shared" si="83"/>
        <v>0</v>
      </c>
      <c r="J3431" s="9"/>
      <c r="K3431" s="11"/>
      <c r="L3431" s="9"/>
      <c r="M3431" s="11"/>
      <c r="N3431" s="9" t="s">
        <v>809</v>
      </c>
    </row>
    <row r="3432" ht="25" customHeight="1" spans="1:14">
      <c r="A3432" s="9" t="s">
        <v>327</v>
      </c>
      <c r="B3432" s="9" t="s">
        <v>326</v>
      </c>
      <c r="C3432" s="10">
        <v>43783</v>
      </c>
      <c r="D3432" s="15">
        <v>1.0619</v>
      </c>
      <c r="E3432" s="15">
        <v>1.0969</v>
      </c>
      <c r="F3432" s="15">
        <v>1.099</v>
      </c>
      <c r="G3432" s="11">
        <v>-0.0009</v>
      </c>
      <c r="H3432" s="9">
        <f>MAX($F$3239:F3432)</f>
        <v>1.1001</v>
      </c>
      <c r="I3432" s="11">
        <f t="shared" si="83"/>
        <v>0.000999909099172913</v>
      </c>
      <c r="J3432" s="9"/>
      <c r="K3432" s="11"/>
      <c r="L3432" s="9"/>
      <c r="M3432" s="11"/>
      <c r="N3432" s="9" t="s">
        <v>809</v>
      </c>
    </row>
    <row r="3433" ht="25" customHeight="1" spans="1:14">
      <c r="A3433" s="9" t="s">
        <v>327</v>
      </c>
      <c r="B3433" s="9" t="s">
        <v>326</v>
      </c>
      <c r="C3433" s="10">
        <v>43784</v>
      </c>
      <c r="D3433" s="15">
        <v>1.0623</v>
      </c>
      <c r="E3433" s="15">
        <v>1.0973</v>
      </c>
      <c r="F3433" s="15">
        <v>1.0994</v>
      </c>
      <c r="G3433" s="11">
        <v>0.0004</v>
      </c>
      <c r="H3433" s="9">
        <f>MAX($F$3239:F3433)</f>
        <v>1.1001</v>
      </c>
      <c r="I3433" s="11">
        <f t="shared" si="83"/>
        <v>0.000636305790382874</v>
      </c>
      <c r="J3433" s="9"/>
      <c r="K3433" s="11"/>
      <c r="L3433" s="9"/>
      <c r="M3433" s="11"/>
      <c r="N3433" s="9" t="s">
        <v>809</v>
      </c>
    </row>
    <row r="3434" ht="25" customHeight="1" spans="1:14">
      <c r="A3434" s="9" t="s">
        <v>327</v>
      </c>
      <c r="B3434" s="9" t="s">
        <v>326</v>
      </c>
      <c r="C3434" s="10">
        <v>43787</v>
      </c>
      <c r="D3434" s="15">
        <v>1.0633</v>
      </c>
      <c r="E3434" s="15">
        <v>1.0983</v>
      </c>
      <c r="F3434" s="15">
        <v>1.1005</v>
      </c>
      <c r="G3434" s="11">
        <v>0.0009</v>
      </c>
      <c r="H3434" s="9">
        <f>MAX($F$3239:F3434)</f>
        <v>1.1005</v>
      </c>
      <c r="I3434" s="11">
        <f t="shared" si="83"/>
        <v>0</v>
      </c>
      <c r="J3434" s="9"/>
      <c r="K3434" s="11"/>
      <c r="L3434" s="9"/>
      <c r="M3434" s="11"/>
      <c r="N3434" s="9" t="s">
        <v>809</v>
      </c>
    </row>
    <row r="3435" ht="25" customHeight="1" spans="1:14">
      <c r="A3435" s="9" t="s">
        <v>327</v>
      </c>
      <c r="B3435" s="9" t="s">
        <v>326</v>
      </c>
      <c r="C3435" s="10">
        <v>43788</v>
      </c>
      <c r="D3435" s="15">
        <v>1.0641</v>
      </c>
      <c r="E3435" s="15">
        <v>1.0991</v>
      </c>
      <c r="F3435" s="15">
        <v>1.1013</v>
      </c>
      <c r="G3435" s="11">
        <v>0.0008</v>
      </c>
      <c r="H3435" s="9">
        <f>MAX($F$3239:F3435)</f>
        <v>1.1013</v>
      </c>
      <c r="I3435" s="11">
        <f t="shared" si="83"/>
        <v>0</v>
      </c>
      <c r="J3435" s="9"/>
      <c r="K3435" s="11"/>
      <c r="L3435" s="9"/>
      <c r="M3435" s="11"/>
      <c r="N3435" s="9" t="s">
        <v>809</v>
      </c>
    </row>
    <row r="3436" ht="25" customHeight="1" spans="1:14">
      <c r="A3436" s="9" t="s">
        <v>327</v>
      </c>
      <c r="B3436" s="9" t="s">
        <v>326</v>
      </c>
      <c r="C3436" s="10">
        <v>43789</v>
      </c>
      <c r="D3436" s="15">
        <v>1.0637</v>
      </c>
      <c r="E3436" s="15">
        <v>1.0987</v>
      </c>
      <c r="F3436" s="15">
        <v>1.1009</v>
      </c>
      <c r="G3436" s="11">
        <v>-0.0004</v>
      </c>
      <c r="H3436" s="9">
        <f>MAX($F$3239:F3436)</f>
        <v>1.1013</v>
      </c>
      <c r="I3436" s="11">
        <f t="shared" si="83"/>
        <v>0.00036320711885951</v>
      </c>
      <c r="J3436" s="9"/>
      <c r="K3436" s="11"/>
      <c r="L3436" s="9"/>
      <c r="M3436" s="11"/>
      <c r="N3436" s="9" t="s">
        <v>809</v>
      </c>
    </row>
    <row r="3437" ht="25" customHeight="1" spans="1:14">
      <c r="A3437" s="9" t="s">
        <v>327</v>
      </c>
      <c r="B3437" s="9" t="s">
        <v>326</v>
      </c>
      <c r="C3437" s="10">
        <v>43790</v>
      </c>
      <c r="D3437" s="15">
        <v>1.0637</v>
      </c>
      <c r="E3437" s="15">
        <v>1.0987</v>
      </c>
      <c r="F3437" s="15">
        <v>1.1009</v>
      </c>
      <c r="G3437" s="11">
        <v>0</v>
      </c>
      <c r="H3437" s="9">
        <f>MAX($F$3239:F3437)</f>
        <v>1.1013</v>
      </c>
      <c r="I3437" s="11">
        <f t="shared" si="83"/>
        <v>0.00036320711885951</v>
      </c>
      <c r="J3437" s="9"/>
      <c r="K3437" s="11"/>
      <c r="L3437" s="9"/>
      <c r="M3437" s="11"/>
      <c r="N3437" s="9" t="s">
        <v>809</v>
      </c>
    </row>
    <row r="3438" ht="25" customHeight="1" spans="1:14">
      <c r="A3438" s="9" t="s">
        <v>327</v>
      </c>
      <c r="B3438" s="9" t="s">
        <v>326</v>
      </c>
      <c r="C3438" s="10">
        <v>43791</v>
      </c>
      <c r="D3438" s="15">
        <v>1.0642</v>
      </c>
      <c r="E3438" s="15">
        <v>1.0992</v>
      </c>
      <c r="F3438" s="15">
        <v>1.1014</v>
      </c>
      <c r="G3438" s="11">
        <v>0.0005</v>
      </c>
      <c r="H3438" s="9">
        <f>MAX($F$3239:F3438)</f>
        <v>1.1014</v>
      </c>
      <c r="I3438" s="11">
        <f t="shared" si="83"/>
        <v>0</v>
      </c>
      <c r="J3438" s="9"/>
      <c r="K3438" s="11"/>
      <c r="L3438" s="9"/>
      <c r="M3438" s="11"/>
      <c r="N3438" s="9" t="s">
        <v>809</v>
      </c>
    </row>
    <row r="3439" ht="25" customHeight="1" spans="1:14">
      <c r="A3439" s="9" t="s">
        <v>327</v>
      </c>
      <c r="B3439" s="9" t="s">
        <v>326</v>
      </c>
      <c r="C3439" s="10">
        <v>43794</v>
      </c>
      <c r="D3439" s="15">
        <v>1.0646</v>
      </c>
      <c r="E3439" s="15">
        <v>1.0996</v>
      </c>
      <c r="F3439" s="15">
        <v>1.1018</v>
      </c>
      <c r="G3439" s="11">
        <v>0.0004</v>
      </c>
      <c r="H3439" s="9">
        <f>MAX($F$3239:F3439)</f>
        <v>1.1018</v>
      </c>
      <c r="I3439" s="11">
        <f t="shared" si="83"/>
        <v>0</v>
      </c>
      <c r="J3439" s="9"/>
      <c r="K3439" s="11"/>
      <c r="L3439" s="9"/>
      <c r="M3439" s="11"/>
      <c r="N3439" s="9" t="s">
        <v>809</v>
      </c>
    </row>
    <row r="3440" ht="25" customHeight="1" spans="1:14">
      <c r="A3440" s="9" t="s">
        <v>327</v>
      </c>
      <c r="B3440" s="9" t="s">
        <v>326</v>
      </c>
      <c r="C3440" s="10">
        <v>43795</v>
      </c>
      <c r="D3440" s="15">
        <v>1.0644</v>
      </c>
      <c r="E3440" s="15">
        <v>1.0994</v>
      </c>
      <c r="F3440" s="15">
        <v>1.1016</v>
      </c>
      <c r="G3440" s="11">
        <v>-0.0002</v>
      </c>
      <c r="H3440" s="9">
        <f>MAX($F$3239:F3440)</f>
        <v>1.1018</v>
      </c>
      <c r="I3440" s="11">
        <f t="shared" si="83"/>
        <v>0.000181521147213592</v>
      </c>
      <c r="J3440" s="9"/>
      <c r="K3440" s="11"/>
      <c r="L3440" s="9"/>
      <c r="M3440" s="11"/>
      <c r="N3440" s="9" t="s">
        <v>809</v>
      </c>
    </row>
    <row r="3441" ht="25" customHeight="1" spans="1:14">
      <c r="A3441" s="9" t="s">
        <v>327</v>
      </c>
      <c r="B3441" s="9" t="s">
        <v>326</v>
      </c>
      <c r="C3441" s="10">
        <v>43796</v>
      </c>
      <c r="D3441" s="15">
        <v>1.0644</v>
      </c>
      <c r="E3441" s="15">
        <v>1.0994</v>
      </c>
      <c r="F3441" s="15">
        <v>1.1016</v>
      </c>
      <c r="G3441" s="11">
        <v>0</v>
      </c>
      <c r="H3441" s="9">
        <f>MAX($F$3239:F3441)</f>
        <v>1.1018</v>
      </c>
      <c r="I3441" s="11">
        <f t="shared" si="83"/>
        <v>0.000181521147213592</v>
      </c>
      <c r="J3441" s="9"/>
      <c r="K3441" s="11"/>
      <c r="L3441" s="9"/>
      <c r="M3441" s="11"/>
      <c r="N3441" s="9" t="s">
        <v>809</v>
      </c>
    </row>
    <row r="3442" ht="25" customHeight="1" spans="1:14">
      <c r="A3442" s="9" t="s">
        <v>327</v>
      </c>
      <c r="B3442" s="9" t="s">
        <v>326</v>
      </c>
      <c r="C3442" s="10">
        <v>43797</v>
      </c>
      <c r="D3442" s="15">
        <v>1.064</v>
      </c>
      <c r="E3442" s="15">
        <v>1.099</v>
      </c>
      <c r="F3442" s="15">
        <v>1.1012</v>
      </c>
      <c r="G3442" s="11">
        <v>-0.0004</v>
      </c>
      <c r="H3442" s="9">
        <f>MAX($F$3239:F3442)</f>
        <v>1.1018</v>
      </c>
      <c r="I3442" s="11">
        <f t="shared" si="83"/>
        <v>0.000544563441640888</v>
      </c>
      <c r="J3442" s="9"/>
      <c r="K3442" s="11"/>
      <c r="L3442" s="9"/>
      <c r="M3442" s="11"/>
      <c r="N3442" s="9" t="s">
        <v>809</v>
      </c>
    </row>
    <row r="3443" ht="25" customHeight="1" spans="1:14">
      <c r="A3443" s="9" t="s">
        <v>327</v>
      </c>
      <c r="B3443" s="9" t="s">
        <v>326</v>
      </c>
      <c r="C3443" s="10">
        <v>43798</v>
      </c>
      <c r="D3443" s="15">
        <v>1.0639</v>
      </c>
      <c r="E3443" s="15">
        <v>1.0989</v>
      </c>
      <c r="F3443" s="15">
        <v>1.1011</v>
      </c>
      <c r="G3443" s="11">
        <v>-0.0001</v>
      </c>
      <c r="H3443" s="9">
        <f>MAX($F$3239:F3443)</f>
        <v>1.1018</v>
      </c>
      <c r="I3443" s="11">
        <f t="shared" si="83"/>
        <v>0.000635324015247685</v>
      </c>
      <c r="J3443" s="9"/>
      <c r="K3443" s="11"/>
      <c r="L3443" s="9"/>
      <c r="M3443" s="11"/>
      <c r="N3443" s="9" t="s">
        <v>809</v>
      </c>
    </row>
    <row r="3444" ht="25" customHeight="1" spans="1:14">
      <c r="A3444" s="9" t="s">
        <v>327</v>
      </c>
      <c r="B3444" s="9" t="s">
        <v>326</v>
      </c>
      <c r="C3444" s="10">
        <v>43801</v>
      </c>
      <c r="D3444" s="15">
        <v>1.0639</v>
      </c>
      <c r="E3444" s="15">
        <v>1.0989</v>
      </c>
      <c r="F3444" s="15">
        <v>1.1011</v>
      </c>
      <c r="G3444" s="11">
        <v>0</v>
      </c>
      <c r="H3444" s="9">
        <f>MAX($F$3239:F3444)</f>
        <v>1.1018</v>
      </c>
      <c r="I3444" s="11">
        <f t="shared" si="83"/>
        <v>0.000635324015247685</v>
      </c>
      <c r="J3444" s="9"/>
      <c r="K3444" s="11"/>
      <c r="L3444" s="9"/>
      <c r="M3444" s="11"/>
      <c r="N3444" s="9" t="s">
        <v>809</v>
      </c>
    </row>
    <row r="3445" ht="25" customHeight="1" spans="1:14">
      <c r="A3445" s="9" t="s">
        <v>327</v>
      </c>
      <c r="B3445" s="9" t="s">
        <v>326</v>
      </c>
      <c r="C3445" s="10">
        <v>43802</v>
      </c>
      <c r="D3445" s="15">
        <v>1.0636</v>
      </c>
      <c r="E3445" s="15">
        <v>1.0986</v>
      </c>
      <c r="F3445" s="15">
        <v>1.1008</v>
      </c>
      <c r="G3445" s="11">
        <v>-0.0003</v>
      </c>
      <c r="H3445" s="9">
        <f>MAX($F$3239:F3445)</f>
        <v>1.1018</v>
      </c>
      <c r="I3445" s="11">
        <f t="shared" si="83"/>
        <v>0.000907605736068184</v>
      </c>
      <c r="J3445" s="9"/>
      <c r="K3445" s="11"/>
      <c r="L3445" s="9"/>
      <c r="M3445" s="11"/>
      <c r="N3445" s="9" t="s">
        <v>809</v>
      </c>
    </row>
    <row r="3446" ht="25" customHeight="1" spans="1:14">
      <c r="A3446" s="9" t="s">
        <v>327</v>
      </c>
      <c r="B3446" s="9" t="s">
        <v>326</v>
      </c>
      <c r="C3446" s="10">
        <v>43803</v>
      </c>
      <c r="D3446" s="15">
        <v>1.0637</v>
      </c>
      <c r="E3446" s="15">
        <v>1.0987</v>
      </c>
      <c r="F3446" s="15">
        <v>1.1009</v>
      </c>
      <c r="G3446" s="11">
        <v>0.0001</v>
      </c>
      <c r="H3446" s="9">
        <f>MAX($F$3239:F3446)</f>
        <v>1.1018</v>
      </c>
      <c r="I3446" s="11">
        <f t="shared" si="83"/>
        <v>0.000816845162461388</v>
      </c>
      <c r="J3446" s="9"/>
      <c r="K3446" s="11"/>
      <c r="L3446" s="9"/>
      <c r="M3446" s="11"/>
      <c r="N3446" s="9" t="s">
        <v>809</v>
      </c>
    </row>
    <row r="3447" ht="25" customHeight="1" spans="1:14">
      <c r="A3447" s="9" t="s">
        <v>327</v>
      </c>
      <c r="B3447" s="9" t="s">
        <v>326</v>
      </c>
      <c r="C3447" s="10">
        <v>43804</v>
      </c>
      <c r="D3447" s="15">
        <v>1.0659</v>
      </c>
      <c r="E3447" s="15">
        <v>1.1009</v>
      </c>
      <c r="F3447" s="15">
        <v>1.1032</v>
      </c>
      <c r="G3447" s="11">
        <v>0.0021</v>
      </c>
      <c r="H3447" s="9">
        <f>MAX($F$3239:F3447)</f>
        <v>1.1032</v>
      </c>
      <c r="I3447" s="11">
        <f t="shared" si="83"/>
        <v>0</v>
      </c>
      <c r="J3447" s="9"/>
      <c r="K3447" s="11"/>
      <c r="L3447" s="9"/>
      <c r="M3447" s="11"/>
      <c r="N3447" s="9" t="s">
        <v>809</v>
      </c>
    </row>
    <row r="3448" ht="25" customHeight="1" spans="1:14">
      <c r="A3448" s="9" t="s">
        <v>327</v>
      </c>
      <c r="B3448" s="9" t="s">
        <v>326</v>
      </c>
      <c r="C3448" s="10">
        <v>43805</v>
      </c>
      <c r="D3448" s="15">
        <v>1.0659</v>
      </c>
      <c r="E3448" s="15">
        <v>1.1009</v>
      </c>
      <c r="F3448" s="15">
        <v>1.1032</v>
      </c>
      <c r="G3448" s="11">
        <v>0</v>
      </c>
      <c r="H3448" s="9">
        <f>MAX($F$3239:F3448)</f>
        <v>1.1032</v>
      </c>
      <c r="I3448" s="11">
        <f t="shared" si="83"/>
        <v>0</v>
      </c>
      <c r="J3448" s="9"/>
      <c r="K3448" s="11"/>
      <c r="L3448" s="9"/>
      <c r="M3448" s="11"/>
      <c r="N3448" s="9" t="s">
        <v>809</v>
      </c>
    </row>
    <row r="3449" ht="25" customHeight="1" spans="1:14">
      <c r="A3449" s="9" t="s">
        <v>327</v>
      </c>
      <c r="B3449" s="9" t="s">
        <v>326</v>
      </c>
      <c r="C3449" s="10">
        <v>43808</v>
      </c>
      <c r="D3449" s="15">
        <v>1.0658</v>
      </c>
      <c r="E3449" s="15">
        <v>1.1008</v>
      </c>
      <c r="F3449" s="15">
        <v>1.1031</v>
      </c>
      <c r="G3449" s="11">
        <v>-0.0001</v>
      </c>
      <c r="H3449" s="9">
        <f>MAX($F$3239:F3449)</f>
        <v>1.1032</v>
      </c>
      <c r="I3449" s="11">
        <f t="shared" si="83"/>
        <v>9.06453952138619e-5</v>
      </c>
      <c r="J3449" s="9"/>
      <c r="K3449" s="11"/>
      <c r="L3449" s="9"/>
      <c r="M3449" s="11"/>
      <c r="N3449" s="9" t="s">
        <v>809</v>
      </c>
    </row>
    <row r="3450" ht="25" customHeight="1" spans="1:14">
      <c r="A3450" s="9" t="s">
        <v>327</v>
      </c>
      <c r="B3450" s="9" t="s">
        <v>326</v>
      </c>
      <c r="C3450" s="10">
        <v>43809</v>
      </c>
      <c r="D3450" s="15">
        <v>1.0659</v>
      </c>
      <c r="E3450" s="15">
        <v>1.1009</v>
      </c>
      <c r="F3450" s="15">
        <v>1.1032</v>
      </c>
      <c r="G3450" s="11">
        <v>0.0001</v>
      </c>
      <c r="H3450" s="9">
        <f>MAX($F$3239:F3450)</f>
        <v>1.1032</v>
      </c>
      <c r="I3450" s="11">
        <f t="shared" si="83"/>
        <v>0</v>
      </c>
      <c r="J3450" s="9"/>
      <c r="K3450" s="11"/>
      <c r="L3450" s="9"/>
      <c r="M3450" s="11"/>
      <c r="N3450" s="9" t="s">
        <v>809</v>
      </c>
    </row>
    <row r="3451" ht="25" customHeight="1" spans="1:14">
      <c r="A3451" s="9" t="s">
        <v>327</v>
      </c>
      <c r="B3451" s="9" t="s">
        <v>326</v>
      </c>
      <c r="C3451" s="10">
        <v>43810</v>
      </c>
      <c r="D3451" s="15">
        <v>1.0658</v>
      </c>
      <c r="E3451" s="15">
        <v>1.1008</v>
      </c>
      <c r="F3451" s="15">
        <v>1.1031</v>
      </c>
      <c r="G3451" s="11">
        <v>-0.0001</v>
      </c>
      <c r="H3451" s="9">
        <f>MAX($F$3239:F3451)</f>
        <v>1.1032</v>
      </c>
      <c r="I3451" s="11">
        <f t="shared" si="83"/>
        <v>9.06453952138619e-5</v>
      </c>
      <c r="J3451" s="9"/>
      <c r="K3451" s="11"/>
      <c r="L3451" s="9"/>
      <c r="M3451" s="11"/>
      <c r="N3451" s="9" t="s">
        <v>809</v>
      </c>
    </row>
    <row r="3452" ht="25" customHeight="1" spans="1:14">
      <c r="A3452" s="9" t="s">
        <v>327</v>
      </c>
      <c r="B3452" s="9" t="s">
        <v>326</v>
      </c>
      <c r="C3452" s="10">
        <v>43811</v>
      </c>
      <c r="D3452" s="15">
        <v>1.0662</v>
      </c>
      <c r="E3452" s="15">
        <v>1.1012</v>
      </c>
      <c r="F3452" s="15">
        <v>1.1035</v>
      </c>
      <c r="G3452" s="11">
        <v>0.0004</v>
      </c>
      <c r="H3452" s="9">
        <f>MAX($F$3239:F3452)</f>
        <v>1.1035</v>
      </c>
      <c r="I3452" s="11">
        <f t="shared" si="83"/>
        <v>0</v>
      </c>
      <c r="J3452" s="9"/>
      <c r="K3452" s="11"/>
      <c r="L3452" s="9"/>
      <c r="M3452" s="11"/>
      <c r="N3452" s="9" t="s">
        <v>809</v>
      </c>
    </row>
    <row r="3453" ht="25" customHeight="1" spans="1:14">
      <c r="A3453" s="9" t="s">
        <v>327</v>
      </c>
      <c r="B3453" s="9" t="s">
        <v>326</v>
      </c>
      <c r="C3453" s="10">
        <v>43812</v>
      </c>
      <c r="D3453" s="15">
        <v>1.0665</v>
      </c>
      <c r="E3453" s="15">
        <v>1.1015</v>
      </c>
      <c r="F3453" s="15">
        <v>1.1038</v>
      </c>
      <c r="G3453" s="11">
        <v>0.0003</v>
      </c>
      <c r="H3453" s="9">
        <f>MAX($F$3239:F3453)</f>
        <v>1.1038</v>
      </c>
      <c r="I3453" s="11">
        <f t="shared" si="83"/>
        <v>0</v>
      </c>
      <c r="J3453" s="9"/>
      <c r="K3453" s="11"/>
      <c r="L3453" s="9"/>
      <c r="M3453" s="11"/>
      <c r="N3453" s="9" t="s">
        <v>809</v>
      </c>
    </row>
    <row r="3454" ht="25" customHeight="1" spans="1:14">
      <c r="A3454" s="9" t="s">
        <v>327</v>
      </c>
      <c r="B3454" s="9" t="s">
        <v>326</v>
      </c>
      <c r="C3454" s="10">
        <v>43815</v>
      </c>
      <c r="D3454" s="15">
        <v>1.0669</v>
      </c>
      <c r="E3454" s="15">
        <v>1.1019</v>
      </c>
      <c r="F3454" s="15">
        <v>1.1042</v>
      </c>
      <c r="G3454" s="11">
        <v>0.0004</v>
      </c>
      <c r="H3454" s="9">
        <f>MAX($F$3239:F3454)</f>
        <v>1.1042</v>
      </c>
      <c r="I3454" s="11">
        <f t="shared" si="83"/>
        <v>0</v>
      </c>
      <c r="J3454" s="9"/>
      <c r="K3454" s="11"/>
      <c r="L3454" s="9"/>
      <c r="M3454" s="11"/>
      <c r="N3454" s="9" t="s">
        <v>809</v>
      </c>
    </row>
    <row r="3455" ht="25" customHeight="1" spans="1:14">
      <c r="A3455" s="9" t="s">
        <v>327</v>
      </c>
      <c r="B3455" s="9" t="s">
        <v>326</v>
      </c>
      <c r="C3455" s="10">
        <v>43816</v>
      </c>
      <c r="D3455" s="15">
        <v>1.0668</v>
      </c>
      <c r="E3455" s="15">
        <v>1.1018</v>
      </c>
      <c r="F3455" s="15">
        <v>1.1041</v>
      </c>
      <c r="G3455" s="11">
        <v>-0.0001</v>
      </c>
      <c r="H3455" s="9">
        <f>MAX($F$3239:F3455)</f>
        <v>1.1042</v>
      </c>
      <c r="I3455" s="11">
        <f t="shared" si="83"/>
        <v>9.0563303749347e-5</v>
      </c>
      <c r="J3455" s="9"/>
      <c r="K3455" s="11"/>
      <c r="L3455" s="9"/>
      <c r="M3455" s="11"/>
      <c r="N3455" s="9" t="s">
        <v>809</v>
      </c>
    </row>
    <row r="3456" ht="25" customHeight="1" spans="1:14">
      <c r="A3456" s="9" t="s">
        <v>327</v>
      </c>
      <c r="B3456" s="9" t="s">
        <v>326</v>
      </c>
      <c r="C3456" s="10">
        <v>43817</v>
      </c>
      <c r="D3456" s="15">
        <v>1.0673</v>
      </c>
      <c r="E3456" s="15">
        <v>1.1023</v>
      </c>
      <c r="F3456" s="15">
        <v>1.1046</v>
      </c>
      <c r="G3456" s="11">
        <v>0.0005</v>
      </c>
      <c r="H3456" s="9">
        <f>MAX($F$3239:F3456)</f>
        <v>1.1046</v>
      </c>
      <c r="I3456" s="11">
        <f t="shared" si="83"/>
        <v>0</v>
      </c>
      <c r="J3456" s="9"/>
      <c r="K3456" s="11"/>
      <c r="L3456" s="9"/>
      <c r="M3456" s="11"/>
      <c r="N3456" s="9" t="s">
        <v>809</v>
      </c>
    </row>
    <row r="3457" ht="25" customHeight="1" spans="1:14">
      <c r="A3457" s="9" t="s">
        <v>327</v>
      </c>
      <c r="B3457" s="9" t="s">
        <v>326</v>
      </c>
      <c r="C3457" s="10">
        <v>43818</v>
      </c>
      <c r="D3457" s="15">
        <v>1.0673</v>
      </c>
      <c r="E3457" s="15">
        <v>1.1023</v>
      </c>
      <c r="F3457" s="15">
        <v>1.1046</v>
      </c>
      <c r="G3457" s="11">
        <v>0</v>
      </c>
      <c r="H3457" s="9">
        <f>MAX($F$3239:F3457)</f>
        <v>1.1046</v>
      </c>
      <c r="I3457" s="11">
        <f t="shared" si="83"/>
        <v>0</v>
      </c>
      <c r="J3457" s="9"/>
      <c r="K3457" s="11"/>
      <c r="L3457" s="9"/>
      <c r="M3457" s="11"/>
      <c r="N3457" s="9" t="s">
        <v>809</v>
      </c>
    </row>
    <row r="3458" ht="25" customHeight="1" spans="1:14">
      <c r="A3458" s="9" t="s">
        <v>327</v>
      </c>
      <c r="B3458" s="9" t="s">
        <v>326</v>
      </c>
      <c r="C3458" s="10">
        <v>43819</v>
      </c>
      <c r="D3458" s="15">
        <v>1</v>
      </c>
      <c r="E3458" s="15">
        <v>1.1024</v>
      </c>
      <c r="F3458" s="15">
        <v>1.1047</v>
      </c>
      <c r="G3458" s="11">
        <v>0.0001</v>
      </c>
      <c r="H3458" s="9">
        <f>MAX($F$3239:F3458)</f>
        <v>1.1047</v>
      </c>
      <c r="I3458" s="11">
        <f t="shared" ref="I3458:I3521" si="84">1-F3458/H3458</f>
        <v>0</v>
      </c>
      <c r="J3458" s="9"/>
      <c r="K3458" s="11"/>
      <c r="L3458" s="9"/>
      <c r="M3458" s="11"/>
      <c r="N3458" s="9" t="s">
        <v>809</v>
      </c>
    </row>
    <row r="3459" ht="25" customHeight="1" spans="1:14">
      <c r="A3459" s="9" t="s">
        <v>327</v>
      </c>
      <c r="B3459" s="9" t="s">
        <v>326</v>
      </c>
      <c r="C3459" s="10">
        <v>43822</v>
      </c>
      <c r="D3459" s="15">
        <v>1.0007</v>
      </c>
      <c r="E3459" s="15">
        <v>1.1031</v>
      </c>
      <c r="F3459" s="15">
        <v>1.1055</v>
      </c>
      <c r="G3459" s="11">
        <v>0.0007</v>
      </c>
      <c r="H3459" s="9">
        <f>MAX($F$3239:F3459)</f>
        <v>1.1055</v>
      </c>
      <c r="I3459" s="11">
        <f t="shared" si="84"/>
        <v>0</v>
      </c>
      <c r="J3459" s="9"/>
      <c r="K3459" s="11"/>
      <c r="L3459" s="9"/>
      <c r="M3459" s="11"/>
      <c r="N3459" s="9" t="s">
        <v>809</v>
      </c>
    </row>
    <row r="3460" ht="25" customHeight="1" spans="1:14">
      <c r="A3460" s="9" t="s">
        <v>327</v>
      </c>
      <c r="B3460" s="9" t="s">
        <v>326</v>
      </c>
      <c r="C3460" s="10">
        <v>43823</v>
      </c>
      <c r="D3460" s="15">
        <v>1.0011</v>
      </c>
      <c r="E3460" s="15">
        <v>1.1035</v>
      </c>
      <c r="F3460" s="15">
        <v>1.1059</v>
      </c>
      <c r="G3460" s="11">
        <v>0.0004</v>
      </c>
      <c r="H3460" s="9">
        <f>MAX($F$3239:F3460)</f>
        <v>1.1059</v>
      </c>
      <c r="I3460" s="11">
        <f t="shared" si="84"/>
        <v>0</v>
      </c>
      <c r="J3460" s="9"/>
      <c r="K3460" s="11"/>
      <c r="L3460" s="9"/>
      <c r="M3460" s="11"/>
      <c r="N3460" s="9" t="s">
        <v>809</v>
      </c>
    </row>
    <row r="3461" ht="25" customHeight="1" spans="1:14">
      <c r="A3461" s="9" t="s">
        <v>327</v>
      </c>
      <c r="B3461" s="9" t="s">
        <v>326</v>
      </c>
      <c r="C3461" s="10">
        <v>43824</v>
      </c>
      <c r="D3461" s="15">
        <v>1.001</v>
      </c>
      <c r="E3461" s="15">
        <v>1.1034</v>
      </c>
      <c r="F3461" s="15">
        <v>1.1058</v>
      </c>
      <c r="G3461" s="11">
        <v>-0.0001</v>
      </c>
      <c r="H3461" s="9">
        <f>MAX($F$3239:F3461)</f>
        <v>1.1059</v>
      </c>
      <c r="I3461" s="11">
        <f t="shared" si="84"/>
        <v>9.04240889775254e-5</v>
      </c>
      <c r="J3461" s="9"/>
      <c r="K3461" s="11"/>
      <c r="L3461" s="9"/>
      <c r="M3461" s="11"/>
      <c r="N3461" s="9" t="s">
        <v>809</v>
      </c>
    </row>
    <row r="3462" ht="25" customHeight="1" spans="1:14">
      <c r="A3462" s="9" t="s">
        <v>327</v>
      </c>
      <c r="B3462" s="9" t="s">
        <v>326</v>
      </c>
      <c r="C3462" s="10">
        <v>43825</v>
      </c>
      <c r="D3462" s="15">
        <v>1.0009</v>
      </c>
      <c r="E3462" s="15">
        <v>1.1033</v>
      </c>
      <c r="F3462" s="15">
        <v>1.1057</v>
      </c>
      <c r="G3462" s="11">
        <v>-0.0001</v>
      </c>
      <c r="H3462" s="9">
        <f>MAX($F$3239:F3462)</f>
        <v>1.1059</v>
      </c>
      <c r="I3462" s="11">
        <f t="shared" si="84"/>
        <v>0.000180848177954829</v>
      </c>
      <c r="J3462" s="9"/>
      <c r="K3462" s="11"/>
      <c r="L3462" s="9"/>
      <c r="M3462" s="11"/>
      <c r="N3462" s="9" t="s">
        <v>809</v>
      </c>
    </row>
    <row r="3463" ht="25" customHeight="1" spans="1:14">
      <c r="A3463" s="9" t="s">
        <v>327</v>
      </c>
      <c r="B3463" s="9" t="s">
        <v>326</v>
      </c>
      <c r="C3463" s="10">
        <v>43826</v>
      </c>
      <c r="D3463" s="15">
        <v>1.0017</v>
      </c>
      <c r="E3463" s="15">
        <v>1.1041</v>
      </c>
      <c r="F3463" s="15">
        <v>1.1066</v>
      </c>
      <c r="G3463" s="11">
        <v>0.0008</v>
      </c>
      <c r="H3463" s="9">
        <f>MAX($F$3239:F3463)</f>
        <v>1.1066</v>
      </c>
      <c r="I3463" s="11">
        <f t="shared" si="84"/>
        <v>0</v>
      </c>
      <c r="J3463" s="9"/>
      <c r="K3463" s="11"/>
      <c r="L3463" s="9"/>
      <c r="M3463" s="11"/>
      <c r="N3463" s="9" t="s">
        <v>809</v>
      </c>
    </row>
    <row r="3464" ht="25" customHeight="1" spans="1:14">
      <c r="A3464" s="9" t="s">
        <v>327</v>
      </c>
      <c r="B3464" s="9" t="s">
        <v>326</v>
      </c>
      <c r="C3464" s="10">
        <v>43829</v>
      </c>
      <c r="D3464" s="15">
        <v>1.0025</v>
      </c>
      <c r="E3464" s="15">
        <v>1.1049</v>
      </c>
      <c r="F3464" s="15">
        <v>1.1075</v>
      </c>
      <c r="G3464" s="11">
        <v>0.0008</v>
      </c>
      <c r="H3464" s="9">
        <f>MAX($F$3239:F3464)</f>
        <v>1.1075</v>
      </c>
      <c r="I3464" s="11">
        <f t="shared" si="84"/>
        <v>0</v>
      </c>
      <c r="J3464" s="9"/>
      <c r="K3464" s="11"/>
      <c r="L3464" s="9"/>
      <c r="M3464" s="11"/>
      <c r="N3464" s="9" t="s">
        <v>809</v>
      </c>
    </row>
    <row r="3465" ht="25" customHeight="1" spans="1:14">
      <c r="A3465" s="9" t="s">
        <v>327</v>
      </c>
      <c r="B3465" s="9" t="s">
        <v>326</v>
      </c>
      <c r="C3465" s="10">
        <v>43830</v>
      </c>
      <c r="D3465" s="15">
        <v>1.0021</v>
      </c>
      <c r="E3465" s="15">
        <v>1.1045</v>
      </c>
      <c r="F3465" s="15">
        <v>1.107</v>
      </c>
      <c r="G3465" s="11">
        <v>-0.0004</v>
      </c>
      <c r="H3465" s="9">
        <f>MAX($F$3239:F3465)</f>
        <v>1.1075</v>
      </c>
      <c r="I3465" s="11">
        <f t="shared" si="84"/>
        <v>0.000451467268622996</v>
      </c>
      <c r="J3465" s="9"/>
      <c r="K3465" s="11"/>
      <c r="L3465" s="9"/>
      <c r="M3465" s="11"/>
      <c r="N3465" s="9" t="s">
        <v>809</v>
      </c>
    </row>
    <row r="3466" ht="25" customHeight="1" spans="1:14">
      <c r="A3466" s="9" t="s">
        <v>327</v>
      </c>
      <c r="B3466" s="9" t="s">
        <v>326</v>
      </c>
      <c r="C3466" s="10">
        <v>43832</v>
      </c>
      <c r="D3466" s="15">
        <v>1.0035</v>
      </c>
      <c r="E3466" s="15">
        <v>1.1059</v>
      </c>
      <c r="F3466" s="15">
        <v>1.1086</v>
      </c>
      <c r="G3466" s="11">
        <v>0.0014</v>
      </c>
      <c r="H3466" s="9">
        <f>MAX($F$3239:F3466)</f>
        <v>1.1086</v>
      </c>
      <c r="I3466" s="11">
        <f t="shared" si="84"/>
        <v>0</v>
      </c>
      <c r="J3466" s="9"/>
      <c r="K3466" s="11"/>
      <c r="L3466" s="9"/>
      <c r="M3466" s="11"/>
      <c r="N3466" s="9" t="s">
        <v>809</v>
      </c>
    </row>
    <row r="3467" ht="25" customHeight="1" spans="1:14">
      <c r="A3467" s="9" t="s">
        <v>327</v>
      </c>
      <c r="B3467" s="9" t="s">
        <v>326</v>
      </c>
      <c r="C3467" s="10">
        <v>43833</v>
      </c>
      <c r="D3467" s="15">
        <v>1.0037</v>
      </c>
      <c r="E3467" s="15">
        <v>1.1061</v>
      </c>
      <c r="F3467" s="15">
        <v>1.1088</v>
      </c>
      <c r="G3467" s="11">
        <v>0.0002</v>
      </c>
      <c r="H3467" s="9">
        <f>MAX($F$3239:F3467)</f>
        <v>1.1088</v>
      </c>
      <c r="I3467" s="11">
        <f t="shared" si="84"/>
        <v>0</v>
      </c>
      <c r="J3467" s="9"/>
      <c r="K3467" s="11"/>
      <c r="L3467" s="9"/>
      <c r="M3467" s="11"/>
      <c r="N3467" s="9" t="s">
        <v>809</v>
      </c>
    </row>
    <row r="3468" ht="25" customHeight="1" spans="1:14">
      <c r="A3468" s="9" t="s">
        <v>327</v>
      </c>
      <c r="B3468" s="9" t="s">
        <v>326</v>
      </c>
      <c r="C3468" s="10">
        <v>43836</v>
      </c>
      <c r="D3468" s="15">
        <v>1.0039</v>
      </c>
      <c r="E3468" s="15">
        <v>1.1063</v>
      </c>
      <c r="F3468" s="15">
        <v>1.109</v>
      </c>
      <c r="G3468" s="11">
        <v>0.0002</v>
      </c>
      <c r="H3468" s="9">
        <f>MAX($F$3239:F3468)</f>
        <v>1.109</v>
      </c>
      <c r="I3468" s="11">
        <f t="shared" si="84"/>
        <v>0</v>
      </c>
      <c r="J3468" s="9"/>
      <c r="K3468" s="11"/>
      <c r="L3468" s="9"/>
      <c r="M3468" s="11"/>
      <c r="N3468" s="9" t="s">
        <v>809</v>
      </c>
    </row>
    <row r="3469" ht="25" customHeight="1" spans="1:14">
      <c r="A3469" s="9" t="s">
        <v>327</v>
      </c>
      <c r="B3469" s="9" t="s">
        <v>326</v>
      </c>
      <c r="C3469" s="10">
        <v>43837</v>
      </c>
      <c r="D3469" s="15">
        <v>1.0112</v>
      </c>
      <c r="E3469" s="15">
        <v>1.1136</v>
      </c>
      <c r="F3469" s="15">
        <v>1.1171</v>
      </c>
      <c r="G3469" s="11">
        <v>0.0073</v>
      </c>
      <c r="H3469" s="9">
        <f>MAX($F$3239:F3469)</f>
        <v>1.1171</v>
      </c>
      <c r="I3469" s="11">
        <f t="shared" si="84"/>
        <v>0</v>
      </c>
      <c r="J3469" s="9"/>
      <c r="K3469" s="11"/>
      <c r="L3469" s="9"/>
      <c r="M3469" s="11"/>
      <c r="N3469" s="9" t="s">
        <v>809</v>
      </c>
    </row>
    <row r="3470" ht="25" customHeight="1" spans="1:14">
      <c r="A3470" s="9" t="s">
        <v>327</v>
      </c>
      <c r="B3470" s="9" t="s">
        <v>326</v>
      </c>
      <c r="C3470" s="10">
        <v>43838</v>
      </c>
      <c r="D3470" s="15">
        <v>1.0131</v>
      </c>
      <c r="E3470" s="15">
        <v>1.1155</v>
      </c>
      <c r="F3470" s="15">
        <v>1.1192</v>
      </c>
      <c r="G3470" s="11">
        <v>0.0019</v>
      </c>
      <c r="H3470" s="9">
        <f>MAX($F$3239:F3470)</f>
        <v>1.1192</v>
      </c>
      <c r="I3470" s="11">
        <f t="shared" si="84"/>
        <v>0</v>
      </c>
      <c r="J3470" s="9"/>
      <c r="K3470" s="11"/>
      <c r="L3470" s="9"/>
      <c r="M3470" s="11"/>
      <c r="N3470" s="9" t="s">
        <v>809</v>
      </c>
    </row>
    <row r="3471" ht="25" customHeight="1" spans="1:14">
      <c r="A3471" s="9" t="s">
        <v>327</v>
      </c>
      <c r="B3471" s="9" t="s">
        <v>326</v>
      </c>
      <c r="C3471" s="10">
        <v>43839</v>
      </c>
      <c r="D3471" s="15">
        <v>1.0135</v>
      </c>
      <c r="E3471" s="15">
        <v>1.1159</v>
      </c>
      <c r="F3471" s="15">
        <v>1.1196</v>
      </c>
      <c r="G3471" s="11">
        <v>0.0004</v>
      </c>
      <c r="H3471" s="9">
        <f>MAX($F$3239:F3471)</f>
        <v>1.1196</v>
      </c>
      <c r="I3471" s="11">
        <f t="shared" si="84"/>
        <v>0</v>
      </c>
      <c r="J3471" s="9"/>
      <c r="K3471" s="11"/>
      <c r="L3471" s="9"/>
      <c r="M3471" s="11"/>
      <c r="N3471" s="9" t="s">
        <v>809</v>
      </c>
    </row>
    <row r="3472" ht="25" customHeight="1" spans="1:14">
      <c r="A3472" s="9" t="s">
        <v>327</v>
      </c>
      <c r="B3472" s="9" t="s">
        <v>326</v>
      </c>
      <c r="C3472" s="10">
        <v>43840</v>
      </c>
      <c r="D3472" s="15">
        <v>1.0142</v>
      </c>
      <c r="E3472" s="15">
        <v>1.1166</v>
      </c>
      <c r="F3472" s="15">
        <v>1.1204</v>
      </c>
      <c r="G3472" s="11">
        <v>0.0007</v>
      </c>
      <c r="H3472" s="9">
        <f>MAX($F$3239:F3472)</f>
        <v>1.1204</v>
      </c>
      <c r="I3472" s="11">
        <f t="shared" si="84"/>
        <v>0</v>
      </c>
      <c r="J3472" s="9"/>
      <c r="K3472" s="11"/>
      <c r="L3472" s="9"/>
      <c r="M3472" s="11"/>
      <c r="N3472" s="9" t="s">
        <v>809</v>
      </c>
    </row>
    <row r="3473" ht="25" customHeight="1" spans="1:14">
      <c r="A3473" s="9" t="s">
        <v>327</v>
      </c>
      <c r="B3473" s="9" t="s">
        <v>326</v>
      </c>
      <c r="C3473" s="10">
        <v>43843</v>
      </c>
      <c r="D3473" s="15">
        <v>1.0137</v>
      </c>
      <c r="E3473" s="15">
        <v>1.1161</v>
      </c>
      <c r="F3473" s="15">
        <v>1.1199</v>
      </c>
      <c r="G3473" s="11">
        <v>-0.0005</v>
      </c>
      <c r="H3473" s="9">
        <f>MAX($F$3239:F3473)</f>
        <v>1.1204</v>
      </c>
      <c r="I3473" s="11">
        <f t="shared" si="84"/>
        <v>0.000446269189575355</v>
      </c>
      <c r="J3473" s="9"/>
      <c r="K3473" s="11"/>
      <c r="L3473" s="9"/>
      <c r="M3473" s="11"/>
      <c r="N3473" s="9" t="s">
        <v>809</v>
      </c>
    </row>
    <row r="3474" ht="25" customHeight="1" spans="1:14">
      <c r="A3474" s="9" t="s">
        <v>327</v>
      </c>
      <c r="B3474" s="9" t="s">
        <v>326</v>
      </c>
      <c r="C3474" s="10">
        <v>43844</v>
      </c>
      <c r="D3474" s="15">
        <v>1.0135</v>
      </c>
      <c r="E3474" s="15">
        <v>1.1159</v>
      </c>
      <c r="F3474" s="15">
        <v>1.1196</v>
      </c>
      <c r="G3474" s="11">
        <v>-0.0002</v>
      </c>
      <c r="H3474" s="9">
        <f>MAX($F$3239:F3474)</f>
        <v>1.1204</v>
      </c>
      <c r="I3474" s="11">
        <f t="shared" si="84"/>
        <v>0.000714030703320323</v>
      </c>
      <c r="J3474" s="9"/>
      <c r="K3474" s="11"/>
      <c r="L3474" s="9"/>
      <c r="M3474" s="11"/>
      <c r="N3474" s="9" t="s">
        <v>809</v>
      </c>
    </row>
    <row r="3475" ht="25" customHeight="1" spans="1:14">
      <c r="A3475" s="9" t="s">
        <v>327</v>
      </c>
      <c r="B3475" s="9" t="s">
        <v>326</v>
      </c>
      <c r="C3475" s="10">
        <v>43845</v>
      </c>
      <c r="D3475" s="15">
        <v>1.0139</v>
      </c>
      <c r="E3475" s="15">
        <v>1.1163</v>
      </c>
      <c r="F3475" s="15">
        <v>1.1201</v>
      </c>
      <c r="G3475" s="11">
        <v>0.0004</v>
      </c>
      <c r="H3475" s="9">
        <f>MAX($F$3239:F3475)</f>
        <v>1.1204</v>
      </c>
      <c r="I3475" s="11">
        <f t="shared" si="84"/>
        <v>0.00026776151374508</v>
      </c>
      <c r="J3475" s="9"/>
      <c r="K3475" s="11"/>
      <c r="L3475" s="9"/>
      <c r="M3475" s="11"/>
      <c r="N3475" s="9" t="s">
        <v>809</v>
      </c>
    </row>
    <row r="3476" ht="25" customHeight="1" spans="1:14">
      <c r="A3476" s="9" t="s">
        <v>327</v>
      </c>
      <c r="B3476" s="9" t="s">
        <v>326</v>
      </c>
      <c r="C3476" s="10">
        <v>43846</v>
      </c>
      <c r="D3476" s="15">
        <v>1.0136</v>
      </c>
      <c r="E3476" s="15">
        <v>1.116</v>
      </c>
      <c r="F3476" s="15">
        <v>1.1197</v>
      </c>
      <c r="G3476" s="11">
        <v>-0.0003</v>
      </c>
      <c r="H3476" s="9">
        <f>MAX($F$3239:F3476)</f>
        <v>1.1204</v>
      </c>
      <c r="I3476" s="11">
        <f t="shared" si="84"/>
        <v>0.000624776865405297</v>
      </c>
      <c r="J3476" s="9"/>
      <c r="K3476" s="11"/>
      <c r="L3476" s="9"/>
      <c r="M3476" s="11"/>
      <c r="N3476" s="9" t="s">
        <v>809</v>
      </c>
    </row>
    <row r="3477" ht="25" customHeight="1" spans="1:14">
      <c r="A3477" s="9" t="s">
        <v>327</v>
      </c>
      <c r="B3477" s="9" t="s">
        <v>326</v>
      </c>
      <c r="C3477" s="10">
        <v>43847</v>
      </c>
      <c r="D3477" s="15">
        <v>1.0142</v>
      </c>
      <c r="E3477" s="15">
        <v>1.1166</v>
      </c>
      <c r="F3477" s="15">
        <v>1.1204</v>
      </c>
      <c r="G3477" s="11">
        <v>0.0006</v>
      </c>
      <c r="H3477" s="9">
        <f>MAX($F$3239:F3477)</f>
        <v>1.1204</v>
      </c>
      <c r="I3477" s="11">
        <f t="shared" si="84"/>
        <v>0</v>
      </c>
      <c r="J3477" s="9"/>
      <c r="K3477" s="11"/>
      <c r="L3477" s="9"/>
      <c r="M3477" s="11"/>
      <c r="N3477" s="9" t="s">
        <v>809</v>
      </c>
    </row>
    <row r="3478" ht="25" customHeight="1" spans="1:14">
      <c r="A3478" s="9" t="s">
        <v>327</v>
      </c>
      <c r="B3478" s="9" t="s">
        <v>326</v>
      </c>
      <c r="C3478" s="10">
        <v>43850</v>
      </c>
      <c r="D3478" s="15">
        <v>1.0143</v>
      </c>
      <c r="E3478" s="15">
        <v>1.1167</v>
      </c>
      <c r="F3478" s="15">
        <v>1.1205</v>
      </c>
      <c r="G3478" s="11">
        <v>0.0001</v>
      </c>
      <c r="H3478" s="9">
        <f>MAX($F$3239:F3478)</f>
        <v>1.1205</v>
      </c>
      <c r="I3478" s="11">
        <f t="shared" si="84"/>
        <v>0</v>
      </c>
      <c r="J3478" s="9"/>
      <c r="K3478" s="11"/>
      <c r="L3478" s="9"/>
      <c r="M3478" s="11"/>
      <c r="N3478" s="9" t="s">
        <v>809</v>
      </c>
    </row>
    <row r="3479" ht="25" customHeight="1" spans="1:14">
      <c r="A3479" s="9" t="s">
        <v>327</v>
      </c>
      <c r="B3479" s="9" t="s">
        <v>326</v>
      </c>
      <c r="C3479" s="10">
        <v>43851</v>
      </c>
      <c r="D3479" s="15">
        <v>1.0142</v>
      </c>
      <c r="E3479" s="15">
        <v>1.1166</v>
      </c>
      <c r="F3479" s="15">
        <v>1.1204</v>
      </c>
      <c r="G3479" s="11">
        <v>-0.0001</v>
      </c>
      <c r="H3479" s="9">
        <f>MAX($F$3239:F3479)</f>
        <v>1.1205</v>
      </c>
      <c r="I3479" s="11">
        <f t="shared" si="84"/>
        <v>8.92458723783518e-5</v>
      </c>
      <c r="J3479" s="9"/>
      <c r="K3479" s="11"/>
      <c r="L3479" s="9"/>
      <c r="M3479" s="11"/>
      <c r="N3479" s="9" t="s">
        <v>809</v>
      </c>
    </row>
    <row r="3480" ht="25" customHeight="1" spans="1:14">
      <c r="A3480" s="9" t="s">
        <v>327</v>
      </c>
      <c r="B3480" s="9" t="s">
        <v>326</v>
      </c>
      <c r="C3480" s="10">
        <v>43852</v>
      </c>
      <c r="D3480" s="15">
        <v>1.0158</v>
      </c>
      <c r="E3480" s="15">
        <v>1.1182</v>
      </c>
      <c r="F3480" s="15">
        <v>1.1222</v>
      </c>
      <c r="G3480" s="11">
        <v>0.0016</v>
      </c>
      <c r="H3480" s="9">
        <f>MAX($F$3239:F3480)</f>
        <v>1.1222</v>
      </c>
      <c r="I3480" s="11">
        <f t="shared" si="84"/>
        <v>0</v>
      </c>
      <c r="J3480" s="9"/>
      <c r="K3480" s="11"/>
      <c r="L3480" s="9"/>
      <c r="M3480" s="11"/>
      <c r="N3480" s="9" t="s">
        <v>809</v>
      </c>
    </row>
    <row r="3481" ht="25" customHeight="1" spans="1:14">
      <c r="A3481" s="9" t="s">
        <v>327</v>
      </c>
      <c r="B3481" s="9" t="s">
        <v>326</v>
      </c>
      <c r="C3481" s="10">
        <v>43853</v>
      </c>
      <c r="D3481" s="15">
        <v>1.018</v>
      </c>
      <c r="E3481" s="15">
        <v>1.1204</v>
      </c>
      <c r="F3481" s="15">
        <v>1.1246</v>
      </c>
      <c r="G3481" s="11">
        <v>0.0022</v>
      </c>
      <c r="H3481" s="9">
        <f>MAX($F$3239:F3481)</f>
        <v>1.1246</v>
      </c>
      <c r="I3481" s="11">
        <f t="shared" si="84"/>
        <v>0</v>
      </c>
      <c r="J3481" s="9"/>
      <c r="K3481" s="11"/>
      <c r="L3481" s="9"/>
      <c r="M3481" s="11"/>
      <c r="N3481" s="9" t="s">
        <v>809</v>
      </c>
    </row>
    <row r="3482" ht="25" customHeight="1" spans="1:14">
      <c r="A3482" s="9" t="s">
        <v>327</v>
      </c>
      <c r="B3482" s="9" t="s">
        <v>326</v>
      </c>
      <c r="C3482" s="10">
        <v>43864</v>
      </c>
      <c r="D3482" s="15">
        <v>1.0197</v>
      </c>
      <c r="E3482" s="15">
        <v>1.1221</v>
      </c>
      <c r="F3482" s="15">
        <v>1.1265</v>
      </c>
      <c r="G3482" s="11">
        <v>0.0017</v>
      </c>
      <c r="H3482" s="9">
        <f>MAX($F$3239:F3482)</f>
        <v>1.1265</v>
      </c>
      <c r="I3482" s="11">
        <f t="shared" si="84"/>
        <v>0</v>
      </c>
      <c r="J3482" s="9"/>
      <c r="K3482" s="11"/>
      <c r="L3482" s="9"/>
      <c r="M3482" s="11"/>
      <c r="N3482" s="9" t="s">
        <v>809</v>
      </c>
    </row>
    <row r="3483" ht="25" customHeight="1" spans="1:14">
      <c r="A3483" s="9" t="s">
        <v>327</v>
      </c>
      <c r="B3483" s="9" t="s">
        <v>326</v>
      </c>
      <c r="C3483" s="10">
        <v>43865</v>
      </c>
      <c r="D3483" s="15">
        <v>1.0214</v>
      </c>
      <c r="E3483" s="15">
        <v>1.1238</v>
      </c>
      <c r="F3483" s="15">
        <v>1.1284</v>
      </c>
      <c r="G3483" s="11">
        <v>0.0017</v>
      </c>
      <c r="H3483" s="9">
        <f>MAX($F$3239:F3483)</f>
        <v>1.1284</v>
      </c>
      <c r="I3483" s="11">
        <f t="shared" si="84"/>
        <v>0</v>
      </c>
      <c r="J3483" s="9"/>
      <c r="K3483" s="11"/>
      <c r="L3483" s="9"/>
      <c r="M3483" s="11"/>
      <c r="N3483" s="9" t="s">
        <v>809</v>
      </c>
    </row>
    <row r="3484" ht="25" customHeight="1" spans="1:14">
      <c r="A3484" s="9" t="s">
        <v>327</v>
      </c>
      <c r="B3484" s="9" t="s">
        <v>326</v>
      </c>
      <c r="C3484" s="10">
        <v>43866</v>
      </c>
      <c r="D3484" s="15">
        <v>1.0221</v>
      </c>
      <c r="E3484" s="15">
        <v>1.1245</v>
      </c>
      <c r="F3484" s="15">
        <v>1.1291</v>
      </c>
      <c r="G3484" s="11">
        <v>0.0007</v>
      </c>
      <c r="H3484" s="9">
        <f>MAX($F$3239:F3484)</f>
        <v>1.1291</v>
      </c>
      <c r="I3484" s="11">
        <f t="shared" si="84"/>
        <v>0</v>
      </c>
      <c r="J3484" s="9"/>
      <c r="K3484" s="11"/>
      <c r="L3484" s="9"/>
      <c r="M3484" s="11"/>
      <c r="N3484" s="9" t="s">
        <v>809</v>
      </c>
    </row>
    <row r="3485" ht="25" customHeight="1" spans="1:14">
      <c r="A3485" s="9" t="s">
        <v>327</v>
      </c>
      <c r="B3485" s="9" t="s">
        <v>326</v>
      </c>
      <c r="C3485" s="10">
        <v>43867</v>
      </c>
      <c r="D3485" s="15">
        <v>1.0239</v>
      </c>
      <c r="E3485" s="15">
        <v>1.1263</v>
      </c>
      <c r="F3485" s="15">
        <v>1.1311</v>
      </c>
      <c r="G3485" s="11">
        <v>0.0018</v>
      </c>
      <c r="H3485" s="9">
        <f>MAX($F$3239:F3485)</f>
        <v>1.1311</v>
      </c>
      <c r="I3485" s="11">
        <f t="shared" si="84"/>
        <v>0</v>
      </c>
      <c r="J3485" s="9"/>
      <c r="K3485" s="11"/>
      <c r="L3485" s="9"/>
      <c r="M3485" s="11"/>
      <c r="N3485" s="9" t="s">
        <v>809</v>
      </c>
    </row>
    <row r="3486" ht="25" customHeight="1" spans="1:14">
      <c r="A3486" s="9" t="s">
        <v>327</v>
      </c>
      <c r="B3486" s="9" t="s">
        <v>326</v>
      </c>
      <c r="C3486" s="10">
        <v>43868</v>
      </c>
      <c r="D3486" s="15">
        <v>1.0245</v>
      </c>
      <c r="E3486" s="15">
        <v>1.1269</v>
      </c>
      <c r="F3486" s="15">
        <v>1.1318</v>
      </c>
      <c r="G3486" s="11">
        <v>0.0006</v>
      </c>
      <c r="H3486" s="9">
        <f>MAX($F$3239:F3486)</f>
        <v>1.1318</v>
      </c>
      <c r="I3486" s="11">
        <f t="shared" si="84"/>
        <v>0</v>
      </c>
      <c r="J3486" s="9"/>
      <c r="K3486" s="11"/>
      <c r="L3486" s="9"/>
      <c r="M3486" s="11"/>
      <c r="N3486" s="9" t="s">
        <v>809</v>
      </c>
    </row>
    <row r="3487" ht="25" customHeight="1" spans="1:14">
      <c r="A3487" s="9" t="s">
        <v>327</v>
      </c>
      <c r="B3487" s="9" t="s">
        <v>326</v>
      </c>
      <c r="C3487" s="10">
        <v>43871</v>
      </c>
      <c r="D3487" s="15">
        <v>1.0234</v>
      </c>
      <c r="E3487" s="15">
        <v>1.1258</v>
      </c>
      <c r="F3487" s="15">
        <v>1.1306</v>
      </c>
      <c r="G3487" s="11">
        <v>-0.0011</v>
      </c>
      <c r="H3487" s="9">
        <f>MAX($F$3239:F3487)</f>
        <v>1.1318</v>
      </c>
      <c r="I3487" s="11">
        <f t="shared" si="84"/>
        <v>0.00106025799611231</v>
      </c>
      <c r="J3487" s="9"/>
      <c r="K3487" s="11"/>
      <c r="L3487" s="9"/>
      <c r="M3487" s="11"/>
      <c r="N3487" s="9" t="s">
        <v>809</v>
      </c>
    </row>
    <row r="3488" ht="25" customHeight="1" spans="1:14">
      <c r="A3488" s="9" t="s">
        <v>327</v>
      </c>
      <c r="B3488" s="9" t="s">
        <v>326</v>
      </c>
      <c r="C3488" s="10">
        <v>43872</v>
      </c>
      <c r="D3488" s="15">
        <v>1.0231</v>
      </c>
      <c r="E3488" s="15">
        <v>1.1255</v>
      </c>
      <c r="F3488" s="15">
        <v>1.1302</v>
      </c>
      <c r="G3488" s="11">
        <v>-0.0003</v>
      </c>
      <c r="H3488" s="9">
        <f>MAX($F$3239:F3488)</f>
        <v>1.1318</v>
      </c>
      <c r="I3488" s="11">
        <f t="shared" si="84"/>
        <v>0.00141367732814968</v>
      </c>
      <c r="J3488" s="9"/>
      <c r="K3488" s="11"/>
      <c r="L3488" s="9"/>
      <c r="M3488" s="11"/>
      <c r="N3488" s="9" t="s">
        <v>809</v>
      </c>
    </row>
    <row r="3489" ht="25" customHeight="1" spans="1:14">
      <c r="A3489" s="9" t="s">
        <v>327</v>
      </c>
      <c r="B3489" s="9" t="s">
        <v>326</v>
      </c>
      <c r="C3489" s="10">
        <v>43873</v>
      </c>
      <c r="D3489" s="15">
        <v>1.0254</v>
      </c>
      <c r="E3489" s="15">
        <v>1.1278</v>
      </c>
      <c r="F3489" s="15">
        <v>1.1328</v>
      </c>
      <c r="G3489" s="11">
        <v>0.0022</v>
      </c>
      <c r="H3489" s="9">
        <f>MAX($F$3239:F3489)</f>
        <v>1.1328</v>
      </c>
      <c r="I3489" s="11">
        <f t="shared" si="84"/>
        <v>0</v>
      </c>
      <c r="J3489" s="9"/>
      <c r="K3489" s="11"/>
      <c r="L3489" s="9"/>
      <c r="M3489" s="11"/>
      <c r="N3489" s="9" t="s">
        <v>809</v>
      </c>
    </row>
    <row r="3490" ht="25" customHeight="1" spans="1:14">
      <c r="A3490" s="9" t="s">
        <v>327</v>
      </c>
      <c r="B3490" s="9" t="s">
        <v>326</v>
      </c>
      <c r="C3490" s="10">
        <v>43874</v>
      </c>
      <c r="D3490" s="15">
        <v>1.0258</v>
      </c>
      <c r="E3490" s="15">
        <v>1.1282</v>
      </c>
      <c r="F3490" s="15">
        <v>1.1332</v>
      </c>
      <c r="G3490" s="11">
        <v>0.0004</v>
      </c>
      <c r="H3490" s="9">
        <f>MAX($F$3239:F3490)</f>
        <v>1.1332</v>
      </c>
      <c r="I3490" s="11">
        <f t="shared" si="84"/>
        <v>0</v>
      </c>
      <c r="J3490" s="9"/>
      <c r="K3490" s="11"/>
      <c r="L3490" s="9"/>
      <c r="M3490" s="11"/>
      <c r="N3490" s="9" t="s">
        <v>809</v>
      </c>
    </row>
    <row r="3491" ht="25" customHeight="1" spans="1:14">
      <c r="A3491" s="9" t="s">
        <v>327</v>
      </c>
      <c r="B3491" s="9" t="s">
        <v>326</v>
      </c>
      <c r="C3491" s="10">
        <v>43875</v>
      </c>
      <c r="D3491" s="15">
        <v>1.0256</v>
      </c>
      <c r="E3491" s="15">
        <v>1.128</v>
      </c>
      <c r="F3491" s="15">
        <v>1.133</v>
      </c>
      <c r="G3491" s="11">
        <v>-0.0002</v>
      </c>
      <c r="H3491" s="9">
        <f>MAX($F$3239:F3491)</f>
        <v>1.1332</v>
      </c>
      <c r="I3491" s="11">
        <f t="shared" si="84"/>
        <v>0.000176491351923769</v>
      </c>
      <c r="J3491" s="9"/>
      <c r="K3491" s="11"/>
      <c r="L3491" s="9"/>
      <c r="M3491" s="11"/>
      <c r="N3491" s="9" t="s">
        <v>809</v>
      </c>
    </row>
    <row r="3492" ht="25" customHeight="1" spans="1:14">
      <c r="A3492" s="9" t="s">
        <v>327</v>
      </c>
      <c r="B3492" s="9" t="s">
        <v>326</v>
      </c>
      <c r="C3492" s="10">
        <v>43878</v>
      </c>
      <c r="D3492" s="15">
        <v>1.0266</v>
      </c>
      <c r="E3492" s="15">
        <v>1.129</v>
      </c>
      <c r="F3492" s="15">
        <v>1.1341</v>
      </c>
      <c r="G3492" s="11">
        <v>0.001</v>
      </c>
      <c r="H3492" s="9">
        <f>MAX($F$3239:F3492)</f>
        <v>1.1341</v>
      </c>
      <c r="I3492" s="11">
        <f t="shared" si="84"/>
        <v>0</v>
      </c>
      <c r="J3492" s="9"/>
      <c r="K3492" s="11"/>
      <c r="L3492" s="9"/>
      <c r="M3492" s="11"/>
      <c r="N3492" s="9" t="s">
        <v>809</v>
      </c>
    </row>
    <row r="3493" ht="25" customHeight="1" spans="1:14">
      <c r="A3493" s="9" t="s">
        <v>327</v>
      </c>
      <c r="B3493" s="9" t="s">
        <v>326</v>
      </c>
      <c r="C3493" s="10">
        <v>43879</v>
      </c>
      <c r="D3493" s="15">
        <v>1.027</v>
      </c>
      <c r="E3493" s="15">
        <v>1.1294</v>
      </c>
      <c r="F3493" s="15">
        <v>1.1345</v>
      </c>
      <c r="G3493" s="11">
        <v>0.0004</v>
      </c>
      <c r="H3493" s="9">
        <f>MAX($F$3239:F3493)</f>
        <v>1.1345</v>
      </c>
      <c r="I3493" s="11">
        <f t="shared" si="84"/>
        <v>0</v>
      </c>
      <c r="J3493" s="9"/>
      <c r="K3493" s="11"/>
      <c r="L3493" s="9"/>
      <c r="M3493" s="11"/>
      <c r="N3493" s="9" t="s">
        <v>809</v>
      </c>
    </row>
    <row r="3494" ht="25" customHeight="1" spans="1:14">
      <c r="A3494" s="9" t="s">
        <v>327</v>
      </c>
      <c r="B3494" s="9" t="s">
        <v>326</v>
      </c>
      <c r="C3494" s="10">
        <v>43880</v>
      </c>
      <c r="D3494" s="15">
        <v>1.0278</v>
      </c>
      <c r="E3494" s="15">
        <v>1.1302</v>
      </c>
      <c r="F3494" s="15">
        <v>1.1354</v>
      </c>
      <c r="G3494" s="11">
        <v>0.0008</v>
      </c>
      <c r="H3494" s="9">
        <f>MAX($F$3239:F3494)</f>
        <v>1.1354</v>
      </c>
      <c r="I3494" s="11">
        <f t="shared" si="84"/>
        <v>0</v>
      </c>
      <c r="J3494" s="9"/>
      <c r="K3494" s="11"/>
      <c r="L3494" s="9"/>
      <c r="M3494" s="11"/>
      <c r="N3494" s="9" t="s">
        <v>809</v>
      </c>
    </row>
    <row r="3495" ht="25" customHeight="1" spans="1:14">
      <c r="A3495" s="9" t="s">
        <v>327</v>
      </c>
      <c r="B3495" s="9" t="s">
        <v>326</v>
      </c>
      <c r="C3495" s="10">
        <v>43881</v>
      </c>
      <c r="D3495" s="15">
        <v>1.028</v>
      </c>
      <c r="E3495" s="15">
        <v>1.1304</v>
      </c>
      <c r="F3495" s="15">
        <v>1.1357</v>
      </c>
      <c r="G3495" s="11">
        <v>0.0002</v>
      </c>
      <c r="H3495" s="9">
        <f>MAX($F$3239:F3495)</f>
        <v>1.1357</v>
      </c>
      <c r="I3495" s="11">
        <f t="shared" si="84"/>
        <v>0</v>
      </c>
      <c r="J3495" s="9"/>
      <c r="K3495" s="11"/>
      <c r="L3495" s="9"/>
      <c r="M3495" s="11"/>
      <c r="N3495" s="9" t="s">
        <v>809</v>
      </c>
    </row>
    <row r="3496" ht="25" customHeight="1" spans="1:14">
      <c r="A3496" s="9" t="s">
        <v>327</v>
      </c>
      <c r="B3496" s="9" t="s">
        <v>326</v>
      </c>
      <c r="C3496" s="10">
        <v>43882</v>
      </c>
      <c r="D3496" s="15">
        <v>1.0267</v>
      </c>
      <c r="E3496" s="15">
        <v>1.1291</v>
      </c>
      <c r="F3496" s="15">
        <v>1.1342</v>
      </c>
      <c r="G3496" s="11">
        <v>-0.0013</v>
      </c>
      <c r="H3496" s="9">
        <f>MAX($F$3239:F3496)</f>
        <v>1.1357</v>
      </c>
      <c r="I3496" s="11">
        <f t="shared" si="84"/>
        <v>0.00132077133045683</v>
      </c>
      <c r="J3496" s="9"/>
      <c r="K3496" s="11"/>
      <c r="L3496" s="9"/>
      <c r="M3496" s="11"/>
      <c r="N3496" s="9" t="s">
        <v>809</v>
      </c>
    </row>
    <row r="3497" ht="25" customHeight="1" spans="1:14">
      <c r="A3497" s="9" t="s">
        <v>327</v>
      </c>
      <c r="B3497" s="9" t="s">
        <v>326</v>
      </c>
      <c r="C3497" s="10">
        <v>43885</v>
      </c>
      <c r="D3497" s="15">
        <v>1.0278</v>
      </c>
      <c r="E3497" s="15">
        <v>1.1302</v>
      </c>
      <c r="F3497" s="15">
        <v>1.1354</v>
      </c>
      <c r="G3497" s="11">
        <v>0.0011</v>
      </c>
      <c r="H3497" s="9">
        <f>MAX($F$3239:F3497)</f>
        <v>1.1357</v>
      </c>
      <c r="I3497" s="11">
        <f t="shared" si="84"/>
        <v>0.000264154266091388</v>
      </c>
      <c r="J3497" s="9"/>
      <c r="K3497" s="11"/>
      <c r="L3497" s="9"/>
      <c r="M3497" s="11"/>
      <c r="N3497" s="9" t="s">
        <v>809</v>
      </c>
    </row>
    <row r="3498" ht="25" customHeight="1" spans="1:14">
      <c r="A3498" s="9" t="s">
        <v>327</v>
      </c>
      <c r="B3498" s="9" t="s">
        <v>326</v>
      </c>
      <c r="C3498" s="10">
        <v>43886</v>
      </c>
      <c r="D3498" s="15">
        <v>1.0296</v>
      </c>
      <c r="E3498" s="15">
        <v>1.132</v>
      </c>
      <c r="F3498" s="15">
        <v>1.1374</v>
      </c>
      <c r="G3498" s="11">
        <v>0.0018</v>
      </c>
      <c r="H3498" s="9">
        <f>MAX($F$3239:F3498)</f>
        <v>1.1374</v>
      </c>
      <c r="I3498" s="11">
        <f t="shared" si="84"/>
        <v>0</v>
      </c>
      <c r="J3498" s="9"/>
      <c r="K3498" s="11"/>
      <c r="L3498" s="9"/>
      <c r="M3498" s="11"/>
      <c r="N3498" s="9" t="s">
        <v>809</v>
      </c>
    </row>
    <row r="3499" ht="25" customHeight="1" spans="1:14">
      <c r="A3499" s="9" t="s">
        <v>327</v>
      </c>
      <c r="B3499" s="9" t="s">
        <v>326</v>
      </c>
      <c r="C3499" s="10">
        <v>43887</v>
      </c>
      <c r="D3499" s="15">
        <v>1.0307</v>
      </c>
      <c r="E3499" s="15">
        <v>1.1331</v>
      </c>
      <c r="F3499" s="15">
        <v>1.1386</v>
      </c>
      <c r="G3499" s="11">
        <v>0.0011</v>
      </c>
      <c r="H3499" s="9">
        <f>MAX($F$3239:F3499)</f>
        <v>1.1386</v>
      </c>
      <c r="I3499" s="11">
        <f t="shared" si="84"/>
        <v>0</v>
      </c>
      <c r="J3499" s="9"/>
      <c r="K3499" s="11"/>
      <c r="L3499" s="9"/>
      <c r="M3499" s="11"/>
      <c r="N3499" s="9" t="s">
        <v>809</v>
      </c>
    </row>
    <row r="3500" ht="25" customHeight="1" spans="1:14">
      <c r="A3500" s="9" t="s">
        <v>327</v>
      </c>
      <c r="B3500" s="9" t="s">
        <v>326</v>
      </c>
      <c r="C3500" s="10">
        <v>43888</v>
      </c>
      <c r="D3500" s="15">
        <v>1.0312</v>
      </c>
      <c r="E3500" s="15">
        <v>1.1336</v>
      </c>
      <c r="F3500" s="15">
        <v>1.1392</v>
      </c>
      <c r="G3500" s="11">
        <v>0.0005</v>
      </c>
      <c r="H3500" s="9">
        <f>MAX($F$3239:F3500)</f>
        <v>1.1392</v>
      </c>
      <c r="I3500" s="11">
        <f t="shared" si="84"/>
        <v>0</v>
      </c>
      <c r="J3500" s="9"/>
      <c r="K3500" s="11"/>
      <c r="L3500" s="9"/>
      <c r="M3500" s="11"/>
      <c r="N3500" s="9" t="s">
        <v>809</v>
      </c>
    </row>
    <row r="3501" ht="25" customHeight="1" spans="1:14">
      <c r="A3501" s="9" t="s">
        <v>327</v>
      </c>
      <c r="B3501" s="9" t="s">
        <v>326</v>
      </c>
      <c r="C3501" s="10">
        <v>43889</v>
      </c>
      <c r="D3501" s="15">
        <v>1.0346</v>
      </c>
      <c r="E3501" s="15">
        <v>1.137</v>
      </c>
      <c r="F3501" s="15">
        <v>1.1429</v>
      </c>
      <c r="G3501" s="11">
        <v>0.0033</v>
      </c>
      <c r="H3501" s="9">
        <f>MAX($F$3239:F3501)</f>
        <v>1.1429</v>
      </c>
      <c r="I3501" s="11">
        <f t="shared" si="84"/>
        <v>0</v>
      </c>
      <c r="J3501" s="9"/>
      <c r="K3501" s="11"/>
      <c r="L3501" s="9"/>
      <c r="M3501" s="11"/>
      <c r="N3501" s="9" t="s">
        <v>809</v>
      </c>
    </row>
    <row r="3502" ht="25" customHeight="1" spans="1:14">
      <c r="A3502" s="9" t="s">
        <v>327</v>
      </c>
      <c r="B3502" s="9" t="s">
        <v>326</v>
      </c>
      <c r="C3502" s="10">
        <v>43892</v>
      </c>
      <c r="D3502" s="15">
        <v>1.0358</v>
      </c>
      <c r="E3502" s="15">
        <v>1.1382</v>
      </c>
      <c r="F3502" s="15">
        <v>1.1443</v>
      </c>
      <c r="G3502" s="11">
        <v>0.0012</v>
      </c>
      <c r="H3502" s="9">
        <f>MAX($F$3239:F3502)</f>
        <v>1.1443</v>
      </c>
      <c r="I3502" s="11">
        <f t="shared" si="84"/>
        <v>0</v>
      </c>
      <c r="J3502" s="9"/>
      <c r="K3502" s="11"/>
      <c r="L3502" s="9"/>
      <c r="M3502" s="11"/>
      <c r="N3502" s="9" t="s">
        <v>809</v>
      </c>
    </row>
    <row r="3503" ht="25" customHeight="1" spans="1:14">
      <c r="A3503" s="9" t="s">
        <v>327</v>
      </c>
      <c r="B3503" s="9" t="s">
        <v>326</v>
      </c>
      <c r="C3503" s="10">
        <v>43893</v>
      </c>
      <c r="D3503" s="15">
        <v>1.0365</v>
      </c>
      <c r="E3503" s="15">
        <v>1.1389</v>
      </c>
      <c r="F3503" s="15">
        <v>1.145</v>
      </c>
      <c r="G3503" s="11">
        <v>0.0007</v>
      </c>
      <c r="H3503" s="9">
        <f>MAX($F$3239:F3503)</f>
        <v>1.145</v>
      </c>
      <c r="I3503" s="11">
        <f t="shared" si="84"/>
        <v>0</v>
      </c>
      <c r="J3503" s="9"/>
      <c r="K3503" s="11"/>
      <c r="L3503" s="9"/>
      <c r="M3503" s="11"/>
      <c r="N3503" s="9" t="s">
        <v>809</v>
      </c>
    </row>
    <row r="3504" ht="25" customHeight="1" spans="1:14">
      <c r="A3504" s="9" t="s">
        <v>327</v>
      </c>
      <c r="B3504" s="9" t="s">
        <v>326</v>
      </c>
      <c r="C3504" s="10">
        <v>43894</v>
      </c>
      <c r="D3504" s="15">
        <v>1.0362</v>
      </c>
      <c r="E3504" s="15">
        <v>1.1386</v>
      </c>
      <c r="F3504" s="15">
        <v>1.1447</v>
      </c>
      <c r="G3504" s="11">
        <v>-0.0003</v>
      </c>
      <c r="H3504" s="9">
        <f>MAX($F$3239:F3504)</f>
        <v>1.145</v>
      </c>
      <c r="I3504" s="11">
        <f t="shared" si="84"/>
        <v>0.000262008733624475</v>
      </c>
      <c r="J3504" s="9"/>
      <c r="K3504" s="11"/>
      <c r="L3504" s="9"/>
      <c r="M3504" s="11"/>
      <c r="N3504" s="9" t="s">
        <v>809</v>
      </c>
    </row>
    <row r="3505" ht="25" customHeight="1" spans="1:14">
      <c r="A3505" s="9" t="s">
        <v>327</v>
      </c>
      <c r="B3505" s="9" t="s">
        <v>326</v>
      </c>
      <c r="C3505" s="10">
        <v>43895</v>
      </c>
      <c r="D3505" s="15">
        <v>1.0434</v>
      </c>
      <c r="E3505" s="15">
        <v>1.1458</v>
      </c>
      <c r="F3505" s="15">
        <v>1.1527</v>
      </c>
      <c r="G3505" s="11">
        <v>0.0069</v>
      </c>
      <c r="H3505" s="9">
        <f>MAX($F$3239:F3505)</f>
        <v>1.1527</v>
      </c>
      <c r="I3505" s="11">
        <f t="shared" si="84"/>
        <v>0</v>
      </c>
      <c r="J3505" s="9"/>
      <c r="K3505" s="11"/>
      <c r="L3505" s="9"/>
      <c r="M3505" s="11"/>
      <c r="N3505" s="9" t="s">
        <v>809</v>
      </c>
    </row>
    <row r="3506" ht="25" customHeight="1" spans="1:14">
      <c r="A3506" s="9" t="s">
        <v>327</v>
      </c>
      <c r="B3506" s="9" t="s">
        <v>326</v>
      </c>
      <c r="C3506" s="10">
        <v>43896</v>
      </c>
      <c r="D3506" s="15">
        <v>1.0432</v>
      </c>
      <c r="E3506" s="15">
        <v>1.1456</v>
      </c>
      <c r="F3506" s="15">
        <v>1.1524</v>
      </c>
      <c r="G3506" s="11">
        <v>-0.0002</v>
      </c>
      <c r="H3506" s="9">
        <f>MAX($F$3239:F3506)</f>
        <v>1.1527</v>
      </c>
      <c r="I3506" s="11">
        <f t="shared" si="84"/>
        <v>0.000260258523466561</v>
      </c>
      <c r="J3506" s="9"/>
      <c r="K3506" s="11"/>
      <c r="L3506" s="9"/>
      <c r="M3506" s="11"/>
      <c r="N3506" s="9" t="s">
        <v>809</v>
      </c>
    </row>
    <row r="3507" ht="25" customHeight="1" spans="1:14">
      <c r="A3507" s="9" t="s">
        <v>327</v>
      </c>
      <c r="B3507" s="9" t="s">
        <v>326</v>
      </c>
      <c r="C3507" s="10">
        <v>43899</v>
      </c>
      <c r="D3507" s="15">
        <v>1.0435</v>
      </c>
      <c r="E3507" s="15">
        <v>1.1459</v>
      </c>
      <c r="F3507" s="15">
        <v>1.1528</v>
      </c>
      <c r="G3507" s="11">
        <v>0.0003</v>
      </c>
      <c r="H3507" s="9">
        <f>MAX($F$3239:F3507)</f>
        <v>1.1528</v>
      </c>
      <c r="I3507" s="11">
        <f t="shared" si="84"/>
        <v>0</v>
      </c>
      <c r="J3507" s="9"/>
      <c r="K3507" s="11"/>
      <c r="L3507" s="9"/>
      <c r="M3507" s="11"/>
      <c r="N3507" s="9" t="s">
        <v>809</v>
      </c>
    </row>
    <row r="3508" ht="25" customHeight="1" spans="1:14">
      <c r="A3508" s="9" t="s">
        <v>327</v>
      </c>
      <c r="B3508" s="9" t="s">
        <v>326</v>
      </c>
      <c r="C3508" s="10">
        <v>43900</v>
      </c>
      <c r="D3508" s="15">
        <v>1.0484</v>
      </c>
      <c r="E3508" s="15">
        <v>1.1508</v>
      </c>
      <c r="F3508" s="15">
        <v>1.1582</v>
      </c>
      <c r="G3508" s="11">
        <v>0.0047</v>
      </c>
      <c r="H3508" s="9">
        <f>MAX($F$3239:F3508)</f>
        <v>1.1582</v>
      </c>
      <c r="I3508" s="11">
        <f t="shared" si="84"/>
        <v>0</v>
      </c>
      <c r="J3508" s="9"/>
      <c r="K3508" s="11"/>
      <c r="L3508" s="9"/>
      <c r="M3508" s="11"/>
      <c r="N3508" s="9" t="s">
        <v>809</v>
      </c>
    </row>
    <row r="3509" ht="25" customHeight="1" spans="1:14">
      <c r="A3509" s="9" t="s">
        <v>327</v>
      </c>
      <c r="B3509" s="9" t="s">
        <v>326</v>
      </c>
      <c r="C3509" s="10">
        <v>43901</v>
      </c>
      <c r="D3509" s="15">
        <v>1.0578</v>
      </c>
      <c r="E3509" s="15">
        <v>1.1602</v>
      </c>
      <c r="F3509" s="15">
        <v>1.1686</v>
      </c>
      <c r="G3509" s="11">
        <v>0.009</v>
      </c>
      <c r="H3509" s="9">
        <f>MAX($F$3239:F3509)</f>
        <v>1.1686</v>
      </c>
      <c r="I3509" s="11">
        <f t="shared" si="84"/>
        <v>0</v>
      </c>
      <c r="J3509" s="9"/>
      <c r="K3509" s="11"/>
      <c r="L3509" s="9"/>
      <c r="M3509" s="11"/>
      <c r="N3509" s="9" t="s">
        <v>809</v>
      </c>
    </row>
    <row r="3510" ht="25" customHeight="1" spans="1:14">
      <c r="A3510" s="9" t="s">
        <v>327</v>
      </c>
      <c r="B3510" s="9" t="s">
        <v>326</v>
      </c>
      <c r="C3510" s="10">
        <v>43902</v>
      </c>
      <c r="D3510" s="15">
        <v>1.0625</v>
      </c>
      <c r="E3510" s="15">
        <v>1.1649</v>
      </c>
      <c r="F3510" s="15">
        <v>1.1738</v>
      </c>
      <c r="G3510" s="11">
        <v>0.0044</v>
      </c>
      <c r="H3510" s="9">
        <f>MAX($F$3239:F3510)</f>
        <v>1.1738</v>
      </c>
      <c r="I3510" s="11">
        <f t="shared" si="84"/>
        <v>0</v>
      </c>
      <c r="J3510" s="9"/>
      <c r="K3510" s="11"/>
      <c r="L3510" s="9"/>
      <c r="M3510" s="11"/>
      <c r="N3510" s="9" t="s">
        <v>809</v>
      </c>
    </row>
    <row r="3511" ht="25" customHeight="1" spans="1:14">
      <c r="A3511" s="9" t="s">
        <v>327</v>
      </c>
      <c r="B3511" s="9" t="s">
        <v>326</v>
      </c>
      <c r="C3511" s="10">
        <v>43903</v>
      </c>
      <c r="D3511" s="15">
        <v>1.0721</v>
      </c>
      <c r="E3511" s="15">
        <v>1.1745</v>
      </c>
      <c r="F3511" s="15">
        <v>1.1844</v>
      </c>
      <c r="G3511" s="11">
        <v>0.009</v>
      </c>
      <c r="H3511" s="9">
        <f>MAX($F$3239:F3511)</f>
        <v>1.1844</v>
      </c>
      <c r="I3511" s="11">
        <f t="shared" si="84"/>
        <v>0</v>
      </c>
      <c r="J3511" s="9"/>
      <c r="K3511" s="11"/>
      <c r="L3511" s="9"/>
      <c r="M3511" s="11"/>
      <c r="N3511" s="9" t="s">
        <v>809</v>
      </c>
    </row>
    <row r="3512" ht="25" customHeight="1" spans="1:14">
      <c r="A3512" s="9" t="s">
        <v>327</v>
      </c>
      <c r="B3512" s="9" t="s">
        <v>326</v>
      </c>
      <c r="C3512" s="10">
        <v>43906</v>
      </c>
      <c r="D3512" s="15">
        <v>1.0738</v>
      </c>
      <c r="E3512" s="15">
        <v>1.1762</v>
      </c>
      <c r="F3512" s="15">
        <v>1.1863</v>
      </c>
      <c r="G3512" s="11">
        <v>0.0016</v>
      </c>
      <c r="H3512" s="9">
        <f>MAX($F$3239:F3512)</f>
        <v>1.1863</v>
      </c>
      <c r="I3512" s="11">
        <f t="shared" si="84"/>
        <v>0</v>
      </c>
      <c r="J3512" s="9"/>
      <c r="K3512" s="11"/>
      <c r="L3512" s="9"/>
      <c r="M3512" s="11"/>
      <c r="N3512" s="9" t="s">
        <v>809</v>
      </c>
    </row>
    <row r="3513" ht="25" customHeight="1" spans="1:14">
      <c r="A3513" s="9" t="s">
        <v>327</v>
      </c>
      <c r="B3513" s="9" t="s">
        <v>326</v>
      </c>
      <c r="C3513" s="10">
        <v>43907</v>
      </c>
      <c r="D3513" s="15">
        <v>1.0818</v>
      </c>
      <c r="E3513" s="15">
        <v>1.1842</v>
      </c>
      <c r="F3513" s="15">
        <v>1.1951</v>
      </c>
      <c r="G3513" s="11">
        <v>0.0075</v>
      </c>
      <c r="H3513" s="9">
        <f>MAX($F$3239:F3513)</f>
        <v>1.1951</v>
      </c>
      <c r="I3513" s="11">
        <f t="shared" si="84"/>
        <v>0</v>
      </c>
      <c r="J3513" s="9"/>
      <c r="K3513" s="11"/>
      <c r="L3513" s="9"/>
      <c r="M3513" s="11"/>
      <c r="N3513" s="9" t="s">
        <v>809</v>
      </c>
    </row>
    <row r="3514" ht="25" customHeight="1" spans="1:14">
      <c r="A3514" s="9" t="s">
        <v>327</v>
      </c>
      <c r="B3514" s="9" t="s">
        <v>326</v>
      </c>
      <c r="C3514" s="10">
        <v>43908</v>
      </c>
      <c r="D3514" s="15">
        <v>1.0843</v>
      </c>
      <c r="E3514" s="15">
        <v>1.1867</v>
      </c>
      <c r="F3514" s="15">
        <v>1.1978</v>
      </c>
      <c r="G3514" s="11">
        <v>0.0023</v>
      </c>
      <c r="H3514" s="9">
        <f>MAX($F$3239:F3514)</f>
        <v>1.1978</v>
      </c>
      <c r="I3514" s="11">
        <f t="shared" si="84"/>
        <v>0</v>
      </c>
      <c r="J3514" s="9"/>
      <c r="K3514" s="11"/>
      <c r="L3514" s="9"/>
      <c r="M3514" s="11"/>
      <c r="N3514" s="9" t="s">
        <v>809</v>
      </c>
    </row>
    <row r="3515" ht="25" customHeight="1" spans="1:14">
      <c r="A3515" s="9" t="s">
        <v>327</v>
      </c>
      <c r="B3515" s="9" t="s">
        <v>326</v>
      </c>
      <c r="C3515" s="10">
        <v>43909</v>
      </c>
      <c r="D3515" s="15">
        <v>1.0977</v>
      </c>
      <c r="E3515" s="15">
        <v>1.2001</v>
      </c>
      <c r="F3515" s="15">
        <v>1.2127</v>
      </c>
      <c r="G3515" s="11">
        <v>0.0124</v>
      </c>
      <c r="H3515" s="9">
        <f>MAX($F$3239:F3515)</f>
        <v>1.2127</v>
      </c>
      <c r="I3515" s="11">
        <f t="shared" si="84"/>
        <v>0</v>
      </c>
      <c r="J3515" s="9"/>
      <c r="K3515" s="11"/>
      <c r="L3515" s="9"/>
      <c r="M3515" s="11"/>
      <c r="N3515" s="9" t="s">
        <v>809</v>
      </c>
    </row>
    <row r="3516" ht="25" customHeight="1" spans="1:14">
      <c r="A3516" s="9" t="s">
        <v>327</v>
      </c>
      <c r="B3516" s="9" t="s">
        <v>326</v>
      </c>
      <c r="C3516" s="10">
        <v>43910</v>
      </c>
      <c r="D3516" s="15">
        <v>1.1056</v>
      </c>
      <c r="E3516" s="15">
        <v>1.208</v>
      </c>
      <c r="F3516" s="15">
        <v>1.2214</v>
      </c>
      <c r="G3516" s="11">
        <v>0.0072</v>
      </c>
      <c r="H3516" s="9">
        <f>MAX($F$3239:F3516)</f>
        <v>1.2214</v>
      </c>
      <c r="I3516" s="11">
        <f t="shared" si="84"/>
        <v>0</v>
      </c>
      <c r="J3516" s="9"/>
      <c r="K3516" s="11"/>
      <c r="L3516" s="9"/>
      <c r="M3516" s="11"/>
      <c r="N3516" s="9" t="s">
        <v>809</v>
      </c>
    </row>
    <row r="3517" ht="25" customHeight="1" spans="1:14">
      <c r="A3517" s="9" t="s">
        <v>327</v>
      </c>
      <c r="B3517" s="9" t="s">
        <v>326</v>
      </c>
      <c r="C3517" s="10">
        <v>43913</v>
      </c>
      <c r="D3517" s="15">
        <v>1.1151</v>
      </c>
      <c r="E3517" s="15">
        <v>1.2175</v>
      </c>
      <c r="F3517" s="15">
        <v>1.2319</v>
      </c>
      <c r="G3517" s="11">
        <v>0.0086</v>
      </c>
      <c r="H3517" s="9">
        <f>MAX($F$3239:F3517)</f>
        <v>1.2319</v>
      </c>
      <c r="I3517" s="11">
        <f t="shared" si="84"/>
        <v>0</v>
      </c>
      <c r="J3517" s="9"/>
      <c r="K3517" s="11"/>
      <c r="L3517" s="9"/>
      <c r="M3517" s="11"/>
      <c r="N3517" s="9" t="s">
        <v>809</v>
      </c>
    </row>
    <row r="3518" ht="25" customHeight="1" spans="1:14">
      <c r="A3518" s="9" t="s">
        <v>327</v>
      </c>
      <c r="B3518" s="9" t="s">
        <v>326</v>
      </c>
      <c r="C3518" s="10">
        <v>43914</v>
      </c>
      <c r="D3518" s="15">
        <v>1.1125</v>
      </c>
      <c r="E3518" s="15">
        <v>1.2149</v>
      </c>
      <c r="F3518" s="15">
        <v>1.229</v>
      </c>
      <c r="G3518" s="11">
        <v>-0.0023</v>
      </c>
      <c r="H3518" s="9">
        <f>MAX($F$3239:F3518)</f>
        <v>1.2319</v>
      </c>
      <c r="I3518" s="11">
        <f t="shared" si="84"/>
        <v>0.00235408718240104</v>
      </c>
      <c r="J3518" s="9"/>
      <c r="K3518" s="11"/>
      <c r="L3518" s="9"/>
      <c r="M3518" s="11"/>
      <c r="N3518" s="9" t="s">
        <v>809</v>
      </c>
    </row>
    <row r="3519" ht="25" customHeight="1" spans="1:14">
      <c r="A3519" s="9" t="s">
        <v>327</v>
      </c>
      <c r="B3519" s="9" t="s">
        <v>326</v>
      </c>
      <c r="C3519" s="10">
        <v>43915</v>
      </c>
      <c r="D3519" s="15">
        <v>1.1192</v>
      </c>
      <c r="E3519" s="15">
        <v>1.2216</v>
      </c>
      <c r="F3519" s="15">
        <v>1.2364</v>
      </c>
      <c r="G3519" s="11">
        <v>0.006</v>
      </c>
      <c r="H3519" s="9">
        <f>MAX($F$3239:F3519)</f>
        <v>1.2364</v>
      </c>
      <c r="I3519" s="11">
        <f t="shared" si="84"/>
        <v>0</v>
      </c>
      <c r="J3519" s="9"/>
      <c r="K3519" s="11"/>
      <c r="L3519" s="9"/>
      <c r="M3519" s="11"/>
      <c r="N3519" s="9" t="s">
        <v>809</v>
      </c>
    </row>
    <row r="3520" ht="25" customHeight="1" spans="1:14">
      <c r="A3520" s="9" t="s">
        <v>327</v>
      </c>
      <c r="B3520" s="9" t="s">
        <v>326</v>
      </c>
      <c r="C3520" s="10">
        <v>43916</v>
      </c>
      <c r="D3520" s="15">
        <v>1.1179</v>
      </c>
      <c r="E3520" s="15">
        <v>1.2203</v>
      </c>
      <c r="F3520" s="15">
        <v>1.235</v>
      </c>
      <c r="G3520" s="11">
        <v>-0.0012</v>
      </c>
      <c r="H3520" s="9">
        <f>MAX($F$3239:F3520)</f>
        <v>1.2364</v>
      </c>
      <c r="I3520" s="11">
        <f t="shared" si="84"/>
        <v>0.00113231963765759</v>
      </c>
      <c r="J3520" s="9"/>
      <c r="K3520" s="11"/>
      <c r="L3520" s="9"/>
      <c r="M3520" s="11"/>
      <c r="N3520" s="9" t="s">
        <v>809</v>
      </c>
    </row>
    <row r="3521" ht="25" customHeight="1" spans="1:14">
      <c r="A3521" s="9" t="s">
        <v>327</v>
      </c>
      <c r="B3521" s="9" t="s">
        <v>326</v>
      </c>
      <c r="C3521" s="10">
        <v>43917</v>
      </c>
      <c r="D3521" s="15">
        <v>1.1187</v>
      </c>
      <c r="E3521" s="15">
        <v>1.2211</v>
      </c>
      <c r="F3521" s="15">
        <v>1.2359</v>
      </c>
      <c r="G3521" s="11">
        <v>0.0007</v>
      </c>
      <c r="H3521" s="9">
        <f>MAX($F$3239:F3521)</f>
        <v>1.2364</v>
      </c>
      <c r="I3521" s="11">
        <f t="shared" si="84"/>
        <v>0.000404399870592043</v>
      </c>
      <c r="J3521" s="9"/>
      <c r="K3521" s="11"/>
      <c r="L3521" s="9"/>
      <c r="M3521" s="11"/>
      <c r="N3521" s="9" t="s">
        <v>809</v>
      </c>
    </row>
    <row r="3522" ht="25" customHeight="1" spans="1:14">
      <c r="A3522" s="9" t="s">
        <v>327</v>
      </c>
      <c r="B3522" s="9" t="s">
        <v>326</v>
      </c>
      <c r="C3522" s="10">
        <v>43920</v>
      </c>
      <c r="D3522" s="15">
        <v>1.118</v>
      </c>
      <c r="E3522" s="15">
        <v>1.2204</v>
      </c>
      <c r="F3522" s="15">
        <v>1.2351</v>
      </c>
      <c r="G3522" s="11">
        <v>-0.0006</v>
      </c>
      <c r="H3522" s="9">
        <f>MAX($F$3239:F3522)</f>
        <v>1.2364</v>
      </c>
      <c r="I3522" s="11">
        <f t="shared" ref="I3522:I3585" si="85">1-F3522/H3522</f>
        <v>0.00105143966353916</v>
      </c>
      <c r="J3522" s="9"/>
      <c r="K3522" s="11"/>
      <c r="L3522" s="9"/>
      <c r="M3522" s="11"/>
      <c r="N3522" s="9" t="s">
        <v>809</v>
      </c>
    </row>
    <row r="3523" ht="25" customHeight="1" spans="1:14">
      <c r="A3523" s="9" t="s">
        <v>327</v>
      </c>
      <c r="B3523" s="9" t="s">
        <v>326</v>
      </c>
      <c r="C3523" s="10">
        <v>43921</v>
      </c>
      <c r="D3523" s="15">
        <v>1.1221</v>
      </c>
      <c r="E3523" s="15">
        <v>1.2245</v>
      </c>
      <c r="F3523" s="15">
        <v>1.2396</v>
      </c>
      <c r="G3523" s="11">
        <v>0.0037</v>
      </c>
      <c r="H3523" s="9">
        <f>MAX($F$3239:F3523)</f>
        <v>1.2396</v>
      </c>
      <c r="I3523" s="11">
        <f t="shared" si="85"/>
        <v>0</v>
      </c>
      <c r="J3523" s="9"/>
      <c r="K3523" s="11"/>
      <c r="L3523" s="9"/>
      <c r="M3523" s="11"/>
      <c r="N3523" s="9" t="s">
        <v>809</v>
      </c>
    </row>
    <row r="3524" ht="25" customHeight="1" spans="1:14">
      <c r="A3524" s="9" t="s">
        <v>327</v>
      </c>
      <c r="B3524" s="9" t="s">
        <v>326</v>
      </c>
      <c r="C3524" s="10">
        <v>43922</v>
      </c>
      <c r="D3524" s="15">
        <v>1.1206</v>
      </c>
      <c r="E3524" s="15">
        <v>1.223</v>
      </c>
      <c r="F3524" s="15">
        <v>1.238</v>
      </c>
      <c r="G3524" s="11">
        <v>-0.0013</v>
      </c>
      <c r="H3524" s="9">
        <f>MAX($F$3239:F3524)</f>
        <v>1.2396</v>
      </c>
      <c r="I3524" s="11">
        <f t="shared" si="85"/>
        <v>0.00129073894804776</v>
      </c>
      <c r="J3524" s="9"/>
      <c r="K3524" s="11"/>
      <c r="L3524" s="9"/>
      <c r="M3524" s="11"/>
      <c r="N3524" s="9" t="s">
        <v>809</v>
      </c>
    </row>
    <row r="3525" ht="25" customHeight="1" spans="1:14">
      <c r="A3525" s="9" t="s">
        <v>327</v>
      </c>
      <c r="B3525" s="9" t="s">
        <v>326</v>
      </c>
      <c r="C3525" s="10">
        <v>43923</v>
      </c>
      <c r="D3525" s="15">
        <v>1.1282</v>
      </c>
      <c r="E3525" s="15">
        <v>1.2306</v>
      </c>
      <c r="F3525" s="15">
        <v>1.2463</v>
      </c>
      <c r="G3525" s="11">
        <v>0.0068</v>
      </c>
      <c r="H3525" s="9">
        <f>MAX($F$3239:F3525)</f>
        <v>1.2463</v>
      </c>
      <c r="I3525" s="11">
        <f t="shared" si="85"/>
        <v>0</v>
      </c>
      <c r="J3525" s="9"/>
      <c r="K3525" s="11"/>
      <c r="L3525" s="9"/>
      <c r="M3525" s="11"/>
      <c r="N3525" s="9" t="s">
        <v>809</v>
      </c>
    </row>
    <row r="3526" ht="25" customHeight="1" spans="1:14">
      <c r="A3526" s="9" t="s">
        <v>327</v>
      </c>
      <c r="B3526" s="9" t="s">
        <v>326</v>
      </c>
      <c r="C3526" s="10">
        <v>43924</v>
      </c>
      <c r="D3526" s="15">
        <v>1.1264</v>
      </c>
      <c r="E3526" s="15">
        <v>1.2288</v>
      </c>
      <c r="F3526" s="15">
        <v>1.2444</v>
      </c>
      <c r="G3526" s="11">
        <v>-0.0016</v>
      </c>
      <c r="H3526" s="9">
        <f>MAX($F$3239:F3526)</f>
        <v>1.2463</v>
      </c>
      <c r="I3526" s="11">
        <f t="shared" si="85"/>
        <v>0.00152451255716923</v>
      </c>
      <c r="J3526" s="9"/>
      <c r="K3526" s="11"/>
      <c r="L3526" s="9"/>
      <c r="M3526" s="11"/>
      <c r="N3526" s="9" t="s">
        <v>809</v>
      </c>
    </row>
    <row r="3527" ht="25" customHeight="1" spans="1:14">
      <c r="A3527" s="9" t="s">
        <v>327</v>
      </c>
      <c r="B3527" s="9" t="s">
        <v>326</v>
      </c>
      <c r="C3527" s="10">
        <v>43928</v>
      </c>
      <c r="D3527" s="15">
        <v>1.1347</v>
      </c>
      <c r="E3527" s="15">
        <v>1.2371</v>
      </c>
      <c r="F3527" s="15">
        <v>1.2535</v>
      </c>
      <c r="G3527" s="11">
        <v>0.0074</v>
      </c>
      <c r="H3527" s="9">
        <f>MAX($F$3239:F3527)</f>
        <v>1.2535</v>
      </c>
      <c r="I3527" s="11">
        <f t="shared" si="85"/>
        <v>0</v>
      </c>
      <c r="J3527" s="9"/>
      <c r="K3527" s="11"/>
      <c r="L3527" s="9"/>
      <c r="M3527" s="11"/>
      <c r="N3527" s="9" t="s">
        <v>809</v>
      </c>
    </row>
    <row r="3528" ht="25" customHeight="1" spans="1:14">
      <c r="A3528" s="9" t="s">
        <v>327</v>
      </c>
      <c r="B3528" s="9" t="s">
        <v>326</v>
      </c>
      <c r="C3528" s="10">
        <v>43929</v>
      </c>
      <c r="D3528" s="15">
        <v>1.1379</v>
      </c>
      <c r="E3528" s="15">
        <v>1.2403</v>
      </c>
      <c r="F3528" s="15">
        <v>1.2571</v>
      </c>
      <c r="G3528" s="11">
        <v>0.0028</v>
      </c>
      <c r="H3528" s="9">
        <f>MAX($F$3239:F3528)</f>
        <v>1.2571</v>
      </c>
      <c r="I3528" s="11">
        <f t="shared" si="85"/>
        <v>0</v>
      </c>
      <c r="J3528" s="9"/>
      <c r="K3528" s="11"/>
      <c r="L3528" s="9"/>
      <c r="M3528" s="11"/>
      <c r="N3528" s="9" t="s">
        <v>809</v>
      </c>
    </row>
    <row r="3529" ht="25" customHeight="1" spans="1:14">
      <c r="A3529" s="9" t="s">
        <v>327</v>
      </c>
      <c r="B3529" s="9" t="s">
        <v>326</v>
      </c>
      <c r="C3529" s="10">
        <v>43930</v>
      </c>
      <c r="D3529" s="15">
        <v>1.1354</v>
      </c>
      <c r="E3529" s="15">
        <v>1.2378</v>
      </c>
      <c r="F3529" s="15">
        <v>1.2543</v>
      </c>
      <c r="G3529" s="11">
        <v>-0.0022</v>
      </c>
      <c r="H3529" s="9">
        <f>MAX($F$3239:F3529)</f>
        <v>1.2571</v>
      </c>
      <c r="I3529" s="11">
        <f t="shared" si="85"/>
        <v>0.00222734865961349</v>
      </c>
      <c r="J3529" s="9"/>
      <c r="K3529" s="11"/>
      <c r="L3529" s="9"/>
      <c r="M3529" s="11"/>
      <c r="N3529" s="9" t="s">
        <v>809</v>
      </c>
    </row>
    <row r="3530" ht="25" customHeight="1" spans="1:14">
      <c r="A3530" s="9" t="s">
        <v>327</v>
      </c>
      <c r="B3530" s="9" t="s">
        <v>326</v>
      </c>
      <c r="C3530" s="10">
        <v>43931</v>
      </c>
      <c r="D3530" s="15">
        <v>1.156</v>
      </c>
      <c r="E3530" s="15">
        <v>1.2584</v>
      </c>
      <c r="F3530" s="15">
        <v>1.2771</v>
      </c>
      <c r="G3530" s="11">
        <v>0.0181</v>
      </c>
      <c r="H3530" s="9">
        <f>MAX($F$3239:F3530)</f>
        <v>1.2771</v>
      </c>
      <c r="I3530" s="11">
        <f t="shared" si="85"/>
        <v>0</v>
      </c>
      <c r="J3530" s="9"/>
      <c r="K3530" s="11"/>
      <c r="L3530" s="9"/>
      <c r="M3530" s="11"/>
      <c r="N3530" s="9" t="s">
        <v>809</v>
      </c>
    </row>
    <row r="3531" ht="25" customHeight="1" spans="1:14">
      <c r="A3531" s="9" t="s">
        <v>327</v>
      </c>
      <c r="B3531" s="9" t="s">
        <v>326</v>
      </c>
      <c r="C3531" s="10">
        <v>43934</v>
      </c>
      <c r="D3531" s="15">
        <v>1.1568</v>
      </c>
      <c r="E3531" s="15">
        <v>1.2592</v>
      </c>
      <c r="F3531" s="15">
        <v>1.2779</v>
      </c>
      <c r="G3531" s="11">
        <v>0.0007</v>
      </c>
      <c r="H3531" s="9">
        <f>MAX($F$3239:F3531)</f>
        <v>1.2779</v>
      </c>
      <c r="I3531" s="11">
        <f t="shared" si="85"/>
        <v>0</v>
      </c>
      <c r="J3531" s="9"/>
      <c r="K3531" s="11"/>
      <c r="L3531" s="9"/>
      <c r="M3531" s="11"/>
      <c r="N3531" s="9" t="s">
        <v>809</v>
      </c>
    </row>
    <row r="3532" ht="25" customHeight="1" spans="1:14">
      <c r="A3532" s="9" t="s">
        <v>327</v>
      </c>
      <c r="B3532" s="9" t="s">
        <v>326</v>
      </c>
      <c r="C3532" s="10">
        <v>43935</v>
      </c>
      <c r="D3532" s="15">
        <v>1.1541</v>
      </c>
      <c r="E3532" s="15">
        <v>1.2565</v>
      </c>
      <c r="F3532" s="15">
        <v>1.275</v>
      </c>
      <c r="G3532" s="11">
        <v>-0.0023</v>
      </c>
      <c r="H3532" s="9">
        <f>MAX($F$3239:F3532)</f>
        <v>1.2779</v>
      </c>
      <c r="I3532" s="11">
        <f t="shared" si="85"/>
        <v>0.00226934814930757</v>
      </c>
      <c r="J3532" s="9"/>
      <c r="K3532" s="11"/>
      <c r="L3532" s="9"/>
      <c r="M3532" s="11"/>
      <c r="N3532" s="9" t="s">
        <v>809</v>
      </c>
    </row>
    <row r="3533" ht="25" customHeight="1" spans="1:14">
      <c r="A3533" s="9" t="s">
        <v>327</v>
      </c>
      <c r="B3533" s="9" t="s">
        <v>326</v>
      </c>
      <c r="C3533" s="10">
        <v>43936</v>
      </c>
      <c r="D3533" s="15">
        <v>1.1533</v>
      </c>
      <c r="E3533" s="15">
        <v>1.2557</v>
      </c>
      <c r="F3533" s="15">
        <v>1.2741</v>
      </c>
      <c r="G3533" s="11">
        <v>-0.0007</v>
      </c>
      <c r="H3533" s="9">
        <f>MAX($F$3239:F3533)</f>
        <v>1.2779</v>
      </c>
      <c r="I3533" s="11">
        <f t="shared" si="85"/>
        <v>0.0029736286094374</v>
      </c>
      <c r="J3533" s="9"/>
      <c r="K3533" s="11"/>
      <c r="L3533" s="9"/>
      <c r="M3533" s="11"/>
      <c r="N3533" s="9" t="s">
        <v>809</v>
      </c>
    </row>
    <row r="3534" ht="25" customHeight="1" spans="1:14">
      <c r="A3534" s="9" t="s">
        <v>327</v>
      </c>
      <c r="B3534" s="9" t="s">
        <v>326</v>
      </c>
      <c r="C3534" s="10">
        <v>43937</v>
      </c>
      <c r="D3534" s="15">
        <v>1.1471</v>
      </c>
      <c r="E3534" s="15">
        <v>1.2495</v>
      </c>
      <c r="F3534" s="15">
        <v>1.2672</v>
      </c>
      <c r="G3534" s="11">
        <v>-0.0054</v>
      </c>
      <c r="H3534" s="9">
        <f>MAX($F$3239:F3534)</f>
        <v>1.2779</v>
      </c>
      <c r="I3534" s="11">
        <f t="shared" si="85"/>
        <v>0.0083731121370999</v>
      </c>
      <c r="J3534" s="9"/>
      <c r="K3534" s="11"/>
      <c r="L3534" s="9"/>
      <c r="M3534" s="11"/>
      <c r="N3534" s="9" t="s">
        <v>809</v>
      </c>
    </row>
    <row r="3535" ht="25" customHeight="1" spans="1:14">
      <c r="A3535" s="9" t="s">
        <v>327</v>
      </c>
      <c r="B3535" s="9" t="s">
        <v>326</v>
      </c>
      <c r="C3535" s="10">
        <v>43938</v>
      </c>
      <c r="D3535" s="15">
        <v>1.1476</v>
      </c>
      <c r="E3535" s="15">
        <v>1.25</v>
      </c>
      <c r="F3535" s="15">
        <v>1.2678</v>
      </c>
      <c r="G3535" s="11">
        <v>0.0004</v>
      </c>
      <c r="H3535" s="9">
        <f>MAX($F$3239:F3535)</f>
        <v>1.2779</v>
      </c>
      <c r="I3535" s="11">
        <f t="shared" si="85"/>
        <v>0.00790359183034661</v>
      </c>
      <c r="J3535" s="9"/>
      <c r="K3535" s="11"/>
      <c r="L3535" s="9"/>
      <c r="M3535" s="11"/>
      <c r="N3535" s="9" t="s">
        <v>809</v>
      </c>
    </row>
    <row r="3536" ht="25" customHeight="1" spans="1:14">
      <c r="A3536" s="9" t="s">
        <v>327</v>
      </c>
      <c r="B3536" s="9" t="s">
        <v>326</v>
      </c>
      <c r="C3536" s="10">
        <v>43941</v>
      </c>
      <c r="D3536" s="15">
        <v>1.1506</v>
      </c>
      <c r="E3536" s="15">
        <v>1.253</v>
      </c>
      <c r="F3536" s="15">
        <v>1.2711</v>
      </c>
      <c r="G3536" s="11">
        <v>0.0026</v>
      </c>
      <c r="H3536" s="9">
        <f>MAX($F$3239:F3536)</f>
        <v>1.2779</v>
      </c>
      <c r="I3536" s="11">
        <f t="shared" si="85"/>
        <v>0.00532123014320385</v>
      </c>
      <c r="J3536" s="9"/>
      <c r="K3536" s="11"/>
      <c r="L3536" s="9"/>
      <c r="M3536" s="11"/>
      <c r="N3536" s="9" t="s">
        <v>809</v>
      </c>
    </row>
    <row r="3537" ht="25" customHeight="1" spans="1:14">
      <c r="A3537" s="9" t="s">
        <v>327</v>
      </c>
      <c r="B3537" s="9" t="s">
        <v>326</v>
      </c>
      <c r="C3537" s="10">
        <v>43942</v>
      </c>
      <c r="D3537" s="15">
        <v>1.1585</v>
      </c>
      <c r="E3537" s="15">
        <v>1.2609</v>
      </c>
      <c r="F3537" s="15">
        <v>1.2798</v>
      </c>
      <c r="G3537" s="11">
        <v>0.0069</v>
      </c>
      <c r="H3537" s="9">
        <f>MAX($F$3239:F3537)</f>
        <v>1.2798</v>
      </c>
      <c r="I3537" s="11">
        <f t="shared" si="85"/>
        <v>0</v>
      </c>
      <c r="J3537" s="9"/>
      <c r="K3537" s="11"/>
      <c r="L3537" s="9"/>
      <c r="M3537" s="11"/>
      <c r="N3537" s="9" t="s">
        <v>809</v>
      </c>
    </row>
    <row r="3538" ht="25" customHeight="1" spans="1:14">
      <c r="A3538" s="9" t="s">
        <v>327</v>
      </c>
      <c r="B3538" s="9" t="s">
        <v>326</v>
      </c>
      <c r="C3538" s="10">
        <v>43943</v>
      </c>
      <c r="D3538" s="15">
        <v>1.1523</v>
      </c>
      <c r="E3538" s="15">
        <v>1.2547</v>
      </c>
      <c r="F3538" s="15">
        <v>1.273</v>
      </c>
      <c r="G3538" s="11">
        <v>-0.0054</v>
      </c>
      <c r="H3538" s="9">
        <f>MAX($F$3239:F3538)</f>
        <v>1.2798</v>
      </c>
      <c r="I3538" s="11">
        <f t="shared" si="85"/>
        <v>0.00531333020784508</v>
      </c>
      <c r="J3538" s="9"/>
      <c r="K3538" s="11"/>
      <c r="L3538" s="9"/>
      <c r="M3538" s="11"/>
      <c r="N3538" s="9" t="s">
        <v>809</v>
      </c>
    </row>
    <row r="3539" ht="25" customHeight="1" spans="1:14">
      <c r="A3539" s="9" t="s">
        <v>327</v>
      </c>
      <c r="B3539" s="9" t="s">
        <v>326</v>
      </c>
      <c r="C3539" s="10">
        <v>43944</v>
      </c>
      <c r="D3539" s="15">
        <v>1.1553</v>
      </c>
      <c r="E3539" s="15">
        <v>1.2577</v>
      </c>
      <c r="F3539" s="15">
        <v>1.2763</v>
      </c>
      <c r="G3539" s="11">
        <v>0.0026</v>
      </c>
      <c r="H3539" s="9">
        <f>MAX($F$3239:F3539)</f>
        <v>1.2798</v>
      </c>
      <c r="I3539" s="11">
        <f t="shared" si="85"/>
        <v>0.00273480231286138</v>
      </c>
      <c r="J3539" s="9"/>
      <c r="K3539" s="11"/>
      <c r="L3539" s="9"/>
      <c r="M3539" s="11"/>
      <c r="N3539" s="9" t="s">
        <v>809</v>
      </c>
    </row>
    <row r="3540" ht="25" customHeight="1" spans="1:14">
      <c r="A3540" s="9" t="s">
        <v>327</v>
      </c>
      <c r="B3540" s="9" t="s">
        <v>326</v>
      </c>
      <c r="C3540" s="10">
        <v>43945</v>
      </c>
      <c r="D3540" s="15">
        <v>1.1572</v>
      </c>
      <c r="E3540" s="15">
        <v>1.2596</v>
      </c>
      <c r="F3540" s="15">
        <v>1.2784</v>
      </c>
      <c r="G3540" s="11">
        <v>0.0016</v>
      </c>
      <c r="H3540" s="9">
        <f>MAX($F$3239:F3540)</f>
        <v>1.2798</v>
      </c>
      <c r="I3540" s="11">
        <f t="shared" si="85"/>
        <v>0.0010939209251446</v>
      </c>
      <c r="J3540" s="9"/>
      <c r="K3540" s="11"/>
      <c r="L3540" s="9"/>
      <c r="M3540" s="11"/>
      <c r="N3540" s="9" t="s">
        <v>809</v>
      </c>
    </row>
    <row r="3541" ht="25" customHeight="1" spans="1:14">
      <c r="A3541" s="9" t="s">
        <v>327</v>
      </c>
      <c r="B3541" s="9" t="s">
        <v>326</v>
      </c>
      <c r="C3541" s="10">
        <v>43948</v>
      </c>
      <c r="D3541" s="15">
        <v>1.1602</v>
      </c>
      <c r="E3541" s="15">
        <v>1.2626</v>
      </c>
      <c r="F3541" s="15">
        <v>1.2817</v>
      </c>
      <c r="G3541" s="11">
        <v>0.0026</v>
      </c>
      <c r="H3541" s="9">
        <f>MAX($F$3239:F3541)</f>
        <v>1.2817</v>
      </c>
      <c r="I3541" s="11">
        <f t="shared" si="85"/>
        <v>0</v>
      </c>
      <c r="J3541" s="9"/>
      <c r="K3541" s="11"/>
      <c r="L3541" s="9"/>
      <c r="M3541" s="11"/>
      <c r="N3541" s="9" t="s">
        <v>809</v>
      </c>
    </row>
    <row r="3542" ht="25" customHeight="1" spans="1:14">
      <c r="A3542" s="9" t="s">
        <v>327</v>
      </c>
      <c r="B3542" s="9" t="s">
        <v>326</v>
      </c>
      <c r="C3542" s="10">
        <v>43949</v>
      </c>
      <c r="D3542" s="15">
        <v>1.1535</v>
      </c>
      <c r="E3542" s="15">
        <v>1.2559</v>
      </c>
      <c r="F3542" s="15">
        <v>1.2743</v>
      </c>
      <c r="G3542" s="11">
        <v>-0.0058</v>
      </c>
      <c r="H3542" s="9">
        <f>MAX($F$3239:F3542)</f>
        <v>1.2817</v>
      </c>
      <c r="I3542" s="11">
        <f t="shared" si="85"/>
        <v>0.0057735819614575</v>
      </c>
      <c r="J3542" s="9"/>
      <c r="K3542" s="11"/>
      <c r="L3542" s="9"/>
      <c r="M3542" s="11"/>
      <c r="N3542" s="9" t="s">
        <v>809</v>
      </c>
    </row>
    <row r="3543" ht="25" customHeight="1" spans="1:14">
      <c r="A3543" s="9" t="s">
        <v>327</v>
      </c>
      <c r="B3543" s="9" t="s">
        <v>326</v>
      </c>
      <c r="C3543" s="10">
        <v>43950</v>
      </c>
      <c r="D3543" s="15">
        <v>1.1465</v>
      </c>
      <c r="E3543" s="15">
        <v>1.2489</v>
      </c>
      <c r="F3543" s="15">
        <v>1.2666</v>
      </c>
      <c r="G3543" s="11">
        <v>-0.0061</v>
      </c>
      <c r="H3543" s="9">
        <f>MAX($F$3239:F3543)</f>
        <v>1.2817</v>
      </c>
      <c r="I3543" s="11">
        <f t="shared" si="85"/>
        <v>0.0117812280564875</v>
      </c>
      <c r="J3543" s="9"/>
      <c r="K3543" s="11"/>
      <c r="L3543" s="9"/>
      <c r="M3543" s="11"/>
      <c r="N3543" s="9" t="s">
        <v>809</v>
      </c>
    </row>
    <row r="3544" ht="25" customHeight="1" spans="1:14">
      <c r="A3544" s="9" t="s">
        <v>327</v>
      </c>
      <c r="B3544" s="9" t="s">
        <v>326</v>
      </c>
      <c r="C3544" s="10">
        <v>43951</v>
      </c>
      <c r="D3544" s="15">
        <v>1.1391</v>
      </c>
      <c r="E3544" s="15">
        <v>1.2415</v>
      </c>
      <c r="F3544" s="15">
        <v>1.2584</v>
      </c>
      <c r="G3544" s="11">
        <v>-0.0065</v>
      </c>
      <c r="H3544" s="9">
        <f>MAX($F$3239:F3544)</f>
        <v>1.2817</v>
      </c>
      <c r="I3544" s="11">
        <f t="shared" si="85"/>
        <v>0.0181789810408053</v>
      </c>
      <c r="J3544" s="9"/>
      <c r="K3544" s="11"/>
      <c r="L3544" s="9"/>
      <c r="M3544" s="11"/>
      <c r="N3544" s="9" t="s">
        <v>809</v>
      </c>
    </row>
    <row r="3545" ht="25" customHeight="1" spans="1:14">
      <c r="A3545" s="9" t="s">
        <v>327</v>
      </c>
      <c r="B3545" s="9" t="s">
        <v>326</v>
      </c>
      <c r="C3545" s="10">
        <v>43957</v>
      </c>
      <c r="D3545" s="15">
        <v>1.1374</v>
      </c>
      <c r="E3545" s="15">
        <v>1.2398</v>
      </c>
      <c r="F3545" s="15">
        <v>1.2565</v>
      </c>
      <c r="G3545" s="11">
        <v>-0.0015</v>
      </c>
      <c r="H3545" s="9">
        <f>MAX($F$3239:F3545)</f>
        <v>1.2817</v>
      </c>
      <c r="I3545" s="11">
        <f t="shared" si="85"/>
        <v>0.0196613872200984</v>
      </c>
      <c r="J3545" s="9"/>
      <c r="K3545" s="11"/>
      <c r="L3545" s="9"/>
      <c r="M3545" s="11"/>
      <c r="N3545" s="9" t="s">
        <v>809</v>
      </c>
    </row>
    <row r="3546" ht="25" customHeight="1" spans="1:14">
      <c r="A3546" s="9" t="s">
        <v>327</v>
      </c>
      <c r="B3546" s="9" t="s">
        <v>326</v>
      </c>
      <c r="C3546" s="10">
        <v>43958</v>
      </c>
      <c r="D3546" s="15">
        <v>1.1405</v>
      </c>
      <c r="E3546" s="15">
        <v>1.2429</v>
      </c>
      <c r="F3546" s="15">
        <v>1.2599</v>
      </c>
      <c r="G3546" s="11">
        <v>0.0027</v>
      </c>
      <c r="H3546" s="9">
        <f>MAX($F$3239:F3546)</f>
        <v>1.2817</v>
      </c>
      <c r="I3546" s="11">
        <f t="shared" si="85"/>
        <v>0.0170086603729422</v>
      </c>
      <c r="J3546" s="9"/>
      <c r="K3546" s="11"/>
      <c r="L3546" s="9"/>
      <c r="M3546" s="11"/>
      <c r="N3546" s="9" t="s">
        <v>809</v>
      </c>
    </row>
    <row r="3547" ht="25" customHeight="1" spans="1:14">
      <c r="A3547" s="9" t="s">
        <v>327</v>
      </c>
      <c r="B3547" s="9" t="s">
        <v>326</v>
      </c>
      <c r="C3547" s="10">
        <v>43959</v>
      </c>
      <c r="D3547" s="15">
        <v>1.14</v>
      </c>
      <c r="E3547" s="15">
        <v>1.2424</v>
      </c>
      <c r="F3547" s="15">
        <v>1.2594</v>
      </c>
      <c r="G3547" s="11">
        <v>-0.0004</v>
      </c>
      <c r="H3547" s="9">
        <f>MAX($F$3239:F3547)</f>
        <v>1.2817</v>
      </c>
      <c r="I3547" s="11">
        <f t="shared" si="85"/>
        <v>0.0173987672622299</v>
      </c>
      <c r="J3547" s="9"/>
      <c r="K3547" s="11"/>
      <c r="L3547" s="9"/>
      <c r="M3547" s="11"/>
      <c r="N3547" s="9" t="s">
        <v>809</v>
      </c>
    </row>
    <row r="3548" ht="25" customHeight="1" spans="1:14">
      <c r="A3548" s="9" t="s">
        <v>327</v>
      </c>
      <c r="B3548" s="9" t="s">
        <v>326</v>
      </c>
      <c r="C3548" s="10">
        <v>43962</v>
      </c>
      <c r="D3548" s="15">
        <v>1.1468</v>
      </c>
      <c r="E3548" s="15">
        <v>1.2492</v>
      </c>
      <c r="F3548" s="15">
        <v>1.2669</v>
      </c>
      <c r="G3548" s="11">
        <v>0.006</v>
      </c>
      <c r="H3548" s="9">
        <f>MAX($F$3239:F3548)</f>
        <v>1.2817</v>
      </c>
      <c r="I3548" s="11">
        <f t="shared" si="85"/>
        <v>0.011547163922915</v>
      </c>
      <c r="J3548" s="9"/>
      <c r="K3548" s="11"/>
      <c r="L3548" s="9"/>
      <c r="M3548" s="11"/>
      <c r="N3548" s="9" t="s">
        <v>809</v>
      </c>
    </row>
    <row r="3549" ht="25" customHeight="1" spans="1:14">
      <c r="A3549" s="9" t="s">
        <v>327</v>
      </c>
      <c r="B3549" s="9" t="s">
        <v>326</v>
      </c>
      <c r="C3549" s="10">
        <v>43963</v>
      </c>
      <c r="D3549" s="15">
        <v>1.1493</v>
      </c>
      <c r="E3549" s="15">
        <v>1.2517</v>
      </c>
      <c r="F3549" s="15">
        <v>1.2697</v>
      </c>
      <c r="G3549" s="11">
        <v>0.0022</v>
      </c>
      <c r="H3549" s="9">
        <f>MAX($F$3239:F3549)</f>
        <v>1.2817</v>
      </c>
      <c r="I3549" s="11">
        <f t="shared" si="85"/>
        <v>0.00936256534290392</v>
      </c>
      <c r="J3549" s="9"/>
      <c r="K3549" s="11"/>
      <c r="L3549" s="9"/>
      <c r="M3549" s="11"/>
      <c r="N3549" s="9" t="s">
        <v>809</v>
      </c>
    </row>
    <row r="3550" ht="25" customHeight="1" spans="1:14">
      <c r="A3550" s="9" t="s">
        <v>327</v>
      </c>
      <c r="B3550" s="9" t="s">
        <v>326</v>
      </c>
      <c r="C3550" s="10">
        <v>43964</v>
      </c>
      <c r="D3550" s="15">
        <v>1.1496</v>
      </c>
      <c r="E3550" s="15">
        <v>1.252</v>
      </c>
      <c r="F3550" s="15">
        <v>1.27</v>
      </c>
      <c r="G3550" s="11">
        <v>0.0003</v>
      </c>
      <c r="H3550" s="9">
        <f>MAX($F$3239:F3550)</f>
        <v>1.2817</v>
      </c>
      <c r="I3550" s="11">
        <f t="shared" si="85"/>
        <v>0.0091285012093314</v>
      </c>
      <c r="J3550" s="9"/>
      <c r="K3550" s="11"/>
      <c r="L3550" s="9"/>
      <c r="M3550" s="11"/>
      <c r="N3550" s="9" t="s">
        <v>809</v>
      </c>
    </row>
    <row r="3551" ht="25" customHeight="1" spans="1:14">
      <c r="A3551" s="9" t="s">
        <v>327</v>
      </c>
      <c r="B3551" s="9" t="s">
        <v>326</v>
      </c>
      <c r="C3551" s="10">
        <v>43965</v>
      </c>
      <c r="D3551" s="15">
        <v>1.1647</v>
      </c>
      <c r="E3551" s="15">
        <v>1.2671</v>
      </c>
      <c r="F3551" s="15">
        <v>1.2867</v>
      </c>
      <c r="G3551" s="11">
        <v>0.0131</v>
      </c>
      <c r="H3551" s="9">
        <f>MAX($F$3239:F3551)</f>
        <v>1.2867</v>
      </c>
      <c r="I3551" s="11">
        <f t="shared" si="85"/>
        <v>0</v>
      </c>
      <c r="J3551" s="9"/>
      <c r="K3551" s="11"/>
      <c r="L3551" s="9"/>
      <c r="M3551" s="11"/>
      <c r="N3551" s="9" t="s">
        <v>809</v>
      </c>
    </row>
    <row r="3552" ht="25" customHeight="1" spans="1:14">
      <c r="A3552" s="9" t="s">
        <v>327</v>
      </c>
      <c r="B3552" s="9" t="s">
        <v>326</v>
      </c>
      <c r="C3552" s="10">
        <v>43966</v>
      </c>
      <c r="D3552" s="15">
        <v>1.1615</v>
      </c>
      <c r="E3552" s="15">
        <v>1.2639</v>
      </c>
      <c r="F3552" s="15">
        <v>1.2831</v>
      </c>
      <c r="G3552" s="11">
        <v>-0.0027</v>
      </c>
      <c r="H3552" s="9">
        <f>MAX($F$3239:F3552)</f>
        <v>1.2867</v>
      </c>
      <c r="I3552" s="11">
        <f t="shared" si="85"/>
        <v>0.00279785497785034</v>
      </c>
      <c r="J3552" s="9"/>
      <c r="K3552" s="11"/>
      <c r="L3552" s="9"/>
      <c r="M3552" s="11"/>
      <c r="N3552" s="9" t="s">
        <v>809</v>
      </c>
    </row>
    <row r="3553" ht="25" customHeight="1" spans="1:14">
      <c r="A3553" s="9" t="s">
        <v>327</v>
      </c>
      <c r="B3553" s="9" t="s">
        <v>326</v>
      </c>
      <c r="C3553" s="10">
        <v>43969</v>
      </c>
      <c r="D3553" s="15">
        <v>1.1587</v>
      </c>
      <c r="E3553" s="15">
        <v>1.2611</v>
      </c>
      <c r="F3553" s="15">
        <v>1.28</v>
      </c>
      <c r="G3553" s="11">
        <v>-0.0024</v>
      </c>
      <c r="H3553" s="9">
        <f>MAX($F$3239:F3553)</f>
        <v>1.2867</v>
      </c>
      <c r="I3553" s="11">
        <f t="shared" si="85"/>
        <v>0.00520711898655468</v>
      </c>
      <c r="J3553" s="9"/>
      <c r="K3553" s="11"/>
      <c r="L3553" s="9"/>
      <c r="M3553" s="11"/>
      <c r="N3553" s="9" t="s">
        <v>809</v>
      </c>
    </row>
    <row r="3554" ht="25" customHeight="1" spans="1:14">
      <c r="A3554" s="9" t="s">
        <v>327</v>
      </c>
      <c r="B3554" s="9" t="s">
        <v>326</v>
      </c>
      <c r="C3554" s="10">
        <v>43970</v>
      </c>
      <c r="D3554" s="15">
        <v>1.1551</v>
      </c>
      <c r="E3554" s="15">
        <v>1.2575</v>
      </c>
      <c r="F3554" s="15">
        <v>1.2761</v>
      </c>
      <c r="G3554" s="11">
        <v>-0.0031</v>
      </c>
      <c r="H3554" s="9">
        <f>MAX($F$3239:F3554)</f>
        <v>1.2867</v>
      </c>
      <c r="I3554" s="11">
        <f t="shared" si="85"/>
        <v>0.00823812854589256</v>
      </c>
      <c r="J3554" s="9"/>
      <c r="K3554" s="11"/>
      <c r="L3554" s="9"/>
      <c r="M3554" s="11"/>
      <c r="N3554" s="9" t="s">
        <v>809</v>
      </c>
    </row>
    <row r="3555" ht="25" customHeight="1" spans="1:14">
      <c r="A3555" s="9" t="s">
        <v>327</v>
      </c>
      <c r="B3555" s="9" t="s">
        <v>326</v>
      </c>
      <c r="C3555" s="10">
        <v>43971</v>
      </c>
      <c r="D3555" s="15">
        <v>1.1534</v>
      </c>
      <c r="E3555" s="15">
        <v>1.2558</v>
      </c>
      <c r="F3555" s="15">
        <v>1.2742</v>
      </c>
      <c r="G3555" s="11">
        <v>-0.0015</v>
      </c>
      <c r="H3555" s="9">
        <f>MAX($F$3239:F3555)</f>
        <v>1.2867</v>
      </c>
      <c r="I3555" s="11">
        <f t="shared" si="85"/>
        <v>0.00971477422864686</v>
      </c>
      <c r="J3555" s="9"/>
      <c r="K3555" s="11"/>
      <c r="L3555" s="9"/>
      <c r="M3555" s="11"/>
      <c r="N3555" s="9" t="s">
        <v>809</v>
      </c>
    </row>
    <row r="3556" ht="25" customHeight="1" spans="1:14">
      <c r="A3556" s="9" t="s">
        <v>327</v>
      </c>
      <c r="B3556" s="9" t="s">
        <v>326</v>
      </c>
      <c r="C3556" s="10">
        <v>43972</v>
      </c>
      <c r="D3556" s="15">
        <v>1.1533</v>
      </c>
      <c r="E3556" s="15">
        <v>1.2557</v>
      </c>
      <c r="F3556" s="15">
        <v>1.2741</v>
      </c>
      <c r="G3556" s="11">
        <v>-0.0001</v>
      </c>
      <c r="H3556" s="9">
        <f>MAX($F$3239:F3556)</f>
        <v>1.2867</v>
      </c>
      <c r="I3556" s="11">
        <f t="shared" si="85"/>
        <v>0.00979249242247604</v>
      </c>
      <c r="J3556" s="9"/>
      <c r="K3556" s="11"/>
      <c r="L3556" s="9"/>
      <c r="M3556" s="11"/>
      <c r="N3556" s="9" t="s">
        <v>809</v>
      </c>
    </row>
    <row r="3557" ht="25" customHeight="1" spans="1:14">
      <c r="A3557" s="9" t="s">
        <v>327</v>
      </c>
      <c r="B3557" s="9" t="s">
        <v>326</v>
      </c>
      <c r="C3557" s="10">
        <v>43973</v>
      </c>
      <c r="D3557" s="15">
        <v>1.1554</v>
      </c>
      <c r="E3557" s="15">
        <v>1.2578</v>
      </c>
      <c r="F3557" s="15">
        <v>1.2764</v>
      </c>
      <c r="G3557" s="11">
        <v>0.0018</v>
      </c>
      <c r="H3557" s="9">
        <f>MAX($F$3239:F3557)</f>
        <v>1.2867</v>
      </c>
      <c r="I3557" s="11">
        <f t="shared" si="85"/>
        <v>0.00800497396440503</v>
      </c>
      <c r="J3557" s="9"/>
      <c r="K3557" s="11"/>
      <c r="L3557" s="9"/>
      <c r="M3557" s="11"/>
      <c r="N3557" s="9" t="s">
        <v>809</v>
      </c>
    </row>
    <row r="3558" ht="25" customHeight="1" spans="1:14">
      <c r="A3558" s="9" t="s">
        <v>327</v>
      </c>
      <c r="B3558" s="9" t="s">
        <v>326</v>
      </c>
      <c r="C3558" s="10">
        <v>43976</v>
      </c>
      <c r="D3558" s="15">
        <v>1.155</v>
      </c>
      <c r="E3558" s="15">
        <v>1.2574</v>
      </c>
      <c r="F3558" s="15">
        <v>1.276</v>
      </c>
      <c r="G3558" s="11">
        <v>-0.0003</v>
      </c>
      <c r="H3558" s="9">
        <f>MAX($F$3239:F3558)</f>
        <v>1.2867</v>
      </c>
      <c r="I3558" s="11">
        <f t="shared" si="85"/>
        <v>0.00831584673972174</v>
      </c>
      <c r="J3558" s="9"/>
      <c r="K3558" s="11"/>
      <c r="L3558" s="9"/>
      <c r="M3558" s="11"/>
      <c r="N3558" s="9" t="s">
        <v>809</v>
      </c>
    </row>
    <row r="3559" ht="25" customHeight="1" spans="1:14">
      <c r="A3559" s="9" t="s">
        <v>327</v>
      </c>
      <c r="B3559" s="9" t="s">
        <v>326</v>
      </c>
      <c r="C3559" s="10">
        <v>43977</v>
      </c>
      <c r="D3559" s="15">
        <v>1.1542</v>
      </c>
      <c r="E3559" s="15">
        <v>1.2566</v>
      </c>
      <c r="F3559" s="15">
        <v>1.2751</v>
      </c>
      <c r="G3559" s="11">
        <v>-0.0007</v>
      </c>
      <c r="H3559" s="9">
        <f>MAX($F$3239:F3559)</f>
        <v>1.2867</v>
      </c>
      <c r="I3559" s="11">
        <f t="shared" si="85"/>
        <v>0.00901531048418436</v>
      </c>
      <c r="J3559" s="9"/>
      <c r="K3559" s="11"/>
      <c r="L3559" s="9"/>
      <c r="M3559" s="11"/>
      <c r="N3559" s="9" t="s">
        <v>809</v>
      </c>
    </row>
    <row r="3560" ht="25" customHeight="1" spans="1:14">
      <c r="A3560" s="9" t="s">
        <v>327</v>
      </c>
      <c r="B3560" s="9" t="s">
        <v>326</v>
      </c>
      <c r="C3560" s="10">
        <v>43978</v>
      </c>
      <c r="D3560" s="15">
        <v>1.1536</v>
      </c>
      <c r="E3560" s="15">
        <v>1.256</v>
      </c>
      <c r="F3560" s="15">
        <v>1.2744</v>
      </c>
      <c r="G3560" s="11">
        <v>-0.0005</v>
      </c>
      <c r="H3560" s="9">
        <f>MAX($F$3239:F3560)</f>
        <v>1.2867</v>
      </c>
      <c r="I3560" s="11">
        <f t="shared" si="85"/>
        <v>0.00955933784098861</v>
      </c>
      <c r="J3560" s="9"/>
      <c r="K3560" s="11"/>
      <c r="L3560" s="9"/>
      <c r="M3560" s="11"/>
      <c r="N3560" s="9" t="s">
        <v>809</v>
      </c>
    </row>
    <row r="3561" ht="25" customHeight="1" spans="1:14">
      <c r="A3561" s="9" t="s">
        <v>327</v>
      </c>
      <c r="B3561" s="9" t="s">
        <v>326</v>
      </c>
      <c r="C3561" s="10">
        <v>43979</v>
      </c>
      <c r="D3561" s="15">
        <v>1.1545</v>
      </c>
      <c r="E3561" s="15">
        <v>1.2569</v>
      </c>
      <c r="F3561" s="15">
        <v>1.2754</v>
      </c>
      <c r="G3561" s="11">
        <v>0.0008</v>
      </c>
      <c r="H3561" s="9">
        <f>MAX($F$3239:F3561)</f>
        <v>1.2867</v>
      </c>
      <c r="I3561" s="11">
        <f t="shared" si="85"/>
        <v>0.00878215590269671</v>
      </c>
      <c r="J3561" s="9"/>
      <c r="K3561" s="11"/>
      <c r="L3561" s="9"/>
      <c r="M3561" s="11"/>
      <c r="N3561" s="9" t="s">
        <v>809</v>
      </c>
    </row>
    <row r="3562" ht="25" customHeight="1" spans="1:14">
      <c r="A3562" s="9" t="s">
        <v>327</v>
      </c>
      <c r="B3562" s="9" t="s">
        <v>326</v>
      </c>
      <c r="C3562" s="10">
        <v>43980</v>
      </c>
      <c r="D3562" s="15">
        <v>1.1554</v>
      </c>
      <c r="E3562" s="15">
        <v>1.2578</v>
      </c>
      <c r="F3562" s="15">
        <v>1.2764</v>
      </c>
      <c r="G3562" s="11">
        <v>0.0008</v>
      </c>
      <c r="H3562" s="9">
        <f>MAX($F$3239:F3562)</f>
        <v>1.2867</v>
      </c>
      <c r="I3562" s="11">
        <f t="shared" si="85"/>
        <v>0.00800497396440503</v>
      </c>
      <c r="J3562" s="9"/>
      <c r="K3562" s="11"/>
      <c r="L3562" s="9"/>
      <c r="M3562" s="11"/>
      <c r="N3562" s="9" t="s">
        <v>809</v>
      </c>
    </row>
    <row r="3563" ht="25" customHeight="1" spans="1:14">
      <c r="A3563" s="9" t="s">
        <v>327</v>
      </c>
      <c r="B3563" s="9" t="s">
        <v>326</v>
      </c>
      <c r="C3563" s="10">
        <v>43983</v>
      </c>
      <c r="D3563" s="15">
        <v>1.1565</v>
      </c>
      <c r="E3563" s="15">
        <v>1.2589</v>
      </c>
      <c r="F3563" s="15">
        <v>1.2776</v>
      </c>
      <c r="G3563" s="11">
        <v>0.001</v>
      </c>
      <c r="H3563" s="9">
        <f>MAX($F$3239:F3563)</f>
        <v>1.2867</v>
      </c>
      <c r="I3563" s="11">
        <f t="shared" si="85"/>
        <v>0.00707235563845487</v>
      </c>
      <c r="J3563" s="9"/>
      <c r="K3563" s="11"/>
      <c r="L3563" s="9"/>
      <c r="M3563" s="11"/>
      <c r="N3563" s="9" t="s">
        <v>809</v>
      </c>
    </row>
    <row r="3564" ht="25" customHeight="1" spans="1:14">
      <c r="A3564" s="9" t="s">
        <v>327</v>
      </c>
      <c r="B3564" s="9" t="s">
        <v>326</v>
      </c>
      <c r="C3564" s="10">
        <v>43984</v>
      </c>
      <c r="D3564" s="15">
        <v>1.1571</v>
      </c>
      <c r="E3564" s="15">
        <v>1.2595</v>
      </c>
      <c r="F3564" s="15">
        <v>1.2783</v>
      </c>
      <c r="G3564" s="11">
        <v>0.0005</v>
      </c>
      <c r="H3564" s="9">
        <f>MAX($F$3239:F3564)</f>
        <v>1.2867</v>
      </c>
      <c r="I3564" s="11">
        <f t="shared" si="85"/>
        <v>0.00652832828165073</v>
      </c>
      <c r="J3564" s="9"/>
      <c r="K3564" s="11"/>
      <c r="L3564" s="9"/>
      <c r="M3564" s="11"/>
      <c r="N3564" s="9" t="s">
        <v>809</v>
      </c>
    </row>
    <row r="3565" ht="25" customHeight="1" spans="1:14">
      <c r="A3565" s="9" t="s">
        <v>327</v>
      </c>
      <c r="B3565" s="9" t="s">
        <v>326</v>
      </c>
      <c r="C3565" s="10">
        <v>43985</v>
      </c>
      <c r="D3565" s="15">
        <v>1.1584</v>
      </c>
      <c r="E3565" s="15">
        <v>1.2608</v>
      </c>
      <c r="F3565" s="15">
        <v>1.2797</v>
      </c>
      <c r="G3565" s="11">
        <v>0.0011</v>
      </c>
      <c r="H3565" s="9">
        <f>MAX($F$3239:F3565)</f>
        <v>1.2867</v>
      </c>
      <c r="I3565" s="11">
        <f t="shared" si="85"/>
        <v>0.00544027356804222</v>
      </c>
      <c r="J3565" s="9"/>
      <c r="K3565" s="11"/>
      <c r="L3565" s="9"/>
      <c r="M3565" s="11"/>
      <c r="N3565" s="9" t="s">
        <v>809</v>
      </c>
    </row>
    <row r="3566" ht="25" customHeight="1" spans="1:14">
      <c r="A3566" s="9" t="s">
        <v>327</v>
      </c>
      <c r="B3566" s="9" t="s">
        <v>326</v>
      </c>
      <c r="C3566" s="10">
        <v>43986</v>
      </c>
      <c r="D3566" s="15">
        <v>1.1622</v>
      </c>
      <c r="E3566" s="15">
        <v>1.2646</v>
      </c>
      <c r="F3566" s="15">
        <v>1.2839</v>
      </c>
      <c r="G3566" s="11">
        <v>0.0033</v>
      </c>
      <c r="H3566" s="9">
        <f>MAX($F$3239:F3566)</f>
        <v>1.2867</v>
      </c>
      <c r="I3566" s="11">
        <f t="shared" si="85"/>
        <v>0.0021761094272168</v>
      </c>
      <c r="J3566" s="9"/>
      <c r="K3566" s="11"/>
      <c r="L3566" s="9"/>
      <c r="M3566" s="11"/>
      <c r="N3566" s="9" t="s">
        <v>809</v>
      </c>
    </row>
    <row r="3567" ht="25" customHeight="1" spans="1:14">
      <c r="A3567" s="9" t="s">
        <v>327</v>
      </c>
      <c r="B3567" s="9" t="s">
        <v>326</v>
      </c>
      <c r="C3567" s="10">
        <v>43987</v>
      </c>
      <c r="D3567" s="15">
        <v>1.1625</v>
      </c>
      <c r="E3567" s="15">
        <v>1.2649</v>
      </c>
      <c r="F3567" s="15">
        <v>1.2842</v>
      </c>
      <c r="G3567" s="11">
        <v>0.0003</v>
      </c>
      <c r="H3567" s="9">
        <f>MAX($F$3239:F3567)</f>
        <v>1.2867</v>
      </c>
      <c r="I3567" s="11">
        <f t="shared" si="85"/>
        <v>0.00194295484572937</v>
      </c>
      <c r="J3567" s="9"/>
      <c r="K3567" s="11"/>
      <c r="L3567" s="9"/>
      <c r="M3567" s="11"/>
      <c r="N3567" s="9" t="s">
        <v>809</v>
      </c>
    </row>
    <row r="3568" ht="25" customHeight="1" spans="1:14">
      <c r="A3568" s="9" t="s">
        <v>327</v>
      </c>
      <c r="B3568" s="9" t="s">
        <v>326</v>
      </c>
      <c r="C3568" s="10">
        <v>43990</v>
      </c>
      <c r="D3568" s="15">
        <v>1.1621</v>
      </c>
      <c r="E3568" s="15">
        <v>1.2645</v>
      </c>
      <c r="F3568" s="15">
        <v>1.2838</v>
      </c>
      <c r="G3568" s="11">
        <v>-0.0003</v>
      </c>
      <c r="H3568" s="9">
        <f>MAX($F$3239:F3568)</f>
        <v>1.2867</v>
      </c>
      <c r="I3568" s="11">
        <f t="shared" si="85"/>
        <v>0.00225382762104598</v>
      </c>
      <c r="J3568" s="9"/>
      <c r="K3568" s="11"/>
      <c r="L3568" s="9"/>
      <c r="M3568" s="11"/>
      <c r="N3568" s="9" t="s">
        <v>809</v>
      </c>
    </row>
    <row r="3569" ht="25" customHeight="1" spans="1:14">
      <c r="A3569" s="9" t="s">
        <v>327</v>
      </c>
      <c r="B3569" s="9" t="s">
        <v>326</v>
      </c>
      <c r="C3569" s="10">
        <v>43991</v>
      </c>
      <c r="D3569" s="15">
        <v>1.1651</v>
      </c>
      <c r="E3569" s="15">
        <v>1.2675</v>
      </c>
      <c r="F3569" s="15">
        <v>1.2871</v>
      </c>
      <c r="G3569" s="11">
        <v>0.0026</v>
      </c>
      <c r="H3569" s="9">
        <f>MAX($F$3239:F3569)</f>
        <v>1.2871</v>
      </c>
      <c r="I3569" s="11">
        <f t="shared" si="85"/>
        <v>0</v>
      </c>
      <c r="J3569" s="9"/>
      <c r="K3569" s="11"/>
      <c r="L3569" s="9"/>
      <c r="M3569" s="11"/>
      <c r="N3569" s="9" t="s">
        <v>809</v>
      </c>
    </row>
    <row r="3570" ht="25" customHeight="1" spans="1:14">
      <c r="A3570" s="9" t="s">
        <v>327</v>
      </c>
      <c r="B3570" s="9" t="s">
        <v>326</v>
      </c>
      <c r="C3570" s="10">
        <v>43992</v>
      </c>
      <c r="D3570" s="15">
        <v>1.165</v>
      </c>
      <c r="E3570" s="15">
        <v>1.2674</v>
      </c>
      <c r="F3570" s="15">
        <v>1.287</v>
      </c>
      <c r="G3570" s="11">
        <v>-0.0001</v>
      </c>
      <c r="H3570" s="9">
        <f>MAX($F$3239:F3570)</f>
        <v>1.2871</v>
      </c>
      <c r="I3570" s="11">
        <f t="shared" si="85"/>
        <v>7.76940408671045e-5</v>
      </c>
      <c r="J3570" s="9"/>
      <c r="K3570" s="11"/>
      <c r="L3570" s="9"/>
      <c r="M3570" s="11"/>
      <c r="N3570" s="9" t="s">
        <v>809</v>
      </c>
    </row>
    <row r="3571" ht="25" customHeight="1" spans="1:14">
      <c r="A3571" s="9" t="s">
        <v>327</v>
      </c>
      <c r="B3571" s="9" t="s">
        <v>326</v>
      </c>
      <c r="C3571" s="10">
        <v>43993</v>
      </c>
      <c r="D3571" s="15">
        <v>1.1654</v>
      </c>
      <c r="E3571" s="15">
        <v>1.2678</v>
      </c>
      <c r="F3571" s="15">
        <v>1.2874</v>
      </c>
      <c r="G3571" s="11">
        <v>0.0003</v>
      </c>
      <c r="H3571" s="9">
        <f>MAX($F$3239:F3571)</f>
        <v>1.2874</v>
      </c>
      <c r="I3571" s="11">
        <f t="shared" si="85"/>
        <v>0</v>
      </c>
      <c r="J3571" s="9"/>
      <c r="K3571" s="11"/>
      <c r="L3571" s="9"/>
      <c r="M3571" s="11"/>
      <c r="N3571" s="9" t="s">
        <v>809</v>
      </c>
    </row>
    <row r="3572" ht="25" customHeight="1" spans="1:14">
      <c r="A3572" s="9" t="s">
        <v>327</v>
      </c>
      <c r="B3572" s="9" t="s">
        <v>326</v>
      </c>
      <c r="C3572" s="10">
        <v>43994</v>
      </c>
      <c r="D3572" s="15">
        <v>1.1658</v>
      </c>
      <c r="E3572" s="15">
        <v>1.2682</v>
      </c>
      <c r="F3572" s="15">
        <v>1.2879</v>
      </c>
      <c r="G3572" s="11">
        <v>0.0003</v>
      </c>
      <c r="H3572" s="9">
        <f>MAX($F$3239:F3572)</f>
        <v>1.2879</v>
      </c>
      <c r="I3572" s="11">
        <f t="shared" si="85"/>
        <v>0</v>
      </c>
      <c r="J3572" s="9"/>
      <c r="K3572" s="11"/>
      <c r="L3572" s="9"/>
      <c r="M3572" s="11"/>
      <c r="N3572" s="9" t="s">
        <v>809</v>
      </c>
    </row>
    <row r="3573" ht="25" customHeight="1" spans="1:14">
      <c r="A3573" s="9" t="s">
        <v>327</v>
      </c>
      <c r="B3573" s="9" t="s">
        <v>326</v>
      </c>
      <c r="C3573" s="10">
        <v>43997</v>
      </c>
      <c r="D3573" s="15">
        <v>1.1681</v>
      </c>
      <c r="E3573" s="15">
        <v>1.2705</v>
      </c>
      <c r="F3573" s="15">
        <v>1.2904</v>
      </c>
      <c r="G3573" s="11">
        <v>0.002</v>
      </c>
      <c r="H3573" s="9">
        <f>MAX($F$3239:F3573)</f>
        <v>1.2904</v>
      </c>
      <c r="I3573" s="11">
        <f t="shared" si="85"/>
        <v>0</v>
      </c>
      <c r="J3573" s="9"/>
      <c r="K3573" s="11"/>
      <c r="L3573" s="9"/>
      <c r="M3573" s="11"/>
      <c r="N3573" s="9" t="s">
        <v>809</v>
      </c>
    </row>
    <row r="3574" ht="25" customHeight="1" spans="1:14">
      <c r="A3574" s="9" t="s">
        <v>327</v>
      </c>
      <c r="B3574" s="9" t="s">
        <v>326</v>
      </c>
      <c r="C3574" s="10">
        <v>43998</v>
      </c>
      <c r="D3574" s="15">
        <v>1.1674</v>
      </c>
      <c r="E3574" s="15">
        <v>1.2698</v>
      </c>
      <c r="F3574" s="15">
        <v>1.2897</v>
      </c>
      <c r="G3574" s="11">
        <v>-0.0006</v>
      </c>
      <c r="H3574" s="9">
        <f>MAX($F$3239:F3574)</f>
        <v>1.2904</v>
      </c>
      <c r="I3574" s="11">
        <f t="shared" si="85"/>
        <v>0.000542467451952855</v>
      </c>
      <c r="J3574" s="9"/>
      <c r="K3574" s="11"/>
      <c r="L3574" s="9"/>
      <c r="M3574" s="11"/>
      <c r="N3574" s="9" t="s">
        <v>809</v>
      </c>
    </row>
    <row r="3575" ht="25" customHeight="1" spans="1:14">
      <c r="A3575" s="9" t="s">
        <v>327</v>
      </c>
      <c r="B3575" s="9" t="s">
        <v>326</v>
      </c>
      <c r="C3575" s="10">
        <v>43999</v>
      </c>
      <c r="D3575" s="15">
        <v>1.1663</v>
      </c>
      <c r="E3575" s="15">
        <v>1.2687</v>
      </c>
      <c r="F3575" s="15">
        <v>1.2884</v>
      </c>
      <c r="G3575" s="11">
        <v>-0.0009</v>
      </c>
      <c r="H3575" s="9">
        <f>MAX($F$3239:F3575)</f>
        <v>1.2904</v>
      </c>
      <c r="I3575" s="11">
        <f t="shared" si="85"/>
        <v>0.00154990700557966</v>
      </c>
      <c r="J3575" s="9"/>
      <c r="K3575" s="11"/>
      <c r="L3575" s="9"/>
      <c r="M3575" s="11"/>
      <c r="N3575" s="9" t="s">
        <v>809</v>
      </c>
    </row>
    <row r="3576" ht="25" customHeight="1" spans="1:14">
      <c r="A3576" s="9" t="s">
        <v>327</v>
      </c>
      <c r="B3576" s="9" t="s">
        <v>326</v>
      </c>
      <c r="C3576" s="10">
        <v>44000</v>
      </c>
      <c r="D3576" s="15">
        <v>1.1661</v>
      </c>
      <c r="E3576" s="15">
        <v>1.2685</v>
      </c>
      <c r="F3576" s="15">
        <v>1.2882</v>
      </c>
      <c r="G3576" s="11">
        <v>-0.0002</v>
      </c>
      <c r="H3576" s="9">
        <f>MAX($F$3239:F3576)</f>
        <v>1.2904</v>
      </c>
      <c r="I3576" s="11">
        <f t="shared" si="85"/>
        <v>0.00170489770613758</v>
      </c>
      <c r="J3576" s="9"/>
      <c r="K3576" s="11"/>
      <c r="L3576" s="9"/>
      <c r="M3576" s="11"/>
      <c r="N3576" s="9" t="s">
        <v>809</v>
      </c>
    </row>
    <row r="3577" ht="25" customHeight="1" spans="1:14">
      <c r="A3577" s="9" t="s">
        <v>327</v>
      </c>
      <c r="B3577" s="9" t="s">
        <v>326</v>
      </c>
      <c r="C3577" s="10">
        <v>44001</v>
      </c>
      <c r="D3577" s="15">
        <v>1</v>
      </c>
      <c r="E3577" s="15">
        <v>1.2697</v>
      </c>
      <c r="F3577" s="15">
        <v>1.2895</v>
      </c>
      <c r="G3577" s="11">
        <v>0.001</v>
      </c>
      <c r="H3577" s="9">
        <f>MAX($F$3239:F3577)</f>
        <v>1.2904</v>
      </c>
      <c r="I3577" s="11">
        <f t="shared" si="85"/>
        <v>0.000697458152510766</v>
      </c>
      <c r="J3577" s="9"/>
      <c r="K3577" s="11"/>
      <c r="L3577" s="9"/>
      <c r="M3577" s="11"/>
      <c r="N3577" s="9" t="s">
        <v>809</v>
      </c>
    </row>
    <row r="3578" ht="25" customHeight="1" spans="1:14">
      <c r="A3578" s="9" t="s">
        <v>327</v>
      </c>
      <c r="B3578" s="9" t="s">
        <v>326</v>
      </c>
      <c r="C3578" s="10">
        <v>44004</v>
      </c>
      <c r="D3578" s="15">
        <v>1.0005</v>
      </c>
      <c r="E3578" s="15">
        <v>1.2702</v>
      </c>
      <c r="F3578" s="15">
        <v>1.2902</v>
      </c>
      <c r="G3578" s="11">
        <v>0.0005</v>
      </c>
      <c r="H3578" s="9">
        <f>MAX($F$3239:F3578)</f>
        <v>1.2904</v>
      </c>
      <c r="I3578" s="11">
        <f t="shared" si="85"/>
        <v>0.000154990700557911</v>
      </c>
      <c r="J3578" s="9"/>
      <c r="K3578" s="11"/>
      <c r="L3578" s="9"/>
      <c r="M3578" s="11"/>
      <c r="N3578" s="9" t="s">
        <v>809</v>
      </c>
    </row>
    <row r="3579" ht="25" customHeight="1" spans="1:14">
      <c r="A3579" s="9" t="s">
        <v>327</v>
      </c>
      <c r="B3579" s="9" t="s">
        <v>326</v>
      </c>
      <c r="C3579" s="10">
        <v>44005</v>
      </c>
      <c r="D3579" s="15">
        <v>0.9989</v>
      </c>
      <c r="E3579" s="15">
        <v>1.2686</v>
      </c>
      <c r="F3579" s="15">
        <v>1.2881</v>
      </c>
      <c r="G3579" s="11">
        <v>-0.0016</v>
      </c>
      <c r="H3579" s="9">
        <f>MAX($F$3239:F3579)</f>
        <v>1.2904</v>
      </c>
      <c r="I3579" s="11">
        <f t="shared" si="85"/>
        <v>0.00178239305641659</v>
      </c>
      <c r="J3579" s="9"/>
      <c r="K3579" s="11"/>
      <c r="L3579" s="9"/>
      <c r="M3579" s="11"/>
      <c r="N3579" s="9" t="s">
        <v>809</v>
      </c>
    </row>
    <row r="3580" ht="25" customHeight="1" spans="1:14">
      <c r="A3580" s="9" t="s">
        <v>327</v>
      </c>
      <c r="B3580" s="9" t="s">
        <v>326</v>
      </c>
      <c r="C3580" s="10">
        <v>44006</v>
      </c>
      <c r="D3580" s="15">
        <v>0.9994</v>
      </c>
      <c r="E3580" s="15">
        <v>1.2691</v>
      </c>
      <c r="F3580" s="15">
        <v>1.2888</v>
      </c>
      <c r="G3580" s="11">
        <v>0.0005</v>
      </c>
      <c r="H3580" s="9">
        <f>MAX($F$3239:F3580)</f>
        <v>1.2904</v>
      </c>
      <c r="I3580" s="11">
        <f t="shared" si="85"/>
        <v>0.00123992560446373</v>
      </c>
      <c r="J3580" s="9"/>
      <c r="K3580" s="11"/>
      <c r="L3580" s="9"/>
      <c r="M3580" s="11"/>
      <c r="N3580" s="9" t="s">
        <v>809</v>
      </c>
    </row>
    <row r="3581" ht="25" customHeight="1" spans="1:14">
      <c r="A3581" s="9" t="s">
        <v>327</v>
      </c>
      <c r="B3581" s="9" t="s">
        <v>326</v>
      </c>
      <c r="C3581" s="10">
        <v>44011</v>
      </c>
      <c r="D3581" s="15">
        <v>0.9989</v>
      </c>
      <c r="E3581" s="15">
        <v>1.2686</v>
      </c>
      <c r="F3581" s="15">
        <v>1.2881</v>
      </c>
      <c r="G3581" s="11">
        <v>-0.0005</v>
      </c>
      <c r="H3581" s="9">
        <f>MAX($F$3239:F3581)</f>
        <v>1.2904</v>
      </c>
      <c r="I3581" s="11">
        <f t="shared" si="85"/>
        <v>0.00178239305641659</v>
      </c>
      <c r="J3581" s="9"/>
      <c r="K3581" s="11"/>
      <c r="L3581" s="9"/>
      <c r="M3581" s="11"/>
      <c r="N3581" s="9" t="s">
        <v>809</v>
      </c>
    </row>
    <row r="3582" ht="25" customHeight="1" spans="1:14">
      <c r="A3582" s="9" t="s">
        <v>327</v>
      </c>
      <c r="B3582" s="9" t="s">
        <v>326</v>
      </c>
      <c r="C3582" s="10">
        <v>44012</v>
      </c>
      <c r="D3582" s="15">
        <v>0.9977</v>
      </c>
      <c r="E3582" s="15">
        <v>1.2674</v>
      </c>
      <c r="F3582" s="15">
        <v>1.2866</v>
      </c>
      <c r="G3582" s="11">
        <v>-0.0012</v>
      </c>
      <c r="H3582" s="9">
        <f>MAX($F$3239:F3582)</f>
        <v>1.2904</v>
      </c>
      <c r="I3582" s="11">
        <f t="shared" si="85"/>
        <v>0.00294482331060142</v>
      </c>
      <c r="J3582" s="9"/>
      <c r="K3582" s="11"/>
      <c r="L3582" s="9"/>
      <c r="M3582" s="11"/>
      <c r="N3582" s="9" t="s">
        <v>809</v>
      </c>
    </row>
    <row r="3583" ht="25" customHeight="1" spans="1:14">
      <c r="A3583" s="9" t="s">
        <v>327</v>
      </c>
      <c r="B3583" s="9" t="s">
        <v>326</v>
      </c>
      <c r="C3583" s="10">
        <v>44013</v>
      </c>
      <c r="D3583" s="15">
        <v>0.9983</v>
      </c>
      <c r="E3583" s="15">
        <v>1.268</v>
      </c>
      <c r="F3583" s="15">
        <v>1.2873</v>
      </c>
      <c r="G3583" s="11">
        <v>0.0006</v>
      </c>
      <c r="H3583" s="9">
        <f>MAX($F$3239:F3583)</f>
        <v>1.2904</v>
      </c>
      <c r="I3583" s="11">
        <f t="shared" si="85"/>
        <v>0.00240235585864834</v>
      </c>
      <c r="J3583" s="9"/>
      <c r="K3583" s="11"/>
      <c r="L3583" s="9"/>
      <c r="M3583" s="11"/>
      <c r="N3583" s="9" t="s">
        <v>809</v>
      </c>
    </row>
    <row r="3584" ht="25" customHeight="1" spans="1:14">
      <c r="A3584" s="9" t="s">
        <v>327</v>
      </c>
      <c r="B3584" s="9" t="s">
        <v>326</v>
      </c>
      <c r="C3584" s="10">
        <v>44014</v>
      </c>
      <c r="D3584" s="15">
        <v>0.9994</v>
      </c>
      <c r="E3584" s="15">
        <v>1.2691</v>
      </c>
      <c r="F3584" s="15">
        <v>1.2888</v>
      </c>
      <c r="G3584" s="11">
        <v>0.0011</v>
      </c>
      <c r="H3584" s="9">
        <f>MAX($F$3239:F3584)</f>
        <v>1.2904</v>
      </c>
      <c r="I3584" s="11">
        <f t="shared" si="85"/>
        <v>0.00123992560446373</v>
      </c>
      <c r="J3584" s="9"/>
      <c r="K3584" s="11"/>
      <c r="L3584" s="9"/>
      <c r="M3584" s="11"/>
      <c r="N3584" s="9" t="s">
        <v>809</v>
      </c>
    </row>
    <row r="3585" ht="25" customHeight="1" spans="1:14">
      <c r="A3585" s="9" t="s">
        <v>327</v>
      </c>
      <c r="B3585" s="9" t="s">
        <v>326</v>
      </c>
      <c r="C3585" s="10">
        <v>44015</v>
      </c>
      <c r="D3585" s="15">
        <v>1</v>
      </c>
      <c r="E3585" s="15">
        <v>1.2697</v>
      </c>
      <c r="F3585" s="15">
        <v>1.2895</v>
      </c>
      <c r="G3585" s="11">
        <v>0.0006</v>
      </c>
      <c r="H3585" s="9">
        <f>MAX($F$3239:F3585)</f>
        <v>1.2904</v>
      </c>
      <c r="I3585" s="11">
        <f t="shared" si="85"/>
        <v>0.000697458152510766</v>
      </c>
      <c r="J3585" s="9"/>
      <c r="K3585" s="11"/>
      <c r="L3585" s="9"/>
      <c r="M3585" s="11"/>
      <c r="N3585" s="9" t="s">
        <v>809</v>
      </c>
    </row>
    <row r="3586" ht="25" customHeight="1" spans="1:14">
      <c r="A3586" s="9" t="s">
        <v>327</v>
      </c>
      <c r="B3586" s="9" t="s">
        <v>326</v>
      </c>
      <c r="C3586" s="10">
        <v>44018</v>
      </c>
      <c r="D3586" s="15">
        <v>1.005</v>
      </c>
      <c r="E3586" s="15">
        <v>1.2747</v>
      </c>
      <c r="F3586" s="15">
        <v>1.296</v>
      </c>
      <c r="G3586" s="11">
        <v>0.005</v>
      </c>
      <c r="H3586" s="9">
        <f>MAX($F$3239:F3586)</f>
        <v>1.296</v>
      </c>
      <c r="I3586" s="11">
        <f t="shared" ref="I3586:I3649" si="86">1-F3586/H3586</f>
        <v>0</v>
      </c>
      <c r="J3586" s="9"/>
      <c r="K3586" s="11"/>
      <c r="L3586" s="9"/>
      <c r="M3586" s="11"/>
      <c r="N3586" s="9" t="s">
        <v>809</v>
      </c>
    </row>
    <row r="3587" ht="25" customHeight="1" spans="1:14">
      <c r="A3587" s="9" t="s">
        <v>327</v>
      </c>
      <c r="B3587" s="9" t="s">
        <v>326</v>
      </c>
      <c r="C3587" s="10">
        <v>44019</v>
      </c>
      <c r="D3587" s="15">
        <v>1.0086</v>
      </c>
      <c r="E3587" s="15">
        <v>1.2783</v>
      </c>
      <c r="F3587" s="15">
        <v>1.3006</v>
      </c>
      <c r="G3587" s="11">
        <v>0.0036</v>
      </c>
      <c r="H3587" s="9">
        <f>MAX($F$3239:F3587)</f>
        <v>1.3006</v>
      </c>
      <c r="I3587" s="11">
        <f t="shared" si="86"/>
        <v>0</v>
      </c>
      <c r="J3587" s="9"/>
      <c r="K3587" s="11"/>
      <c r="L3587" s="9"/>
      <c r="M3587" s="11"/>
      <c r="N3587" s="9" t="s">
        <v>809</v>
      </c>
    </row>
    <row r="3588" ht="25" customHeight="1" spans="1:14">
      <c r="A3588" s="9" t="s">
        <v>327</v>
      </c>
      <c r="B3588" s="9" t="s">
        <v>326</v>
      </c>
      <c r="C3588" s="10">
        <v>44020</v>
      </c>
      <c r="D3588" s="15">
        <v>1.0105</v>
      </c>
      <c r="E3588" s="15">
        <v>1.2802</v>
      </c>
      <c r="F3588" s="15">
        <v>1.3031</v>
      </c>
      <c r="G3588" s="11">
        <v>0.0019</v>
      </c>
      <c r="H3588" s="9">
        <f>MAX($F$3239:F3588)</f>
        <v>1.3031</v>
      </c>
      <c r="I3588" s="11">
        <f t="shared" si="86"/>
        <v>0</v>
      </c>
      <c r="J3588" s="9"/>
      <c r="K3588" s="11"/>
      <c r="L3588" s="9"/>
      <c r="M3588" s="11"/>
      <c r="N3588" s="9" t="s">
        <v>809</v>
      </c>
    </row>
    <row r="3589" ht="25" customHeight="1" spans="1:14">
      <c r="A3589" s="9" t="s">
        <v>327</v>
      </c>
      <c r="B3589" s="9" t="s">
        <v>326</v>
      </c>
      <c r="C3589" s="10">
        <v>44021</v>
      </c>
      <c r="D3589" s="15">
        <v>1.015</v>
      </c>
      <c r="E3589" s="15">
        <v>1.2847</v>
      </c>
      <c r="F3589" s="15">
        <v>1.3089</v>
      </c>
      <c r="G3589" s="11">
        <v>0.0045</v>
      </c>
      <c r="H3589" s="9">
        <f>MAX($F$3239:F3589)</f>
        <v>1.3089</v>
      </c>
      <c r="I3589" s="11">
        <f t="shared" si="86"/>
        <v>0</v>
      </c>
      <c r="J3589" s="9"/>
      <c r="K3589" s="11"/>
      <c r="L3589" s="9"/>
      <c r="M3589" s="11"/>
      <c r="N3589" s="9" t="s">
        <v>809</v>
      </c>
    </row>
    <row r="3590" ht="25" customHeight="1" spans="1:14">
      <c r="A3590" s="9" t="s">
        <v>327</v>
      </c>
      <c r="B3590" s="9" t="s">
        <v>326</v>
      </c>
      <c r="C3590" s="10">
        <v>44022</v>
      </c>
      <c r="D3590" s="15">
        <v>1.0161</v>
      </c>
      <c r="E3590" s="15">
        <v>1.2858</v>
      </c>
      <c r="F3590" s="15">
        <v>1.3103</v>
      </c>
      <c r="G3590" s="11">
        <v>0.0011</v>
      </c>
      <c r="H3590" s="9">
        <f>MAX($F$3239:F3590)</f>
        <v>1.3103</v>
      </c>
      <c r="I3590" s="11">
        <f t="shared" si="86"/>
        <v>0</v>
      </c>
      <c r="J3590" s="9"/>
      <c r="K3590" s="11"/>
      <c r="L3590" s="9"/>
      <c r="M3590" s="11"/>
      <c r="N3590" s="9" t="s">
        <v>809</v>
      </c>
    </row>
    <row r="3591" ht="25" customHeight="1" spans="1:14">
      <c r="A3591" s="9" t="s">
        <v>327</v>
      </c>
      <c r="B3591" s="9" t="s">
        <v>326</v>
      </c>
      <c r="C3591" s="10">
        <v>44025</v>
      </c>
      <c r="D3591" s="15">
        <v>1.0178</v>
      </c>
      <c r="E3591" s="15">
        <v>1.2875</v>
      </c>
      <c r="F3591" s="15">
        <v>1.3125</v>
      </c>
      <c r="G3591" s="11">
        <v>0.0017</v>
      </c>
      <c r="H3591" s="9">
        <f>MAX($F$3239:F3591)</f>
        <v>1.3125</v>
      </c>
      <c r="I3591" s="11">
        <f t="shared" si="86"/>
        <v>0</v>
      </c>
      <c r="J3591" s="9"/>
      <c r="K3591" s="11"/>
      <c r="L3591" s="9"/>
      <c r="M3591" s="11"/>
      <c r="N3591" s="9" t="s">
        <v>809</v>
      </c>
    </row>
    <row r="3592" ht="25" customHeight="1" spans="1:14">
      <c r="A3592" s="9" t="s">
        <v>327</v>
      </c>
      <c r="B3592" s="9" t="s">
        <v>326</v>
      </c>
      <c r="C3592" s="10">
        <v>44026</v>
      </c>
      <c r="D3592" s="15">
        <v>1.0208</v>
      </c>
      <c r="E3592" s="15">
        <v>1.2905</v>
      </c>
      <c r="F3592" s="15">
        <v>1.3164</v>
      </c>
      <c r="G3592" s="11">
        <v>0.0029</v>
      </c>
      <c r="H3592" s="9">
        <f>MAX($F$3239:F3592)</f>
        <v>1.3164</v>
      </c>
      <c r="I3592" s="11">
        <f t="shared" si="86"/>
        <v>0</v>
      </c>
      <c r="J3592" s="9"/>
      <c r="K3592" s="11"/>
      <c r="L3592" s="9"/>
      <c r="M3592" s="11"/>
      <c r="N3592" s="9" t="s">
        <v>809</v>
      </c>
    </row>
    <row r="3593" ht="25" customHeight="1" spans="1:14">
      <c r="A3593" s="9" t="s">
        <v>327</v>
      </c>
      <c r="B3593" s="9" t="s">
        <v>326</v>
      </c>
      <c r="C3593" s="10">
        <v>44027</v>
      </c>
      <c r="D3593" s="15">
        <v>1.0227</v>
      </c>
      <c r="E3593" s="15">
        <v>1.2924</v>
      </c>
      <c r="F3593" s="15">
        <v>1.3188</v>
      </c>
      <c r="G3593" s="11">
        <v>0.0019</v>
      </c>
      <c r="H3593" s="9">
        <f>MAX($F$3239:F3593)</f>
        <v>1.3188</v>
      </c>
      <c r="I3593" s="11">
        <f t="shared" si="86"/>
        <v>0</v>
      </c>
      <c r="J3593" s="9"/>
      <c r="K3593" s="11"/>
      <c r="L3593" s="9"/>
      <c r="M3593" s="11"/>
      <c r="N3593" s="9" t="s">
        <v>809</v>
      </c>
    </row>
    <row r="3594" ht="25" customHeight="1" spans="1:14">
      <c r="A3594" s="9" t="s">
        <v>327</v>
      </c>
      <c r="B3594" s="9" t="s">
        <v>326</v>
      </c>
      <c r="C3594" s="10">
        <v>44028</v>
      </c>
      <c r="D3594" s="15">
        <v>1.0249</v>
      </c>
      <c r="E3594" s="15">
        <v>1.2946</v>
      </c>
      <c r="F3594" s="15">
        <v>1.3217</v>
      </c>
      <c r="G3594" s="11">
        <v>0.0022</v>
      </c>
      <c r="H3594" s="9">
        <f>MAX($F$3239:F3594)</f>
        <v>1.3217</v>
      </c>
      <c r="I3594" s="11">
        <f t="shared" si="86"/>
        <v>0</v>
      </c>
      <c r="J3594" s="9"/>
      <c r="K3594" s="11"/>
      <c r="L3594" s="9"/>
      <c r="M3594" s="11"/>
      <c r="N3594" s="9" t="s">
        <v>809</v>
      </c>
    </row>
    <row r="3595" ht="25" customHeight="1" spans="1:14">
      <c r="A3595" s="9" t="s">
        <v>327</v>
      </c>
      <c r="B3595" s="9" t="s">
        <v>326</v>
      </c>
      <c r="C3595" s="10">
        <v>44029</v>
      </c>
      <c r="D3595" s="15">
        <v>1.0268</v>
      </c>
      <c r="E3595" s="15">
        <v>1.2965</v>
      </c>
      <c r="F3595" s="15">
        <v>1.3241</v>
      </c>
      <c r="G3595" s="11">
        <v>0.0019</v>
      </c>
      <c r="H3595" s="9">
        <f>MAX($F$3239:F3595)</f>
        <v>1.3241</v>
      </c>
      <c r="I3595" s="11">
        <f t="shared" si="86"/>
        <v>0</v>
      </c>
      <c r="J3595" s="9"/>
      <c r="K3595" s="11"/>
      <c r="L3595" s="9"/>
      <c r="M3595" s="11"/>
      <c r="N3595" s="9" t="s">
        <v>809</v>
      </c>
    </row>
    <row r="3596" ht="25" customHeight="1" spans="1:14">
      <c r="A3596" s="9" t="s">
        <v>327</v>
      </c>
      <c r="B3596" s="9" t="s">
        <v>326</v>
      </c>
      <c r="C3596" s="10">
        <v>44032</v>
      </c>
      <c r="D3596" s="15">
        <v>1.0282</v>
      </c>
      <c r="E3596" s="15">
        <v>1.2979</v>
      </c>
      <c r="F3596" s="15">
        <v>1.3259</v>
      </c>
      <c r="G3596" s="11">
        <v>0.0014</v>
      </c>
      <c r="H3596" s="9">
        <f>MAX($F$3239:F3596)</f>
        <v>1.3259</v>
      </c>
      <c r="I3596" s="11">
        <f t="shared" si="86"/>
        <v>0</v>
      </c>
      <c r="J3596" s="9"/>
      <c r="K3596" s="11"/>
      <c r="L3596" s="9"/>
      <c r="M3596" s="11"/>
      <c r="N3596" s="9" t="s">
        <v>809</v>
      </c>
    </row>
    <row r="3597" ht="25" customHeight="1" spans="1:14">
      <c r="A3597" s="9" t="s">
        <v>327</v>
      </c>
      <c r="B3597" s="9" t="s">
        <v>326</v>
      </c>
      <c r="C3597" s="10">
        <v>44033</v>
      </c>
      <c r="D3597" s="15">
        <v>1.029</v>
      </c>
      <c r="E3597" s="15">
        <v>1.2987</v>
      </c>
      <c r="F3597" s="15">
        <v>1.3269</v>
      </c>
      <c r="G3597" s="11">
        <v>0.0008</v>
      </c>
      <c r="H3597" s="9">
        <f>MAX($F$3239:F3597)</f>
        <v>1.3269</v>
      </c>
      <c r="I3597" s="11">
        <f t="shared" si="86"/>
        <v>0</v>
      </c>
      <c r="J3597" s="9"/>
      <c r="K3597" s="11"/>
      <c r="L3597" s="9"/>
      <c r="M3597" s="11"/>
      <c r="N3597" s="9" t="s">
        <v>809</v>
      </c>
    </row>
    <row r="3598" ht="25" customHeight="1" spans="1:14">
      <c r="A3598" s="9" t="s">
        <v>327</v>
      </c>
      <c r="B3598" s="9" t="s">
        <v>326</v>
      </c>
      <c r="C3598" s="10">
        <v>44034</v>
      </c>
      <c r="D3598" s="15">
        <v>1.0301</v>
      </c>
      <c r="E3598" s="15">
        <v>1.2998</v>
      </c>
      <c r="F3598" s="15">
        <v>1.3284</v>
      </c>
      <c r="G3598" s="11">
        <v>0.0011</v>
      </c>
      <c r="H3598" s="9">
        <f>MAX($F$3239:F3598)</f>
        <v>1.3284</v>
      </c>
      <c r="I3598" s="11">
        <f t="shared" si="86"/>
        <v>0</v>
      </c>
      <c r="J3598" s="9"/>
      <c r="K3598" s="11"/>
      <c r="L3598" s="9"/>
      <c r="M3598" s="11"/>
      <c r="N3598" s="9" t="s">
        <v>809</v>
      </c>
    </row>
    <row r="3599" ht="25" customHeight="1" spans="1:14">
      <c r="A3599" s="9" t="s">
        <v>327</v>
      </c>
      <c r="B3599" s="9" t="s">
        <v>326</v>
      </c>
      <c r="C3599" s="10">
        <v>44035</v>
      </c>
      <c r="D3599" s="15">
        <v>1.0317</v>
      </c>
      <c r="E3599" s="15">
        <v>1.3014</v>
      </c>
      <c r="F3599" s="15">
        <v>1.3304</v>
      </c>
      <c r="G3599" s="11">
        <v>0.0016</v>
      </c>
      <c r="H3599" s="9">
        <f>MAX($F$3239:F3599)</f>
        <v>1.3304</v>
      </c>
      <c r="I3599" s="11">
        <f t="shared" si="86"/>
        <v>0</v>
      </c>
      <c r="J3599" s="9"/>
      <c r="K3599" s="11"/>
      <c r="L3599" s="9"/>
      <c r="M3599" s="11"/>
      <c r="N3599" s="9" t="s">
        <v>809</v>
      </c>
    </row>
    <row r="3600" ht="25" customHeight="1" spans="1:14">
      <c r="A3600" s="9" t="s">
        <v>327</v>
      </c>
      <c r="B3600" s="9" t="s">
        <v>326</v>
      </c>
      <c r="C3600" s="10">
        <v>44036</v>
      </c>
      <c r="D3600" s="15">
        <v>1.0338</v>
      </c>
      <c r="E3600" s="15">
        <v>1.3035</v>
      </c>
      <c r="F3600" s="15">
        <v>1.3331</v>
      </c>
      <c r="G3600" s="11">
        <v>0.002</v>
      </c>
      <c r="H3600" s="9">
        <f>MAX($F$3239:F3600)</f>
        <v>1.3331</v>
      </c>
      <c r="I3600" s="11">
        <f t="shared" si="86"/>
        <v>0</v>
      </c>
      <c r="J3600" s="9"/>
      <c r="K3600" s="11"/>
      <c r="L3600" s="9"/>
      <c r="M3600" s="11"/>
      <c r="N3600" s="9" t="s">
        <v>809</v>
      </c>
    </row>
    <row r="3601" ht="25" customHeight="1" spans="1:14">
      <c r="A3601" s="9" t="s">
        <v>327</v>
      </c>
      <c r="B3601" s="9" t="s">
        <v>326</v>
      </c>
      <c r="C3601" s="10">
        <v>44039</v>
      </c>
      <c r="D3601" s="15">
        <v>1.0342</v>
      </c>
      <c r="E3601" s="15">
        <v>1.3039</v>
      </c>
      <c r="F3601" s="15">
        <v>1.3336</v>
      </c>
      <c r="G3601" s="11">
        <v>0.0004</v>
      </c>
      <c r="H3601" s="9">
        <f>MAX($F$3239:F3601)</f>
        <v>1.3336</v>
      </c>
      <c r="I3601" s="11">
        <f t="shared" si="86"/>
        <v>0</v>
      </c>
      <c r="J3601" s="9"/>
      <c r="K3601" s="11"/>
      <c r="L3601" s="9"/>
      <c r="M3601" s="11"/>
      <c r="N3601" s="9" t="s">
        <v>809</v>
      </c>
    </row>
    <row r="3602" ht="25" customHeight="1" spans="1:14">
      <c r="A3602" s="9" t="s">
        <v>327</v>
      </c>
      <c r="B3602" s="9" t="s">
        <v>326</v>
      </c>
      <c r="C3602" s="10">
        <v>44040</v>
      </c>
      <c r="D3602" s="15">
        <v>1.0365</v>
      </c>
      <c r="E3602" s="15">
        <v>1.3062</v>
      </c>
      <c r="F3602" s="15">
        <v>1.3366</v>
      </c>
      <c r="G3602" s="11">
        <v>0.0022</v>
      </c>
      <c r="H3602" s="9">
        <f>MAX($F$3239:F3602)</f>
        <v>1.3366</v>
      </c>
      <c r="I3602" s="11">
        <f t="shared" si="86"/>
        <v>0</v>
      </c>
      <c r="J3602" s="9"/>
      <c r="K3602" s="11"/>
      <c r="L3602" s="9"/>
      <c r="M3602" s="11"/>
      <c r="N3602" s="9" t="s">
        <v>809</v>
      </c>
    </row>
    <row r="3603" ht="25" customHeight="1" spans="1:14">
      <c r="A3603" s="9" t="s">
        <v>327</v>
      </c>
      <c r="B3603" s="9" t="s">
        <v>326</v>
      </c>
      <c r="C3603" s="10">
        <v>44041</v>
      </c>
      <c r="D3603" s="15">
        <v>1.0386</v>
      </c>
      <c r="E3603" s="15">
        <v>1.3083</v>
      </c>
      <c r="F3603" s="15">
        <v>1.3393</v>
      </c>
      <c r="G3603" s="11">
        <v>0.002</v>
      </c>
      <c r="H3603" s="9">
        <f>MAX($F$3239:F3603)</f>
        <v>1.3393</v>
      </c>
      <c r="I3603" s="11">
        <f t="shared" si="86"/>
        <v>0</v>
      </c>
      <c r="J3603" s="9"/>
      <c r="K3603" s="11"/>
      <c r="L3603" s="9"/>
      <c r="M3603" s="11"/>
      <c r="N3603" s="9" t="s">
        <v>809</v>
      </c>
    </row>
    <row r="3604" ht="25" customHeight="1" spans="1:14">
      <c r="A3604" s="9" t="s">
        <v>327</v>
      </c>
      <c r="B3604" s="9" t="s">
        <v>326</v>
      </c>
      <c r="C3604" s="10">
        <v>44042</v>
      </c>
      <c r="D3604" s="15">
        <v>1.0392</v>
      </c>
      <c r="E3604" s="15">
        <v>1.3089</v>
      </c>
      <c r="F3604" s="15">
        <v>1.3401</v>
      </c>
      <c r="G3604" s="11">
        <v>0.0006</v>
      </c>
      <c r="H3604" s="9">
        <f>MAX($F$3239:F3604)</f>
        <v>1.3401</v>
      </c>
      <c r="I3604" s="11">
        <f t="shared" si="86"/>
        <v>0</v>
      </c>
      <c r="J3604" s="9"/>
      <c r="K3604" s="11"/>
      <c r="L3604" s="9"/>
      <c r="M3604" s="11"/>
      <c r="N3604" s="9" t="s">
        <v>809</v>
      </c>
    </row>
    <row r="3605" ht="25" customHeight="1" spans="1:14">
      <c r="A3605" s="9" t="s">
        <v>327</v>
      </c>
      <c r="B3605" s="9" t="s">
        <v>326</v>
      </c>
      <c r="C3605" s="10">
        <v>44043</v>
      </c>
      <c r="D3605" s="15">
        <v>1.0426</v>
      </c>
      <c r="E3605" s="15">
        <v>1.3123</v>
      </c>
      <c r="F3605" s="15">
        <v>1.3445</v>
      </c>
      <c r="G3605" s="11">
        <v>0.0033</v>
      </c>
      <c r="H3605" s="9">
        <f>MAX($F$3239:F3605)</f>
        <v>1.3445</v>
      </c>
      <c r="I3605" s="11">
        <f t="shared" si="86"/>
        <v>0</v>
      </c>
      <c r="J3605" s="9"/>
      <c r="K3605" s="11"/>
      <c r="L3605" s="9"/>
      <c r="M3605" s="11"/>
      <c r="N3605" s="9" t="s">
        <v>809</v>
      </c>
    </row>
    <row r="3606" ht="25" customHeight="1" spans="1:14">
      <c r="A3606" s="9" t="s">
        <v>327</v>
      </c>
      <c r="B3606" s="9" t="s">
        <v>326</v>
      </c>
      <c r="C3606" s="10">
        <v>44046</v>
      </c>
      <c r="D3606" s="15">
        <v>1.0434</v>
      </c>
      <c r="E3606" s="15">
        <v>1.3131</v>
      </c>
      <c r="F3606" s="15">
        <v>1.3455</v>
      </c>
      <c r="G3606" s="11">
        <v>0.0008</v>
      </c>
      <c r="H3606" s="9">
        <f>MAX($F$3239:F3606)</f>
        <v>1.3455</v>
      </c>
      <c r="I3606" s="11">
        <f t="shared" si="86"/>
        <v>0</v>
      </c>
      <c r="J3606" s="9"/>
      <c r="K3606" s="11"/>
      <c r="L3606" s="9"/>
      <c r="M3606" s="11"/>
      <c r="N3606" s="9" t="s">
        <v>809</v>
      </c>
    </row>
    <row r="3607" ht="25" customHeight="1" spans="1:14">
      <c r="A3607" s="9" t="s">
        <v>327</v>
      </c>
      <c r="B3607" s="9" t="s">
        <v>326</v>
      </c>
      <c r="C3607" s="10">
        <v>44047</v>
      </c>
      <c r="D3607" s="15">
        <v>1.0425</v>
      </c>
      <c r="E3607" s="15">
        <v>1.3122</v>
      </c>
      <c r="F3607" s="15">
        <v>1.3443</v>
      </c>
      <c r="G3607" s="11">
        <v>-0.0009</v>
      </c>
      <c r="H3607" s="9">
        <f>MAX($F$3239:F3607)</f>
        <v>1.3455</v>
      </c>
      <c r="I3607" s="11">
        <f t="shared" si="86"/>
        <v>0.00089186176142686</v>
      </c>
      <c r="J3607" s="9"/>
      <c r="K3607" s="11"/>
      <c r="L3607" s="9"/>
      <c r="M3607" s="11"/>
      <c r="N3607" s="9" t="s">
        <v>809</v>
      </c>
    </row>
    <row r="3608" ht="25" customHeight="1" spans="1:14">
      <c r="A3608" s="9" t="s">
        <v>327</v>
      </c>
      <c r="B3608" s="9" t="s">
        <v>326</v>
      </c>
      <c r="C3608" s="10">
        <v>44048</v>
      </c>
      <c r="D3608" s="15">
        <v>1.0419</v>
      </c>
      <c r="E3608" s="15">
        <v>1.3116</v>
      </c>
      <c r="F3608" s="15">
        <v>1.3436</v>
      </c>
      <c r="G3608" s="11">
        <v>-0.0006</v>
      </c>
      <c r="H3608" s="9">
        <f>MAX($F$3239:F3608)</f>
        <v>1.3455</v>
      </c>
      <c r="I3608" s="11">
        <f t="shared" si="86"/>
        <v>0.00141211445559275</v>
      </c>
      <c r="J3608" s="9"/>
      <c r="K3608" s="11"/>
      <c r="L3608" s="9"/>
      <c r="M3608" s="11"/>
      <c r="N3608" s="9" t="s">
        <v>809</v>
      </c>
    </row>
    <row r="3609" ht="25" customHeight="1" spans="1:14">
      <c r="A3609" s="9" t="s">
        <v>327</v>
      </c>
      <c r="B3609" s="9" t="s">
        <v>326</v>
      </c>
      <c r="C3609" s="10">
        <v>44049</v>
      </c>
      <c r="D3609" s="15">
        <v>1.0462</v>
      </c>
      <c r="E3609" s="15">
        <v>1.3159</v>
      </c>
      <c r="F3609" s="15">
        <v>1.3491</v>
      </c>
      <c r="G3609" s="11">
        <v>0.0041</v>
      </c>
      <c r="H3609" s="9">
        <f>MAX($F$3239:F3609)</f>
        <v>1.3491</v>
      </c>
      <c r="I3609" s="11">
        <f t="shared" si="86"/>
        <v>0</v>
      </c>
      <c r="J3609" s="9"/>
      <c r="K3609" s="11"/>
      <c r="L3609" s="9"/>
      <c r="M3609" s="11"/>
      <c r="N3609" s="9" t="s">
        <v>809</v>
      </c>
    </row>
    <row r="3610" ht="25" customHeight="1" spans="1:14">
      <c r="A3610" s="9" t="s">
        <v>327</v>
      </c>
      <c r="B3610" s="9" t="s">
        <v>326</v>
      </c>
      <c r="C3610" s="10">
        <v>44050</v>
      </c>
      <c r="D3610" s="15">
        <v>1.0474</v>
      </c>
      <c r="E3610" s="15">
        <v>1.3171</v>
      </c>
      <c r="F3610" s="15">
        <v>1.3507</v>
      </c>
      <c r="G3610" s="11">
        <v>0.0011</v>
      </c>
      <c r="H3610" s="9">
        <f>MAX($F$3239:F3610)</f>
        <v>1.3507</v>
      </c>
      <c r="I3610" s="11">
        <f t="shared" si="86"/>
        <v>0</v>
      </c>
      <c r="J3610" s="9"/>
      <c r="K3610" s="11"/>
      <c r="L3610" s="9"/>
      <c r="M3610" s="11"/>
      <c r="N3610" s="9" t="s">
        <v>809</v>
      </c>
    </row>
    <row r="3611" ht="25" customHeight="1" spans="1:14">
      <c r="A3611" s="9" t="s">
        <v>327</v>
      </c>
      <c r="B3611" s="9" t="s">
        <v>326</v>
      </c>
      <c r="C3611" s="10">
        <v>44053</v>
      </c>
      <c r="D3611" s="15">
        <v>1.0506</v>
      </c>
      <c r="E3611" s="15">
        <v>1.3203</v>
      </c>
      <c r="F3611" s="15">
        <v>1.3548</v>
      </c>
      <c r="G3611" s="11">
        <v>0.0031</v>
      </c>
      <c r="H3611" s="9">
        <f>MAX($F$3239:F3611)</f>
        <v>1.3548</v>
      </c>
      <c r="I3611" s="11">
        <f t="shared" si="86"/>
        <v>0</v>
      </c>
      <c r="J3611" s="9"/>
      <c r="K3611" s="11"/>
      <c r="L3611" s="9"/>
      <c r="M3611" s="11"/>
      <c r="N3611" s="9" t="s">
        <v>809</v>
      </c>
    </row>
    <row r="3612" ht="25" customHeight="1" spans="1:14">
      <c r="A3612" s="9" t="s">
        <v>327</v>
      </c>
      <c r="B3612" s="9" t="s">
        <v>326</v>
      </c>
      <c r="C3612" s="10">
        <v>44054</v>
      </c>
      <c r="D3612" s="15">
        <v>1.0508</v>
      </c>
      <c r="E3612" s="15">
        <v>1.3205</v>
      </c>
      <c r="F3612" s="15">
        <v>1.3551</v>
      </c>
      <c r="G3612" s="11">
        <v>0.0002</v>
      </c>
      <c r="H3612" s="9">
        <f>MAX($F$3239:F3612)</f>
        <v>1.3551</v>
      </c>
      <c r="I3612" s="11">
        <f t="shared" si="86"/>
        <v>0</v>
      </c>
      <c r="J3612" s="9"/>
      <c r="K3612" s="11"/>
      <c r="L3612" s="9"/>
      <c r="M3612" s="11"/>
      <c r="N3612" s="9" t="s">
        <v>809</v>
      </c>
    </row>
    <row r="3613" ht="25" customHeight="1" spans="1:14">
      <c r="A3613" s="9" t="s">
        <v>327</v>
      </c>
      <c r="B3613" s="9" t="s">
        <v>326</v>
      </c>
      <c r="C3613" s="10">
        <v>44055</v>
      </c>
      <c r="D3613" s="15">
        <v>1.0528</v>
      </c>
      <c r="E3613" s="15">
        <v>1.3225</v>
      </c>
      <c r="F3613" s="15">
        <v>1.3576</v>
      </c>
      <c r="G3613" s="11">
        <v>0.0019</v>
      </c>
      <c r="H3613" s="9">
        <f>MAX($F$3239:F3613)</f>
        <v>1.3576</v>
      </c>
      <c r="I3613" s="11">
        <f t="shared" si="86"/>
        <v>0</v>
      </c>
      <c r="J3613" s="9"/>
      <c r="K3613" s="11"/>
      <c r="L3613" s="9"/>
      <c r="M3613" s="11"/>
      <c r="N3613" s="9" t="s">
        <v>809</v>
      </c>
    </row>
    <row r="3614" ht="25" customHeight="1" spans="1:14">
      <c r="A3614" s="9" t="s">
        <v>327</v>
      </c>
      <c r="B3614" s="9" t="s">
        <v>326</v>
      </c>
      <c r="C3614" s="10">
        <v>44056</v>
      </c>
      <c r="D3614" s="15">
        <v>1.0536</v>
      </c>
      <c r="E3614" s="15">
        <v>1.3233</v>
      </c>
      <c r="F3614" s="15">
        <v>1.3587</v>
      </c>
      <c r="G3614" s="11">
        <v>0.0008</v>
      </c>
      <c r="H3614" s="9">
        <f>MAX($F$3239:F3614)</f>
        <v>1.3587</v>
      </c>
      <c r="I3614" s="11">
        <f t="shared" si="86"/>
        <v>0</v>
      </c>
      <c r="J3614" s="9"/>
      <c r="K3614" s="11"/>
      <c r="L3614" s="9"/>
      <c r="M3614" s="11"/>
      <c r="N3614" s="9" t="s">
        <v>809</v>
      </c>
    </row>
    <row r="3615" ht="25" customHeight="1" spans="1:14">
      <c r="A3615" s="9" t="s">
        <v>327</v>
      </c>
      <c r="B3615" s="9" t="s">
        <v>326</v>
      </c>
      <c r="C3615" s="10">
        <v>44057</v>
      </c>
      <c r="D3615" s="15">
        <v>1.0544</v>
      </c>
      <c r="E3615" s="15">
        <v>1.3241</v>
      </c>
      <c r="F3615" s="15">
        <v>1.3597</v>
      </c>
      <c r="G3615" s="11">
        <v>0.0008</v>
      </c>
      <c r="H3615" s="9">
        <f>MAX($F$3239:F3615)</f>
        <v>1.3597</v>
      </c>
      <c r="I3615" s="11">
        <f t="shared" si="86"/>
        <v>0</v>
      </c>
      <c r="J3615" s="9"/>
      <c r="K3615" s="11"/>
      <c r="L3615" s="9"/>
      <c r="M3615" s="11"/>
      <c r="N3615" s="9" t="s">
        <v>809</v>
      </c>
    </row>
    <row r="3616" ht="25" customHeight="1" spans="1:14">
      <c r="A3616" s="9" t="s">
        <v>327</v>
      </c>
      <c r="B3616" s="9" t="s">
        <v>326</v>
      </c>
      <c r="C3616" s="10">
        <v>44060</v>
      </c>
      <c r="D3616" s="15">
        <v>1.0558</v>
      </c>
      <c r="E3616" s="15">
        <v>1.3255</v>
      </c>
      <c r="F3616" s="15">
        <v>1.3615</v>
      </c>
      <c r="G3616" s="11">
        <v>0.0013</v>
      </c>
      <c r="H3616" s="9">
        <f>MAX($F$3239:F3616)</f>
        <v>1.3615</v>
      </c>
      <c r="I3616" s="11">
        <f t="shared" si="86"/>
        <v>0</v>
      </c>
      <c r="J3616" s="9"/>
      <c r="K3616" s="11"/>
      <c r="L3616" s="9"/>
      <c r="M3616" s="11"/>
      <c r="N3616" s="9" t="s">
        <v>809</v>
      </c>
    </row>
    <row r="3617" ht="25" customHeight="1" spans="1:14">
      <c r="A3617" s="9" t="s">
        <v>327</v>
      </c>
      <c r="B3617" s="9" t="s">
        <v>326</v>
      </c>
      <c r="C3617" s="10">
        <v>44061</v>
      </c>
      <c r="D3617" s="15">
        <v>1.057</v>
      </c>
      <c r="E3617" s="15">
        <v>1.3267</v>
      </c>
      <c r="F3617" s="15">
        <v>1.363</v>
      </c>
      <c r="G3617" s="11">
        <v>0.0011</v>
      </c>
      <c r="H3617" s="9">
        <f>MAX($F$3239:F3617)</f>
        <v>1.363</v>
      </c>
      <c r="I3617" s="11">
        <f t="shared" si="86"/>
        <v>0</v>
      </c>
      <c r="J3617" s="9"/>
      <c r="K3617" s="11"/>
      <c r="L3617" s="9"/>
      <c r="M3617" s="11"/>
      <c r="N3617" s="9" t="s">
        <v>809</v>
      </c>
    </row>
    <row r="3618" ht="25" customHeight="1" spans="1:14">
      <c r="A3618" s="9" t="s">
        <v>327</v>
      </c>
      <c r="B3618" s="9" t="s">
        <v>326</v>
      </c>
      <c r="C3618" s="10">
        <v>44062</v>
      </c>
      <c r="D3618" s="15">
        <v>1.0571</v>
      </c>
      <c r="E3618" s="15">
        <v>1.3268</v>
      </c>
      <c r="F3618" s="15">
        <v>1.3632</v>
      </c>
      <c r="G3618" s="11">
        <v>0.0001</v>
      </c>
      <c r="H3618" s="9">
        <f>MAX($F$3239:F3618)</f>
        <v>1.3632</v>
      </c>
      <c r="I3618" s="11">
        <f t="shared" si="86"/>
        <v>0</v>
      </c>
      <c r="J3618" s="9"/>
      <c r="K3618" s="11"/>
      <c r="L3618" s="9"/>
      <c r="M3618" s="11"/>
      <c r="N3618" s="9" t="s">
        <v>809</v>
      </c>
    </row>
    <row r="3619" ht="25" customHeight="1" spans="1:14">
      <c r="A3619" s="9" t="s">
        <v>327</v>
      </c>
      <c r="B3619" s="9" t="s">
        <v>326</v>
      </c>
      <c r="C3619" s="10">
        <v>44063</v>
      </c>
      <c r="D3619" s="15">
        <v>1.0597</v>
      </c>
      <c r="E3619" s="15">
        <v>1.3294</v>
      </c>
      <c r="F3619" s="15">
        <v>1.3665</v>
      </c>
      <c r="G3619" s="11">
        <v>0.0025</v>
      </c>
      <c r="H3619" s="9">
        <f>MAX($F$3239:F3619)</f>
        <v>1.3665</v>
      </c>
      <c r="I3619" s="11">
        <f t="shared" si="86"/>
        <v>0</v>
      </c>
      <c r="J3619" s="9"/>
      <c r="K3619" s="11"/>
      <c r="L3619" s="9"/>
      <c r="M3619" s="11"/>
      <c r="N3619" s="9" t="s">
        <v>809</v>
      </c>
    </row>
    <row r="3620" ht="25" customHeight="1" spans="1:14">
      <c r="A3620" s="9" t="s">
        <v>327</v>
      </c>
      <c r="B3620" s="9" t="s">
        <v>326</v>
      </c>
      <c r="C3620" s="10">
        <v>44064</v>
      </c>
      <c r="D3620" s="15">
        <v>1.0582</v>
      </c>
      <c r="E3620" s="15">
        <v>1.3279</v>
      </c>
      <c r="F3620" s="15">
        <v>1.3646</v>
      </c>
      <c r="G3620" s="11">
        <v>-0.0014</v>
      </c>
      <c r="H3620" s="9">
        <f>MAX($F$3239:F3620)</f>
        <v>1.3665</v>
      </c>
      <c r="I3620" s="11">
        <f t="shared" si="86"/>
        <v>0.00139041346505675</v>
      </c>
      <c r="J3620" s="9"/>
      <c r="K3620" s="11"/>
      <c r="L3620" s="9"/>
      <c r="M3620" s="11"/>
      <c r="N3620" s="9" t="s">
        <v>809</v>
      </c>
    </row>
    <row r="3621" ht="25" customHeight="1" spans="1:14">
      <c r="A3621" s="9" t="s">
        <v>327</v>
      </c>
      <c r="B3621" s="9" t="s">
        <v>326</v>
      </c>
      <c r="C3621" s="10">
        <v>44067</v>
      </c>
      <c r="D3621" s="15">
        <v>1.057</v>
      </c>
      <c r="E3621" s="15">
        <v>1.3267</v>
      </c>
      <c r="F3621" s="15">
        <v>1.363</v>
      </c>
      <c r="G3621" s="11">
        <v>-0.0011</v>
      </c>
      <c r="H3621" s="9">
        <f>MAX($F$3239:F3621)</f>
        <v>1.3665</v>
      </c>
      <c r="I3621" s="11">
        <f t="shared" si="86"/>
        <v>0.00256128796194666</v>
      </c>
      <c r="J3621" s="9"/>
      <c r="K3621" s="11"/>
      <c r="L3621" s="9"/>
      <c r="M3621" s="11"/>
      <c r="N3621" s="9" t="s">
        <v>809</v>
      </c>
    </row>
    <row r="3622" ht="25" customHeight="1" spans="1:14">
      <c r="A3622" s="9" t="s">
        <v>327</v>
      </c>
      <c r="B3622" s="9" t="s">
        <v>326</v>
      </c>
      <c r="C3622" s="10">
        <v>44068</v>
      </c>
      <c r="D3622" s="15">
        <v>1.0578</v>
      </c>
      <c r="E3622" s="15">
        <v>1.3275</v>
      </c>
      <c r="F3622" s="15">
        <v>1.3641</v>
      </c>
      <c r="G3622" s="11">
        <v>0.0008</v>
      </c>
      <c r="H3622" s="9">
        <f>MAX($F$3239:F3622)</f>
        <v>1.3665</v>
      </c>
      <c r="I3622" s="11">
        <f t="shared" si="86"/>
        <v>0.00175631174533475</v>
      </c>
      <c r="J3622" s="9"/>
      <c r="K3622" s="11"/>
      <c r="L3622" s="9"/>
      <c r="M3622" s="11"/>
      <c r="N3622" s="9" t="s">
        <v>809</v>
      </c>
    </row>
    <row r="3623" ht="25" customHeight="1" spans="1:14">
      <c r="A3623" s="9" t="s">
        <v>327</v>
      </c>
      <c r="B3623" s="9" t="s">
        <v>326</v>
      </c>
      <c r="C3623" s="10">
        <v>44069</v>
      </c>
      <c r="D3623" s="15">
        <v>1.0586</v>
      </c>
      <c r="E3623" s="15">
        <v>1.3283</v>
      </c>
      <c r="F3623" s="15">
        <v>1.3651</v>
      </c>
      <c r="G3623" s="11">
        <v>0.0008</v>
      </c>
      <c r="H3623" s="9">
        <f>MAX($F$3239:F3623)</f>
        <v>1.3665</v>
      </c>
      <c r="I3623" s="11">
        <f t="shared" si="86"/>
        <v>0.00102451518477864</v>
      </c>
      <c r="J3623" s="9"/>
      <c r="K3623" s="11"/>
      <c r="L3623" s="9"/>
      <c r="M3623" s="11"/>
      <c r="N3623" s="9" t="s">
        <v>809</v>
      </c>
    </row>
    <row r="3624" ht="25" customHeight="1" spans="1:14">
      <c r="A3624" s="9" t="s">
        <v>327</v>
      </c>
      <c r="B3624" s="9" t="s">
        <v>326</v>
      </c>
      <c r="C3624" s="10">
        <v>44070</v>
      </c>
      <c r="D3624" s="15">
        <v>1.0588</v>
      </c>
      <c r="E3624" s="15">
        <v>1.3285</v>
      </c>
      <c r="F3624" s="15">
        <v>1.3654</v>
      </c>
      <c r="G3624" s="11">
        <v>0.0002</v>
      </c>
      <c r="H3624" s="9">
        <f>MAX($F$3239:F3624)</f>
        <v>1.3665</v>
      </c>
      <c r="I3624" s="11">
        <f t="shared" si="86"/>
        <v>0.000804976216611908</v>
      </c>
      <c r="J3624" s="9"/>
      <c r="K3624" s="11"/>
      <c r="L3624" s="9"/>
      <c r="M3624" s="11"/>
      <c r="N3624" s="9" t="s">
        <v>809</v>
      </c>
    </row>
    <row r="3625" ht="25" customHeight="1" spans="1:14">
      <c r="A3625" s="9" t="s">
        <v>327</v>
      </c>
      <c r="B3625" s="9" t="s">
        <v>326</v>
      </c>
      <c r="C3625" s="10">
        <v>44071</v>
      </c>
      <c r="D3625" s="15">
        <v>1.0594</v>
      </c>
      <c r="E3625" s="15">
        <v>1.3291</v>
      </c>
      <c r="F3625" s="15">
        <v>1.3661</v>
      </c>
      <c r="G3625" s="11">
        <v>0.0006</v>
      </c>
      <c r="H3625" s="9">
        <f>MAX($F$3239:F3625)</f>
        <v>1.3665</v>
      </c>
      <c r="I3625" s="11">
        <f t="shared" si="86"/>
        <v>0.000292718624222421</v>
      </c>
      <c r="J3625" s="9"/>
      <c r="K3625" s="11"/>
      <c r="L3625" s="9"/>
      <c r="M3625" s="11"/>
      <c r="N3625" s="9" t="s">
        <v>809</v>
      </c>
    </row>
    <row r="3626" ht="25" customHeight="1" spans="1:14">
      <c r="A3626" s="9" t="s">
        <v>327</v>
      </c>
      <c r="B3626" s="9" t="s">
        <v>326</v>
      </c>
      <c r="C3626" s="10">
        <v>44074</v>
      </c>
      <c r="D3626" s="15">
        <v>1.0584</v>
      </c>
      <c r="E3626" s="15">
        <v>1.3281</v>
      </c>
      <c r="F3626" s="15">
        <v>1.3649</v>
      </c>
      <c r="G3626" s="11">
        <v>-0.0009</v>
      </c>
      <c r="H3626" s="9">
        <f>MAX($F$3239:F3626)</f>
        <v>1.3665</v>
      </c>
      <c r="I3626" s="11">
        <f t="shared" si="86"/>
        <v>0.00117087449688991</v>
      </c>
      <c r="J3626" s="9"/>
      <c r="K3626" s="11"/>
      <c r="L3626" s="9"/>
      <c r="M3626" s="11"/>
      <c r="N3626" s="9" t="s">
        <v>809</v>
      </c>
    </row>
    <row r="3627" ht="25" customHeight="1" spans="1:14">
      <c r="A3627" s="9" t="s">
        <v>327</v>
      </c>
      <c r="B3627" s="9" t="s">
        <v>326</v>
      </c>
      <c r="C3627" s="10">
        <v>44075</v>
      </c>
      <c r="D3627" s="15">
        <v>1.0582</v>
      </c>
      <c r="E3627" s="15">
        <v>1.3279</v>
      </c>
      <c r="F3627" s="15">
        <v>1.3646</v>
      </c>
      <c r="G3627" s="11">
        <v>-0.0002</v>
      </c>
      <c r="H3627" s="9">
        <f>MAX($F$3239:F3627)</f>
        <v>1.3665</v>
      </c>
      <c r="I3627" s="11">
        <f t="shared" si="86"/>
        <v>0.00139041346505675</v>
      </c>
      <c r="J3627" s="9"/>
      <c r="K3627" s="11"/>
      <c r="L3627" s="9"/>
      <c r="M3627" s="11"/>
      <c r="N3627" s="9" t="s">
        <v>809</v>
      </c>
    </row>
    <row r="3628" ht="25" customHeight="1" spans="1:14">
      <c r="A3628" s="9" t="s">
        <v>327</v>
      </c>
      <c r="B3628" s="9" t="s">
        <v>326</v>
      </c>
      <c r="C3628" s="10">
        <v>44076</v>
      </c>
      <c r="D3628" s="15">
        <v>1.0579</v>
      </c>
      <c r="E3628" s="15">
        <v>1.3276</v>
      </c>
      <c r="F3628" s="15">
        <v>1.3642</v>
      </c>
      <c r="G3628" s="11">
        <v>-0.0003</v>
      </c>
      <c r="H3628" s="9">
        <f>MAX($F$3239:F3628)</f>
        <v>1.3665</v>
      </c>
      <c r="I3628" s="11">
        <f t="shared" si="86"/>
        <v>0.00168313208927917</v>
      </c>
      <c r="J3628" s="9"/>
      <c r="K3628" s="11"/>
      <c r="L3628" s="9"/>
      <c r="M3628" s="11"/>
      <c r="N3628" s="9" t="s">
        <v>809</v>
      </c>
    </row>
    <row r="3629" ht="25" customHeight="1" spans="1:14">
      <c r="A3629" s="9" t="s">
        <v>327</v>
      </c>
      <c r="B3629" s="9" t="s">
        <v>326</v>
      </c>
      <c r="C3629" s="10">
        <v>44077</v>
      </c>
      <c r="D3629" s="15">
        <v>1.0585</v>
      </c>
      <c r="E3629" s="15">
        <v>1.3282</v>
      </c>
      <c r="F3629" s="15">
        <v>1.365</v>
      </c>
      <c r="G3629" s="11">
        <v>0.0006</v>
      </c>
      <c r="H3629" s="9">
        <f>MAX($F$3239:F3629)</f>
        <v>1.3665</v>
      </c>
      <c r="I3629" s="11">
        <f t="shared" si="86"/>
        <v>0.00109769484083433</v>
      </c>
      <c r="J3629" s="9"/>
      <c r="K3629" s="11"/>
      <c r="L3629" s="9"/>
      <c r="M3629" s="11"/>
      <c r="N3629" s="9" t="s">
        <v>809</v>
      </c>
    </row>
    <row r="3630" ht="25" customHeight="1" spans="1:14">
      <c r="A3630" s="9" t="s">
        <v>327</v>
      </c>
      <c r="B3630" s="9" t="s">
        <v>326</v>
      </c>
      <c r="C3630" s="10">
        <v>44078</v>
      </c>
      <c r="D3630" s="15">
        <v>1.063</v>
      </c>
      <c r="E3630" s="15">
        <v>1.3327</v>
      </c>
      <c r="F3630" s="15">
        <v>1.3708</v>
      </c>
      <c r="G3630" s="11">
        <v>0.0043</v>
      </c>
      <c r="H3630" s="9">
        <f>MAX($F$3239:F3630)</f>
        <v>1.3708</v>
      </c>
      <c r="I3630" s="11">
        <f t="shared" si="86"/>
        <v>0</v>
      </c>
      <c r="J3630" s="9"/>
      <c r="K3630" s="11"/>
      <c r="L3630" s="9"/>
      <c r="M3630" s="11"/>
      <c r="N3630" s="9" t="s">
        <v>809</v>
      </c>
    </row>
    <row r="3631" ht="25" customHeight="1" spans="1:14">
      <c r="A3631" s="9" t="s">
        <v>327</v>
      </c>
      <c r="B3631" s="9" t="s">
        <v>326</v>
      </c>
      <c r="C3631" s="10">
        <v>44081</v>
      </c>
      <c r="D3631" s="15">
        <v>1.0645</v>
      </c>
      <c r="E3631" s="15">
        <v>1.3342</v>
      </c>
      <c r="F3631" s="15">
        <v>1.3727</v>
      </c>
      <c r="G3631" s="11">
        <v>0.0014</v>
      </c>
      <c r="H3631" s="9">
        <f>MAX($F$3239:F3631)</f>
        <v>1.3727</v>
      </c>
      <c r="I3631" s="11">
        <f t="shared" si="86"/>
        <v>0</v>
      </c>
      <c r="J3631" s="9"/>
      <c r="K3631" s="11"/>
      <c r="L3631" s="9"/>
      <c r="M3631" s="11"/>
      <c r="N3631" s="9" t="s">
        <v>809</v>
      </c>
    </row>
    <row r="3632" ht="25" customHeight="1" spans="1:14">
      <c r="A3632" s="9" t="s">
        <v>327</v>
      </c>
      <c r="B3632" s="9" t="s">
        <v>326</v>
      </c>
      <c r="C3632" s="10">
        <v>44082</v>
      </c>
      <c r="D3632" s="15">
        <v>1.0647</v>
      </c>
      <c r="E3632" s="15">
        <v>1.3344</v>
      </c>
      <c r="F3632" s="15">
        <v>1.373</v>
      </c>
      <c r="G3632" s="11">
        <v>0.0002</v>
      </c>
      <c r="H3632" s="9">
        <f>MAX($F$3239:F3632)</f>
        <v>1.373</v>
      </c>
      <c r="I3632" s="11">
        <f t="shared" si="86"/>
        <v>0</v>
      </c>
      <c r="J3632" s="9"/>
      <c r="K3632" s="11"/>
      <c r="L3632" s="9"/>
      <c r="M3632" s="11"/>
      <c r="N3632" s="9" t="s">
        <v>809</v>
      </c>
    </row>
    <row r="3633" ht="25" customHeight="1" spans="1:14">
      <c r="A3633" s="9" t="s">
        <v>327</v>
      </c>
      <c r="B3633" s="9" t="s">
        <v>326</v>
      </c>
      <c r="C3633" s="10">
        <v>44083</v>
      </c>
      <c r="D3633" s="15">
        <v>1.0682</v>
      </c>
      <c r="E3633" s="15">
        <v>1.3379</v>
      </c>
      <c r="F3633" s="15">
        <v>1.3775</v>
      </c>
      <c r="G3633" s="11">
        <v>0.0033</v>
      </c>
      <c r="H3633" s="9">
        <f>MAX($F$3239:F3633)</f>
        <v>1.3775</v>
      </c>
      <c r="I3633" s="11">
        <f t="shared" si="86"/>
        <v>0</v>
      </c>
      <c r="J3633" s="9"/>
      <c r="K3633" s="11"/>
      <c r="L3633" s="9"/>
      <c r="M3633" s="11"/>
      <c r="N3633" s="9" t="s">
        <v>809</v>
      </c>
    </row>
    <row r="3634" ht="25" customHeight="1" spans="1:14">
      <c r="A3634" s="9" t="s">
        <v>327</v>
      </c>
      <c r="B3634" s="9" t="s">
        <v>326</v>
      </c>
      <c r="C3634" s="10">
        <v>44084</v>
      </c>
      <c r="D3634" s="15">
        <v>1.0674</v>
      </c>
      <c r="E3634" s="15">
        <v>1.3371</v>
      </c>
      <c r="F3634" s="15">
        <v>1.3765</v>
      </c>
      <c r="G3634" s="11">
        <v>-0.0007</v>
      </c>
      <c r="H3634" s="9">
        <f>MAX($F$3239:F3634)</f>
        <v>1.3775</v>
      </c>
      <c r="I3634" s="11">
        <f t="shared" si="86"/>
        <v>0.000725952813067088</v>
      </c>
      <c r="J3634" s="9"/>
      <c r="K3634" s="11"/>
      <c r="L3634" s="9"/>
      <c r="M3634" s="11"/>
      <c r="N3634" s="9" t="s">
        <v>809</v>
      </c>
    </row>
    <row r="3635" ht="25" customHeight="1" spans="1:14">
      <c r="A3635" s="9" t="s">
        <v>327</v>
      </c>
      <c r="B3635" s="9" t="s">
        <v>326</v>
      </c>
      <c r="C3635" s="10">
        <v>44085</v>
      </c>
      <c r="D3635" s="15">
        <v>1.0674</v>
      </c>
      <c r="E3635" s="15">
        <v>1.3371</v>
      </c>
      <c r="F3635" s="15">
        <v>1.3765</v>
      </c>
      <c r="G3635" s="11">
        <v>0</v>
      </c>
      <c r="H3635" s="9">
        <f>MAX($F$3239:F3635)</f>
        <v>1.3775</v>
      </c>
      <c r="I3635" s="11">
        <f t="shared" si="86"/>
        <v>0.000725952813067088</v>
      </c>
      <c r="J3635" s="9"/>
      <c r="K3635" s="11"/>
      <c r="L3635" s="9"/>
      <c r="M3635" s="11"/>
      <c r="N3635" s="9" t="s">
        <v>809</v>
      </c>
    </row>
    <row r="3636" ht="25" customHeight="1" spans="1:14">
      <c r="A3636" s="9" t="s">
        <v>327</v>
      </c>
      <c r="B3636" s="9" t="s">
        <v>326</v>
      </c>
      <c r="C3636" s="10">
        <v>44088</v>
      </c>
      <c r="D3636" s="15">
        <v>1.0675</v>
      </c>
      <c r="E3636" s="15">
        <v>1.3372</v>
      </c>
      <c r="F3636" s="15">
        <v>1.3766</v>
      </c>
      <c r="G3636" s="11">
        <v>0.0001</v>
      </c>
      <c r="H3636" s="9">
        <f>MAX($F$3239:F3636)</f>
        <v>1.3775</v>
      </c>
      <c r="I3636" s="11">
        <f t="shared" si="86"/>
        <v>0.000653357531760324</v>
      </c>
      <c r="J3636" s="9"/>
      <c r="K3636" s="11"/>
      <c r="L3636" s="9"/>
      <c r="M3636" s="11"/>
      <c r="N3636" s="9" t="s">
        <v>809</v>
      </c>
    </row>
    <row r="3637" ht="25" customHeight="1" spans="1:14">
      <c r="A3637" s="9" t="s">
        <v>327</v>
      </c>
      <c r="B3637" s="9" t="s">
        <v>326</v>
      </c>
      <c r="C3637" s="10">
        <v>44089</v>
      </c>
      <c r="D3637" s="15">
        <v>1.0676</v>
      </c>
      <c r="E3637" s="15">
        <v>1.3373</v>
      </c>
      <c r="F3637" s="15">
        <v>1.3767</v>
      </c>
      <c r="G3637" s="11">
        <v>0.0001</v>
      </c>
      <c r="H3637" s="9">
        <f>MAX($F$3239:F3637)</f>
        <v>1.3775</v>
      </c>
      <c r="I3637" s="11">
        <f t="shared" si="86"/>
        <v>0.00058076225045367</v>
      </c>
      <c r="J3637" s="9"/>
      <c r="K3637" s="11"/>
      <c r="L3637" s="9"/>
      <c r="M3637" s="11"/>
      <c r="N3637" s="9" t="s">
        <v>809</v>
      </c>
    </row>
    <row r="3638" ht="25" customHeight="1" spans="1:14">
      <c r="A3638" s="9" t="s">
        <v>327</v>
      </c>
      <c r="B3638" s="9" t="s">
        <v>326</v>
      </c>
      <c r="C3638" s="10">
        <v>44090</v>
      </c>
      <c r="D3638" s="15">
        <v>1.0678</v>
      </c>
      <c r="E3638" s="15">
        <v>1.3375</v>
      </c>
      <c r="F3638" s="15">
        <v>1.377</v>
      </c>
      <c r="G3638" s="11">
        <v>0.0002</v>
      </c>
      <c r="H3638" s="9">
        <f>MAX($F$3239:F3638)</f>
        <v>1.3775</v>
      </c>
      <c r="I3638" s="11">
        <f t="shared" si="86"/>
        <v>0.000362976406533488</v>
      </c>
      <c r="J3638" s="9"/>
      <c r="K3638" s="11"/>
      <c r="L3638" s="9"/>
      <c r="M3638" s="11"/>
      <c r="N3638" s="9" t="s">
        <v>809</v>
      </c>
    </row>
    <row r="3639" ht="25" customHeight="1" spans="1:14">
      <c r="A3639" s="9" t="s">
        <v>327</v>
      </c>
      <c r="B3639" s="9" t="s">
        <v>326</v>
      </c>
      <c r="C3639" s="10">
        <v>44091</v>
      </c>
      <c r="D3639" s="15">
        <v>1.0671</v>
      </c>
      <c r="E3639" s="15">
        <v>1.3368</v>
      </c>
      <c r="F3639" s="15">
        <v>1.3761</v>
      </c>
      <c r="G3639" s="11">
        <v>-0.0007</v>
      </c>
      <c r="H3639" s="9">
        <f>MAX($F$3239:F3639)</f>
        <v>1.3775</v>
      </c>
      <c r="I3639" s="11">
        <f t="shared" si="86"/>
        <v>0.00101633393829392</v>
      </c>
      <c r="J3639" s="9"/>
      <c r="K3639" s="11"/>
      <c r="L3639" s="9"/>
      <c r="M3639" s="11"/>
      <c r="N3639" s="9" t="s">
        <v>809</v>
      </c>
    </row>
    <row r="3640" ht="25" customHeight="1" spans="1:14">
      <c r="A3640" s="9" t="s">
        <v>327</v>
      </c>
      <c r="B3640" s="9" t="s">
        <v>326</v>
      </c>
      <c r="C3640" s="10">
        <v>44092</v>
      </c>
      <c r="D3640" s="15">
        <v>1.0668</v>
      </c>
      <c r="E3640" s="15">
        <v>1.3365</v>
      </c>
      <c r="F3640" s="15">
        <v>1.3757</v>
      </c>
      <c r="G3640" s="11">
        <v>-0.0003</v>
      </c>
      <c r="H3640" s="9">
        <f>MAX($F$3239:F3640)</f>
        <v>1.3775</v>
      </c>
      <c r="I3640" s="11">
        <f t="shared" si="86"/>
        <v>0.00130671506352087</v>
      </c>
      <c r="J3640" s="9"/>
      <c r="K3640" s="11"/>
      <c r="L3640" s="9"/>
      <c r="M3640" s="11"/>
      <c r="N3640" s="9" t="s">
        <v>809</v>
      </c>
    </row>
    <row r="3641" ht="25" customHeight="1" spans="1:14">
      <c r="A3641" s="9" t="s">
        <v>327</v>
      </c>
      <c r="B3641" s="9" t="s">
        <v>326</v>
      </c>
      <c r="C3641" s="10">
        <v>44095</v>
      </c>
      <c r="D3641" s="15">
        <v>1.0661</v>
      </c>
      <c r="E3641" s="15">
        <v>1.3358</v>
      </c>
      <c r="F3641" s="15">
        <v>1.3748</v>
      </c>
      <c r="G3641" s="11">
        <v>-0.0007</v>
      </c>
      <c r="H3641" s="9">
        <f>MAX($F$3239:F3641)</f>
        <v>1.3775</v>
      </c>
      <c r="I3641" s="11">
        <f t="shared" si="86"/>
        <v>0.0019600725952813</v>
      </c>
      <c r="J3641" s="9"/>
      <c r="K3641" s="11"/>
      <c r="L3641" s="9"/>
      <c r="M3641" s="11"/>
      <c r="N3641" s="9" t="s">
        <v>809</v>
      </c>
    </row>
    <row r="3642" ht="25" customHeight="1" spans="1:14">
      <c r="A3642" s="9" t="s">
        <v>327</v>
      </c>
      <c r="B3642" s="9" t="s">
        <v>326</v>
      </c>
      <c r="C3642" s="10">
        <v>44096</v>
      </c>
      <c r="D3642" s="15">
        <v>1.0668</v>
      </c>
      <c r="E3642" s="15">
        <v>1.3365</v>
      </c>
      <c r="F3642" s="15">
        <v>1.3757</v>
      </c>
      <c r="G3642" s="11">
        <v>0.0007</v>
      </c>
      <c r="H3642" s="9">
        <f>MAX($F$3239:F3642)</f>
        <v>1.3775</v>
      </c>
      <c r="I3642" s="11">
        <f t="shared" si="86"/>
        <v>0.00130671506352087</v>
      </c>
      <c r="J3642" s="9"/>
      <c r="K3642" s="11"/>
      <c r="L3642" s="9"/>
      <c r="M3642" s="11"/>
      <c r="N3642" s="9" t="s">
        <v>809</v>
      </c>
    </row>
    <row r="3643" ht="25" customHeight="1" spans="1:14">
      <c r="A3643" s="9" t="s">
        <v>327</v>
      </c>
      <c r="B3643" s="9" t="s">
        <v>326</v>
      </c>
      <c r="C3643" s="10">
        <v>44097</v>
      </c>
      <c r="D3643" s="15">
        <v>1.0658</v>
      </c>
      <c r="E3643" s="15">
        <v>1.3355</v>
      </c>
      <c r="F3643" s="15">
        <v>1.3744</v>
      </c>
      <c r="G3643" s="11">
        <v>-0.0009</v>
      </c>
      <c r="H3643" s="9">
        <f>MAX($F$3239:F3643)</f>
        <v>1.3775</v>
      </c>
      <c r="I3643" s="11">
        <f t="shared" si="86"/>
        <v>0.00225045372050803</v>
      </c>
      <c r="J3643" s="9"/>
      <c r="K3643" s="11"/>
      <c r="L3643" s="9"/>
      <c r="M3643" s="11"/>
      <c r="N3643" s="9" t="s">
        <v>809</v>
      </c>
    </row>
    <row r="3644" ht="25" customHeight="1" spans="1:14">
      <c r="A3644" s="9" t="s">
        <v>327</v>
      </c>
      <c r="B3644" s="9" t="s">
        <v>326</v>
      </c>
      <c r="C3644" s="10">
        <v>44098</v>
      </c>
      <c r="D3644" s="15">
        <v>1.0665</v>
      </c>
      <c r="E3644" s="15">
        <v>1.3362</v>
      </c>
      <c r="F3644" s="15">
        <v>1.3753</v>
      </c>
      <c r="G3644" s="11">
        <v>0.0007</v>
      </c>
      <c r="H3644" s="9">
        <f>MAX($F$3239:F3644)</f>
        <v>1.3775</v>
      </c>
      <c r="I3644" s="11">
        <f t="shared" si="86"/>
        <v>0.0015970961887477</v>
      </c>
      <c r="J3644" s="9"/>
      <c r="K3644" s="11"/>
      <c r="L3644" s="9"/>
      <c r="M3644" s="11"/>
      <c r="N3644" s="9" t="s">
        <v>809</v>
      </c>
    </row>
    <row r="3645" ht="25" customHeight="1" spans="1:14">
      <c r="A3645" s="9" t="s">
        <v>327</v>
      </c>
      <c r="B3645" s="9" t="s">
        <v>326</v>
      </c>
      <c r="C3645" s="10">
        <v>44099</v>
      </c>
      <c r="D3645" s="15">
        <v>1.0637</v>
      </c>
      <c r="E3645" s="15">
        <v>1.3334</v>
      </c>
      <c r="F3645" s="15">
        <v>1.3717</v>
      </c>
      <c r="G3645" s="11">
        <v>-0.0026</v>
      </c>
      <c r="H3645" s="9">
        <f>MAX($F$3239:F3645)</f>
        <v>1.3775</v>
      </c>
      <c r="I3645" s="11">
        <f t="shared" si="86"/>
        <v>0.00421052631578944</v>
      </c>
      <c r="J3645" s="9"/>
      <c r="K3645" s="11"/>
      <c r="L3645" s="9"/>
      <c r="M3645" s="11"/>
      <c r="N3645" s="9" t="s">
        <v>809</v>
      </c>
    </row>
    <row r="3646" ht="25" customHeight="1" spans="1:14">
      <c r="A3646" s="9" t="s">
        <v>327</v>
      </c>
      <c r="B3646" s="9" t="s">
        <v>326</v>
      </c>
      <c r="C3646" s="10">
        <v>44102</v>
      </c>
      <c r="D3646" s="15">
        <v>1.064</v>
      </c>
      <c r="E3646" s="15">
        <v>1.3337</v>
      </c>
      <c r="F3646" s="15">
        <v>1.3721</v>
      </c>
      <c r="G3646" s="11">
        <v>0.0003</v>
      </c>
      <c r="H3646" s="9">
        <f>MAX($F$3239:F3646)</f>
        <v>1.3775</v>
      </c>
      <c r="I3646" s="11">
        <f t="shared" si="86"/>
        <v>0.0039201451905625</v>
      </c>
      <c r="J3646" s="9"/>
      <c r="K3646" s="11"/>
      <c r="L3646" s="9"/>
      <c r="M3646" s="11"/>
      <c r="N3646" s="9" t="s">
        <v>809</v>
      </c>
    </row>
    <row r="3647" ht="25" customHeight="1" spans="1:14">
      <c r="A3647" s="9" t="s">
        <v>327</v>
      </c>
      <c r="B3647" s="9" t="s">
        <v>326</v>
      </c>
      <c r="C3647" s="10">
        <v>44103</v>
      </c>
      <c r="D3647" s="15">
        <v>1.0629</v>
      </c>
      <c r="E3647" s="15">
        <v>1.3326</v>
      </c>
      <c r="F3647" s="15">
        <v>1.3707</v>
      </c>
      <c r="G3647" s="11">
        <v>-0.001</v>
      </c>
      <c r="H3647" s="9">
        <f>MAX($F$3239:F3647)</f>
        <v>1.3775</v>
      </c>
      <c r="I3647" s="11">
        <f t="shared" si="86"/>
        <v>0.00493647912885653</v>
      </c>
      <c r="J3647" s="9"/>
      <c r="K3647" s="11"/>
      <c r="L3647" s="9"/>
      <c r="M3647" s="11"/>
      <c r="N3647" s="9" t="s">
        <v>809</v>
      </c>
    </row>
    <row r="3648" ht="25" customHeight="1" spans="1:14">
      <c r="A3648" s="9" t="s">
        <v>327</v>
      </c>
      <c r="B3648" s="9" t="s">
        <v>326</v>
      </c>
      <c r="C3648" s="10">
        <v>44104</v>
      </c>
      <c r="D3648" s="15">
        <v>1.0631</v>
      </c>
      <c r="E3648" s="15">
        <v>1.3328</v>
      </c>
      <c r="F3648" s="15">
        <v>1.3709</v>
      </c>
      <c r="G3648" s="11">
        <v>0.0002</v>
      </c>
      <c r="H3648" s="9">
        <f>MAX($F$3239:F3648)</f>
        <v>1.3775</v>
      </c>
      <c r="I3648" s="11">
        <f t="shared" si="86"/>
        <v>0.00479128856624311</v>
      </c>
      <c r="J3648" s="9"/>
      <c r="K3648" s="11"/>
      <c r="L3648" s="9"/>
      <c r="M3648" s="11"/>
      <c r="N3648" s="9" t="s">
        <v>809</v>
      </c>
    </row>
    <row r="3649" ht="25" customHeight="1" spans="1:14">
      <c r="A3649" s="9" t="s">
        <v>327</v>
      </c>
      <c r="B3649" s="9" t="s">
        <v>326</v>
      </c>
      <c r="C3649" s="10">
        <v>44113</v>
      </c>
      <c r="D3649" s="15">
        <v>1.0613</v>
      </c>
      <c r="E3649" s="15">
        <v>1.331</v>
      </c>
      <c r="F3649" s="15">
        <v>1.3686</v>
      </c>
      <c r="G3649" s="11">
        <v>-0.0017</v>
      </c>
      <c r="H3649" s="9">
        <f>MAX($F$3239:F3649)</f>
        <v>1.3775</v>
      </c>
      <c r="I3649" s="11">
        <f t="shared" si="86"/>
        <v>0.00646098003629758</v>
      </c>
      <c r="J3649" s="9"/>
      <c r="K3649" s="11"/>
      <c r="L3649" s="9"/>
      <c r="M3649" s="11"/>
      <c r="N3649" s="9" t="s">
        <v>809</v>
      </c>
    </row>
    <row r="3650" ht="25" customHeight="1" spans="1:14">
      <c r="A3650" s="9" t="s">
        <v>327</v>
      </c>
      <c r="B3650" s="9" t="s">
        <v>326</v>
      </c>
      <c r="C3650" s="10">
        <v>44116</v>
      </c>
      <c r="D3650" s="15">
        <v>1.0609</v>
      </c>
      <c r="E3650" s="15">
        <v>1.3306</v>
      </c>
      <c r="F3650" s="15">
        <v>1.3681</v>
      </c>
      <c r="G3650" s="11">
        <v>-0.0004</v>
      </c>
      <c r="H3650" s="9">
        <f>MAX($F$3239:F3650)</f>
        <v>1.3775</v>
      </c>
      <c r="I3650" s="11">
        <f t="shared" ref="I3650:I3713" si="87">1-F3650/H3650</f>
        <v>0.00682395644283107</v>
      </c>
      <c r="J3650" s="9"/>
      <c r="K3650" s="11"/>
      <c r="L3650" s="9"/>
      <c r="M3650" s="11"/>
      <c r="N3650" s="9" t="s">
        <v>809</v>
      </c>
    </row>
    <row r="3651" ht="25" customHeight="1" spans="1:14">
      <c r="A3651" s="9" t="s">
        <v>327</v>
      </c>
      <c r="B3651" s="9" t="s">
        <v>326</v>
      </c>
      <c r="C3651" s="10">
        <v>44117</v>
      </c>
      <c r="D3651" s="15">
        <v>1.061</v>
      </c>
      <c r="E3651" s="15">
        <v>1.3307</v>
      </c>
      <c r="F3651" s="15">
        <v>1.3682</v>
      </c>
      <c r="G3651" s="11">
        <v>0.0001</v>
      </c>
      <c r="H3651" s="9">
        <f>MAX($F$3239:F3651)</f>
        <v>1.3775</v>
      </c>
      <c r="I3651" s="11">
        <f t="shared" si="87"/>
        <v>0.00675136116152442</v>
      </c>
      <c r="J3651" s="9"/>
      <c r="K3651" s="11"/>
      <c r="L3651" s="9"/>
      <c r="M3651" s="11"/>
      <c r="N3651" s="9" t="s">
        <v>809</v>
      </c>
    </row>
    <row r="3652" ht="25" customHeight="1" spans="1:14">
      <c r="A3652" s="9" t="s">
        <v>327</v>
      </c>
      <c r="B3652" s="9" t="s">
        <v>326</v>
      </c>
      <c r="C3652" s="10">
        <v>44118</v>
      </c>
      <c r="D3652" s="15">
        <v>1.0674</v>
      </c>
      <c r="E3652" s="15">
        <v>1.3371</v>
      </c>
      <c r="F3652" s="15">
        <v>1.3765</v>
      </c>
      <c r="G3652" s="11">
        <v>0.006</v>
      </c>
      <c r="H3652" s="9">
        <f>MAX($F$3239:F3652)</f>
        <v>1.3775</v>
      </c>
      <c r="I3652" s="11">
        <f t="shared" si="87"/>
        <v>0.000725952813067088</v>
      </c>
      <c r="J3652" s="9"/>
      <c r="K3652" s="11"/>
      <c r="L3652" s="9"/>
      <c r="M3652" s="11"/>
      <c r="N3652" s="9" t="s">
        <v>809</v>
      </c>
    </row>
    <row r="3653" ht="25" customHeight="1" spans="1:14">
      <c r="A3653" s="9" t="s">
        <v>327</v>
      </c>
      <c r="B3653" s="9" t="s">
        <v>326</v>
      </c>
      <c r="C3653" s="10">
        <v>44119</v>
      </c>
      <c r="D3653" s="15">
        <v>1.0658</v>
      </c>
      <c r="E3653" s="15">
        <v>1.3355</v>
      </c>
      <c r="F3653" s="15">
        <v>1.3744</v>
      </c>
      <c r="G3653" s="11">
        <v>-0.0015</v>
      </c>
      <c r="H3653" s="9">
        <f>MAX($F$3239:F3653)</f>
        <v>1.3775</v>
      </c>
      <c r="I3653" s="11">
        <f t="shared" si="87"/>
        <v>0.00225045372050803</v>
      </c>
      <c r="J3653" s="9"/>
      <c r="K3653" s="11"/>
      <c r="L3653" s="9"/>
      <c r="M3653" s="11"/>
      <c r="N3653" s="9" t="s">
        <v>809</v>
      </c>
    </row>
    <row r="3654" ht="25" customHeight="1" spans="1:14">
      <c r="A3654" s="9" t="s">
        <v>327</v>
      </c>
      <c r="B3654" s="9" t="s">
        <v>326</v>
      </c>
      <c r="C3654" s="10">
        <v>44120</v>
      </c>
      <c r="D3654" s="15">
        <v>1.0689</v>
      </c>
      <c r="E3654" s="15">
        <v>1.3386</v>
      </c>
      <c r="F3654" s="15">
        <v>1.3784</v>
      </c>
      <c r="G3654" s="11">
        <v>0.0029</v>
      </c>
      <c r="H3654" s="9">
        <f>MAX($F$3239:F3654)</f>
        <v>1.3784</v>
      </c>
      <c r="I3654" s="11">
        <f t="shared" si="87"/>
        <v>0</v>
      </c>
      <c r="J3654" s="9"/>
      <c r="K3654" s="11"/>
      <c r="L3654" s="9"/>
      <c r="M3654" s="11"/>
      <c r="N3654" s="9" t="s">
        <v>809</v>
      </c>
    </row>
    <row r="3655" ht="25" customHeight="1" spans="1:14">
      <c r="A3655" s="9" t="s">
        <v>327</v>
      </c>
      <c r="B3655" s="9" t="s">
        <v>326</v>
      </c>
      <c r="C3655" s="10">
        <v>44123</v>
      </c>
      <c r="D3655" s="15">
        <v>1.071</v>
      </c>
      <c r="E3655" s="15">
        <v>1.3407</v>
      </c>
      <c r="F3655" s="15">
        <v>1.3811</v>
      </c>
      <c r="G3655" s="11">
        <v>0.002</v>
      </c>
      <c r="H3655" s="9">
        <f>MAX($F$3239:F3655)</f>
        <v>1.3811</v>
      </c>
      <c r="I3655" s="11">
        <f t="shared" si="87"/>
        <v>0</v>
      </c>
      <c r="J3655" s="9"/>
      <c r="K3655" s="11"/>
      <c r="L3655" s="9"/>
      <c r="M3655" s="11"/>
      <c r="N3655" s="9" t="s">
        <v>809</v>
      </c>
    </row>
    <row r="3656" ht="25" customHeight="1" spans="1:14">
      <c r="A3656" s="9" t="s">
        <v>327</v>
      </c>
      <c r="B3656" s="9" t="s">
        <v>326</v>
      </c>
      <c r="C3656" s="10">
        <v>44124</v>
      </c>
      <c r="D3656" s="15">
        <v>1.0703</v>
      </c>
      <c r="E3656" s="15">
        <v>1.34</v>
      </c>
      <c r="F3656" s="15">
        <v>1.3802</v>
      </c>
      <c r="G3656" s="11">
        <v>-0.0007</v>
      </c>
      <c r="H3656" s="9">
        <f>MAX($F$3239:F3656)</f>
        <v>1.3811</v>
      </c>
      <c r="I3656" s="11">
        <f t="shared" si="87"/>
        <v>0.000651654478314279</v>
      </c>
      <c r="J3656" s="9"/>
      <c r="K3656" s="11"/>
      <c r="L3656" s="9"/>
      <c r="M3656" s="11"/>
      <c r="N3656" s="9" t="s">
        <v>809</v>
      </c>
    </row>
    <row r="3657" ht="25" customHeight="1" spans="1:14">
      <c r="A3657" s="9" t="s">
        <v>327</v>
      </c>
      <c r="B3657" s="9" t="s">
        <v>326</v>
      </c>
      <c r="C3657" s="10">
        <v>44125</v>
      </c>
      <c r="D3657" s="15">
        <v>1.0702</v>
      </c>
      <c r="E3657" s="15">
        <v>1.3399</v>
      </c>
      <c r="F3657" s="15">
        <v>1.3801</v>
      </c>
      <c r="G3657" s="11">
        <v>-0.0001</v>
      </c>
      <c r="H3657" s="9">
        <f>MAX($F$3239:F3657)</f>
        <v>1.3811</v>
      </c>
      <c r="I3657" s="11">
        <f t="shared" si="87"/>
        <v>0.000724060531460347</v>
      </c>
      <c r="J3657" s="9"/>
      <c r="K3657" s="11"/>
      <c r="L3657" s="9"/>
      <c r="M3657" s="11"/>
      <c r="N3657" s="9" t="s">
        <v>809</v>
      </c>
    </row>
    <row r="3658" ht="25" customHeight="1" spans="1:14">
      <c r="A3658" s="9" t="s">
        <v>327</v>
      </c>
      <c r="B3658" s="9" t="s">
        <v>326</v>
      </c>
      <c r="C3658" s="10">
        <v>44126</v>
      </c>
      <c r="D3658" s="15">
        <v>1.0715</v>
      </c>
      <c r="E3658" s="15">
        <v>1.3412</v>
      </c>
      <c r="F3658" s="15">
        <v>1.3817</v>
      </c>
      <c r="G3658" s="11">
        <v>0.0012</v>
      </c>
      <c r="H3658" s="9">
        <f>MAX($F$3239:F3658)</f>
        <v>1.3817</v>
      </c>
      <c r="I3658" s="11">
        <f t="shared" si="87"/>
        <v>0</v>
      </c>
      <c r="J3658" s="9"/>
      <c r="K3658" s="11"/>
      <c r="L3658" s="9"/>
      <c r="M3658" s="11"/>
      <c r="N3658" s="9" t="s">
        <v>809</v>
      </c>
    </row>
    <row r="3659" ht="25" customHeight="1" spans="1:14">
      <c r="A3659" s="9" t="s">
        <v>327</v>
      </c>
      <c r="B3659" s="9" t="s">
        <v>326</v>
      </c>
      <c r="C3659" s="10">
        <v>44127</v>
      </c>
      <c r="D3659" s="15">
        <v>1.0716</v>
      </c>
      <c r="E3659" s="15">
        <v>1.3413</v>
      </c>
      <c r="F3659" s="15">
        <v>1.3819</v>
      </c>
      <c r="G3659" s="11">
        <v>0.0001</v>
      </c>
      <c r="H3659" s="9">
        <f>MAX($F$3239:F3659)</f>
        <v>1.3819</v>
      </c>
      <c r="I3659" s="11">
        <f t="shared" si="87"/>
        <v>0</v>
      </c>
      <c r="J3659" s="9"/>
      <c r="K3659" s="11"/>
      <c r="L3659" s="9"/>
      <c r="M3659" s="11"/>
      <c r="N3659" s="9" t="s">
        <v>809</v>
      </c>
    </row>
    <row r="3660" ht="25" customHeight="1" spans="1:14">
      <c r="A3660" s="9" t="s">
        <v>327</v>
      </c>
      <c r="B3660" s="9" t="s">
        <v>326</v>
      </c>
      <c r="C3660" s="10">
        <v>44130</v>
      </c>
      <c r="D3660" s="15">
        <v>1.0719</v>
      </c>
      <c r="E3660" s="15">
        <v>1.3416</v>
      </c>
      <c r="F3660" s="15">
        <v>1.3823</v>
      </c>
      <c r="G3660" s="11">
        <v>0.0003</v>
      </c>
      <c r="H3660" s="9">
        <f>MAX($F$3239:F3660)</f>
        <v>1.3823</v>
      </c>
      <c r="I3660" s="11">
        <f t="shared" si="87"/>
        <v>0</v>
      </c>
      <c r="J3660" s="9"/>
      <c r="K3660" s="11"/>
      <c r="L3660" s="9"/>
      <c r="M3660" s="11"/>
      <c r="N3660" s="9" t="s">
        <v>809</v>
      </c>
    </row>
    <row r="3661" ht="25" customHeight="1" spans="1:14">
      <c r="A3661" s="9" t="s">
        <v>327</v>
      </c>
      <c r="B3661" s="9" t="s">
        <v>326</v>
      </c>
      <c r="C3661" s="10">
        <v>44131</v>
      </c>
      <c r="D3661" s="15">
        <v>1.0725</v>
      </c>
      <c r="E3661" s="15">
        <v>1.3422</v>
      </c>
      <c r="F3661" s="15">
        <v>1.383</v>
      </c>
      <c r="G3661" s="11">
        <v>0.0006</v>
      </c>
      <c r="H3661" s="9">
        <f>MAX($F$3239:F3661)</f>
        <v>1.383</v>
      </c>
      <c r="I3661" s="11">
        <f t="shared" si="87"/>
        <v>0</v>
      </c>
      <c r="J3661" s="9"/>
      <c r="K3661" s="11"/>
      <c r="L3661" s="9"/>
      <c r="M3661" s="11"/>
      <c r="N3661" s="9" t="s">
        <v>809</v>
      </c>
    </row>
    <row r="3662" ht="25" customHeight="1" spans="1:14">
      <c r="A3662" s="9" t="s">
        <v>327</v>
      </c>
      <c r="B3662" s="9" t="s">
        <v>326</v>
      </c>
      <c r="C3662" s="10">
        <v>44132</v>
      </c>
      <c r="D3662" s="15">
        <v>1.075</v>
      </c>
      <c r="E3662" s="15">
        <v>1.3447</v>
      </c>
      <c r="F3662" s="15">
        <v>1.3863</v>
      </c>
      <c r="G3662" s="11">
        <v>0.0023</v>
      </c>
      <c r="H3662" s="9">
        <f>MAX($F$3239:F3662)</f>
        <v>1.3863</v>
      </c>
      <c r="I3662" s="11">
        <f t="shared" si="87"/>
        <v>0</v>
      </c>
      <c r="J3662" s="9"/>
      <c r="K3662" s="11"/>
      <c r="L3662" s="9"/>
      <c r="M3662" s="11"/>
      <c r="N3662" s="9" t="s">
        <v>809</v>
      </c>
    </row>
    <row r="3663" ht="25" customHeight="1" spans="1:14">
      <c r="A3663" s="9" t="s">
        <v>327</v>
      </c>
      <c r="B3663" s="9" t="s">
        <v>326</v>
      </c>
      <c r="C3663" s="10">
        <v>44133</v>
      </c>
      <c r="D3663" s="15">
        <v>1.0756</v>
      </c>
      <c r="E3663" s="15">
        <v>1.3453</v>
      </c>
      <c r="F3663" s="15">
        <v>1.387</v>
      </c>
      <c r="G3663" s="11">
        <v>0.0006</v>
      </c>
      <c r="H3663" s="9">
        <f>MAX($F$3239:F3663)</f>
        <v>1.387</v>
      </c>
      <c r="I3663" s="11">
        <f t="shared" si="87"/>
        <v>0</v>
      </c>
      <c r="J3663" s="9"/>
      <c r="K3663" s="11"/>
      <c r="L3663" s="9"/>
      <c r="M3663" s="11"/>
      <c r="N3663" s="9" t="s">
        <v>809</v>
      </c>
    </row>
    <row r="3664" ht="25" customHeight="1" spans="1:14">
      <c r="A3664" s="9" t="s">
        <v>327</v>
      </c>
      <c r="B3664" s="9" t="s">
        <v>326</v>
      </c>
      <c r="C3664" s="10">
        <v>44134</v>
      </c>
      <c r="D3664" s="15">
        <v>1.0785</v>
      </c>
      <c r="E3664" s="15">
        <v>1.3482</v>
      </c>
      <c r="F3664" s="15">
        <v>1.3908</v>
      </c>
      <c r="G3664" s="11">
        <v>0.0027</v>
      </c>
      <c r="H3664" s="9">
        <f>MAX($F$3239:F3664)</f>
        <v>1.3908</v>
      </c>
      <c r="I3664" s="11">
        <f t="shared" si="87"/>
        <v>0</v>
      </c>
      <c r="J3664" s="9"/>
      <c r="K3664" s="11"/>
      <c r="L3664" s="9"/>
      <c r="M3664" s="11"/>
      <c r="N3664" s="9" t="s">
        <v>809</v>
      </c>
    </row>
    <row r="3665" ht="25" customHeight="1" spans="1:14">
      <c r="A3665" s="9" t="s">
        <v>327</v>
      </c>
      <c r="B3665" s="9" t="s">
        <v>326</v>
      </c>
      <c r="C3665" s="10">
        <v>44137</v>
      </c>
      <c r="D3665" s="15">
        <v>1.0847</v>
      </c>
      <c r="E3665" s="15">
        <v>1.3544</v>
      </c>
      <c r="F3665" s="15">
        <v>1.3988</v>
      </c>
      <c r="G3665" s="11">
        <v>0.0057</v>
      </c>
      <c r="H3665" s="9">
        <f>MAX($F$3239:F3665)</f>
        <v>1.3988</v>
      </c>
      <c r="I3665" s="11">
        <f t="shared" si="87"/>
        <v>0</v>
      </c>
      <c r="J3665" s="9"/>
      <c r="K3665" s="11"/>
      <c r="L3665" s="9"/>
      <c r="M3665" s="11"/>
      <c r="N3665" s="9" t="s">
        <v>809</v>
      </c>
    </row>
    <row r="3666" ht="25" customHeight="1" spans="1:14">
      <c r="A3666" s="9" t="s">
        <v>327</v>
      </c>
      <c r="B3666" s="9" t="s">
        <v>326</v>
      </c>
      <c r="C3666" s="10">
        <v>44138</v>
      </c>
      <c r="D3666" s="15">
        <v>1.0878</v>
      </c>
      <c r="E3666" s="15">
        <v>1.3575</v>
      </c>
      <c r="F3666" s="15">
        <v>1.4028</v>
      </c>
      <c r="G3666" s="11">
        <v>0.0029</v>
      </c>
      <c r="H3666" s="9">
        <f>MAX($F$3239:F3666)</f>
        <v>1.4028</v>
      </c>
      <c r="I3666" s="11">
        <f t="shared" si="87"/>
        <v>0</v>
      </c>
      <c r="J3666" s="9"/>
      <c r="K3666" s="11"/>
      <c r="L3666" s="9"/>
      <c r="M3666" s="11"/>
      <c r="N3666" s="9" t="s">
        <v>809</v>
      </c>
    </row>
    <row r="3667" ht="25" customHeight="1" spans="1:14">
      <c r="A3667" s="9" t="s">
        <v>327</v>
      </c>
      <c r="B3667" s="9" t="s">
        <v>326</v>
      </c>
      <c r="C3667" s="10">
        <v>44139</v>
      </c>
      <c r="D3667" s="15">
        <v>1.0873</v>
      </c>
      <c r="E3667" s="15">
        <v>1.357</v>
      </c>
      <c r="F3667" s="15">
        <v>1.4021</v>
      </c>
      <c r="G3667" s="11">
        <v>-0.0005</v>
      </c>
      <c r="H3667" s="9">
        <f>MAX($F$3239:F3667)</f>
        <v>1.4028</v>
      </c>
      <c r="I3667" s="11">
        <f t="shared" si="87"/>
        <v>0.000499001996008053</v>
      </c>
      <c r="J3667" s="9"/>
      <c r="K3667" s="11"/>
      <c r="L3667" s="9"/>
      <c r="M3667" s="11"/>
      <c r="N3667" s="9" t="s">
        <v>809</v>
      </c>
    </row>
    <row r="3668" ht="25" customHeight="1" spans="1:14">
      <c r="A3668" s="9" t="s">
        <v>327</v>
      </c>
      <c r="B3668" s="9" t="s">
        <v>326</v>
      </c>
      <c r="C3668" s="10">
        <v>44140</v>
      </c>
      <c r="D3668" s="15">
        <v>1.0891</v>
      </c>
      <c r="E3668" s="15">
        <v>1.3588</v>
      </c>
      <c r="F3668" s="15">
        <v>1.4044</v>
      </c>
      <c r="G3668" s="11">
        <v>0.0017</v>
      </c>
      <c r="H3668" s="9">
        <f>MAX($F$3239:F3668)</f>
        <v>1.4044</v>
      </c>
      <c r="I3668" s="11">
        <f t="shared" si="87"/>
        <v>0</v>
      </c>
      <c r="J3668" s="9"/>
      <c r="K3668" s="11"/>
      <c r="L3668" s="9"/>
      <c r="M3668" s="11"/>
      <c r="N3668" s="9" t="s">
        <v>809</v>
      </c>
    </row>
    <row r="3669" ht="25" customHeight="1" spans="1:14">
      <c r="A3669" s="9" t="s">
        <v>327</v>
      </c>
      <c r="B3669" s="9" t="s">
        <v>326</v>
      </c>
      <c r="C3669" s="10">
        <v>44141</v>
      </c>
      <c r="D3669" s="15">
        <v>1.0892</v>
      </c>
      <c r="E3669" s="15">
        <v>1.3589</v>
      </c>
      <c r="F3669" s="15">
        <v>1.4046</v>
      </c>
      <c r="G3669" s="11">
        <v>0.0001</v>
      </c>
      <c r="H3669" s="9">
        <f>MAX($F$3239:F3669)</f>
        <v>1.4046</v>
      </c>
      <c r="I3669" s="11">
        <f t="shared" si="87"/>
        <v>0</v>
      </c>
      <c r="J3669" s="9"/>
      <c r="K3669" s="11"/>
      <c r="L3669" s="9"/>
      <c r="M3669" s="11"/>
      <c r="N3669" s="9" t="s">
        <v>809</v>
      </c>
    </row>
    <row r="3670" ht="25" customHeight="1" spans="1:14">
      <c r="A3670" s="9" t="s">
        <v>327</v>
      </c>
      <c r="B3670" s="9" t="s">
        <v>326</v>
      </c>
      <c r="C3670" s="10">
        <v>44144</v>
      </c>
      <c r="D3670" s="15">
        <v>1.0932</v>
      </c>
      <c r="E3670" s="15">
        <v>1.3629</v>
      </c>
      <c r="F3670" s="15">
        <v>1.4097</v>
      </c>
      <c r="G3670" s="11">
        <v>0.0037</v>
      </c>
      <c r="H3670" s="9">
        <f>MAX($F$3239:F3670)</f>
        <v>1.4097</v>
      </c>
      <c r="I3670" s="11">
        <f t="shared" si="87"/>
        <v>0</v>
      </c>
      <c r="J3670" s="9"/>
      <c r="K3670" s="11"/>
      <c r="L3670" s="9"/>
      <c r="M3670" s="11"/>
      <c r="N3670" s="9" t="s">
        <v>809</v>
      </c>
    </row>
    <row r="3671" ht="25" customHeight="1" spans="1:14">
      <c r="A3671" s="9" t="s">
        <v>327</v>
      </c>
      <c r="B3671" s="9" t="s">
        <v>326</v>
      </c>
      <c r="C3671" s="10">
        <v>44145</v>
      </c>
      <c r="D3671" s="15">
        <v>1.0933</v>
      </c>
      <c r="E3671" s="15">
        <v>1.363</v>
      </c>
      <c r="F3671" s="15">
        <v>1.4099</v>
      </c>
      <c r="G3671" s="11">
        <v>0.0001</v>
      </c>
      <c r="H3671" s="9">
        <f>MAX($F$3239:F3671)</f>
        <v>1.4099</v>
      </c>
      <c r="I3671" s="11">
        <f t="shared" si="87"/>
        <v>0</v>
      </c>
      <c r="J3671" s="9"/>
      <c r="K3671" s="11"/>
      <c r="L3671" s="9"/>
      <c r="M3671" s="11"/>
      <c r="N3671" s="9" t="s">
        <v>809</v>
      </c>
    </row>
    <row r="3672" ht="25" customHeight="1" spans="1:14">
      <c r="A3672" s="9" t="s">
        <v>327</v>
      </c>
      <c r="B3672" s="9" t="s">
        <v>326</v>
      </c>
      <c r="C3672" s="10">
        <v>44146</v>
      </c>
      <c r="D3672" s="15">
        <v>1.0955</v>
      </c>
      <c r="E3672" s="15">
        <v>1.3652</v>
      </c>
      <c r="F3672" s="15">
        <v>1.4127</v>
      </c>
      <c r="G3672" s="11">
        <v>0.002</v>
      </c>
      <c r="H3672" s="9">
        <f>MAX($F$3239:F3672)</f>
        <v>1.4127</v>
      </c>
      <c r="I3672" s="11">
        <f t="shared" si="87"/>
        <v>0</v>
      </c>
      <c r="J3672" s="9"/>
      <c r="K3672" s="11"/>
      <c r="L3672" s="9"/>
      <c r="M3672" s="11"/>
      <c r="N3672" s="9" t="s">
        <v>809</v>
      </c>
    </row>
    <row r="3673" ht="25" customHeight="1" spans="1:14">
      <c r="A3673" s="9" t="s">
        <v>327</v>
      </c>
      <c r="B3673" s="9" t="s">
        <v>326</v>
      </c>
      <c r="C3673" s="10">
        <v>44147</v>
      </c>
      <c r="D3673" s="15">
        <v>1.0963</v>
      </c>
      <c r="E3673" s="15">
        <v>1.366</v>
      </c>
      <c r="F3673" s="15">
        <v>1.4137</v>
      </c>
      <c r="G3673" s="11">
        <v>0.0007</v>
      </c>
      <c r="H3673" s="9">
        <f>MAX($F$3239:F3673)</f>
        <v>1.4137</v>
      </c>
      <c r="I3673" s="11">
        <f t="shared" si="87"/>
        <v>0</v>
      </c>
      <c r="J3673" s="9"/>
      <c r="K3673" s="11"/>
      <c r="L3673" s="9"/>
      <c r="M3673" s="11"/>
      <c r="N3673" s="9" t="s">
        <v>809</v>
      </c>
    </row>
    <row r="3674" ht="25" customHeight="1" spans="1:14">
      <c r="A3674" s="9" t="s">
        <v>327</v>
      </c>
      <c r="B3674" s="9" t="s">
        <v>326</v>
      </c>
      <c r="C3674" s="10">
        <v>44148</v>
      </c>
      <c r="D3674" s="15">
        <v>1.0986</v>
      </c>
      <c r="E3674" s="15">
        <v>1.3683</v>
      </c>
      <c r="F3674" s="15">
        <v>1.4167</v>
      </c>
      <c r="G3674" s="11">
        <v>0.0021</v>
      </c>
      <c r="H3674" s="9">
        <f>MAX($F$3239:F3674)</f>
        <v>1.4167</v>
      </c>
      <c r="I3674" s="11">
        <f t="shared" si="87"/>
        <v>0</v>
      </c>
      <c r="J3674" s="9"/>
      <c r="K3674" s="11"/>
      <c r="L3674" s="9"/>
      <c r="M3674" s="11"/>
      <c r="N3674" s="9" t="s">
        <v>809</v>
      </c>
    </row>
    <row r="3675" ht="25" customHeight="1" spans="1:14">
      <c r="A3675" s="9" t="s">
        <v>327</v>
      </c>
      <c r="B3675" s="9" t="s">
        <v>326</v>
      </c>
      <c r="C3675" s="10">
        <v>44151</v>
      </c>
      <c r="D3675" s="15">
        <v>1.0968</v>
      </c>
      <c r="E3675" s="15">
        <v>1.3665</v>
      </c>
      <c r="F3675" s="15">
        <v>1.4144</v>
      </c>
      <c r="G3675" s="11">
        <v>-0.0016</v>
      </c>
      <c r="H3675" s="9">
        <f>MAX($F$3239:F3675)</f>
        <v>1.4167</v>
      </c>
      <c r="I3675" s="11">
        <f t="shared" si="87"/>
        <v>0.00162349121197147</v>
      </c>
      <c r="J3675" s="9"/>
      <c r="K3675" s="11"/>
      <c r="L3675" s="9"/>
      <c r="M3675" s="11"/>
      <c r="N3675" s="9" t="s">
        <v>809</v>
      </c>
    </row>
    <row r="3676" ht="25" customHeight="1" spans="1:14">
      <c r="A3676" s="9" t="s">
        <v>327</v>
      </c>
      <c r="B3676" s="9" t="s">
        <v>326</v>
      </c>
      <c r="C3676" s="10">
        <v>44152</v>
      </c>
      <c r="D3676" s="15">
        <v>1.0983</v>
      </c>
      <c r="E3676" s="15">
        <v>1.368</v>
      </c>
      <c r="F3676" s="15">
        <v>1.4163</v>
      </c>
      <c r="G3676" s="11">
        <v>0.0014</v>
      </c>
      <c r="H3676" s="9">
        <f>MAX($F$3239:F3676)</f>
        <v>1.4167</v>
      </c>
      <c r="I3676" s="11">
        <f t="shared" si="87"/>
        <v>0.000282346297734271</v>
      </c>
      <c r="J3676" s="9"/>
      <c r="K3676" s="11"/>
      <c r="L3676" s="9"/>
      <c r="M3676" s="11"/>
      <c r="N3676" s="9" t="s">
        <v>809</v>
      </c>
    </row>
    <row r="3677" ht="25" customHeight="1" spans="1:14">
      <c r="A3677" s="9" t="s">
        <v>327</v>
      </c>
      <c r="B3677" s="9" t="s">
        <v>326</v>
      </c>
      <c r="C3677" s="10">
        <v>44153</v>
      </c>
      <c r="D3677" s="15">
        <v>1.0983</v>
      </c>
      <c r="E3677" s="15">
        <v>1.368</v>
      </c>
      <c r="F3677" s="15">
        <v>1.4163</v>
      </c>
      <c r="G3677" s="11">
        <v>0</v>
      </c>
      <c r="H3677" s="9">
        <f>MAX($F$3239:F3677)</f>
        <v>1.4167</v>
      </c>
      <c r="I3677" s="11">
        <f t="shared" si="87"/>
        <v>0.000282346297734271</v>
      </c>
      <c r="J3677" s="9"/>
      <c r="K3677" s="11"/>
      <c r="L3677" s="9"/>
      <c r="M3677" s="11"/>
      <c r="N3677" s="9" t="s">
        <v>809</v>
      </c>
    </row>
    <row r="3678" ht="25" customHeight="1" spans="1:14">
      <c r="A3678" s="9" t="s">
        <v>327</v>
      </c>
      <c r="B3678" s="9" t="s">
        <v>326</v>
      </c>
      <c r="C3678" s="10">
        <v>44154</v>
      </c>
      <c r="D3678" s="15">
        <v>1.0993</v>
      </c>
      <c r="E3678" s="15">
        <v>1.369</v>
      </c>
      <c r="F3678" s="15">
        <v>1.4176</v>
      </c>
      <c r="G3678" s="11">
        <v>0.0009</v>
      </c>
      <c r="H3678" s="9">
        <f>MAX($F$3239:F3678)</f>
        <v>1.4176</v>
      </c>
      <c r="I3678" s="11">
        <f t="shared" si="87"/>
        <v>0</v>
      </c>
      <c r="J3678" s="9"/>
      <c r="K3678" s="11"/>
      <c r="L3678" s="9"/>
      <c r="M3678" s="11"/>
      <c r="N3678" s="9" t="s">
        <v>809</v>
      </c>
    </row>
    <row r="3679" ht="25" customHeight="1" spans="1:14">
      <c r="A3679" s="9" t="s">
        <v>327</v>
      </c>
      <c r="B3679" s="9" t="s">
        <v>326</v>
      </c>
      <c r="C3679" s="10">
        <v>44155</v>
      </c>
      <c r="D3679" s="15">
        <v>1.0985</v>
      </c>
      <c r="E3679" s="15">
        <v>1.3682</v>
      </c>
      <c r="F3679" s="15">
        <v>1.4166</v>
      </c>
      <c r="G3679" s="11">
        <v>-0.0007</v>
      </c>
      <c r="H3679" s="9">
        <f>MAX($F$3239:F3679)</f>
        <v>1.4176</v>
      </c>
      <c r="I3679" s="11">
        <f t="shared" si="87"/>
        <v>0.000705417607223424</v>
      </c>
      <c r="J3679" s="9"/>
      <c r="K3679" s="11"/>
      <c r="L3679" s="9"/>
      <c r="M3679" s="11"/>
      <c r="N3679" s="9" t="s">
        <v>809</v>
      </c>
    </row>
    <row r="3680" ht="25" customHeight="1" spans="1:14">
      <c r="A3680" s="9" t="s">
        <v>327</v>
      </c>
      <c r="B3680" s="9" t="s">
        <v>326</v>
      </c>
      <c r="C3680" s="10">
        <v>44158</v>
      </c>
      <c r="D3680" s="15">
        <v>1.097</v>
      </c>
      <c r="E3680" s="15">
        <v>1.3667</v>
      </c>
      <c r="F3680" s="15">
        <v>1.4146</v>
      </c>
      <c r="G3680" s="11">
        <v>-0.0014</v>
      </c>
      <c r="H3680" s="9">
        <f>MAX($F$3239:F3680)</f>
        <v>1.4176</v>
      </c>
      <c r="I3680" s="11">
        <f t="shared" si="87"/>
        <v>0.00211625282167038</v>
      </c>
      <c r="J3680" s="9"/>
      <c r="K3680" s="11"/>
      <c r="L3680" s="9"/>
      <c r="M3680" s="11"/>
      <c r="N3680" s="9" t="s">
        <v>809</v>
      </c>
    </row>
    <row r="3681" ht="25" customHeight="1" spans="1:14">
      <c r="A3681" s="9" t="s">
        <v>327</v>
      </c>
      <c r="B3681" s="9" t="s">
        <v>326</v>
      </c>
      <c r="C3681" s="10">
        <v>44159</v>
      </c>
      <c r="D3681" s="15">
        <v>1.0977</v>
      </c>
      <c r="E3681" s="15">
        <v>1.3674</v>
      </c>
      <c r="F3681" s="15">
        <v>1.4155</v>
      </c>
      <c r="G3681" s="11">
        <v>0.0006</v>
      </c>
      <c r="H3681" s="9">
        <f>MAX($F$3239:F3681)</f>
        <v>1.4176</v>
      </c>
      <c r="I3681" s="11">
        <f t="shared" si="87"/>
        <v>0.00148137697516926</v>
      </c>
      <c r="J3681" s="9"/>
      <c r="K3681" s="11"/>
      <c r="L3681" s="9"/>
      <c r="M3681" s="11"/>
      <c r="N3681" s="9" t="s">
        <v>809</v>
      </c>
    </row>
    <row r="3682" ht="25" customHeight="1" spans="1:14">
      <c r="A3682" s="9" t="s">
        <v>327</v>
      </c>
      <c r="B3682" s="9" t="s">
        <v>326</v>
      </c>
      <c r="C3682" s="10">
        <v>44160</v>
      </c>
      <c r="D3682" s="15">
        <v>1.0953</v>
      </c>
      <c r="E3682" s="15">
        <v>1.365</v>
      </c>
      <c r="F3682" s="15">
        <v>1.4124</v>
      </c>
      <c r="G3682" s="11">
        <v>-0.0022</v>
      </c>
      <c r="H3682" s="9">
        <f>MAX($F$3239:F3682)</f>
        <v>1.4176</v>
      </c>
      <c r="I3682" s="11">
        <f t="shared" si="87"/>
        <v>0.00366817155756194</v>
      </c>
      <c r="J3682" s="9"/>
      <c r="K3682" s="11"/>
      <c r="L3682" s="9"/>
      <c r="M3682" s="11"/>
      <c r="N3682" s="9" t="s">
        <v>809</v>
      </c>
    </row>
    <row r="3683" ht="25" customHeight="1" spans="1:14">
      <c r="A3683" s="9" t="s">
        <v>327</v>
      </c>
      <c r="B3683" s="9" t="s">
        <v>326</v>
      </c>
      <c r="C3683" s="10">
        <v>44161</v>
      </c>
      <c r="D3683" s="15">
        <v>1.0951</v>
      </c>
      <c r="E3683" s="15">
        <v>1.3648</v>
      </c>
      <c r="F3683" s="15">
        <v>1.4122</v>
      </c>
      <c r="G3683" s="11">
        <v>-0.0002</v>
      </c>
      <c r="H3683" s="9">
        <f>MAX($F$3239:F3683)</f>
        <v>1.4176</v>
      </c>
      <c r="I3683" s="11">
        <f t="shared" si="87"/>
        <v>0.00380925507900687</v>
      </c>
      <c r="J3683" s="9"/>
      <c r="K3683" s="11"/>
      <c r="L3683" s="9"/>
      <c r="M3683" s="11"/>
      <c r="N3683" s="9" t="s">
        <v>809</v>
      </c>
    </row>
    <row r="3684" ht="25" customHeight="1" spans="1:14">
      <c r="A3684" s="9" t="s">
        <v>327</v>
      </c>
      <c r="B3684" s="9" t="s">
        <v>326</v>
      </c>
      <c r="C3684" s="10">
        <v>44162</v>
      </c>
      <c r="D3684" s="15">
        <v>1.0975</v>
      </c>
      <c r="E3684" s="15">
        <v>1.3672</v>
      </c>
      <c r="F3684" s="15">
        <v>1.4153</v>
      </c>
      <c r="G3684" s="11">
        <v>0.0022</v>
      </c>
      <c r="H3684" s="9">
        <f>MAX($F$3239:F3684)</f>
        <v>1.4176</v>
      </c>
      <c r="I3684" s="11">
        <f t="shared" si="87"/>
        <v>0.00162246049661396</v>
      </c>
      <c r="J3684" s="9"/>
      <c r="K3684" s="11"/>
      <c r="L3684" s="9"/>
      <c r="M3684" s="11"/>
      <c r="N3684" s="9" t="s">
        <v>809</v>
      </c>
    </row>
    <row r="3685" ht="25" customHeight="1" spans="1:14">
      <c r="A3685" s="9" t="s">
        <v>327</v>
      </c>
      <c r="B3685" s="9" t="s">
        <v>326</v>
      </c>
      <c r="C3685" s="10">
        <v>44165</v>
      </c>
      <c r="D3685" s="15">
        <v>1.0988</v>
      </c>
      <c r="E3685" s="15">
        <v>1.3685</v>
      </c>
      <c r="F3685" s="15">
        <v>1.4169</v>
      </c>
      <c r="G3685" s="11">
        <v>0.0012</v>
      </c>
      <c r="H3685" s="9">
        <f>MAX($F$3239:F3685)</f>
        <v>1.4176</v>
      </c>
      <c r="I3685" s="11">
        <f t="shared" si="87"/>
        <v>0.000493792325056419</v>
      </c>
      <c r="J3685" s="9"/>
      <c r="K3685" s="11"/>
      <c r="L3685" s="9"/>
      <c r="M3685" s="11"/>
      <c r="N3685" s="9" t="s">
        <v>809</v>
      </c>
    </row>
    <row r="3686" ht="25" customHeight="1" spans="1:14">
      <c r="A3686" s="9" t="s">
        <v>327</v>
      </c>
      <c r="B3686" s="9" t="s">
        <v>326</v>
      </c>
      <c r="C3686" s="10">
        <v>44166</v>
      </c>
      <c r="D3686" s="15">
        <v>1.0987</v>
      </c>
      <c r="E3686" s="15">
        <v>1.3684</v>
      </c>
      <c r="F3686" s="15">
        <v>1.4168</v>
      </c>
      <c r="G3686" s="11">
        <v>-0.0001</v>
      </c>
      <c r="H3686" s="9">
        <f>MAX($F$3239:F3686)</f>
        <v>1.4176</v>
      </c>
      <c r="I3686" s="11">
        <f t="shared" si="87"/>
        <v>0.000564334085778717</v>
      </c>
      <c r="J3686" s="9"/>
      <c r="K3686" s="11"/>
      <c r="L3686" s="9"/>
      <c r="M3686" s="11"/>
      <c r="N3686" s="9" t="s">
        <v>809</v>
      </c>
    </row>
    <row r="3687" ht="25" customHeight="1" spans="1:14">
      <c r="A3687" s="9" t="s">
        <v>327</v>
      </c>
      <c r="B3687" s="9" t="s">
        <v>326</v>
      </c>
      <c r="C3687" s="10">
        <v>44167</v>
      </c>
      <c r="D3687" s="15">
        <v>1.0983</v>
      </c>
      <c r="E3687" s="15">
        <v>1.368</v>
      </c>
      <c r="F3687" s="15">
        <v>1.4163</v>
      </c>
      <c r="G3687" s="11">
        <v>-0.0004</v>
      </c>
      <c r="H3687" s="9">
        <f>MAX($F$3239:F3687)</f>
        <v>1.4176</v>
      </c>
      <c r="I3687" s="11">
        <f t="shared" si="87"/>
        <v>0.00091704288939054</v>
      </c>
      <c r="J3687" s="9"/>
      <c r="K3687" s="11"/>
      <c r="L3687" s="9"/>
      <c r="M3687" s="11"/>
      <c r="N3687" s="9" t="s">
        <v>809</v>
      </c>
    </row>
    <row r="3688" ht="25" customHeight="1" spans="1:14">
      <c r="A3688" s="9" t="s">
        <v>327</v>
      </c>
      <c r="B3688" s="9" t="s">
        <v>326</v>
      </c>
      <c r="C3688" s="10">
        <v>44168</v>
      </c>
      <c r="D3688" s="15">
        <v>1.0967</v>
      </c>
      <c r="E3688" s="15">
        <v>1.3664</v>
      </c>
      <c r="F3688" s="15">
        <v>1.4142</v>
      </c>
      <c r="G3688" s="11">
        <v>-0.0015</v>
      </c>
      <c r="H3688" s="9">
        <f>MAX($F$3239:F3688)</f>
        <v>1.4176</v>
      </c>
      <c r="I3688" s="11">
        <f t="shared" si="87"/>
        <v>0.00239841986455991</v>
      </c>
      <c r="J3688" s="9"/>
      <c r="K3688" s="11"/>
      <c r="L3688" s="9"/>
      <c r="M3688" s="11"/>
      <c r="N3688" s="9" t="s">
        <v>809</v>
      </c>
    </row>
    <row r="3689" ht="25" customHeight="1" spans="1:14">
      <c r="A3689" s="9" t="s">
        <v>327</v>
      </c>
      <c r="B3689" s="9" t="s">
        <v>326</v>
      </c>
      <c r="C3689" s="10">
        <v>44169</v>
      </c>
      <c r="D3689" s="15">
        <v>1.1019</v>
      </c>
      <c r="E3689" s="15">
        <v>1.3716</v>
      </c>
      <c r="F3689" s="15">
        <v>1.4209</v>
      </c>
      <c r="G3689" s="11">
        <v>0.0047</v>
      </c>
      <c r="H3689" s="9">
        <f>MAX($F$3239:F3689)</f>
        <v>1.4209</v>
      </c>
      <c r="I3689" s="11">
        <f t="shared" si="87"/>
        <v>0</v>
      </c>
      <c r="J3689" s="9"/>
      <c r="K3689" s="11"/>
      <c r="L3689" s="9"/>
      <c r="M3689" s="11"/>
      <c r="N3689" s="9" t="s">
        <v>809</v>
      </c>
    </row>
    <row r="3690" ht="25" customHeight="1" spans="1:14">
      <c r="A3690" s="9" t="s">
        <v>327</v>
      </c>
      <c r="B3690" s="9" t="s">
        <v>326</v>
      </c>
      <c r="C3690" s="10">
        <v>44172</v>
      </c>
      <c r="D3690" s="15">
        <v>1.1029</v>
      </c>
      <c r="E3690" s="15">
        <v>1.3726</v>
      </c>
      <c r="F3690" s="15">
        <v>1.4222</v>
      </c>
      <c r="G3690" s="11">
        <v>0.0009</v>
      </c>
      <c r="H3690" s="9">
        <f>MAX($F$3239:F3690)</f>
        <v>1.4222</v>
      </c>
      <c r="I3690" s="11">
        <f t="shared" si="87"/>
        <v>0</v>
      </c>
      <c r="J3690" s="9"/>
      <c r="K3690" s="11"/>
      <c r="L3690" s="9"/>
      <c r="M3690" s="11"/>
      <c r="N3690" s="9" t="s">
        <v>809</v>
      </c>
    </row>
    <row r="3691" ht="25" customHeight="1" spans="1:14">
      <c r="A3691" s="9" t="s">
        <v>327</v>
      </c>
      <c r="B3691" s="9" t="s">
        <v>326</v>
      </c>
      <c r="C3691" s="10">
        <v>44173</v>
      </c>
      <c r="D3691" s="15">
        <v>1.1069</v>
      </c>
      <c r="E3691" s="15">
        <v>1.3766</v>
      </c>
      <c r="F3691" s="15">
        <v>1.4274</v>
      </c>
      <c r="G3691" s="11">
        <v>0.0036</v>
      </c>
      <c r="H3691" s="9">
        <f>MAX($F$3239:F3691)</f>
        <v>1.4274</v>
      </c>
      <c r="I3691" s="11">
        <f t="shared" si="87"/>
        <v>0</v>
      </c>
      <c r="J3691" s="9"/>
      <c r="K3691" s="11"/>
      <c r="L3691" s="9"/>
      <c r="M3691" s="11"/>
      <c r="N3691" s="9" t="s">
        <v>809</v>
      </c>
    </row>
    <row r="3692" ht="25" customHeight="1" spans="1:14">
      <c r="A3692" s="9" t="s">
        <v>327</v>
      </c>
      <c r="B3692" s="9" t="s">
        <v>326</v>
      </c>
      <c r="C3692" s="10">
        <v>44174</v>
      </c>
      <c r="D3692" s="15">
        <v>1.1073</v>
      </c>
      <c r="E3692" s="15">
        <v>1.377</v>
      </c>
      <c r="F3692" s="15">
        <v>1.4279</v>
      </c>
      <c r="G3692" s="11">
        <v>0.0004</v>
      </c>
      <c r="H3692" s="9">
        <f>MAX($F$3239:F3692)</f>
        <v>1.4279</v>
      </c>
      <c r="I3692" s="11">
        <f t="shared" si="87"/>
        <v>0</v>
      </c>
      <c r="J3692" s="9"/>
      <c r="K3692" s="11"/>
      <c r="L3692" s="9"/>
      <c r="M3692" s="11"/>
      <c r="N3692" s="9" t="s">
        <v>809</v>
      </c>
    </row>
    <row r="3693" ht="25" customHeight="1" spans="1:14">
      <c r="A3693" s="9" t="s">
        <v>327</v>
      </c>
      <c r="B3693" s="9" t="s">
        <v>326</v>
      </c>
      <c r="C3693" s="10">
        <v>44175</v>
      </c>
      <c r="D3693" s="15">
        <v>1.1074</v>
      </c>
      <c r="E3693" s="15">
        <v>1.3771</v>
      </c>
      <c r="F3693" s="15">
        <v>1.428</v>
      </c>
      <c r="G3693" s="11">
        <v>0.0001</v>
      </c>
      <c r="H3693" s="9">
        <f>MAX($F$3239:F3693)</f>
        <v>1.428</v>
      </c>
      <c r="I3693" s="11">
        <f t="shared" si="87"/>
        <v>0</v>
      </c>
      <c r="J3693" s="9"/>
      <c r="K3693" s="11"/>
      <c r="L3693" s="9"/>
      <c r="M3693" s="11"/>
      <c r="N3693" s="9" t="s">
        <v>809</v>
      </c>
    </row>
    <row r="3694" ht="25" customHeight="1" spans="1:14">
      <c r="A3694" s="9" t="s">
        <v>327</v>
      </c>
      <c r="B3694" s="9" t="s">
        <v>326</v>
      </c>
      <c r="C3694" s="10">
        <v>44176</v>
      </c>
      <c r="D3694" s="15">
        <v>1.1083</v>
      </c>
      <c r="E3694" s="15">
        <v>1.378</v>
      </c>
      <c r="F3694" s="15">
        <v>1.4292</v>
      </c>
      <c r="G3694" s="11">
        <v>0.0008</v>
      </c>
      <c r="H3694" s="9">
        <f>MAX($F$3239:F3694)</f>
        <v>1.4292</v>
      </c>
      <c r="I3694" s="11">
        <f t="shared" si="87"/>
        <v>0</v>
      </c>
      <c r="J3694" s="9"/>
      <c r="K3694" s="11"/>
      <c r="L3694" s="9"/>
      <c r="M3694" s="11"/>
      <c r="N3694" s="9" t="s">
        <v>809</v>
      </c>
    </row>
    <row r="3695" ht="25" customHeight="1" spans="1:14">
      <c r="A3695" s="9" t="s">
        <v>327</v>
      </c>
      <c r="B3695" s="9" t="s">
        <v>326</v>
      </c>
      <c r="C3695" s="10">
        <v>44179</v>
      </c>
      <c r="D3695" s="15">
        <v>1.1082</v>
      </c>
      <c r="E3695" s="15">
        <v>1.3779</v>
      </c>
      <c r="F3695" s="15">
        <v>1.4291</v>
      </c>
      <c r="G3695" s="11">
        <v>-0.0001</v>
      </c>
      <c r="H3695" s="9">
        <f>MAX($F$3239:F3695)</f>
        <v>1.4292</v>
      </c>
      <c r="I3695" s="11">
        <f t="shared" si="87"/>
        <v>6.99692135460728e-5</v>
      </c>
      <c r="J3695" s="9"/>
      <c r="K3695" s="11"/>
      <c r="L3695" s="9"/>
      <c r="M3695" s="11"/>
      <c r="N3695" s="9" t="s">
        <v>809</v>
      </c>
    </row>
    <row r="3696" ht="25" customHeight="1" spans="1:14">
      <c r="A3696" s="9" t="s">
        <v>327</v>
      </c>
      <c r="B3696" s="9" t="s">
        <v>326</v>
      </c>
      <c r="C3696" s="10">
        <v>44180</v>
      </c>
      <c r="D3696" s="15">
        <v>1.109</v>
      </c>
      <c r="E3696" s="15">
        <v>1.3787</v>
      </c>
      <c r="F3696" s="15">
        <v>1.4301</v>
      </c>
      <c r="G3696" s="11">
        <v>0.0007</v>
      </c>
      <c r="H3696" s="9">
        <f>MAX($F$3239:F3696)</f>
        <v>1.4301</v>
      </c>
      <c r="I3696" s="11">
        <f t="shared" si="87"/>
        <v>0</v>
      </c>
      <c r="J3696" s="9"/>
      <c r="K3696" s="11"/>
      <c r="L3696" s="9"/>
      <c r="M3696" s="11"/>
      <c r="N3696" s="9" t="s">
        <v>809</v>
      </c>
    </row>
    <row r="3697" ht="25" customHeight="1" spans="1:14">
      <c r="A3697" s="9" t="s">
        <v>327</v>
      </c>
      <c r="B3697" s="9" t="s">
        <v>326</v>
      </c>
      <c r="C3697" s="10">
        <v>44181</v>
      </c>
      <c r="D3697" s="15">
        <v>1.1084</v>
      </c>
      <c r="E3697" s="15">
        <v>1.3781</v>
      </c>
      <c r="F3697" s="15">
        <v>1.4293</v>
      </c>
      <c r="G3697" s="11">
        <v>-0.0005</v>
      </c>
      <c r="H3697" s="9">
        <f>MAX($F$3239:F3697)</f>
        <v>1.4301</v>
      </c>
      <c r="I3697" s="11">
        <f t="shared" si="87"/>
        <v>0.000559401440458629</v>
      </c>
      <c r="J3697" s="9"/>
      <c r="K3697" s="11"/>
      <c r="L3697" s="9"/>
      <c r="M3697" s="11"/>
      <c r="N3697" s="9" t="s">
        <v>809</v>
      </c>
    </row>
    <row r="3698" ht="25" customHeight="1" spans="1:14">
      <c r="A3698" s="9" t="s">
        <v>327</v>
      </c>
      <c r="B3698" s="9" t="s">
        <v>326</v>
      </c>
      <c r="C3698" s="10">
        <v>44182</v>
      </c>
      <c r="D3698" s="15">
        <v>1.1068</v>
      </c>
      <c r="E3698" s="15">
        <v>1.3765</v>
      </c>
      <c r="F3698" s="15">
        <v>1.4273</v>
      </c>
      <c r="G3698" s="11">
        <v>-0.0014</v>
      </c>
      <c r="H3698" s="9">
        <f>MAX($F$3239:F3698)</f>
        <v>1.4301</v>
      </c>
      <c r="I3698" s="11">
        <f t="shared" si="87"/>
        <v>0.00195790504160542</v>
      </c>
      <c r="J3698" s="9"/>
      <c r="K3698" s="11"/>
      <c r="L3698" s="9"/>
      <c r="M3698" s="11"/>
      <c r="N3698" s="9" t="s">
        <v>809</v>
      </c>
    </row>
    <row r="3699" ht="25" customHeight="1" spans="1:14">
      <c r="A3699" s="9" t="s">
        <v>327</v>
      </c>
      <c r="B3699" s="9" t="s">
        <v>326</v>
      </c>
      <c r="C3699" s="10">
        <v>44183</v>
      </c>
      <c r="D3699" s="15">
        <v>1</v>
      </c>
      <c r="E3699" s="15">
        <v>1.3759</v>
      </c>
      <c r="F3699" s="15">
        <v>1.4265</v>
      </c>
      <c r="G3699" s="11">
        <v>-0.0005</v>
      </c>
      <c r="H3699" s="9">
        <f>MAX($F$3239:F3699)</f>
        <v>1.4301</v>
      </c>
      <c r="I3699" s="11">
        <f t="shared" si="87"/>
        <v>0.00251730648206405</v>
      </c>
      <c r="J3699" s="9"/>
      <c r="K3699" s="11"/>
      <c r="L3699" s="9"/>
      <c r="M3699" s="11"/>
      <c r="N3699" s="9" t="s">
        <v>809</v>
      </c>
    </row>
    <row r="3700" ht="25" customHeight="1" spans="1:14">
      <c r="A3700" s="9" t="s">
        <v>327</v>
      </c>
      <c r="B3700" s="9" t="s">
        <v>326</v>
      </c>
      <c r="C3700" s="10">
        <v>44186</v>
      </c>
      <c r="D3700" s="15">
        <v>1.0012</v>
      </c>
      <c r="E3700" s="15">
        <v>1.3771</v>
      </c>
      <c r="F3700" s="15">
        <v>1.4282</v>
      </c>
      <c r="G3700" s="11">
        <v>0.0012</v>
      </c>
      <c r="H3700" s="9">
        <f>MAX($F$3239:F3700)</f>
        <v>1.4301</v>
      </c>
      <c r="I3700" s="11">
        <f t="shared" si="87"/>
        <v>0.00132857842108947</v>
      </c>
      <c r="J3700" s="9"/>
      <c r="K3700" s="11"/>
      <c r="L3700" s="9"/>
      <c r="M3700" s="11"/>
      <c r="N3700" s="9" t="s">
        <v>809</v>
      </c>
    </row>
    <row r="3701" ht="25" customHeight="1" spans="1:14">
      <c r="A3701" s="9" t="s">
        <v>327</v>
      </c>
      <c r="B3701" s="9" t="s">
        <v>326</v>
      </c>
      <c r="C3701" s="10">
        <v>44187</v>
      </c>
      <c r="D3701" s="15">
        <v>1.0011</v>
      </c>
      <c r="E3701" s="15">
        <v>1.377</v>
      </c>
      <c r="F3701" s="15">
        <v>1.4281</v>
      </c>
      <c r="G3701" s="11">
        <v>-0.0001</v>
      </c>
      <c r="H3701" s="9">
        <f>MAX($F$3239:F3701)</f>
        <v>1.4301</v>
      </c>
      <c r="I3701" s="11">
        <f t="shared" si="87"/>
        <v>0.00139850360114679</v>
      </c>
      <c r="J3701" s="9"/>
      <c r="K3701" s="11"/>
      <c r="L3701" s="9"/>
      <c r="M3701" s="11"/>
      <c r="N3701" s="9" t="s">
        <v>809</v>
      </c>
    </row>
    <row r="3702" ht="25" customHeight="1" spans="1:14">
      <c r="A3702" s="9" t="s">
        <v>327</v>
      </c>
      <c r="B3702" s="9" t="s">
        <v>326</v>
      </c>
      <c r="C3702" s="10">
        <v>44188</v>
      </c>
      <c r="D3702" s="15">
        <v>1.0005</v>
      </c>
      <c r="E3702" s="15">
        <v>1.3764</v>
      </c>
      <c r="F3702" s="15">
        <v>1.4272</v>
      </c>
      <c r="G3702" s="11">
        <v>-0.0006</v>
      </c>
      <c r="H3702" s="9">
        <f>MAX($F$3239:F3702)</f>
        <v>1.4301</v>
      </c>
      <c r="I3702" s="11">
        <f t="shared" si="87"/>
        <v>0.00202783022166275</v>
      </c>
      <c r="J3702" s="9"/>
      <c r="K3702" s="11"/>
      <c r="L3702" s="9"/>
      <c r="M3702" s="11"/>
      <c r="N3702" s="9" t="s">
        <v>809</v>
      </c>
    </row>
    <row r="3703" ht="25" customHeight="1" spans="1:14">
      <c r="A3703" s="9" t="s">
        <v>327</v>
      </c>
      <c r="B3703" s="9" t="s">
        <v>326</v>
      </c>
      <c r="C3703" s="10">
        <v>44189</v>
      </c>
      <c r="D3703" s="15">
        <v>1.0005</v>
      </c>
      <c r="E3703" s="15">
        <v>1.3764</v>
      </c>
      <c r="F3703" s="15">
        <v>1.4272</v>
      </c>
      <c r="G3703" s="11">
        <v>0</v>
      </c>
      <c r="H3703" s="9">
        <f>MAX($F$3239:F3703)</f>
        <v>1.4301</v>
      </c>
      <c r="I3703" s="11">
        <f t="shared" si="87"/>
        <v>0.00202783022166275</v>
      </c>
      <c r="J3703" s="9"/>
      <c r="K3703" s="11"/>
      <c r="L3703" s="9"/>
      <c r="M3703" s="11"/>
      <c r="N3703" s="9" t="s">
        <v>809</v>
      </c>
    </row>
    <row r="3704" ht="25" customHeight="1" spans="1:14">
      <c r="A3704" s="9" t="s">
        <v>327</v>
      </c>
      <c r="B3704" s="9" t="s">
        <v>326</v>
      </c>
      <c r="C3704" s="10">
        <v>44190</v>
      </c>
      <c r="D3704" s="15">
        <v>1.0006</v>
      </c>
      <c r="E3704" s="15">
        <v>1.3765</v>
      </c>
      <c r="F3704" s="15">
        <v>1.4273</v>
      </c>
      <c r="G3704" s="11">
        <v>0.0001</v>
      </c>
      <c r="H3704" s="9">
        <f>MAX($F$3239:F3704)</f>
        <v>1.4301</v>
      </c>
      <c r="I3704" s="11">
        <f t="shared" si="87"/>
        <v>0.00195790504160542</v>
      </c>
      <c r="J3704" s="9"/>
      <c r="K3704" s="11"/>
      <c r="L3704" s="9"/>
      <c r="M3704" s="11"/>
      <c r="N3704" s="9" t="s">
        <v>809</v>
      </c>
    </row>
    <row r="3705" ht="25" customHeight="1" spans="1:14">
      <c r="A3705" s="9" t="s">
        <v>327</v>
      </c>
      <c r="B3705" s="9" t="s">
        <v>326</v>
      </c>
      <c r="C3705" s="10">
        <v>44193</v>
      </c>
      <c r="D3705" s="15">
        <v>0.9988</v>
      </c>
      <c r="E3705" s="15">
        <v>1.3747</v>
      </c>
      <c r="F3705" s="15">
        <v>1.4248</v>
      </c>
      <c r="G3705" s="11">
        <v>-0.0018</v>
      </c>
      <c r="H3705" s="9">
        <f>MAX($F$3239:F3705)</f>
        <v>1.4301</v>
      </c>
      <c r="I3705" s="11">
        <f t="shared" si="87"/>
        <v>0.00370603454303886</v>
      </c>
      <c r="J3705" s="9"/>
      <c r="K3705" s="11"/>
      <c r="L3705" s="9"/>
      <c r="M3705" s="11"/>
      <c r="N3705" s="9" t="s">
        <v>809</v>
      </c>
    </row>
    <row r="3706" ht="25" customHeight="1" spans="1:14">
      <c r="A3706" s="9" t="s">
        <v>327</v>
      </c>
      <c r="B3706" s="9" t="s">
        <v>326</v>
      </c>
      <c r="C3706" s="10">
        <v>44194</v>
      </c>
      <c r="D3706" s="15">
        <v>0.999</v>
      </c>
      <c r="E3706" s="15">
        <v>1.3749</v>
      </c>
      <c r="F3706" s="15">
        <v>1.4251</v>
      </c>
      <c r="G3706" s="11">
        <v>0.0002</v>
      </c>
      <c r="H3706" s="9">
        <f>MAX($F$3239:F3706)</f>
        <v>1.4301</v>
      </c>
      <c r="I3706" s="11">
        <f t="shared" si="87"/>
        <v>0.00349625900286687</v>
      </c>
      <c r="J3706" s="9"/>
      <c r="K3706" s="11"/>
      <c r="L3706" s="9"/>
      <c r="M3706" s="11"/>
      <c r="N3706" s="9" t="s">
        <v>809</v>
      </c>
    </row>
    <row r="3707" ht="25" customHeight="1" spans="1:14">
      <c r="A3707" s="9" t="s">
        <v>327</v>
      </c>
      <c r="B3707" s="9" t="s">
        <v>326</v>
      </c>
      <c r="C3707" s="10">
        <v>44195</v>
      </c>
      <c r="D3707" s="15">
        <v>0.999</v>
      </c>
      <c r="E3707" s="15">
        <v>1.3749</v>
      </c>
      <c r="F3707" s="15">
        <v>1.4251</v>
      </c>
      <c r="G3707" s="11">
        <v>0</v>
      </c>
      <c r="H3707" s="9">
        <f>MAX($F$3239:F3707)</f>
        <v>1.4301</v>
      </c>
      <c r="I3707" s="11">
        <f t="shared" si="87"/>
        <v>0.00349625900286687</v>
      </c>
      <c r="J3707" s="9"/>
      <c r="K3707" s="11"/>
      <c r="L3707" s="9"/>
      <c r="M3707" s="11"/>
      <c r="N3707" s="9" t="s">
        <v>809</v>
      </c>
    </row>
    <row r="3708" ht="25" customHeight="1" spans="1:14">
      <c r="A3708" s="9" t="s">
        <v>327</v>
      </c>
      <c r="B3708" s="9" t="s">
        <v>326</v>
      </c>
      <c r="C3708" s="10">
        <v>44196</v>
      </c>
      <c r="D3708" s="15">
        <v>0.9989</v>
      </c>
      <c r="E3708" s="15">
        <v>1.3748</v>
      </c>
      <c r="F3708" s="15">
        <v>1.4249</v>
      </c>
      <c r="G3708" s="11">
        <v>-0.0001</v>
      </c>
      <c r="H3708" s="9">
        <f>MAX($F$3239:F3708)</f>
        <v>1.4301</v>
      </c>
      <c r="I3708" s="11">
        <f t="shared" si="87"/>
        <v>0.00363610936298153</v>
      </c>
      <c r="J3708" s="9"/>
      <c r="K3708" s="11"/>
      <c r="L3708" s="9"/>
      <c r="M3708" s="11"/>
      <c r="N3708" s="9" t="s">
        <v>809</v>
      </c>
    </row>
    <row r="3709" ht="25" customHeight="1" spans="1:14">
      <c r="A3709" s="9" t="s">
        <v>327</v>
      </c>
      <c r="B3709" s="9" t="s">
        <v>326</v>
      </c>
      <c r="C3709" s="10">
        <v>44200</v>
      </c>
      <c r="D3709" s="15">
        <v>0.999</v>
      </c>
      <c r="E3709" s="15">
        <v>1.3749</v>
      </c>
      <c r="F3709" s="15">
        <v>1.4251</v>
      </c>
      <c r="G3709" s="11">
        <v>0.0001</v>
      </c>
      <c r="H3709" s="9">
        <f>MAX($F$3239:F3709)</f>
        <v>1.4301</v>
      </c>
      <c r="I3709" s="11">
        <f t="shared" si="87"/>
        <v>0.00349625900286687</v>
      </c>
      <c r="J3709" s="9"/>
      <c r="K3709" s="11"/>
      <c r="L3709" s="9"/>
      <c r="M3709" s="11"/>
      <c r="N3709" s="9" t="s">
        <v>809</v>
      </c>
    </row>
    <row r="3710" ht="25" customHeight="1" spans="1:14">
      <c r="A3710" s="9" t="s">
        <v>327</v>
      </c>
      <c r="B3710" s="9" t="s">
        <v>326</v>
      </c>
      <c r="C3710" s="10">
        <v>44201</v>
      </c>
      <c r="D3710" s="15">
        <v>0.9992</v>
      </c>
      <c r="E3710" s="15">
        <v>1.3751</v>
      </c>
      <c r="F3710" s="15">
        <v>1.4253</v>
      </c>
      <c r="G3710" s="11">
        <v>0.0002</v>
      </c>
      <c r="H3710" s="9">
        <f>MAX($F$3239:F3710)</f>
        <v>1.4301</v>
      </c>
      <c r="I3710" s="11">
        <f t="shared" si="87"/>
        <v>0.00335640864275222</v>
      </c>
      <c r="J3710" s="9"/>
      <c r="K3710" s="11"/>
      <c r="L3710" s="9"/>
      <c r="M3710" s="11"/>
      <c r="N3710" s="9" t="s">
        <v>809</v>
      </c>
    </row>
    <row r="3711" ht="25" customHeight="1" spans="1:14">
      <c r="A3711" s="9" t="s">
        <v>327</v>
      </c>
      <c r="B3711" s="9" t="s">
        <v>326</v>
      </c>
      <c r="C3711" s="10">
        <v>44202</v>
      </c>
      <c r="D3711" s="15">
        <v>0.9998</v>
      </c>
      <c r="E3711" s="15">
        <v>1.3757</v>
      </c>
      <c r="F3711" s="15">
        <v>1.4262</v>
      </c>
      <c r="G3711" s="11">
        <v>0.0006</v>
      </c>
      <c r="H3711" s="9">
        <f>MAX($F$3239:F3711)</f>
        <v>1.4301</v>
      </c>
      <c r="I3711" s="11">
        <f t="shared" si="87"/>
        <v>0.00272708202223626</v>
      </c>
      <c r="J3711" s="9"/>
      <c r="K3711" s="11"/>
      <c r="L3711" s="9"/>
      <c r="M3711" s="11"/>
      <c r="N3711" s="9" t="s">
        <v>809</v>
      </c>
    </row>
    <row r="3712" ht="25" customHeight="1" spans="1:14">
      <c r="A3712" s="9" t="s">
        <v>327</v>
      </c>
      <c r="B3712" s="9" t="s">
        <v>326</v>
      </c>
      <c r="C3712" s="10">
        <v>44203</v>
      </c>
      <c r="D3712" s="15">
        <v>1.0076</v>
      </c>
      <c r="E3712" s="15">
        <v>1.3835</v>
      </c>
      <c r="F3712" s="15">
        <v>1.4373</v>
      </c>
      <c r="G3712" s="11">
        <v>0.0078</v>
      </c>
      <c r="H3712" s="9">
        <f>MAX($F$3239:F3712)</f>
        <v>1.4373</v>
      </c>
      <c r="I3712" s="11">
        <f t="shared" si="87"/>
        <v>0</v>
      </c>
      <c r="J3712" s="9"/>
      <c r="K3712" s="11"/>
      <c r="L3712" s="9"/>
      <c r="M3712" s="11"/>
      <c r="N3712" s="9" t="s">
        <v>809</v>
      </c>
    </row>
    <row r="3713" ht="25" customHeight="1" spans="1:14">
      <c r="A3713" s="9" t="s">
        <v>327</v>
      </c>
      <c r="B3713" s="9" t="s">
        <v>326</v>
      </c>
      <c r="C3713" s="10">
        <v>44204</v>
      </c>
      <c r="D3713" s="15">
        <v>1.0091</v>
      </c>
      <c r="E3713" s="15">
        <v>1.385</v>
      </c>
      <c r="F3713" s="15">
        <v>1.4395</v>
      </c>
      <c r="G3713" s="11">
        <v>0.0015</v>
      </c>
      <c r="H3713" s="9">
        <f>MAX($F$3239:F3713)</f>
        <v>1.4395</v>
      </c>
      <c r="I3713" s="11">
        <f t="shared" si="87"/>
        <v>0</v>
      </c>
      <c r="J3713" s="9"/>
      <c r="K3713" s="11"/>
      <c r="L3713" s="9"/>
      <c r="M3713" s="11"/>
      <c r="N3713" s="9" t="s">
        <v>809</v>
      </c>
    </row>
    <row r="3714" ht="25" customHeight="1" spans="1:14">
      <c r="A3714" s="9" t="s">
        <v>327</v>
      </c>
      <c r="B3714" s="9" t="s">
        <v>326</v>
      </c>
      <c r="C3714" s="10">
        <v>44207</v>
      </c>
      <c r="D3714" s="15">
        <v>1.0125</v>
      </c>
      <c r="E3714" s="15">
        <v>1.3884</v>
      </c>
      <c r="F3714" s="15">
        <v>1.4443</v>
      </c>
      <c r="G3714" s="11">
        <v>0.0034</v>
      </c>
      <c r="H3714" s="9">
        <f>MAX($F$3239:F3714)</f>
        <v>1.4443</v>
      </c>
      <c r="I3714" s="11">
        <f t="shared" ref="I3714:I3777" si="88">1-F3714/H3714</f>
        <v>0</v>
      </c>
      <c r="J3714" s="9"/>
      <c r="K3714" s="11"/>
      <c r="L3714" s="9"/>
      <c r="M3714" s="11"/>
      <c r="N3714" s="9" t="s">
        <v>809</v>
      </c>
    </row>
    <row r="3715" ht="25" customHeight="1" spans="1:14">
      <c r="A3715" s="9" t="s">
        <v>327</v>
      </c>
      <c r="B3715" s="9" t="s">
        <v>326</v>
      </c>
      <c r="C3715" s="10">
        <v>44208</v>
      </c>
      <c r="D3715" s="15">
        <v>1.0145</v>
      </c>
      <c r="E3715" s="15">
        <v>1.3904</v>
      </c>
      <c r="F3715" s="15">
        <v>1.4472</v>
      </c>
      <c r="G3715" s="11">
        <v>0.002</v>
      </c>
      <c r="H3715" s="9">
        <f>MAX($F$3239:F3715)</f>
        <v>1.4472</v>
      </c>
      <c r="I3715" s="11">
        <f t="shared" si="88"/>
        <v>0</v>
      </c>
      <c r="J3715" s="9"/>
      <c r="K3715" s="11"/>
      <c r="L3715" s="9"/>
      <c r="M3715" s="11"/>
      <c r="N3715" s="9" t="s">
        <v>809</v>
      </c>
    </row>
    <row r="3716" ht="25" customHeight="1" spans="1:14">
      <c r="A3716" s="9" t="s">
        <v>327</v>
      </c>
      <c r="B3716" s="9" t="s">
        <v>326</v>
      </c>
      <c r="C3716" s="10">
        <v>44209</v>
      </c>
      <c r="D3716" s="15">
        <v>1.0162</v>
      </c>
      <c r="E3716" s="15">
        <v>1.3921</v>
      </c>
      <c r="F3716" s="15">
        <v>1.4496</v>
      </c>
      <c r="G3716" s="11">
        <v>0.0017</v>
      </c>
      <c r="H3716" s="9">
        <f>MAX($F$3239:F3716)</f>
        <v>1.4496</v>
      </c>
      <c r="I3716" s="11">
        <f t="shared" si="88"/>
        <v>0</v>
      </c>
      <c r="J3716" s="9"/>
      <c r="K3716" s="11"/>
      <c r="L3716" s="9"/>
      <c r="M3716" s="11"/>
      <c r="N3716" s="9" t="s">
        <v>809</v>
      </c>
    </row>
    <row r="3717" ht="25" customHeight="1" spans="1:14">
      <c r="A3717" s="9" t="s">
        <v>327</v>
      </c>
      <c r="B3717" s="9" t="s">
        <v>326</v>
      </c>
      <c r="C3717" s="10">
        <v>44210</v>
      </c>
      <c r="D3717" s="15">
        <v>1.017</v>
      </c>
      <c r="E3717" s="15">
        <v>1.3929</v>
      </c>
      <c r="F3717" s="15">
        <v>1.4507</v>
      </c>
      <c r="G3717" s="11">
        <v>0.0008</v>
      </c>
      <c r="H3717" s="9">
        <f>MAX($F$3239:F3717)</f>
        <v>1.4507</v>
      </c>
      <c r="I3717" s="11">
        <f t="shared" si="88"/>
        <v>0</v>
      </c>
      <c r="J3717" s="9"/>
      <c r="K3717" s="11"/>
      <c r="L3717" s="9"/>
      <c r="M3717" s="11"/>
      <c r="N3717" s="9" t="s">
        <v>809</v>
      </c>
    </row>
    <row r="3718" ht="25" customHeight="1" spans="1:14">
      <c r="A3718" s="9" t="s">
        <v>327</v>
      </c>
      <c r="B3718" s="9" t="s">
        <v>326</v>
      </c>
      <c r="C3718" s="10">
        <v>44211</v>
      </c>
      <c r="D3718" s="15">
        <v>1.0184</v>
      </c>
      <c r="E3718" s="15">
        <v>1.3943</v>
      </c>
      <c r="F3718" s="15">
        <v>1.4527</v>
      </c>
      <c r="G3718" s="11">
        <v>0.0014</v>
      </c>
      <c r="H3718" s="9">
        <f>MAX($F$3239:F3718)</f>
        <v>1.4527</v>
      </c>
      <c r="I3718" s="11">
        <f t="shared" si="88"/>
        <v>0</v>
      </c>
      <c r="J3718" s="9"/>
      <c r="K3718" s="11"/>
      <c r="L3718" s="9"/>
      <c r="M3718" s="11"/>
      <c r="N3718" s="9" t="s">
        <v>809</v>
      </c>
    </row>
    <row r="3719" ht="25" customHeight="1" spans="1:14">
      <c r="A3719" s="9" t="s">
        <v>327</v>
      </c>
      <c r="B3719" s="9" t="s">
        <v>326</v>
      </c>
      <c r="C3719" s="10">
        <v>44214</v>
      </c>
      <c r="D3719" s="15">
        <v>1.0194</v>
      </c>
      <c r="E3719" s="15">
        <v>1.3953</v>
      </c>
      <c r="F3719" s="15">
        <v>1.4542</v>
      </c>
      <c r="G3719" s="11">
        <v>0.001</v>
      </c>
      <c r="H3719" s="9">
        <f>MAX($F$3239:F3719)</f>
        <v>1.4542</v>
      </c>
      <c r="I3719" s="11">
        <f t="shared" si="88"/>
        <v>0</v>
      </c>
      <c r="J3719" s="9"/>
      <c r="K3719" s="11"/>
      <c r="L3719" s="9"/>
      <c r="M3719" s="11"/>
      <c r="N3719" s="9" t="s">
        <v>809</v>
      </c>
    </row>
    <row r="3720" ht="25" customHeight="1" spans="1:14">
      <c r="A3720" s="9" t="s">
        <v>327</v>
      </c>
      <c r="B3720" s="9" t="s">
        <v>326</v>
      </c>
      <c r="C3720" s="10">
        <v>44215</v>
      </c>
      <c r="D3720" s="15">
        <v>1.0191</v>
      </c>
      <c r="E3720" s="15">
        <v>1.395</v>
      </c>
      <c r="F3720" s="15">
        <v>1.4537</v>
      </c>
      <c r="G3720" s="11">
        <v>-0.0003</v>
      </c>
      <c r="H3720" s="9">
        <f>MAX($F$3239:F3720)</f>
        <v>1.4542</v>
      </c>
      <c r="I3720" s="11">
        <f t="shared" si="88"/>
        <v>0.000343831660019167</v>
      </c>
      <c r="J3720" s="9"/>
      <c r="K3720" s="11"/>
      <c r="L3720" s="9"/>
      <c r="M3720" s="11"/>
      <c r="N3720" s="9" t="s">
        <v>809</v>
      </c>
    </row>
    <row r="3721" ht="25" customHeight="1" spans="1:14">
      <c r="A3721" s="9" t="s">
        <v>327</v>
      </c>
      <c r="B3721" s="9" t="s">
        <v>326</v>
      </c>
      <c r="C3721" s="10">
        <v>44216</v>
      </c>
      <c r="D3721" s="15">
        <v>1.0198</v>
      </c>
      <c r="E3721" s="15">
        <v>1.3957</v>
      </c>
      <c r="F3721" s="15">
        <v>1.4547</v>
      </c>
      <c r="G3721" s="11">
        <v>0.0007</v>
      </c>
      <c r="H3721" s="9">
        <f>MAX($F$3239:F3721)</f>
        <v>1.4547</v>
      </c>
      <c r="I3721" s="11">
        <f t="shared" si="88"/>
        <v>0</v>
      </c>
      <c r="J3721" s="9"/>
      <c r="K3721" s="11"/>
      <c r="L3721" s="9"/>
      <c r="M3721" s="11"/>
      <c r="N3721" s="9" t="s">
        <v>809</v>
      </c>
    </row>
    <row r="3722" ht="25" customHeight="1" spans="1:14">
      <c r="A3722" s="9" t="s">
        <v>327</v>
      </c>
      <c r="B3722" s="9" t="s">
        <v>326</v>
      </c>
      <c r="C3722" s="10">
        <v>44217</v>
      </c>
      <c r="D3722" s="15">
        <v>1.0196</v>
      </c>
      <c r="E3722" s="15">
        <v>1.3955</v>
      </c>
      <c r="F3722" s="15">
        <v>1.4545</v>
      </c>
      <c r="G3722" s="11">
        <v>-0.0002</v>
      </c>
      <c r="H3722" s="9">
        <f>MAX($F$3239:F3722)</f>
        <v>1.4547</v>
      </c>
      <c r="I3722" s="11">
        <f t="shared" si="88"/>
        <v>0.000137485392177172</v>
      </c>
      <c r="J3722" s="9"/>
      <c r="K3722" s="11"/>
      <c r="L3722" s="9"/>
      <c r="M3722" s="11"/>
      <c r="N3722" s="9" t="s">
        <v>809</v>
      </c>
    </row>
    <row r="3723" ht="25" customHeight="1" spans="1:14">
      <c r="A3723" s="9" t="s">
        <v>327</v>
      </c>
      <c r="B3723" s="9" t="s">
        <v>326</v>
      </c>
      <c r="C3723" s="10">
        <v>44218</v>
      </c>
      <c r="D3723" s="15">
        <v>1.0197</v>
      </c>
      <c r="E3723" s="15">
        <v>1.3956</v>
      </c>
      <c r="F3723" s="15">
        <v>1.4546</v>
      </c>
      <c r="G3723" s="11">
        <v>0.0001</v>
      </c>
      <c r="H3723" s="9">
        <f>MAX($F$3239:F3723)</f>
        <v>1.4547</v>
      </c>
      <c r="I3723" s="11">
        <f t="shared" si="88"/>
        <v>6.87426960886972e-5</v>
      </c>
      <c r="J3723" s="9"/>
      <c r="K3723" s="11"/>
      <c r="L3723" s="9"/>
      <c r="M3723" s="11"/>
      <c r="N3723" s="9" t="s">
        <v>809</v>
      </c>
    </row>
    <row r="3724" ht="25" customHeight="1" spans="1:14">
      <c r="A3724" s="9" t="s">
        <v>327</v>
      </c>
      <c r="B3724" s="9" t="s">
        <v>326</v>
      </c>
      <c r="C3724" s="10">
        <v>44221</v>
      </c>
      <c r="D3724" s="15">
        <v>1.0189</v>
      </c>
      <c r="E3724" s="15">
        <v>1.3948</v>
      </c>
      <c r="F3724" s="15">
        <v>1.4535</v>
      </c>
      <c r="G3724" s="11">
        <v>-0.0008</v>
      </c>
      <c r="H3724" s="9">
        <f>MAX($F$3239:F3724)</f>
        <v>1.4547</v>
      </c>
      <c r="I3724" s="11">
        <f t="shared" si="88"/>
        <v>0.00082491235306259</v>
      </c>
      <c r="J3724" s="9"/>
      <c r="K3724" s="11"/>
      <c r="L3724" s="9"/>
      <c r="M3724" s="11"/>
      <c r="N3724" s="9" t="s">
        <v>809</v>
      </c>
    </row>
    <row r="3725" ht="25" customHeight="1" spans="1:14">
      <c r="A3725" s="9" t="s">
        <v>327</v>
      </c>
      <c r="B3725" s="9" t="s">
        <v>326</v>
      </c>
      <c r="C3725" s="10">
        <v>44222</v>
      </c>
      <c r="D3725" s="15">
        <v>1.0204</v>
      </c>
      <c r="E3725" s="15">
        <v>1.3963</v>
      </c>
      <c r="F3725" s="15">
        <v>1.4556</v>
      </c>
      <c r="G3725" s="11">
        <v>0.0015</v>
      </c>
      <c r="H3725" s="9">
        <f>MAX($F$3239:F3725)</f>
        <v>1.4556</v>
      </c>
      <c r="I3725" s="11">
        <f t="shared" si="88"/>
        <v>0</v>
      </c>
      <c r="J3725" s="9"/>
      <c r="K3725" s="11"/>
      <c r="L3725" s="9"/>
      <c r="M3725" s="11"/>
      <c r="N3725" s="9" t="s">
        <v>809</v>
      </c>
    </row>
    <row r="3726" ht="25" customHeight="1" spans="1:14">
      <c r="A3726" s="9" t="s">
        <v>327</v>
      </c>
      <c r="B3726" s="9" t="s">
        <v>326</v>
      </c>
      <c r="C3726" s="10">
        <v>44223</v>
      </c>
      <c r="D3726" s="15">
        <v>1.0204</v>
      </c>
      <c r="E3726" s="15">
        <v>1.3963</v>
      </c>
      <c r="F3726" s="15">
        <v>1.4556</v>
      </c>
      <c r="G3726" s="11">
        <v>0</v>
      </c>
      <c r="H3726" s="9">
        <f>MAX($F$3239:F3726)</f>
        <v>1.4556</v>
      </c>
      <c r="I3726" s="11">
        <f t="shared" si="88"/>
        <v>0</v>
      </c>
      <c r="J3726" s="9"/>
      <c r="K3726" s="11"/>
      <c r="L3726" s="9"/>
      <c r="M3726" s="11"/>
      <c r="N3726" s="9" t="s">
        <v>809</v>
      </c>
    </row>
    <row r="3727" ht="25" customHeight="1" spans="1:14">
      <c r="A3727" s="9" t="s">
        <v>327</v>
      </c>
      <c r="B3727" s="9" t="s">
        <v>326</v>
      </c>
      <c r="C3727" s="10">
        <v>44224</v>
      </c>
      <c r="D3727" s="15">
        <v>1.0201</v>
      </c>
      <c r="E3727" s="15">
        <v>1.396</v>
      </c>
      <c r="F3727" s="15">
        <v>1.4552</v>
      </c>
      <c r="G3727" s="11">
        <v>-0.0003</v>
      </c>
      <c r="H3727" s="9">
        <f>MAX($F$3239:F3727)</f>
        <v>1.4556</v>
      </c>
      <c r="I3727" s="11">
        <f t="shared" si="88"/>
        <v>0.000274800769442085</v>
      </c>
      <c r="J3727" s="9"/>
      <c r="K3727" s="11"/>
      <c r="L3727" s="9"/>
      <c r="M3727" s="11"/>
      <c r="N3727" s="9" t="s">
        <v>809</v>
      </c>
    </row>
    <row r="3728" ht="25" customHeight="1" spans="1:14">
      <c r="A3728" s="9" t="s">
        <v>327</v>
      </c>
      <c r="B3728" s="9" t="s">
        <v>326</v>
      </c>
      <c r="C3728" s="10">
        <v>44225</v>
      </c>
      <c r="D3728" s="15">
        <v>1.0212</v>
      </c>
      <c r="E3728" s="15">
        <v>1.3971</v>
      </c>
      <c r="F3728" s="15">
        <v>1.4567</v>
      </c>
      <c r="G3728" s="11">
        <v>0.0011</v>
      </c>
      <c r="H3728" s="9">
        <f>MAX($F$3239:F3728)</f>
        <v>1.4567</v>
      </c>
      <c r="I3728" s="11">
        <f t="shared" si="88"/>
        <v>0</v>
      </c>
      <c r="J3728" s="9"/>
      <c r="K3728" s="11"/>
      <c r="L3728" s="9"/>
      <c r="M3728" s="11"/>
      <c r="N3728" s="9" t="s">
        <v>809</v>
      </c>
    </row>
    <row r="3729" ht="25" customHeight="1" spans="1:14">
      <c r="A3729" s="9" t="s">
        <v>327</v>
      </c>
      <c r="B3729" s="9" t="s">
        <v>326</v>
      </c>
      <c r="C3729" s="10">
        <v>44228</v>
      </c>
      <c r="D3729" s="15">
        <v>1.0197</v>
      </c>
      <c r="E3729" s="15">
        <v>1.3956</v>
      </c>
      <c r="F3729" s="15">
        <v>1.4546</v>
      </c>
      <c r="G3729" s="11">
        <v>-0.0015</v>
      </c>
      <c r="H3729" s="9">
        <f>MAX($F$3239:F3729)</f>
        <v>1.4567</v>
      </c>
      <c r="I3729" s="11">
        <f t="shared" si="88"/>
        <v>0.00144161460836156</v>
      </c>
      <c r="J3729" s="9"/>
      <c r="K3729" s="11"/>
      <c r="L3729" s="9"/>
      <c r="M3729" s="11"/>
      <c r="N3729" s="9" t="s">
        <v>809</v>
      </c>
    </row>
    <row r="3730" ht="25" customHeight="1" spans="1:14">
      <c r="A3730" s="9" t="s">
        <v>327</v>
      </c>
      <c r="B3730" s="9" t="s">
        <v>326</v>
      </c>
      <c r="C3730" s="10">
        <v>44229</v>
      </c>
      <c r="D3730" s="15">
        <v>1.0199</v>
      </c>
      <c r="E3730" s="15">
        <v>1.3958</v>
      </c>
      <c r="F3730" s="15">
        <v>1.4549</v>
      </c>
      <c r="G3730" s="11">
        <v>0.0002</v>
      </c>
      <c r="H3730" s="9">
        <f>MAX($F$3239:F3730)</f>
        <v>1.4567</v>
      </c>
      <c r="I3730" s="11">
        <f t="shared" si="88"/>
        <v>0.00123566966430977</v>
      </c>
      <c r="J3730" s="9"/>
      <c r="K3730" s="11"/>
      <c r="L3730" s="9"/>
      <c r="M3730" s="11"/>
      <c r="N3730" s="9" t="s">
        <v>809</v>
      </c>
    </row>
    <row r="3731" ht="25" customHeight="1" spans="1:14">
      <c r="A3731" s="9" t="s">
        <v>327</v>
      </c>
      <c r="B3731" s="9" t="s">
        <v>326</v>
      </c>
      <c r="C3731" s="10">
        <v>44230</v>
      </c>
      <c r="D3731" s="15">
        <v>1.0196</v>
      </c>
      <c r="E3731" s="15">
        <v>1.3955</v>
      </c>
      <c r="F3731" s="15">
        <v>1.4545</v>
      </c>
      <c r="G3731" s="11">
        <v>-0.0003</v>
      </c>
      <c r="H3731" s="9">
        <f>MAX($F$3239:F3731)</f>
        <v>1.4567</v>
      </c>
      <c r="I3731" s="11">
        <f t="shared" si="88"/>
        <v>0.00151026292304535</v>
      </c>
      <c r="J3731" s="9"/>
      <c r="K3731" s="11"/>
      <c r="L3731" s="9"/>
      <c r="M3731" s="11"/>
      <c r="N3731" s="9" t="s">
        <v>809</v>
      </c>
    </row>
    <row r="3732" ht="25" customHeight="1" spans="1:14">
      <c r="A3732" s="9" t="s">
        <v>327</v>
      </c>
      <c r="B3732" s="9" t="s">
        <v>326</v>
      </c>
      <c r="C3732" s="10">
        <v>44231</v>
      </c>
      <c r="D3732" s="15">
        <v>1.0209</v>
      </c>
      <c r="E3732" s="15">
        <v>1.3968</v>
      </c>
      <c r="F3732" s="15">
        <v>1.4563</v>
      </c>
      <c r="G3732" s="11">
        <v>0.0013</v>
      </c>
      <c r="H3732" s="9">
        <f>MAX($F$3239:F3732)</f>
        <v>1.4567</v>
      </c>
      <c r="I3732" s="11">
        <f t="shared" si="88"/>
        <v>0.000274593258735578</v>
      </c>
      <c r="J3732" s="9"/>
      <c r="K3732" s="11"/>
      <c r="L3732" s="9"/>
      <c r="M3732" s="11"/>
      <c r="N3732" s="9" t="s">
        <v>809</v>
      </c>
    </row>
    <row r="3733" ht="25" customHeight="1" spans="1:14">
      <c r="A3733" s="9" t="s">
        <v>327</v>
      </c>
      <c r="B3733" s="9" t="s">
        <v>326</v>
      </c>
      <c r="C3733" s="10">
        <v>44232</v>
      </c>
      <c r="D3733" s="15">
        <v>1.0214</v>
      </c>
      <c r="E3733" s="15">
        <v>1.3973</v>
      </c>
      <c r="F3733" s="15">
        <v>1.457</v>
      </c>
      <c r="G3733" s="11">
        <v>0.0005</v>
      </c>
      <c r="H3733" s="9">
        <f>MAX($F$3239:F3733)</f>
        <v>1.457</v>
      </c>
      <c r="I3733" s="11">
        <f t="shared" si="88"/>
        <v>0</v>
      </c>
      <c r="J3733" s="9"/>
      <c r="K3733" s="11"/>
      <c r="L3733" s="9"/>
      <c r="M3733" s="11"/>
      <c r="N3733" s="9" t="s">
        <v>809</v>
      </c>
    </row>
    <row r="3734" ht="25" customHeight="1" spans="1:14">
      <c r="A3734" s="9" t="s">
        <v>327</v>
      </c>
      <c r="B3734" s="9" t="s">
        <v>326</v>
      </c>
      <c r="C3734" s="10">
        <v>44235</v>
      </c>
      <c r="D3734" s="15">
        <v>1.0235</v>
      </c>
      <c r="E3734" s="15">
        <v>1.3994</v>
      </c>
      <c r="F3734" s="15">
        <v>1.46</v>
      </c>
      <c r="G3734" s="11">
        <v>0.0021</v>
      </c>
      <c r="H3734" s="9">
        <f>MAX($F$3239:F3734)</f>
        <v>1.46</v>
      </c>
      <c r="I3734" s="11">
        <f t="shared" si="88"/>
        <v>0</v>
      </c>
      <c r="J3734" s="9"/>
      <c r="K3734" s="11"/>
      <c r="L3734" s="9"/>
      <c r="M3734" s="11"/>
      <c r="N3734" s="9" t="s">
        <v>809</v>
      </c>
    </row>
    <row r="3735" ht="25" customHeight="1" spans="1:14">
      <c r="A3735" s="9" t="s">
        <v>327</v>
      </c>
      <c r="B3735" s="9" t="s">
        <v>326</v>
      </c>
      <c r="C3735" s="10">
        <v>44236</v>
      </c>
      <c r="D3735" s="15">
        <v>1.0236</v>
      </c>
      <c r="E3735" s="15">
        <v>1.3995</v>
      </c>
      <c r="F3735" s="15">
        <v>1.4602</v>
      </c>
      <c r="G3735" s="11">
        <v>0.0001</v>
      </c>
      <c r="H3735" s="9">
        <f>MAX($F$3239:F3735)</f>
        <v>1.4602</v>
      </c>
      <c r="I3735" s="11">
        <f t="shared" si="88"/>
        <v>0</v>
      </c>
      <c r="J3735" s="9"/>
      <c r="K3735" s="11"/>
      <c r="L3735" s="9"/>
      <c r="M3735" s="11"/>
      <c r="N3735" s="9" t="s">
        <v>809</v>
      </c>
    </row>
    <row r="3736" ht="25" customHeight="1" spans="1:14">
      <c r="A3736" s="9" t="s">
        <v>327</v>
      </c>
      <c r="B3736" s="9" t="s">
        <v>326</v>
      </c>
      <c r="C3736" s="10">
        <v>44237</v>
      </c>
      <c r="D3736" s="15">
        <v>1.0231</v>
      </c>
      <c r="E3736" s="15">
        <v>1.399</v>
      </c>
      <c r="F3736" s="15">
        <v>1.4594</v>
      </c>
      <c r="G3736" s="11">
        <v>-0.0005</v>
      </c>
      <c r="H3736" s="9">
        <f>MAX($F$3239:F3736)</f>
        <v>1.4602</v>
      </c>
      <c r="I3736" s="11">
        <f t="shared" si="88"/>
        <v>0.000547870154773311</v>
      </c>
      <c r="J3736" s="9"/>
      <c r="K3736" s="11"/>
      <c r="L3736" s="9"/>
      <c r="M3736" s="11"/>
      <c r="N3736" s="9" t="s">
        <v>809</v>
      </c>
    </row>
    <row r="3737" ht="25" customHeight="1" spans="1:14">
      <c r="A3737" s="9" t="s">
        <v>327</v>
      </c>
      <c r="B3737" s="9" t="s">
        <v>326</v>
      </c>
      <c r="C3737" s="10">
        <v>44245</v>
      </c>
      <c r="D3737" s="15">
        <v>1.0246</v>
      </c>
      <c r="E3737" s="15">
        <v>1.4005</v>
      </c>
      <c r="F3737" s="15">
        <v>1.4616</v>
      </c>
      <c r="G3737" s="11">
        <v>0.0015</v>
      </c>
      <c r="H3737" s="9">
        <f>MAX($F$3239:F3737)</f>
        <v>1.4616</v>
      </c>
      <c r="I3737" s="11">
        <f t="shared" si="88"/>
        <v>0</v>
      </c>
      <c r="J3737" s="9"/>
      <c r="K3737" s="11"/>
      <c r="L3737" s="9"/>
      <c r="M3737" s="11"/>
      <c r="N3737" s="9" t="s">
        <v>809</v>
      </c>
    </row>
    <row r="3738" ht="25" customHeight="1" spans="1:14">
      <c r="A3738" s="9" t="s">
        <v>327</v>
      </c>
      <c r="B3738" s="9" t="s">
        <v>326</v>
      </c>
      <c r="C3738" s="10">
        <v>44246</v>
      </c>
      <c r="D3738" s="15">
        <v>1.0249</v>
      </c>
      <c r="E3738" s="15">
        <v>1.4008</v>
      </c>
      <c r="F3738" s="15">
        <v>1.462</v>
      </c>
      <c r="G3738" s="11">
        <v>0.0003</v>
      </c>
      <c r="H3738" s="9">
        <f>MAX($F$3239:F3738)</f>
        <v>1.462</v>
      </c>
      <c r="I3738" s="11">
        <f t="shared" si="88"/>
        <v>0</v>
      </c>
      <c r="J3738" s="9"/>
      <c r="K3738" s="11"/>
      <c r="L3738" s="9"/>
      <c r="M3738" s="11"/>
      <c r="N3738" s="9" t="s">
        <v>809</v>
      </c>
    </row>
    <row r="3739" ht="25" customHeight="1" spans="1:14">
      <c r="A3739" s="9" t="s">
        <v>327</v>
      </c>
      <c r="B3739" s="9" t="s">
        <v>326</v>
      </c>
      <c r="C3739" s="10">
        <v>44249</v>
      </c>
      <c r="D3739" s="15">
        <v>1.025</v>
      </c>
      <c r="E3739" s="15">
        <v>1.4009</v>
      </c>
      <c r="F3739" s="15">
        <v>1.4622</v>
      </c>
      <c r="G3739" s="11">
        <v>0.0001</v>
      </c>
      <c r="H3739" s="9">
        <f>MAX($F$3239:F3739)</f>
        <v>1.4622</v>
      </c>
      <c r="I3739" s="11">
        <f t="shared" si="88"/>
        <v>0</v>
      </c>
      <c r="J3739" s="9"/>
      <c r="K3739" s="11"/>
      <c r="L3739" s="9"/>
      <c r="M3739" s="11"/>
      <c r="N3739" s="9" t="s">
        <v>809</v>
      </c>
    </row>
    <row r="3740" ht="25" customHeight="1" spans="1:14">
      <c r="A3740" s="9" t="s">
        <v>327</v>
      </c>
      <c r="B3740" s="9" t="s">
        <v>326</v>
      </c>
      <c r="C3740" s="10">
        <v>44250</v>
      </c>
      <c r="D3740" s="15">
        <v>1.0275</v>
      </c>
      <c r="E3740" s="15">
        <v>1.4034</v>
      </c>
      <c r="F3740" s="15">
        <v>1.4657</v>
      </c>
      <c r="G3740" s="11">
        <v>0.0024</v>
      </c>
      <c r="H3740" s="9">
        <f>MAX($F$3239:F3740)</f>
        <v>1.4657</v>
      </c>
      <c r="I3740" s="11">
        <f t="shared" si="88"/>
        <v>0</v>
      </c>
      <c r="J3740" s="9"/>
      <c r="K3740" s="11"/>
      <c r="L3740" s="9"/>
      <c r="M3740" s="11"/>
      <c r="N3740" s="9" t="s">
        <v>809</v>
      </c>
    </row>
    <row r="3741" ht="25" customHeight="1" spans="1:14">
      <c r="A3741" s="9" t="s">
        <v>327</v>
      </c>
      <c r="B3741" s="9" t="s">
        <v>326</v>
      </c>
      <c r="C3741" s="10">
        <v>44251</v>
      </c>
      <c r="D3741" s="15">
        <v>1.0279</v>
      </c>
      <c r="E3741" s="15">
        <v>1.4038</v>
      </c>
      <c r="F3741" s="15">
        <v>1.4663</v>
      </c>
      <c r="G3741" s="11">
        <v>0.0004</v>
      </c>
      <c r="H3741" s="9">
        <f>MAX($F$3239:F3741)</f>
        <v>1.4663</v>
      </c>
      <c r="I3741" s="11">
        <f t="shared" si="88"/>
        <v>0</v>
      </c>
      <c r="J3741" s="9"/>
      <c r="K3741" s="11"/>
      <c r="L3741" s="9"/>
      <c r="M3741" s="11"/>
      <c r="N3741" s="9" t="s">
        <v>809</v>
      </c>
    </row>
    <row r="3742" ht="25" customHeight="1" spans="1:14">
      <c r="A3742" s="9" t="s">
        <v>327</v>
      </c>
      <c r="B3742" s="9" t="s">
        <v>326</v>
      </c>
      <c r="C3742" s="10">
        <v>44252</v>
      </c>
      <c r="D3742" s="15">
        <v>1.0303</v>
      </c>
      <c r="E3742" s="15">
        <v>1.4062</v>
      </c>
      <c r="F3742" s="15">
        <v>1.4697</v>
      </c>
      <c r="G3742" s="11">
        <v>0.0023</v>
      </c>
      <c r="H3742" s="9">
        <f>MAX($F$3239:F3742)</f>
        <v>1.4697</v>
      </c>
      <c r="I3742" s="11">
        <f t="shared" si="88"/>
        <v>0</v>
      </c>
      <c r="J3742" s="9"/>
      <c r="K3742" s="11"/>
      <c r="L3742" s="9"/>
      <c r="M3742" s="11"/>
      <c r="N3742" s="9" t="s">
        <v>809</v>
      </c>
    </row>
    <row r="3743" ht="25" customHeight="1" spans="1:14">
      <c r="A3743" s="9" t="s">
        <v>327</v>
      </c>
      <c r="B3743" s="9" t="s">
        <v>326</v>
      </c>
      <c r="C3743" s="10">
        <v>44253</v>
      </c>
      <c r="D3743" s="15">
        <v>1.0329</v>
      </c>
      <c r="E3743" s="15">
        <v>1.4088</v>
      </c>
      <c r="F3743" s="15">
        <v>1.4734</v>
      </c>
      <c r="G3743" s="11">
        <v>0.0025</v>
      </c>
      <c r="H3743" s="9">
        <f>MAX($F$3239:F3743)</f>
        <v>1.4734</v>
      </c>
      <c r="I3743" s="11">
        <f t="shared" si="88"/>
        <v>0</v>
      </c>
      <c r="J3743" s="9"/>
      <c r="K3743" s="11"/>
      <c r="L3743" s="9"/>
      <c r="M3743" s="11"/>
      <c r="N3743" s="9" t="s">
        <v>809</v>
      </c>
    </row>
    <row r="3744" ht="25" customHeight="1" spans="1:14">
      <c r="A3744" s="9" t="s">
        <v>327</v>
      </c>
      <c r="B3744" s="9" t="s">
        <v>326</v>
      </c>
      <c r="C3744" s="10">
        <v>44256</v>
      </c>
      <c r="D3744" s="15">
        <v>1.0314</v>
      </c>
      <c r="E3744" s="15">
        <v>1.4073</v>
      </c>
      <c r="F3744" s="15">
        <v>1.4713</v>
      </c>
      <c r="G3744" s="11">
        <v>-0.0015</v>
      </c>
      <c r="H3744" s="9">
        <f>MAX($F$3239:F3744)</f>
        <v>1.4734</v>
      </c>
      <c r="I3744" s="11">
        <f t="shared" si="88"/>
        <v>0.00142527487444011</v>
      </c>
      <c r="J3744" s="9"/>
      <c r="K3744" s="11"/>
      <c r="L3744" s="9"/>
      <c r="M3744" s="11"/>
      <c r="N3744" s="9" t="s">
        <v>809</v>
      </c>
    </row>
    <row r="3745" ht="25" customHeight="1" spans="1:14">
      <c r="A3745" s="9" t="s">
        <v>327</v>
      </c>
      <c r="B3745" s="9" t="s">
        <v>326</v>
      </c>
      <c r="C3745" s="10">
        <v>44257</v>
      </c>
      <c r="D3745" s="15">
        <v>1.0345</v>
      </c>
      <c r="E3745" s="15">
        <v>1.4104</v>
      </c>
      <c r="F3745" s="15">
        <v>1.4757</v>
      </c>
      <c r="G3745" s="11">
        <v>0.003</v>
      </c>
      <c r="H3745" s="9">
        <f>MAX($F$3239:F3745)</f>
        <v>1.4757</v>
      </c>
      <c r="I3745" s="11">
        <f t="shared" si="88"/>
        <v>0</v>
      </c>
      <c r="J3745" s="9"/>
      <c r="K3745" s="11"/>
      <c r="L3745" s="9"/>
      <c r="M3745" s="11"/>
      <c r="N3745" s="9" t="s">
        <v>809</v>
      </c>
    </row>
    <row r="3746" ht="25" customHeight="1" spans="1:14">
      <c r="A3746" s="9" t="s">
        <v>327</v>
      </c>
      <c r="B3746" s="9" t="s">
        <v>326</v>
      </c>
      <c r="C3746" s="10">
        <v>44258</v>
      </c>
      <c r="D3746" s="15">
        <v>1.0358</v>
      </c>
      <c r="E3746" s="15">
        <v>1.4117</v>
      </c>
      <c r="F3746" s="15">
        <v>1.4776</v>
      </c>
      <c r="G3746" s="11">
        <v>0.0013</v>
      </c>
      <c r="H3746" s="9">
        <f>MAX($F$3239:F3746)</f>
        <v>1.4776</v>
      </c>
      <c r="I3746" s="11">
        <f t="shared" si="88"/>
        <v>0</v>
      </c>
      <c r="J3746" s="9"/>
      <c r="K3746" s="11"/>
      <c r="L3746" s="9"/>
      <c r="M3746" s="11"/>
      <c r="N3746" s="9" t="s">
        <v>809</v>
      </c>
    </row>
    <row r="3747" ht="25" customHeight="1" spans="1:14">
      <c r="A3747" s="9" t="s">
        <v>327</v>
      </c>
      <c r="B3747" s="9" t="s">
        <v>326</v>
      </c>
      <c r="C3747" s="10">
        <v>44259</v>
      </c>
      <c r="D3747" s="15">
        <v>1.0367</v>
      </c>
      <c r="E3747" s="15">
        <v>1.4126</v>
      </c>
      <c r="F3747" s="15">
        <v>1.4788</v>
      </c>
      <c r="G3747" s="11">
        <v>0.0009</v>
      </c>
      <c r="H3747" s="9">
        <f>MAX($F$3239:F3747)</f>
        <v>1.4788</v>
      </c>
      <c r="I3747" s="11">
        <f t="shared" si="88"/>
        <v>0</v>
      </c>
      <c r="J3747" s="9"/>
      <c r="K3747" s="11"/>
      <c r="L3747" s="9"/>
      <c r="M3747" s="11"/>
      <c r="N3747" s="9" t="s">
        <v>809</v>
      </c>
    </row>
    <row r="3748" ht="25" customHeight="1" spans="1:14">
      <c r="A3748" s="9" t="s">
        <v>327</v>
      </c>
      <c r="B3748" s="9" t="s">
        <v>326</v>
      </c>
      <c r="C3748" s="10">
        <v>44260</v>
      </c>
      <c r="D3748" s="15">
        <v>1.0371</v>
      </c>
      <c r="E3748" s="15">
        <v>1.413</v>
      </c>
      <c r="F3748" s="15">
        <v>1.4794</v>
      </c>
      <c r="G3748" s="11">
        <v>0.0004</v>
      </c>
      <c r="H3748" s="9">
        <f>MAX($F$3239:F3748)</f>
        <v>1.4794</v>
      </c>
      <c r="I3748" s="11">
        <f t="shared" si="88"/>
        <v>0</v>
      </c>
      <c r="J3748" s="9"/>
      <c r="K3748" s="11"/>
      <c r="L3748" s="9"/>
      <c r="M3748" s="11"/>
      <c r="N3748" s="9" t="s">
        <v>809</v>
      </c>
    </row>
    <row r="3749" ht="25" customHeight="1" spans="1:14">
      <c r="A3749" s="9" t="s">
        <v>327</v>
      </c>
      <c r="B3749" s="9" t="s">
        <v>326</v>
      </c>
      <c r="C3749" s="10">
        <v>44263</v>
      </c>
      <c r="D3749" s="15">
        <v>1.04</v>
      </c>
      <c r="E3749" s="15">
        <v>1.4159</v>
      </c>
      <c r="F3749" s="15">
        <v>1.4836</v>
      </c>
      <c r="G3749" s="11">
        <v>0.0028</v>
      </c>
      <c r="H3749" s="9">
        <f>MAX($F$3239:F3749)</f>
        <v>1.4836</v>
      </c>
      <c r="I3749" s="11">
        <f t="shared" si="88"/>
        <v>0</v>
      </c>
      <c r="J3749" s="9"/>
      <c r="K3749" s="11"/>
      <c r="L3749" s="9"/>
      <c r="M3749" s="11"/>
      <c r="N3749" s="9" t="s">
        <v>809</v>
      </c>
    </row>
    <row r="3750" ht="25" customHeight="1" spans="1:14">
      <c r="A3750" s="9" t="s">
        <v>327</v>
      </c>
      <c r="B3750" s="9" t="s">
        <v>326</v>
      </c>
      <c r="C3750" s="10">
        <v>44264</v>
      </c>
      <c r="D3750" s="15">
        <v>1.0422</v>
      </c>
      <c r="E3750" s="15">
        <v>1.4181</v>
      </c>
      <c r="F3750" s="15">
        <v>1.4867</v>
      </c>
      <c r="G3750" s="11">
        <v>0.0021</v>
      </c>
      <c r="H3750" s="9">
        <f>MAX($F$3239:F3750)</f>
        <v>1.4867</v>
      </c>
      <c r="I3750" s="11">
        <f t="shared" si="88"/>
        <v>0</v>
      </c>
      <c r="J3750" s="9"/>
      <c r="K3750" s="11"/>
      <c r="L3750" s="9"/>
      <c r="M3750" s="11"/>
      <c r="N3750" s="9" t="s">
        <v>809</v>
      </c>
    </row>
    <row r="3751" ht="25" customHeight="1" spans="1:14">
      <c r="A3751" s="9" t="s">
        <v>327</v>
      </c>
      <c r="B3751" s="9" t="s">
        <v>326</v>
      </c>
      <c r="C3751" s="10">
        <v>44265</v>
      </c>
      <c r="D3751" s="15">
        <v>1.0417</v>
      </c>
      <c r="E3751" s="15">
        <v>1.4176</v>
      </c>
      <c r="F3751" s="15">
        <v>1.486</v>
      </c>
      <c r="G3751" s="11">
        <v>-0.0005</v>
      </c>
      <c r="H3751" s="9">
        <f>MAX($F$3239:F3751)</f>
        <v>1.4867</v>
      </c>
      <c r="I3751" s="11">
        <f t="shared" si="88"/>
        <v>0.000470841460953775</v>
      </c>
      <c r="J3751" s="9"/>
      <c r="K3751" s="11"/>
      <c r="L3751" s="9"/>
      <c r="M3751" s="11"/>
      <c r="N3751" s="9" t="s">
        <v>809</v>
      </c>
    </row>
    <row r="3752" ht="25" customHeight="1" spans="1:14">
      <c r="A3752" s="9" t="s">
        <v>327</v>
      </c>
      <c r="B3752" s="9" t="s">
        <v>326</v>
      </c>
      <c r="C3752" s="10">
        <v>44266</v>
      </c>
      <c r="D3752" s="15">
        <v>1.0431</v>
      </c>
      <c r="E3752" s="15">
        <v>1.419</v>
      </c>
      <c r="F3752" s="15">
        <v>1.488</v>
      </c>
      <c r="G3752" s="11">
        <v>0.0013</v>
      </c>
      <c r="H3752" s="9">
        <f>MAX($F$3239:F3752)</f>
        <v>1.488</v>
      </c>
      <c r="I3752" s="11">
        <f t="shared" si="88"/>
        <v>0</v>
      </c>
      <c r="J3752" s="9"/>
      <c r="K3752" s="11"/>
      <c r="L3752" s="9"/>
      <c r="M3752" s="11"/>
      <c r="N3752" s="9" t="s">
        <v>809</v>
      </c>
    </row>
    <row r="3753" ht="25" customHeight="1" spans="1:14">
      <c r="A3753" s="9" t="s">
        <v>327</v>
      </c>
      <c r="B3753" s="9" t="s">
        <v>326</v>
      </c>
      <c r="C3753" s="10">
        <v>44267</v>
      </c>
      <c r="D3753" s="15">
        <v>1.0431</v>
      </c>
      <c r="E3753" s="15">
        <v>1.419</v>
      </c>
      <c r="F3753" s="15">
        <v>1.488</v>
      </c>
      <c r="G3753" s="11">
        <v>0</v>
      </c>
      <c r="H3753" s="9">
        <f>MAX($F$3239:F3753)</f>
        <v>1.488</v>
      </c>
      <c r="I3753" s="11">
        <f t="shared" si="88"/>
        <v>0</v>
      </c>
      <c r="J3753" s="9"/>
      <c r="K3753" s="11"/>
      <c r="L3753" s="9"/>
      <c r="M3753" s="11"/>
      <c r="N3753" s="9" t="s">
        <v>809</v>
      </c>
    </row>
    <row r="3754" ht="25" customHeight="1" spans="1:14">
      <c r="A3754" s="9" t="s">
        <v>327</v>
      </c>
      <c r="B3754" s="9" t="s">
        <v>326</v>
      </c>
      <c r="C3754" s="10">
        <v>44270</v>
      </c>
      <c r="D3754" s="15">
        <v>1.0438</v>
      </c>
      <c r="E3754" s="15">
        <v>1.4197</v>
      </c>
      <c r="F3754" s="15">
        <v>1.489</v>
      </c>
      <c r="G3754" s="11">
        <v>0.0007</v>
      </c>
      <c r="H3754" s="9">
        <f>MAX($F$3239:F3754)</f>
        <v>1.489</v>
      </c>
      <c r="I3754" s="11">
        <f t="shared" si="88"/>
        <v>0</v>
      </c>
      <c r="J3754" s="9"/>
      <c r="K3754" s="11"/>
      <c r="L3754" s="9"/>
      <c r="M3754" s="11"/>
      <c r="N3754" s="9" t="s">
        <v>809</v>
      </c>
    </row>
    <row r="3755" ht="25" customHeight="1" spans="1:14">
      <c r="A3755" s="9" t="s">
        <v>327</v>
      </c>
      <c r="B3755" s="9" t="s">
        <v>326</v>
      </c>
      <c r="C3755" s="10">
        <v>44271</v>
      </c>
      <c r="D3755" s="15">
        <v>1.0432</v>
      </c>
      <c r="E3755" s="15">
        <v>1.4191</v>
      </c>
      <c r="F3755" s="15">
        <v>1.4881</v>
      </c>
      <c r="G3755" s="11">
        <v>-0.0006</v>
      </c>
      <c r="H3755" s="9">
        <f>MAX($F$3239:F3755)</f>
        <v>1.489</v>
      </c>
      <c r="I3755" s="11">
        <f t="shared" si="88"/>
        <v>0.000604432505037056</v>
      </c>
      <c r="J3755" s="9"/>
      <c r="K3755" s="11"/>
      <c r="L3755" s="9"/>
      <c r="M3755" s="11"/>
      <c r="N3755" s="9" t="s">
        <v>809</v>
      </c>
    </row>
    <row r="3756" ht="25" customHeight="1" spans="1:14">
      <c r="A3756" s="9" t="s">
        <v>327</v>
      </c>
      <c r="B3756" s="9" t="s">
        <v>326</v>
      </c>
      <c r="C3756" s="10">
        <v>44272</v>
      </c>
      <c r="D3756" s="15">
        <v>1.0445</v>
      </c>
      <c r="E3756" s="15">
        <v>1.4204</v>
      </c>
      <c r="F3756" s="15">
        <v>1.49</v>
      </c>
      <c r="G3756" s="11">
        <v>0.0012</v>
      </c>
      <c r="H3756" s="9">
        <f>MAX($F$3239:F3756)</f>
        <v>1.49</v>
      </c>
      <c r="I3756" s="11">
        <f t="shared" si="88"/>
        <v>0</v>
      </c>
      <c r="J3756" s="9"/>
      <c r="K3756" s="11"/>
      <c r="L3756" s="9"/>
      <c r="M3756" s="11"/>
      <c r="N3756" s="9" t="s">
        <v>809</v>
      </c>
    </row>
    <row r="3757" ht="25" customHeight="1" spans="1:14">
      <c r="A3757" s="9" t="s">
        <v>327</v>
      </c>
      <c r="B3757" s="9" t="s">
        <v>326</v>
      </c>
      <c r="C3757" s="10">
        <v>44273</v>
      </c>
      <c r="D3757" s="15">
        <v>1.0451</v>
      </c>
      <c r="E3757" s="15">
        <v>1.421</v>
      </c>
      <c r="F3757" s="15">
        <v>1.4908</v>
      </c>
      <c r="G3757" s="11">
        <v>0.0006</v>
      </c>
      <c r="H3757" s="9">
        <f>MAX($F$3239:F3757)</f>
        <v>1.4908</v>
      </c>
      <c r="I3757" s="11">
        <f t="shared" si="88"/>
        <v>0</v>
      </c>
      <c r="J3757" s="9"/>
      <c r="K3757" s="11"/>
      <c r="L3757" s="9"/>
      <c r="M3757" s="11"/>
      <c r="N3757" s="9" t="s">
        <v>809</v>
      </c>
    </row>
    <row r="3758" ht="25" customHeight="1" spans="1:14">
      <c r="A3758" s="9" t="s">
        <v>327</v>
      </c>
      <c r="B3758" s="9" t="s">
        <v>326</v>
      </c>
      <c r="C3758" s="10">
        <v>44274</v>
      </c>
      <c r="D3758" s="15">
        <v>1.0463</v>
      </c>
      <c r="E3758" s="15">
        <v>1.4222</v>
      </c>
      <c r="F3758" s="15">
        <v>1.4925</v>
      </c>
      <c r="G3758" s="11">
        <v>0.0011</v>
      </c>
      <c r="H3758" s="9">
        <f>MAX($F$3239:F3758)</f>
        <v>1.4925</v>
      </c>
      <c r="I3758" s="11">
        <f t="shared" si="88"/>
        <v>0</v>
      </c>
      <c r="J3758" s="9"/>
      <c r="K3758" s="11"/>
      <c r="L3758" s="9"/>
      <c r="M3758" s="11"/>
      <c r="N3758" s="9" t="s">
        <v>809</v>
      </c>
    </row>
    <row r="3759" ht="25" customHeight="1" spans="1:14">
      <c r="A3759" s="9" t="s">
        <v>327</v>
      </c>
      <c r="B3759" s="9" t="s">
        <v>326</v>
      </c>
      <c r="C3759" s="10">
        <v>44277</v>
      </c>
      <c r="D3759" s="15">
        <v>1.0462</v>
      </c>
      <c r="E3759" s="15">
        <v>1.4221</v>
      </c>
      <c r="F3759" s="15">
        <v>1.4924</v>
      </c>
      <c r="G3759" s="11">
        <v>-0.0001</v>
      </c>
      <c r="H3759" s="9">
        <f>MAX($F$3239:F3759)</f>
        <v>1.4925</v>
      </c>
      <c r="I3759" s="11">
        <f t="shared" si="88"/>
        <v>6.70016750419222e-5</v>
      </c>
      <c r="J3759" s="9"/>
      <c r="K3759" s="11"/>
      <c r="L3759" s="9"/>
      <c r="M3759" s="11"/>
      <c r="N3759" s="9" t="s">
        <v>809</v>
      </c>
    </row>
    <row r="3760" ht="25" customHeight="1" spans="1:14">
      <c r="A3760" s="9" t="s">
        <v>327</v>
      </c>
      <c r="B3760" s="9" t="s">
        <v>326</v>
      </c>
      <c r="C3760" s="10">
        <v>44278</v>
      </c>
      <c r="D3760" s="15">
        <v>1.0461</v>
      </c>
      <c r="E3760" s="15">
        <v>1.422</v>
      </c>
      <c r="F3760" s="15">
        <v>1.4923</v>
      </c>
      <c r="G3760" s="11">
        <v>-0.0001</v>
      </c>
      <c r="H3760" s="9">
        <f>MAX($F$3239:F3760)</f>
        <v>1.4925</v>
      </c>
      <c r="I3760" s="11">
        <f t="shared" si="88"/>
        <v>0.000134003350083733</v>
      </c>
      <c r="J3760" s="9"/>
      <c r="K3760" s="11"/>
      <c r="L3760" s="9"/>
      <c r="M3760" s="11"/>
      <c r="N3760" s="9" t="s">
        <v>809</v>
      </c>
    </row>
    <row r="3761" ht="25" customHeight="1" spans="1:14">
      <c r="A3761" s="9" t="s">
        <v>327</v>
      </c>
      <c r="B3761" s="9" t="s">
        <v>326</v>
      </c>
      <c r="C3761" s="10">
        <v>44279</v>
      </c>
      <c r="D3761" s="15">
        <v>1.0468</v>
      </c>
      <c r="E3761" s="15">
        <v>1.4227</v>
      </c>
      <c r="F3761" s="15">
        <v>1.4933</v>
      </c>
      <c r="G3761" s="11">
        <v>0.0007</v>
      </c>
      <c r="H3761" s="9">
        <f>MAX($F$3239:F3761)</f>
        <v>1.4933</v>
      </c>
      <c r="I3761" s="11">
        <f t="shared" si="88"/>
        <v>0</v>
      </c>
      <c r="J3761" s="9"/>
      <c r="K3761" s="11"/>
      <c r="L3761" s="9"/>
      <c r="M3761" s="11"/>
      <c r="N3761" s="9" t="s">
        <v>809</v>
      </c>
    </row>
    <row r="3762" ht="25" customHeight="1" spans="1:14">
      <c r="A3762" s="9" t="s">
        <v>327</v>
      </c>
      <c r="B3762" s="9" t="s">
        <v>326</v>
      </c>
      <c r="C3762" s="10">
        <v>44280</v>
      </c>
      <c r="D3762" s="15">
        <v>1.0471</v>
      </c>
      <c r="E3762" s="15">
        <v>1.423</v>
      </c>
      <c r="F3762" s="15">
        <v>1.4937</v>
      </c>
      <c r="G3762" s="11">
        <v>0.0003</v>
      </c>
      <c r="H3762" s="9">
        <f>MAX($F$3239:F3762)</f>
        <v>1.4937</v>
      </c>
      <c r="I3762" s="11">
        <f t="shared" si="88"/>
        <v>0</v>
      </c>
      <c r="J3762" s="9"/>
      <c r="K3762" s="11"/>
      <c r="L3762" s="9"/>
      <c r="M3762" s="11"/>
      <c r="N3762" s="9" t="s">
        <v>809</v>
      </c>
    </row>
    <row r="3763" ht="25" customHeight="1" spans="1:14">
      <c r="A3763" s="9" t="s">
        <v>327</v>
      </c>
      <c r="B3763" s="9" t="s">
        <v>326</v>
      </c>
      <c r="C3763" s="10">
        <v>44281</v>
      </c>
      <c r="D3763" s="15">
        <v>1.0475</v>
      </c>
      <c r="E3763" s="15">
        <v>1.4234</v>
      </c>
      <c r="F3763" s="15">
        <v>1.4942</v>
      </c>
      <c r="G3763" s="11">
        <v>0.0004</v>
      </c>
      <c r="H3763" s="9">
        <f>MAX($F$3239:F3763)</f>
        <v>1.4942</v>
      </c>
      <c r="I3763" s="11">
        <f t="shared" si="88"/>
        <v>0</v>
      </c>
      <c r="J3763" s="9"/>
      <c r="K3763" s="11"/>
      <c r="L3763" s="9"/>
      <c r="M3763" s="11"/>
      <c r="N3763" s="9" t="s">
        <v>809</v>
      </c>
    </row>
    <row r="3764" ht="25" customHeight="1" spans="1:14">
      <c r="A3764" s="9" t="s">
        <v>327</v>
      </c>
      <c r="B3764" s="9" t="s">
        <v>326</v>
      </c>
      <c r="C3764" s="10">
        <v>44284</v>
      </c>
      <c r="D3764" s="15">
        <v>1.0468</v>
      </c>
      <c r="E3764" s="15">
        <v>1.4227</v>
      </c>
      <c r="F3764" s="15">
        <v>1.4933</v>
      </c>
      <c r="G3764" s="11">
        <v>-0.0007</v>
      </c>
      <c r="H3764" s="9">
        <f>MAX($F$3239:F3764)</f>
        <v>1.4942</v>
      </c>
      <c r="I3764" s="11">
        <f t="shared" si="88"/>
        <v>0.000602329005487845</v>
      </c>
      <c r="J3764" s="9"/>
      <c r="K3764" s="11"/>
      <c r="L3764" s="9"/>
      <c r="M3764" s="11"/>
      <c r="N3764" s="9" t="s">
        <v>809</v>
      </c>
    </row>
    <row r="3765" ht="25" customHeight="1" spans="1:14">
      <c r="A3765" s="9" t="s">
        <v>327</v>
      </c>
      <c r="B3765" s="9" t="s">
        <v>326</v>
      </c>
      <c r="C3765" s="10">
        <v>44285</v>
      </c>
      <c r="D3765" s="15">
        <v>1.0467</v>
      </c>
      <c r="E3765" s="15">
        <v>1.4226</v>
      </c>
      <c r="F3765" s="15">
        <v>1.4931</v>
      </c>
      <c r="G3765" s="11">
        <v>-0.0001</v>
      </c>
      <c r="H3765" s="9">
        <f>MAX($F$3239:F3765)</f>
        <v>1.4942</v>
      </c>
      <c r="I3765" s="11">
        <f t="shared" si="88"/>
        <v>0.000736179895596267</v>
      </c>
      <c r="J3765" s="9"/>
      <c r="K3765" s="11"/>
      <c r="L3765" s="9"/>
      <c r="M3765" s="11"/>
      <c r="N3765" s="9" t="s">
        <v>809</v>
      </c>
    </row>
    <row r="3766" ht="25" customHeight="1" spans="1:14">
      <c r="A3766" s="9" t="s">
        <v>327</v>
      </c>
      <c r="B3766" s="9" t="s">
        <v>326</v>
      </c>
      <c r="C3766" s="10">
        <v>44286</v>
      </c>
      <c r="D3766" s="15">
        <v>1.0464</v>
      </c>
      <c r="E3766" s="15">
        <v>1.4223</v>
      </c>
      <c r="F3766" s="15">
        <v>1.4927</v>
      </c>
      <c r="G3766" s="11">
        <v>-0.0003</v>
      </c>
      <c r="H3766" s="9">
        <f>MAX($F$3239:F3766)</f>
        <v>1.4942</v>
      </c>
      <c r="I3766" s="11">
        <f t="shared" si="88"/>
        <v>0.00100388167581322</v>
      </c>
      <c r="J3766" s="9"/>
      <c r="K3766" s="11"/>
      <c r="L3766" s="9"/>
      <c r="M3766" s="11"/>
      <c r="N3766" s="9" t="s">
        <v>809</v>
      </c>
    </row>
    <row r="3767" ht="25" customHeight="1" spans="1:14">
      <c r="A3767" s="9" t="s">
        <v>327</v>
      </c>
      <c r="B3767" s="9" t="s">
        <v>326</v>
      </c>
      <c r="C3767" s="10">
        <v>44287</v>
      </c>
      <c r="D3767" s="15">
        <v>1.0469</v>
      </c>
      <c r="E3767" s="15">
        <v>1.4228</v>
      </c>
      <c r="F3767" s="15">
        <v>1.4934</v>
      </c>
      <c r="G3767" s="11">
        <v>0.0005</v>
      </c>
      <c r="H3767" s="9">
        <f>MAX($F$3239:F3767)</f>
        <v>1.4942</v>
      </c>
      <c r="I3767" s="11">
        <f t="shared" si="88"/>
        <v>0.000535403560433578</v>
      </c>
      <c r="J3767" s="9"/>
      <c r="K3767" s="11"/>
      <c r="L3767" s="9"/>
      <c r="M3767" s="11"/>
      <c r="N3767" s="9" t="s">
        <v>809</v>
      </c>
    </row>
    <row r="3768" ht="25" customHeight="1" spans="1:14">
      <c r="A3768" s="9" t="s">
        <v>327</v>
      </c>
      <c r="B3768" s="9" t="s">
        <v>326</v>
      </c>
      <c r="C3768" s="10">
        <v>44288</v>
      </c>
      <c r="D3768" s="15">
        <v>1.0467</v>
      </c>
      <c r="E3768" s="15">
        <v>1.4226</v>
      </c>
      <c r="F3768" s="15">
        <v>1.4931</v>
      </c>
      <c r="G3768" s="11">
        <v>-0.0002</v>
      </c>
      <c r="H3768" s="9">
        <f>MAX($F$3239:F3768)</f>
        <v>1.4942</v>
      </c>
      <c r="I3768" s="11">
        <f t="shared" si="88"/>
        <v>0.000736179895596267</v>
      </c>
      <c r="J3768" s="9"/>
      <c r="K3768" s="11"/>
      <c r="L3768" s="9"/>
      <c r="M3768" s="11"/>
      <c r="N3768" s="9" t="s">
        <v>809</v>
      </c>
    </row>
    <row r="3769" ht="25" customHeight="1" spans="1:14">
      <c r="A3769" s="9" t="s">
        <v>327</v>
      </c>
      <c r="B3769" s="9" t="s">
        <v>326</v>
      </c>
      <c r="C3769" s="10">
        <v>44292</v>
      </c>
      <c r="D3769" s="15">
        <v>1.0464</v>
      </c>
      <c r="E3769" s="15">
        <v>1.4223</v>
      </c>
      <c r="F3769" s="15">
        <v>1.4927</v>
      </c>
      <c r="G3769" s="11">
        <v>-0.0003</v>
      </c>
      <c r="H3769" s="9">
        <f>MAX($F$3239:F3769)</f>
        <v>1.4942</v>
      </c>
      <c r="I3769" s="11">
        <f t="shared" si="88"/>
        <v>0.00100388167581322</v>
      </c>
      <c r="J3769" s="9"/>
      <c r="K3769" s="11"/>
      <c r="L3769" s="9"/>
      <c r="M3769" s="11"/>
      <c r="N3769" s="9" t="s">
        <v>809</v>
      </c>
    </row>
    <row r="3770" ht="25" customHeight="1" spans="1:14">
      <c r="A3770" s="9" t="s">
        <v>327</v>
      </c>
      <c r="B3770" s="9" t="s">
        <v>326</v>
      </c>
      <c r="C3770" s="10">
        <v>44293</v>
      </c>
      <c r="D3770" s="15">
        <v>1.0488</v>
      </c>
      <c r="E3770" s="15">
        <v>1.4247</v>
      </c>
      <c r="F3770" s="15">
        <v>1.4961</v>
      </c>
      <c r="G3770" s="11">
        <v>0.0023</v>
      </c>
      <c r="H3770" s="9">
        <f>MAX($F$3239:F3770)</f>
        <v>1.4961</v>
      </c>
      <c r="I3770" s="11">
        <f t="shared" si="88"/>
        <v>0</v>
      </c>
      <c r="J3770" s="9"/>
      <c r="K3770" s="11"/>
      <c r="L3770" s="9"/>
      <c r="M3770" s="11"/>
      <c r="N3770" s="9" t="s">
        <v>809</v>
      </c>
    </row>
    <row r="3771" ht="25" customHeight="1" spans="1:14">
      <c r="A3771" s="9" t="s">
        <v>327</v>
      </c>
      <c r="B3771" s="9" t="s">
        <v>326</v>
      </c>
      <c r="C3771" s="10">
        <v>44294</v>
      </c>
      <c r="D3771" s="15">
        <v>1.0488</v>
      </c>
      <c r="E3771" s="15">
        <v>1.4247</v>
      </c>
      <c r="F3771" s="15">
        <v>1.4961</v>
      </c>
      <c r="G3771" s="11">
        <v>0</v>
      </c>
      <c r="H3771" s="9">
        <f>MAX($F$3239:F3771)</f>
        <v>1.4961</v>
      </c>
      <c r="I3771" s="11">
        <f t="shared" si="88"/>
        <v>0</v>
      </c>
      <c r="J3771" s="9"/>
      <c r="K3771" s="11"/>
      <c r="L3771" s="9"/>
      <c r="M3771" s="11"/>
      <c r="N3771" s="9" t="s">
        <v>809</v>
      </c>
    </row>
    <row r="3772" ht="25" customHeight="1" spans="1:14">
      <c r="A3772" s="9" t="s">
        <v>327</v>
      </c>
      <c r="B3772" s="9" t="s">
        <v>326</v>
      </c>
      <c r="C3772" s="10">
        <v>44295</v>
      </c>
      <c r="D3772" s="15">
        <v>1.0491</v>
      </c>
      <c r="E3772" s="15">
        <v>1.425</v>
      </c>
      <c r="F3772" s="15">
        <v>1.4965</v>
      </c>
      <c r="G3772" s="11">
        <v>0.0003</v>
      </c>
      <c r="H3772" s="9">
        <f>MAX($F$3239:F3772)</f>
        <v>1.4965</v>
      </c>
      <c r="I3772" s="11">
        <f t="shared" si="88"/>
        <v>0</v>
      </c>
      <c r="J3772" s="9"/>
      <c r="K3772" s="11"/>
      <c r="L3772" s="9"/>
      <c r="M3772" s="11"/>
      <c r="N3772" s="9" t="s">
        <v>809</v>
      </c>
    </row>
    <row r="3773" ht="25" customHeight="1" spans="1:14">
      <c r="A3773" s="9" t="s">
        <v>327</v>
      </c>
      <c r="B3773" s="9" t="s">
        <v>326</v>
      </c>
      <c r="C3773" s="10">
        <v>44298</v>
      </c>
      <c r="D3773" s="15">
        <v>1.0501</v>
      </c>
      <c r="E3773" s="15">
        <v>1.426</v>
      </c>
      <c r="F3773" s="15">
        <v>1.498</v>
      </c>
      <c r="G3773" s="11">
        <v>0.001</v>
      </c>
      <c r="H3773" s="9">
        <f>MAX($F$3239:F3773)</f>
        <v>1.498</v>
      </c>
      <c r="I3773" s="11">
        <f t="shared" si="88"/>
        <v>0</v>
      </c>
      <c r="J3773" s="9"/>
      <c r="K3773" s="11"/>
      <c r="L3773" s="9"/>
      <c r="M3773" s="11"/>
      <c r="N3773" s="9" t="s">
        <v>809</v>
      </c>
    </row>
    <row r="3774" ht="25" customHeight="1" spans="1:14">
      <c r="A3774" s="9" t="s">
        <v>327</v>
      </c>
      <c r="B3774" s="9" t="s">
        <v>326</v>
      </c>
      <c r="C3774" s="10">
        <v>44299</v>
      </c>
      <c r="D3774" s="15">
        <v>1.0511</v>
      </c>
      <c r="E3774" s="15">
        <v>1.427</v>
      </c>
      <c r="F3774" s="15">
        <v>1.4994</v>
      </c>
      <c r="G3774" s="11">
        <v>0.001</v>
      </c>
      <c r="H3774" s="9">
        <f>MAX($F$3239:F3774)</f>
        <v>1.4994</v>
      </c>
      <c r="I3774" s="11">
        <f t="shared" si="88"/>
        <v>0</v>
      </c>
      <c r="J3774" s="9"/>
      <c r="K3774" s="11"/>
      <c r="L3774" s="9"/>
      <c r="M3774" s="11"/>
      <c r="N3774" s="9" t="s">
        <v>809</v>
      </c>
    </row>
    <row r="3775" ht="25" customHeight="1" spans="1:14">
      <c r="A3775" s="9" t="s">
        <v>327</v>
      </c>
      <c r="B3775" s="9" t="s">
        <v>326</v>
      </c>
      <c r="C3775" s="10">
        <v>44300</v>
      </c>
      <c r="D3775" s="15">
        <v>1.0518</v>
      </c>
      <c r="E3775" s="15">
        <v>1.4277</v>
      </c>
      <c r="F3775" s="15">
        <v>1.5004</v>
      </c>
      <c r="G3775" s="11">
        <v>0.0007</v>
      </c>
      <c r="H3775" s="9">
        <f>MAX($F$3239:F3775)</f>
        <v>1.5004</v>
      </c>
      <c r="I3775" s="11">
        <f t="shared" si="88"/>
        <v>0</v>
      </c>
      <c r="J3775" s="9"/>
      <c r="K3775" s="11"/>
      <c r="L3775" s="9"/>
      <c r="M3775" s="11"/>
      <c r="N3775" s="9" t="s">
        <v>809</v>
      </c>
    </row>
    <row r="3776" ht="25" customHeight="1" spans="1:14">
      <c r="A3776" s="9" t="s">
        <v>327</v>
      </c>
      <c r="B3776" s="9" t="s">
        <v>326</v>
      </c>
      <c r="C3776" s="10">
        <v>44301</v>
      </c>
      <c r="D3776" s="15">
        <v>1.0522</v>
      </c>
      <c r="E3776" s="15">
        <v>1.4281</v>
      </c>
      <c r="F3776" s="15">
        <v>1.501</v>
      </c>
      <c r="G3776" s="11">
        <v>0.0004</v>
      </c>
      <c r="H3776" s="9">
        <f>MAX($F$3239:F3776)</f>
        <v>1.501</v>
      </c>
      <c r="I3776" s="11">
        <f t="shared" si="88"/>
        <v>0</v>
      </c>
      <c r="J3776" s="9"/>
      <c r="K3776" s="11"/>
      <c r="L3776" s="9"/>
      <c r="M3776" s="11"/>
      <c r="N3776" s="9" t="s">
        <v>809</v>
      </c>
    </row>
    <row r="3777" ht="25" customHeight="1" spans="1:14">
      <c r="A3777" s="9" t="s">
        <v>327</v>
      </c>
      <c r="B3777" s="9" t="s">
        <v>326</v>
      </c>
      <c r="C3777" s="10">
        <v>44302</v>
      </c>
      <c r="D3777" s="15">
        <v>1.0531</v>
      </c>
      <c r="E3777" s="15">
        <v>1.429</v>
      </c>
      <c r="F3777" s="15">
        <v>1.5022</v>
      </c>
      <c r="G3777" s="11">
        <v>0.0009</v>
      </c>
      <c r="H3777" s="9">
        <f>MAX($F$3239:F3777)</f>
        <v>1.5022</v>
      </c>
      <c r="I3777" s="11">
        <f t="shared" si="88"/>
        <v>0</v>
      </c>
      <c r="J3777" s="9"/>
      <c r="K3777" s="11"/>
      <c r="L3777" s="9"/>
      <c r="M3777" s="11"/>
      <c r="N3777" s="9" t="s">
        <v>809</v>
      </c>
    </row>
    <row r="3778" ht="25" customHeight="1" spans="1:14">
      <c r="A3778" s="9" t="s">
        <v>327</v>
      </c>
      <c r="B3778" s="9" t="s">
        <v>326</v>
      </c>
      <c r="C3778" s="10">
        <v>44305</v>
      </c>
      <c r="D3778" s="15">
        <v>1.0529</v>
      </c>
      <c r="E3778" s="15">
        <v>1.4288</v>
      </c>
      <c r="F3778" s="15">
        <v>1.502</v>
      </c>
      <c r="G3778" s="11">
        <v>-0.0002</v>
      </c>
      <c r="H3778" s="9">
        <f>MAX($F$3239:F3778)</f>
        <v>1.5022</v>
      </c>
      <c r="I3778" s="11">
        <f t="shared" ref="I3778:I3841" si="89">1-F3778/H3778</f>
        <v>0.000133138064172478</v>
      </c>
      <c r="J3778" s="9"/>
      <c r="K3778" s="11"/>
      <c r="L3778" s="9"/>
      <c r="M3778" s="11"/>
      <c r="N3778" s="9" t="s">
        <v>809</v>
      </c>
    </row>
    <row r="3779" ht="25" customHeight="1" spans="1:14">
      <c r="A3779" s="9" t="s">
        <v>327</v>
      </c>
      <c r="B3779" s="9" t="s">
        <v>326</v>
      </c>
      <c r="C3779" s="10">
        <v>44306</v>
      </c>
      <c r="D3779" s="15">
        <v>1.0519</v>
      </c>
      <c r="E3779" s="15">
        <v>1.4278</v>
      </c>
      <c r="F3779" s="15">
        <v>1.5005</v>
      </c>
      <c r="G3779" s="11">
        <v>-0.0009</v>
      </c>
      <c r="H3779" s="9">
        <f>MAX($F$3239:F3779)</f>
        <v>1.5022</v>
      </c>
      <c r="I3779" s="11">
        <f t="shared" si="89"/>
        <v>0.00113167354546673</v>
      </c>
      <c r="J3779" s="9"/>
      <c r="K3779" s="11"/>
      <c r="L3779" s="9"/>
      <c r="M3779" s="11"/>
      <c r="N3779" s="9" t="s">
        <v>809</v>
      </c>
    </row>
    <row r="3780" ht="25" customHeight="1" spans="1:14">
      <c r="A3780" s="9" t="s">
        <v>327</v>
      </c>
      <c r="B3780" s="9" t="s">
        <v>326</v>
      </c>
      <c r="C3780" s="10">
        <v>44307</v>
      </c>
      <c r="D3780" s="15">
        <v>1.0526</v>
      </c>
      <c r="E3780" s="15">
        <v>1.4285</v>
      </c>
      <c r="F3780" s="15">
        <v>1.5015</v>
      </c>
      <c r="G3780" s="11">
        <v>0.0007</v>
      </c>
      <c r="H3780" s="9">
        <f>MAX($F$3239:F3780)</f>
        <v>1.5022</v>
      </c>
      <c r="I3780" s="11">
        <f t="shared" si="89"/>
        <v>0.000465983224603894</v>
      </c>
      <c r="J3780" s="9"/>
      <c r="K3780" s="11"/>
      <c r="L3780" s="9"/>
      <c r="M3780" s="11"/>
      <c r="N3780" s="9" t="s">
        <v>809</v>
      </c>
    </row>
    <row r="3781" ht="25" customHeight="1" spans="1:14">
      <c r="A3781" s="9" t="s">
        <v>327</v>
      </c>
      <c r="B3781" s="9" t="s">
        <v>326</v>
      </c>
      <c r="C3781" s="10">
        <v>44308</v>
      </c>
      <c r="D3781" s="15">
        <v>1.0529</v>
      </c>
      <c r="E3781" s="15">
        <v>1.4288</v>
      </c>
      <c r="F3781" s="15">
        <v>1.502</v>
      </c>
      <c r="G3781" s="11">
        <v>0.0003</v>
      </c>
      <c r="H3781" s="9">
        <f>MAX($F$3239:F3781)</f>
        <v>1.5022</v>
      </c>
      <c r="I3781" s="11">
        <f t="shared" si="89"/>
        <v>0.000133138064172478</v>
      </c>
      <c r="J3781" s="9"/>
      <c r="K3781" s="11"/>
      <c r="L3781" s="9"/>
      <c r="M3781" s="11"/>
      <c r="N3781" s="9" t="s">
        <v>809</v>
      </c>
    </row>
    <row r="3782" ht="25" customHeight="1" spans="1:14">
      <c r="A3782" s="9" t="s">
        <v>327</v>
      </c>
      <c r="B3782" s="9" t="s">
        <v>326</v>
      </c>
      <c r="C3782" s="10">
        <v>44309</v>
      </c>
      <c r="D3782" s="15">
        <v>1.0527</v>
      </c>
      <c r="E3782" s="15">
        <v>1.4286</v>
      </c>
      <c r="F3782" s="15">
        <v>1.5017</v>
      </c>
      <c r="G3782" s="11">
        <v>-0.0002</v>
      </c>
      <c r="H3782" s="9">
        <f>MAX($F$3239:F3782)</f>
        <v>1.5022</v>
      </c>
      <c r="I3782" s="11">
        <f t="shared" si="89"/>
        <v>0.000332845160431305</v>
      </c>
      <c r="J3782" s="9"/>
      <c r="K3782" s="11"/>
      <c r="L3782" s="9"/>
      <c r="M3782" s="11"/>
      <c r="N3782" s="9" t="s">
        <v>809</v>
      </c>
    </row>
    <row r="3783" ht="25" customHeight="1" spans="1:14">
      <c r="A3783" s="9" t="s">
        <v>327</v>
      </c>
      <c r="B3783" s="9" t="s">
        <v>326</v>
      </c>
      <c r="C3783" s="10">
        <v>44312</v>
      </c>
      <c r="D3783" s="15">
        <v>1.0526</v>
      </c>
      <c r="E3783" s="15">
        <v>1.4285</v>
      </c>
      <c r="F3783" s="15">
        <v>1.5015</v>
      </c>
      <c r="G3783" s="11">
        <v>-0.0001</v>
      </c>
      <c r="H3783" s="9">
        <f>MAX($F$3239:F3783)</f>
        <v>1.5022</v>
      </c>
      <c r="I3783" s="11">
        <f t="shared" si="89"/>
        <v>0.000465983224603894</v>
      </c>
      <c r="J3783" s="9"/>
      <c r="K3783" s="11"/>
      <c r="L3783" s="9"/>
      <c r="M3783" s="11"/>
      <c r="N3783" s="9" t="s">
        <v>809</v>
      </c>
    </row>
    <row r="3784" ht="25" customHeight="1" spans="1:14">
      <c r="A3784" s="9" t="s">
        <v>327</v>
      </c>
      <c r="B3784" s="9" t="s">
        <v>326</v>
      </c>
      <c r="C3784" s="10">
        <v>44313</v>
      </c>
      <c r="D3784" s="15">
        <v>1.0534</v>
      </c>
      <c r="E3784" s="15">
        <v>1.4293</v>
      </c>
      <c r="F3784" s="15">
        <v>1.5027</v>
      </c>
      <c r="G3784" s="11">
        <v>0.0008</v>
      </c>
      <c r="H3784" s="9">
        <f>MAX($F$3239:F3784)</f>
        <v>1.5027</v>
      </c>
      <c r="I3784" s="11">
        <f t="shared" si="89"/>
        <v>0</v>
      </c>
      <c r="J3784" s="9"/>
      <c r="K3784" s="11"/>
      <c r="L3784" s="9"/>
      <c r="M3784" s="11"/>
      <c r="N3784" s="9" t="s">
        <v>809</v>
      </c>
    </row>
    <row r="3785" ht="25" customHeight="1" spans="1:14">
      <c r="A3785" s="9" t="s">
        <v>327</v>
      </c>
      <c r="B3785" s="9" t="s">
        <v>326</v>
      </c>
      <c r="C3785" s="10">
        <v>44314</v>
      </c>
      <c r="D3785" s="15">
        <v>1.0533</v>
      </c>
      <c r="E3785" s="15">
        <v>1.4292</v>
      </c>
      <c r="F3785" s="15">
        <v>1.5025</v>
      </c>
      <c r="G3785" s="11">
        <v>-0.0001</v>
      </c>
      <c r="H3785" s="9">
        <f>MAX($F$3239:F3785)</f>
        <v>1.5027</v>
      </c>
      <c r="I3785" s="11">
        <f t="shared" si="89"/>
        <v>0.000133093764557168</v>
      </c>
      <c r="J3785" s="9"/>
      <c r="K3785" s="11"/>
      <c r="L3785" s="9"/>
      <c r="M3785" s="11"/>
      <c r="N3785" s="9" t="s">
        <v>809</v>
      </c>
    </row>
    <row r="3786" ht="25" customHeight="1" spans="1:14">
      <c r="A3786" s="9" t="s">
        <v>327</v>
      </c>
      <c r="B3786" s="9" t="s">
        <v>326</v>
      </c>
      <c r="C3786" s="10">
        <v>44315</v>
      </c>
      <c r="D3786" s="15">
        <v>1.0537</v>
      </c>
      <c r="E3786" s="15">
        <v>1.4296</v>
      </c>
      <c r="F3786" s="15">
        <v>1.5031</v>
      </c>
      <c r="G3786" s="11">
        <v>0.0004</v>
      </c>
      <c r="H3786" s="9">
        <f>MAX($F$3239:F3786)</f>
        <v>1.5031</v>
      </c>
      <c r="I3786" s="11">
        <f t="shared" si="89"/>
        <v>0</v>
      </c>
      <c r="J3786" s="9"/>
      <c r="K3786" s="11"/>
      <c r="L3786" s="9"/>
      <c r="M3786" s="11"/>
      <c r="N3786" s="9" t="s">
        <v>809</v>
      </c>
    </row>
    <row r="3787" ht="25" customHeight="1" spans="1:14">
      <c r="A3787" s="9" t="s">
        <v>327</v>
      </c>
      <c r="B3787" s="9" t="s">
        <v>326</v>
      </c>
      <c r="C3787" s="10">
        <v>44316</v>
      </c>
      <c r="D3787" s="15">
        <v>1.0534</v>
      </c>
      <c r="E3787" s="15">
        <v>1.4293</v>
      </c>
      <c r="F3787" s="15">
        <v>1.5027</v>
      </c>
      <c r="G3787" s="11">
        <v>-0.0003</v>
      </c>
      <c r="H3787" s="9">
        <f>MAX($F$3239:F3787)</f>
        <v>1.5031</v>
      </c>
      <c r="I3787" s="11">
        <f t="shared" si="89"/>
        <v>0.000266116692169582</v>
      </c>
      <c r="J3787" s="9"/>
      <c r="K3787" s="11"/>
      <c r="L3787" s="9"/>
      <c r="M3787" s="11"/>
      <c r="N3787" s="9" t="s">
        <v>809</v>
      </c>
    </row>
    <row r="3788" ht="25" customHeight="1" spans="1:14">
      <c r="A3788" s="9" t="s">
        <v>327</v>
      </c>
      <c r="B3788" s="9" t="s">
        <v>326</v>
      </c>
      <c r="C3788" s="10">
        <v>44322</v>
      </c>
      <c r="D3788" s="15">
        <v>1.0541</v>
      </c>
      <c r="E3788" s="15">
        <v>1.43</v>
      </c>
      <c r="F3788" s="15">
        <v>1.5037</v>
      </c>
      <c r="G3788" s="11">
        <v>0.0007</v>
      </c>
      <c r="H3788" s="9">
        <f>MAX($F$3239:F3788)</f>
        <v>1.5037</v>
      </c>
      <c r="I3788" s="11">
        <f t="shared" si="89"/>
        <v>0</v>
      </c>
      <c r="J3788" s="9"/>
      <c r="K3788" s="11"/>
      <c r="L3788" s="9"/>
      <c r="M3788" s="11"/>
      <c r="N3788" s="9" t="s">
        <v>809</v>
      </c>
    </row>
    <row r="3789" ht="25" customHeight="1" spans="1:14">
      <c r="A3789" s="9" t="s">
        <v>327</v>
      </c>
      <c r="B3789" s="9" t="s">
        <v>326</v>
      </c>
      <c r="C3789" s="10">
        <v>44323</v>
      </c>
      <c r="D3789" s="15">
        <v>1.0537</v>
      </c>
      <c r="E3789" s="15">
        <v>1.4296</v>
      </c>
      <c r="F3789" s="15">
        <v>1.5031</v>
      </c>
      <c r="G3789" s="11">
        <v>-0.0004</v>
      </c>
      <c r="H3789" s="9">
        <f>MAX($F$3239:F3789)</f>
        <v>1.5037</v>
      </c>
      <c r="I3789" s="11">
        <f t="shared" si="89"/>
        <v>0.000399015761122556</v>
      </c>
      <c r="J3789" s="9"/>
      <c r="K3789" s="11"/>
      <c r="L3789" s="9"/>
      <c r="M3789" s="11"/>
      <c r="N3789" s="9" t="s">
        <v>809</v>
      </c>
    </row>
    <row r="3790" ht="25" customHeight="1" spans="1:14">
      <c r="A3790" s="9" t="s">
        <v>327</v>
      </c>
      <c r="B3790" s="9" t="s">
        <v>326</v>
      </c>
      <c r="C3790" s="10">
        <v>44326</v>
      </c>
      <c r="D3790" s="15">
        <v>1.054</v>
      </c>
      <c r="E3790" s="15">
        <v>1.4299</v>
      </c>
      <c r="F3790" s="15">
        <v>1.5035</v>
      </c>
      <c r="G3790" s="11">
        <v>0.0003</v>
      </c>
      <c r="H3790" s="9">
        <f>MAX($F$3239:F3790)</f>
        <v>1.5037</v>
      </c>
      <c r="I3790" s="11">
        <f t="shared" si="89"/>
        <v>0.000133005253707519</v>
      </c>
      <c r="J3790" s="9"/>
      <c r="K3790" s="11"/>
      <c r="L3790" s="9"/>
      <c r="M3790" s="11"/>
      <c r="N3790" s="9" t="s">
        <v>809</v>
      </c>
    </row>
    <row r="3791" ht="25" customHeight="1" spans="1:14">
      <c r="A3791" s="9" t="s">
        <v>327</v>
      </c>
      <c r="B3791" s="9" t="s">
        <v>326</v>
      </c>
      <c r="C3791" s="10">
        <v>44327</v>
      </c>
      <c r="D3791" s="15">
        <v>1.0559</v>
      </c>
      <c r="E3791" s="15">
        <v>1.4318</v>
      </c>
      <c r="F3791" s="15">
        <v>1.5062</v>
      </c>
      <c r="G3791" s="11">
        <v>0.0018</v>
      </c>
      <c r="H3791" s="9">
        <f>MAX($F$3239:F3791)</f>
        <v>1.5062</v>
      </c>
      <c r="I3791" s="11">
        <f t="shared" si="89"/>
        <v>0</v>
      </c>
      <c r="J3791" s="9"/>
      <c r="K3791" s="11"/>
      <c r="L3791" s="9"/>
      <c r="M3791" s="11"/>
      <c r="N3791" s="9" t="s">
        <v>809</v>
      </c>
    </row>
    <row r="3792" ht="25" customHeight="1" spans="1:14">
      <c r="A3792" s="9" t="s">
        <v>327</v>
      </c>
      <c r="B3792" s="9" t="s">
        <v>326</v>
      </c>
      <c r="C3792" s="10">
        <v>44328</v>
      </c>
      <c r="D3792" s="15">
        <v>1.0568</v>
      </c>
      <c r="E3792" s="15">
        <v>1.4327</v>
      </c>
      <c r="F3792" s="15">
        <v>1.5075</v>
      </c>
      <c r="G3792" s="11">
        <v>0.0009</v>
      </c>
      <c r="H3792" s="9">
        <f>MAX($F$3239:F3792)</f>
        <v>1.5075</v>
      </c>
      <c r="I3792" s="11">
        <f t="shared" si="89"/>
        <v>0</v>
      </c>
      <c r="J3792" s="9"/>
      <c r="K3792" s="11"/>
      <c r="L3792" s="9"/>
      <c r="M3792" s="11"/>
      <c r="N3792" s="9" t="s">
        <v>809</v>
      </c>
    </row>
    <row r="3793" ht="25" customHeight="1" spans="1:14">
      <c r="A3793" s="9" t="s">
        <v>327</v>
      </c>
      <c r="B3793" s="9" t="s">
        <v>326</v>
      </c>
      <c r="C3793" s="10">
        <v>44329</v>
      </c>
      <c r="D3793" s="15">
        <v>1.0573</v>
      </c>
      <c r="E3793" s="15">
        <v>1.4332</v>
      </c>
      <c r="F3793" s="15">
        <v>1.5082</v>
      </c>
      <c r="G3793" s="11">
        <v>0.0005</v>
      </c>
      <c r="H3793" s="9">
        <f>MAX($F$3239:F3793)</f>
        <v>1.5082</v>
      </c>
      <c r="I3793" s="11">
        <f t="shared" si="89"/>
        <v>0</v>
      </c>
      <c r="J3793" s="9"/>
      <c r="K3793" s="11"/>
      <c r="L3793" s="9"/>
      <c r="M3793" s="11"/>
      <c r="N3793" s="9" t="s">
        <v>809</v>
      </c>
    </row>
    <row r="3794" ht="25" customHeight="1" spans="1:14">
      <c r="A3794" s="9" t="s">
        <v>327</v>
      </c>
      <c r="B3794" s="9" t="s">
        <v>326</v>
      </c>
      <c r="C3794" s="10">
        <v>44330</v>
      </c>
      <c r="D3794" s="15">
        <v>1.0574</v>
      </c>
      <c r="E3794" s="15">
        <v>1.4333</v>
      </c>
      <c r="F3794" s="15">
        <v>1.5084</v>
      </c>
      <c r="G3794" s="11">
        <v>0.0001</v>
      </c>
      <c r="H3794" s="9">
        <f>MAX($F$3239:F3794)</f>
        <v>1.5084</v>
      </c>
      <c r="I3794" s="11">
        <f t="shared" si="89"/>
        <v>0</v>
      </c>
      <c r="J3794" s="9"/>
      <c r="K3794" s="11"/>
      <c r="L3794" s="9"/>
      <c r="M3794" s="11"/>
      <c r="N3794" s="9" t="s">
        <v>809</v>
      </c>
    </row>
    <row r="3795" ht="25" customHeight="1" spans="1:14">
      <c r="A3795" s="9" t="s">
        <v>327</v>
      </c>
      <c r="B3795" s="9" t="s">
        <v>326</v>
      </c>
      <c r="C3795" s="10">
        <v>44333</v>
      </c>
      <c r="D3795" s="15">
        <v>1.0578</v>
      </c>
      <c r="E3795" s="15">
        <v>1.4337</v>
      </c>
      <c r="F3795" s="15">
        <v>1.5089</v>
      </c>
      <c r="G3795" s="11">
        <v>0.0004</v>
      </c>
      <c r="H3795" s="9">
        <f>MAX($F$3239:F3795)</f>
        <v>1.5089</v>
      </c>
      <c r="I3795" s="11">
        <f t="shared" si="89"/>
        <v>0</v>
      </c>
      <c r="J3795" s="9"/>
      <c r="K3795" s="11"/>
      <c r="L3795" s="9"/>
      <c r="M3795" s="11"/>
      <c r="N3795" s="9" t="s">
        <v>809</v>
      </c>
    </row>
    <row r="3796" ht="25" customHeight="1" spans="1:14">
      <c r="A3796" s="9" t="s">
        <v>327</v>
      </c>
      <c r="B3796" s="9" t="s">
        <v>326</v>
      </c>
      <c r="C3796" s="10">
        <v>44334</v>
      </c>
      <c r="D3796" s="15">
        <v>1.0572</v>
      </c>
      <c r="E3796" s="15">
        <v>1.4331</v>
      </c>
      <c r="F3796" s="15">
        <v>1.5081</v>
      </c>
      <c r="G3796" s="11">
        <v>-0.0006</v>
      </c>
      <c r="H3796" s="9">
        <f>MAX($F$3239:F3796)</f>
        <v>1.5089</v>
      </c>
      <c r="I3796" s="11">
        <f t="shared" si="89"/>
        <v>0.00053018755384715</v>
      </c>
      <c r="J3796" s="9"/>
      <c r="K3796" s="11"/>
      <c r="L3796" s="9"/>
      <c r="M3796" s="11"/>
      <c r="N3796" s="9" t="s">
        <v>809</v>
      </c>
    </row>
    <row r="3797" ht="25" customHeight="1" spans="1:14">
      <c r="A3797" s="9" t="s">
        <v>327</v>
      </c>
      <c r="B3797" s="9" t="s">
        <v>326</v>
      </c>
      <c r="C3797" s="10">
        <v>44335</v>
      </c>
      <c r="D3797" s="15">
        <v>1.0573</v>
      </c>
      <c r="E3797" s="15">
        <v>1.4332</v>
      </c>
      <c r="F3797" s="15">
        <v>1.5082</v>
      </c>
      <c r="G3797" s="11">
        <v>0.0001</v>
      </c>
      <c r="H3797" s="9">
        <f>MAX($F$3239:F3797)</f>
        <v>1.5089</v>
      </c>
      <c r="I3797" s="11">
        <f t="shared" si="89"/>
        <v>0.000463914109616215</v>
      </c>
      <c r="J3797" s="9"/>
      <c r="K3797" s="11"/>
      <c r="L3797" s="9"/>
      <c r="M3797" s="11"/>
      <c r="N3797" s="9" t="s">
        <v>809</v>
      </c>
    </row>
    <row r="3798" ht="25" customHeight="1" spans="1:14">
      <c r="A3798" s="9" t="s">
        <v>327</v>
      </c>
      <c r="B3798" s="9" t="s">
        <v>326</v>
      </c>
      <c r="C3798" s="10">
        <v>44336</v>
      </c>
      <c r="D3798" s="15">
        <v>1.0575</v>
      </c>
      <c r="E3798" s="15">
        <v>1.4334</v>
      </c>
      <c r="F3798" s="15">
        <v>1.5085</v>
      </c>
      <c r="G3798" s="11">
        <v>0.0002</v>
      </c>
      <c r="H3798" s="9">
        <f>MAX($F$3239:F3798)</f>
        <v>1.5089</v>
      </c>
      <c r="I3798" s="11">
        <f t="shared" si="89"/>
        <v>0.00026509377692352</v>
      </c>
      <c r="J3798" s="9"/>
      <c r="K3798" s="11"/>
      <c r="L3798" s="9"/>
      <c r="M3798" s="11"/>
      <c r="N3798" s="9" t="s">
        <v>809</v>
      </c>
    </row>
    <row r="3799" ht="25" customHeight="1" spans="1:14">
      <c r="A3799" s="9" t="s">
        <v>327</v>
      </c>
      <c r="B3799" s="9" t="s">
        <v>326</v>
      </c>
      <c r="C3799" s="10">
        <v>44337</v>
      </c>
      <c r="D3799" s="15">
        <v>1.0583</v>
      </c>
      <c r="E3799" s="15">
        <v>1.4342</v>
      </c>
      <c r="F3799" s="15">
        <v>1.5097</v>
      </c>
      <c r="G3799" s="11">
        <v>0.0008</v>
      </c>
      <c r="H3799" s="9">
        <f>MAX($F$3239:F3799)</f>
        <v>1.5097</v>
      </c>
      <c r="I3799" s="11">
        <f t="shared" si="89"/>
        <v>0</v>
      </c>
      <c r="J3799" s="9"/>
      <c r="K3799" s="11"/>
      <c r="L3799" s="9"/>
      <c r="M3799" s="11"/>
      <c r="N3799" s="9" t="s">
        <v>809</v>
      </c>
    </row>
    <row r="3800" ht="25" customHeight="1" spans="1:14">
      <c r="A3800" s="9" t="s">
        <v>327</v>
      </c>
      <c r="B3800" s="9" t="s">
        <v>326</v>
      </c>
      <c r="C3800" s="10">
        <v>44340</v>
      </c>
      <c r="D3800" s="15">
        <v>1.0585</v>
      </c>
      <c r="E3800" s="15">
        <v>1.4344</v>
      </c>
      <c r="F3800" s="15">
        <v>1.5099</v>
      </c>
      <c r="G3800" s="11">
        <v>0.0002</v>
      </c>
      <c r="H3800" s="9">
        <f>MAX($F$3239:F3800)</f>
        <v>1.5099</v>
      </c>
      <c r="I3800" s="11">
        <f t="shared" si="89"/>
        <v>0</v>
      </c>
      <c r="J3800" s="9"/>
      <c r="K3800" s="11"/>
      <c r="L3800" s="9"/>
      <c r="M3800" s="11"/>
      <c r="N3800" s="9" t="s">
        <v>809</v>
      </c>
    </row>
    <row r="3801" ht="25" customHeight="1" spans="1:14">
      <c r="A3801" s="9" t="s">
        <v>327</v>
      </c>
      <c r="B3801" s="9" t="s">
        <v>326</v>
      </c>
      <c r="C3801" s="10">
        <v>44341</v>
      </c>
      <c r="D3801" s="15">
        <v>1.0588</v>
      </c>
      <c r="E3801" s="15">
        <v>1.4347</v>
      </c>
      <c r="F3801" s="15">
        <v>1.5104</v>
      </c>
      <c r="G3801" s="11">
        <v>0.0003</v>
      </c>
      <c r="H3801" s="9">
        <f>MAX($F$3239:F3801)</f>
        <v>1.5104</v>
      </c>
      <c r="I3801" s="11">
        <f t="shared" si="89"/>
        <v>0</v>
      </c>
      <c r="J3801" s="9"/>
      <c r="K3801" s="11"/>
      <c r="L3801" s="9"/>
      <c r="M3801" s="11"/>
      <c r="N3801" s="9" t="s">
        <v>809</v>
      </c>
    </row>
    <row r="3802" ht="25" customHeight="1" spans="1:14">
      <c r="A3802" s="9" t="s">
        <v>327</v>
      </c>
      <c r="B3802" s="9" t="s">
        <v>326</v>
      </c>
      <c r="C3802" s="10">
        <v>44342</v>
      </c>
      <c r="D3802" s="15">
        <v>1.0589</v>
      </c>
      <c r="E3802" s="15">
        <v>1.4348</v>
      </c>
      <c r="F3802" s="15">
        <v>1.5105</v>
      </c>
      <c r="G3802" s="11">
        <v>0.0001</v>
      </c>
      <c r="H3802" s="9">
        <f>MAX($F$3239:F3802)</f>
        <v>1.5105</v>
      </c>
      <c r="I3802" s="11">
        <f t="shared" si="89"/>
        <v>0</v>
      </c>
      <c r="J3802" s="9"/>
      <c r="K3802" s="11"/>
      <c r="L3802" s="9"/>
      <c r="M3802" s="11"/>
      <c r="N3802" s="9" t="s">
        <v>809</v>
      </c>
    </row>
    <row r="3803" ht="25" customHeight="1" spans="1:14">
      <c r="A3803" s="9" t="s">
        <v>327</v>
      </c>
      <c r="B3803" s="9" t="s">
        <v>326</v>
      </c>
      <c r="C3803" s="10">
        <v>44343</v>
      </c>
      <c r="D3803" s="15">
        <v>1.0601</v>
      </c>
      <c r="E3803" s="15">
        <v>1.436</v>
      </c>
      <c r="F3803" s="15">
        <v>1.5122</v>
      </c>
      <c r="G3803" s="11">
        <v>0.0011</v>
      </c>
      <c r="H3803" s="9">
        <f>MAX($F$3239:F3803)</f>
        <v>1.5122</v>
      </c>
      <c r="I3803" s="11">
        <f t="shared" si="89"/>
        <v>0</v>
      </c>
      <c r="J3803" s="9"/>
      <c r="K3803" s="11"/>
      <c r="L3803" s="9"/>
      <c r="M3803" s="11"/>
      <c r="N3803" s="9" t="s">
        <v>809</v>
      </c>
    </row>
    <row r="3804" ht="25" customHeight="1" spans="1:14">
      <c r="A3804" s="9" t="s">
        <v>327</v>
      </c>
      <c r="B3804" s="9" t="s">
        <v>326</v>
      </c>
      <c r="C3804" s="10">
        <v>44344</v>
      </c>
      <c r="D3804" s="15">
        <v>1.0607</v>
      </c>
      <c r="E3804" s="15">
        <v>1.4366</v>
      </c>
      <c r="F3804" s="15">
        <v>1.5131</v>
      </c>
      <c r="G3804" s="11">
        <v>0.0006</v>
      </c>
      <c r="H3804" s="9">
        <f>MAX($F$3239:F3804)</f>
        <v>1.5131</v>
      </c>
      <c r="I3804" s="11">
        <f t="shared" si="89"/>
        <v>0</v>
      </c>
      <c r="J3804" s="9"/>
      <c r="K3804" s="11"/>
      <c r="L3804" s="9"/>
      <c r="M3804" s="11"/>
      <c r="N3804" s="9" t="s">
        <v>809</v>
      </c>
    </row>
    <row r="3805" ht="25" customHeight="1" spans="1:14">
      <c r="A3805" s="9" t="s">
        <v>327</v>
      </c>
      <c r="B3805" s="9" t="s">
        <v>326</v>
      </c>
      <c r="C3805" s="10">
        <v>44347</v>
      </c>
      <c r="D3805" s="15">
        <v>1.0613</v>
      </c>
      <c r="E3805" s="15">
        <v>1.4372</v>
      </c>
      <c r="F3805" s="15">
        <v>1.5139</v>
      </c>
      <c r="G3805" s="11">
        <v>0.0006</v>
      </c>
      <c r="H3805" s="9">
        <f>MAX($F$3239:F3805)</f>
        <v>1.5139</v>
      </c>
      <c r="I3805" s="11">
        <f t="shared" si="89"/>
        <v>0</v>
      </c>
      <c r="J3805" s="9"/>
      <c r="K3805" s="11"/>
      <c r="L3805" s="9"/>
      <c r="M3805" s="11"/>
      <c r="N3805" s="9" t="s">
        <v>809</v>
      </c>
    </row>
    <row r="3806" ht="25" customHeight="1" spans="1:14">
      <c r="A3806" s="9" t="s">
        <v>327</v>
      </c>
      <c r="B3806" s="9" t="s">
        <v>326</v>
      </c>
      <c r="C3806" s="10">
        <v>44348</v>
      </c>
      <c r="D3806" s="15">
        <v>1.0612</v>
      </c>
      <c r="E3806" s="15">
        <v>1.4371</v>
      </c>
      <c r="F3806" s="15">
        <v>1.5138</v>
      </c>
      <c r="G3806" s="11">
        <v>-0.0001</v>
      </c>
      <c r="H3806" s="9">
        <f>MAX($F$3239:F3806)</f>
        <v>1.5139</v>
      </c>
      <c r="I3806" s="11">
        <f t="shared" si="89"/>
        <v>6.60545610674523e-5</v>
      </c>
      <c r="J3806" s="9"/>
      <c r="K3806" s="11"/>
      <c r="L3806" s="9"/>
      <c r="M3806" s="11"/>
      <c r="N3806" s="9" t="s">
        <v>809</v>
      </c>
    </row>
    <row r="3807" ht="25" customHeight="1" spans="1:14">
      <c r="A3807" s="9" t="s">
        <v>327</v>
      </c>
      <c r="B3807" s="9" t="s">
        <v>326</v>
      </c>
      <c r="C3807" s="10">
        <v>44349</v>
      </c>
      <c r="D3807" s="15">
        <v>1.0613</v>
      </c>
      <c r="E3807" s="15">
        <v>1.4372</v>
      </c>
      <c r="F3807" s="15">
        <v>1.5139</v>
      </c>
      <c r="G3807" s="11">
        <v>0.0001</v>
      </c>
      <c r="H3807" s="9">
        <f>MAX($F$3239:F3807)</f>
        <v>1.5139</v>
      </c>
      <c r="I3807" s="11">
        <f t="shared" si="89"/>
        <v>0</v>
      </c>
      <c r="J3807" s="9"/>
      <c r="K3807" s="11"/>
      <c r="L3807" s="9"/>
      <c r="M3807" s="11"/>
      <c r="N3807" s="9" t="s">
        <v>809</v>
      </c>
    </row>
    <row r="3808" ht="25" customHeight="1" spans="1:14">
      <c r="A3808" s="9" t="s">
        <v>327</v>
      </c>
      <c r="B3808" s="9" t="s">
        <v>326</v>
      </c>
      <c r="C3808" s="10">
        <v>44350</v>
      </c>
      <c r="D3808" s="15">
        <v>1.0617</v>
      </c>
      <c r="E3808" s="15">
        <v>1.4376</v>
      </c>
      <c r="F3808" s="15">
        <v>1.5145</v>
      </c>
      <c r="G3808" s="11">
        <v>0.0004</v>
      </c>
      <c r="H3808" s="9">
        <f>MAX($F$3239:F3808)</f>
        <v>1.5145</v>
      </c>
      <c r="I3808" s="11">
        <f t="shared" si="89"/>
        <v>0</v>
      </c>
      <c r="J3808" s="9"/>
      <c r="K3808" s="11"/>
      <c r="L3808" s="9"/>
      <c r="M3808" s="11"/>
      <c r="N3808" s="9" t="s">
        <v>809</v>
      </c>
    </row>
    <row r="3809" ht="25" customHeight="1" spans="1:14">
      <c r="A3809" s="9" t="s">
        <v>327</v>
      </c>
      <c r="B3809" s="9" t="s">
        <v>326</v>
      </c>
      <c r="C3809" s="10">
        <v>44351</v>
      </c>
      <c r="D3809" s="15">
        <v>1.0642</v>
      </c>
      <c r="E3809" s="15">
        <v>1.4401</v>
      </c>
      <c r="F3809" s="15">
        <v>1.5181</v>
      </c>
      <c r="G3809" s="11">
        <v>0.0024</v>
      </c>
      <c r="H3809" s="9">
        <f>MAX($F$3239:F3809)</f>
        <v>1.5181</v>
      </c>
      <c r="I3809" s="11">
        <f t="shared" si="89"/>
        <v>0</v>
      </c>
      <c r="J3809" s="9"/>
      <c r="K3809" s="11"/>
      <c r="L3809" s="9"/>
      <c r="M3809" s="11"/>
      <c r="N3809" s="9" t="s">
        <v>809</v>
      </c>
    </row>
    <row r="3810" ht="25" customHeight="1" spans="1:14">
      <c r="A3810" s="9" t="s">
        <v>327</v>
      </c>
      <c r="B3810" s="9" t="s">
        <v>326</v>
      </c>
      <c r="C3810" s="10">
        <v>44354</v>
      </c>
      <c r="D3810" s="15">
        <v>1.0643</v>
      </c>
      <c r="E3810" s="15">
        <v>1.4402</v>
      </c>
      <c r="F3810" s="15">
        <v>1.5182</v>
      </c>
      <c r="G3810" s="11">
        <v>0.0001</v>
      </c>
      <c r="H3810" s="9">
        <f>MAX($F$3239:F3810)</f>
        <v>1.5182</v>
      </c>
      <c r="I3810" s="11">
        <f t="shared" si="89"/>
        <v>0</v>
      </c>
      <c r="J3810" s="9"/>
      <c r="K3810" s="11"/>
      <c r="L3810" s="9"/>
      <c r="M3810" s="11"/>
      <c r="N3810" s="9" t="s">
        <v>809</v>
      </c>
    </row>
    <row r="3811" ht="25" customHeight="1" spans="1:14">
      <c r="A3811" s="9" t="s">
        <v>327</v>
      </c>
      <c r="B3811" s="9" t="s">
        <v>326</v>
      </c>
      <c r="C3811" s="10">
        <v>44355</v>
      </c>
      <c r="D3811" s="15">
        <v>1.0647</v>
      </c>
      <c r="E3811" s="15">
        <v>1.4406</v>
      </c>
      <c r="F3811" s="15">
        <v>1.5188</v>
      </c>
      <c r="G3811" s="11">
        <v>0.0004</v>
      </c>
      <c r="H3811" s="9">
        <f>MAX($F$3239:F3811)</f>
        <v>1.5188</v>
      </c>
      <c r="I3811" s="11">
        <f t="shared" si="89"/>
        <v>0</v>
      </c>
      <c r="J3811" s="9"/>
      <c r="K3811" s="11"/>
      <c r="L3811" s="9"/>
      <c r="M3811" s="11"/>
      <c r="N3811" s="9" t="s">
        <v>809</v>
      </c>
    </row>
    <row r="3812" ht="25" customHeight="1" spans="1:14">
      <c r="A3812" s="9" t="s">
        <v>327</v>
      </c>
      <c r="B3812" s="9" t="s">
        <v>326</v>
      </c>
      <c r="C3812" s="10">
        <v>44356</v>
      </c>
      <c r="D3812" s="15">
        <v>1.0643</v>
      </c>
      <c r="E3812" s="15">
        <v>1.4402</v>
      </c>
      <c r="F3812" s="15">
        <v>1.5182</v>
      </c>
      <c r="G3812" s="11">
        <v>-0.0004</v>
      </c>
      <c r="H3812" s="9">
        <f>MAX($F$3239:F3812)</f>
        <v>1.5188</v>
      </c>
      <c r="I3812" s="11">
        <f t="shared" si="89"/>
        <v>0.000395048722675706</v>
      </c>
      <c r="J3812" s="9"/>
      <c r="K3812" s="11"/>
      <c r="L3812" s="9"/>
      <c r="M3812" s="11"/>
      <c r="N3812" s="9" t="s">
        <v>809</v>
      </c>
    </row>
    <row r="3813" ht="25" customHeight="1" spans="1:14">
      <c r="A3813" s="9" t="s">
        <v>327</v>
      </c>
      <c r="B3813" s="9" t="s">
        <v>326</v>
      </c>
      <c r="C3813" s="10">
        <v>44357</v>
      </c>
      <c r="D3813" s="15">
        <v>1.0648</v>
      </c>
      <c r="E3813" s="15">
        <v>1.4407</v>
      </c>
      <c r="F3813" s="15">
        <v>1.5189</v>
      </c>
      <c r="G3813" s="11">
        <v>0.0005</v>
      </c>
      <c r="H3813" s="9">
        <f>MAX($F$3239:F3813)</f>
        <v>1.5189</v>
      </c>
      <c r="I3813" s="11">
        <f t="shared" si="89"/>
        <v>0</v>
      </c>
      <c r="J3813" s="9"/>
      <c r="K3813" s="11"/>
      <c r="L3813" s="9"/>
      <c r="M3813" s="11"/>
      <c r="N3813" s="9" t="s">
        <v>809</v>
      </c>
    </row>
    <row r="3814" ht="25" customHeight="1" spans="1:14">
      <c r="A3814" s="9" t="s">
        <v>327</v>
      </c>
      <c r="B3814" s="9" t="s">
        <v>326</v>
      </c>
      <c r="C3814" s="10">
        <v>44358</v>
      </c>
      <c r="D3814" s="15">
        <v>1.0656</v>
      </c>
      <c r="E3814" s="15">
        <v>1.4415</v>
      </c>
      <c r="F3814" s="15">
        <v>1.5201</v>
      </c>
      <c r="G3814" s="11">
        <v>0.0008</v>
      </c>
      <c r="H3814" s="9">
        <f>MAX($F$3239:F3814)</f>
        <v>1.5201</v>
      </c>
      <c r="I3814" s="11">
        <f t="shared" si="89"/>
        <v>0</v>
      </c>
      <c r="J3814" s="9"/>
      <c r="K3814" s="11"/>
      <c r="L3814" s="9"/>
      <c r="M3814" s="11"/>
      <c r="N3814" s="9" t="s">
        <v>809</v>
      </c>
    </row>
    <row r="3815" ht="25" customHeight="1" spans="1:14">
      <c r="A3815" s="9" t="s">
        <v>327</v>
      </c>
      <c r="B3815" s="9" t="s">
        <v>326</v>
      </c>
      <c r="C3815" s="10">
        <v>44362</v>
      </c>
      <c r="D3815" s="15">
        <v>1.0651</v>
      </c>
      <c r="E3815" s="15">
        <v>1.441</v>
      </c>
      <c r="F3815" s="15">
        <v>1.5194</v>
      </c>
      <c r="G3815" s="11">
        <v>-0.0005</v>
      </c>
      <c r="H3815" s="9">
        <f>MAX($F$3239:F3815)</f>
        <v>1.5201</v>
      </c>
      <c r="I3815" s="11">
        <f t="shared" si="89"/>
        <v>0.000460496019998646</v>
      </c>
      <c r="J3815" s="9"/>
      <c r="K3815" s="11"/>
      <c r="L3815" s="9"/>
      <c r="M3815" s="11"/>
      <c r="N3815" s="9" t="s">
        <v>809</v>
      </c>
    </row>
    <row r="3816" ht="25" customHeight="1" spans="1:14">
      <c r="A3816" s="9" t="s">
        <v>327</v>
      </c>
      <c r="B3816" s="9" t="s">
        <v>326</v>
      </c>
      <c r="C3816" s="10">
        <v>44363</v>
      </c>
      <c r="D3816" s="15">
        <v>1.0657</v>
      </c>
      <c r="E3816" s="15">
        <v>1.4416</v>
      </c>
      <c r="F3816" s="15">
        <v>1.5202</v>
      </c>
      <c r="G3816" s="11">
        <v>0.0006</v>
      </c>
      <c r="H3816" s="9">
        <f>MAX($F$3239:F3816)</f>
        <v>1.5202</v>
      </c>
      <c r="I3816" s="11">
        <f t="shared" si="89"/>
        <v>0</v>
      </c>
      <c r="J3816" s="9"/>
      <c r="K3816" s="11"/>
      <c r="L3816" s="9"/>
      <c r="M3816" s="11"/>
      <c r="N3816" s="9" t="s">
        <v>809</v>
      </c>
    </row>
    <row r="3817" ht="25" customHeight="1" spans="1:14">
      <c r="A3817" s="9" t="s">
        <v>327</v>
      </c>
      <c r="B3817" s="9" t="s">
        <v>326</v>
      </c>
      <c r="C3817" s="10">
        <v>44364</v>
      </c>
      <c r="D3817" s="15">
        <v>1.0662</v>
      </c>
      <c r="E3817" s="15">
        <v>1.4421</v>
      </c>
      <c r="F3817" s="15">
        <v>1.5209</v>
      </c>
      <c r="G3817" s="11">
        <v>0.0005</v>
      </c>
      <c r="H3817" s="9">
        <f>MAX($F$3239:F3817)</f>
        <v>1.5209</v>
      </c>
      <c r="I3817" s="11">
        <f t="shared" si="89"/>
        <v>0</v>
      </c>
      <c r="J3817" s="9"/>
      <c r="K3817" s="11"/>
      <c r="L3817" s="9"/>
      <c r="M3817" s="11"/>
      <c r="N3817" s="9" t="s">
        <v>809</v>
      </c>
    </row>
    <row r="3818" ht="25" customHeight="1" spans="1:14">
      <c r="A3818" s="9" t="s">
        <v>327</v>
      </c>
      <c r="B3818" s="9" t="s">
        <v>326</v>
      </c>
      <c r="C3818" s="10">
        <v>44365</v>
      </c>
      <c r="D3818" s="15">
        <v>1</v>
      </c>
      <c r="E3818" s="15">
        <v>1.4428</v>
      </c>
      <c r="F3818" s="15">
        <v>1.5219</v>
      </c>
      <c r="G3818" s="11">
        <v>0.0007</v>
      </c>
      <c r="H3818" s="9">
        <f>MAX($F$3239:F3818)</f>
        <v>1.5219</v>
      </c>
      <c r="I3818" s="11">
        <f t="shared" si="89"/>
        <v>0</v>
      </c>
      <c r="J3818" s="9"/>
      <c r="K3818" s="11"/>
      <c r="L3818" s="9"/>
      <c r="M3818" s="11"/>
      <c r="N3818" s="9" t="s">
        <v>809</v>
      </c>
    </row>
    <row r="3819" ht="25" customHeight="1" spans="1:14">
      <c r="A3819" s="9" t="s">
        <v>327</v>
      </c>
      <c r="B3819" s="9" t="s">
        <v>326</v>
      </c>
      <c r="C3819" s="10">
        <v>44368</v>
      </c>
      <c r="D3819" s="15">
        <v>0.9999</v>
      </c>
      <c r="E3819" s="15">
        <v>1.4427</v>
      </c>
      <c r="F3819" s="15">
        <v>1.5218</v>
      </c>
      <c r="G3819" s="11">
        <v>-0.0001</v>
      </c>
      <c r="H3819" s="9">
        <f>MAX($F$3239:F3819)</f>
        <v>1.5219</v>
      </c>
      <c r="I3819" s="11">
        <f t="shared" si="89"/>
        <v>6.57073395098351e-5</v>
      </c>
      <c r="J3819" s="9"/>
      <c r="K3819" s="11"/>
      <c r="L3819" s="9"/>
      <c r="M3819" s="11"/>
      <c r="N3819" s="9" t="s">
        <v>809</v>
      </c>
    </row>
    <row r="3820" ht="25" customHeight="1" spans="1:14">
      <c r="A3820" s="9" t="s">
        <v>327</v>
      </c>
      <c r="B3820" s="9" t="s">
        <v>326</v>
      </c>
      <c r="C3820" s="10">
        <v>44369</v>
      </c>
      <c r="D3820" s="15">
        <v>0.9996</v>
      </c>
      <c r="E3820" s="15">
        <v>1.4424</v>
      </c>
      <c r="F3820" s="15">
        <v>1.5213</v>
      </c>
      <c r="G3820" s="11">
        <v>-0.0003</v>
      </c>
      <c r="H3820" s="9">
        <f>MAX($F$3239:F3820)</f>
        <v>1.5219</v>
      </c>
      <c r="I3820" s="11">
        <f t="shared" si="89"/>
        <v>0.0003942440370589</v>
      </c>
      <c r="J3820" s="9"/>
      <c r="K3820" s="11"/>
      <c r="L3820" s="9"/>
      <c r="M3820" s="11"/>
      <c r="N3820" s="9" t="s">
        <v>809</v>
      </c>
    </row>
    <row r="3821" ht="25" customHeight="1" spans="1:14">
      <c r="A3821" s="9" t="s">
        <v>327</v>
      </c>
      <c r="B3821" s="9" t="s">
        <v>326</v>
      </c>
      <c r="C3821" s="10">
        <v>44370</v>
      </c>
      <c r="D3821" s="15">
        <v>0.9997</v>
      </c>
      <c r="E3821" s="15">
        <v>1.4425</v>
      </c>
      <c r="F3821" s="15">
        <v>1.5215</v>
      </c>
      <c r="G3821" s="11">
        <v>0.0001</v>
      </c>
      <c r="H3821" s="9">
        <f>MAX($F$3239:F3821)</f>
        <v>1.5219</v>
      </c>
      <c r="I3821" s="11">
        <f t="shared" si="89"/>
        <v>0.000262829358039229</v>
      </c>
      <c r="J3821" s="9"/>
      <c r="K3821" s="11"/>
      <c r="L3821" s="9"/>
      <c r="M3821" s="11"/>
      <c r="N3821" s="9" t="s">
        <v>809</v>
      </c>
    </row>
    <row r="3822" ht="25" customHeight="1" spans="1:14">
      <c r="A3822" s="9" t="s">
        <v>327</v>
      </c>
      <c r="B3822" s="9" t="s">
        <v>326</v>
      </c>
      <c r="C3822" s="10">
        <v>44371</v>
      </c>
      <c r="D3822" s="15">
        <v>1.0001</v>
      </c>
      <c r="E3822" s="15">
        <v>1.4429</v>
      </c>
      <c r="F3822" s="15">
        <v>1.5221</v>
      </c>
      <c r="G3822" s="11">
        <v>0.0004</v>
      </c>
      <c r="H3822" s="9">
        <f>MAX($F$3239:F3822)</f>
        <v>1.5221</v>
      </c>
      <c r="I3822" s="11">
        <f t="shared" si="89"/>
        <v>0</v>
      </c>
      <c r="J3822" s="9"/>
      <c r="K3822" s="11"/>
      <c r="L3822" s="9"/>
      <c r="M3822" s="11"/>
      <c r="N3822" s="9" t="s">
        <v>809</v>
      </c>
    </row>
    <row r="3823" ht="25" customHeight="1" spans="1:14">
      <c r="A3823" s="9" t="s">
        <v>327</v>
      </c>
      <c r="B3823" s="9" t="s">
        <v>326</v>
      </c>
      <c r="C3823" s="10">
        <v>44372</v>
      </c>
      <c r="D3823" s="15">
        <v>1.0007</v>
      </c>
      <c r="E3823" s="15">
        <v>1.4435</v>
      </c>
      <c r="F3823" s="15">
        <v>1.523</v>
      </c>
      <c r="G3823" s="11">
        <v>0.0006</v>
      </c>
      <c r="H3823" s="9">
        <f>MAX($F$3239:F3823)</f>
        <v>1.523</v>
      </c>
      <c r="I3823" s="11">
        <f t="shared" si="89"/>
        <v>0</v>
      </c>
      <c r="J3823" s="9"/>
      <c r="K3823" s="11"/>
      <c r="L3823" s="9"/>
      <c r="M3823" s="11"/>
      <c r="N3823" s="9" t="s">
        <v>809</v>
      </c>
    </row>
    <row r="3824" ht="25" customHeight="1" spans="1:14">
      <c r="A3824" s="9" t="s">
        <v>327</v>
      </c>
      <c r="B3824" s="9" t="s">
        <v>326</v>
      </c>
      <c r="C3824" s="10">
        <v>44375</v>
      </c>
      <c r="D3824" s="15">
        <v>1.001</v>
      </c>
      <c r="E3824" s="15">
        <v>1.4438</v>
      </c>
      <c r="F3824" s="15">
        <v>1.5234</v>
      </c>
      <c r="G3824" s="11">
        <v>0.0003</v>
      </c>
      <c r="H3824" s="9">
        <f>MAX($F$3239:F3824)</f>
        <v>1.5234</v>
      </c>
      <c r="I3824" s="11">
        <f t="shared" si="89"/>
        <v>0</v>
      </c>
      <c r="J3824" s="9"/>
      <c r="K3824" s="11"/>
      <c r="L3824" s="9"/>
      <c r="M3824" s="11"/>
      <c r="N3824" s="9" t="s">
        <v>809</v>
      </c>
    </row>
    <row r="3825" ht="25" customHeight="1" spans="1:14">
      <c r="A3825" s="9" t="s">
        <v>327</v>
      </c>
      <c r="B3825" s="9" t="s">
        <v>326</v>
      </c>
      <c r="C3825" s="10">
        <v>44376</v>
      </c>
      <c r="D3825" s="15">
        <v>1.0009</v>
      </c>
      <c r="E3825" s="15">
        <v>1.4437</v>
      </c>
      <c r="F3825" s="15">
        <v>1.5233</v>
      </c>
      <c r="G3825" s="11">
        <v>-0.0001</v>
      </c>
      <c r="H3825" s="9">
        <f>MAX($F$3239:F3825)</f>
        <v>1.5234</v>
      </c>
      <c r="I3825" s="11">
        <f t="shared" si="89"/>
        <v>6.56426414599176e-5</v>
      </c>
      <c r="J3825" s="9"/>
      <c r="K3825" s="11"/>
      <c r="L3825" s="9"/>
      <c r="M3825" s="11"/>
      <c r="N3825" s="9" t="s">
        <v>809</v>
      </c>
    </row>
    <row r="3826" ht="25" customHeight="1" spans="1:14">
      <c r="A3826" s="9" t="s">
        <v>327</v>
      </c>
      <c r="B3826" s="9" t="s">
        <v>326</v>
      </c>
      <c r="C3826" s="10">
        <v>44377</v>
      </c>
      <c r="D3826" s="15">
        <v>1.0008</v>
      </c>
      <c r="E3826" s="15">
        <v>1.4436</v>
      </c>
      <c r="F3826" s="15">
        <v>1.5231</v>
      </c>
      <c r="G3826" s="11">
        <v>-0.0001</v>
      </c>
      <c r="H3826" s="9">
        <f>MAX($F$3239:F3826)</f>
        <v>1.5234</v>
      </c>
      <c r="I3826" s="11">
        <f t="shared" si="89"/>
        <v>0.000196927924379753</v>
      </c>
      <c r="J3826" s="9"/>
      <c r="K3826" s="11"/>
      <c r="L3826" s="9"/>
      <c r="M3826" s="11"/>
      <c r="N3826" s="9" t="s">
        <v>809</v>
      </c>
    </row>
    <row r="3827" ht="25" customHeight="1" spans="1:14">
      <c r="A3827" s="9" t="s">
        <v>327</v>
      </c>
      <c r="B3827" s="9" t="s">
        <v>326</v>
      </c>
      <c r="C3827" s="10">
        <v>44378</v>
      </c>
      <c r="D3827" s="15">
        <v>1.0014</v>
      </c>
      <c r="E3827" s="15">
        <v>1.4442</v>
      </c>
      <c r="F3827" s="15">
        <v>1.5241</v>
      </c>
      <c r="G3827" s="11">
        <v>0.0006</v>
      </c>
      <c r="H3827" s="9">
        <f>MAX($F$3239:F3827)</f>
        <v>1.5241</v>
      </c>
      <c r="I3827" s="11">
        <f t="shared" si="89"/>
        <v>0</v>
      </c>
      <c r="J3827" s="9"/>
      <c r="K3827" s="11"/>
      <c r="L3827" s="9"/>
      <c r="M3827" s="11"/>
      <c r="N3827" s="9" t="s">
        <v>809</v>
      </c>
    </row>
    <row r="3828" ht="25" customHeight="1" spans="1:14">
      <c r="A3828" s="9" t="s">
        <v>327</v>
      </c>
      <c r="B3828" s="9" t="s">
        <v>326</v>
      </c>
      <c r="C3828" s="10">
        <v>44379</v>
      </c>
      <c r="D3828" s="15">
        <v>1.002</v>
      </c>
      <c r="E3828" s="15">
        <v>1.4448</v>
      </c>
      <c r="F3828" s="15">
        <v>1.525</v>
      </c>
      <c r="G3828" s="11">
        <v>0.0006</v>
      </c>
      <c r="H3828" s="9">
        <f>MAX($F$3239:F3828)</f>
        <v>1.525</v>
      </c>
      <c r="I3828" s="11">
        <f t="shared" si="89"/>
        <v>0</v>
      </c>
      <c r="J3828" s="9"/>
      <c r="K3828" s="11"/>
      <c r="L3828" s="9"/>
      <c r="M3828" s="11"/>
      <c r="N3828" s="9" t="s">
        <v>809</v>
      </c>
    </row>
    <row r="3829" ht="25" customHeight="1" spans="1:14">
      <c r="A3829" s="9" t="s">
        <v>327</v>
      </c>
      <c r="B3829" s="9" t="s">
        <v>326</v>
      </c>
      <c r="C3829" s="10">
        <v>44382</v>
      </c>
      <c r="D3829" s="15">
        <v>1.0018</v>
      </c>
      <c r="E3829" s="15">
        <v>1.4446</v>
      </c>
      <c r="F3829" s="15">
        <v>1.5247</v>
      </c>
      <c r="G3829" s="11">
        <v>-0.0002</v>
      </c>
      <c r="H3829" s="9">
        <f>MAX($F$3239:F3829)</f>
        <v>1.525</v>
      </c>
      <c r="I3829" s="11">
        <f t="shared" si="89"/>
        <v>0.000196721311475412</v>
      </c>
      <c r="J3829" s="9"/>
      <c r="K3829" s="11"/>
      <c r="L3829" s="9"/>
      <c r="M3829" s="11"/>
      <c r="N3829" s="9" t="s">
        <v>809</v>
      </c>
    </row>
    <row r="3830" ht="25" customHeight="1" spans="1:14">
      <c r="A3830" s="9" t="s">
        <v>327</v>
      </c>
      <c r="B3830" s="9" t="s">
        <v>326</v>
      </c>
      <c r="C3830" s="10">
        <v>44383</v>
      </c>
      <c r="D3830" s="15">
        <v>1.0028</v>
      </c>
      <c r="E3830" s="15">
        <v>1.4456</v>
      </c>
      <c r="F3830" s="15">
        <v>1.5262</v>
      </c>
      <c r="G3830" s="11">
        <v>0.001</v>
      </c>
      <c r="H3830" s="9">
        <f>MAX($F$3239:F3830)</f>
        <v>1.5262</v>
      </c>
      <c r="I3830" s="11">
        <f t="shared" si="89"/>
        <v>0</v>
      </c>
      <c r="J3830" s="9"/>
      <c r="K3830" s="11"/>
      <c r="L3830" s="9"/>
      <c r="M3830" s="11"/>
      <c r="N3830" s="9" t="s">
        <v>809</v>
      </c>
    </row>
    <row r="3831" ht="25" customHeight="1" spans="1:14">
      <c r="A3831" s="9" t="s">
        <v>327</v>
      </c>
      <c r="B3831" s="9" t="s">
        <v>326</v>
      </c>
      <c r="C3831" s="10">
        <v>44384</v>
      </c>
      <c r="D3831" s="15">
        <v>1.0024</v>
      </c>
      <c r="E3831" s="15">
        <v>1.4452</v>
      </c>
      <c r="F3831" s="15">
        <v>1.5256</v>
      </c>
      <c r="G3831" s="11">
        <v>-0.0004</v>
      </c>
      <c r="H3831" s="9">
        <f>MAX($F$3239:F3831)</f>
        <v>1.5262</v>
      </c>
      <c r="I3831" s="11">
        <f t="shared" si="89"/>
        <v>0.000393133272179269</v>
      </c>
      <c r="J3831" s="9"/>
      <c r="K3831" s="11"/>
      <c r="L3831" s="9"/>
      <c r="M3831" s="11"/>
      <c r="N3831" s="9" t="s">
        <v>809</v>
      </c>
    </row>
    <row r="3832" ht="25" customHeight="1" spans="1:14">
      <c r="A3832" s="9" t="s">
        <v>327</v>
      </c>
      <c r="B3832" s="9" t="s">
        <v>326</v>
      </c>
      <c r="C3832" s="10">
        <v>44385</v>
      </c>
      <c r="D3832" s="15">
        <v>1.0025</v>
      </c>
      <c r="E3832" s="15">
        <v>1.4453</v>
      </c>
      <c r="F3832" s="15">
        <v>1.5257</v>
      </c>
      <c r="G3832" s="11">
        <v>0.0001</v>
      </c>
      <c r="H3832" s="9">
        <f>MAX($F$3239:F3832)</f>
        <v>1.5262</v>
      </c>
      <c r="I3832" s="11">
        <f t="shared" si="89"/>
        <v>0.000327611060149335</v>
      </c>
      <c r="J3832" s="9"/>
      <c r="K3832" s="11"/>
      <c r="L3832" s="9"/>
      <c r="M3832" s="11"/>
      <c r="N3832" s="9" t="s">
        <v>809</v>
      </c>
    </row>
    <row r="3833" ht="25" customHeight="1" spans="1:14">
      <c r="A3833" s="9" t="s">
        <v>327</v>
      </c>
      <c r="B3833" s="9" t="s">
        <v>326</v>
      </c>
      <c r="C3833" s="10">
        <v>44386</v>
      </c>
      <c r="D3833" s="15">
        <v>1.0027</v>
      </c>
      <c r="E3833" s="15">
        <v>1.4455</v>
      </c>
      <c r="F3833" s="15">
        <v>1.526</v>
      </c>
      <c r="G3833" s="11">
        <v>0.0002</v>
      </c>
      <c r="H3833" s="9">
        <f>MAX($F$3239:F3833)</f>
        <v>1.5262</v>
      </c>
      <c r="I3833" s="11">
        <f t="shared" si="89"/>
        <v>0.000131044424059756</v>
      </c>
      <c r="J3833" s="9"/>
      <c r="K3833" s="11"/>
      <c r="L3833" s="9"/>
      <c r="M3833" s="11"/>
      <c r="N3833" s="9" t="s">
        <v>809</v>
      </c>
    </row>
    <row r="3834" ht="25" customHeight="1" spans="1:14">
      <c r="A3834" s="9" t="s">
        <v>327</v>
      </c>
      <c r="B3834" s="9" t="s">
        <v>326</v>
      </c>
      <c r="C3834" s="10">
        <v>44389</v>
      </c>
      <c r="D3834" s="15">
        <v>1.0036</v>
      </c>
      <c r="E3834" s="15">
        <v>1.4464</v>
      </c>
      <c r="F3834" s="15">
        <v>1.5274</v>
      </c>
      <c r="G3834" s="11">
        <v>0.0009</v>
      </c>
      <c r="H3834" s="9">
        <f>MAX($F$3239:F3834)</f>
        <v>1.5274</v>
      </c>
      <c r="I3834" s="11">
        <f t="shared" si="89"/>
        <v>0</v>
      </c>
      <c r="J3834" s="9"/>
      <c r="K3834" s="11"/>
      <c r="L3834" s="9"/>
      <c r="M3834" s="11"/>
      <c r="N3834" s="9" t="s">
        <v>809</v>
      </c>
    </row>
    <row r="3835" ht="25" customHeight="1" spans="1:14">
      <c r="A3835" s="9" t="s">
        <v>327</v>
      </c>
      <c r="B3835" s="9" t="s">
        <v>326</v>
      </c>
      <c r="C3835" s="10">
        <v>44390</v>
      </c>
      <c r="D3835" s="15">
        <v>1.004</v>
      </c>
      <c r="E3835" s="15">
        <v>1.4468</v>
      </c>
      <c r="F3835" s="15">
        <v>1.528</v>
      </c>
      <c r="G3835" s="11">
        <v>0.0004</v>
      </c>
      <c r="H3835" s="9">
        <f>MAX($F$3239:F3835)</f>
        <v>1.528</v>
      </c>
      <c r="I3835" s="11">
        <f t="shared" si="89"/>
        <v>0</v>
      </c>
      <c r="J3835" s="9"/>
      <c r="K3835" s="11"/>
      <c r="L3835" s="9"/>
      <c r="M3835" s="11"/>
      <c r="N3835" s="9" t="s">
        <v>809</v>
      </c>
    </row>
    <row r="3836" ht="25" customHeight="1" spans="1:14">
      <c r="A3836" s="9" t="s">
        <v>327</v>
      </c>
      <c r="B3836" s="9" t="s">
        <v>326</v>
      </c>
      <c r="C3836" s="10">
        <v>44391</v>
      </c>
      <c r="D3836" s="15">
        <v>1.0047</v>
      </c>
      <c r="E3836" s="15">
        <v>1.4475</v>
      </c>
      <c r="F3836" s="15">
        <v>1.5291</v>
      </c>
      <c r="G3836" s="11">
        <v>0.0007</v>
      </c>
      <c r="H3836" s="9">
        <f>MAX($F$3239:F3836)</f>
        <v>1.5291</v>
      </c>
      <c r="I3836" s="11">
        <f t="shared" si="89"/>
        <v>0</v>
      </c>
      <c r="J3836" s="9"/>
      <c r="K3836" s="11"/>
      <c r="L3836" s="9"/>
      <c r="M3836" s="11"/>
      <c r="N3836" s="9" t="s">
        <v>809</v>
      </c>
    </row>
    <row r="3837" ht="25" customHeight="1" spans="1:14">
      <c r="A3837" s="9" t="s">
        <v>327</v>
      </c>
      <c r="B3837" s="9" t="s">
        <v>326</v>
      </c>
      <c r="C3837" s="10">
        <v>44392</v>
      </c>
      <c r="D3837" s="15">
        <v>1.0057</v>
      </c>
      <c r="E3837" s="15">
        <v>1.4485</v>
      </c>
      <c r="F3837" s="15">
        <v>1.5306</v>
      </c>
      <c r="G3837" s="11">
        <v>0.001</v>
      </c>
      <c r="H3837" s="9">
        <f>MAX($F$3239:F3837)</f>
        <v>1.5306</v>
      </c>
      <c r="I3837" s="11">
        <f t="shared" si="89"/>
        <v>0</v>
      </c>
      <c r="J3837" s="9"/>
      <c r="K3837" s="11"/>
      <c r="L3837" s="9"/>
      <c r="M3837" s="11"/>
      <c r="N3837" s="9" t="s">
        <v>809</v>
      </c>
    </row>
    <row r="3838" ht="25" customHeight="1" spans="1:14">
      <c r="A3838" s="9" t="s">
        <v>327</v>
      </c>
      <c r="B3838" s="9" t="s">
        <v>326</v>
      </c>
      <c r="C3838" s="10">
        <v>44393</v>
      </c>
      <c r="D3838" s="15">
        <v>1.0063</v>
      </c>
      <c r="E3838" s="15">
        <v>1.4491</v>
      </c>
      <c r="F3838" s="15">
        <v>1.5315</v>
      </c>
      <c r="G3838" s="11">
        <v>0.0006</v>
      </c>
      <c r="H3838" s="9">
        <f>MAX($F$3239:F3838)</f>
        <v>1.5315</v>
      </c>
      <c r="I3838" s="11">
        <f t="shared" si="89"/>
        <v>0</v>
      </c>
      <c r="J3838" s="9"/>
      <c r="K3838" s="11"/>
      <c r="L3838" s="9"/>
      <c r="M3838" s="11"/>
      <c r="N3838" s="9" t="s">
        <v>809</v>
      </c>
    </row>
    <row r="3839" ht="25" customHeight="1" spans="1:14">
      <c r="A3839" s="9" t="s">
        <v>327</v>
      </c>
      <c r="B3839" s="9" t="s">
        <v>326</v>
      </c>
      <c r="C3839" s="10">
        <v>44396</v>
      </c>
      <c r="D3839" s="15">
        <v>1.0062</v>
      </c>
      <c r="E3839" s="15">
        <v>1.449</v>
      </c>
      <c r="F3839" s="15">
        <v>1.5314</v>
      </c>
      <c r="G3839" s="11">
        <v>-0.0001</v>
      </c>
      <c r="H3839" s="9">
        <f>MAX($F$3239:F3839)</f>
        <v>1.5315</v>
      </c>
      <c r="I3839" s="11">
        <f t="shared" si="89"/>
        <v>6.52954619654311e-5</v>
      </c>
      <c r="J3839" s="9"/>
      <c r="K3839" s="11"/>
      <c r="L3839" s="9"/>
      <c r="M3839" s="11"/>
      <c r="N3839" s="9" t="s">
        <v>809</v>
      </c>
    </row>
    <row r="3840" ht="25" customHeight="1" spans="1:14">
      <c r="A3840" s="9" t="s">
        <v>327</v>
      </c>
      <c r="B3840" s="9" t="s">
        <v>326</v>
      </c>
      <c r="C3840" s="10">
        <v>44397</v>
      </c>
      <c r="D3840" s="15">
        <v>1.0064</v>
      </c>
      <c r="E3840" s="15">
        <v>1.4492</v>
      </c>
      <c r="F3840" s="15">
        <v>1.5317</v>
      </c>
      <c r="G3840" s="11">
        <v>0.0002</v>
      </c>
      <c r="H3840" s="9">
        <f>MAX($F$3239:F3840)</f>
        <v>1.5317</v>
      </c>
      <c r="I3840" s="11">
        <f t="shared" si="89"/>
        <v>0</v>
      </c>
      <c r="J3840" s="9"/>
      <c r="K3840" s="11"/>
      <c r="L3840" s="9"/>
      <c r="M3840" s="11"/>
      <c r="N3840" s="9" t="s">
        <v>809</v>
      </c>
    </row>
    <row r="3841" ht="25" customHeight="1" spans="1:14">
      <c r="A3841" s="9" t="s">
        <v>327</v>
      </c>
      <c r="B3841" s="9" t="s">
        <v>326</v>
      </c>
      <c r="C3841" s="10">
        <v>44398</v>
      </c>
      <c r="D3841" s="15">
        <v>1.0066</v>
      </c>
      <c r="E3841" s="15">
        <v>1.4494</v>
      </c>
      <c r="F3841" s="15">
        <v>1.532</v>
      </c>
      <c r="G3841" s="11">
        <v>0.0002</v>
      </c>
      <c r="H3841" s="9">
        <f>MAX($F$3239:F3841)</f>
        <v>1.532</v>
      </c>
      <c r="I3841" s="11">
        <f t="shared" si="89"/>
        <v>0</v>
      </c>
      <c r="J3841" s="9"/>
      <c r="K3841" s="11"/>
      <c r="L3841" s="9"/>
      <c r="M3841" s="11"/>
      <c r="N3841" s="9" t="s">
        <v>809</v>
      </c>
    </row>
    <row r="3842" ht="25" customHeight="1" spans="1:14">
      <c r="A3842" s="9" t="s">
        <v>327</v>
      </c>
      <c r="B3842" s="9" t="s">
        <v>326</v>
      </c>
      <c r="C3842" s="10">
        <v>44399</v>
      </c>
      <c r="D3842" s="15">
        <v>1.0063</v>
      </c>
      <c r="E3842" s="15">
        <v>1.4491</v>
      </c>
      <c r="F3842" s="15">
        <v>1.5315</v>
      </c>
      <c r="G3842" s="11">
        <v>-0.0003</v>
      </c>
      <c r="H3842" s="9">
        <f>MAX($F$3239:F3842)</f>
        <v>1.532</v>
      </c>
      <c r="I3842" s="11">
        <f t="shared" ref="I3842:I3905" si="90">1-F3842/H3842</f>
        <v>0.000326370757180117</v>
      </c>
      <c r="J3842" s="9"/>
      <c r="K3842" s="11"/>
      <c r="L3842" s="9"/>
      <c r="M3842" s="11"/>
      <c r="N3842" s="9" t="s">
        <v>809</v>
      </c>
    </row>
    <row r="3843" ht="25" customHeight="1" spans="1:14">
      <c r="A3843" s="9" t="s">
        <v>327</v>
      </c>
      <c r="B3843" s="9" t="s">
        <v>326</v>
      </c>
      <c r="C3843" s="10">
        <v>44400</v>
      </c>
      <c r="D3843" s="15">
        <v>1.0066</v>
      </c>
      <c r="E3843" s="15">
        <v>1.4494</v>
      </c>
      <c r="F3843" s="15">
        <v>1.532</v>
      </c>
      <c r="G3843" s="11">
        <v>0.0003</v>
      </c>
      <c r="H3843" s="9">
        <f>MAX($F$3239:F3843)</f>
        <v>1.532</v>
      </c>
      <c r="I3843" s="11">
        <f t="shared" si="90"/>
        <v>0</v>
      </c>
      <c r="J3843" s="9"/>
      <c r="K3843" s="11"/>
      <c r="L3843" s="9"/>
      <c r="M3843" s="11"/>
      <c r="N3843" s="9" t="s">
        <v>809</v>
      </c>
    </row>
    <row r="3844" ht="25" customHeight="1" spans="1:14">
      <c r="A3844" s="9" t="s">
        <v>327</v>
      </c>
      <c r="B3844" s="9" t="s">
        <v>326</v>
      </c>
      <c r="C3844" s="10">
        <v>44403</v>
      </c>
      <c r="D3844" s="15">
        <v>1.0075</v>
      </c>
      <c r="E3844" s="15">
        <v>1.4503</v>
      </c>
      <c r="F3844" s="15">
        <v>1.5333</v>
      </c>
      <c r="G3844" s="11">
        <v>0.0009</v>
      </c>
      <c r="H3844" s="9">
        <f>MAX($F$3239:F3844)</f>
        <v>1.5333</v>
      </c>
      <c r="I3844" s="11">
        <f t="shared" si="90"/>
        <v>0</v>
      </c>
      <c r="J3844" s="9"/>
      <c r="K3844" s="11"/>
      <c r="L3844" s="9"/>
      <c r="M3844" s="11"/>
      <c r="N3844" s="9" t="s">
        <v>809</v>
      </c>
    </row>
    <row r="3845" ht="25" customHeight="1" spans="1:14">
      <c r="A3845" s="9" t="s">
        <v>327</v>
      </c>
      <c r="B3845" s="9" t="s">
        <v>326</v>
      </c>
      <c r="C3845" s="10">
        <v>44404</v>
      </c>
      <c r="D3845" s="15">
        <v>1.0092</v>
      </c>
      <c r="E3845" s="15">
        <v>1.452</v>
      </c>
      <c r="F3845" s="15">
        <v>1.5359</v>
      </c>
      <c r="G3845" s="11">
        <v>0.0017</v>
      </c>
      <c r="H3845" s="9">
        <f>MAX($F$3239:F3845)</f>
        <v>1.5359</v>
      </c>
      <c r="I3845" s="11">
        <f t="shared" si="90"/>
        <v>0</v>
      </c>
      <c r="J3845" s="9"/>
      <c r="K3845" s="11"/>
      <c r="L3845" s="9"/>
      <c r="M3845" s="11"/>
      <c r="N3845" s="9" t="s">
        <v>809</v>
      </c>
    </row>
    <row r="3846" ht="25" customHeight="1" spans="1:14">
      <c r="A3846" s="9" t="s">
        <v>327</v>
      </c>
      <c r="B3846" s="9" t="s">
        <v>326</v>
      </c>
      <c r="C3846" s="10">
        <v>44405</v>
      </c>
      <c r="D3846" s="15">
        <v>1.0092</v>
      </c>
      <c r="E3846" s="15">
        <v>1.452</v>
      </c>
      <c r="F3846" s="15">
        <v>1.5359</v>
      </c>
      <c r="G3846" s="11">
        <v>0</v>
      </c>
      <c r="H3846" s="9">
        <f>MAX($F$3239:F3846)</f>
        <v>1.5359</v>
      </c>
      <c r="I3846" s="11">
        <f t="shared" si="90"/>
        <v>0</v>
      </c>
      <c r="J3846" s="9"/>
      <c r="K3846" s="11"/>
      <c r="L3846" s="9"/>
      <c r="M3846" s="11"/>
      <c r="N3846" s="9" t="s">
        <v>809</v>
      </c>
    </row>
    <row r="3847" ht="25" customHeight="1" spans="1:14">
      <c r="A3847" s="9" t="s">
        <v>327</v>
      </c>
      <c r="B3847" s="9" t="s">
        <v>326</v>
      </c>
      <c r="C3847" s="10">
        <v>44406</v>
      </c>
      <c r="D3847" s="15">
        <v>1.0095</v>
      </c>
      <c r="E3847" s="15">
        <v>1.4523</v>
      </c>
      <c r="F3847" s="15">
        <v>1.5364</v>
      </c>
      <c r="G3847" s="11">
        <v>0.0003</v>
      </c>
      <c r="H3847" s="9">
        <f>MAX($F$3239:F3847)</f>
        <v>1.5364</v>
      </c>
      <c r="I3847" s="11">
        <f t="shared" si="90"/>
        <v>0</v>
      </c>
      <c r="J3847" s="9"/>
      <c r="K3847" s="11"/>
      <c r="L3847" s="9"/>
      <c r="M3847" s="11"/>
      <c r="N3847" s="9" t="s">
        <v>809</v>
      </c>
    </row>
    <row r="3848" ht="25" customHeight="1" spans="1:14">
      <c r="A3848" s="9" t="s">
        <v>327</v>
      </c>
      <c r="B3848" s="9" t="s">
        <v>326</v>
      </c>
      <c r="C3848" s="10">
        <v>44407</v>
      </c>
      <c r="D3848" s="15">
        <v>1.0095</v>
      </c>
      <c r="E3848" s="15">
        <v>1.4523</v>
      </c>
      <c r="F3848" s="15">
        <v>1.5364</v>
      </c>
      <c r="G3848" s="11">
        <v>0</v>
      </c>
      <c r="H3848" s="9">
        <f>MAX($F$3239:F3848)</f>
        <v>1.5364</v>
      </c>
      <c r="I3848" s="11">
        <f t="shared" si="90"/>
        <v>0</v>
      </c>
      <c r="J3848" s="9"/>
      <c r="K3848" s="11"/>
      <c r="L3848" s="9"/>
      <c r="M3848" s="11"/>
      <c r="N3848" s="9" t="s">
        <v>809</v>
      </c>
    </row>
    <row r="3849" ht="25" customHeight="1" spans="1:14">
      <c r="A3849" s="9" t="s">
        <v>327</v>
      </c>
      <c r="B3849" s="9" t="s">
        <v>326</v>
      </c>
      <c r="C3849" s="10">
        <v>44410</v>
      </c>
      <c r="D3849" s="15">
        <v>1.0101</v>
      </c>
      <c r="E3849" s="15">
        <v>1.4529</v>
      </c>
      <c r="F3849" s="15">
        <v>1.5373</v>
      </c>
      <c r="G3849" s="11">
        <v>0.0006</v>
      </c>
      <c r="H3849" s="9">
        <f>MAX($F$3239:F3849)</f>
        <v>1.5373</v>
      </c>
      <c r="I3849" s="11">
        <f t="shared" si="90"/>
        <v>0</v>
      </c>
      <c r="J3849" s="9"/>
      <c r="K3849" s="11"/>
      <c r="L3849" s="9"/>
      <c r="M3849" s="11"/>
      <c r="N3849" s="9" t="s">
        <v>809</v>
      </c>
    </row>
    <row r="3850" ht="25" customHeight="1" spans="1:14">
      <c r="A3850" s="9" t="s">
        <v>327</v>
      </c>
      <c r="B3850" s="9" t="s">
        <v>326</v>
      </c>
      <c r="C3850" s="10">
        <v>44411</v>
      </c>
      <c r="D3850" s="15">
        <v>1.0097</v>
      </c>
      <c r="E3850" s="15">
        <v>1.4525</v>
      </c>
      <c r="F3850" s="15">
        <v>1.5367</v>
      </c>
      <c r="G3850" s="11">
        <v>-0.0004</v>
      </c>
      <c r="H3850" s="9">
        <f>MAX($F$3239:F3850)</f>
        <v>1.5373</v>
      </c>
      <c r="I3850" s="11">
        <f t="shared" si="90"/>
        <v>0.000390294672477864</v>
      </c>
      <c r="J3850" s="9"/>
      <c r="K3850" s="11"/>
      <c r="L3850" s="9"/>
      <c r="M3850" s="11"/>
      <c r="N3850" s="9" t="s">
        <v>809</v>
      </c>
    </row>
    <row r="3851" ht="25" customHeight="1" spans="1:14">
      <c r="A3851" s="9" t="s">
        <v>327</v>
      </c>
      <c r="B3851" s="9" t="s">
        <v>326</v>
      </c>
      <c r="C3851" s="10">
        <v>44412</v>
      </c>
      <c r="D3851" s="15">
        <v>1.0098</v>
      </c>
      <c r="E3851" s="15">
        <v>1.4526</v>
      </c>
      <c r="F3851" s="15">
        <v>1.5368</v>
      </c>
      <c r="G3851" s="11">
        <v>0.0001</v>
      </c>
      <c r="H3851" s="9">
        <f>MAX($F$3239:F3851)</f>
        <v>1.5373</v>
      </c>
      <c r="I3851" s="11">
        <f t="shared" si="90"/>
        <v>0.000325245560398257</v>
      </c>
      <c r="J3851" s="9"/>
      <c r="K3851" s="11"/>
      <c r="L3851" s="9"/>
      <c r="M3851" s="11"/>
      <c r="N3851" s="9" t="s">
        <v>809</v>
      </c>
    </row>
    <row r="3852" ht="25" customHeight="1" spans="1:14">
      <c r="A3852" s="9" t="s">
        <v>327</v>
      </c>
      <c r="B3852" s="9" t="s">
        <v>326</v>
      </c>
      <c r="C3852" s="10">
        <v>44413</v>
      </c>
      <c r="D3852" s="15">
        <v>1.0108</v>
      </c>
      <c r="E3852" s="15">
        <v>1.4536</v>
      </c>
      <c r="F3852" s="15">
        <v>1.5384</v>
      </c>
      <c r="G3852" s="11">
        <v>0.001</v>
      </c>
      <c r="H3852" s="9">
        <f>MAX($F$3239:F3852)</f>
        <v>1.5384</v>
      </c>
      <c r="I3852" s="11">
        <f t="shared" si="90"/>
        <v>0</v>
      </c>
      <c r="J3852" s="9"/>
      <c r="K3852" s="11"/>
      <c r="L3852" s="9"/>
      <c r="M3852" s="11"/>
      <c r="N3852" s="9" t="s">
        <v>809</v>
      </c>
    </row>
    <row r="3853" ht="25" customHeight="1" spans="1:14">
      <c r="A3853" s="9" t="s">
        <v>327</v>
      </c>
      <c r="B3853" s="9" t="s">
        <v>326</v>
      </c>
      <c r="C3853" s="10">
        <v>44414</v>
      </c>
      <c r="D3853" s="15">
        <v>1.0109</v>
      </c>
      <c r="E3853" s="15">
        <v>1.4537</v>
      </c>
      <c r="F3853" s="15">
        <v>1.5385</v>
      </c>
      <c r="G3853" s="11">
        <v>0.0001</v>
      </c>
      <c r="H3853" s="9">
        <f>MAX($F$3239:F3853)</f>
        <v>1.5385</v>
      </c>
      <c r="I3853" s="11">
        <f t="shared" si="90"/>
        <v>0</v>
      </c>
      <c r="J3853" s="9"/>
      <c r="K3853" s="11"/>
      <c r="L3853" s="9"/>
      <c r="M3853" s="11"/>
      <c r="N3853" s="9" t="s">
        <v>809</v>
      </c>
    </row>
    <row r="3854" ht="25" customHeight="1" spans="1:14">
      <c r="A3854" s="9" t="s">
        <v>327</v>
      </c>
      <c r="B3854" s="9" t="s">
        <v>326</v>
      </c>
      <c r="C3854" s="10">
        <v>44417</v>
      </c>
      <c r="D3854" s="15">
        <v>1.0114</v>
      </c>
      <c r="E3854" s="15">
        <v>1.4542</v>
      </c>
      <c r="F3854" s="15">
        <v>1.5393</v>
      </c>
      <c r="G3854" s="11">
        <v>0.0005</v>
      </c>
      <c r="H3854" s="9">
        <f>MAX($F$3239:F3854)</f>
        <v>1.5393</v>
      </c>
      <c r="I3854" s="11">
        <f t="shared" si="90"/>
        <v>0</v>
      </c>
      <c r="J3854" s="9"/>
      <c r="K3854" s="11"/>
      <c r="L3854" s="9"/>
      <c r="M3854" s="11"/>
      <c r="N3854" s="9" t="s">
        <v>809</v>
      </c>
    </row>
    <row r="3855" ht="25" customHeight="1" spans="1:14">
      <c r="A3855" s="9" t="s">
        <v>327</v>
      </c>
      <c r="B3855" s="9" t="s">
        <v>326</v>
      </c>
      <c r="C3855" s="10">
        <v>44418</v>
      </c>
      <c r="D3855" s="15">
        <v>1.0113</v>
      </c>
      <c r="E3855" s="15">
        <v>1.4541</v>
      </c>
      <c r="F3855" s="15">
        <v>1.5391</v>
      </c>
      <c r="G3855" s="11">
        <v>-0.0001</v>
      </c>
      <c r="H3855" s="9">
        <f>MAX($F$3239:F3855)</f>
        <v>1.5393</v>
      </c>
      <c r="I3855" s="11">
        <f t="shared" si="90"/>
        <v>0.000129929188592226</v>
      </c>
      <c r="J3855" s="9"/>
      <c r="K3855" s="11"/>
      <c r="L3855" s="9"/>
      <c r="M3855" s="11"/>
      <c r="N3855" s="9" t="s">
        <v>809</v>
      </c>
    </row>
    <row r="3856" ht="25" customHeight="1" spans="1:14">
      <c r="A3856" s="9" t="s">
        <v>327</v>
      </c>
      <c r="B3856" s="9" t="s">
        <v>326</v>
      </c>
      <c r="C3856" s="10">
        <v>44419</v>
      </c>
      <c r="D3856" s="15">
        <v>1.0114</v>
      </c>
      <c r="E3856" s="15">
        <v>1.4542</v>
      </c>
      <c r="F3856" s="15">
        <v>1.5393</v>
      </c>
      <c r="G3856" s="11">
        <v>0.0001</v>
      </c>
      <c r="H3856" s="9">
        <f>MAX($F$3239:F3856)</f>
        <v>1.5393</v>
      </c>
      <c r="I3856" s="11">
        <f t="shared" si="90"/>
        <v>0</v>
      </c>
      <c r="J3856" s="9"/>
      <c r="K3856" s="11"/>
      <c r="L3856" s="9"/>
      <c r="M3856" s="11"/>
      <c r="N3856" s="9" t="s">
        <v>809</v>
      </c>
    </row>
    <row r="3857" ht="25" customHeight="1" spans="1:14">
      <c r="A3857" s="9" t="s">
        <v>327</v>
      </c>
      <c r="B3857" s="9" t="s">
        <v>326</v>
      </c>
      <c r="C3857" s="10">
        <v>44420</v>
      </c>
      <c r="D3857" s="15">
        <v>1.0118</v>
      </c>
      <c r="E3857" s="15">
        <v>1.4546</v>
      </c>
      <c r="F3857" s="15">
        <v>1.5399</v>
      </c>
      <c r="G3857" s="11">
        <v>0.0004</v>
      </c>
      <c r="H3857" s="9">
        <f>MAX($F$3239:F3857)</f>
        <v>1.5399</v>
      </c>
      <c r="I3857" s="11">
        <f t="shared" si="90"/>
        <v>0</v>
      </c>
      <c r="J3857" s="9"/>
      <c r="K3857" s="11"/>
      <c r="L3857" s="9"/>
      <c r="M3857" s="11"/>
      <c r="N3857" s="9" t="s">
        <v>809</v>
      </c>
    </row>
    <row r="3858" ht="25" customHeight="1" spans="1:14">
      <c r="A3858" s="9" t="s">
        <v>327</v>
      </c>
      <c r="B3858" s="9" t="s">
        <v>326</v>
      </c>
      <c r="C3858" s="10">
        <v>44421</v>
      </c>
      <c r="D3858" s="15">
        <v>1.0124</v>
      </c>
      <c r="E3858" s="15">
        <v>1.4552</v>
      </c>
      <c r="F3858" s="15">
        <v>1.5408</v>
      </c>
      <c r="G3858" s="11">
        <v>0.0006</v>
      </c>
      <c r="H3858" s="9">
        <f>MAX($F$3239:F3858)</f>
        <v>1.5408</v>
      </c>
      <c r="I3858" s="11">
        <f t="shared" si="90"/>
        <v>0</v>
      </c>
      <c r="J3858" s="9"/>
      <c r="K3858" s="11"/>
      <c r="L3858" s="9"/>
      <c r="M3858" s="11"/>
      <c r="N3858" s="9" t="s">
        <v>809</v>
      </c>
    </row>
    <row r="3859" ht="25" customHeight="1" spans="1:14">
      <c r="A3859" s="9" t="s">
        <v>327</v>
      </c>
      <c r="B3859" s="9" t="s">
        <v>326</v>
      </c>
      <c r="C3859" s="10">
        <v>44424</v>
      </c>
      <c r="D3859" s="15">
        <v>1.0122</v>
      </c>
      <c r="E3859" s="15">
        <v>1.455</v>
      </c>
      <c r="F3859" s="15">
        <v>1.5405</v>
      </c>
      <c r="G3859" s="11">
        <v>-0.0002</v>
      </c>
      <c r="H3859" s="9">
        <f>MAX($F$3239:F3859)</f>
        <v>1.5408</v>
      </c>
      <c r="I3859" s="11">
        <f t="shared" si="90"/>
        <v>0.00019470404984423</v>
      </c>
      <c r="J3859" s="9"/>
      <c r="K3859" s="11"/>
      <c r="L3859" s="9"/>
      <c r="M3859" s="11"/>
      <c r="N3859" s="9" t="s">
        <v>809</v>
      </c>
    </row>
    <row r="3860" ht="25" customHeight="1" spans="1:14">
      <c r="A3860" s="9" t="s">
        <v>327</v>
      </c>
      <c r="B3860" s="9" t="s">
        <v>326</v>
      </c>
      <c r="C3860" s="10">
        <v>44425</v>
      </c>
      <c r="D3860" s="15">
        <v>1.0132</v>
      </c>
      <c r="E3860" s="15">
        <v>1.456</v>
      </c>
      <c r="F3860" s="15">
        <v>1.542</v>
      </c>
      <c r="G3860" s="11">
        <v>0.001</v>
      </c>
      <c r="H3860" s="9">
        <f>MAX($F$3239:F3860)</f>
        <v>1.542</v>
      </c>
      <c r="I3860" s="11">
        <f t="shared" si="90"/>
        <v>0</v>
      </c>
      <c r="J3860" s="9"/>
      <c r="K3860" s="11"/>
      <c r="L3860" s="9"/>
      <c r="M3860" s="11"/>
      <c r="N3860" s="9" t="s">
        <v>809</v>
      </c>
    </row>
    <row r="3861" ht="25" customHeight="1" spans="1:14">
      <c r="A3861" s="9" t="s">
        <v>327</v>
      </c>
      <c r="B3861" s="9" t="s">
        <v>326</v>
      </c>
      <c r="C3861" s="10">
        <v>44426</v>
      </c>
      <c r="D3861" s="15">
        <v>1.0135</v>
      </c>
      <c r="E3861" s="15">
        <v>1.4563</v>
      </c>
      <c r="F3861" s="15">
        <v>1.5425</v>
      </c>
      <c r="G3861" s="11">
        <v>0.0003</v>
      </c>
      <c r="H3861" s="9">
        <f>MAX($F$3239:F3861)</f>
        <v>1.5425</v>
      </c>
      <c r="I3861" s="11">
        <f t="shared" si="90"/>
        <v>0</v>
      </c>
      <c r="J3861" s="9"/>
      <c r="K3861" s="11"/>
      <c r="L3861" s="9"/>
      <c r="M3861" s="11"/>
      <c r="N3861" s="9" t="s">
        <v>809</v>
      </c>
    </row>
    <row r="3862" ht="25" customHeight="1" spans="1:14">
      <c r="A3862" s="9" t="s">
        <v>327</v>
      </c>
      <c r="B3862" s="9" t="s">
        <v>326</v>
      </c>
      <c r="C3862" s="10">
        <v>44427</v>
      </c>
      <c r="D3862" s="15">
        <v>1.0144</v>
      </c>
      <c r="E3862" s="15">
        <v>1.4572</v>
      </c>
      <c r="F3862" s="15">
        <v>1.5438</v>
      </c>
      <c r="G3862" s="11">
        <v>0.0009</v>
      </c>
      <c r="H3862" s="9">
        <f>MAX($F$3239:F3862)</f>
        <v>1.5438</v>
      </c>
      <c r="I3862" s="11">
        <f t="shared" si="90"/>
        <v>0</v>
      </c>
      <c r="J3862" s="9"/>
      <c r="K3862" s="11"/>
      <c r="L3862" s="9"/>
      <c r="M3862" s="11"/>
      <c r="N3862" s="9" t="s">
        <v>809</v>
      </c>
    </row>
    <row r="3863" ht="25" customHeight="1" spans="1:14">
      <c r="A3863" s="9" t="s">
        <v>327</v>
      </c>
      <c r="B3863" s="9" t="s">
        <v>326</v>
      </c>
      <c r="C3863" s="10">
        <v>44428</v>
      </c>
      <c r="D3863" s="15">
        <v>1.0146</v>
      </c>
      <c r="E3863" s="15">
        <v>1.4574</v>
      </c>
      <c r="F3863" s="15">
        <v>1.5441</v>
      </c>
      <c r="G3863" s="11">
        <v>0.0002</v>
      </c>
      <c r="H3863" s="9">
        <f>MAX($F$3239:F3863)</f>
        <v>1.5441</v>
      </c>
      <c r="I3863" s="11">
        <f t="shared" si="90"/>
        <v>0</v>
      </c>
      <c r="J3863" s="9"/>
      <c r="K3863" s="11"/>
      <c r="L3863" s="9"/>
      <c r="M3863" s="11"/>
      <c r="N3863" s="9" t="s">
        <v>809</v>
      </c>
    </row>
    <row r="3864" ht="25" customHeight="1" spans="1:14">
      <c r="A3864" s="9" t="s">
        <v>327</v>
      </c>
      <c r="B3864" s="9" t="s">
        <v>326</v>
      </c>
      <c r="C3864" s="10">
        <v>44431</v>
      </c>
      <c r="D3864" s="15">
        <v>1.0145</v>
      </c>
      <c r="E3864" s="15">
        <v>1.4573</v>
      </c>
      <c r="F3864" s="15">
        <v>1.544</v>
      </c>
      <c r="G3864" s="11">
        <v>-0.0001</v>
      </c>
      <c r="H3864" s="9">
        <f>MAX($F$3239:F3864)</f>
        <v>1.5441</v>
      </c>
      <c r="I3864" s="11">
        <f t="shared" si="90"/>
        <v>6.4762644906402e-5</v>
      </c>
      <c r="J3864" s="9"/>
      <c r="K3864" s="11"/>
      <c r="L3864" s="9"/>
      <c r="M3864" s="11"/>
      <c r="N3864" s="9" t="s">
        <v>809</v>
      </c>
    </row>
    <row r="3865" ht="25" customHeight="1" spans="1:14">
      <c r="A3865" s="9" t="s">
        <v>327</v>
      </c>
      <c r="B3865" s="9" t="s">
        <v>326</v>
      </c>
      <c r="C3865" s="10">
        <v>44432</v>
      </c>
      <c r="D3865" s="15">
        <v>1.0147</v>
      </c>
      <c r="E3865" s="15">
        <v>1.4575</v>
      </c>
      <c r="F3865" s="15">
        <v>1.5443</v>
      </c>
      <c r="G3865" s="11">
        <v>0.0002</v>
      </c>
      <c r="H3865" s="9">
        <f>MAX($F$3239:F3865)</f>
        <v>1.5443</v>
      </c>
      <c r="I3865" s="11">
        <f t="shared" si="90"/>
        <v>0</v>
      </c>
      <c r="J3865" s="9"/>
      <c r="K3865" s="11"/>
      <c r="L3865" s="9"/>
      <c r="M3865" s="11"/>
      <c r="N3865" s="9" t="s">
        <v>809</v>
      </c>
    </row>
    <row r="3866" ht="25" customHeight="1" spans="1:14">
      <c r="A3866" s="9" t="s">
        <v>327</v>
      </c>
      <c r="B3866" s="9" t="s">
        <v>326</v>
      </c>
      <c r="C3866" s="10">
        <v>44433</v>
      </c>
      <c r="D3866" s="15">
        <v>1.0155</v>
      </c>
      <c r="E3866" s="15">
        <v>1.4583</v>
      </c>
      <c r="F3866" s="15">
        <v>1.5455</v>
      </c>
      <c r="G3866" s="11">
        <v>0.0008</v>
      </c>
      <c r="H3866" s="9">
        <f>MAX($F$3239:F3866)</f>
        <v>1.5455</v>
      </c>
      <c r="I3866" s="11">
        <f t="shared" si="90"/>
        <v>0</v>
      </c>
      <c r="J3866" s="9"/>
      <c r="K3866" s="11"/>
      <c r="L3866" s="9"/>
      <c r="M3866" s="11"/>
      <c r="N3866" s="9" t="s">
        <v>809</v>
      </c>
    </row>
    <row r="3867" ht="25" customHeight="1" spans="1:14">
      <c r="A3867" s="9" t="s">
        <v>327</v>
      </c>
      <c r="B3867" s="9" t="s">
        <v>326</v>
      </c>
      <c r="C3867" s="10">
        <v>44434</v>
      </c>
      <c r="D3867" s="15">
        <v>1.0159</v>
      </c>
      <c r="E3867" s="15">
        <v>1.4587</v>
      </c>
      <c r="F3867" s="15">
        <v>1.5461</v>
      </c>
      <c r="G3867" s="11">
        <v>0.0004</v>
      </c>
      <c r="H3867" s="9">
        <f>MAX($F$3239:F3867)</f>
        <v>1.5461</v>
      </c>
      <c r="I3867" s="11">
        <f t="shared" si="90"/>
        <v>0</v>
      </c>
      <c r="J3867" s="9"/>
      <c r="K3867" s="11"/>
      <c r="L3867" s="9"/>
      <c r="M3867" s="11"/>
      <c r="N3867" s="9" t="s">
        <v>809</v>
      </c>
    </row>
    <row r="3868" ht="25" customHeight="1" spans="1:14">
      <c r="A3868" s="9" t="s">
        <v>327</v>
      </c>
      <c r="B3868" s="9" t="s">
        <v>326</v>
      </c>
      <c r="C3868" s="10">
        <v>44435</v>
      </c>
      <c r="D3868" s="15">
        <v>1.0162</v>
      </c>
      <c r="E3868" s="15">
        <v>1.459</v>
      </c>
      <c r="F3868" s="15">
        <v>1.5466</v>
      </c>
      <c r="G3868" s="11">
        <v>0.0003</v>
      </c>
      <c r="H3868" s="9">
        <f>MAX($F$3239:F3868)</f>
        <v>1.5466</v>
      </c>
      <c r="I3868" s="11">
        <f t="shared" si="90"/>
        <v>0</v>
      </c>
      <c r="J3868" s="9"/>
      <c r="K3868" s="11"/>
      <c r="L3868" s="9"/>
      <c r="M3868" s="11"/>
      <c r="N3868" s="9" t="s">
        <v>809</v>
      </c>
    </row>
    <row r="3869" ht="25" customHeight="1" spans="1:14">
      <c r="A3869" s="9" t="s">
        <v>327</v>
      </c>
      <c r="B3869" s="9" t="s">
        <v>326</v>
      </c>
      <c r="C3869" s="10">
        <v>44438</v>
      </c>
      <c r="D3869" s="15">
        <v>1.0165</v>
      </c>
      <c r="E3869" s="15">
        <v>1.4593</v>
      </c>
      <c r="F3869" s="15">
        <v>1.547</v>
      </c>
      <c r="G3869" s="11">
        <v>0.0003</v>
      </c>
      <c r="H3869" s="9">
        <f>MAX($F$3239:F3869)</f>
        <v>1.547</v>
      </c>
      <c r="I3869" s="11">
        <f t="shared" si="90"/>
        <v>0</v>
      </c>
      <c r="J3869" s="9"/>
      <c r="K3869" s="11"/>
      <c r="L3869" s="9"/>
      <c r="M3869" s="11"/>
      <c r="N3869" s="9" t="s">
        <v>809</v>
      </c>
    </row>
    <row r="3870" ht="25" customHeight="1" spans="1:14">
      <c r="A3870" s="9" t="s">
        <v>327</v>
      </c>
      <c r="B3870" s="9" t="s">
        <v>326</v>
      </c>
      <c r="C3870" s="10">
        <v>44439</v>
      </c>
      <c r="D3870" s="15">
        <v>1.0176</v>
      </c>
      <c r="E3870" s="15">
        <v>1.4604</v>
      </c>
      <c r="F3870" s="15">
        <v>1.5487</v>
      </c>
      <c r="G3870" s="11">
        <v>0.0011</v>
      </c>
      <c r="H3870" s="9">
        <f>MAX($F$3239:F3870)</f>
        <v>1.5487</v>
      </c>
      <c r="I3870" s="11">
        <f t="shared" si="90"/>
        <v>0</v>
      </c>
      <c r="J3870" s="9"/>
      <c r="K3870" s="11"/>
      <c r="L3870" s="9"/>
      <c r="M3870" s="11"/>
      <c r="N3870" s="9" t="s">
        <v>809</v>
      </c>
    </row>
    <row r="3871" ht="25" customHeight="1" spans="1:14">
      <c r="A3871" s="9" t="s">
        <v>327</v>
      </c>
      <c r="B3871" s="9" t="s">
        <v>326</v>
      </c>
      <c r="C3871" s="10">
        <v>44440</v>
      </c>
      <c r="D3871" s="15">
        <v>1.0176</v>
      </c>
      <c r="E3871" s="15">
        <v>1.4604</v>
      </c>
      <c r="F3871" s="15">
        <v>1.5487</v>
      </c>
      <c r="G3871" s="11">
        <v>0</v>
      </c>
      <c r="H3871" s="9">
        <f>MAX($F$3239:F3871)</f>
        <v>1.5487</v>
      </c>
      <c r="I3871" s="11">
        <f t="shared" si="90"/>
        <v>0</v>
      </c>
      <c r="J3871" s="9"/>
      <c r="K3871" s="11"/>
      <c r="L3871" s="9"/>
      <c r="M3871" s="11"/>
      <c r="N3871" s="9" t="s">
        <v>809</v>
      </c>
    </row>
    <row r="3872" ht="25" customHeight="1" spans="1:14">
      <c r="A3872" s="9" t="s">
        <v>327</v>
      </c>
      <c r="B3872" s="9" t="s">
        <v>326</v>
      </c>
      <c r="C3872" s="10">
        <v>44441</v>
      </c>
      <c r="D3872" s="15">
        <v>1.018</v>
      </c>
      <c r="E3872" s="15">
        <v>1.4608</v>
      </c>
      <c r="F3872" s="15">
        <v>1.5493</v>
      </c>
      <c r="G3872" s="11">
        <v>0.0004</v>
      </c>
      <c r="H3872" s="9">
        <f>MAX($F$3239:F3872)</f>
        <v>1.5493</v>
      </c>
      <c r="I3872" s="11">
        <f t="shared" si="90"/>
        <v>0</v>
      </c>
      <c r="J3872" s="9"/>
      <c r="K3872" s="11"/>
      <c r="L3872" s="9"/>
      <c r="M3872" s="11"/>
      <c r="N3872" s="9" t="s">
        <v>809</v>
      </c>
    </row>
    <row r="3873" ht="25" customHeight="1" spans="1:14">
      <c r="A3873" s="9" t="s">
        <v>327</v>
      </c>
      <c r="B3873" s="9" t="s">
        <v>326</v>
      </c>
      <c r="C3873" s="10">
        <v>44442</v>
      </c>
      <c r="D3873" s="15">
        <v>1.0183</v>
      </c>
      <c r="E3873" s="15">
        <v>1.4611</v>
      </c>
      <c r="F3873" s="15">
        <v>1.5498</v>
      </c>
      <c r="G3873" s="11">
        <v>0.0003</v>
      </c>
      <c r="H3873" s="9">
        <f>MAX($F$3239:F3873)</f>
        <v>1.5498</v>
      </c>
      <c r="I3873" s="11">
        <f t="shared" si="90"/>
        <v>0</v>
      </c>
      <c r="J3873" s="9"/>
      <c r="K3873" s="11"/>
      <c r="L3873" s="9"/>
      <c r="M3873" s="11"/>
      <c r="N3873" s="9" t="s">
        <v>809</v>
      </c>
    </row>
    <row r="3874" ht="25" customHeight="1" spans="1:14">
      <c r="A3874" s="9" t="s">
        <v>327</v>
      </c>
      <c r="B3874" s="9" t="s">
        <v>326</v>
      </c>
      <c r="C3874" s="10">
        <v>44445</v>
      </c>
      <c r="D3874" s="15">
        <v>1.0197</v>
      </c>
      <c r="E3874" s="15">
        <v>1.4625</v>
      </c>
      <c r="F3874" s="15">
        <v>1.5519</v>
      </c>
      <c r="G3874" s="11">
        <v>0.0014</v>
      </c>
      <c r="H3874" s="9">
        <f>MAX($F$3239:F3874)</f>
        <v>1.5519</v>
      </c>
      <c r="I3874" s="11">
        <f t="shared" si="90"/>
        <v>0</v>
      </c>
      <c r="J3874" s="9"/>
      <c r="K3874" s="11"/>
      <c r="L3874" s="9"/>
      <c r="M3874" s="11"/>
      <c r="N3874" s="9" t="s">
        <v>809</v>
      </c>
    </row>
    <row r="3875" ht="25" customHeight="1" spans="1:14">
      <c r="A3875" s="9" t="s">
        <v>327</v>
      </c>
      <c r="B3875" s="9" t="s">
        <v>326</v>
      </c>
      <c r="C3875" s="10">
        <v>44446</v>
      </c>
      <c r="D3875" s="15">
        <v>1.0193</v>
      </c>
      <c r="E3875" s="15">
        <v>1.4621</v>
      </c>
      <c r="F3875" s="15">
        <v>1.5513</v>
      </c>
      <c r="G3875" s="11">
        <v>-0.0004</v>
      </c>
      <c r="H3875" s="9">
        <f>MAX($F$3239:F3875)</f>
        <v>1.5519</v>
      </c>
      <c r="I3875" s="11">
        <f t="shared" si="90"/>
        <v>0.00038662284941049</v>
      </c>
      <c r="J3875" s="9"/>
      <c r="K3875" s="11"/>
      <c r="L3875" s="9"/>
      <c r="M3875" s="11"/>
      <c r="N3875" s="9" t="s">
        <v>809</v>
      </c>
    </row>
    <row r="3876" ht="25" customHeight="1" spans="1:14">
      <c r="A3876" s="9" t="s">
        <v>327</v>
      </c>
      <c r="B3876" s="9" t="s">
        <v>326</v>
      </c>
      <c r="C3876" s="10">
        <v>44447</v>
      </c>
      <c r="D3876" s="15">
        <v>1.0194</v>
      </c>
      <c r="E3876" s="15">
        <v>1.4622</v>
      </c>
      <c r="F3876" s="15">
        <v>1.5514</v>
      </c>
      <c r="G3876" s="11">
        <v>0.0001</v>
      </c>
      <c r="H3876" s="9">
        <f>MAX($F$3239:F3876)</f>
        <v>1.5519</v>
      </c>
      <c r="I3876" s="11">
        <f t="shared" si="90"/>
        <v>0.000322185707842149</v>
      </c>
      <c r="J3876" s="9"/>
      <c r="K3876" s="11"/>
      <c r="L3876" s="9"/>
      <c r="M3876" s="11"/>
      <c r="N3876" s="9" t="s">
        <v>809</v>
      </c>
    </row>
    <row r="3877" ht="25" customHeight="1" spans="1:14">
      <c r="A3877" s="9" t="s">
        <v>327</v>
      </c>
      <c r="B3877" s="9" t="s">
        <v>326</v>
      </c>
      <c r="C3877" s="10">
        <v>44448</v>
      </c>
      <c r="D3877" s="15">
        <v>1.0201</v>
      </c>
      <c r="E3877" s="15">
        <v>1.4629</v>
      </c>
      <c r="F3877" s="15">
        <v>1.5525</v>
      </c>
      <c r="G3877" s="11">
        <v>0.0007</v>
      </c>
      <c r="H3877" s="9">
        <f>MAX($F$3239:F3877)</f>
        <v>1.5525</v>
      </c>
      <c r="I3877" s="11">
        <f t="shared" si="90"/>
        <v>0</v>
      </c>
      <c r="J3877" s="9"/>
      <c r="K3877" s="11"/>
      <c r="L3877" s="9"/>
      <c r="M3877" s="11"/>
      <c r="N3877" s="9" t="s">
        <v>809</v>
      </c>
    </row>
    <row r="3878" ht="25" customHeight="1" spans="1:14">
      <c r="A3878" s="9" t="s">
        <v>327</v>
      </c>
      <c r="B3878" s="9" t="s">
        <v>326</v>
      </c>
      <c r="C3878" s="10">
        <v>44449</v>
      </c>
      <c r="D3878" s="15">
        <v>1.0206</v>
      </c>
      <c r="E3878" s="15">
        <v>1.4634</v>
      </c>
      <c r="F3878" s="15">
        <v>1.5533</v>
      </c>
      <c r="G3878" s="11">
        <v>0.0005</v>
      </c>
      <c r="H3878" s="9">
        <f>MAX($F$3239:F3878)</f>
        <v>1.5533</v>
      </c>
      <c r="I3878" s="11">
        <f t="shared" si="90"/>
        <v>0</v>
      </c>
      <c r="J3878" s="9"/>
      <c r="K3878" s="11"/>
      <c r="L3878" s="9"/>
      <c r="M3878" s="11"/>
      <c r="N3878" s="9" t="s">
        <v>809</v>
      </c>
    </row>
    <row r="3879" ht="25" customHeight="1" spans="1:14">
      <c r="A3879" s="9" t="s">
        <v>327</v>
      </c>
      <c r="B3879" s="9" t="s">
        <v>326</v>
      </c>
      <c r="C3879" s="10">
        <v>44452</v>
      </c>
      <c r="D3879" s="15">
        <v>1.0208</v>
      </c>
      <c r="E3879" s="15">
        <v>1.4636</v>
      </c>
      <c r="F3879" s="15">
        <v>1.5536</v>
      </c>
      <c r="G3879" s="11">
        <v>0.0002</v>
      </c>
      <c r="H3879" s="9">
        <f>MAX($F$3239:F3879)</f>
        <v>1.5536</v>
      </c>
      <c r="I3879" s="11">
        <f t="shared" si="90"/>
        <v>0</v>
      </c>
      <c r="J3879" s="9"/>
      <c r="K3879" s="11"/>
      <c r="L3879" s="9"/>
      <c r="M3879" s="11"/>
      <c r="N3879" s="9" t="s">
        <v>809</v>
      </c>
    </row>
    <row r="3880" ht="25" customHeight="1" spans="1:14">
      <c r="A3880" s="9" t="s">
        <v>327</v>
      </c>
      <c r="B3880" s="9" t="s">
        <v>326</v>
      </c>
      <c r="C3880" s="10">
        <v>44453</v>
      </c>
      <c r="D3880" s="15">
        <v>1.022</v>
      </c>
      <c r="E3880" s="15">
        <v>1.4648</v>
      </c>
      <c r="F3880" s="15">
        <v>1.5554</v>
      </c>
      <c r="G3880" s="11">
        <v>0.0012</v>
      </c>
      <c r="H3880" s="9">
        <f>MAX($F$3239:F3880)</f>
        <v>1.5554</v>
      </c>
      <c r="I3880" s="11">
        <f t="shared" si="90"/>
        <v>0</v>
      </c>
      <c r="J3880" s="9"/>
      <c r="K3880" s="11"/>
      <c r="L3880" s="9"/>
      <c r="M3880" s="11"/>
      <c r="N3880" s="9" t="s">
        <v>809</v>
      </c>
    </row>
    <row r="3881" ht="25" customHeight="1" spans="1:14">
      <c r="A3881" s="9" t="s">
        <v>327</v>
      </c>
      <c r="B3881" s="9" t="s">
        <v>326</v>
      </c>
      <c r="C3881" s="10">
        <v>44454</v>
      </c>
      <c r="D3881" s="15">
        <v>1.0228</v>
      </c>
      <c r="E3881" s="15">
        <v>1.4656</v>
      </c>
      <c r="F3881" s="15">
        <v>1.5566</v>
      </c>
      <c r="G3881" s="11">
        <v>0.0008</v>
      </c>
      <c r="H3881" s="9">
        <f>MAX($F$3239:F3881)</f>
        <v>1.5566</v>
      </c>
      <c r="I3881" s="11">
        <f t="shared" si="90"/>
        <v>0</v>
      </c>
      <c r="J3881" s="9"/>
      <c r="K3881" s="11"/>
      <c r="L3881" s="9"/>
      <c r="M3881" s="11"/>
      <c r="N3881" s="9" t="s">
        <v>809</v>
      </c>
    </row>
    <row r="3882" ht="25" customHeight="1" spans="1:14">
      <c r="A3882" s="9" t="s">
        <v>327</v>
      </c>
      <c r="B3882" s="9" t="s">
        <v>326</v>
      </c>
      <c r="C3882" s="10">
        <v>44455</v>
      </c>
      <c r="D3882" s="15">
        <v>1.0232</v>
      </c>
      <c r="E3882" s="15">
        <v>1.466</v>
      </c>
      <c r="F3882" s="15">
        <v>1.5572</v>
      </c>
      <c r="G3882" s="11">
        <v>0.0004</v>
      </c>
      <c r="H3882" s="9">
        <f>MAX($F$3239:F3882)</f>
        <v>1.5572</v>
      </c>
      <c r="I3882" s="11">
        <f t="shared" si="90"/>
        <v>0</v>
      </c>
      <c r="J3882" s="9"/>
      <c r="K3882" s="11"/>
      <c r="L3882" s="9"/>
      <c r="M3882" s="11"/>
      <c r="N3882" s="9" t="s">
        <v>809</v>
      </c>
    </row>
    <row r="3883" ht="25" customHeight="1" spans="1:14">
      <c r="A3883" s="9" t="s">
        <v>327</v>
      </c>
      <c r="B3883" s="9" t="s">
        <v>326</v>
      </c>
      <c r="C3883" s="10">
        <v>44456</v>
      </c>
      <c r="D3883" s="15">
        <v>1.0234</v>
      </c>
      <c r="E3883" s="15">
        <v>1.4662</v>
      </c>
      <c r="F3883" s="15">
        <v>1.5575</v>
      </c>
      <c r="G3883" s="11">
        <v>0.0002</v>
      </c>
      <c r="H3883" s="9">
        <f>MAX($F$3239:F3883)</f>
        <v>1.5575</v>
      </c>
      <c r="I3883" s="11">
        <f t="shared" si="90"/>
        <v>0</v>
      </c>
      <c r="J3883" s="9"/>
      <c r="K3883" s="11"/>
      <c r="L3883" s="9"/>
      <c r="M3883" s="11"/>
      <c r="N3883" s="9" t="s">
        <v>809</v>
      </c>
    </row>
    <row r="3884" ht="25" customHeight="1" spans="1:14">
      <c r="A3884" s="9" t="s">
        <v>327</v>
      </c>
      <c r="B3884" s="9" t="s">
        <v>326</v>
      </c>
      <c r="C3884" s="10">
        <v>44461</v>
      </c>
      <c r="D3884" s="15">
        <v>1.0239</v>
      </c>
      <c r="E3884" s="15">
        <v>1.4667</v>
      </c>
      <c r="F3884" s="15">
        <v>1.5583</v>
      </c>
      <c r="G3884" s="11">
        <v>0.0005</v>
      </c>
      <c r="H3884" s="9">
        <f>MAX($F$3239:F3884)</f>
        <v>1.5583</v>
      </c>
      <c r="I3884" s="11">
        <f t="shared" si="90"/>
        <v>0</v>
      </c>
      <c r="J3884" s="9"/>
      <c r="K3884" s="11"/>
      <c r="L3884" s="9"/>
      <c r="M3884" s="11"/>
      <c r="N3884" s="9" t="s">
        <v>809</v>
      </c>
    </row>
    <row r="3885" ht="25" customHeight="1" spans="1:14">
      <c r="A3885" s="9" t="s">
        <v>327</v>
      </c>
      <c r="B3885" s="9" t="s">
        <v>326</v>
      </c>
      <c r="C3885" s="10">
        <v>44462</v>
      </c>
      <c r="D3885" s="15">
        <v>1.024</v>
      </c>
      <c r="E3885" s="15">
        <v>1.4668</v>
      </c>
      <c r="F3885" s="15">
        <v>1.5584</v>
      </c>
      <c r="G3885" s="11">
        <v>0.0001</v>
      </c>
      <c r="H3885" s="9">
        <f>MAX($F$3239:F3885)</f>
        <v>1.5584</v>
      </c>
      <c r="I3885" s="11">
        <f t="shared" si="90"/>
        <v>0</v>
      </c>
      <c r="J3885" s="9"/>
      <c r="K3885" s="11"/>
      <c r="L3885" s="9"/>
      <c r="M3885" s="11"/>
      <c r="N3885" s="9" t="s">
        <v>809</v>
      </c>
    </row>
    <row r="3886" ht="25" customHeight="1" spans="1:14">
      <c r="A3886" s="9" t="s">
        <v>327</v>
      </c>
      <c r="B3886" s="9" t="s">
        <v>326</v>
      </c>
      <c r="C3886" s="10">
        <v>44463</v>
      </c>
      <c r="D3886" s="15">
        <v>1.0244</v>
      </c>
      <c r="E3886" s="15">
        <v>1.4672</v>
      </c>
      <c r="F3886" s="15">
        <v>1.5591</v>
      </c>
      <c r="G3886" s="11">
        <v>0.0004</v>
      </c>
      <c r="H3886" s="9">
        <f>MAX($F$3239:F3886)</f>
        <v>1.5591</v>
      </c>
      <c r="I3886" s="11">
        <f t="shared" si="90"/>
        <v>0</v>
      </c>
      <c r="J3886" s="9"/>
      <c r="K3886" s="11"/>
      <c r="L3886" s="9"/>
      <c r="M3886" s="11"/>
      <c r="N3886" s="9" t="s">
        <v>809</v>
      </c>
    </row>
    <row r="3887" ht="25" customHeight="1" spans="1:14">
      <c r="A3887" s="9" t="s">
        <v>327</v>
      </c>
      <c r="B3887" s="9" t="s">
        <v>326</v>
      </c>
      <c r="C3887" s="10">
        <v>44466</v>
      </c>
      <c r="D3887" s="15">
        <v>1.0249</v>
      </c>
      <c r="E3887" s="15">
        <v>1.4677</v>
      </c>
      <c r="F3887" s="15">
        <v>1.5598</v>
      </c>
      <c r="G3887" s="11">
        <v>0.0005</v>
      </c>
      <c r="H3887" s="9">
        <f>MAX($F$3239:F3887)</f>
        <v>1.5598</v>
      </c>
      <c r="I3887" s="11">
        <f t="shared" si="90"/>
        <v>0</v>
      </c>
      <c r="J3887" s="9"/>
      <c r="K3887" s="11"/>
      <c r="L3887" s="9"/>
      <c r="M3887" s="11"/>
      <c r="N3887" s="9" t="s">
        <v>809</v>
      </c>
    </row>
    <row r="3888" ht="25" customHeight="1" spans="1:14">
      <c r="A3888" s="9" t="s">
        <v>327</v>
      </c>
      <c r="B3888" s="9" t="s">
        <v>326</v>
      </c>
      <c r="C3888" s="10">
        <v>44467</v>
      </c>
      <c r="D3888" s="15">
        <v>1.0247</v>
      </c>
      <c r="E3888" s="15">
        <v>1.4675</v>
      </c>
      <c r="F3888" s="15">
        <v>1.5595</v>
      </c>
      <c r="G3888" s="11">
        <v>-0.0002</v>
      </c>
      <c r="H3888" s="9">
        <f>MAX($F$3239:F3888)</f>
        <v>1.5598</v>
      </c>
      <c r="I3888" s="11">
        <f t="shared" si="90"/>
        <v>0.00019233235030125</v>
      </c>
      <c r="J3888" s="9"/>
      <c r="K3888" s="11"/>
      <c r="L3888" s="9"/>
      <c r="M3888" s="11"/>
      <c r="N3888" s="9" t="s">
        <v>809</v>
      </c>
    </row>
    <row r="3889" ht="25" customHeight="1" spans="1:14">
      <c r="A3889" s="9" t="s">
        <v>327</v>
      </c>
      <c r="B3889" s="9" t="s">
        <v>326</v>
      </c>
      <c r="C3889" s="10">
        <v>44468</v>
      </c>
      <c r="D3889" s="15">
        <v>1.0256</v>
      </c>
      <c r="E3889" s="15">
        <v>1.4684</v>
      </c>
      <c r="F3889" s="15">
        <v>1.5609</v>
      </c>
      <c r="G3889" s="11">
        <v>0.0009</v>
      </c>
      <c r="H3889" s="9">
        <f>MAX($F$3239:F3889)</f>
        <v>1.5609</v>
      </c>
      <c r="I3889" s="11">
        <f t="shared" si="90"/>
        <v>0</v>
      </c>
      <c r="J3889" s="9"/>
      <c r="K3889" s="11"/>
      <c r="L3889" s="9"/>
      <c r="M3889" s="11"/>
      <c r="N3889" s="9" t="s">
        <v>809</v>
      </c>
    </row>
    <row r="3890" ht="25" customHeight="1" spans="1:14">
      <c r="A3890" s="9" t="s">
        <v>327</v>
      </c>
      <c r="B3890" s="9" t="s">
        <v>326</v>
      </c>
      <c r="C3890" s="10">
        <v>44469</v>
      </c>
      <c r="D3890" s="15">
        <v>1.0254</v>
      </c>
      <c r="E3890" s="15">
        <v>1.4682</v>
      </c>
      <c r="F3890" s="15">
        <v>1.5606</v>
      </c>
      <c r="G3890" s="11">
        <v>-0.0002</v>
      </c>
      <c r="H3890" s="9">
        <f>MAX($F$3239:F3890)</f>
        <v>1.5609</v>
      </c>
      <c r="I3890" s="11">
        <f t="shared" si="90"/>
        <v>0.000192196809532974</v>
      </c>
      <c r="J3890" s="9"/>
      <c r="K3890" s="11"/>
      <c r="L3890" s="9"/>
      <c r="M3890" s="11"/>
      <c r="N3890" s="9" t="s">
        <v>809</v>
      </c>
    </row>
    <row r="3891" ht="25" customHeight="1" spans="1:14">
      <c r="A3891" s="9" t="s">
        <v>327</v>
      </c>
      <c r="B3891" s="9" t="s">
        <v>326</v>
      </c>
      <c r="C3891" s="10">
        <v>44477</v>
      </c>
      <c r="D3891" s="15">
        <v>1.0258</v>
      </c>
      <c r="E3891" s="15">
        <v>1.4686</v>
      </c>
      <c r="F3891" s="15">
        <v>1.5612</v>
      </c>
      <c r="G3891" s="11">
        <v>0.0004</v>
      </c>
      <c r="H3891" s="9">
        <f>MAX($F$3239:F3891)</f>
        <v>1.5612</v>
      </c>
      <c r="I3891" s="11">
        <f t="shared" si="90"/>
        <v>0</v>
      </c>
      <c r="J3891" s="9"/>
      <c r="K3891" s="11"/>
      <c r="L3891" s="9"/>
      <c r="M3891" s="11"/>
      <c r="N3891" s="9" t="s">
        <v>809</v>
      </c>
    </row>
    <row r="3892" ht="25" customHeight="1" spans="1:14">
      <c r="A3892" s="9" t="s">
        <v>327</v>
      </c>
      <c r="B3892" s="9" t="s">
        <v>326</v>
      </c>
      <c r="C3892" s="10">
        <v>44480</v>
      </c>
      <c r="D3892" s="15">
        <v>1.0259</v>
      </c>
      <c r="E3892" s="15">
        <v>1.4687</v>
      </c>
      <c r="F3892" s="15">
        <v>1.5613</v>
      </c>
      <c r="G3892" s="11">
        <v>0.0001</v>
      </c>
      <c r="H3892" s="9">
        <f>MAX($F$3239:F3892)</f>
        <v>1.5613</v>
      </c>
      <c r="I3892" s="11">
        <f t="shared" si="90"/>
        <v>0</v>
      </c>
      <c r="J3892" s="9"/>
      <c r="K3892" s="11"/>
      <c r="L3892" s="9"/>
      <c r="M3892" s="11"/>
      <c r="N3892" s="9" t="s">
        <v>809</v>
      </c>
    </row>
    <row r="3893" ht="25" customHeight="1" spans="1:14">
      <c r="A3893" s="9" t="s">
        <v>327</v>
      </c>
      <c r="B3893" s="9" t="s">
        <v>326</v>
      </c>
      <c r="C3893" s="10">
        <v>44481</v>
      </c>
      <c r="D3893" s="15">
        <v>1.0269</v>
      </c>
      <c r="E3893" s="15">
        <v>1.4697</v>
      </c>
      <c r="F3893" s="15">
        <v>1.5629</v>
      </c>
      <c r="G3893" s="11">
        <v>0.001</v>
      </c>
      <c r="H3893" s="9">
        <f>MAX($F$3239:F3893)</f>
        <v>1.5629</v>
      </c>
      <c r="I3893" s="11">
        <f t="shared" si="90"/>
        <v>0</v>
      </c>
      <c r="J3893" s="9"/>
      <c r="K3893" s="11"/>
      <c r="L3893" s="9"/>
      <c r="M3893" s="11"/>
      <c r="N3893" s="9" t="s">
        <v>809</v>
      </c>
    </row>
    <row r="3894" ht="25" customHeight="1" spans="1:14">
      <c r="A3894" s="9" t="s">
        <v>327</v>
      </c>
      <c r="B3894" s="9" t="s">
        <v>326</v>
      </c>
      <c r="C3894" s="10">
        <v>44482</v>
      </c>
      <c r="D3894" s="15">
        <v>1.0276</v>
      </c>
      <c r="E3894" s="15">
        <v>1.4704</v>
      </c>
      <c r="F3894" s="15">
        <v>1.5639</v>
      </c>
      <c r="G3894" s="11">
        <v>0.0007</v>
      </c>
      <c r="H3894" s="9">
        <f>MAX($F$3239:F3894)</f>
        <v>1.5639</v>
      </c>
      <c r="I3894" s="11">
        <f t="shared" si="90"/>
        <v>0</v>
      </c>
      <c r="J3894" s="9"/>
      <c r="K3894" s="11"/>
      <c r="L3894" s="9"/>
      <c r="M3894" s="11"/>
      <c r="N3894" s="9" t="s">
        <v>809</v>
      </c>
    </row>
    <row r="3895" ht="25" customHeight="1" spans="1:14">
      <c r="A3895" s="9" t="s">
        <v>327</v>
      </c>
      <c r="B3895" s="9" t="s">
        <v>326</v>
      </c>
      <c r="C3895" s="10">
        <v>44483</v>
      </c>
      <c r="D3895" s="15">
        <v>1.0336</v>
      </c>
      <c r="E3895" s="15">
        <v>1.4764</v>
      </c>
      <c r="F3895" s="15">
        <v>1.5731</v>
      </c>
      <c r="G3895" s="11">
        <v>0.0058</v>
      </c>
      <c r="H3895" s="9">
        <f>MAX($F$3239:F3895)</f>
        <v>1.5731</v>
      </c>
      <c r="I3895" s="11">
        <f t="shared" si="90"/>
        <v>0</v>
      </c>
      <c r="J3895" s="9"/>
      <c r="K3895" s="11"/>
      <c r="L3895" s="9"/>
      <c r="M3895" s="11"/>
      <c r="N3895" s="9" t="s">
        <v>809</v>
      </c>
    </row>
    <row r="3896" ht="25" customHeight="1" spans="1:14">
      <c r="A3896" s="9" t="s">
        <v>327</v>
      </c>
      <c r="B3896" s="9" t="s">
        <v>326</v>
      </c>
      <c r="C3896" s="10">
        <v>44484</v>
      </c>
      <c r="D3896" s="15">
        <v>1.034</v>
      </c>
      <c r="E3896" s="15">
        <v>1.4768</v>
      </c>
      <c r="F3896" s="15">
        <v>1.5737</v>
      </c>
      <c r="G3896" s="11">
        <v>0.0004</v>
      </c>
      <c r="H3896" s="9">
        <f>MAX($F$3239:F3896)</f>
        <v>1.5737</v>
      </c>
      <c r="I3896" s="11">
        <f t="shared" si="90"/>
        <v>0</v>
      </c>
      <c r="J3896" s="9"/>
      <c r="K3896" s="11"/>
      <c r="L3896" s="9"/>
      <c r="M3896" s="11"/>
      <c r="N3896" s="9" t="s">
        <v>809</v>
      </c>
    </row>
    <row r="3897" ht="25" customHeight="1" spans="1:14">
      <c r="A3897" s="9" t="s">
        <v>327</v>
      </c>
      <c r="B3897" s="9" t="s">
        <v>326</v>
      </c>
      <c r="C3897" s="10">
        <v>44487</v>
      </c>
      <c r="D3897" s="15">
        <v>1.0342</v>
      </c>
      <c r="E3897" s="15">
        <v>1.477</v>
      </c>
      <c r="F3897" s="15">
        <v>1.574</v>
      </c>
      <c r="G3897" s="11">
        <v>0.0002</v>
      </c>
      <c r="H3897" s="9">
        <f>MAX($F$3239:F3897)</f>
        <v>1.574</v>
      </c>
      <c r="I3897" s="11">
        <f t="shared" si="90"/>
        <v>0</v>
      </c>
      <c r="J3897" s="9"/>
      <c r="K3897" s="11"/>
      <c r="L3897" s="9"/>
      <c r="M3897" s="11"/>
      <c r="N3897" s="9" t="s">
        <v>809</v>
      </c>
    </row>
    <row r="3898" ht="25" customHeight="1" spans="1:14">
      <c r="A3898" s="9" t="s">
        <v>327</v>
      </c>
      <c r="B3898" s="9" t="s">
        <v>326</v>
      </c>
      <c r="C3898" s="10">
        <v>44488</v>
      </c>
      <c r="D3898" s="15">
        <v>1.034</v>
      </c>
      <c r="E3898" s="15">
        <v>1.4768</v>
      </c>
      <c r="F3898" s="15">
        <v>1.5737</v>
      </c>
      <c r="G3898" s="11">
        <v>-0.0002</v>
      </c>
      <c r="H3898" s="9">
        <f>MAX($F$3239:F3898)</f>
        <v>1.574</v>
      </c>
      <c r="I3898" s="11">
        <f t="shared" si="90"/>
        <v>0.000190597204574261</v>
      </c>
      <c r="J3898" s="9"/>
      <c r="K3898" s="11"/>
      <c r="L3898" s="9"/>
      <c r="M3898" s="11"/>
      <c r="N3898" s="9" t="s">
        <v>809</v>
      </c>
    </row>
    <row r="3899" ht="25" customHeight="1" spans="1:14">
      <c r="A3899" s="9" t="s">
        <v>327</v>
      </c>
      <c r="B3899" s="9" t="s">
        <v>326</v>
      </c>
      <c r="C3899" s="10">
        <v>44489</v>
      </c>
      <c r="D3899" s="15">
        <v>1.0337</v>
      </c>
      <c r="E3899" s="15">
        <v>1.4765</v>
      </c>
      <c r="F3899" s="15">
        <v>1.5732</v>
      </c>
      <c r="G3899" s="11">
        <v>-0.0003</v>
      </c>
      <c r="H3899" s="9">
        <f>MAX($F$3239:F3899)</f>
        <v>1.574</v>
      </c>
      <c r="I3899" s="11">
        <f t="shared" si="90"/>
        <v>0.000508259212198325</v>
      </c>
      <c r="J3899" s="9"/>
      <c r="K3899" s="11"/>
      <c r="L3899" s="9"/>
      <c r="M3899" s="11"/>
      <c r="N3899" s="9" t="s">
        <v>809</v>
      </c>
    </row>
    <row r="3900" ht="25" customHeight="1" spans="1:14">
      <c r="A3900" s="9" t="s">
        <v>327</v>
      </c>
      <c r="B3900" s="9" t="s">
        <v>326</v>
      </c>
      <c r="C3900" s="10">
        <v>44490</v>
      </c>
      <c r="D3900" s="15">
        <v>1.0339</v>
      </c>
      <c r="E3900" s="15">
        <v>1.4767</v>
      </c>
      <c r="F3900" s="15">
        <v>1.5735</v>
      </c>
      <c r="G3900" s="11">
        <v>0.0002</v>
      </c>
      <c r="H3900" s="9">
        <f>MAX($F$3239:F3900)</f>
        <v>1.574</v>
      </c>
      <c r="I3900" s="11">
        <f t="shared" si="90"/>
        <v>0.000317662007623953</v>
      </c>
      <c r="J3900" s="9"/>
      <c r="K3900" s="11"/>
      <c r="L3900" s="9"/>
      <c r="M3900" s="11"/>
      <c r="N3900" s="9" t="s">
        <v>809</v>
      </c>
    </row>
    <row r="3901" ht="25" customHeight="1" spans="1:14">
      <c r="A3901" s="9" t="s">
        <v>327</v>
      </c>
      <c r="B3901" s="9" t="s">
        <v>326</v>
      </c>
      <c r="C3901" s="10">
        <v>44491</v>
      </c>
      <c r="D3901" s="15">
        <v>1.0338</v>
      </c>
      <c r="E3901" s="15">
        <v>1.4766</v>
      </c>
      <c r="F3901" s="15">
        <v>1.5734</v>
      </c>
      <c r="G3901" s="11">
        <v>-0.0001</v>
      </c>
      <c r="H3901" s="9">
        <f>MAX($F$3239:F3901)</f>
        <v>1.574</v>
      </c>
      <c r="I3901" s="11">
        <f t="shared" si="90"/>
        <v>0.000381194409148744</v>
      </c>
      <c r="J3901" s="9"/>
      <c r="K3901" s="11"/>
      <c r="L3901" s="9"/>
      <c r="M3901" s="11"/>
      <c r="N3901" s="9" t="s">
        <v>809</v>
      </c>
    </row>
    <row r="3902" ht="25" customHeight="1" spans="1:14">
      <c r="A3902" s="9" t="s">
        <v>327</v>
      </c>
      <c r="B3902" s="9" t="s">
        <v>326</v>
      </c>
      <c r="C3902" s="10">
        <v>44494</v>
      </c>
      <c r="D3902" s="15">
        <v>1.0338</v>
      </c>
      <c r="E3902" s="15">
        <v>1.4766</v>
      </c>
      <c r="F3902" s="15">
        <v>1.5734</v>
      </c>
      <c r="G3902" s="11">
        <v>0</v>
      </c>
      <c r="H3902" s="9">
        <f>MAX($F$3239:F3902)</f>
        <v>1.574</v>
      </c>
      <c r="I3902" s="11">
        <f t="shared" si="90"/>
        <v>0.000381194409148744</v>
      </c>
      <c r="J3902" s="9"/>
      <c r="K3902" s="11"/>
      <c r="L3902" s="9"/>
      <c r="M3902" s="11"/>
      <c r="N3902" s="9" t="s">
        <v>809</v>
      </c>
    </row>
    <row r="3903" ht="25" customHeight="1" spans="1:14">
      <c r="A3903" s="9" t="s">
        <v>327</v>
      </c>
      <c r="B3903" s="9" t="s">
        <v>326</v>
      </c>
      <c r="C3903" s="10">
        <v>44495</v>
      </c>
      <c r="D3903" s="15">
        <v>1.0339</v>
      </c>
      <c r="E3903" s="15">
        <v>1.4767</v>
      </c>
      <c r="F3903" s="15">
        <v>1.5735</v>
      </c>
      <c r="G3903" s="11">
        <v>0.0001</v>
      </c>
      <c r="H3903" s="9">
        <f>MAX($F$3239:F3903)</f>
        <v>1.574</v>
      </c>
      <c r="I3903" s="11">
        <f t="shared" si="90"/>
        <v>0.000317662007623953</v>
      </c>
      <c r="J3903" s="9"/>
      <c r="K3903" s="11"/>
      <c r="L3903" s="9"/>
      <c r="M3903" s="11"/>
      <c r="N3903" s="9" t="s">
        <v>809</v>
      </c>
    </row>
    <row r="3904" ht="25" customHeight="1" spans="1:14">
      <c r="A3904" s="9" t="s">
        <v>327</v>
      </c>
      <c r="B3904" s="9" t="s">
        <v>326</v>
      </c>
      <c r="C3904" s="10">
        <v>44496</v>
      </c>
      <c r="D3904" s="15">
        <v>1.034</v>
      </c>
      <c r="E3904" s="15">
        <v>1.4768</v>
      </c>
      <c r="F3904" s="15">
        <v>1.5737</v>
      </c>
      <c r="G3904" s="11">
        <v>0.0001</v>
      </c>
      <c r="H3904" s="9">
        <f>MAX($F$3239:F3904)</f>
        <v>1.574</v>
      </c>
      <c r="I3904" s="11">
        <f t="shared" si="90"/>
        <v>0.000190597204574261</v>
      </c>
      <c r="J3904" s="9"/>
      <c r="K3904" s="11"/>
      <c r="L3904" s="9"/>
      <c r="M3904" s="11"/>
      <c r="N3904" s="9" t="s">
        <v>809</v>
      </c>
    </row>
    <row r="3905" ht="25" customHeight="1" spans="1:14">
      <c r="A3905" s="9" t="s">
        <v>327</v>
      </c>
      <c r="B3905" s="9" t="s">
        <v>326</v>
      </c>
      <c r="C3905" s="10">
        <v>44497</v>
      </c>
      <c r="D3905" s="15">
        <v>1.0347</v>
      </c>
      <c r="E3905" s="15">
        <v>1.4775</v>
      </c>
      <c r="F3905" s="15">
        <v>1.5747</v>
      </c>
      <c r="G3905" s="11">
        <v>0.0007</v>
      </c>
      <c r="H3905" s="9">
        <f>MAX($F$3239:F3905)</f>
        <v>1.5747</v>
      </c>
      <c r="I3905" s="11">
        <f t="shared" si="90"/>
        <v>0</v>
      </c>
      <c r="J3905" s="9"/>
      <c r="K3905" s="11"/>
      <c r="L3905" s="9"/>
      <c r="M3905" s="11"/>
      <c r="N3905" s="9" t="s">
        <v>809</v>
      </c>
    </row>
    <row r="3906" ht="25" customHeight="1" spans="1:14">
      <c r="A3906" s="9" t="s">
        <v>327</v>
      </c>
      <c r="B3906" s="9" t="s">
        <v>326</v>
      </c>
      <c r="C3906" s="10">
        <v>44498</v>
      </c>
      <c r="D3906" s="15">
        <v>1.0357</v>
      </c>
      <c r="E3906" s="15">
        <v>1.4785</v>
      </c>
      <c r="F3906" s="15">
        <v>1.5763</v>
      </c>
      <c r="G3906" s="11">
        <v>0.001</v>
      </c>
      <c r="H3906" s="9">
        <f>MAX($F$3239:F3906)</f>
        <v>1.5763</v>
      </c>
      <c r="I3906" s="11">
        <f t="shared" ref="I3906:I3969" si="91">1-F3906/H3906</f>
        <v>0</v>
      </c>
      <c r="J3906" s="9"/>
      <c r="K3906" s="11"/>
      <c r="L3906" s="9"/>
      <c r="M3906" s="11"/>
      <c r="N3906" s="9" t="s">
        <v>809</v>
      </c>
    </row>
    <row r="3907" ht="25" customHeight="1" spans="1:14">
      <c r="A3907" s="9" t="s">
        <v>327</v>
      </c>
      <c r="B3907" s="9" t="s">
        <v>326</v>
      </c>
      <c r="C3907" s="10">
        <v>44501</v>
      </c>
      <c r="D3907" s="15">
        <v>1.036</v>
      </c>
      <c r="E3907" s="15">
        <v>1.4788</v>
      </c>
      <c r="F3907" s="15">
        <v>1.5767</v>
      </c>
      <c r="G3907" s="11">
        <v>0.0003</v>
      </c>
      <c r="H3907" s="9">
        <f>MAX($F$3239:F3907)</f>
        <v>1.5767</v>
      </c>
      <c r="I3907" s="11">
        <f t="shared" si="91"/>
        <v>0</v>
      </c>
      <c r="J3907" s="9"/>
      <c r="K3907" s="11"/>
      <c r="L3907" s="9"/>
      <c r="M3907" s="11"/>
      <c r="N3907" s="9" t="s">
        <v>809</v>
      </c>
    </row>
    <row r="3908" ht="25" customHeight="1" spans="1:14">
      <c r="A3908" s="9" t="s">
        <v>327</v>
      </c>
      <c r="B3908" s="9" t="s">
        <v>326</v>
      </c>
      <c r="C3908" s="10">
        <v>44502</v>
      </c>
      <c r="D3908" s="15">
        <v>1.0364</v>
      </c>
      <c r="E3908" s="15">
        <v>1.4792</v>
      </c>
      <c r="F3908" s="15">
        <v>1.5773</v>
      </c>
      <c r="G3908" s="11">
        <v>0.0004</v>
      </c>
      <c r="H3908" s="9">
        <f>MAX($F$3239:F3908)</f>
        <v>1.5773</v>
      </c>
      <c r="I3908" s="11">
        <f t="shared" si="91"/>
        <v>0</v>
      </c>
      <c r="J3908" s="9"/>
      <c r="K3908" s="11"/>
      <c r="L3908" s="9"/>
      <c r="M3908" s="11"/>
      <c r="N3908" s="9" t="s">
        <v>809</v>
      </c>
    </row>
    <row r="3909" ht="25" customHeight="1" spans="1:14">
      <c r="A3909" s="9" t="s">
        <v>327</v>
      </c>
      <c r="B3909" s="9" t="s">
        <v>326</v>
      </c>
      <c r="C3909" s="10">
        <v>44503</v>
      </c>
      <c r="D3909" s="15">
        <v>1.0363</v>
      </c>
      <c r="E3909" s="15">
        <v>1.4791</v>
      </c>
      <c r="F3909" s="15">
        <v>1.5772</v>
      </c>
      <c r="G3909" s="11">
        <v>-0.0001</v>
      </c>
      <c r="H3909" s="9">
        <f>MAX($F$3239:F3909)</f>
        <v>1.5773</v>
      </c>
      <c r="I3909" s="11">
        <f t="shared" si="91"/>
        <v>6.33994801242377e-5</v>
      </c>
      <c r="J3909" s="9"/>
      <c r="K3909" s="11"/>
      <c r="L3909" s="9"/>
      <c r="M3909" s="11"/>
      <c r="N3909" s="9" t="s">
        <v>809</v>
      </c>
    </row>
    <row r="3910" ht="25" customHeight="1" spans="1:14">
      <c r="A3910" s="9" t="s">
        <v>327</v>
      </c>
      <c r="B3910" s="9" t="s">
        <v>326</v>
      </c>
      <c r="C3910" s="10">
        <v>44504</v>
      </c>
      <c r="D3910" s="15">
        <v>1.0363</v>
      </c>
      <c r="E3910" s="15">
        <v>1.4791</v>
      </c>
      <c r="F3910" s="15">
        <v>1.5772</v>
      </c>
      <c r="G3910" s="11">
        <v>0</v>
      </c>
      <c r="H3910" s="9">
        <f>MAX($F$3239:F3910)</f>
        <v>1.5773</v>
      </c>
      <c r="I3910" s="11">
        <f t="shared" si="91"/>
        <v>6.33994801242377e-5</v>
      </c>
      <c r="J3910" s="9"/>
      <c r="K3910" s="11"/>
      <c r="L3910" s="9"/>
      <c r="M3910" s="11"/>
      <c r="N3910" s="9" t="s">
        <v>809</v>
      </c>
    </row>
    <row r="3911" ht="25" customHeight="1" spans="1:14">
      <c r="A3911" s="9" t="s">
        <v>327</v>
      </c>
      <c r="B3911" s="9" t="s">
        <v>326</v>
      </c>
      <c r="C3911" s="10">
        <v>44505</v>
      </c>
      <c r="D3911" s="15">
        <v>1.0362</v>
      </c>
      <c r="E3911" s="15">
        <v>1.479</v>
      </c>
      <c r="F3911" s="15">
        <v>1.577</v>
      </c>
      <c r="G3911" s="11">
        <v>-0.0001</v>
      </c>
      <c r="H3911" s="9">
        <f>MAX($F$3239:F3911)</f>
        <v>1.5773</v>
      </c>
      <c r="I3911" s="11">
        <f t="shared" si="91"/>
        <v>0.000190198440372713</v>
      </c>
      <c r="J3911" s="9"/>
      <c r="K3911" s="11"/>
      <c r="L3911" s="9"/>
      <c r="M3911" s="11"/>
      <c r="N3911" s="9" t="s">
        <v>809</v>
      </c>
    </row>
    <row r="3912" ht="25" customHeight="1" spans="1:14">
      <c r="A3912" s="9" t="s">
        <v>327</v>
      </c>
      <c r="B3912" s="9" t="s">
        <v>326</v>
      </c>
      <c r="C3912" s="10">
        <v>44508</v>
      </c>
      <c r="D3912" s="15">
        <v>1.0363</v>
      </c>
      <c r="E3912" s="15">
        <v>1.4791</v>
      </c>
      <c r="F3912" s="15">
        <v>1.5772</v>
      </c>
      <c r="G3912" s="11">
        <v>0.0001</v>
      </c>
      <c r="H3912" s="9">
        <f>MAX($F$3239:F3912)</f>
        <v>1.5773</v>
      </c>
      <c r="I3912" s="11">
        <f t="shared" si="91"/>
        <v>6.33994801242377e-5</v>
      </c>
      <c r="J3912" s="9"/>
      <c r="K3912" s="11"/>
      <c r="L3912" s="9"/>
      <c r="M3912" s="11"/>
      <c r="N3912" s="9" t="s">
        <v>809</v>
      </c>
    </row>
    <row r="3913" ht="25" customHeight="1" spans="1:14">
      <c r="A3913" s="9" t="s">
        <v>327</v>
      </c>
      <c r="B3913" s="9" t="s">
        <v>326</v>
      </c>
      <c r="C3913" s="10">
        <v>44509</v>
      </c>
      <c r="D3913" s="15">
        <v>1.036</v>
      </c>
      <c r="E3913" s="15">
        <v>1.4788</v>
      </c>
      <c r="F3913" s="15">
        <v>1.5767</v>
      </c>
      <c r="G3913" s="11">
        <v>-0.0003</v>
      </c>
      <c r="H3913" s="9">
        <f>MAX($F$3239:F3913)</f>
        <v>1.5773</v>
      </c>
      <c r="I3913" s="11">
        <f t="shared" si="91"/>
        <v>0.000380396880745537</v>
      </c>
      <c r="J3913" s="9"/>
      <c r="K3913" s="11"/>
      <c r="L3913" s="9"/>
      <c r="M3913" s="11"/>
      <c r="N3913" s="9" t="s">
        <v>809</v>
      </c>
    </row>
    <row r="3914" ht="25" customHeight="1" spans="1:14">
      <c r="A3914" s="9" t="s">
        <v>327</v>
      </c>
      <c r="B3914" s="9" t="s">
        <v>326</v>
      </c>
      <c r="C3914" s="10">
        <v>44510</v>
      </c>
      <c r="D3914" s="15">
        <v>1.0362</v>
      </c>
      <c r="E3914" s="15">
        <v>1.479</v>
      </c>
      <c r="F3914" s="15">
        <v>1.577</v>
      </c>
      <c r="G3914" s="11">
        <v>0.0002</v>
      </c>
      <c r="H3914" s="9">
        <f>MAX($F$3239:F3914)</f>
        <v>1.5773</v>
      </c>
      <c r="I3914" s="11">
        <f t="shared" si="91"/>
        <v>0.000190198440372713</v>
      </c>
      <c r="J3914" s="9"/>
      <c r="K3914" s="11"/>
      <c r="L3914" s="9"/>
      <c r="M3914" s="11"/>
      <c r="N3914" s="9" t="s">
        <v>809</v>
      </c>
    </row>
    <row r="3915" ht="25" customHeight="1" spans="1:14">
      <c r="A3915" s="9" t="s">
        <v>327</v>
      </c>
      <c r="B3915" s="9" t="s">
        <v>326</v>
      </c>
      <c r="C3915" s="10">
        <v>44511</v>
      </c>
      <c r="D3915" s="15">
        <v>1.0369</v>
      </c>
      <c r="E3915" s="15">
        <v>1.4797</v>
      </c>
      <c r="F3915" s="15">
        <v>1.5781</v>
      </c>
      <c r="G3915" s="11">
        <v>0.0007</v>
      </c>
      <c r="H3915" s="9">
        <f>MAX($F$3239:F3915)</f>
        <v>1.5781</v>
      </c>
      <c r="I3915" s="11">
        <f t="shared" si="91"/>
        <v>0</v>
      </c>
      <c r="J3915" s="9"/>
      <c r="K3915" s="11"/>
      <c r="L3915" s="9"/>
      <c r="M3915" s="11"/>
      <c r="N3915" s="9" t="s">
        <v>809</v>
      </c>
    </row>
    <row r="3916" ht="25" customHeight="1" spans="1:14">
      <c r="A3916" s="9" t="s">
        <v>327</v>
      </c>
      <c r="B3916" s="9" t="s">
        <v>326</v>
      </c>
      <c r="C3916" s="10">
        <v>44512</v>
      </c>
      <c r="D3916" s="15">
        <v>1.0403</v>
      </c>
      <c r="E3916" s="15">
        <v>1.4831</v>
      </c>
      <c r="F3916" s="15">
        <v>1.5833</v>
      </c>
      <c r="G3916" s="11">
        <v>0.0033</v>
      </c>
      <c r="H3916" s="9">
        <f>MAX($F$3239:F3916)</f>
        <v>1.5833</v>
      </c>
      <c r="I3916" s="11">
        <f t="shared" si="91"/>
        <v>0</v>
      </c>
      <c r="J3916" s="9"/>
      <c r="K3916" s="11"/>
      <c r="L3916" s="9"/>
      <c r="M3916" s="11"/>
      <c r="N3916" s="9" t="s">
        <v>809</v>
      </c>
    </row>
    <row r="3917" ht="25" customHeight="1" spans="1:14">
      <c r="A3917" s="9" t="s">
        <v>327</v>
      </c>
      <c r="B3917" s="9" t="s">
        <v>326</v>
      </c>
      <c r="C3917" s="10">
        <v>44515</v>
      </c>
      <c r="D3917" s="15">
        <v>1.0401</v>
      </c>
      <c r="E3917" s="15">
        <v>1.4829</v>
      </c>
      <c r="F3917" s="15">
        <v>1.583</v>
      </c>
      <c r="G3917" s="11">
        <v>-0.0002</v>
      </c>
      <c r="H3917" s="9">
        <f>MAX($F$3239:F3917)</f>
        <v>1.5833</v>
      </c>
      <c r="I3917" s="11">
        <f t="shared" si="91"/>
        <v>0.0001894776732142</v>
      </c>
      <c r="J3917" s="9"/>
      <c r="K3917" s="11"/>
      <c r="L3917" s="9"/>
      <c r="M3917" s="11"/>
      <c r="N3917" s="9" t="s">
        <v>809</v>
      </c>
    </row>
    <row r="3918" ht="25" customHeight="1" spans="1:14">
      <c r="A3918" s="9" t="s">
        <v>327</v>
      </c>
      <c r="B3918" s="9" t="s">
        <v>326</v>
      </c>
      <c r="C3918" s="10">
        <v>44516</v>
      </c>
      <c r="D3918" s="15">
        <v>1.0403</v>
      </c>
      <c r="E3918" s="15">
        <v>1.4831</v>
      </c>
      <c r="F3918" s="15">
        <v>1.5833</v>
      </c>
      <c r="G3918" s="11">
        <v>0.0002</v>
      </c>
      <c r="H3918" s="9">
        <f>MAX($F$3239:F3918)</f>
        <v>1.5833</v>
      </c>
      <c r="I3918" s="11">
        <f t="shared" si="91"/>
        <v>0</v>
      </c>
      <c r="J3918" s="9"/>
      <c r="K3918" s="11"/>
      <c r="L3918" s="9"/>
      <c r="M3918" s="11"/>
      <c r="N3918" s="9" t="s">
        <v>809</v>
      </c>
    </row>
    <row r="3919" ht="25" customHeight="1" spans="1:14">
      <c r="A3919" s="9" t="s">
        <v>327</v>
      </c>
      <c r="B3919" s="9" t="s">
        <v>326</v>
      </c>
      <c r="C3919" s="10">
        <v>44517</v>
      </c>
      <c r="D3919" s="15">
        <v>1.0403</v>
      </c>
      <c r="E3919" s="15">
        <v>1.4831</v>
      </c>
      <c r="F3919" s="15">
        <v>1.5833</v>
      </c>
      <c r="G3919" s="11">
        <v>0</v>
      </c>
      <c r="H3919" s="9">
        <f>MAX($F$3239:F3919)</f>
        <v>1.5833</v>
      </c>
      <c r="I3919" s="11">
        <f t="shared" si="91"/>
        <v>0</v>
      </c>
      <c r="J3919" s="9"/>
      <c r="K3919" s="11"/>
      <c r="L3919" s="9"/>
      <c r="M3919" s="11"/>
      <c r="N3919" s="9" t="s">
        <v>809</v>
      </c>
    </row>
    <row r="3920" ht="25" customHeight="1" spans="1:14">
      <c r="A3920" s="9" t="s">
        <v>327</v>
      </c>
      <c r="B3920" s="9" t="s">
        <v>326</v>
      </c>
      <c r="C3920" s="10">
        <v>44518</v>
      </c>
      <c r="D3920" s="15">
        <v>1.0407</v>
      </c>
      <c r="E3920" s="15">
        <v>1.4835</v>
      </c>
      <c r="F3920" s="15">
        <v>1.5839</v>
      </c>
      <c r="G3920" s="11">
        <v>0.0004</v>
      </c>
      <c r="H3920" s="9">
        <f>MAX($F$3239:F3920)</f>
        <v>1.5839</v>
      </c>
      <c r="I3920" s="11">
        <f t="shared" si="91"/>
        <v>0</v>
      </c>
      <c r="J3920" s="9"/>
      <c r="K3920" s="11"/>
      <c r="L3920" s="9"/>
      <c r="M3920" s="11"/>
      <c r="N3920" s="9" t="s">
        <v>809</v>
      </c>
    </row>
    <row r="3921" ht="25" customHeight="1" spans="1:14">
      <c r="A3921" s="9" t="s">
        <v>327</v>
      </c>
      <c r="B3921" s="9" t="s">
        <v>326</v>
      </c>
      <c r="C3921" s="10">
        <v>44519</v>
      </c>
      <c r="D3921" s="15">
        <v>1.0408</v>
      </c>
      <c r="E3921" s="15">
        <v>1.4836</v>
      </c>
      <c r="F3921" s="15">
        <v>1.584</v>
      </c>
      <c r="G3921" s="11">
        <v>0.0001</v>
      </c>
      <c r="H3921" s="9">
        <f>MAX($F$3239:F3921)</f>
        <v>1.584</v>
      </c>
      <c r="I3921" s="11">
        <f t="shared" si="91"/>
        <v>0</v>
      </c>
      <c r="J3921" s="9"/>
      <c r="K3921" s="11"/>
      <c r="L3921" s="9"/>
      <c r="M3921" s="11"/>
      <c r="N3921" s="9" t="s">
        <v>809</v>
      </c>
    </row>
    <row r="3922" ht="25" customHeight="1" spans="1:14">
      <c r="A3922" s="9" t="s">
        <v>327</v>
      </c>
      <c r="B3922" s="9" t="s">
        <v>326</v>
      </c>
      <c r="C3922" s="10">
        <v>44522</v>
      </c>
      <c r="D3922" s="15">
        <v>1.0409</v>
      </c>
      <c r="E3922" s="15">
        <v>1.4837</v>
      </c>
      <c r="F3922" s="15">
        <v>1.5842</v>
      </c>
      <c r="G3922" s="11">
        <v>0.0001</v>
      </c>
      <c r="H3922" s="9">
        <f>MAX($F$3239:F3922)</f>
        <v>1.5842</v>
      </c>
      <c r="I3922" s="11">
        <f t="shared" si="91"/>
        <v>0</v>
      </c>
      <c r="J3922" s="9"/>
      <c r="K3922" s="11"/>
      <c r="L3922" s="9"/>
      <c r="M3922" s="11"/>
      <c r="N3922" s="9" t="s">
        <v>809</v>
      </c>
    </row>
    <row r="3923" ht="25" customHeight="1" spans="1:14">
      <c r="A3923" s="9" t="s">
        <v>327</v>
      </c>
      <c r="B3923" s="9" t="s">
        <v>326</v>
      </c>
      <c r="C3923" s="10">
        <v>44523</v>
      </c>
      <c r="D3923" s="15">
        <v>1.0408</v>
      </c>
      <c r="E3923" s="15">
        <v>1.4836</v>
      </c>
      <c r="F3923" s="15">
        <v>1.584</v>
      </c>
      <c r="G3923" s="11">
        <v>-0.0001</v>
      </c>
      <c r="H3923" s="9">
        <f>MAX($F$3239:F3923)</f>
        <v>1.5842</v>
      </c>
      <c r="I3923" s="11">
        <f t="shared" si="91"/>
        <v>0.000126246686024456</v>
      </c>
      <c r="J3923" s="9"/>
      <c r="K3923" s="11"/>
      <c r="L3923" s="9"/>
      <c r="M3923" s="11"/>
      <c r="N3923" s="9" t="s">
        <v>809</v>
      </c>
    </row>
    <row r="3924" ht="25" customHeight="1" spans="1:14">
      <c r="A3924" s="9" t="s">
        <v>327</v>
      </c>
      <c r="B3924" s="9" t="s">
        <v>326</v>
      </c>
      <c r="C3924" s="10">
        <v>44524</v>
      </c>
      <c r="D3924" s="15">
        <v>1.0408</v>
      </c>
      <c r="E3924" s="15">
        <v>1.4836</v>
      </c>
      <c r="F3924" s="15">
        <v>1.584</v>
      </c>
      <c r="G3924" s="11">
        <v>0</v>
      </c>
      <c r="H3924" s="9">
        <f>MAX($F$3239:F3924)</f>
        <v>1.5842</v>
      </c>
      <c r="I3924" s="11">
        <f t="shared" si="91"/>
        <v>0.000126246686024456</v>
      </c>
      <c r="J3924" s="9"/>
      <c r="K3924" s="11"/>
      <c r="L3924" s="9"/>
      <c r="M3924" s="11"/>
      <c r="N3924" s="9" t="s">
        <v>809</v>
      </c>
    </row>
    <row r="3925" ht="25" customHeight="1" spans="1:14">
      <c r="A3925" s="9" t="s">
        <v>327</v>
      </c>
      <c r="B3925" s="9" t="s">
        <v>326</v>
      </c>
      <c r="C3925" s="10">
        <v>44525</v>
      </c>
      <c r="D3925" s="15">
        <v>1.0408</v>
      </c>
      <c r="E3925" s="15">
        <v>1.4836</v>
      </c>
      <c r="F3925" s="15">
        <v>1.584</v>
      </c>
      <c r="G3925" s="11">
        <v>0</v>
      </c>
      <c r="H3925" s="9">
        <f>MAX($F$3239:F3925)</f>
        <v>1.5842</v>
      </c>
      <c r="I3925" s="11">
        <f t="shared" si="91"/>
        <v>0.000126246686024456</v>
      </c>
      <c r="J3925" s="9"/>
      <c r="K3925" s="11"/>
      <c r="L3925" s="9"/>
      <c r="M3925" s="11"/>
      <c r="N3925" s="9" t="s">
        <v>809</v>
      </c>
    </row>
    <row r="3926" ht="25" customHeight="1" spans="1:14">
      <c r="A3926" s="9" t="s">
        <v>327</v>
      </c>
      <c r="B3926" s="9" t="s">
        <v>326</v>
      </c>
      <c r="C3926" s="10">
        <v>44526</v>
      </c>
      <c r="D3926" s="15">
        <v>1.0407</v>
      </c>
      <c r="E3926" s="15">
        <v>1.4835</v>
      </c>
      <c r="F3926" s="15">
        <v>1.5839</v>
      </c>
      <c r="G3926" s="11">
        <v>-0.0001</v>
      </c>
      <c r="H3926" s="9">
        <f>MAX($F$3239:F3926)</f>
        <v>1.5842</v>
      </c>
      <c r="I3926" s="11">
        <f t="shared" si="91"/>
        <v>0.000189370029036739</v>
      </c>
      <c r="J3926" s="9"/>
      <c r="K3926" s="11"/>
      <c r="L3926" s="9"/>
      <c r="M3926" s="11"/>
      <c r="N3926" s="9" t="s">
        <v>809</v>
      </c>
    </row>
    <row r="3927" ht="25" customHeight="1" spans="1:14">
      <c r="A3927" s="9" t="s">
        <v>327</v>
      </c>
      <c r="B3927" s="9" t="s">
        <v>326</v>
      </c>
      <c r="C3927" s="10">
        <v>44529</v>
      </c>
      <c r="D3927" s="15">
        <v>1.0417</v>
      </c>
      <c r="E3927" s="15">
        <v>1.4845</v>
      </c>
      <c r="F3927" s="15">
        <v>1.5854</v>
      </c>
      <c r="G3927" s="11">
        <v>0.001</v>
      </c>
      <c r="H3927" s="9">
        <f>MAX($F$3239:F3927)</f>
        <v>1.5854</v>
      </c>
      <c r="I3927" s="11">
        <f t="shared" si="91"/>
        <v>0</v>
      </c>
      <c r="J3927" s="9"/>
      <c r="K3927" s="11"/>
      <c r="L3927" s="9"/>
      <c r="M3927" s="11"/>
      <c r="N3927" s="9" t="s">
        <v>809</v>
      </c>
    </row>
    <row r="3928" ht="25" customHeight="1" spans="1:14">
      <c r="A3928" s="9" t="s">
        <v>327</v>
      </c>
      <c r="B3928" s="9" t="s">
        <v>326</v>
      </c>
      <c r="C3928" s="10">
        <v>44530</v>
      </c>
      <c r="D3928" s="15">
        <v>1.0419</v>
      </c>
      <c r="E3928" s="15">
        <v>1.4847</v>
      </c>
      <c r="F3928" s="15">
        <v>1.5857</v>
      </c>
      <c r="G3928" s="11">
        <v>0.0002</v>
      </c>
      <c r="H3928" s="9">
        <f>MAX($F$3239:F3928)</f>
        <v>1.5857</v>
      </c>
      <c r="I3928" s="11">
        <f t="shared" si="91"/>
        <v>0</v>
      </c>
      <c r="J3928" s="9"/>
      <c r="K3928" s="11"/>
      <c r="L3928" s="9"/>
      <c r="M3928" s="11"/>
      <c r="N3928" s="9" t="s">
        <v>809</v>
      </c>
    </row>
    <row r="3929" ht="25" customHeight="1" spans="1:14">
      <c r="A3929" s="9" t="s">
        <v>327</v>
      </c>
      <c r="B3929" s="9" t="s">
        <v>326</v>
      </c>
      <c r="C3929" s="10">
        <v>44531</v>
      </c>
      <c r="D3929" s="15">
        <v>1.0418</v>
      </c>
      <c r="E3929" s="15">
        <v>1.4846</v>
      </c>
      <c r="F3929" s="15">
        <v>1.5855</v>
      </c>
      <c r="G3929" s="11">
        <v>-0.0001</v>
      </c>
      <c r="H3929" s="9">
        <f>MAX($F$3239:F3929)</f>
        <v>1.5857</v>
      </c>
      <c r="I3929" s="11">
        <f t="shared" si="91"/>
        <v>0.000126127262407905</v>
      </c>
      <c r="J3929" s="9"/>
      <c r="K3929" s="11"/>
      <c r="L3929" s="9"/>
      <c r="M3929" s="11"/>
      <c r="N3929" s="9" t="s">
        <v>809</v>
      </c>
    </row>
    <row r="3930" ht="25" customHeight="1" spans="1:14">
      <c r="A3930" s="9" t="s">
        <v>327</v>
      </c>
      <c r="B3930" s="9" t="s">
        <v>326</v>
      </c>
      <c r="C3930" s="10">
        <v>44532</v>
      </c>
      <c r="D3930" s="15">
        <v>1.0418</v>
      </c>
      <c r="E3930" s="15">
        <v>1.4846</v>
      </c>
      <c r="F3930" s="15">
        <v>1.5855</v>
      </c>
      <c r="G3930" s="11">
        <v>0</v>
      </c>
      <c r="H3930" s="9">
        <f>MAX($F$3239:F3930)</f>
        <v>1.5857</v>
      </c>
      <c r="I3930" s="11">
        <f t="shared" si="91"/>
        <v>0.000126127262407905</v>
      </c>
      <c r="J3930" s="9"/>
      <c r="K3930" s="11"/>
      <c r="L3930" s="9"/>
      <c r="M3930" s="11"/>
      <c r="N3930" s="9" t="s">
        <v>809</v>
      </c>
    </row>
    <row r="3931" ht="25" customHeight="1" spans="1:14">
      <c r="A3931" s="9" t="s">
        <v>327</v>
      </c>
      <c r="B3931" s="9" t="s">
        <v>326</v>
      </c>
      <c r="C3931" s="10">
        <v>44533</v>
      </c>
      <c r="D3931" s="15">
        <v>1.0419</v>
      </c>
      <c r="E3931" s="15">
        <v>1.4847</v>
      </c>
      <c r="F3931" s="15">
        <v>1.5857</v>
      </c>
      <c r="G3931" s="11">
        <v>0.0001</v>
      </c>
      <c r="H3931" s="9">
        <f>MAX($F$3239:F3931)</f>
        <v>1.5857</v>
      </c>
      <c r="I3931" s="11">
        <f t="shared" si="91"/>
        <v>0</v>
      </c>
      <c r="J3931" s="9"/>
      <c r="K3931" s="11"/>
      <c r="L3931" s="9"/>
      <c r="M3931" s="11"/>
      <c r="N3931" s="9" t="s">
        <v>809</v>
      </c>
    </row>
    <row r="3932" ht="25" customHeight="1" spans="1:14">
      <c r="A3932" s="9" t="s">
        <v>327</v>
      </c>
      <c r="B3932" s="9" t="s">
        <v>326</v>
      </c>
      <c r="C3932" s="10">
        <v>44536</v>
      </c>
      <c r="D3932" s="15">
        <v>1.0421</v>
      </c>
      <c r="E3932" s="15">
        <v>1.4849</v>
      </c>
      <c r="F3932" s="15">
        <v>1.586</v>
      </c>
      <c r="G3932" s="11">
        <v>0.0002</v>
      </c>
      <c r="H3932" s="9">
        <f>MAX($F$3239:F3932)</f>
        <v>1.586</v>
      </c>
      <c r="I3932" s="11">
        <f t="shared" si="91"/>
        <v>0</v>
      </c>
      <c r="J3932" s="9"/>
      <c r="K3932" s="11"/>
      <c r="L3932" s="9"/>
      <c r="M3932" s="11"/>
      <c r="N3932" s="9" t="s">
        <v>809</v>
      </c>
    </row>
    <row r="3933" ht="25" customHeight="1" spans="1:14">
      <c r="A3933" s="9" t="s">
        <v>327</v>
      </c>
      <c r="B3933" s="9" t="s">
        <v>326</v>
      </c>
      <c r="C3933" s="10">
        <v>44537</v>
      </c>
      <c r="D3933" s="15">
        <v>1.0421</v>
      </c>
      <c r="E3933" s="15">
        <v>1.4849</v>
      </c>
      <c r="F3933" s="15">
        <v>1.586</v>
      </c>
      <c r="G3933" s="11">
        <v>0</v>
      </c>
      <c r="H3933" s="9">
        <f>MAX($F$3239:F3933)</f>
        <v>1.586</v>
      </c>
      <c r="I3933" s="11">
        <f t="shared" si="91"/>
        <v>0</v>
      </c>
      <c r="J3933" s="9"/>
      <c r="K3933" s="11"/>
      <c r="L3933" s="9"/>
      <c r="M3933" s="11"/>
      <c r="N3933" s="9" t="s">
        <v>809</v>
      </c>
    </row>
    <row r="3934" ht="25" customHeight="1" spans="1:14">
      <c r="A3934" s="9" t="s">
        <v>327</v>
      </c>
      <c r="B3934" s="9" t="s">
        <v>326</v>
      </c>
      <c r="C3934" s="10">
        <v>44538</v>
      </c>
      <c r="D3934" s="15">
        <v>1.0423</v>
      </c>
      <c r="E3934" s="15">
        <v>1.4851</v>
      </c>
      <c r="F3934" s="15">
        <v>1.5863</v>
      </c>
      <c r="G3934" s="11">
        <v>0.0002</v>
      </c>
      <c r="H3934" s="9">
        <f>MAX($F$3239:F3934)</f>
        <v>1.5863</v>
      </c>
      <c r="I3934" s="11">
        <f t="shared" si="91"/>
        <v>0</v>
      </c>
      <c r="J3934" s="9"/>
      <c r="K3934" s="11"/>
      <c r="L3934" s="9"/>
      <c r="M3934" s="11"/>
      <c r="N3934" s="9" t="s">
        <v>809</v>
      </c>
    </row>
    <row r="3935" ht="25" customHeight="1" spans="1:14">
      <c r="A3935" s="9" t="s">
        <v>327</v>
      </c>
      <c r="B3935" s="9" t="s">
        <v>326</v>
      </c>
      <c r="C3935" s="10">
        <v>44539</v>
      </c>
      <c r="D3935" s="15">
        <v>1.0427</v>
      </c>
      <c r="E3935" s="15">
        <v>1.4855</v>
      </c>
      <c r="F3935" s="15">
        <v>1.5869</v>
      </c>
      <c r="G3935" s="11">
        <v>0.0004</v>
      </c>
      <c r="H3935" s="9">
        <f>MAX($F$3239:F3935)</f>
        <v>1.5869</v>
      </c>
      <c r="I3935" s="11">
        <f t="shared" si="91"/>
        <v>0</v>
      </c>
      <c r="J3935" s="9"/>
      <c r="K3935" s="11"/>
      <c r="L3935" s="9"/>
      <c r="M3935" s="11"/>
      <c r="N3935" s="9" t="s">
        <v>809</v>
      </c>
    </row>
    <row r="3936" ht="25" customHeight="1" spans="1:14">
      <c r="A3936" s="9" t="s">
        <v>327</v>
      </c>
      <c r="B3936" s="9" t="s">
        <v>326</v>
      </c>
      <c r="C3936" s="10">
        <v>44540</v>
      </c>
      <c r="D3936" s="15">
        <v>1.0437</v>
      </c>
      <c r="E3936" s="15">
        <v>1.4865</v>
      </c>
      <c r="F3936" s="15">
        <v>1.5884</v>
      </c>
      <c r="G3936" s="11">
        <v>0.001</v>
      </c>
      <c r="H3936" s="9">
        <f>MAX($F$3239:F3936)</f>
        <v>1.5884</v>
      </c>
      <c r="I3936" s="11">
        <f t="shared" si="91"/>
        <v>0</v>
      </c>
      <c r="J3936" s="9"/>
      <c r="K3936" s="11"/>
      <c r="L3936" s="9"/>
      <c r="M3936" s="11"/>
      <c r="N3936" s="9" t="s">
        <v>809</v>
      </c>
    </row>
    <row r="3937" ht="25" customHeight="1" spans="1:14">
      <c r="A3937" s="9" t="s">
        <v>327</v>
      </c>
      <c r="B3937" s="9" t="s">
        <v>326</v>
      </c>
      <c r="C3937" s="10">
        <v>44543</v>
      </c>
      <c r="D3937" s="15">
        <v>1.0442</v>
      </c>
      <c r="E3937" s="15">
        <v>1.487</v>
      </c>
      <c r="F3937" s="15">
        <v>1.5892</v>
      </c>
      <c r="G3937" s="11">
        <v>0.0005</v>
      </c>
      <c r="H3937" s="9">
        <f>MAX($F$3239:F3937)</f>
        <v>1.5892</v>
      </c>
      <c r="I3937" s="11">
        <f t="shared" si="91"/>
        <v>0</v>
      </c>
      <c r="J3937" s="9"/>
      <c r="K3937" s="11"/>
      <c r="L3937" s="9"/>
      <c r="M3937" s="11"/>
      <c r="N3937" s="9" t="s">
        <v>809</v>
      </c>
    </row>
    <row r="3938" ht="25" customHeight="1" spans="1:14">
      <c r="A3938" s="9" t="s">
        <v>327</v>
      </c>
      <c r="B3938" s="9" t="s">
        <v>326</v>
      </c>
      <c r="C3938" s="10">
        <v>44544</v>
      </c>
      <c r="D3938" s="15">
        <v>1.0443</v>
      </c>
      <c r="E3938" s="15">
        <v>1.4871</v>
      </c>
      <c r="F3938" s="15">
        <v>1.5893</v>
      </c>
      <c r="G3938" s="11">
        <v>0.0001</v>
      </c>
      <c r="H3938" s="9">
        <f>MAX($F$3239:F3938)</f>
        <v>1.5893</v>
      </c>
      <c r="I3938" s="11">
        <f t="shared" si="91"/>
        <v>0</v>
      </c>
      <c r="J3938" s="9"/>
      <c r="K3938" s="11"/>
      <c r="L3938" s="9"/>
      <c r="M3938" s="11"/>
      <c r="N3938" s="9" t="s">
        <v>809</v>
      </c>
    </row>
    <row r="3939" ht="25" customHeight="1" spans="1:14">
      <c r="A3939" s="9" t="s">
        <v>327</v>
      </c>
      <c r="B3939" s="9" t="s">
        <v>326</v>
      </c>
      <c r="C3939" s="10">
        <v>44545</v>
      </c>
      <c r="D3939" s="15">
        <v>1.0447</v>
      </c>
      <c r="E3939" s="15">
        <v>1.4875</v>
      </c>
      <c r="F3939" s="15">
        <v>1.59</v>
      </c>
      <c r="G3939" s="11">
        <v>0.0004</v>
      </c>
      <c r="H3939" s="9">
        <f>MAX($F$3239:F3939)</f>
        <v>1.59</v>
      </c>
      <c r="I3939" s="11">
        <f t="shared" si="91"/>
        <v>0</v>
      </c>
      <c r="J3939" s="9"/>
      <c r="K3939" s="11"/>
      <c r="L3939" s="9"/>
      <c r="M3939" s="11"/>
      <c r="N3939" s="9" t="s">
        <v>809</v>
      </c>
    </row>
    <row r="3940" ht="25" customHeight="1" spans="1:14">
      <c r="A3940" s="9" t="s">
        <v>327</v>
      </c>
      <c r="B3940" s="9" t="s">
        <v>326</v>
      </c>
      <c r="C3940" s="10">
        <v>44546</v>
      </c>
      <c r="D3940" s="15">
        <v>1.0444</v>
      </c>
      <c r="E3940" s="15">
        <v>1.4872</v>
      </c>
      <c r="F3940" s="15">
        <v>1.5895</v>
      </c>
      <c r="G3940" s="11">
        <v>-0.0003</v>
      </c>
      <c r="H3940" s="9">
        <f>MAX($F$3239:F3940)</f>
        <v>1.59</v>
      </c>
      <c r="I3940" s="11">
        <f t="shared" si="91"/>
        <v>0.000314465408805087</v>
      </c>
      <c r="J3940" s="9"/>
      <c r="K3940" s="11"/>
      <c r="L3940" s="9"/>
      <c r="M3940" s="11"/>
      <c r="N3940" s="9" t="s">
        <v>809</v>
      </c>
    </row>
    <row r="3941" ht="25" customHeight="1" spans="1:14">
      <c r="A3941" s="9" t="s">
        <v>327</v>
      </c>
      <c r="B3941" s="9" t="s">
        <v>326</v>
      </c>
      <c r="C3941" s="10">
        <v>44547</v>
      </c>
      <c r="D3941" s="15">
        <v>1.045</v>
      </c>
      <c r="E3941" s="15">
        <v>1.4878</v>
      </c>
      <c r="F3941" s="15">
        <v>1.5904</v>
      </c>
      <c r="G3941" s="11">
        <v>0.0006</v>
      </c>
      <c r="H3941" s="9">
        <f>MAX($F$3239:F3941)</f>
        <v>1.5904</v>
      </c>
      <c r="I3941" s="11">
        <f t="shared" si="91"/>
        <v>0</v>
      </c>
      <c r="J3941" s="9"/>
      <c r="K3941" s="11"/>
      <c r="L3941" s="9"/>
      <c r="M3941" s="11"/>
      <c r="N3941" s="9" t="s">
        <v>809</v>
      </c>
    </row>
    <row r="3942" ht="25" customHeight="1" spans="1:14">
      <c r="A3942" s="9" t="s">
        <v>327</v>
      </c>
      <c r="B3942" s="9" t="s">
        <v>326</v>
      </c>
      <c r="C3942" s="10">
        <v>44550</v>
      </c>
      <c r="D3942" s="15">
        <v>1</v>
      </c>
      <c r="E3942" s="15">
        <v>1.4876</v>
      </c>
      <c r="F3942" s="15">
        <v>1.5901</v>
      </c>
      <c r="G3942" s="11">
        <v>-0.0002</v>
      </c>
      <c r="H3942" s="9">
        <f>MAX($F$3239:F3942)</f>
        <v>1.5904</v>
      </c>
      <c r="I3942" s="11">
        <f t="shared" si="91"/>
        <v>0.000188631790744465</v>
      </c>
      <c r="J3942" s="9"/>
      <c r="K3942" s="11"/>
      <c r="L3942" s="9"/>
      <c r="M3942" s="11"/>
      <c r="N3942" s="9" t="s">
        <v>809</v>
      </c>
    </row>
    <row r="3943" ht="25" customHeight="1" spans="1:14">
      <c r="A3943" s="9" t="s">
        <v>327</v>
      </c>
      <c r="B3943" s="9" t="s">
        <v>326</v>
      </c>
      <c r="C3943" s="10">
        <v>44551</v>
      </c>
      <c r="D3943" s="15">
        <v>1.0002</v>
      </c>
      <c r="E3943" s="15">
        <v>1.4878</v>
      </c>
      <c r="F3943" s="15">
        <v>1.5904</v>
      </c>
      <c r="G3943" s="11">
        <v>0.0002</v>
      </c>
      <c r="H3943" s="9">
        <f>MAX($F$3239:F3943)</f>
        <v>1.5904</v>
      </c>
      <c r="I3943" s="11">
        <f t="shared" si="91"/>
        <v>0</v>
      </c>
      <c r="J3943" s="9"/>
      <c r="K3943" s="11"/>
      <c r="L3943" s="9"/>
      <c r="M3943" s="11"/>
      <c r="N3943" s="9" t="s">
        <v>809</v>
      </c>
    </row>
    <row r="3944" ht="25" customHeight="1" spans="1:14">
      <c r="A3944" s="9" t="s">
        <v>327</v>
      </c>
      <c r="B3944" s="9" t="s">
        <v>326</v>
      </c>
      <c r="C3944" s="10">
        <v>44552</v>
      </c>
      <c r="D3944" s="15">
        <v>1.0002</v>
      </c>
      <c r="E3944" s="15">
        <v>1.4878</v>
      </c>
      <c r="F3944" s="15">
        <v>1.5904</v>
      </c>
      <c r="G3944" s="11">
        <v>0</v>
      </c>
      <c r="H3944" s="9">
        <f>MAX($F$3239:F3944)</f>
        <v>1.5904</v>
      </c>
      <c r="I3944" s="11">
        <f t="shared" si="91"/>
        <v>0</v>
      </c>
      <c r="J3944" s="9"/>
      <c r="K3944" s="11"/>
      <c r="L3944" s="9"/>
      <c r="M3944" s="11"/>
      <c r="N3944" s="9" t="s">
        <v>809</v>
      </c>
    </row>
    <row r="3945" ht="25" customHeight="1" spans="1:14">
      <c r="A3945" s="9" t="s">
        <v>327</v>
      </c>
      <c r="B3945" s="9" t="s">
        <v>326</v>
      </c>
      <c r="C3945" s="10">
        <v>44553</v>
      </c>
      <c r="D3945" s="15">
        <v>0.9999</v>
      </c>
      <c r="E3945" s="15">
        <v>1.4875</v>
      </c>
      <c r="F3945" s="15">
        <v>1.5899</v>
      </c>
      <c r="G3945" s="11">
        <v>-0.0003</v>
      </c>
      <c r="H3945" s="9">
        <f>MAX($F$3239:F3945)</f>
        <v>1.5904</v>
      </c>
      <c r="I3945" s="11">
        <f t="shared" si="91"/>
        <v>0.000314386317907367</v>
      </c>
      <c r="J3945" s="9"/>
      <c r="K3945" s="11"/>
      <c r="L3945" s="9"/>
      <c r="M3945" s="11"/>
      <c r="N3945" s="9" t="s">
        <v>809</v>
      </c>
    </row>
    <row r="3946" ht="25" customHeight="1" spans="1:14">
      <c r="A3946" s="9" t="s">
        <v>327</v>
      </c>
      <c r="B3946" s="9" t="s">
        <v>326</v>
      </c>
      <c r="C3946" s="10">
        <v>44554</v>
      </c>
      <c r="D3946" s="15">
        <v>0.9997</v>
      </c>
      <c r="E3946" s="15">
        <v>1.4873</v>
      </c>
      <c r="F3946" s="15">
        <v>1.5896</v>
      </c>
      <c r="G3946" s="11">
        <v>-0.0002</v>
      </c>
      <c r="H3946" s="9">
        <f>MAX($F$3239:F3946)</f>
        <v>1.5904</v>
      </c>
      <c r="I3946" s="11">
        <f t="shared" si="91"/>
        <v>0.000503018108651943</v>
      </c>
      <c r="J3946" s="9"/>
      <c r="K3946" s="11"/>
      <c r="L3946" s="9"/>
      <c r="M3946" s="11"/>
      <c r="N3946" s="9" t="s">
        <v>809</v>
      </c>
    </row>
    <row r="3947" ht="25" customHeight="1" spans="1:14">
      <c r="A3947" s="9" t="s">
        <v>327</v>
      </c>
      <c r="B3947" s="9" t="s">
        <v>326</v>
      </c>
      <c r="C3947" s="10">
        <v>44557</v>
      </c>
      <c r="D3947" s="15">
        <v>0.9998</v>
      </c>
      <c r="E3947" s="15">
        <v>1.4874</v>
      </c>
      <c r="F3947" s="15">
        <v>1.5898</v>
      </c>
      <c r="G3947" s="11">
        <v>0.0001</v>
      </c>
      <c r="H3947" s="9">
        <f>MAX($F$3239:F3947)</f>
        <v>1.5904</v>
      </c>
      <c r="I3947" s="11">
        <f t="shared" si="91"/>
        <v>0.000377263581488929</v>
      </c>
      <c r="J3947" s="9"/>
      <c r="K3947" s="11"/>
      <c r="L3947" s="9"/>
      <c r="M3947" s="11"/>
      <c r="N3947" s="9" t="s">
        <v>809</v>
      </c>
    </row>
    <row r="3948" ht="25" customHeight="1" spans="1:14">
      <c r="A3948" s="9" t="s">
        <v>327</v>
      </c>
      <c r="B3948" s="9" t="s">
        <v>326</v>
      </c>
      <c r="C3948" s="10">
        <v>44558</v>
      </c>
      <c r="D3948" s="15">
        <v>1.0001</v>
      </c>
      <c r="E3948" s="15">
        <v>1.4877</v>
      </c>
      <c r="F3948" s="15">
        <v>1.5903</v>
      </c>
      <c r="G3948" s="11">
        <v>0.0003</v>
      </c>
      <c r="H3948" s="9">
        <f>MAX($F$3239:F3948)</f>
        <v>1.5904</v>
      </c>
      <c r="I3948" s="11">
        <f t="shared" si="91"/>
        <v>6.28772635814512e-5</v>
      </c>
      <c r="J3948" s="9"/>
      <c r="K3948" s="11"/>
      <c r="L3948" s="9"/>
      <c r="M3948" s="11"/>
      <c r="N3948" s="9" t="s">
        <v>809</v>
      </c>
    </row>
    <row r="3949" ht="25" customHeight="1" spans="1:14">
      <c r="A3949" s="9" t="s">
        <v>327</v>
      </c>
      <c r="B3949" s="9" t="s">
        <v>326</v>
      </c>
      <c r="C3949" s="10">
        <v>44559</v>
      </c>
      <c r="D3949" s="15">
        <v>0.9995</v>
      </c>
      <c r="E3949" s="15">
        <v>1.4871</v>
      </c>
      <c r="F3949" s="15">
        <v>1.5893</v>
      </c>
      <c r="G3949" s="11">
        <v>-0.0006</v>
      </c>
      <c r="H3949" s="9">
        <f>MAX($F$3239:F3949)</f>
        <v>1.5904</v>
      </c>
      <c r="I3949" s="11">
        <f t="shared" si="91"/>
        <v>0.000691649899396407</v>
      </c>
      <c r="J3949" s="9"/>
      <c r="K3949" s="11"/>
      <c r="L3949" s="9"/>
      <c r="M3949" s="11"/>
      <c r="N3949" s="9" t="s">
        <v>809</v>
      </c>
    </row>
    <row r="3950" ht="25" customHeight="1" spans="1:14">
      <c r="A3950" s="9" t="s">
        <v>327</v>
      </c>
      <c r="B3950" s="9" t="s">
        <v>326</v>
      </c>
      <c r="C3950" s="10">
        <v>44560</v>
      </c>
      <c r="D3950" s="15">
        <v>1.0002</v>
      </c>
      <c r="E3950" s="15">
        <v>1.4878</v>
      </c>
      <c r="F3950" s="15">
        <v>1.5904</v>
      </c>
      <c r="G3950" s="11">
        <v>0.0007</v>
      </c>
      <c r="H3950" s="9">
        <f>MAX($F$3239:F3950)</f>
        <v>1.5904</v>
      </c>
      <c r="I3950" s="11">
        <f t="shared" si="91"/>
        <v>0</v>
      </c>
      <c r="J3950" s="9"/>
      <c r="K3950" s="11"/>
      <c r="L3950" s="9"/>
      <c r="M3950" s="11"/>
      <c r="N3950" s="9" t="s">
        <v>809</v>
      </c>
    </row>
    <row r="3951" ht="25" customHeight="1" spans="1:14">
      <c r="A3951" s="9" t="s">
        <v>327</v>
      </c>
      <c r="B3951" s="9" t="s">
        <v>326</v>
      </c>
      <c r="C3951" s="10">
        <v>44561</v>
      </c>
      <c r="D3951" s="15">
        <v>0.9997</v>
      </c>
      <c r="E3951" s="15">
        <v>1.4873</v>
      </c>
      <c r="F3951" s="15">
        <v>1.5896</v>
      </c>
      <c r="G3951" s="11">
        <v>-0.0005</v>
      </c>
      <c r="H3951" s="9">
        <f>MAX($F$3239:F3951)</f>
        <v>1.5904</v>
      </c>
      <c r="I3951" s="11">
        <f t="shared" si="91"/>
        <v>0.000503018108651943</v>
      </c>
      <c r="J3951" s="9"/>
      <c r="K3951" s="11"/>
      <c r="L3951" s="9"/>
      <c r="M3951" s="11"/>
      <c r="N3951" s="9" t="s">
        <v>809</v>
      </c>
    </row>
    <row r="3952" ht="25" customHeight="1" spans="1:14">
      <c r="A3952" s="9" t="s">
        <v>327</v>
      </c>
      <c r="B3952" s="9" t="s">
        <v>326</v>
      </c>
      <c r="C3952" s="10">
        <v>44565</v>
      </c>
      <c r="D3952" s="15">
        <v>0.9998</v>
      </c>
      <c r="E3952" s="15">
        <v>1.4874</v>
      </c>
      <c r="F3952" s="15">
        <v>1.5898</v>
      </c>
      <c r="G3952" s="11">
        <v>0.0001</v>
      </c>
      <c r="H3952" s="9">
        <f>MAX($F$3239:F3952)</f>
        <v>1.5904</v>
      </c>
      <c r="I3952" s="11">
        <f t="shared" si="91"/>
        <v>0.000377263581488929</v>
      </c>
      <c r="J3952" s="9"/>
      <c r="K3952" s="11"/>
      <c r="L3952" s="9"/>
      <c r="M3952" s="11"/>
      <c r="N3952" s="9" t="s">
        <v>809</v>
      </c>
    </row>
    <row r="3953" ht="25" customHeight="1" spans="1:14">
      <c r="A3953" s="9" t="s">
        <v>327</v>
      </c>
      <c r="B3953" s="9" t="s">
        <v>326</v>
      </c>
      <c r="C3953" s="10">
        <v>44566</v>
      </c>
      <c r="D3953" s="15">
        <v>0.9993</v>
      </c>
      <c r="E3953" s="15">
        <v>1.4869</v>
      </c>
      <c r="F3953" s="15">
        <v>1.589</v>
      </c>
      <c r="G3953" s="11">
        <v>-0.0005</v>
      </c>
      <c r="H3953" s="9">
        <f>MAX($F$3239:F3953)</f>
        <v>1.5904</v>
      </c>
      <c r="I3953" s="11">
        <f t="shared" si="91"/>
        <v>0.000880281690140872</v>
      </c>
      <c r="J3953" s="9"/>
      <c r="K3953" s="11"/>
      <c r="L3953" s="9"/>
      <c r="M3953" s="11"/>
      <c r="N3953" s="9" t="s">
        <v>809</v>
      </c>
    </row>
    <row r="3954" ht="25" customHeight="1" spans="1:14">
      <c r="A3954" s="9" t="s">
        <v>327</v>
      </c>
      <c r="B3954" s="9" t="s">
        <v>326</v>
      </c>
      <c r="C3954" s="10">
        <v>44567</v>
      </c>
      <c r="D3954" s="15">
        <v>0.9989</v>
      </c>
      <c r="E3954" s="15">
        <v>1.4865</v>
      </c>
      <c r="F3954" s="15">
        <v>1.5884</v>
      </c>
      <c r="G3954" s="11">
        <v>-0.0004</v>
      </c>
      <c r="H3954" s="9">
        <f>MAX($F$3239:F3954)</f>
        <v>1.5904</v>
      </c>
      <c r="I3954" s="11">
        <f t="shared" si="91"/>
        <v>0.0012575452716298</v>
      </c>
      <c r="J3954" s="9"/>
      <c r="K3954" s="11"/>
      <c r="L3954" s="9"/>
      <c r="M3954" s="11"/>
      <c r="N3954" s="9" t="s">
        <v>809</v>
      </c>
    </row>
    <row r="3955" ht="25" customHeight="1" spans="1:14">
      <c r="A3955" s="9" t="s">
        <v>327</v>
      </c>
      <c r="B3955" s="9" t="s">
        <v>326</v>
      </c>
      <c r="C3955" s="10">
        <v>44568</v>
      </c>
      <c r="D3955" s="15">
        <v>0.9986</v>
      </c>
      <c r="E3955" s="15">
        <v>1.4862</v>
      </c>
      <c r="F3955" s="15">
        <v>1.5879</v>
      </c>
      <c r="G3955" s="11">
        <v>-0.0003</v>
      </c>
      <c r="H3955" s="9">
        <f>MAX($F$3239:F3955)</f>
        <v>1.5904</v>
      </c>
      <c r="I3955" s="11">
        <f t="shared" si="91"/>
        <v>0.00157193158953717</v>
      </c>
      <c r="J3955" s="9"/>
      <c r="K3955" s="11"/>
      <c r="L3955" s="9"/>
      <c r="M3955" s="11"/>
      <c r="N3955" s="9" t="s">
        <v>809</v>
      </c>
    </row>
    <row r="3956" ht="25" customHeight="1" spans="1:14">
      <c r="A3956" s="9" t="s">
        <v>327</v>
      </c>
      <c r="B3956" s="9" t="s">
        <v>326</v>
      </c>
      <c r="C3956" s="10">
        <v>44571</v>
      </c>
      <c r="D3956" s="15">
        <v>0.9987</v>
      </c>
      <c r="E3956" s="15">
        <v>1.4863</v>
      </c>
      <c r="F3956" s="15">
        <v>1.588</v>
      </c>
      <c r="G3956" s="11">
        <v>0.0001</v>
      </c>
      <c r="H3956" s="9">
        <f>MAX($F$3239:F3956)</f>
        <v>1.5904</v>
      </c>
      <c r="I3956" s="11">
        <f t="shared" si="91"/>
        <v>0.00150905432595572</v>
      </c>
      <c r="J3956" s="9"/>
      <c r="K3956" s="11"/>
      <c r="L3956" s="9"/>
      <c r="M3956" s="11"/>
      <c r="N3956" s="9" t="s">
        <v>809</v>
      </c>
    </row>
    <row r="3957" ht="25" customHeight="1" spans="1:14">
      <c r="A3957" s="9" t="s">
        <v>327</v>
      </c>
      <c r="B3957" s="9" t="s">
        <v>326</v>
      </c>
      <c r="C3957" s="10">
        <v>44572</v>
      </c>
      <c r="D3957" s="15">
        <v>0.9988</v>
      </c>
      <c r="E3957" s="15">
        <v>1.4864</v>
      </c>
      <c r="F3957" s="15">
        <v>1.5882</v>
      </c>
      <c r="G3957" s="11">
        <v>0.0001</v>
      </c>
      <c r="H3957" s="9">
        <f>MAX($F$3239:F3957)</f>
        <v>1.5904</v>
      </c>
      <c r="I3957" s="11">
        <f t="shared" si="91"/>
        <v>0.0013832997987927</v>
      </c>
      <c r="J3957" s="9"/>
      <c r="K3957" s="11"/>
      <c r="L3957" s="9"/>
      <c r="M3957" s="11"/>
      <c r="N3957" s="9" t="s">
        <v>809</v>
      </c>
    </row>
    <row r="3958" ht="25" customHeight="1" spans="1:14">
      <c r="A3958" s="9" t="s">
        <v>327</v>
      </c>
      <c r="B3958" s="9" t="s">
        <v>326</v>
      </c>
      <c r="C3958" s="10">
        <v>44573</v>
      </c>
      <c r="D3958" s="15">
        <v>1.0003</v>
      </c>
      <c r="E3958" s="15">
        <v>1.4879</v>
      </c>
      <c r="F3958" s="15">
        <v>1.5906</v>
      </c>
      <c r="G3958" s="11">
        <v>0.0015</v>
      </c>
      <c r="H3958" s="9">
        <f>MAX($F$3239:F3958)</f>
        <v>1.5906</v>
      </c>
      <c r="I3958" s="11">
        <f t="shared" si="91"/>
        <v>0</v>
      </c>
      <c r="J3958" s="9"/>
      <c r="K3958" s="11"/>
      <c r="L3958" s="9"/>
      <c r="M3958" s="11"/>
      <c r="N3958" s="9" t="s">
        <v>809</v>
      </c>
    </row>
    <row r="3959" ht="25" customHeight="1" spans="1:14">
      <c r="A3959" s="9" t="s">
        <v>327</v>
      </c>
      <c r="B3959" s="9" t="s">
        <v>326</v>
      </c>
      <c r="C3959" s="10">
        <v>44574</v>
      </c>
      <c r="D3959" s="15">
        <v>1.0007</v>
      </c>
      <c r="E3959" s="15">
        <v>1.4883</v>
      </c>
      <c r="F3959" s="15">
        <v>1.5912</v>
      </c>
      <c r="G3959" s="11">
        <v>0.0004</v>
      </c>
      <c r="H3959" s="9">
        <f>MAX($F$3239:F3959)</f>
        <v>1.5912</v>
      </c>
      <c r="I3959" s="11">
        <f t="shared" si="91"/>
        <v>0</v>
      </c>
      <c r="J3959" s="9"/>
      <c r="K3959" s="11"/>
      <c r="L3959" s="9"/>
      <c r="M3959" s="11"/>
      <c r="N3959" s="9" t="s">
        <v>809</v>
      </c>
    </row>
    <row r="3960" ht="25" customHeight="1" spans="1:14">
      <c r="A3960" s="9" t="s">
        <v>327</v>
      </c>
      <c r="B3960" s="9" t="s">
        <v>326</v>
      </c>
      <c r="C3960" s="10">
        <v>44575</v>
      </c>
      <c r="D3960" s="15">
        <v>1.0009</v>
      </c>
      <c r="E3960" s="15">
        <v>1.4885</v>
      </c>
      <c r="F3960" s="15">
        <v>1.5915</v>
      </c>
      <c r="G3960" s="11">
        <v>0.0002</v>
      </c>
      <c r="H3960" s="9">
        <f>MAX($F$3239:F3960)</f>
        <v>1.5915</v>
      </c>
      <c r="I3960" s="11">
        <f t="shared" si="91"/>
        <v>0</v>
      </c>
      <c r="J3960" s="9"/>
      <c r="K3960" s="11"/>
      <c r="L3960" s="9"/>
      <c r="M3960" s="11"/>
      <c r="N3960" s="9" t="s">
        <v>809</v>
      </c>
    </row>
    <row r="3961" ht="25" customHeight="1" spans="1:14">
      <c r="A3961" s="9" t="s">
        <v>327</v>
      </c>
      <c r="B3961" s="9" t="s">
        <v>326</v>
      </c>
      <c r="C3961" s="10">
        <v>44578</v>
      </c>
      <c r="D3961" s="15">
        <v>1.0014</v>
      </c>
      <c r="E3961" s="15">
        <v>1.489</v>
      </c>
      <c r="F3961" s="15">
        <v>1.5923</v>
      </c>
      <c r="G3961" s="11">
        <v>0.0005</v>
      </c>
      <c r="H3961" s="9">
        <f>MAX($F$3239:F3961)</f>
        <v>1.5923</v>
      </c>
      <c r="I3961" s="11">
        <f t="shared" si="91"/>
        <v>0</v>
      </c>
      <c r="J3961" s="9"/>
      <c r="K3961" s="11"/>
      <c r="L3961" s="9"/>
      <c r="M3961" s="11"/>
      <c r="N3961" s="9" t="s">
        <v>809</v>
      </c>
    </row>
    <row r="3962" ht="25" customHeight="1" spans="1:14">
      <c r="A3962" s="9" t="s">
        <v>327</v>
      </c>
      <c r="B3962" s="9" t="s">
        <v>326</v>
      </c>
      <c r="C3962" s="10">
        <v>44579</v>
      </c>
      <c r="D3962" s="15">
        <v>1.0017</v>
      </c>
      <c r="E3962" s="15">
        <v>1.4893</v>
      </c>
      <c r="F3962" s="15">
        <v>1.5928</v>
      </c>
      <c r="G3962" s="11">
        <v>0.0003</v>
      </c>
      <c r="H3962" s="9">
        <f>MAX($F$3239:F3962)</f>
        <v>1.5928</v>
      </c>
      <c r="I3962" s="11">
        <f t="shared" si="91"/>
        <v>0</v>
      </c>
      <c r="J3962" s="9"/>
      <c r="K3962" s="11"/>
      <c r="L3962" s="9"/>
      <c r="M3962" s="11"/>
      <c r="N3962" s="9" t="s">
        <v>809</v>
      </c>
    </row>
    <row r="3963" ht="25" customHeight="1" spans="1:14">
      <c r="A3963" s="9" t="s">
        <v>327</v>
      </c>
      <c r="B3963" s="9" t="s">
        <v>326</v>
      </c>
      <c r="C3963" s="10">
        <v>44580</v>
      </c>
      <c r="D3963" s="15">
        <v>1.0018</v>
      </c>
      <c r="E3963" s="15">
        <v>1.4894</v>
      </c>
      <c r="F3963" s="15">
        <v>1.593</v>
      </c>
      <c r="G3963" s="11">
        <v>0.0001</v>
      </c>
      <c r="H3963" s="9">
        <f>MAX($F$3239:F3963)</f>
        <v>1.593</v>
      </c>
      <c r="I3963" s="11">
        <f t="shared" si="91"/>
        <v>0</v>
      </c>
      <c r="J3963" s="9"/>
      <c r="K3963" s="11"/>
      <c r="L3963" s="9"/>
      <c r="M3963" s="11"/>
      <c r="N3963" s="9" t="s">
        <v>809</v>
      </c>
    </row>
    <row r="3964" ht="25" customHeight="1" spans="1:14">
      <c r="A3964" s="9" t="s">
        <v>327</v>
      </c>
      <c r="B3964" s="9" t="s">
        <v>326</v>
      </c>
      <c r="C3964" s="10">
        <v>44581</v>
      </c>
      <c r="D3964" s="15">
        <v>1.0017</v>
      </c>
      <c r="E3964" s="15">
        <v>1.4893</v>
      </c>
      <c r="F3964" s="15">
        <v>1.5928</v>
      </c>
      <c r="G3964" s="11">
        <v>-0.0001</v>
      </c>
      <c r="H3964" s="9">
        <f>MAX($F$3239:F3964)</f>
        <v>1.593</v>
      </c>
      <c r="I3964" s="11">
        <f t="shared" si="91"/>
        <v>0.000125549278091608</v>
      </c>
      <c r="J3964" s="9"/>
      <c r="K3964" s="11"/>
      <c r="L3964" s="9"/>
      <c r="M3964" s="11"/>
      <c r="N3964" s="9" t="s">
        <v>809</v>
      </c>
    </row>
    <row r="3965" ht="25" customHeight="1" spans="1:14">
      <c r="A3965" s="9" t="s">
        <v>327</v>
      </c>
      <c r="B3965" s="9" t="s">
        <v>326</v>
      </c>
      <c r="C3965" s="10">
        <v>44582</v>
      </c>
      <c r="D3965" s="15">
        <v>1.002</v>
      </c>
      <c r="E3965" s="15">
        <v>1.4896</v>
      </c>
      <c r="F3965" s="15">
        <v>1.5933</v>
      </c>
      <c r="G3965" s="11">
        <v>0.0003</v>
      </c>
      <c r="H3965" s="9">
        <f>MAX($F$3239:F3965)</f>
        <v>1.5933</v>
      </c>
      <c r="I3965" s="11">
        <f t="shared" si="91"/>
        <v>0</v>
      </c>
      <c r="J3965" s="9"/>
      <c r="K3965" s="11"/>
      <c r="L3965" s="9"/>
      <c r="M3965" s="11"/>
      <c r="N3965" s="9" t="s">
        <v>809</v>
      </c>
    </row>
    <row r="3966" ht="25" customHeight="1" spans="1:14">
      <c r="A3966" s="9" t="s">
        <v>327</v>
      </c>
      <c r="B3966" s="9" t="s">
        <v>326</v>
      </c>
      <c r="C3966" s="10">
        <v>44585</v>
      </c>
      <c r="D3966" s="15">
        <v>1.002</v>
      </c>
      <c r="E3966" s="15">
        <v>1.4896</v>
      </c>
      <c r="F3966" s="15">
        <v>1.5933</v>
      </c>
      <c r="G3966" s="11">
        <v>0</v>
      </c>
      <c r="H3966" s="9">
        <f>MAX($F$3239:F3966)</f>
        <v>1.5933</v>
      </c>
      <c r="I3966" s="11">
        <f t="shared" si="91"/>
        <v>0</v>
      </c>
      <c r="J3966" s="9"/>
      <c r="K3966" s="11"/>
      <c r="L3966" s="9"/>
      <c r="M3966" s="11"/>
      <c r="N3966" s="9" t="s">
        <v>809</v>
      </c>
    </row>
    <row r="3967" ht="25" customHeight="1" spans="1:14">
      <c r="A3967" s="9" t="s">
        <v>327</v>
      </c>
      <c r="B3967" s="9" t="s">
        <v>326</v>
      </c>
      <c r="C3967" s="10">
        <v>44586</v>
      </c>
      <c r="D3967" s="15">
        <v>1.0028</v>
      </c>
      <c r="E3967" s="15">
        <v>1.4904</v>
      </c>
      <c r="F3967" s="15">
        <v>1.5946</v>
      </c>
      <c r="G3967" s="11">
        <v>0.0008</v>
      </c>
      <c r="H3967" s="9">
        <f>MAX($F$3239:F3967)</f>
        <v>1.5946</v>
      </c>
      <c r="I3967" s="11">
        <f t="shared" si="91"/>
        <v>0</v>
      </c>
      <c r="J3967" s="9"/>
      <c r="K3967" s="11"/>
      <c r="L3967" s="9"/>
      <c r="M3967" s="11"/>
      <c r="N3967" s="9" t="s">
        <v>809</v>
      </c>
    </row>
    <row r="3968" ht="25" customHeight="1" spans="1:14">
      <c r="A3968" s="9" t="s">
        <v>327</v>
      </c>
      <c r="B3968" s="9" t="s">
        <v>326</v>
      </c>
      <c r="C3968" s="10">
        <v>44587</v>
      </c>
      <c r="D3968" s="15">
        <v>1.0027</v>
      </c>
      <c r="E3968" s="15">
        <v>1.4903</v>
      </c>
      <c r="F3968" s="15">
        <v>1.5944</v>
      </c>
      <c r="G3968" s="11">
        <v>-0.0001</v>
      </c>
      <c r="H3968" s="9">
        <f>MAX($F$3239:F3968)</f>
        <v>1.5946</v>
      </c>
      <c r="I3968" s="11">
        <f t="shared" si="91"/>
        <v>0.000125423303649841</v>
      </c>
      <c r="J3968" s="9"/>
      <c r="K3968" s="11"/>
      <c r="L3968" s="9"/>
      <c r="M3968" s="11"/>
      <c r="N3968" s="9" t="s">
        <v>809</v>
      </c>
    </row>
    <row r="3969" ht="25" customHeight="1" spans="1:14">
      <c r="A3969" s="9" t="s">
        <v>327</v>
      </c>
      <c r="B3969" s="9" t="s">
        <v>326</v>
      </c>
      <c r="C3969" s="10">
        <v>44588</v>
      </c>
      <c r="D3969" s="15">
        <v>1.0034</v>
      </c>
      <c r="E3969" s="15">
        <v>1.491</v>
      </c>
      <c r="F3969" s="15">
        <v>1.5955</v>
      </c>
      <c r="G3969" s="11">
        <v>0.0007</v>
      </c>
      <c r="H3969" s="9">
        <f>MAX($F$3239:F3969)</f>
        <v>1.5955</v>
      </c>
      <c r="I3969" s="11">
        <f t="shared" si="91"/>
        <v>0</v>
      </c>
      <c r="J3969" s="9"/>
      <c r="K3969" s="11"/>
      <c r="L3969" s="9"/>
      <c r="M3969" s="11"/>
      <c r="N3969" s="9" t="s">
        <v>809</v>
      </c>
    </row>
    <row r="3970" ht="25" customHeight="1" spans="1:14">
      <c r="A3970" s="9" t="s">
        <v>327</v>
      </c>
      <c r="B3970" s="9" t="s">
        <v>326</v>
      </c>
      <c r="C3970" s="10">
        <v>44589</v>
      </c>
      <c r="D3970" s="15">
        <v>1.0052</v>
      </c>
      <c r="E3970" s="15">
        <v>1.4928</v>
      </c>
      <c r="F3970" s="15">
        <v>1.5984</v>
      </c>
      <c r="G3970" s="11">
        <v>0.0018</v>
      </c>
      <c r="H3970" s="9">
        <f>MAX($F$3239:F3970)</f>
        <v>1.5984</v>
      </c>
      <c r="I3970" s="11">
        <f t="shared" ref="I3970:I4033" si="92">1-F3970/H3970</f>
        <v>0</v>
      </c>
      <c r="J3970" s="9"/>
      <c r="K3970" s="11"/>
      <c r="L3970" s="9"/>
      <c r="M3970" s="11"/>
      <c r="N3970" s="9" t="s">
        <v>809</v>
      </c>
    </row>
    <row r="3971" ht="25" customHeight="1" spans="1:14">
      <c r="A3971" s="9" t="s">
        <v>327</v>
      </c>
      <c r="B3971" s="9" t="s">
        <v>326</v>
      </c>
      <c r="C3971" s="10">
        <v>44599</v>
      </c>
      <c r="D3971" s="15">
        <v>1.0051</v>
      </c>
      <c r="E3971" s="15">
        <v>1.4927</v>
      </c>
      <c r="F3971" s="15">
        <v>1.5982</v>
      </c>
      <c r="G3971" s="11">
        <v>-0.0001</v>
      </c>
      <c r="H3971" s="9">
        <f>MAX($F$3239:F3971)</f>
        <v>1.5984</v>
      </c>
      <c r="I3971" s="11">
        <f t="shared" si="92"/>
        <v>0.000125125125125081</v>
      </c>
      <c r="J3971" s="9"/>
      <c r="K3971" s="11"/>
      <c r="L3971" s="9"/>
      <c r="M3971" s="11"/>
      <c r="N3971" s="9" t="s">
        <v>809</v>
      </c>
    </row>
    <row r="3972" ht="25" customHeight="1" spans="1:14">
      <c r="A3972" s="9" t="s">
        <v>327</v>
      </c>
      <c r="B3972" s="9" t="s">
        <v>326</v>
      </c>
      <c r="C3972" s="10">
        <v>44600</v>
      </c>
      <c r="D3972" s="15">
        <v>1.0052</v>
      </c>
      <c r="E3972" s="15">
        <v>1.4928</v>
      </c>
      <c r="F3972" s="15">
        <v>1.5984</v>
      </c>
      <c r="G3972" s="11">
        <v>0.0001</v>
      </c>
      <c r="H3972" s="9">
        <f>MAX($F$3239:F3972)</f>
        <v>1.5984</v>
      </c>
      <c r="I3972" s="11">
        <f t="shared" si="92"/>
        <v>0</v>
      </c>
      <c r="J3972" s="9"/>
      <c r="K3972" s="11"/>
      <c r="L3972" s="9"/>
      <c r="M3972" s="11"/>
      <c r="N3972" s="9" t="s">
        <v>809</v>
      </c>
    </row>
    <row r="3973" ht="25" customHeight="1" spans="1:14">
      <c r="A3973" s="9" t="s">
        <v>327</v>
      </c>
      <c r="B3973" s="9" t="s">
        <v>326</v>
      </c>
      <c r="C3973" s="10">
        <v>44601</v>
      </c>
      <c r="D3973" s="15">
        <v>1.005</v>
      </c>
      <c r="E3973" s="15">
        <v>1.4926</v>
      </c>
      <c r="F3973" s="15">
        <v>1.5981</v>
      </c>
      <c r="G3973" s="11">
        <v>-0.0002</v>
      </c>
      <c r="H3973" s="9">
        <f>MAX($F$3239:F3973)</f>
        <v>1.5984</v>
      </c>
      <c r="I3973" s="11">
        <f t="shared" si="92"/>
        <v>0.000187687687687621</v>
      </c>
      <c r="J3973" s="9"/>
      <c r="K3973" s="11"/>
      <c r="L3973" s="9"/>
      <c r="M3973" s="11"/>
      <c r="N3973" s="9" t="s">
        <v>809</v>
      </c>
    </row>
    <row r="3974" ht="25" customHeight="1" spans="1:14">
      <c r="A3974" s="9" t="s">
        <v>327</v>
      </c>
      <c r="B3974" s="9" t="s">
        <v>326</v>
      </c>
      <c r="C3974" s="10">
        <v>44602</v>
      </c>
      <c r="D3974" s="15">
        <v>1.0052</v>
      </c>
      <c r="E3974" s="15">
        <v>1.4928</v>
      </c>
      <c r="F3974" s="15">
        <v>1.5984</v>
      </c>
      <c r="G3974" s="11">
        <v>0.0002</v>
      </c>
      <c r="H3974" s="9">
        <f>MAX($F$3239:F3974)</f>
        <v>1.5984</v>
      </c>
      <c r="I3974" s="11">
        <f t="shared" si="92"/>
        <v>0</v>
      </c>
      <c r="J3974" s="9"/>
      <c r="K3974" s="11"/>
      <c r="L3974" s="9"/>
      <c r="M3974" s="11"/>
      <c r="N3974" s="9" t="s">
        <v>809</v>
      </c>
    </row>
    <row r="3975" ht="25" customHeight="1" spans="1:14">
      <c r="A3975" s="9" t="s">
        <v>327</v>
      </c>
      <c r="B3975" s="9" t="s">
        <v>326</v>
      </c>
      <c r="C3975" s="10">
        <v>44603</v>
      </c>
      <c r="D3975" s="15">
        <v>1.0055</v>
      </c>
      <c r="E3975" s="15">
        <v>1.4931</v>
      </c>
      <c r="F3975" s="15">
        <v>1.5989</v>
      </c>
      <c r="G3975" s="11">
        <v>0.0003</v>
      </c>
      <c r="H3975" s="9">
        <f>MAX($F$3239:F3975)</f>
        <v>1.5989</v>
      </c>
      <c r="I3975" s="11">
        <f t="shared" si="92"/>
        <v>0</v>
      </c>
      <c r="J3975" s="9"/>
      <c r="K3975" s="11"/>
      <c r="L3975" s="9"/>
      <c r="M3975" s="11"/>
      <c r="N3975" s="9" t="s">
        <v>809</v>
      </c>
    </row>
    <row r="3976" ht="25" customHeight="1" spans="1:14">
      <c r="A3976" s="9" t="s">
        <v>327</v>
      </c>
      <c r="B3976" s="9" t="s">
        <v>326</v>
      </c>
      <c r="C3976" s="10">
        <v>44606</v>
      </c>
      <c r="D3976" s="15">
        <v>1.0052</v>
      </c>
      <c r="E3976" s="15">
        <v>1.4928</v>
      </c>
      <c r="F3976" s="15">
        <v>1.5984</v>
      </c>
      <c r="G3976" s="11">
        <v>-0.0003</v>
      </c>
      <c r="H3976" s="9">
        <f>MAX($F$3239:F3976)</f>
        <v>1.5989</v>
      </c>
      <c r="I3976" s="11">
        <f t="shared" si="92"/>
        <v>0.000312714991556606</v>
      </c>
      <c r="J3976" s="9"/>
      <c r="K3976" s="11"/>
      <c r="L3976" s="9"/>
      <c r="M3976" s="11"/>
      <c r="N3976" s="9" t="s">
        <v>809</v>
      </c>
    </row>
    <row r="3977" ht="25" customHeight="1" spans="1:14">
      <c r="A3977" s="9" t="s">
        <v>327</v>
      </c>
      <c r="B3977" s="9" t="s">
        <v>326</v>
      </c>
      <c r="C3977" s="10">
        <v>44607</v>
      </c>
      <c r="D3977" s="15">
        <v>1.0054</v>
      </c>
      <c r="E3977" s="15">
        <v>1.493</v>
      </c>
      <c r="F3977" s="15">
        <v>1.5987</v>
      </c>
      <c r="G3977" s="11">
        <v>0.0002</v>
      </c>
      <c r="H3977" s="9">
        <f>MAX($F$3239:F3977)</f>
        <v>1.5989</v>
      </c>
      <c r="I3977" s="11">
        <f t="shared" si="92"/>
        <v>0.000125085996622643</v>
      </c>
      <c r="J3977" s="9"/>
      <c r="K3977" s="11"/>
      <c r="L3977" s="9"/>
      <c r="M3977" s="11"/>
      <c r="N3977" s="9" t="s">
        <v>809</v>
      </c>
    </row>
    <row r="3978" ht="25" customHeight="1" spans="1:14">
      <c r="A3978" s="9" t="s">
        <v>327</v>
      </c>
      <c r="B3978" s="9" t="s">
        <v>326</v>
      </c>
      <c r="C3978" s="10">
        <v>44608</v>
      </c>
      <c r="D3978" s="15">
        <v>1.0074</v>
      </c>
      <c r="E3978" s="15">
        <v>1.495</v>
      </c>
      <c r="F3978" s="15">
        <v>1.6019</v>
      </c>
      <c r="G3978" s="11">
        <v>0.002</v>
      </c>
      <c r="H3978" s="9">
        <f>MAX($F$3239:F3978)</f>
        <v>1.6019</v>
      </c>
      <c r="I3978" s="11">
        <f t="shared" si="92"/>
        <v>0</v>
      </c>
      <c r="J3978" s="9"/>
      <c r="K3978" s="11"/>
      <c r="L3978" s="9"/>
      <c r="M3978" s="11"/>
      <c r="N3978" s="9" t="s">
        <v>809</v>
      </c>
    </row>
    <row r="3979" ht="25" customHeight="1" spans="1:14">
      <c r="A3979" s="9" t="s">
        <v>327</v>
      </c>
      <c r="B3979" s="9" t="s">
        <v>326</v>
      </c>
      <c r="C3979" s="10">
        <v>44609</v>
      </c>
      <c r="D3979" s="15">
        <v>1.0077</v>
      </c>
      <c r="E3979" s="15">
        <v>1.4953</v>
      </c>
      <c r="F3979" s="15">
        <v>1.6023</v>
      </c>
      <c r="G3979" s="11">
        <v>0.0003</v>
      </c>
      <c r="H3979" s="9">
        <f>MAX($F$3239:F3979)</f>
        <v>1.6023</v>
      </c>
      <c r="I3979" s="11">
        <f t="shared" si="92"/>
        <v>0</v>
      </c>
      <c r="J3979" s="9"/>
      <c r="K3979" s="11"/>
      <c r="L3979" s="9"/>
      <c r="M3979" s="11"/>
      <c r="N3979" s="9" t="s">
        <v>809</v>
      </c>
    </row>
    <row r="3980" ht="25" customHeight="1" spans="1:14">
      <c r="A3980" s="9" t="s">
        <v>327</v>
      </c>
      <c r="B3980" s="9" t="s">
        <v>326</v>
      </c>
      <c r="C3980" s="10">
        <v>44610</v>
      </c>
      <c r="D3980" s="15">
        <v>1.0081</v>
      </c>
      <c r="E3980" s="15">
        <v>1.4957</v>
      </c>
      <c r="F3980" s="15">
        <v>1.603</v>
      </c>
      <c r="G3980" s="11">
        <v>0.0004</v>
      </c>
      <c r="H3980" s="9">
        <f>MAX($F$3239:F3980)</f>
        <v>1.603</v>
      </c>
      <c r="I3980" s="11">
        <f t="shared" si="92"/>
        <v>0</v>
      </c>
      <c r="J3980" s="9"/>
      <c r="K3980" s="11"/>
      <c r="L3980" s="9"/>
      <c r="M3980" s="11"/>
      <c r="N3980" s="9" t="s">
        <v>809</v>
      </c>
    </row>
    <row r="3981" ht="25" customHeight="1" spans="1:14">
      <c r="A3981" s="9" t="s">
        <v>327</v>
      </c>
      <c r="B3981" s="9" t="s">
        <v>326</v>
      </c>
      <c r="C3981" s="10">
        <v>44613</v>
      </c>
      <c r="D3981" s="15">
        <v>1.0078</v>
      </c>
      <c r="E3981" s="15">
        <v>1.4954</v>
      </c>
      <c r="F3981" s="15">
        <v>1.6025</v>
      </c>
      <c r="G3981" s="11">
        <v>-0.0003</v>
      </c>
      <c r="H3981" s="9">
        <f>MAX($F$3239:F3981)</f>
        <v>1.603</v>
      </c>
      <c r="I3981" s="11">
        <f t="shared" si="92"/>
        <v>0.000311915159076692</v>
      </c>
      <c r="J3981" s="9"/>
      <c r="K3981" s="11"/>
      <c r="L3981" s="9"/>
      <c r="M3981" s="11"/>
      <c r="N3981" s="9" t="s">
        <v>809</v>
      </c>
    </row>
    <row r="3982" ht="25" customHeight="1" spans="1:14">
      <c r="A3982" s="9" t="s">
        <v>327</v>
      </c>
      <c r="B3982" s="9" t="s">
        <v>326</v>
      </c>
      <c r="C3982" s="10">
        <v>44614</v>
      </c>
      <c r="D3982" s="15">
        <v>1.0082</v>
      </c>
      <c r="E3982" s="15">
        <v>1.4958</v>
      </c>
      <c r="F3982" s="15">
        <v>1.6031</v>
      </c>
      <c r="G3982" s="11">
        <v>0.0004</v>
      </c>
      <c r="H3982" s="9">
        <f>MAX($F$3239:F3982)</f>
        <v>1.6031</v>
      </c>
      <c r="I3982" s="11">
        <f t="shared" si="92"/>
        <v>0</v>
      </c>
      <c r="J3982" s="9"/>
      <c r="K3982" s="11"/>
      <c r="L3982" s="9"/>
      <c r="M3982" s="11"/>
      <c r="N3982" s="9" t="s">
        <v>809</v>
      </c>
    </row>
    <row r="3983" ht="25" customHeight="1" spans="1:14">
      <c r="A3983" s="9" t="s">
        <v>327</v>
      </c>
      <c r="B3983" s="9" t="s">
        <v>326</v>
      </c>
      <c r="C3983" s="10">
        <v>44615</v>
      </c>
      <c r="D3983" s="15">
        <v>1.008</v>
      </c>
      <c r="E3983" s="15">
        <v>1.4956</v>
      </c>
      <c r="F3983" s="15">
        <v>1.6028</v>
      </c>
      <c r="G3983" s="11">
        <v>-0.0002</v>
      </c>
      <c r="H3983" s="9">
        <f>MAX($F$3239:F3983)</f>
        <v>1.6031</v>
      </c>
      <c r="I3983" s="11">
        <f t="shared" si="92"/>
        <v>0.000187137421246319</v>
      </c>
      <c r="J3983" s="9"/>
      <c r="K3983" s="11"/>
      <c r="L3983" s="9"/>
      <c r="M3983" s="11"/>
      <c r="N3983" s="9" t="s">
        <v>809</v>
      </c>
    </row>
    <row r="3984" ht="25" customHeight="1" spans="1:14">
      <c r="A3984" s="9" t="s">
        <v>327</v>
      </c>
      <c r="B3984" s="9" t="s">
        <v>326</v>
      </c>
      <c r="C3984" s="10">
        <v>44616</v>
      </c>
      <c r="D3984" s="15">
        <v>1.0092</v>
      </c>
      <c r="E3984" s="15">
        <v>1.4968</v>
      </c>
      <c r="F3984" s="15">
        <v>1.6047</v>
      </c>
      <c r="G3984" s="11">
        <v>0.0012</v>
      </c>
      <c r="H3984" s="9">
        <f>MAX($F$3239:F3984)</f>
        <v>1.6047</v>
      </c>
      <c r="I3984" s="11">
        <f t="shared" si="92"/>
        <v>0</v>
      </c>
      <c r="J3984" s="9"/>
      <c r="K3984" s="11"/>
      <c r="L3984" s="9"/>
      <c r="M3984" s="11"/>
      <c r="N3984" s="9" t="s">
        <v>809</v>
      </c>
    </row>
    <row r="3985" ht="25" customHeight="1" spans="1:14">
      <c r="A3985" s="9" t="s">
        <v>327</v>
      </c>
      <c r="B3985" s="9" t="s">
        <v>326</v>
      </c>
      <c r="C3985" s="10">
        <v>44617</v>
      </c>
      <c r="D3985" s="15">
        <v>1.0089</v>
      </c>
      <c r="E3985" s="15">
        <v>1.4965</v>
      </c>
      <c r="F3985" s="15">
        <v>1.6043</v>
      </c>
      <c r="G3985" s="11">
        <v>-0.0003</v>
      </c>
      <c r="H3985" s="9">
        <f>MAX($F$3239:F3985)</f>
        <v>1.6047</v>
      </c>
      <c r="I3985" s="11">
        <f t="shared" si="92"/>
        <v>0.00024926777590828</v>
      </c>
      <c r="J3985" s="9"/>
      <c r="K3985" s="11"/>
      <c r="L3985" s="9"/>
      <c r="M3985" s="11"/>
      <c r="N3985" s="9" t="s">
        <v>809</v>
      </c>
    </row>
    <row r="3986" ht="25" customHeight="1" spans="1:14">
      <c r="A3986" s="9" t="s">
        <v>327</v>
      </c>
      <c r="B3986" s="9" t="s">
        <v>326</v>
      </c>
      <c r="C3986" s="10">
        <v>44620</v>
      </c>
      <c r="D3986" s="15">
        <v>1.0089</v>
      </c>
      <c r="E3986" s="15">
        <v>1.4965</v>
      </c>
      <c r="F3986" s="15">
        <v>1.6043</v>
      </c>
      <c r="G3986" s="11">
        <v>0</v>
      </c>
      <c r="H3986" s="9">
        <f>MAX($F$3239:F3986)</f>
        <v>1.6047</v>
      </c>
      <c r="I3986" s="11">
        <f t="shared" si="92"/>
        <v>0.00024926777590828</v>
      </c>
      <c r="J3986" s="9"/>
      <c r="K3986" s="11"/>
      <c r="L3986" s="9"/>
      <c r="M3986" s="11"/>
      <c r="N3986" s="9" t="s">
        <v>809</v>
      </c>
    </row>
    <row r="3987" ht="25" customHeight="1" spans="1:14">
      <c r="A3987" s="9" t="s">
        <v>327</v>
      </c>
      <c r="B3987" s="9" t="s">
        <v>326</v>
      </c>
      <c r="C3987" s="10">
        <v>44621</v>
      </c>
      <c r="D3987" s="15">
        <v>1.0088</v>
      </c>
      <c r="E3987" s="15">
        <v>1.4964</v>
      </c>
      <c r="F3987" s="15">
        <v>1.6041</v>
      </c>
      <c r="G3987" s="11">
        <v>-0.0001</v>
      </c>
      <c r="H3987" s="9">
        <f>MAX($F$3239:F3987)</f>
        <v>1.6047</v>
      </c>
      <c r="I3987" s="11">
        <f t="shared" si="92"/>
        <v>0.000373901663862308</v>
      </c>
      <c r="J3987" s="9"/>
      <c r="K3987" s="11"/>
      <c r="L3987" s="9"/>
      <c r="M3987" s="11"/>
      <c r="N3987" s="9" t="s">
        <v>809</v>
      </c>
    </row>
    <row r="3988" ht="25" customHeight="1" spans="1:14">
      <c r="A3988" s="9" t="s">
        <v>327</v>
      </c>
      <c r="B3988" s="9" t="s">
        <v>326</v>
      </c>
      <c r="C3988" s="10">
        <v>44622</v>
      </c>
      <c r="D3988" s="15">
        <v>1.0086</v>
      </c>
      <c r="E3988" s="15">
        <v>1.4962</v>
      </c>
      <c r="F3988" s="15">
        <v>1.6038</v>
      </c>
      <c r="G3988" s="11">
        <v>-0.0002</v>
      </c>
      <c r="H3988" s="9">
        <f>MAX($F$3239:F3988)</f>
        <v>1.6047</v>
      </c>
      <c r="I3988" s="11">
        <f t="shared" si="92"/>
        <v>0.000560852495793629</v>
      </c>
      <c r="J3988" s="9"/>
      <c r="K3988" s="11"/>
      <c r="L3988" s="9"/>
      <c r="M3988" s="11"/>
      <c r="N3988" s="9" t="s">
        <v>809</v>
      </c>
    </row>
    <row r="3989" ht="25" customHeight="1" spans="1:14">
      <c r="A3989" s="9" t="s">
        <v>327</v>
      </c>
      <c r="B3989" s="9" t="s">
        <v>326</v>
      </c>
      <c r="C3989" s="10">
        <v>44623</v>
      </c>
      <c r="D3989" s="15">
        <v>1.0085</v>
      </c>
      <c r="E3989" s="15">
        <v>1.4961</v>
      </c>
      <c r="F3989" s="15">
        <v>1.6036</v>
      </c>
      <c r="G3989" s="11">
        <v>-0.0001</v>
      </c>
      <c r="H3989" s="9">
        <f>MAX($F$3239:F3989)</f>
        <v>1.6047</v>
      </c>
      <c r="I3989" s="11">
        <f t="shared" si="92"/>
        <v>0.000685486383747769</v>
      </c>
      <c r="J3989" s="9"/>
      <c r="K3989" s="11"/>
      <c r="L3989" s="9"/>
      <c r="M3989" s="11"/>
      <c r="N3989" s="9" t="s">
        <v>809</v>
      </c>
    </row>
    <row r="3990" ht="25" customHeight="1" spans="1:14">
      <c r="A3990" s="9" t="s">
        <v>327</v>
      </c>
      <c r="B3990" s="9" t="s">
        <v>326</v>
      </c>
      <c r="C3990" s="10">
        <v>44624</v>
      </c>
      <c r="D3990" s="15">
        <v>1.009</v>
      </c>
      <c r="E3990" s="15">
        <v>1.4966</v>
      </c>
      <c r="F3990" s="15">
        <v>1.6044</v>
      </c>
      <c r="G3990" s="11">
        <v>0.0005</v>
      </c>
      <c r="H3990" s="9">
        <f>MAX($F$3239:F3990)</f>
        <v>1.6047</v>
      </c>
      <c r="I3990" s="11">
        <f t="shared" si="92"/>
        <v>0.00018695083193121</v>
      </c>
      <c r="J3990" s="9"/>
      <c r="K3990" s="11"/>
      <c r="L3990" s="9"/>
      <c r="M3990" s="11"/>
      <c r="N3990" s="9" t="s">
        <v>809</v>
      </c>
    </row>
    <row r="3991" ht="25" customHeight="1" spans="1:14">
      <c r="A3991" s="9" t="s">
        <v>327</v>
      </c>
      <c r="B3991" s="9" t="s">
        <v>326</v>
      </c>
      <c r="C3991" s="10">
        <v>44627</v>
      </c>
      <c r="D3991" s="15">
        <v>1.0094</v>
      </c>
      <c r="E3991" s="15">
        <v>1.497</v>
      </c>
      <c r="F3991" s="15">
        <v>1.6051</v>
      </c>
      <c r="G3991" s="11">
        <v>0.0004</v>
      </c>
      <c r="H3991" s="9">
        <f>MAX($F$3239:F3991)</f>
        <v>1.6051</v>
      </c>
      <c r="I3991" s="11">
        <f t="shared" si="92"/>
        <v>0</v>
      </c>
      <c r="J3991" s="9"/>
      <c r="K3991" s="11"/>
      <c r="L3991" s="9"/>
      <c r="M3991" s="11"/>
      <c r="N3991" s="9" t="s">
        <v>809</v>
      </c>
    </row>
    <row r="3992" ht="25" customHeight="1" spans="1:14">
      <c r="A3992" s="9" t="s">
        <v>327</v>
      </c>
      <c r="B3992" s="9" t="s">
        <v>326</v>
      </c>
      <c r="C3992" s="10">
        <v>44628</v>
      </c>
      <c r="D3992" s="15">
        <v>1.0113</v>
      </c>
      <c r="E3992" s="15">
        <v>1.4989</v>
      </c>
      <c r="F3992" s="15">
        <v>1.6081</v>
      </c>
      <c r="G3992" s="11">
        <v>0.0019</v>
      </c>
      <c r="H3992" s="9">
        <f>MAX($F$3239:F3992)</f>
        <v>1.6081</v>
      </c>
      <c r="I3992" s="11">
        <f t="shared" si="92"/>
        <v>0</v>
      </c>
      <c r="J3992" s="9"/>
      <c r="K3992" s="11"/>
      <c r="L3992" s="9"/>
      <c r="M3992" s="11"/>
      <c r="N3992" s="9" t="s">
        <v>809</v>
      </c>
    </row>
    <row r="3993" ht="25" customHeight="1" spans="1:14">
      <c r="A3993" s="9" t="s">
        <v>327</v>
      </c>
      <c r="B3993" s="9" t="s">
        <v>326</v>
      </c>
      <c r="C3993" s="10">
        <v>44629</v>
      </c>
      <c r="D3993" s="15">
        <v>1.0186</v>
      </c>
      <c r="E3993" s="15">
        <v>1.5062</v>
      </c>
      <c r="F3993" s="15">
        <v>1.6197</v>
      </c>
      <c r="G3993" s="11">
        <v>0.0072</v>
      </c>
      <c r="H3993" s="9">
        <f>MAX($F$3239:F3993)</f>
        <v>1.6197</v>
      </c>
      <c r="I3993" s="11">
        <f t="shared" si="92"/>
        <v>0</v>
      </c>
      <c r="J3993" s="9"/>
      <c r="K3993" s="11"/>
      <c r="L3993" s="9"/>
      <c r="M3993" s="11"/>
      <c r="N3993" s="9" t="s">
        <v>809</v>
      </c>
    </row>
    <row r="3994" ht="25" customHeight="1" spans="1:14">
      <c r="A3994" s="9" t="s">
        <v>327</v>
      </c>
      <c r="B3994" s="9" t="s">
        <v>326</v>
      </c>
      <c r="C3994" s="10">
        <v>44630</v>
      </c>
      <c r="D3994" s="15">
        <v>1.0197</v>
      </c>
      <c r="E3994" s="15">
        <v>1.5073</v>
      </c>
      <c r="F3994" s="15">
        <v>1.6214</v>
      </c>
      <c r="G3994" s="11">
        <v>0.0011</v>
      </c>
      <c r="H3994" s="9">
        <f>MAX($F$3239:F3994)</f>
        <v>1.6214</v>
      </c>
      <c r="I3994" s="11">
        <f t="shared" si="92"/>
        <v>0</v>
      </c>
      <c r="J3994" s="9"/>
      <c r="K3994" s="11"/>
      <c r="L3994" s="9"/>
      <c r="M3994" s="11"/>
      <c r="N3994" s="9" t="s">
        <v>809</v>
      </c>
    </row>
    <row r="3995" ht="25" customHeight="1" spans="1:14">
      <c r="A3995" s="9" t="s">
        <v>327</v>
      </c>
      <c r="B3995" s="9" t="s">
        <v>326</v>
      </c>
      <c r="C3995" s="10">
        <v>44631</v>
      </c>
      <c r="D3995" s="15">
        <v>1.021</v>
      </c>
      <c r="E3995" s="15">
        <v>1.5086</v>
      </c>
      <c r="F3995" s="15">
        <v>1.6235</v>
      </c>
      <c r="G3995" s="11">
        <v>0.0013</v>
      </c>
      <c r="H3995" s="9">
        <f>MAX($F$3239:F3995)</f>
        <v>1.6235</v>
      </c>
      <c r="I3995" s="11">
        <f t="shared" si="92"/>
        <v>0</v>
      </c>
      <c r="J3995" s="9"/>
      <c r="K3995" s="11"/>
      <c r="L3995" s="9"/>
      <c r="M3995" s="11"/>
      <c r="N3995" s="9" t="s">
        <v>809</v>
      </c>
    </row>
    <row r="3996" ht="25" customHeight="1" spans="1:14">
      <c r="A3996" s="9" t="s">
        <v>327</v>
      </c>
      <c r="B3996" s="9" t="s">
        <v>326</v>
      </c>
      <c r="C3996" s="10">
        <v>44634</v>
      </c>
      <c r="D3996" s="15">
        <v>1.0225</v>
      </c>
      <c r="E3996" s="15">
        <v>1.5101</v>
      </c>
      <c r="F3996" s="15">
        <v>1.6259</v>
      </c>
      <c r="G3996" s="11">
        <v>0.0015</v>
      </c>
      <c r="H3996" s="9">
        <f>MAX($F$3239:F3996)</f>
        <v>1.6259</v>
      </c>
      <c r="I3996" s="11">
        <f t="shared" si="92"/>
        <v>0</v>
      </c>
      <c r="J3996" s="9"/>
      <c r="K3996" s="11"/>
      <c r="L3996" s="9"/>
      <c r="M3996" s="11"/>
      <c r="N3996" s="9" t="s">
        <v>809</v>
      </c>
    </row>
    <row r="3997" ht="25" customHeight="1" spans="1:14">
      <c r="A3997" s="9" t="s">
        <v>327</v>
      </c>
      <c r="B3997" s="9" t="s">
        <v>326</v>
      </c>
      <c r="C3997" s="10">
        <v>44635</v>
      </c>
      <c r="D3997" s="15">
        <v>1.0251</v>
      </c>
      <c r="E3997" s="15">
        <v>1.5127</v>
      </c>
      <c r="F3997" s="15">
        <v>1.63</v>
      </c>
      <c r="G3997" s="11">
        <v>0.0025</v>
      </c>
      <c r="H3997" s="9">
        <f>MAX($F$3239:F3997)</f>
        <v>1.63</v>
      </c>
      <c r="I3997" s="11">
        <f t="shared" si="92"/>
        <v>0</v>
      </c>
      <c r="J3997" s="9"/>
      <c r="K3997" s="11"/>
      <c r="L3997" s="9"/>
      <c r="M3997" s="11"/>
      <c r="N3997" s="9" t="s">
        <v>809</v>
      </c>
    </row>
    <row r="3998" ht="25" customHeight="1" spans="1:14">
      <c r="A3998" s="9" t="s">
        <v>327</v>
      </c>
      <c r="B3998" s="9" t="s">
        <v>326</v>
      </c>
      <c r="C3998" s="10">
        <v>44636</v>
      </c>
      <c r="D3998" s="15">
        <v>1.0268</v>
      </c>
      <c r="E3998" s="15">
        <v>1.5144</v>
      </c>
      <c r="F3998" s="15">
        <v>1.6327</v>
      </c>
      <c r="G3998" s="11">
        <v>0.0017</v>
      </c>
      <c r="H3998" s="9">
        <f>MAX($F$3239:F3998)</f>
        <v>1.6327</v>
      </c>
      <c r="I3998" s="11">
        <f t="shared" si="92"/>
        <v>0</v>
      </c>
      <c r="J3998" s="9"/>
      <c r="K3998" s="11"/>
      <c r="L3998" s="9"/>
      <c r="M3998" s="11"/>
      <c r="N3998" s="9" t="s">
        <v>809</v>
      </c>
    </row>
    <row r="3999" ht="25" customHeight="1" spans="1:14">
      <c r="A3999" s="9" t="s">
        <v>327</v>
      </c>
      <c r="B3999" s="9" t="s">
        <v>326</v>
      </c>
      <c r="C3999" s="10">
        <v>44637</v>
      </c>
      <c r="D3999" s="15">
        <v>1.0282</v>
      </c>
      <c r="E3999" s="15">
        <v>1.5158</v>
      </c>
      <c r="F3999" s="15">
        <v>1.6349</v>
      </c>
      <c r="G3999" s="11">
        <v>0.0014</v>
      </c>
      <c r="H3999" s="9">
        <f>MAX($F$3239:F3999)</f>
        <v>1.6349</v>
      </c>
      <c r="I3999" s="11">
        <f t="shared" si="92"/>
        <v>0</v>
      </c>
      <c r="J3999" s="9"/>
      <c r="K3999" s="11"/>
      <c r="L3999" s="9"/>
      <c r="M3999" s="11"/>
      <c r="N3999" s="9" t="s">
        <v>809</v>
      </c>
    </row>
    <row r="4000" ht="25" customHeight="1" spans="1:14">
      <c r="A4000" s="9" t="s">
        <v>327</v>
      </c>
      <c r="B4000" s="9" t="s">
        <v>326</v>
      </c>
      <c r="C4000" s="10">
        <v>44638</v>
      </c>
      <c r="D4000" s="15">
        <v>1.0298</v>
      </c>
      <c r="E4000" s="15">
        <v>1.5174</v>
      </c>
      <c r="F4000" s="15">
        <v>1.6375</v>
      </c>
      <c r="G4000" s="11">
        <v>0.0016</v>
      </c>
      <c r="H4000" s="9">
        <f>MAX($F$3239:F4000)</f>
        <v>1.6375</v>
      </c>
      <c r="I4000" s="11">
        <f t="shared" si="92"/>
        <v>0</v>
      </c>
      <c r="J4000" s="9"/>
      <c r="K4000" s="11"/>
      <c r="L4000" s="9"/>
      <c r="M4000" s="11"/>
      <c r="N4000" s="9" t="s">
        <v>809</v>
      </c>
    </row>
    <row r="4001" ht="25" customHeight="1" spans="1:14">
      <c r="A4001" s="9" t="s">
        <v>327</v>
      </c>
      <c r="B4001" s="9" t="s">
        <v>326</v>
      </c>
      <c r="C4001" s="10">
        <v>44641</v>
      </c>
      <c r="D4001" s="15">
        <v>1.0297</v>
      </c>
      <c r="E4001" s="15">
        <v>1.5173</v>
      </c>
      <c r="F4001" s="15">
        <v>1.6373</v>
      </c>
      <c r="G4001" s="11">
        <v>-0.0001</v>
      </c>
      <c r="H4001" s="9">
        <f>MAX($F$3239:F4001)</f>
        <v>1.6375</v>
      </c>
      <c r="I4001" s="11">
        <f t="shared" si="92"/>
        <v>0.000122137404580114</v>
      </c>
      <c r="J4001" s="9"/>
      <c r="K4001" s="11"/>
      <c r="L4001" s="9"/>
      <c r="M4001" s="11"/>
      <c r="N4001" s="9" t="s">
        <v>809</v>
      </c>
    </row>
    <row r="4002" ht="25" customHeight="1" spans="1:14">
      <c r="A4002" s="9" t="s">
        <v>327</v>
      </c>
      <c r="B4002" s="9" t="s">
        <v>326</v>
      </c>
      <c r="C4002" s="10">
        <v>44642</v>
      </c>
      <c r="D4002" s="15">
        <v>1.0299</v>
      </c>
      <c r="E4002" s="15">
        <v>1.5175</v>
      </c>
      <c r="F4002" s="15">
        <v>1.6376</v>
      </c>
      <c r="G4002" s="11">
        <v>0.0002</v>
      </c>
      <c r="H4002" s="9">
        <f>MAX($F$3239:F4002)</f>
        <v>1.6376</v>
      </c>
      <c r="I4002" s="11">
        <f t="shared" si="92"/>
        <v>0</v>
      </c>
      <c r="J4002" s="9"/>
      <c r="K4002" s="11"/>
      <c r="L4002" s="9"/>
      <c r="M4002" s="11"/>
      <c r="N4002" s="9" t="s">
        <v>809</v>
      </c>
    </row>
    <row r="4003" ht="25" customHeight="1" spans="1:14">
      <c r="A4003" s="9" t="s">
        <v>327</v>
      </c>
      <c r="B4003" s="9" t="s">
        <v>326</v>
      </c>
      <c r="C4003" s="10">
        <v>44643</v>
      </c>
      <c r="D4003" s="15">
        <v>1.0305</v>
      </c>
      <c r="E4003" s="15">
        <v>1.5181</v>
      </c>
      <c r="F4003" s="15">
        <v>1.6386</v>
      </c>
      <c r="G4003" s="11">
        <v>0.0006</v>
      </c>
      <c r="H4003" s="9">
        <f>MAX($F$3239:F4003)</f>
        <v>1.6386</v>
      </c>
      <c r="I4003" s="11">
        <f t="shared" si="92"/>
        <v>0</v>
      </c>
      <c r="J4003" s="9"/>
      <c r="K4003" s="11"/>
      <c r="L4003" s="9"/>
      <c r="M4003" s="11"/>
      <c r="N4003" s="9" t="s">
        <v>809</v>
      </c>
    </row>
    <row r="4004" ht="25" customHeight="1" spans="1:14">
      <c r="A4004" s="9" t="s">
        <v>327</v>
      </c>
      <c r="B4004" s="9" t="s">
        <v>326</v>
      </c>
      <c r="C4004" s="10">
        <v>44644</v>
      </c>
      <c r="D4004" s="15">
        <v>1.0307</v>
      </c>
      <c r="E4004" s="15">
        <v>1.5183</v>
      </c>
      <c r="F4004" s="15">
        <v>1.6389</v>
      </c>
      <c r="G4004" s="11">
        <v>0.0002</v>
      </c>
      <c r="H4004" s="9">
        <f>MAX($F$3239:F4004)</f>
        <v>1.6389</v>
      </c>
      <c r="I4004" s="11">
        <f t="shared" si="92"/>
        <v>0</v>
      </c>
      <c r="J4004" s="9"/>
      <c r="K4004" s="11"/>
      <c r="L4004" s="9"/>
      <c r="M4004" s="11"/>
      <c r="N4004" s="9" t="s">
        <v>809</v>
      </c>
    </row>
    <row r="4005" ht="25" customHeight="1" spans="1:14">
      <c r="A4005" s="9" t="s">
        <v>327</v>
      </c>
      <c r="B4005" s="9" t="s">
        <v>326</v>
      </c>
      <c r="C4005" s="10">
        <v>44645</v>
      </c>
      <c r="D4005" s="15">
        <v>1.0305</v>
      </c>
      <c r="E4005" s="15">
        <v>1.5181</v>
      </c>
      <c r="F4005" s="15">
        <v>1.6386</v>
      </c>
      <c r="G4005" s="11">
        <v>-0.0002</v>
      </c>
      <c r="H4005" s="9">
        <f>MAX($F$3239:F4005)</f>
        <v>1.6389</v>
      </c>
      <c r="I4005" s="11">
        <f t="shared" si="92"/>
        <v>0.000183049606443331</v>
      </c>
      <c r="J4005" s="9"/>
      <c r="K4005" s="11"/>
      <c r="L4005" s="9"/>
      <c r="M4005" s="11"/>
      <c r="N4005" s="9" t="s">
        <v>809</v>
      </c>
    </row>
    <row r="4006" ht="25" customHeight="1" spans="1:14">
      <c r="A4006" s="9" t="s">
        <v>327</v>
      </c>
      <c r="B4006" s="9" t="s">
        <v>326</v>
      </c>
      <c r="C4006" s="10">
        <v>44648</v>
      </c>
      <c r="D4006" s="15">
        <v>1.0312</v>
      </c>
      <c r="E4006" s="15">
        <v>1.5188</v>
      </c>
      <c r="F4006" s="15">
        <v>1.6397</v>
      </c>
      <c r="G4006" s="11">
        <v>0.0007</v>
      </c>
      <c r="H4006" s="9">
        <f>MAX($F$3239:F4006)</f>
        <v>1.6397</v>
      </c>
      <c r="I4006" s="11">
        <f t="shared" si="92"/>
        <v>0</v>
      </c>
      <c r="J4006" s="9"/>
      <c r="K4006" s="11"/>
      <c r="L4006" s="9"/>
      <c r="M4006" s="11"/>
      <c r="N4006" s="9" t="s">
        <v>809</v>
      </c>
    </row>
    <row r="4007" ht="25" customHeight="1" spans="1:14">
      <c r="A4007" s="9" t="s">
        <v>327</v>
      </c>
      <c r="B4007" s="9" t="s">
        <v>326</v>
      </c>
      <c r="C4007" s="10">
        <v>44649</v>
      </c>
      <c r="D4007" s="15">
        <v>1.0309</v>
      </c>
      <c r="E4007" s="15">
        <v>1.5185</v>
      </c>
      <c r="F4007" s="15">
        <v>1.6392</v>
      </c>
      <c r="G4007" s="11">
        <v>-0.0003</v>
      </c>
      <c r="H4007" s="9">
        <f>MAX($F$3239:F4007)</f>
        <v>1.6397</v>
      </c>
      <c r="I4007" s="11">
        <f t="shared" si="92"/>
        <v>0.000304933829359033</v>
      </c>
      <c r="J4007" s="9"/>
      <c r="K4007" s="11"/>
      <c r="L4007" s="9"/>
      <c r="M4007" s="11"/>
      <c r="N4007" s="9" t="s">
        <v>809</v>
      </c>
    </row>
    <row r="4008" ht="25" customHeight="1" spans="1:14">
      <c r="A4008" s="9" t="s">
        <v>327</v>
      </c>
      <c r="B4008" s="9" t="s">
        <v>326</v>
      </c>
      <c r="C4008" s="10">
        <v>44650</v>
      </c>
      <c r="D4008" s="15">
        <v>1.0309</v>
      </c>
      <c r="E4008" s="15">
        <v>1.5185</v>
      </c>
      <c r="F4008" s="15">
        <v>1.6392</v>
      </c>
      <c r="G4008" s="11">
        <v>0</v>
      </c>
      <c r="H4008" s="9">
        <f>MAX($F$3239:F4008)</f>
        <v>1.6397</v>
      </c>
      <c r="I4008" s="11">
        <f t="shared" si="92"/>
        <v>0.000304933829359033</v>
      </c>
      <c r="J4008" s="9"/>
      <c r="K4008" s="11"/>
      <c r="L4008" s="9"/>
      <c r="M4008" s="11"/>
      <c r="N4008" s="9" t="s">
        <v>809</v>
      </c>
    </row>
    <row r="4009" ht="25" customHeight="1" spans="1:14">
      <c r="A4009" s="9" t="s">
        <v>327</v>
      </c>
      <c r="B4009" s="9" t="s">
        <v>326</v>
      </c>
      <c r="C4009" s="10">
        <v>44651</v>
      </c>
      <c r="D4009" s="15">
        <v>1.0309</v>
      </c>
      <c r="E4009" s="15">
        <v>1.5185</v>
      </c>
      <c r="F4009" s="15">
        <v>1.6392</v>
      </c>
      <c r="G4009" s="11">
        <v>0</v>
      </c>
      <c r="H4009" s="9">
        <f>MAX($F$3239:F4009)</f>
        <v>1.6397</v>
      </c>
      <c r="I4009" s="11">
        <f t="shared" si="92"/>
        <v>0.000304933829359033</v>
      </c>
      <c r="J4009" s="9"/>
      <c r="K4009" s="11"/>
      <c r="L4009" s="9"/>
      <c r="M4009" s="11"/>
      <c r="N4009" s="9" t="s">
        <v>809</v>
      </c>
    </row>
    <row r="4010" ht="25" customHeight="1" spans="1:14">
      <c r="A4010" s="9" t="s">
        <v>327</v>
      </c>
      <c r="B4010" s="9" t="s">
        <v>326</v>
      </c>
      <c r="C4010" s="10">
        <v>44652</v>
      </c>
      <c r="D4010" s="15">
        <v>1.0306</v>
      </c>
      <c r="E4010" s="15">
        <v>1.5182</v>
      </c>
      <c r="F4010" s="15">
        <v>1.6388</v>
      </c>
      <c r="G4010" s="11">
        <v>-0.0003</v>
      </c>
      <c r="H4010" s="9">
        <f>MAX($F$3239:F4010)</f>
        <v>1.6397</v>
      </c>
      <c r="I4010" s="11">
        <f t="shared" si="92"/>
        <v>0.000548880892846215</v>
      </c>
      <c r="J4010" s="9"/>
      <c r="K4010" s="11"/>
      <c r="L4010" s="9"/>
      <c r="M4010" s="11"/>
      <c r="N4010" s="9" t="s">
        <v>809</v>
      </c>
    </row>
    <row r="4011" ht="25" customHeight="1" spans="1:14">
      <c r="A4011" s="9" t="s">
        <v>327</v>
      </c>
      <c r="B4011" s="9" t="s">
        <v>326</v>
      </c>
      <c r="C4011" s="10">
        <v>44657</v>
      </c>
      <c r="D4011" s="15">
        <v>1.0303</v>
      </c>
      <c r="E4011" s="15">
        <v>1.5179</v>
      </c>
      <c r="F4011" s="15">
        <v>1.6383</v>
      </c>
      <c r="G4011" s="11">
        <v>-0.0003</v>
      </c>
      <c r="H4011" s="9">
        <f>MAX($F$3239:F4011)</f>
        <v>1.6397</v>
      </c>
      <c r="I4011" s="11">
        <f t="shared" si="92"/>
        <v>0.000853814722205137</v>
      </c>
      <c r="J4011" s="9"/>
      <c r="K4011" s="11"/>
      <c r="L4011" s="9"/>
      <c r="M4011" s="11"/>
      <c r="N4011" s="9" t="s">
        <v>809</v>
      </c>
    </row>
    <row r="4012" ht="25" customHeight="1" spans="1:14">
      <c r="A4012" s="9" t="s">
        <v>327</v>
      </c>
      <c r="B4012" s="9" t="s">
        <v>326</v>
      </c>
      <c r="C4012" s="10">
        <v>44658</v>
      </c>
      <c r="D4012" s="15">
        <v>1.0305</v>
      </c>
      <c r="E4012" s="15">
        <v>1.5181</v>
      </c>
      <c r="F4012" s="15">
        <v>1.6386</v>
      </c>
      <c r="G4012" s="11">
        <v>0.0002</v>
      </c>
      <c r="H4012" s="9">
        <f>MAX($F$3239:F4012)</f>
        <v>1.6397</v>
      </c>
      <c r="I4012" s="11">
        <f t="shared" si="92"/>
        <v>0.000670854424589806</v>
      </c>
      <c r="J4012" s="9"/>
      <c r="K4012" s="11"/>
      <c r="L4012" s="9"/>
      <c r="M4012" s="11"/>
      <c r="N4012" s="9" t="s">
        <v>809</v>
      </c>
    </row>
    <row r="4013" ht="25" customHeight="1" spans="1:14">
      <c r="A4013" s="9" t="s">
        <v>327</v>
      </c>
      <c r="B4013" s="9" t="s">
        <v>326</v>
      </c>
      <c r="C4013" s="10">
        <v>44659</v>
      </c>
      <c r="D4013" s="15">
        <v>1.0308</v>
      </c>
      <c r="E4013" s="15">
        <v>1.5184</v>
      </c>
      <c r="F4013" s="15">
        <v>1.6391</v>
      </c>
      <c r="G4013" s="11">
        <v>0.0003</v>
      </c>
      <c r="H4013" s="9">
        <f>MAX($F$3239:F4013)</f>
        <v>1.6397</v>
      </c>
      <c r="I4013" s="11">
        <f t="shared" si="92"/>
        <v>0.000365920595230773</v>
      </c>
      <c r="J4013" s="9"/>
      <c r="K4013" s="11"/>
      <c r="L4013" s="9"/>
      <c r="M4013" s="11"/>
      <c r="N4013" s="9" t="s">
        <v>809</v>
      </c>
    </row>
    <row r="4014" ht="25" customHeight="1" spans="1:14">
      <c r="A4014" s="9" t="s">
        <v>327</v>
      </c>
      <c r="B4014" s="9" t="s">
        <v>326</v>
      </c>
      <c r="C4014" s="10">
        <v>44662</v>
      </c>
      <c r="D4014" s="15">
        <v>1.0312</v>
      </c>
      <c r="E4014" s="15">
        <v>1.5188</v>
      </c>
      <c r="F4014" s="15">
        <v>1.6397</v>
      </c>
      <c r="G4014" s="11">
        <v>0.0004</v>
      </c>
      <c r="H4014" s="9">
        <f>MAX($F$3239:F4014)</f>
        <v>1.6397</v>
      </c>
      <c r="I4014" s="11">
        <f t="shared" si="92"/>
        <v>0</v>
      </c>
      <c r="J4014" s="9"/>
      <c r="K4014" s="11"/>
      <c r="L4014" s="9"/>
      <c r="M4014" s="11"/>
      <c r="N4014" s="9" t="s">
        <v>809</v>
      </c>
    </row>
    <row r="4015" ht="25" customHeight="1" spans="1:14">
      <c r="A4015" s="9" t="s">
        <v>327</v>
      </c>
      <c r="B4015" s="9" t="s">
        <v>326</v>
      </c>
      <c r="C4015" s="10">
        <v>44663</v>
      </c>
      <c r="D4015" s="15">
        <v>1.0319</v>
      </c>
      <c r="E4015" s="15">
        <v>1.5195</v>
      </c>
      <c r="F4015" s="15">
        <v>1.6408</v>
      </c>
      <c r="G4015" s="11">
        <v>0.0007</v>
      </c>
      <c r="H4015" s="9">
        <f>MAX($F$3239:F4015)</f>
        <v>1.6408</v>
      </c>
      <c r="I4015" s="11">
        <f t="shared" si="92"/>
        <v>0</v>
      </c>
      <c r="J4015" s="9"/>
      <c r="K4015" s="11"/>
      <c r="L4015" s="9"/>
      <c r="M4015" s="11"/>
      <c r="N4015" s="9" t="s">
        <v>809</v>
      </c>
    </row>
    <row r="4016" ht="25" customHeight="1" spans="1:14">
      <c r="A4016" s="9" t="s">
        <v>327</v>
      </c>
      <c r="B4016" s="9" t="s">
        <v>326</v>
      </c>
      <c r="C4016" s="10">
        <v>44664</v>
      </c>
      <c r="D4016" s="15">
        <v>1.0328</v>
      </c>
      <c r="E4016" s="15">
        <v>1.5204</v>
      </c>
      <c r="F4016" s="15">
        <v>1.6423</v>
      </c>
      <c r="G4016" s="11">
        <v>0.0009</v>
      </c>
      <c r="H4016" s="9">
        <f>MAX($F$3239:F4016)</f>
        <v>1.6423</v>
      </c>
      <c r="I4016" s="11">
        <f t="shared" si="92"/>
        <v>0</v>
      </c>
      <c r="J4016" s="9"/>
      <c r="K4016" s="11"/>
      <c r="L4016" s="9"/>
      <c r="M4016" s="11"/>
      <c r="N4016" s="9" t="s">
        <v>809</v>
      </c>
    </row>
    <row r="4017" ht="25" customHeight="1" spans="1:14">
      <c r="A4017" s="9" t="s">
        <v>327</v>
      </c>
      <c r="B4017" s="9" t="s">
        <v>326</v>
      </c>
      <c r="C4017" s="10">
        <v>44665</v>
      </c>
      <c r="D4017" s="15">
        <v>1.0335</v>
      </c>
      <c r="E4017" s="15">
        <v>1.5211</v>
      </c>
      <c r="F4017" s="15">
        <v>1.6434</v>
      </c>
      <c r="G4017" s="11">
        <v>0.0007</v>
      </c>
      <c r="H4017" s="9">
        <f>MAX($F$3239:F4017)</f>
        <v>1.6434</v>
      </c>
      <c r="I4017" s="11">
        <f t="shared" si="92"/>
        <v>0</v>
      </c>
      <c r="J4017" s="9"/>
      <c r="K4017" s="11"/>
      <c r="L4017" s="9"/>
      <c r="M4017" s="11"/>
      <c r="N4017" s="9" t="s">
        <v>809</v>
      </c>
    </row>
    <row r="4018" ht="25" customHeight="1" spans="1:14">
      <c r="A4018" s="9" t="s">
        <v>327</v>
      </c>
      <c r="B4018" s="9" t="s">
        <v>326</v>
      </c>
      <c r="C4018" s="10">
        <v>44666</v>
      </c>
      <c r="D4018" s="15">
        <v>1.0336</v>
      </c>
      <c r="E4018" s="15">
        <v>1.5212</v>
      </c>
      <c r="F4018" s="15">
        <v>1.6435</v>
      </c>
      <c r="G4018" s="11">
        <v>0.0001</v>
      </c>
      <c r="H4018" s="9">
        <f>MAX($F$3239:F4018)</f>
        <v>1.6435</v>
      </c>
      <c r="I4018" s="11">
        <f t="shared" si="92"/>
        <v>0</v>
      </c>
      <c r="J4018" s="9"/>
      <c r="K4018" s="11"/>
      <c r="L4018" s="9"/>
      <c r="M4018" s="11"/>
      <c r="N4018" s="9" t="s">
        <v>809</v>
      </c>
    </row>
    <row r="4019" ht="25" customHeight="1" spans="1:14">
      <c r="A4019" s="9" t="s">
        <v>327</v>
      </c>
      <c r="B4019" s="9" t="s">
        <v>326</v>
      </c>
      <c r="C4019" s="10">
        <v>44669</v>
      </c>
      <c r="D4019" s="15">
        <v>1.0337</v>
      </c>
      <c r="E4019" s="15">
        <v>1.5213</v>
      </c>
      <c r="F4019" s="15">
        <v>1.6437</v>
      </c>
      <c r="G4019" s="11">
        <v>0.0001</v>
      </c>
      <c r="H4019" s="9">
        <f>MAX($F$3239:F4019)</f>
        <v>1.6437</v>
      </c>
      <c r="I4019" s="11">
        <f t="shared" si="92"/>
        <v>0</v>
      </c>
      <c r="J4019" s="9"/>
      <c r="K4019" s="11"/>
      <c r="L4019" s="9"/>
      <c r="M4019" s="11"/>
      <c r="N4019" s="9" t="s">
        <v>809</v>
      </c>
    </row>
    <row r="4020" ht="25" customHeight="1" spans="1:14">
      <c r="A4020" s="9" t="s">
        <v>327</v>
      </c>
      <c r="B4020" s="9" t="s">
        <v>326</v>
      </c>
      <c r="C4020" s="10">
        <v>44670</v>
      </c>
      <c r="D4020" s="15">
        <v>1.0338</v>
      </c>
      <c r="E4020" s="15">
        <v>1.5214</v>
      </c>
      <c r="F4020" s="15">
        <v>1.6439</v>
      </c>
      <c r="G4020" s="11">
        <v>0.0001</v>
      </c>
      <c r="H4020" s="9">
        <f>MAX($F$3239:F4020)</f>
        <v>1.6439</v>
      </c>
      <c r="I4020" s="11">
        <f t="shared" si="92"/>
        <v>0</v>
      </c>
      <c r="J4020" s="9"/>
      <c r="K4020" s="11"/>
      <c r="L4020" s="9"/>
      <c r="M4020" s="11"/>
      <c r="N4020" s="9" t="s">
        <v>809</v>
      </c>
    </row>
    <row r="4021" ht="25" customHeight="1" spans="1:14">
      <c r="A4021" s="9" t="s">
        <v>327</v>
      </c>
      <c r="B4021" s="9" t="s">
        <v>326</v>
      </c>
      <c r="C4021" s="10">
        <v>44671</v>
      </c>
      <c r="D4021" s="15">
        <v>1.0339</v>
      </c>
      <c r="E4021" s="15">
        <v>1.5215</v>
      </c>
      <c r="F4021" s="15">
        <v>1.644</v>
      </c>
      <c r="G4021" s="11">
        <v>0.0001</v>
      </c>
      <c r="H4021" s="9">
        <f>MAX($F$3239:F4021)</f>
        <v>1.644</v>
      </c>
      <c r="I4021" s="11">
        <f t="shared" si="92"/>
        <v>0</v>
      </c>
      <c r="J4021" s="9"/>
      <c r="K4021" s="11"/>
      <c r="L4021" s="9"/>
      <c r="M4021" s="11"/>
      <c r="N4021" s="9" t="s">
        <v>809</v>
      </c>
    </row>
    <row r="4022" ht="25" customHeight="1" spans="1:14">
      <c r="A4022" s="9" t="s">
        <v>327</v>
      </c>
      <c r="B4022" s="9" t="s">
        <v>326</v>
      </c>
      <c r="C4022" s="10">
        <v>44672</v>
      </c>
      <c r="D4022" s="15">
        <v>1.0349</v>
      </c>
      <c r="E4022" s="15">
        <v>1.5225</v>
      </c>
      <c r="F4022" s="15">
        <v>1.6456</v>
      </c>
      <c r="G4022" s="11">
        <v>0.001</v>
      </c>
      <c r="H4022" s="9">
        <f>MAX($F$3239:F4022)</f>
        <v>1.6456</v>
      </c>
      <c r="I4022" s="11">
        <f t="shared" si="92"/>
        <v>0</v>
      </c>
      <c r="J4022" s="9"/>
      <c r="K4022" s="11"/>
      <c r="L4022" s="9"/>
      <c r="M4022" s="11"/>
      <c r="N4022" s="9" t="s">
        <v>809</v>
      </c>
    </row>
    <row r="4023" ht="25" customHeight="1" spans="1:14">
      <c r="A4023" s="9" t="s">
        <v>327</v>
      </c>
      <c r="B4023" s="9" t="s">
        <v>326</v>
      </c>
      <c r="C4023" s="10">
        <v>44673</v>
      </c>
      <c r="D4023" s="15">
        <v>1.0347</v>
      </c>
      <c r="E4023" s="15">
        <v>1.5223</v>
      </c>
      <c r="F4023" s="15">
        <v>1.6453</v>
      </c>
      <c r="G4023" s="11">
        <v>-0.0002</v>
      </c>
      <c r="H4023" s="9">
        <f>MAX($F$3239:F4023)</f>
        <v>1.6456</v>
      </c>
      <c r="I4023" s="11">
        <f t="shared" si="92"/>
        <v>0.000182304326689309</v>
      </c>
      <c r="J4023" s="9"/>
      <c r="K4023" s="11"/>
      <c r="L4023" s="9"/>
      <c r="M4023" s="11"/>
      <c r="N4023" s="9" t="s">
        <v>809</v>
      </c>
    </row>
    <row r="4024" ht="25" customHeight="1" spans="1:14">
      <c r="A4024" s="9" t="s">
        <v>327</v>
      </c>
      <c r="B4024" s="9" t="s">
        <v>326</v>
      </c>
      <c r="C4024" s="10">
        <v>44676</v>
      </c>
      <c r="D4024" s="15">
        <v>1.0364</v>
      </c>
      <c r="E4024" s="15">
        <v>1.524</v>
      </c>
      <c r="F4024" s="15">
        <v>1.648</v>
      </c>
      <c r="G4024" s="11">
        <v>0.0016</v>
      </c>
      <c r="H4024" s="9">
        <f>MAX($F$3239:F4024)</f>
        <v>1.648</v>
      </c>
      <c r="I4024" s="11">
        <f t="shared" si="92"/>
        <v>0</v>
      </c>
      <c r="J4024" s="9"/>
      <c r="K4024" s="11"/>
      <c r="L4024" s="9"/>
      <c r="M4024" s="11"/>
      <c r="N4024" s="9" t="s">
        <v>809</v>
      </c>
    </row>
    <row r="4025" ht="25" customHeight="1" spans="1:14">
      <c r="A4025" s="9" t="s">
        <v>327</v>
      </c>
      <c r="B4025" s="9" t="s">
        <v>326</v>
      </c>
      <c r="C4025" s="10">
        <v>44677</v>
      </c>
      <c r="D4025" s="15">
        <v>1.0384</v>
      </c>
      <c r="E4025" s="15">
        <v>1.526</v>
      </c>
      <c r="F4025" s="15">
        <v>1.6512</v>
      </c>
      <c r="G4025" s="11">
        <v>0.0019</v>
      </c>
      <c r="H4025" s="9">
        <f>MAX($F$3239:F4025)</f>
        <v>1.6512</v>
      </c>
      <c r="I4025" s="11">
        <f t="shared" si="92"/>
        <v>0</v>
      </c>
      <c r="J4025" s="9"/>
      <c r="K4025" s="11"/>
      <c r="L4025" s="9"/>
      <c r="M4025" s="11"/>
      <c r="N4025" s="9" t="s">
        <v>809</v>
      </c>
    </row>
    <row r="4026" ht="25" customHeight="1" spans="1:14">
      <c r="A4026" s="9" t="s">
        <v>327</v>
      </c>
      <c r="B4026" s="9" t="s">
        <v>326</v>
      </c>
      <c r="C4026" s="10">
        <v>44678</v>
      </c>
      <c r="D4026" s="15">
        <v>1.0393</v>
      </c>
      <c r="E4026" s="15">
        <v>1.5269</v>
      </c>
      <c r="F4026" s="15">
        <v>1.6526</v>
      </c>
      <c r="G4026" s="11">
        <v>0.0009</v>
      </c>
      <c r="H4026" s="9">
        <f>MAX($F$3239:F4026)</f>
        <v>1.6526</v>
      </c>
      <c r="I4026" s="11">
        <f t="shared" si="92"/>
        <v>0</v>
      </c>
      <c r="J4026" s="9"/>
      <c r="K4026" s="11"/>
      <c r="L4026" s="9"/>
      <c r="M4026" s="11"/>
      <c r="N4026" s="9" t="s">
        <v>809</v>
      </c>
    </row>
    <row r="4027" ht="25" customHeight="1" spans="1:14">
      <c r="A4027" s="9" t="s">
        <v>327</v>
      </c>
      <c r="B4027" s="9" t="s">
        <v>326</v>
      </c>
      <c r="C4027" s="10">
        <v>44679</v>
      </c>
      <c r="D4027" s="15">
        <v>1.0396</v>
      </c>
      <c r="E4027" s="15">
        <v>1.5272</v>
      </c>
      <c r="F4027" s="15">
        <v>1.6531</v>
      </c>
      <c r="G4027" s="11">
        <v>0.0003</v>
      </c>
      <c r="H4027" s="9">
        <f>MAX($F$3239:F4027)</f>
        <v>1.6531</v>
      </c>
      <c r="I4027" s="11">
        <f t="shared" si="92"/>
        <v>0</v>
      </c>
      <c r="J4027" s="9"/>
      <c r="K4027" s="11"/>
      <c r="L4027" s="9"/>
      <c r="M4027" s="11"/>
      <c r="N4027" s="9" t="s">
        <v>809</v>
      </c>
    </row>
    <row r="4028" ht="25" customHeight="1" spans="1:14">
      <c r="A4028" s="9" t="s">
        <v>327</v>
      </c>
      <c r="B4028" s="9" t="s">
        <v>326</v>
      </c>
      <c r="C4028" s="10">
        <v>44680</v>
      </c>
      <c r="D4028" s="15">
        <v>1.0411</v>
      </c>
      <c r="E4028" s="15">
        <v>1.5287</v>
      </c>
      <c r="F4028" s="15">
        <v>1.6555</v>
      </c>
      <c r="G4028" s="11">
        <v>0.0014</v>
      </c>
      <c r="H4028" s="9">
        <f>MAX($F$3239:F4028)</f>
        <v>1.6555</v>
      </c>
      <c r="I4028" s="11">
        <f t="shared" si="92"/>
        <v>0</v>
      </c>
      <c r="J4028" s="9"/>
      <c r="K4028" s="11"/>
      <c r="L4028" s="9"/>
      <c r="M4028" s="11"/>
      <c r="N4028" s="9" t="s">
        <v>809</v>
      </c>
    </row>
    <row r="4029" ht="25" customHeight="1" spans="1:14">
      <c r="A4029" s="9" t="s">
        <v>327</v>
      </c>
      <c r="B4029" s="9" t="s">
        <v>326</v>
      </c>
      <c r="C4029" s="10">
        <v>44686</v>
      </c>
      <c r="D4029" s="15">
        <v>1.041</v>
      </c>
      <c r="E4029" s="15">
        <v>1.5286</v>
      </c>
      <c r="F4029" s="15">
        <v>1.6553</v>
      </c>
      <c r="G4029" s="11">
        <v>-0.0001</v>
      </c>
      <c r="H4029" s="9">
        <f>MAX($F$3239:F4029)</f>
        <v>1.6555</v>
      </c>
      <c r="I4029" s="11">
        <f t="shared" si="92"/>
        <v>0.000120809423134971</v>
      </c>
      <c r="J4029" s="9"/>
      <c r="K4029" s="11"/>
      <c r="L4029" s="9"/>
      <c r="M4029" s="11"/>
      <c r="N4029" s="9" t="s">
        <v>809</v>
      </c>
    </row>
    <row r="4030" ht="25" customHeight="1" spans="1:14">
      <c r="A4030" s="9" t="s">
        <v>327</v>
      </c>
      <c r="B4030" s="9" t="s">
        <v>326</v>
      </c>
      <c r="C4030" s="10">
        <v>44687</v>
      </c>
      <c r="D4030" s="15">
        <v>1.0413</v>
      </c>
      <c r="E4030" s="15">
        <v>1.5289</v>
      </c>
      <c r="F4030" s="15">
        <v>1.6558</v>
      </c>
      <c r="G4030" s="11">
        <v>0.0003</v>
      </c>
      <c r="H4030" s="9">
        <f>MAX($F$3239:F4030)</f>
        <v>1.6558</v>
      </c>
      <c r="I4030" s="11">
        <f t="shared" si="92"/>
        <v>0</v>
      </c>
      <c r="J4030" s="9"/>
      <c r="K4030" s="11"/>
      <c r="L4030" s="9"/>
      <c r="M4030" s="11"/>
      <c r="N4030" s="9" t="s">
        <v>809</v>
      </c>
    </row>
    <row r="4031" ht="25" customHeight="1" spans="1:14">
      <c r="A4031" s="9" t="s">
        <v>327</v>
      </c>
      <c r="B4031" s="9" t="s">
        <v>326</v>
      </c>
      <c r="C4031" s="10">
        <v>44690</v>
      </c>
      <c r="D4031" s="15">
        <v>1.0412</v>
      </c>
      <c r="E4031" s="15">
        <v>1.5288</v>
      </c>
      <c r="F4031" s="15">
        <v>1.6556</v>
      </c>
      <c r="G4031" s="11">
        <v>-0.0001</v>
      </c>
      <c r="H4031" s="9">
        <f>MAX($F$3239:F4031)</f>
        <v>1.6558</v>
      </c>
      <c r="I4031" s="11">
        <f t="shared" si="92"/>
        <v>0.000120787534726441</v>
      </c>
      <c r="J4031" s="9"/>
      <c r="K4031" s="11"/>
      <c r="L4031" s="9"/>
      <c r="M4031" s="11"/>
      <c r="N4031" s="9" t="s">
        <v>809</v>
      </c>
    </row>
    <row r="4032" ht="25" customHeight="1" spans="1:14">
      <c r="A4032" s="9" t="s">
        <v>327</v>
      </c>
      <c r="B4032" s="9" t="s">
        <v>326</v>
      </c>
      <c r="C4032" s="10">
        <v>44691</v>
      </c>
      <c r="D4032" s="15">
        <v>1.0416</v>
      </c>
      <c r="E4032" s="15">
        <v>1.5292</v>
      </c>
      <c r="F4032" s="15">
        <v>1.6563</v>
      </c>
      <c r="G4032" s="11">
        <v>0.0004</v>
      </c>
      <c r="H4032" s="9">
        <f>MAX($F$3239:F4032)</f>
        <v>1.6563</v>
      </c>
      <c r="I4032" s="11">
        <f t="shared" si="92"/>
        <v>0</v>
      </c>
      <c r="J4032" s="9"/>
      <c r="K4032" s="11"/>
      <c r="L4032" s="9"/>
      <c r="M4032" s="11"/>
      <c r="N4032" s="9" t="s">
        <v>809</v>
      </c>
    </row>
    <row r="4033" ht="25" customHeight="1" spans="1:14">
      <c r="A4033" s="9" t="s">
        <v>327</v>
      </c>
      <c r="B4033" s="9" t="s">
        <v>326</v>
      </c>
      <c r="C4033" s="10">
        <v>44692</v>
      </c>
      <c r="D4033" s="15">
        <v>1.0417</v>
      </c>
      <c r="E4033" s="15">
        <v>1.5293</v>
      </c>
      <c r="F4033" s="15">
        <v>1.6564</v>
      </c>
      <c r="G4033" s="11">
        <v>0.0001</v>
      </c>
      <c r="H4033" s="9">
        <f>MAX($F$3239:F4033)</f>
        <v>1.6564</v>
      </c>
      <c r="I4033" s="11">
        <f t="shared" si="92"/>
        <v>0</v>
      </c>
      <c r="J4033" s="9"/>
      <c r="K4033" s="11"/>
      <c r="L4033" s="9"/>
      <c r="M4033" s="11"/>
      <c r="N4033" s="9" t="s">
        <v>809</v>
      </c>
    </row>
    <row r="4034" ht="25" customHeight="1" spans="1:14">
      <c r="A4034" s="9" t="s">
        <v>327</v>
      </c>
      <c r="B4034" s="9" t="s">
        <v>326</v>
      </c>
      <c r="C4034" s="10">
        <v>44693</v>
      </c>
      <c r="D4034" s="15">
        <v>1.0417</v>
      </c>
      <c r="E4034" s="15">
        <v>1.5293</v>
      </c>
      <c r="F4034" s="15">
        <v>1.6564</v>
      </c>
      <c r="G4034" s="11">
        <v>0</v>
      </c>
      <c r="H4034" s="9">
        <f>MAX($F$3239:F4034)</f>
        <v>1.6564</v>
      </c>
      <c r="I4034" s="11">
        <f t="shared" ref="I4034:I4097" si="93">1-F4034/H4034</f>
        <v>0</v>
      </c>
      <c r="J4034" s="9"/>
      <c r="K4034" s="11"/>
      <c r="L4034" s="9"/>
      <c r="M4034" s="11"/>
      <c r="N4034" s="9" t="s">
        <v>809</v>
      </c>
    </row>
    <row r="4035" ht="25" customHeight="1" spans="1:14">
      <c r="A4035" s="9" t="s">
        <v>327</v>
      </c>
      <c r="B4035" s="9" t="s">
        <v>326</v>
      </c>
      <c r="C4035" s="10">
        <v>44694</v>
      </c>
      <c r="D4035" s="15">
        <v>1.0432</v>
      </c>
      <c r="E4035" s="15">
        <v>1.5308</v>
      </c>
      <c r="F4035" s="15">
        <v>1.6588</v>
      </c>
      <c r="G4035" s="11">
        <v>0.0014</v>
      </c>
      <c r="H4035" s="9">
        <f>MAX($F$3239:F4035)</f>
        <v>1.6588</v>
      </c>
      <c r="I4035" s="11">
        <f t="shared" si="93"/>
        <v>0</v>
      </c>
      <c r="J4035" s="9"/>
      <c r="K4035" s="11"/>
      <c r="L4035" s="9"/>
      <c r="M4035" s="11"/>
      <c r="N4035" s="9" t="s">
        <v>809</v>
      </c>
    </row>
    <row r="4036" ht="25" customHeight="1" spans="1:14">
      <c r="A4036" s="9" t="s">
        <v>327</v>
      </c>
      <c r="B4036" s="9" t="s">
        <v>326</v>
      </c>
      <c r="C4036" s="10">
        <v>44697</v>
      </c>
      <c r="D4036" s="15">
        <v>1.0435</v>
      </c>
      <c r="E4036" s="15">
        <v>1.5311</v>
      </c>
      <c r="F4036" s="15">
        <v>1.6593</v>
      </c>
      <c r="G4036" s="11">
        <v>0.0003</v>
      </c>
      <c r="H4036" s="9">
        <f>MAX($F$3239:F4036)</f>
        <v>1.6593</v>
      </c>
      <c r="I4036" s="11">
        <f t="shared" si="93"/>
        <v>0</v>
      </c>
      <c r="J4036" s="9"/>
      <c r="K4036" s="11"/>
      <c r="L4036" s="9"/>
      <c r="M4036" s="11"/>
      <c r="N4036" s="9" t="s">
        <v>809</v>
      </c>
    </row>
    <row r="4037" ht="25" customHeight="1" spans="1:14">
      <c r="A4037" s="9" t="s">
        <v>327</v>
      </c>
      <c r="B4037" s="9" t="s">
        <v>326</v>
      </c>
      <c r="C4037" s="10">
        <v>44698</v>
      </c>
      <c r="D4037" s="15">
        <v>1.0433</v>
      </c>
      <c r="E4037" s="15">
        <v>1.5309</v>
      </c>
      <c r="F4037" s="15">
        <v>1.659</v>
      </c>
      <c r="G4037" s="11">
        <v>-0.0002</v>
      </c>
      <c r="H4037" s="9">
        <f>MAX($F$3239:F4037)</f>
        <v>1.6593</v>
      </c>
      <c r="I4037" s="11">
        <f t="shared" si="93"/>
        <v>0.000180799132164178</v>
      </c>
      <c r="J4037" s="9"/>
      <c r="K4037" s="11"/>
      <c r="L4037" s="9"/>
      <c r="M4037" s="11"/>
      <c r="N4037" s="9" t="s">
        <v>809</v>
      </c>
    </row>
    <row r="4038" ht="25" customHeight="1" spans="1:14">
      <c r="A4038" s="9" t="s">
        <v>327</v>
      </c>
      <c r="B4038" s="9" t="s">
        <v>326</v>
      </c>
      <c r="C4038" s="10">
        <v>44699</v>
      </c>
      <c r="D4038" s="15">
        <v>1.0432</v>
      </c>
      <c r="E4038" s="15">
        <v>1.5308</v>
      </c>
      <c r="F4038" s="15">
        <v>1.6588</v>
      </c>
      <c r="G4038" s="11">
        <v>-0.0001</v>
      </c>
      <c r="H4038" s="9">
        <f>MAX($F$3239:F4038)</f>
        <v>1.6593</v>
      </c>
      <c r="I4038" s="11">
        <f t="shared" si="93"/>
        <v>0.000301331886940259</v>
      </c>
      <c r="J4038" s="9"/>
      <c r="K4038" s="11"/>
      <c r="L4038" s="9"/>
      <c r="M4038" s="11"/>
      <c r="N4038" s="9" t="s">
        <v>809</v>
      </c>
    </row>
    <row r="4039" ht="25" customHeight="1" spans="1:14">
      <c r="A4039" s="9" t="s">
        <v>327</v>
      </c>
      <c r="B4039" s="9" t="s">
        <v>326</v>
      </c>
      <c r="C4039" s="10">
        <v>44700</v>
      </c>
      <c r="D4039" s="15">
        <v>1.0435</v>
      </c>
      <c r="E4039" s="15">
        <v>1.5311</v>
      </c>
      <c r="F4039" s="15">
        <v>1.6593</v>
      </c>
      <c r="G4039" s="11">
        <v>0.0003</v>
      </c>
      <c r="H4039" s="9">
        <f>MAX($F$3239:F4039)</f>
        <v>1.6593</v>
      </c>
      <c r="I4039" s="11">
        <f t="shared" si="93"/>
        <v>0</v>
      </c>
      <c r="J4039" s="9"/>
      <c r="K4039" s="11"/>
      <c r="L4039" s="9"/>
      <c r="M4039" s="11"/>
      <c r="N4039" s="9" t="s">
        <v>809</v>
      </c>
    </row>
    <row r="4040" ht="25" customHeight="1" spans="1:14">
      <c r="A4040" s="9" t="s">
        <v>327</v>
      </c>
      <c r="B4040" s="9" t="s">
        <v>326</v>
      </c>
      <c r="C4040" s="10">
        <v>44701</v>
      </c>
      <c r="D4040" s="15">
        <v>1.0434</v>
      </c>
      <c r="E4040" s="15">
        <v>1.531</v>
      </c>
      <c r="F4040" s="15">
        <v>1.6591</v>
      </c>
      <c r="G4040" s="11">
        <v>-0.0001</v>
      </c>
      <c r="H4040" s="9">
        <f>MAX($F$3239:F4040)</f>
        <v>1.6593</v>
      </c>
      <c r="I4040" s="11">
        <f t="shared" si="93"/>
        <v>0.000120532754776081</v>
      </c>
      <c r="J4040" s="9"/>
      <c r="K4040" s="11"/>
      <c r="L4040" s="9"/>
      <c r="M4040" s="11"/>
      <c r="N4040" s="9" t="s">
        <v>809</v>
      </c>
    </row>
    <row r="4041" ht="25" customHeight="1" spans="1:14">
      <c r="A4041" s="9" t="s">
        <v>327</v>
      </c>
      <c r="B4041" s="9" t="s">
        <v>326</v>
      </c>
      <c r="C4041" s="10">
        <v>44704</v>
      </c>
      <c r="D4041" s="15">
        <v>1.0434</v>
      </c>
      <c r="E4041" s="15">
        <v>1.531</v>
      </c>
      <c r="F4041" s="15">
        <v>1.6591</v>
      </c>
      <c r="G4041" s="11">
        <v>0</v>
      </c>
      <c r="H4041" s="9">
        <f>MAX($F$3239:F4041)</f>
        <v>1.6593</v>
      </c>
      <c r="I4041" s="11">
        <f t="shared" si="93"/>
        <v>0.000120532754776081</v>
      </c>
      <c r="J4041" s="9"/>
      <c r="K4041" s="11"/>
      <c r="L4041" s="9"/>
      <c r="M4041" s="11"/>
      <c r="N4041" s="9" t="s">
        <v>809</v>
      </c>
    </row>
    <row r="4042" ht="25" customHeight="1" spans="1:14">
      <c r="A4042" s="9" t="s">
        <v>327</v>
      </c>
      <c r="B4042" s="9" t="s">
        <v>326</v>
      </c>
      <c r="C4042" s="10">
        <v>44705</v>
      </c>
      <c r="D4042" s="15">
        <v>1.0436</v>
      </c>
      <c r="E4042" s="15">
        <v>1.5312</v>
      </c>
      <c r="F4042" s="15">
        <v>1.6594</v>
      </c>
      <c r="G4042" s="11">
        <v>0.0002</v>
      </c>
      <c r="H4042" s="9">
        <f>MAX($F$3239:F4042)</f>
        <v>1.6594</v>
      </c>
      <c r="I4042" s="11">
        <f t="shared" si="93"/>
        <v>0</v>
      </c>
      <c r="J4042" s="9"/>
      <c r="K4042" s="11"/>
      <c r="L4042" s="9"/>
      <c r="M4042" s="11"/>
      <c r="N4042" s="9" t="s">
        <v>809</v>
      </c>
    </row>
    <row r="4043" ht="25" customHeight="1" spans="1:14">
      <c r="A4043" s="9" t="s">
        <v>327</v>
      </c>
      <c r="B4043" s="9" t="s">
        <v>326</v>
      </c>
      <c r="C4043" s="10">
        <v>44706</v>
      </c>
      <c r="D4043" s="15">
        <v>1.0436</v>
      </c>
      <c r="E4043" s="15">
        <v>1.5312</v>
      </c>
      <c r="F4043" s="15">
        <v>1.6594</v>
      </c>
      <c r="G4043" s="11">
        <v>0</v>
      </c>
      <c r="H4043" s="9">
        <f>MAX($F$3239:F4043)</f>
        <v>1.6594</v>
      </c>
      <c r="I4043" s="11">
        <f t="shared" si="93"/>
        <v>0</v>
      </c>
      <c r="J4043" s="9"/>
      <c r="K4043" s="11"/>
      <c r="L4043" s="9"/>
      <c r="M4043" s="11"/>
      <c r="N4043" s="9" t="s">
        <v>809</v>
      </c>
    </row>
    <row r="4044" ht="25" customHeight="1" spans="1:14">
      <c r="A4044" s="9" t="s">
        <v>327</v>
      </c>
      <c r="B4044" s="9" t="s">
        <v>326</v>
      </c>
      <c r="C4044" s="10">
        <v>44707</v>
      </c>
      <c r="D4044" s="15">
        <v>1.0437</v>
      </c>
      <c r="E4044" s="15">
        <v>1.5313</v>
      </c>
      <c r="F4044" s="15">
        <v>1.6596</v>
      </c>
      <c r="G4044" s="11">
        <v>0.0001</v>
      </c>
      <c r="H4044" s="9">
        <f>MAX($F$3239:F4044)</f>
        <v>1.6596</v>
      </c>
      <c r="I4044" s="11">
        <f t="shared" si="93"/>
        <v>0</v>
      </c>
      <c r="J4044" s="9"/>
      <c r="K4044" s="11"/>
      <c r="L4044" s="9"/>
      <c r="M4044" s="11"/>
      <c r="N4044" s="9" t="s">
        <v>809</v>
      </c>
    </row>
    <row r="4045" ht="25" customHeight="1" spans="1:14">
      <c r="A4045" s="9" t="s">
        <v>327</v>
      </c>
      <c r="B4045" s="9" t="s">
        <v>326</v>
      </c>
      <c r="C4045" s="10">
        <v>44708</v>
      </c>
      <c r="D4045" s="15">
        <v>1.0434</v>
      </c>
      <c r="E4045" s="15">
        <v>1.531</v>
      </c>
      <c r="F4045" s="15">
        <v>1.6591</v>
      </c>
      <c r="G4045" s="11">
        <v>-0.0003</v>
      </c>
      <c r="H4045" s="9">
        <f>MAX($F$3239:F4045)</f>
        <v>1.6596</v>
      </c>
      <c r="I4045" s="11">
        <f t="shared" si="93"/>
        <v>0.000301277416244861</v>
      </c>
      <c r="J4045" s="9"/>
      <c r="K4045" s="11"/>
      <c r="L4045" s="9"/>
      <c r="M4045" s="11"/>
      <c r="N4045" s="9" t="s">
        <v>809</v>
      </c>
    </row>
    <row r="4046" ht="25" customHeight="1" spans="1:14">
      <c r="A4046" s="9" t="s">
        <v>327</v>
      </c>
      <c r="B4046" s="9" t="s">
        <v>326</v>
      </c>
      <c r="C4046" s="10">
        <v>44711</v>
      </c>
      <c r="D4046" s="15">
        <v>1.0434</v>
      </c>
      <c r="E4046" s="15">
        <v>1.531</v>
      </c>
      <c r="F4046" s="15">
        <v>1.6591</v>
      </c>
      <c r="G4046" s="11">
        <v>0</v>
      </c>
      <c r="H4046" s="9">
        <f>MAX($F$3239:F4046)</f>
        <v>1.6596</v>
      </c>
      <c r="I4046" s="11">
        <f t="shared" si="93"/>
        <v>0.000301277416244861</v>
      </c>
      <c r="J4046" s="9"/>
      <c r="K4046" s="11"/>
      <c r="L4046" s="9"/>
      <c r="M4046" s="11"/>
      <c r="N4046" s="9" t="s">
        <v>809</v>
      </c>
    </row>
    <row r="4047" ht="25" customHeight="1" spans="1:14">
      <c r="A4047" s="9" t="s">
        <v>327</v>
      </c>
      <c r="B4047" s="9" t="s">
        <v>326</v>
      </c>
      <c r="C4047" s="10">
        <v>44712</v>
      </c>
      <c r="D4047" s="15">
        <v>1.0435</v>
      </c>
      <c r="E4047" s="15">
        <v>1.5311</v>
      </c>
      <c r="F4047" s="15">
        <v>1.6593</v>
      </c>
      <c r="G4047" s="11">
        <v>0.0001</v>
      </c>
      <c r="H4047" s="9">
        <f>MAX($F$3239:F4047)</f>
        <v>1.6596</v>
      </c>
      <c r="I4047" s="11">
        <f t="shared" si="93"/>
        <v>0.000180766449746961</v>
      </c>
      <c r="J4047" s="9"/>
      <c r="K4047" s="11"/>
      <c r="L4047" s="9"/>
      <c r="M4047" s="11"/>
      <c r="N4047" s="9" t="s">
        <v>809</v>
      </c>
    </row>
    <row r="4048" ht="25" customHeight="1" spans="1:14">
      <c r="A4048" s="9" t="s">
        <v>327</v>
      </c>
      <c r="B4048" s="9" t="s">
        <v>326</v>
      </c>
      <c r="C4048" s="10">
        <v>44713</v>
      </c>
      <c r="D4048" s="15">
        <v>1.0435</v>
      </c>
      <c r="E4048" s="15">
        <v>1.5311</v>
      </c>
      <c r="F4048" s="15">
        <v>1.6593</v>
      </c>
      <c r="G4048" s="11">
        <v>0</v>
      </c>
      <c r="H4048" s="9">
        <f>MAX($F$3239:F4048)</f>
        <v>1.6596</v>
      </c>
      <c r="I4048" s="11">
        <f t="shared" si="93"/>
        <v>0.000180766449746961</v>
      </c>
      <c r="J4048" s="9"/>
      <c r="K4048" s="11"/>
      <c r="L4048" s="9"/>
      <c r="M4048" s="11"/>
      <c r="N4048" s="9" t="s">
        <v>809</v>
      </c>
    </row>
    <row r="4049" ht="25" customHeight="1" spans="1:14">
      <c r="A4049" s="9" t="s">
        <v>327</v>
      </c>
      <c r="B4049" s="9" t="s">
        <v>326</v>
      </c>
      <c r="C4049" s="10">
        <v>44714</v>
      </c>
      <c r="D4049" s="15">
        <v>1.0435</v>
      </c>
      <c r="E4049" s="15">
        <v>1.5311</v>
      </c>
      <c r="F4049" s="15">
        <v>1.6593</v>
      </c>
      <c r="G4049" s="11">
        <v>0</v>
      </c>
      <c r="H4049" s="9">
        <f>MAX($F$3239:F4049)</f>
        <v>1.6596</v>
      </c>
      <c r="I4049" s="11">
        <f t="shared" si="93"/>
        <v>0.000180766449746961</v>
      </c>
      <c r="J4049" s="9"/>
      <c r="K4049" s="11"/>
      <c r="L4049" s="9"/>
      <c r="M4049" s="11"/>
      <c r="N4049" s="9" t="s">
        <v>809</v>
      </c>
    </row>
    <row r="4050" ht="25" customHeight="1" spans="1:14">
      <c r="A4050" s="9" t="s">
        <v>327</v>
      </c>
      <c r="B4050" s="9" t="s">
        <v>326</v>
      </c>
      <c r="C4050" s="10">
        <v>44718</v>
      </c>
      <c r="D4050" s="15">
        <v>1.044</v>
      </c>
      <c r="E4050" s="15">
        <v>1.5316</v>
      </c>
      <c r="F4050" s="15">
        <v>1.6601</v>
      </c>
      <c r="G4050" s="11">
        <v>0.0005</v>
      </c>
      <c r="H4050" s="9">
        <f>MAX($F$3239:F4050)</f>
        <v>1.6601</v>
      </c>
      <c r="I4050" s="11">
        <f t="shared" si="93"/>
        <v>0</v>
      </c>
      <c r="J4050" s="9"/>
      <c r="K4050" s="11"/>
      <c r="L4050" s="9"/>
      <c r="M4050" s="11"/>
      <c r="N4050" s="9" t="s">
        <v>809</v>
      </c>
    </row>
    <row r="4051" ht="25" customHeight="1" spans="1:14">
      <c r="A4051" s="9" t="s">
        <v>327</v>
      </c>
      <c r="B4051" s="9" t="s">
        <v>326</v>
      </c>
      <c r="C4051" s="10">
        <v>44719</v>
      </c>
      <c r="D4051" s="15">
        <v>1.0441</v>
      </c>
      <c r="E4051" s="15">
        <v>1.5317</v>
      </c>
      <c r="F4051" s="15">
        <v>1.6602</v>
      </c>
      <c r="G4051" s="11">
        <v>0.0001</v>
      </c>
      <c r="H4051" s="9">
        <f>MAX($F$3239:F4051)</f>
        <v>1.6602</v>
      </c>
      <c r="I4051" s="11">
        <f t="shared" si="93"/>
        <v>0</v>
      </c>
      <c r="J4051" s="9"/>
      <c r="K4051" s="11"/>
      <c r="L4051" s="9"/>
      <c r="M4051" s="11"/>
      <c r="N4051" s="9" t="s">
        <v>809</v>
      </c>
    </row>
    <row r="4052" ht="25" customHeight="1" spans="1:14">
      <c r="A4052" s="9" t="s">
        <v>327</v>
      </c>
      <c r="B4052" s="9" t="s">
        <v>326</v>
      </c>
      <c r="C4052" s="10">
        <v>44720</v>
      </c>
      <c r="D4052" s="15">
        <v>1.0444</v>
      </c>
      <c r="E4052" s="15">
        <v>1.532</v>
      </c>
      <c r="F4052" s="15">
        <v>1.6607</v>
      </c>
      <c r="G4052" s="11">
        <v>0.0003</v>
      </c>
      <c r="H4052" s="9">
        <f>MAX($F$3239:F4052)</f>
        <v>1.6607</v>
      </c>
      <c r="I4052" s="11">
        <f t="shared" si="93"/>
        <v>0</v>
      </c>
      <c r="J4052" s="9"/>
      <c r="K4052" s="11"/>
      <c r="L4052" s="9"/>
      <c r="M4052" s="11"/>
      <c r="N4052" s="9" t="s">
        <v>809</v>
      </c>
    </row>
    <row r="4053" ht="25" customHeight="1" spans="1:14">
      <c r="A4053" s="9" t="s">
        <v>327</v>
      </c>
      <c r="B4053" s="9" t="s">
        <v>326</v>
      </c>
      <c r="C4053" s="10">
        <v>44721</v>
      </c>
      <c r="D4053" s="15">
        <v>1.0444</v>
      </c>
      <c r="E4053" s="15">
        <v>1.532</v>
      </c>
      <c r="F4053" s="15">
        <v>1.6607</v>
      </c>
      <c r="G4053" s="11">
        <v>0</v>
      </c>
      <c r="H4053" s="9">
        <f>MAX($F$3239:F4053)</f>
        <v>1.6607</v>
      </c>
      <c r="I4053" s="11">
        <f t="shared" si="93"/>
        <v>0</v>
      </c>
      <c r="J4053" s="9"/>
      <c r="K4053" s="11"/>
      <c r="L4053" s="9"/>
      <c r="M4053" s="11"/>
      <c r="N4053" s="9" t="s">
        <v>809</v>
      </c>
    </row>
    <row r="4054" ht="25" customHeight="1" spans="1:14">
      <c r="A4054" s="9" t="s">
        <v>327</v>
      </c>
      <c r="B4054" s="9" t="s">
        <v>326</v>
      </c>
      <c r="C4054" s="10">
        <v>44722</v>
      </c>
      <c r="D4054" s="15">
        <v>1.0458</v>
      </c>
      <c r="E4054" s="15">
        <v>1.5334</v>
      </c>
      <c r="F4054" s="15">
        <v>1.6629</v>
      </c>
      <c r="G4054" s="11">
        <v>0.0013</v>
      </c>
      <c r="H4054" s="9">
        <f>MAX($F$3239:F4054)</f>
        <v>1.6629</v>
      </c>
      <c r="I4054" s="11">
        <f t="shared" si="93"/>
        <v>0</v>
      </c>
      <c r="J4054" s="9"/>
      <c r="K4054" s="11"/>
      <c r="L4054" s="9"/>
      <c r="M4054" s="11"/>
      <c r="N4054" s="9" t="s">
        <v>809</v>
      </c>
    </row>
    <row r="4055" ht="25" customHeight="1" spans="1:14">
      <c r="A4055" s="9" t="s">
        <v>327</v>
      </c>
      <c r="B4055" s="9" t="s">
        <v>326</v>
      </c>
      <c r="C4055" s="10">
        <v>44725</v>
      </c>
      <c r="D4055" s="15">
        <v>1.0456</v>
      </c>
      <c r="E4055" s="15">
        <v>1.5332</v>
      </c>
      <c r="F4055" s="15">
        <v>1.6626</v>
      </c>
      <c r="G4055" s="11">
        <v>-0.0002</v>
      </c>
      <c r="H4055" s="9">
        <f>MAX($F$3239:F4055)</f>
        <v>1.6629</v>
      </c>
      <c r="I4055" s="11">
        <f t="shared" si="93"/>
        <v>0.000180407721450448</v>
      </c>
      <c r="J4055" s="9"/>
      <c r="K4055" s="11"/>
      <c r="L4055" s="9"/>
      <c r="M4055" s="11"/>
      <c r="N4055" s="9" t="s">
        <v>809</v>
      </c>
    </row>
    <row r="4056" ht="25" customHeight="1" spans="1:14">
      <c r="A4056" s="9" t="s">
        <v>327</v>
      </c>
      <c r="B4056" s="9" t="s">
        <v>326</v>
      </c>
      <c r="C4056" s="10">
        <v>44726</v>
      </c>
      <c r="D4056" s="15">
        <v>1.0462</v>
      </c>
      <c r="E4056" s="15">
        <v>1.5338</v>
      </c>
      <c r="F4056" s="15">
        <v>1.6636</v>
      </c>
      <c r="G4056" s="11">
        <v>0.0006</v>
      </c>
      <c r="H4056" s="9">
        <f>MAX($F$3239:F4056)</f>
        <v>1.6636</v>
      </c>
      <c r="I4056" s="11">
        <f t="shared" si="93"/>
        <v>0</v>
      </c>
      <c r="J4056" s="9"/>
      <c r="K4056" s="11"/>
      <c r="L4056" s="9"/>
      <c r="M4056" s="11"/>
      <c r="N4056" s="9" t="s">
        <v>809</v>
      </c>
    </row>
    <row r="4057" ht="25" customHeight="1" spans="1:14">
      <c r="A4057" s="9" t="s">
        <v>327</v>
      </c>
      <c r="B4057" s="9" t="s">
        <v>326</v>
      </c>
      <c r="C4057" s="10">
        <v>44727</v>
      </c>
      <c r="D4057" s="15">
        <v>1.0469</v>
      </c>
      <c r="E4057" s="15">
        <v>1.5345</v>
      </c>
      <c r="F4057" s="15">
        <v>1.6647</v>
      </c>
      <c r="G4057" s="11">
        <v>0.0007</v>
      </c>
      <c r="H4057" s="9">
        <f>MAX($F$3239:F4057)</f>
        <v>1.6647</v>
      </c>
      <c r="I4057" s="11">
        <f t="shared" si="93"/>
        <v>0</v>
      </c>
      <c r="J4057" s="9"/>
      <c r="K4057" s="11"/>
      <c r="L4057" s="9"/>
      <c r="M4057" s="11"/>
      <c r="N4057" s="9" t="s">
        <v>809</v>
      </c>
    </row>
    <row r="4058" ht="25" customHeight="1" spans="1:14">
      <c r="A4058" s="9" t="s">
        <v>327</v>
      </c>
      <c r="B4058" s="9" t="s">
        <v>326</v>
      </c>
      <c r="C4058" s="10">
        <v>44728</v>
      </c>
      <c r="D4058" s="15">
        <v>1.0471</v>
      </c>
      <c r="E4058" s="15">
        <v>1.5347</v>
      </c>
      <c r="F4058" s="15">
        <v>1.665</v>
      </c>
      <c r="G4058" s="11">
        <v>0.0002</v>
      </c>
      <c r="H4058" s="9">
        <f>MAX($F$3239:F4058)</f>
        <v>1.665</v>
      </c>
      <c r="I4058" s="11">
        <f t="shared" si="93"/>
        <v>0</v>
      </c>
      <c r="J4058" s="9"/>
      <c r="K4058" s="11"/>
      <c r="L4058" s="9"/>
      <c r="M4058" s="11"/>
      <c r="N4058" s="9" t="s">
        <v>809</v>
      </c>
    </row>
    <row r="4059" ht="25" customHeight="1" spans="1:14">
      <c r="A4059" s="9" t="s">
        <v>327</v>
      </c>
      <c r="B4059" s="9" t="s">
        <v>326</v>
      </c>
      <c r="C4059" s="10">
        <v>44729</v>
      </c>
      <c r="D4059" s="15">
        <v>1</v>
      </c>
      <c r="E4059" s="15">
        <v>1.535</v>
      </c>
      <c r="F4059" s="15">
        <v>1.6655</v>
      </c>
      <c r="G4059" s="11">
        <v>0.0003</v>
      </c>
      <c r="H4059" s="9">
        <f>MAX($F$3239:F4059)</f>
        <v>1.6655</v>
      </c>
      <c r="I4059" s="11">
        <f t="shared" si="93"/>
        <v>0</v>
      </c>
      <c r="J4059" s="9"/>
      <c r="K4059" s="11"/>
      <c r="L4059" s="9"/>
      <c r="M4059" s="11"/>
      <c r="N4059" s="9" t="s">
        <v>809</v>
      </c>
    </row>
    <row r="4060" ht="25" customHeight="1" spans="1:14">
      <c r="A4060" s="9" t="s">
        <v>327</v>
      </c>
      <c r="B4060" s="9" t="s">
        <v>326</v>
      </c>
      <c r="C4060" s="10">
        <v>44732</v>
      </c>
      <c r="D4060" s="15">
        <v>0.9998</v>
      </c>
      <c r="E4060" s="15">
        <v>1.5348</v>
      </c>
      <c r="F4060" s="15">
        <v>1.6651</v>
      </c>
      <c r="G4060" s="11">
        <v>-0.0002</v>
      </c>
      <c r="H4060" s="9">
        <f>MAX($F$3239:F4060)</f>
        <v>1.6655</v>
      </c>
      <c r="I4060" s="11">
        <f t="shared" si="93"/>
        <v>0.000240168117682349</v>
      </c>
      <c r="J4060" s="9"/>
      <c r="K4060" s="11"/>
      <c r="L4060" s="9"/>
      <c r="M4060" s="11"/>
      <c r="N4060" s="9" t="s">
        <v>809</v>
      </c>
    </row>
    <row r="4061" ht="25" customHeight="1" spans="1:14">
      <c r="A4061" s="9" t="s">
        <v>327</v>
      </c>
      <c r="B4061" s="9" t="s">
        <v>326</v>
      </c>
      <c r="C4061" s="10">
        <v>44733</v>
      </c>
      <c r="D4061" s="15">
        <v>1</v>
      </c>
      <c r="E4061" s="15">
        <v>1.535</v>
      </c>
      <c r="F4061" s="15">
        <v>1.6655</v>
      </c>
      <c r="G4061" s="11">
        <v>0.0002</v>
      </c>
      <c r="H4061" s="9">
        <f>MAX($F$3239:F4061)</f>
        <v>1.6655</v>
      </c>
      <c r="I4061" s="11">
        <f t="shared" si="93"/>
        <v>0</v>
      </c>
      <c r="J4061" s="9"/>
      <c r="K4061" s="11"/>
      <c r="L4061" s="9"/>
      <c r="M4061" s="11"/>
      <c r="N4061" s="9" t="s">
        <v>809</v>
      </c>
    </row>
    <row r="4062" ht="25" customHeight="1" spans="1:14">
      <c r="A4062" s="9" t="s">
        <v>327</v>
      </c>
      <c r="B4062" s="9" t="s">
        <v>326</v>
      </c>
      <c r="C4062" s="10">
        <v>44734</v>
      </c>
      <c r="D4062" s="15">
        <v>1.0001</v>
      </c>
      <c r="E4062" s="15">
        <v>1.5351</v>
      </c>
      <c r="F4062" s="15">
        <v>1.6656</v>
      </c>
      <c r="G4062" s="11">
        <v>0.0001</v>
      </c>
      <c r="H4062" s="9">
        <f>MAX($F$3239:F4062)</f>
        <v>1.6656</v>
      </c>
      <c r="I4062" s="11">
        <f t="shared" si="93"/>
        <v>0</v>
      </c>
      <c r="J4062" s="9"/>
      <c r="K4062" s="11"/>
      <c r="L4062" s="9"/>
      <c r="M4062" s="11"/>
      <c r="N4062" s="9" t="s">
        <v>809</v>
      </c>
    </row>
    <row r="4063" ht="25" customHeight="1" spans="1:14">
      <c r="A4063" s="9" t="s">
        <v>327</v>
      </c>
      <c r="B4063" s="9" t="s">
        <v>326</v>
      </c>
      <c r="C4063" s="10">
        <v>44735</v>
      </c>
      <c r="D4063" s="15">
        <v>1</v>
      </c>
      <c r="E4063" s="15">
        <v>1.535</v>
      </c>
      <c r="F4063" s="15">
        <v>1.6655</v>
      </c>
      <c r="G4063" s="11">
        <v>-0.0001</v>
      </c>
      <c r="H4063" s="9">
        <f>MAX($F$3239:F4063)</f>
        <v>1.6656</v>
      </c>
      <c r="I4063" s="11">
        <f t="shared" si="93"/>
        <v>6.00384245916796e-5</v>
      </c>
      <c r="J4063" s="9"/>
      <c r="K4063" s="11"/>
      <c r="L4063" s="9"/>
      <c r="M4063" s="11"/>
      <c r="N4063" s="9" t="s">
        <v>809</v>
      </c>
    </row>
    <row r="4064" ht="25" customHeight="1" spans="1:14">
      <c r="A4064" s="9" t="s">
        <v>327</v>
      </c>
      <c r="B4064" s="9" t="s">
        <v>326</v>
      </c>
      <c r="C4064" s="10">
        <v>44736</v>
      </c>
      <c r="D4064" s="15">
        <v>0.9999</v>
      </c>
      <c r="E4064" s="15">
        <v>1.5349</v>
      </c>
      <c r="F4064" s="15">
        <v>1.6653</v>
      </c>
      <c r="G4064" s="11">
        <v>-0.0001</v>
      </c>
      <c r="H4064" s="9">
        <f>MAX($F$3239:F4064)</f>
        <v>1.6656</v>
      </c>
      <c r="I4064" s="11">
        <f t="shared" si="93"/>
        <v>0.00018011527377515</v>
      </c>
      <c r="J4064" s="9"/>
      <c r="K4064" s="11"/>
      <c r="L4064" s="9"/>
      <c r="M4064" s="11"/>
      <c r="N4064" s="9" t="s">
        <v>809</v>
      </c>
    </row>
    <row r="4065" ht="25" customHeight="1" spans="1:14">
      <c r="A4065" s="9" t="s">
        <v>327</v>
      </c>
      <c r="B4065" s="9" t="s">
        <v>326</v>
      </c>
      <c r="C4065" s="10">
        <v>44739</v>
      </c>
      <c r="D4065" s="15">
        <v>0.9998</v>
      </c>
      <c r="E4065" s="15">
        <v>1.5348</v>
      </c>
      <c r="F4065" s="15">
        <v>1.6651</v>
      </c>
      <c r="G4065" s="11">
        <v>-0.0001</v>
      </c>
      <c r="H4065" s="9">
        <f>MAX($F$3239:F4065)</f>
        <v>1.6656</v>
      </c>
      <c r="I4065" s="11">
        <f t="shared" si="93"/>
        <v>0.00030019212295862</v>
      </c>
      <c r="J4065" s="9"/>
      <c r="K4065" s="11"/>
      <c r="L4065" s="9"/>
      <c r="M4065" s="11"/>
      <c r="N4065" s="9" t="s">
        <v>809</v>
      </c>
    </row>
    <row r="4066" ht="25" customHeight="1" spans="1:14">
      <c r="A4066" s="9" t="s">
        <v>327</v>
      </c>
      <c r="B4066" s="9" t="s">
        <v>326</v>
      </c>
      <c r="C4066" s="10">
        <v>44740</v>
      </c>
      <c r="D4066" s="15">
        <v>0.9998</v>
      </c>
      <c r="E4066" s="15">
        <v>1.5348</v>
      </c>
      <c r="F4066" s="15">
        <v>1.6651</v>
      </c>
      <c r="G4066" s="11">
        <v>0</v>
      </c>
      <c r="H4066" s="9">
        <f>MAX($F$3239:F4066)</f>
        <v>1.6656</v>
      </c>
      <c r="I4066" s="11">
        <f t="shared" si="93"/>
        <v>0.00030019212295862</v>
      </c>
      <c r="J4066" s="9"/>
      <c r="K4066" s="11"/>
      <c r="L4066" s="9"/>
      <c r="M4066" s="11"/>
      <c r="N4066" s="9" t="s">
        <v>809</v>
      </c>
    </row>
    <row r="4067" ht="25" customHeight="1" spans="1:14">
      <c r="A4067" s="9" t="s">
        <v>327</v>
      </c>
      <c r="B4067" s="9" t="s">
        <v>326</v>
      </c>
      <c r="C4067" s="10">
        <v>44741</v>
      </c>
      <c r="D4067" s="15">
        <v>0.9996</v>
      </c>
      <c r="E4067" s="15">
        <v>1.5346</v>
      </c>
      <c r="F4067" s="15">
        <v>1.6648</v>
      </c>
      <c r="G4067" s="11">
        <v>-0.0002</v>
      </c>
      <c r="H4067" s="9">
        <f>MAX($F$3239:F4067)</f>
        <v>1.6656</v>
      </c>
      <c r="I4067" s="11">
        <f t="shared" si="93"/>
        <v>0.000480307396733881</v>
      </c>
      <c r="J4067" s="9"/>
      <c r="K4067" s="11"/>
      <c r="L4067" s="9"/>
      <c r="M4067" s="11"/>
      <c r="N4067" s="9" t="s">
        <v>809</v>
      </c>
    </row>
    <row r="4068" ht="25" customHeight="1" spans="1:14">
      <c r="A4068" s="9" t="s">
        <v>327</v>
      </c>
      <c r="B4068" s="9" t="s">
        <v>326</v>
      </c>
      <c r="C4068" s="10">
        <v>44742</v>
      </c>
      <c r="D4068" s="15">
        <v>0.9998</v>
      </c>
      <c r="E4068" s="15">
        <v>1.5348</v>
      </c>
      <c r="F4068" s="15">
        <v>1.6651</v>
      </c>
      <c r="G4068" s="11">
        <v>0.0002</v>
      </c>
      <c r="H4068" s="9">
        <f>MAX($F$3239:F4068)</f>
        <v>1.6656</v>
      </c>
      <c r="I4068" s="11">
        <f t="shared" si="93"/>
        <v>0.00030019212295862</v>
      </c>
      <c r="J4068" s="9"/>
      <c r="K4068" s="11"/>
      <c r="L4068" s="9"/>
      <c r="M4068" s="11"/>
      <c r="N4068" s="9" t="s">
        <v>809</v>
      </c>
    </row>
    <row r="4069" ht="25" customHeight="1" spans="1:14">
      <c r="A4069" s="9" t="s">
        <v>327</v>
      </c>
      <c r="B4069" s="9" t="s">
        <v>326</v>
      </c>
      <c r="C4069" s="10">
        <v>44743</v>
      </c>
      <c r="D4069" s="15">
        <v>0.9997</v>
      </c>
      <c r="E4069" s="15">
        <v>1.5347</v>
      </c>
      <c r="F4069" s="15">
        <v>1.665</v>
      </c>
      <c r="G4069" s="11">
        <v>-0.0001</v>
      </c>
      <c r="H4069" s="9">
        <f>MAX($F$3239:F4069)</f>
        <v>1.6656</v>
      </c>
      <c r="I4069" s="11">
        <f t="shared" si="93"/>
        <v>0.000360230547550411</v>
      </c>
      <c r="J4069" s="9"/>
      <c r="K4069" s="11"/>
      <c r="L4069" s="9"/>
      <c r="M4069" s="11"/>
      <c r="N4069" s="9" t="s">
        <v>809</v>
      </c>
    </row>
    <row r="4070" ht="25" customHeight="1" spans="1:14">
      <c r="A4070" s="9" t="s">
        <v>327</v>
      </c>
      <c r="B4070" s="9" t="s">
        <v>326</v>
      </c>
      <c r="C4070" s="10">
        <v>44746</v>
      </c>
      <c r="D4070" s="15">
        <v>0.9996</v>
      </c>
      <c r="E4070" s="15">
        <v>1.5346</v>
      </c>
      <c r="F4070" s="15">
        <v>1.6648</v>
      </c>
      <c r="G4070" s="11">
        <v>-0.0001</v>
      </c>
      <c r="H4070" s="9">
        <f>MAX($F$3239:F4070)</f>
        <v>1.6656</v>
      </c>
      <c r="I4070" s="11">
        <f t="shared" si="93"/>
        <v>0.000480307396733881</v>
      </c>
      <c r="J4070" s="9"/>
      <c r="K4070" s="11"/>
      <c r="L4070" s="9"/>
      <c r="M4070" s="11"/>
      <c r="N4070" s="9" t="s">
        <v>809</v>
      </c>
    </row>
    <row r="4071" ht="25" customHeight="1" spans="1:14">
      <c r="A4071" s="9" t="s">
        <v>327</v>
      </c>
      <c r="B4071" s="9" t="s">
        <v>326</v>
      </c>
      <c r="C4071" s="10">
        <v>44747</v>
      </c>
      <c r="D4071" s="15">
        <v>0.9998</v>
      </c>
      <c r="E4071" s="15">
        <v>1.5348</v>
      </c>
      <c r="F4071" s="15">
        <v>1.6651</v>
      </c>
      <c r="G4071" s="11">
        <v>0.0002</v>
      </c>
      <c r="H4071" s="9">
        <f>MAX($F$3239:F4071)</f>
        <v>1.6656</v>
      </c>
      <c r="I4071" s="11">
        <f t="shared" si="93"/>
        <v>0.00030019212295862</v>
      </c>
      <c r="J4071" s="9"/>
      <c r="K4071" s="11"/>
      <c r="L4071" s="9"/>
      <c r="M4071" s="11"/>
      <c r="N4071" s="9" t="s">
        <v>809</v>
      </c>
    </row>
    <row r="4072" ht="25" customHeight="1" spans="1:14">
      <c r="A4072" s="9" t="s">
        <v>327</v>
      </c>
      <c r="B4072" s="9" t="s">
        <v>326</v>
      </c>
      <c r="C4072" s="10">
        <v>44748</v>
      </c>
      <c r="D4072" s="15">
        <v>1</v>
      </c>
      <c r="E4072" s="15">
        <v>1.535</v>
      </c>
      <c r="F4072" s="15">
        <v>1.6655</v>
      </c>
      <c r="G4072" s="11">
        <v>0.0002</v>
      </c>
      <c r="H4072" s="9">
        <f>MAX($F$3239:F4072)</f>
        <v>1.6656</v>
      </c>
      <c r="I4072" s="11">
        <f t="shared" si="93"/>
        <v>6.00384245916796e-5</v>
      </c>
      <c r="J4072" s="9"/>
      <c r="K4072" s="11"/>
      <c r="L4072" s="9"/>
      <c r="M4072" s="11"/>
      <c r="N4072" s="9" t="s">
        <v>809</v>
      </c>
    </row>
    <row r="4073" ht="25" customHeight="1" spans="1:14">
      <c r="A4073" s="9" t="s">
        <v>327</v>
      </c>
      <c r="B4073" s="9" t="s">
        <v>326</v>
      </c>
      <c r="C4073" s="10">
        <v>44749</v>
      </c>
      <c r="D4073" s="15">
        <v>0.9995</v>
      </c>
      <c r="E4073" s="15">
        <v>1.5345</v>
      </c>
      <c r="F4073" s="15">
        <v>1.6646</v>
      </c>
      <c r="G4073" s="11">
        <v>-0.0005</v>
      </c>
      <c r="H4073" s="9">
        <f>MAX($F$3239:F4073)</f>
        <v>1.6656</v>
      </c>
      <c r="I4073" s="11">
        <f t="shared" si="93"/>
        <v>0.000600384245917351</v>
      </c>
      <c r="J4073" s="9"/>
      <c r="K4073" s="11"/>
      <c r="L4073" s="9"/>
      <c r="M4073" s="11"/>
      <c r="N4073" s="9" t="s">
        <v>809</v>
      </c>
    </row>
    <row r="4074" ht="25" customHeight="1" spans="1:14">
      <c r="A4074" s="9" t="s">
        <v>327</v>
      </c>
      <c r="B4074" s="9" t="s">
        <v>326</v>
      </c>
      <c r="C4074" s="10">
        <v>44750</v>
      </c>
      <c r="D4074" s="15">
        <v>0.9995</v>
      </c>
      <c r="E4074" s="15">
        <v>1.5345</v>
      </c>
      <c r="F4074" s="15">
        <v>1.6646</v>
      </c>
      <c r="G4074" s="11">
        <v>0</v>
      </c>
      <c r="H4074" s="9">
        <f>MAX($F$3239:F4074)</f>
        <v>1.6656</v>
      </c>
      <c r="I4074" s="11">
        <f t="shared" si="93"/>
        <v>0.000600384245917351</v>
      </c>
      <c r="J4074" s="9"/>
      <c r="K4074" s="11"/>
      <c r="L4074" s="9"/>
      <c r="M4074" s="11"/>
      <c r="N4074" s="9" t="s">
        <v>809</v>
      </c>
    </row>
    <row r="4075" ht="25" customHeight="1" spans="1:14">
      <c r="A4075" s="9" t="s">
        <v>327</v>
      </c>
      <c r="B4075" s="9" t="s">
        <v>326</v>
      </c>
      <c r="C4075" s="10">
        <v>44753</v>
      </c>
      <c r="D4075" s="15">
        <v>0.9994</v>
      </c>
      <c r="E4075" s="15">
        <v>1.5344</v>
      </c>
      <c r="F4075" s="15">
        <v>1.6645</v>
      </c>
      <c r="G4075" s="11">
        <v>-0.0001</v>
      </c>
      <c r="H4075" s="9">
        <f>MAX($F$3239:F4075)</f>
        <v>1.6656</v>
      </c>
      <c r="I4075" s="11">
        <f t="shared" si="93"/>
        <v>0.000660422670509031</v>
      </c>
      <c r="J4075" s="9"/>
      <c r="K4075" s="11"/>
      <c r="L4075" s="9"/>
      <c r="M4075" s="11"/>
      <c r="N4075" s="9" t="s">
        <v>809</v>
      </c>
    </row>
    <row r="4076" ht="25" customHeight="1" spans="1:14">
      <c r="A4076" s="9" t="s">
        <v>327</v>
      </c>
      <c r="B4076" s="9" t="s">
        <v>326</v>
      </c>
      <c r="C4076" s="10">
        <v>44754</v>
      </c>
      <c r="D4076" s="15">
        <v>1.0003</v>
      </c>
      <c r="E4076" s="15">
        <v>1.5353</v>
      </c>
      <c r="F4076" s="15">
        <v>1.666</v>
      </c>
      <c r="G4076" s="11">
        <v>0.0009</v>
      </c>
      <c r="H4076" s="9">
        <f>MAX($F$3239:F4076)</f>
        <v>1.666</v>
      </c>
      <c r="I4076" s="11">
        <f t="shared" si="93"/>
        <v>0</v>
      </c>
      <c r="J4076" s="9"/>
      <c r="K4076" s="11"/>
      <c r="L4076" s="9"/>
      <c r="M4076" s="11"/>
      <c r="N4076" s="9" t="s">
        <v>809</v>
      </c>
    </row>
    <row r="4077" ht="25" customHeight="1" spans="1:14">
      <c r="A4077" s="9" t="s">
        <v>327</v>
      </c>
      <c r="B4077" s="9" t="s">
        <v>326</v>
      </c>
      <c r="C4077" s="10">
        <v>44755</v>
      </c>
      <c r="D4077" s="15">
        <v>1.0009</v>
      </c>
      <c r="E4077" s="15">
        <v>1.5359</v>
      </c>
      <c r="F4077" s="15">
        <v>1.667</v>
      </c>
      <c r="G4077" s="11">
        <v>0.0006</v>
      </c>
      <c r="H4077" s="9">
        <f>MAX($F$3239:F4077)</f>
        <v>1.667</v>
      </c>
      <c r="I4077" s="11">
        <f t="shared" si="93"/>
        <v>0</v>
      </c>
      <c r="J4077" s="9"/>
      <c r="K4077" s="11"/>
      <c r="L4077" s="9"/>
      <c r="M4077" s="11"/>
      <c r="N4077" s="9" t="s">
        <v>809</v>
      </c>
    </row>
    <row r="4078" ht="25" customHeight="1" spans="1:14">
      <c r="A4078" s="9" t="s">
        <v>327</v>
      </c>
      <c r="B4078" s="9" t="s">
        <v>326</v>
      </c>
      <c r="C4078" s="10">
        <v>44756</v>
      </c>
      <c r="D4078" s="15">
        <v>1.0006</v>
      </c>
      <c r="E4078" s="15">
        <v>1.5356</v>
      </c>
      <c r="F4078" s="15">
        <v>1.6665</v>
      </c>
      <c r="G4078" s="11">
        <v>-0.0003</v>
      </c>
      <c r="H4078" s="9">
        <f>MAX($F$3239:F4078)</f>
        <v>1.667</v>
      </c>
      <c r="I4078" s="11">
        <f t="shared" si="93"/>
        <v>0.000299940011997513</v>
      </c>
      <c r="J4078" s="9"/>
      <c r="K4078" s="11"/>
      <c r="L4078" s="9"/>
      <c r="M4078" s="11"/>
      <c r="N4078" s="9" t="s">
        <v>809</v>
      </c>
    </row>
    <row r="4079" ht="25" customHeight="1" spans="1:14">
      <c r="A4079" s="9" t="s">
        <v>327</v>
      </c>
      <c r="B4079" s="9" t="s">
        <v>326</v>
      </c>
      <c r="C4079" s="10">
        <v>44757</v>
      </c>
      <c r="D4079" s="15">
        <v>1.0014</v>
      </c>
      <c r="E4079" s="15">
        <v>1.5364</v>
      </c>
      <c r="F4079" s="15">
        <v>1.6678</v>
      </c>
      <c r="G4079" s="11">
        <v>0.0008</v>
      </c>
      <c r="H4079" s="9">
        <f>MAX($F$3239:F4079)</f>
        <v>1.6678</v>
      </c>
      <c r="I4079" s="11">
        <f t="shared" si="93"/>
        <v>0</v>
      </c>
      <c r="J4079" s="9"/>
      <c r="K4079" s="11"/>
      <c r="L4079" s="9"/>
      <c r="M4079" s="11"/>
      <c r="N4079" s="9" t="s">
        <v>809</v>
      </c>
    </row>
    <row r="4080" ht="25" customHeight="1" spans="1:14">
      <c r="A4080" s="9" t="s">
        <v>327</v>
      </c>
      <c r="B4080" s="9" t="s">
        <v>326</v>
      </c>
      <c r="C4080" s="10">
        <v>44760</v>
      </c>
      <c r="D4080" s="15">
        <v>1.0013</v>
      </c>
      <c r="E4080" s="15">
        <v>1.5363</v>
      </c>
      <c r="F4080" s="15">
        <v>1.6676</v>
      </c>
      <c r="G4080" s="11">
        <v>-0.0001</v>
      </c>
      <c r="H4080" s="9">
        <f>MAX($F$3239:F4080)</f>
        <v>1.6678</v>
      </c>
      <c r="I4080" s="11">
        <f t="shared" si="93"/>
        <v>0.00011991845545023</v>
      </c>
      <c r="J4080" s="9"/>
      <c r="K4080" s="11"/>
      <c r="L4080" s="9"/>
      <c r="M4080" s="11"/>
      <c r="N4080" s="9" t="s">
        <v>809</v>
      </c>
    </row>
    <row r="4081" ht="25" customHeight="1" spans="1:14">
      <c r="A4081" s="9" t="s">
        <v>327</v>
      </c>
      <c r="B4081" s="9" t="s">
        <v>326</v>
      </c>
      <c r="C4081" s="10">
        <v>44761</v>
      </c>
      <c r="D4081" s="15">
        <v>1.0013</v>
      </c>
      <c r="E4081" s="15">
        <v>1.5363</v>
      </c>
      <c r="F4081" s="15">
        <v>1.6676</v>
      </c>
      <c r="G4081" s="11">
        <v>0</v>
      </c>
      <c r="H4081" s="9">
        <f>MAX($F$3239:F4081)</f>
        <v>1.6678</v>
      </c>
      <c r="I4081" s="11">
        <f t="shared" si="93"/>
        <v>0.00011991845545023</v>
      </c>
      <c r="J4081" s="9"/>
      <c r="K4081" s="11"/>
      <c r="L4081" s="9"/>
      <c r="M4081" s="11"/>
      <c r="N4081" s="9" t="s">
        <v>809</v>
      </c>
    </row>
    <row r="4082" ht="25" customHeight="1" spans="1:14">
      <c r="A4082" s="9" t="s">
        <v>327</v>
      </c>
      <c r="B4082" s="9" t="s">
        <v>326</v>
      </c>
      <c r="C4082" s="10">
        <v>44762</v>
      </c>
      <c r="D4082" s="15">
        <v>1.001</v>
      </c>
      <c r="E4082" s="15">
        <v>1.536</v>
      </c>
      <c r="F4082" s="15">
        <v>1.6671</v>
      </c>
      <c r="G4082" s="11">
        <v>-0.0003</v>
      </c>
      <c r="H4082" s="9">
        <f>MAX($F$3239:F4082)</f>
        <v>1.6678</v>
      </c>
      <c r="I4082" s="11">
        <f t="shared" si="93"/>
        <v>0.000419714594075971</v>
      </c>
      <c r="J4082" s="9"/>
      <c r="K4082" s="11"/>
      <c r="L4082" s="9"/>
      <c r="M4082" s="11"/>
      <c r="N4082" s="9" t="s">
        <v>809</v>
      </c>
    </row>
    <row r="4083" ht="25" customHeight="1" spans="1:14">
      <c r="A4083" s="9" t="s">
        <v>327</v>
      </c>
      <c r="B4083" s="9" t="s">
        <v>326</v>
      </c>
      <c r="C4083" s="10">
        <v>44763</v>
      </c>
      <c r="D4083" s="15">
        <v>1.0009</v>
      </c>
      <c r="E4083" s="15">
        <v>1.5359</v>
      </c>
      <c r="F4083" s="15">
        <v>1.667</v>
      </c>
      <c r="G4083" s="11">
        <v>-0.0001</v>
      </c>
      <c r="H4083" s="9">
        <f>MAX($F$3239:F4083)</f>
        <v>1.6678</v>
      </c>
      <c r="I4083" s="11">
        <f t="shared" si="93"/>
        <v>0.000479673821801141</v>
      </c>
      <c r="J4083" s="9"/>
      <c r="K4083" s="11"/>
      <c r="L4083" s="9"/>
      <c r="M4083" s="11"/>
      <c r="N4083" s="9" t="s">
        <v>809</v>
      </c>
    </row>
    <row r="4084" ht="25" customHeight="1" spans="1:14">
      <c r="A4084" s="9" t="s">
        <v>327</v>
      </c>
      <c r="B4084" s="9" t="s">
        <v>326</v>
      </c>
      <c r="C4084" s="10">
        <v>44764</v>
      </c>
      <c r="D4084" s="15">
        <v>1.002</v>
      </c>
      <c r="E4084" s="15">
        <v>1.537</v>
      </c>
      <c r="F4084" s="15">
        <v>1.6688</v>
      </c>
      <c r="G4084" s="11">
        <v>0.0011</v>
      </c>
      <c r="H4084" s="9">
        <f>MAX($F$3239:F4084)</f>
        <v>1.6688</v>
      </c>
      <c r="I4084" s="11">
        <f t="shared" si="93"/>
        <v>0</v>
      </c>
      <c r="J4084" s="9"/>
      <c r="K4084" s="11"/>
      <c r="L4084" s="9"/>
      <c r="M4084" s="11"/>
      <c r="N4084" s="9" t="s">
        <v>809</v>
      </c>
    </row>
    <row r="4085" ht="25" customHeight="1" spans="1:14">
      <c r="A4085" s="9" t="s">
        <v>327</v>
      </c>
      <c r="B4085" s="9" t="s">
        <v>326</v>
      </c>
      <c r="C4085" s="10">
        <v>44767</v>
      </c>
      <c r="D4085" s="15">
        <v>1.0021</v>
      </c>
      <c r="E4085" s="15">
        <v>1.5371</v>
      </c>
      <c r="F4085" s="15">
        <v>1.669</v>
      </c>
      <c r="G4085" s="11">
        <v>0.0001</v>
      </c>
      <c r="H4085" s="9">
        <f>MAX($F$3239:F4085)</f>
        <v>1.669</v>
      </c>
      <c r="I4085" s="11">
        <f t="shared" si="93"/>
        <v>0</v>
      </c>
      <c r="J4085" s="9"/>
      <c r="K4085" s="11"/>
      <c r="L4085" s="9"/>
      <c r="M4085" s="11"/>
      <c r="N4085" s="9" t="s">
        <v>809</v>
      </c>
    </row>
    <row r="4086" ht="25" customHeight="1" spans="1:14">
      <c r="A4086" s="9" t="s">
        <v>327</v>
      </c>
      <c r="B4086" s="9" t="s">
        <v>326</v>
      </c>
      <c r="C4086" s="10">
        <v>44768</v>
      </c>
      <c r="D4086" s="15">
        <v>1.002</v>
      </c>
      <c r="E4086" s="15">
        <v>1.537</v>
      </c>
      <c r="F4086" s="15">
        <v>1.6688</v>
      </c>
      <c r="G4086" s="11">
        <v>-0.0001</v>
      </c>
      <c r="H4086" s="9">
        <f>MAX($F$3239:F4086)</f>
        <v>1.669</v>
      </c>
      <c r="I4086" s="11">
        <f t="shared" si="93"/>
        <v>0.00011983223487122</v>
      </c>
      <c r="J4086" s="9"/>
      <c r="K4086" s="11"/>
      <c r="L4086" s="9"/>
      <c r="M4086" s="11"/>
      <c r="N4086" s="9" t="s">
        <v>809</v>
      </c>
    </row>
    <row r="4087" ht="25" customHeight="1" spans="1:14">
      <c r="A4087" s="9" t="s">
        <v>327</v>
      </c>
      <c r="B4087" s="9" t="s">
        <v>326</v>
      </c>
      <c r="C4087" s="10">
        <v>44769</v>
      </c>
      <c r="D4087" s="15">
        <v>1.0016</v>
      </c>
      <c r="E4087" s="15">
        <v>1.5366</v>
      </c>
      <c r="F4087" s="15">
        <v>1.6681</v>
      </c>
      <c r="G4087" s="11">
        <v>-0.0004</v>
      </c>
      <c r="H4087" s="9">
        <f>MAX($F$3239:F4087)</f>
        <v>1.669</v>
      </c>
      <c r="I4087" s="11">
        <f t="shared" si="93"/>
        <v>0.000539245056920379</v>
      </c>
      <c r="J4087" s="9"/>
      <c r="K4087" s="11"/>
      <c r="L4087" s="9"/>
      <c r="M4087" s="11"/>
      <c r="N4087" s="9" t="s">
        <v>809</v>
      </c>
    </row>
    <row r="4088" ht="25" customHeight="1" spans="1:14">
      <c r="A4088" s="9" t="s">
        <v>327</v>
      </c>
      <c r="B4088" s="9" t="s">
        <v>326</v>
      </c>
      <c r="C4088" s="10">
        <v>44770</v>
      </c>
      <c r="D4088" s="15">
        <v>1.002</v>
      </c>
      <c r="E4088" s="15">
        <v>1.537</v>
      </c>
      <c r="F4088" s="15">
        <v>1.6688</v>
      </c>
      <c r="G4088" s="11">
        <v>0.0004</v>
      </c>
      <c r="H4088" s="9">
        <f>MAX($F$3239:F4088)</f>
        <v>1.669</v>
      </c>
      <c r="I4088" s="11">
        <f t="shared" si="93"/>
        <v>0.00011983223487122</v>
      </c>
      <c r="J4088" s="9"/>
      <c r="K4088" s="11"/>
      <c r="L4088" s="9"/>
      <c r="M4088" s="11"/>
      <c r="N4088" s="9" t="s">
        <v>809</v>
      </c>
    </row>
    <row r="4089" ht="25" customHeight="1" spans="1:14">
      <c r="A4089" s="9" t="s">
        <v>327</v>
      </c>
      <c r="B4089" s="9" t="s">
        <v>326</v>
      </c>
      <c r="C4089" s="10">
        <v>44771</v>
      </c>
      <c r="D4089" s="15">
        <v>1.0025</v>
      </c>
      <c r="E4089" s="15">
        <v>1.5375</v>
      </c>
      <c r="F4089" s="15">
        <v>1.6696</v>
      </c>
      <c r="G4089" s="11">
        <v>0.0005</v>
      </c>
      <c r="H4089" s="9">
        <f>MAX($F$3239:F4089)</f>
        <v>1.6696</v>
      </c>
      <c r="I4089" s="11">
        <f t="shared" si="93"/>
        <v>0</v>
      </c>
      <c r="J4089" s="9"/>
      <c r="K4089" s="11"/>
      <c r="L4089" s="9"/>
      <c r="M4089" s="11"/>
      <c r="N4089" s="9" t="s">
        <v>809</v>
      </c>
    </row>
    <row r="4090" ht="25" customHeight="1" spans="1:14">
      <c r="A4090" s="9" t="s">
        <v>327</v>
      </c>
      <c r="B4090" s="9" t="s">
        <v>326</v>
      </c>
      <c r="C4090" s="10">
        <v>44774</v>
      </c>
      <c r="D4090" s="15">
        <v>1.0025</v>
      </c>
      <c r="E4090" s="15">
        <v>1.5375</v>
      </c>
      <c r="F4090" s="15">
        <v>1.6696</v>
      </c>
      <c r="G4090" s="11">
        <v>0</v>
      </c>
      <c r="H4090" s="9">
        <f>MAX($F$3239:F4090)</f>
        <v>1.6696</v>
      </c>
      <c r="I4090" s="11">
        <f t="shared" si="93"/>
        <v>0</v>
      </c>
      <c r="J4090" s="9"/>
      <c r="K4090" s="11"/>
      <c r="L4090" s="9"/>
      <c r="M4090" s="11"/>
      <c r="N4090" s="9" t="s">
        <v>809</v>
      </c>
    </row>
    <row r="4091" ht="25" customHeight="1" spans="1:14">
      <c r="A4091" s="9" t="s">
        <v>327</v>
      </c>
      <c r="B4091" s="9" t="s">
        <v>326</v>
      </c>
      <c r="C4091" s="10">
        <v>44775</v>
      </c>
      <c r="D4091" s="15">
        <v>1.0031</v>
      </c>
      <c r="E4091" s="15">
        <v>1.5381</v>
      </c>
      <c r="F4091" s="15">
        <v>1.6706</v>
      </c>
      <c r="G4091" s="11">
        <v>0.0006</v>
      </c>
      <c r="H4091" s="9">
        <f>MAX($F$3239:F4091)</f>
        <v>1.6706</v>
      </c>
      <c r="I4091" s="11">
        <f t="shared" si="93"/>
        <v>0</v>
      </c>
      <c r="J4091" s="9"/>
      <c r="K4091" s="11"/>
      <c r="L4091" s="9"/>
      <c r="M4091" s="11"/>
      <c r="N4091" s="9" t="s">
        <v>809</v>
      </c>
    </row>
    <row r="4092" ht="25" customHeight="1" spans="1:14">
      <c r="A4092" s="9" t="s">
        <v>327</v>
      </c>
      <c r="B4092" s="9" t="s">
        <v>326</v>
      </c>
      <c r="C4092" s="10">
        <v>44776</v>
      </c>
      <c r="D4092" s="15">
        <v>1.0038</v>
      </c>
      <c r="E4092" s="15">
        <v>1.5388</v>
      </c>
      <c r="F4092" s="15">
        <v>1.6718</v>
      </c>
      <c r="G4092" s="11">
        <v>0.0007</v>
      </c>
      <c r="H4092" s="9">
        <f>MAX($F$3239:F4092)</f>
        <v>1.6718</v>
      </c>
      <c r="I4092" s="11">
        <f t="shared" si="93"/>
        <v>0</v>
      </c>
      <c r="J4092" s="9"/>
      <c r="K4092" s="11"/>
      <c r="L4092" s="9"/>
      <c r="M4092" s="11"/>
      <c r="N4092" s="9" t="s">
        <v>809</v>
      </c>
    </row>
    <row r="4093" ht="25" customHeight="1" spans="1:14">
      <c r="A4093" s="9" t="s">
        <v>327</v>
      </c>
      <c r="B4093" s="9" t="s">
        <v>326</v>
      </c>
      <c r="C4093" s="10">
        <v>44777</v>
      </c>
      <c r="D4093" s="15">
        <v>1.0035</v>
      </c>
      <c r="E4093" s="15">
        <v>1.5385</v>
      </c>
      <c r="F4093" s="15">
        <v>1.6713</v>
      </c>
      <c r="G4093" s="11">
        <v>-0.0003</v>
      </c>
      <c r="H4093" s="9">
        <f>MAX($F$3239:F4093)</f>
        <v>1.6718</v>
      </c>
      <c r="I4093" s="11">
        <f t="shared" si="93"/>
        <v>0.000299078837181499</v>
      </c>
      <c r="J4093" s="9"/>
      <c r="K4093" s="11"/>
      <c r="L4093" s="9"/>
      <c r="M4093" s="11"/>
      <c r="N4093" s="9" t="s">
        <v>809</v>
      </c>
    </row>
    <row r="4094" ht="25" customHeight="1" spans="1:14">
      <c r="A4094" s="9" t="s">
        <v>327</v>
      </c>
      <c r="B4094" s="9" t="s">
        <v>326</v>
      </c>
      <c r="C4094" s="10">
        <v>44778</v>
      </c>
      <c r="D4094" s="15">
        <v>1.003</v>
      </c>
      <c r="E4094" s="15">
        <v>1.538</v>
      </c>
      <c r="F4094" s="15">
        <v>1.6705</v>
      </c>
      <c r="G4094" s="11">
        <v>-0.0005</v>
      </c>
      <c r="H4094" s="9">
        <f>MAX($F$3239:F4094)</f>
        <v>1.6718</v>
      </c>
      <c r="I4094" s="11">
        <f t="shared" si="93"/>
        <v>0.000777604976671786</v>
      </c>
      <c r="J4094" s="9"/>
      <c r="K4094" s="11"/>
      <c r="L4094" s="9"/>
      <c r="M4094" s="11"/>
      <c r="N4094" s="9" t="s">
        <v>809</v>
      </c>
    </row>
    <row r="4095" ht="25" customHeight="1" spans="1:14">
      <c r="A4095" s="9" t="s">
        <v>327</v>
      </c>
      <c r="B4095" s="9" t="s">
        <v>326</v>
      </c>
      <c r="C4095" s="10">
        <v>44781</v>
      </c>
      <c r="D4095" s="15">
        <v>1.0034</v>
      </c>
      <c r="E4095" s="15">
        <v>1.5384</v>
      </c>
      <c r="F4095" s="15">
        <v>1.6711</v>
      </c>
      <c r="G4095" s="11">
        <v>0.0004</v>
      </c>
      <c r="H4095" s="9">
        <f>MAX($F$3239:F4095)</f>
        <v>1.6718</v>
      </c>
      <c r="I4095" s="11">
        <f t="shared" si="93"/>
        <v>0.000418710372053988</v>
      </c>
      <c r="J4095" s="9"/>
      <c r="K4095" s="11"/>
      <c r="L4095" s="9"/>
      <c r="M4095" s="11"/>
      <c r="N4095" s="9" t="s">
        <v>809</v>
      </c>
    </row>
    <row r="4096" ht="25" customHeight="1" spans="1:14">
      <c r="A4096" s="9" t="s">
        <v>327</v>
      </c>
      <c r="B4096" s="9" t="s">
        <v>326</v>
      </c>
      <c r="C4096" s="10">
        <v>44782</v>
      </c>
      <c r="D4096" s="15">
        <v>1.0045</v>
      </c>
      <c r="E4096" s="15">
        <v>1.5395</v>
      </c>
      <c r="F4096" s="15">
        <v>1.673</v>
      </c>
      <c r="G4096" s="11">
        <v>0.0011</v>
      </c>
      <c r="H4096" s="9">
        <f>MAX($F$3239:F4096)</f>
        <v>1.673</v>
      </c>
      <c r="I4096" s="11">
        <f t="shared" si="93"/>
        <v>0</v>
      </c>
      <c r="J4096" s="9"/>
      <c r="K4096" s="11"/>
      <c r="L4096" s="9"/>
      <c r="M4096" s="11"/>
      <c r="N4096" s="9" t="s">
        <v>809</v>
      </c>
    </row>
    <row r="4097" ht="25" customHeight="1" spans="1:14">
      <c r="A4097" s="9" t="s">
        <v>327</v>
      </c>
      <c r="B4097" s="9" t="s">
        <v>326</v>
      </c>
      <c r="C4097" s="10">
        <v>44783</v>
      </c>
      <c r="D4097" s="15">
        <v>1.0044</v>
      </c>
      <c r="E4097" s="15">
        <v>1.5394</v>
      </c>
      <c r="F4097" s="15">
        <v>1.6728</v>
      </c>
      <c r="G4097" s="11">
        <v>-0.0001</v>
      </c>
      <c r="H4097" s="9">
        <f>MAX($F$3239:F4097)</f>
        <v>1.673</v>
      </c>
      <c r="I4097" s="11">
        <f t="shared" si="93"/>
        <v>0.000119545726240289</v>
      </c>
      <c r="J4097" s="9"/>
      <c r="K4097" s="11"/>
      <c r="L4097" s="9"/>
      <c r="M4097" s="11"/>
      <c r="N4097" s="9" t="s">
        <v>809</v>
      </c>
    </row>
    <row r="4098" ht="25" customHeight="1" spans="1:14">
      <c r="A4098" s="9" t="s">
        <v>327</v>
      </c>
      <c r="B4098" s="9" t="s">
        <v>326</v>
      </c>
      <c r="C4098" s="10">
        <v>44784</v>
      </c>
      <c r="D4098" s="15">
        <v>1.0044</v>
      </c>
      <c r="E4098" s="15">
        <v>1.5394</v>
      </c>
      <c r="F4098" s="15">
        <v>1.6728</v>
      </c>
      <c r="G4098" s="11">
        <v>0</v>
      </c>
      <c r="H4098" s="9">
        <f>MAX($F$3239:F4098)</f>
        <v>1.673</v>
      </c>
      <c r="I4098" s="11">
        <f t="shared" ref="I4098:I4161" si="94">1-F4098/H4098</f>
        <v>0.000119545726240289</v>
      </c>
      <c r="J4098" s="9"/>
      <c r="K4098" s="11"/>
      <c r="L4098" s="9"/>
      <c r="M4098" s="11"/>
      <c r="N4098" s="9" t="s">
        <v>809</v>
      </c>
    </row>
    <row r="4099" ht="25" customHeight="1" spans="1:14">
      <c r="A4099" s="9" t="s">
        <v>327</v>
      </c>
      <c r="B4099" s="9" t="s">
        <v>326</v>
      </c>
      <c r="C4099" s="10">
        <v>44785</v>
      </c>
      <c r="D4099" s="15">
        <v>1.0048</v>
      </c>
      <c r="E4099" s="15">
        <v>1.5398</v>
      </c>
      <c r="F4099" s="15">
        <v>1.6735</v>
      </c>
      <c r="G4099" s="11">
        <v>0.0004</v>
      </c>
      <c r="H4099" s="9">
        <f>MAX($F$3239:F4099)</f>
        <v>1.6735</v>
      </c>
      <c r="I4099" s="11">
        <f t="shared" si="94"/>
        <v>0</v>
      </c>
      <c r="J4099" s="9"/>
      <c r="K4099" s="11"/>
      <c r="L4099" s="9"/>
      <c r="M4099" s="11"/>
      <c r="N4099" s="9" t="s">
        <v>809</v>
      </c>
    </row>
    <row r="4100" ht="25" customHeight="1" spans="1:14">
      <c r="A4100" s="9" t="s">
        <v>327</v>
      </c>
      <c r="B4100" s="9" t="s">
        <v>326</v>
      </c>
      <c r="C4100" s="10">
        <v>44788</v>
      </c>
      <c r="D4100" s="15">
        <v>1.0049</v>
      </c>
      <c r="E4100" s="15">
        <v>1.5399</v>
      </c>
      <c r="F4100" s="15">
        <v>1.6736</v>
      </c>
      <c r="G4100" s="11">
        <v>0.0001</v>
      </c>
      <c r="H4100" s="9">
        <f>MAX($F$3239:F4100)</f>
        <v>1.6736</v>
      </c>
      <c r="I4100" s="11">
        <f t="shared" si="94"/>
        <v>0</v>
      </c>
      <c r="J4100" s="9"/>
      <c r="K4100" s="11"/>
      <c r="L4100" s="9"/>
      <c r="M4100" s="11"/>
      <c r="N4100" s="9" t="s">
        <v>809</v>
      </c>
    </row>
    <row r="4101" ht="25" customHeight="1" spans="1:14">
      <c r="A4101" s="9" t="s">
        <v>327</v>
      </c>
      <c r="B4101" s="9" t="s">
        <v>326</v>
      </c>
      <c r="C4101" s="10">
        <v>44789</v>
      </c>
      <c r="D4101" s="15">
        <v>1.0051</v>
      </c>
      <c r="E4101" s="15">
        <v>1.5401</v>
      </c>
      <c r="F4101" s="15">
        <v>1.674</v>
      </c>
      <c r="G4101" s="11">
        <v>0.0002</v>
      </c>
      <c r="H4101" s="9">
        <f>MAX($F$3239:F4101)</f>
        <v>1.674</v>
      </c>
      <c r="I4101" s="11">
        <f t="shared" si="94"/>
        <v>0</v>
      </c>
      <c r="J4101" s="9"/>
      <c r="K4101" s="11"/>
      <c r="L4101" s="9"/>
      <c r="M4101" s="11"/>
      <c r="N4101" s="9" t="s">
        <v>809</v>
      </c>
    </row>
    <row r="4102" ht="25" customHeight="1" spans="1:14">
      <c r="A4102" s="9" t="s">
        <v>327</v>
      </c>
      <c r="B4102" s="9" t="s">
        <v>326</v>
      </c>
      <c r="C4102" s="10">
        <v>44790</v>
      </c>
      <c r="D4102" s="15">
        <v>1.005</v>
      </c>
      <c r="E4102" s="15">
        <v>1.54</v>
      </c>
      <c r="F4102" s="15">
        <v>1.6738</v>
      </c>
      <c r="G4102" s="11">
        <v>-0.0001</v>
      </c>
      <c r="H4102" s="9">
        <f>MAX($F$3239:F4102)</f>
        <v>1.674</v>
      </c>
      <c r="I4102" s="11">
        <f t="shared" si="94"/>
        <v>0.000119474313022727</v>
      </c>
      <c r="J4102" s="9"/>
      <c r="K4102" s="11"/>
      <c r="L4102" s="9"/>
      <c r="M4102" s="11"/>
      <c r="N4102" s="9" t="s">
        <v>809</v>
      </c>
    </row>
    <row r="4103" ht="25" customHeight="1" spans="1:14">
      <c r="A4103" s="9" t="s">
        <v>327</v>
      </c>
      <c r="B4103" s="9" t="s">
        <v>326</v>
      </c>
      <c r="C4103" s="10">
        <v>44791</v>
      </c>
      <c r="D4103" s="15">
        <v>1.0045</v>
      </c>
      <c r="E4103" s="15">
        <v>1.5395</v>
      </c>
      <c r="F4103" s="15">
        <v>1.673</v>
      </c>
      <c r="G4103" s="11">
        <v>-0.0005</v>
      </c>
      <c r="H4103" s="9">
        <f>MAX($F$3239:F4103)</f>
        <v>1.674</v>
      </c>
      <c r="I4103" s="11">
        <f t="shared" si="94"/>
        <v>0.000597371565113414</v>
      </c>
      <c r="J4103" s="9"/>
      <c r="K4103" s="11"/>
      <c r="L4103" s="9"/>
      <c r="M4103" s="11"/>
      <c r="N4103" s="9" t="s">
        <v>809</v>
      </c>
    </row>
    <row r="4104" ht="25" customHeight="1" spans="1:14">
      <c r="A4104" s="9" t="s">
        <v>327</v>
      </c>
      <c r="B4104" s="9" t="s">
        <v>326</v>
      </c>
      <c r="C4104" s="10">
        <v>44792</v>
      </c>
      <c r="D4104" s="15">
        <v>1.0046</v>
      </c>
      <c r="E4104" s="15">
        <v>1.5396</v>
      </c>
      <c r="F4104" s="15">
        <v>1.6731</v>
      </c>
      <c r="G4104" s="11">
        <v>0.0001</v>
      </c>
      <c r="H4104" s="9">
        <f>MAX($F$3239:F4104)</f>
        <v>1.674</v>
      </c>
      <c r="I4104" s="11">
        <f t="shared" si="94"/>
        <v>0.000537634408602106</v>
      </c>
      <c r="J4104" s="9"/>
      <c r="K4104" s="11"/>
      <c r="L4104" s="9"/>
      <c r="M4104" s="11"/>
      <c r="N4104" s="9" t="s">
        <v>809</v>
      </c>
    </row>
    <row r="4105" ht="25" customHeight="1" spans="1:14">
      <c r="A4105" s="9" t="s">
        <v>327</v>
      </c>
      <c r="B4105" s="9" t="s">
        <v>326</v>
      </c>
      <c r="C4105" s="10">
        <v>44795</v>
      </c>
      <c r="D4105" s="15">
        <v>1.0048</v>
      </c>
      <c r="E4105" s="15">
        <v>1.5398</v>
      </c>
      <c r="F4105" s="15">
        <v>1.6735</v>
      </c>
      <c r="G4105" s="11">
        <v>0.0002</v>
      </c>
      <c r="H4105" s="9">
        <f>MAX($F$3239:F4105)</f>
        <v>1.674</v>
      </c>
      <c r="I4105" s="11">
        <f t="shared" si="94"/>
        <v>0.000298685782556762</v>
      </c>
      <c r="J4105" s="9"/>
      <c r="K4105" s="11"/>
      <c r="L4105" s="9"/>
      <c r="M4105" s="11"/>
      <c r="N4105" s="9" t="s">
        <v>809</v>
      </c>
    </row>
    <row r="4106" ht="25" customHeight="1" spans="1:14">
      <c r="A4106" s="9" t="s">
        <v>327</v>
      </c>
      <c r="B4106" s="9" t="s">
        <v>326</v>
      </c>
      <c r="C4106" s="10">
        <v>44796</v>
      </c>
      <c r="D4106" s="15">
        <v>1.005</v>
      </c>
      <c r="E4106" s="15">
        <v>1.54</v>
      </c>
      <c r="F4106" s="15">
        <v>1.6738</v>
      </c>
      <c r="G4106" s="11">
        <v>0.0002</v>
      </c>
      <c r="H4106" s="9">
        <f>MAX($F$3239:F4106)</f>
        <v>1.674</v>
      </c>
      <c r="I4106" s="11">
        <f t="shared" si="94"/>
        <v>0.000119474313022727</v>
      </c>
      <c r="J4106" s="9"/>
      <c r="K4106" s="11"/>
      <c r="L4106" s="9"/>
      <c r="M4106" s="11"/>
      <c r="N4106" s="9" t="s">
        <v>809</v>
      </c>
    </row>
    <row r="4107" ht="25" customHeight="1" spans="1:14">
      <c r="A4107" s="9" t="s">
        <v>327</v>
      </c>
      <c r="B4107" s="9" t="s">
        <v>326</v>
      </c>
      <c r="C4107" s="10">
        <v>44797</v>
      </c>
      <c r="D4107" s="15">
        <v>1.005</v>
      </c>
      <c r="E4107" s="15">
        <v>1.54</v>
      </c>
      <c r="F4107" s="15">
        <v>1.6738</v>
      </c>
      <c r="G4107" s="11">
        <v>0</v>
      </c>
      <c r="H4107" s="9">
        <f>MAX($F$3239:F4107)</f>
        <v>1.674</v>
      </c>
      <c r="I4107" s="11">
        <f t="shared" si="94"/>
        <v>0.000119474313022727</v>
      </c>
      <c r="J4107" s="9"/>
      <c r="K4107" s="11"/>
      <c r="L4107" s="9"/>
      <c r="M4107" s="11"/>
      <c r="N4107" s="9" t="s">
        <v>809</v>
      </c>
    </row>
    <row r="4108" ht="25" customHeight="1" spans="1:14">
      <c r="A4108" s="9" t="s">
        <v>327</v>
      </c>
      <c r="B4108" s="9" t="s">
        <v>326</v>
      </c>
      <c r="C4108" s="10">
        <v>44798</v>
      </c>
      <c r="D4108" s="15">
        <v>1.0049</v>
      </c>
      <c r="E4108" s="15">
        <v>1.5399</v>
      </c>
      <c r="F4108" s="15">
        <v>1.6736</v>
      </c>
      <c r="G4108" s="11">
        <v>-0.0001</v>
      </c>
      <c r="H4108" s="9">
        <f>MAX($F$3239:F4108)</f>
        <v>1.674</v>
      </c>
      <c r="I4108" s="11">
        <f t="shared" si="94"/>
        <v>0.000238948626045343</v>
      </c>
      <c r="J4108" s="9"/>
      <c r="K4108" s="11"/>
      <c r="L4108" s="9"/>
      <c r="M4108" s="11"/>
      <c r="N4108" s="9" t="s">
        <v>809</v>
      </c>
    </row>
    <row r="4109" ht="25" customHeight="1" spans="1:14">
      <c r="A4109" s="9" t="s">
        <v>327</v>
      </c>
      <c r="B4109" s="9" t="s">
        <v>326</v>
      </c>
      <c r="C4109" s="10">
        <v>44799</v>
      </c>
      <c r="D4109" s="15">
        <v>1.0047</v>
      </c>
      <c r="E4109" s="15">
        <v>1.5397</v>
      </c>
      <c r="F4109" s="15">
        <v>1.6733</v>
      </c>
      <c r="G4109" s="11">
        <v>-0.0002</v>
      </c>
      <c r="H4109" s="9">
        <f>MAX($F$3239:F4109)</f>
        <v>1.674</v>
      </c>
      <c r="I4109" s="11">
        <f t="shared" si="94"/>
        <v>0.000418160095579378</v>
      </c>
      <c r="J4109" s="9"/>
      <c r="K4109" s="11"/>
      <c r="L4109" s="9"/>
      <c r="M4109" s="11"/>
      <c r="N4109" s="9" t="s">
        <v>809</v>
      </c>
    </row>
    <row r="4110" ht="25" customHeight="1" spans="1:14">
      <c r="A4110" s="9" t="s">
        <v>327</v>
      </c>
      <c r="B4110" s="9" t="s">
        <v>326</v>
      </c>
      <c r="C4110" s="10">
        <v>44802</v>
      </c>
      <c r="D4110" s="15">
        <v>1.0048</v>
      </c>
      <c r="E4110" s="15">
        <v>1.5398</v>
      </c>
      <c r="F4110" s="15">
        <v>1.6735</v>
      </c>
      <c r="G4110" s="11">
        <v>0.0001</v>
      </c>
      <c r="H4110" s="9">
        <f>MAX($F$3239:F4110)</f>
        <v>1.674</v>
      </c>
      <c r="I4110" s="11">
        <f t="shared" si="94"/>
        <v>0.000298685782556762</v>
      </c>
      <c r="J4110" s="9"/>
      <c r="K4110" s="11"/>
      <c r="L4110" s="9"/>
      <c r="M4110" s="11"/>
      <c r="N4110" s="9" t="s">
        <v>809</v>
      </c>
    </row>
    <row r="4111" ht="25" customHeight="1" spans="1:14">
      <c r="A4111" s="9" t="s">
        <v>327</v>
      </c>
      <c r="B4111" s="9" t="s">
        <v>326</v>
      </c>
      <c r="C4111" s="10">
        <v>44803</v>
      </c>
      <c r="D4111" s="15">
        <v>1.0043</v>
      </c>
      <c r="E4111" s="15">
        <v>1.5393</v>
      </c>
      <c r="F4111" s="15">
        <v>1.6726</v>
      </c>
      <c r="G4111" s="11">
        <v>-0.0005</v>
      </c>
      <c r="H4111" s="9">
        <f>MAX($F$3239:F4111)</f>
        <v>1.674</v>
      </c>
      <c r="I4111" s="11">
        <f t="shared" si="94"/>
        <v>0.000836320191158757</v>
      </c>
      <c r="J4111" s="9"/>
      <c r="K4111" s="11"/>
      <c r="L4111" s="9"/>
      <c r="M4111" s="11"/>
      <c r="N4111" s="9" t="s">
        <v>809</v>
      </c>
    </row>
    <row r="4112" ht="25" customHeight="1" spans="1:14">
      <c r="A4112" s="9" t="s">
        <v>327</v>
      </c>
      <c r="B4112" s="9" t="s">
        <v>326</v>
      </c>
      <c r="C4112" s="10">
        <v>44804</v>
      </c>
      <c r="D4112" s="15">
        <v>1.005</v>
      </c>
      <c r="E4112" s="15">
        <v>1.54</v>
      </c>
      <c r="F4112" s="15">
        <v>1.6738</v>
      </c>
      <c r="G4112" s="11">
        <v>0.0007</v>
      </c>
      <c r="H4112" s="9">
        <f>MAX($F$3239:F4112)</f>
        <v>1.674</v>
      </c>
      <c r="I4112" s="11">
        <f t="shared" si="94"/>
        <v>0.000119474313022727</v>
      </c>
      <c r="J4112" s="9"/>
      <c r="K4112" s="11"/>
      <c r="L4112" s="9"/>
      <c r="M4112" s="11"/>
      <c r="N4112" s="9" t="s">
        <v>809</v>
      </c>
    </row>
    <row r="4113" ht="25" customHeight="1" spans="1:14">
      <c r="A4113" s="9" t="s">
        <v>327</v>
      </c>
      <c r="B4113" s="9" t="s">
        <v>326</v>
      </c>
      <c r="C4113" s="10">
        <v>44805</v>
      </c>
      <c r="D4113" s="15">
        <v>1.0045</v>
      </c>
      <c r="E4113" s="15">
        <v>1.5395</v>
      </c>
      <c r="F4113" s="15">
        <v>1.673</v>
      </c>
      <c r="G4113" s="11">
        <v>-0.0005</v>
      </c>
      <c r="H4113" s="9">
        <f>MAX($F$3239:F4113)</f>
        <v>1.674</v>
      </c>
      <c r="I4113" s="11">
        <f t="shared" si="94"/>
        <v>0.000597371565113414</v>
      </c>
      <c r="J4113" s="9"/>
      <c r="K4113" s="11"/>
      <c r="L4113" s="9"/>
      <c r="M4113" s="11"/>
      <c r="N4113" s="9" t="s">
        <v>809</v>
      </c>
    </row>
    <row r="4114" ht="25" customHeight="1" spans="1:14">
      <c r="A4114" s="9" t="s">
        <v>327</v>
      </c>
      <c r="B4114" s="9" t="s">
        <v>326</v>
      </c>
      <c r="C4114" s="10">
        <v>44806</v>
      </c>
      <c r="D4114" s="15">
        <v>1.0043</v>
      </c>
      <c r="E4114" s="15">
        <v>1.5393</v>
      </c>
      <c r="F4114" s="15">
        <v>1.6726</v>
      </c>
      <c r="G4114" s="11">
        <v>-0.0002</v>
      </c>
      <c r="H4114" s="9">
        <f>MAX($F$3239:F4114)</f>
        <v>1.674</v>
      </c>
      <c r="I4114" s="11">
        <f t="shared" si="94"/>
        <v>0.000836320191158757</v>
      </c>
      <c r="J4114" s="9"/>
      <c r="K4114" s="11"/>
      <c r="L4114" s="9"/>
      <c r="M4114" s="11"/>
      <c r="N4114" s="9" t="s">
        <v>809</v>
      </c>
    </row>
    <row r="4115" ht="25" customHeight="1" spans="1:14">
      <c r="A4115" s="9" t="s">
        <v>327</v>
      </c>
      <c r="B4115" s="9" t="s">
        <v>326</v>
      </c>
      <c r="C4115" s="10">
        <v>44809</v>
      </c>
      <c r="D4115" s="15">
        <v>1.0042</v>
      </c>
      <c r="E4115" s="15">
        <v>1.5392</v>
      </c>
      <c r="F4115" s="15">
        <v>1.6725</v>
      </c>
      <c r="G4115" s="11">
        <v>-0.0001</v>
      </c>
      <c r="H4115" s="9">
        <f>MAX($F$3239:F4115)</f>
        <v>1.674</v>
      </c>
      <c r="I4115" s="11">
        <f t="shared" si="94"/>
        <v>0.000896057347670176</v>
      </c>
      <c r="J4115" s="9"/>
      <c r="K4115" s="11"/>
      <c r="L4115" s="9"/>
      <c r="M4115" s="11"/>
      <c r="N4115" s="9" t="s">
        <v>809</v>
      </c>
    </row>
    <row r="4116" ht="25" customHeight="1" spans="1:14">
      <c r="A4116" s="9" t="s">
        <v>327</v>
      </c>
      <c r="B4116" s="9" t="s">
        <v>326</v>
      </c>
      <c r="C4116" s="10">
        <v>44810</v>
      </c>
      <c r="D4116" s="15">
        <v>1.0041</v>
      </c>
      <c r="E4116" s="15">
        <v>1.5391</v>
      </c>
      <c r="F4116" s="15">
        <v>1.6723</v>
      </c>
      <c r="G4116" s="11">
        <v>-0.0001</v>
      </c>
      <c r="H4116" s="9">
        <f>MAX($F$3239:F4116)</f>
        <v>1.674</v>
      </c>
      <c r="I4116" s="11">
        <f t="shared" si="94"/>
        <v>0.00101553166069301</v>
      </c>
      <c r="J4116" s="9"/>
      <c r="K4116" s="11"/>
      <c r="L4116" s="9"/>
      <c r="M4116" s="11"/>
      <c r="N4116" s="9" t="s">
        <v>809</v>
      </c>
    </row>
    <row r="4117" ht="25" customHeight="1" spans="1:14">
      <c r="A4117" s="9" t="s">
        <v>327</v>
      </c>
      <c r="B4117" s="9" t="s">
        <v>326</v>
      </c>
      <c r="C4117" s="10">
        <v>44811</v>
      </c>
      <c r="D4117" s="15">
        <v>1.0038</v>
      </c>
      <c r="E4117" s="15">
        <v>1.5388</v>
      </c>
      <c r="F4117" s="15">
        <v>1.6718</v>
      </c>
      <c r="G4117" s="11">
        <v>-0.0003</v>
      </c>
      <c r="H4117" s="9">
        <f>MAX($F$3239:F4117)</f>
        <v>1.674</v>
      </c>
      <c r="I4117" s="11">
        <f t="shared" si="94"/>
        <v>0.00131421744324967</v>
      </c>
      <c r="J4117" s="9"/>
      <c r="K4117" s="11"/>
      <c r="L4117" s="9"/>
      <c r="M4117" s="11"/>
      <c r="N4117" s="9" t="s">
        <v>809</v>
      </c>
    </row>
    <row r="4118" ht="25" customHeight="1" spans="1:14">
      <c r="A4118" s="9" t="s">
        <v>327</v>
      </c>
      <c r="B4118" s="9" t="s">
        <v>326</v>
      </c>
      <c r="C4118" s="10">
        <v>44812</v>
      </c>
      <c r="D4118" s="15">
        <v>1.004</v>
      </c>
      <c r="E4118" s="15">
        <v>1.539</v>
      </c>
      <c r="F4118" s="15">
        <v>1.6721</v>
      </c>
      <c r="G4118" s="11">
        <v>0.0002</v>
      </c>
      <c r="H4118" s="9">
        <f>MAX($F$3239:F4118)</f>
        <v>1.674</v>
      </c>
      <c r="I4118" s="11">
        <f t="shared" si="94"/>
        <v>0.00113500597371563</v>
      </c>
      <c r="J4118" s="9"/>
      <c r="K4118" s="11"/>
      <c r="L4118" s="9"/>
      <c r="M4118" s="11"/>
      <c r="N4118" s="9" t="s">
        <v>809</v>
      </c>
    </row>
    <row r="4119" ht="25" customHeight="1" spans="1:14">
      <c r="A4119" s="9" t="s">
        <v>327</v>
      </c>
      <c r="B4119" s="9" t="s">
        <v>326</v>
      </c>
      <c r="C4119" s="10">
        <v>44813</v>
      </c>
      <c r="D4119" s="15">
        <v>1.0051</v>
      </c>
      <c r="E4119" s="15">
        <v>1.5401</v>
      </c>
      <c r="F4119" s="15">
        <v>1.674</v>
      </c>
      <c r="G4119" s="11">
        <v>0.0011</v>
      </c>
      <c r="H4119" s="9">
        <f>MAX($F$3239:F4119)</f>
        <v>1.674</v>
      </c>
      <c r="I4119" s="11">
        <f t="shared" si="94"/>
        <v>0</v>
      </c>
      <c r="J4119" s="9"/>
      <c r="K4119" s="11"/>
      <c r="L4119" s="9"/>
      <c r="M4119" s="11"/>
      <c r="N4119" s="9" t="s">
        <v>809</v>
      </c>
    </row>
    <row r="4120" ht="25" customHeight="1" spans="1:14">
      <c r="A4120" s="9" t="s">
        <v>327</v>
      </c>
      <c r="B4120" s="9" t="s">
        <v>326</v>
      </c>
      <c r="C4120" s="10">
        <v>44817</v>
      </c>
      <c r="D4120" s="15">
        <v>1.0052</v>
      </c>
      <c r="E4120" s="15">
        <v>1.5402</v>
      </c>
      <c r="F4120" s="15">
        <v>1.6741</v>
      </c>
      <c r="G4120" s="11">
        <v>0.0001</v>
      </c>
      <c r="H4120" s="9">
        <f>MAX($F$3239:F4120)</f>
        <v>1.6741</v>
      </c>
      <c r="I4120" s="11">
        <f t="shared" si="94"/>
        <v>0</v>
      </c>
      <c r="J4120" s="9"/>
      <c r="K4120" s="11"/>
      <c r="L4120" s="9"/>
      <c r="M4120" s="11"/>
      <c r="N4120" s="9" t="s">
        <v>809</v>
      </c>
    </row>
    <row r="4121" ht="25" customHeight="1" spans="1:14">
      <c r="A4121" s="9" t="s">
        <v>327</v>
      </c>
      <c r="B4121" s="9" t="s">
        <v>326</v>
      </c>
      <c r="C4121" s="10">
        <v>44818</v>
      </c>
      <c r="D4121" s="15">
        <v>1.0049</v>
      </c>
      <c r="E4121" s="15">
        <v>1.5399</v>
      </c>
      <c r="F4121" s="15">
        <v>1.6736</v>
      </c>
      <c r="G4121" s="11">
        <v>-0.0003</v>
      </c>
      <c r="H4121" s="9">
        <f>MAX($F$3239:F4121)</f>
        <v>1.6741</v>
      </c>
      <c r="I4121" s="11">
        <f t="shared" si="94"/>
        <v>0.00029866794098321</v>
      </c>
      <c r="J4121" s="9"/>
      <c r="K4121" s="11"/>
      <c r="L4121" s="9"/>
      <c r="M4121" s="11"/>
      <c r="N4121" s="9" t="s">
        <v>809</v>
      </c>
    </row>
    <row r="4122" ht="25" customHeight="1" spans="1:14">
      <c r="A4122" s="9" t="s">
        <v>327</v>
      </c>
      <c r="B4122" s="9" t="s">
        <v>326</v>
      </c>
      <c r="C4122" s="10">
        <v>44819</v>
      </c>
      <c r="D4122" s="15">
        <v>1.0053</v>
      </c>
      <c r="E4122" s="15">
        <v>1.5403</v>
      </c>
      <c r="F4122" s="15">
        <v>1.6743</v>
      </c>
      <c r="G4122" s="11">
        <v>0.0004</v>
      </c>
      <c r="H4122" s="9">
        <f>MAX($F$3239:F4122)</f>
        <v>1.6743</v>
      </c>
      <c r="I4122" s="11">
        <f t="shared" si="94"/>
        <v>0</v>
      </c>
      <c r="J4122" s="9"/>
      <c r="K4122" s="11"/>
      <c r="L4122" s="9"/>
      <c r="M4122" s="11"/>
      <c r="N4122" s="9" t="s">
        <v>809</v>
      </c>
    </row>
    <row r="4123" ht="25" customHeight="1" spans="1:14">
      <c r="A4123" s="9" t="s">
        <v>327</v>
      </c>
      <c r="B4123" s="9" t="s">
        <v>326</v>
      </c>
      <c r="C4123" s="10">
        <v>44820</v>
      </c>
      <c r="D4123" s="15">
        <v>1.0056</v>
      </c>
      <c r="E4123" s="15">
        <v>1.5406</v>
      </c>
      <c r="F4123" s="15">
        <v>1.6748</v>
      </c>
      <c r="G4123" s="11">
        <v>0.0003</v>
      </c>
      <c r="H4123" s="9">
        <f>MAX($F$3239:F4123)</f>
        <v>1.6748</v>
      </c>
      <c r="I4123" s="11">
        <f t="shared" si="94"/>
        <v>0</v>
      </c>
      <c r="J4123" s="9"/>
      <c r="K4123" s="11"/>
      <c r="L4123" s="9"/>
      <c r="M4123" s="11"/>
      <c r="N4123" s="9" t="s">
        <v>809</v>
      </c>
    </row>
    <row r="4124" ht="25" customHeight="1" spans="1:14">
      <c r="A4124" s="9" t="s">
        <v>327</v>
      </c>
      <c r="B4124" s="9" t="s">
        <v>326</v>
      </c>
      <c r="C4124" s="10">
        <v>44823</v>
      </c>
      <c r="D4124" s="15">
        <v>1.0059</v>
      </c>
      <c r="E4124" s="15">
        <v>1.5409</v>
      </c>
      <c r="F4124" s="15">
        <v>1.6753</v>
      </c>
      <c r="G4124" s="11">
        <v>0.0003</v>
      </c>
      <c r="H4124" s="9">
        <f>MAX($F$3239:F4124)</f>
        <v>1.6753</v>
      </c>
      <c r="I4124" s="11">
        <f t="shared" si="94"/>
        <v>0</v>
      </c>
      <c r="J4124" s="9"/>
      <c r="K4124" s="11"/>
      <c r="L4124" s="9"/>
      <c r="M4124" s="11"/>
      <c r="N4124" s="9" t="s">
        <v>809</v>
      </c>
    </row>
    <row r="4125" ht="25" customHeight="1" spans="1:14">
      <c r="A4125" s="9" t="s">
        <v>327</v>
      </c>
      <c r="B4125" s="9" t="s">
        <v>326</v>
      </c>
      <c r="C4125" s="10">
        <v>44824</v>
      </c>
      <c r="D4125" s="15">
        <v>1.0059</v>
      </c>
      <c r="E4125" s="15">
        <v>1.5409</v>
      </c>
      <c r="F4125" s="15">
        <v>1.6753</v>
      </c>
      <c r="G4125" s="11">
        <v>0</v>
      </c>
      <c r="H4125" s="9">
        <f>MAX($F$3239:F4125)</f>
        <v>1.6753</v>
      </c>
      <c r="I4125" s="11">
        <f t="shared" si="94"/>
        <v>0</v>
      </c>
      <c r="J4125" s="9"/>
      <c r="K4125" s="11"/>
      <c r="L4125" s="9"/>
      <c r="M4125" s="11"/>
      <c r="N4125" s="9" t="s">
        <v>809</v>
      </c>
    </row>
    <row r="4126" ht="25" customHeight="1" spans="1:14">
      <c r="A4126" s="9" t="s">
        <v>327</v>
      </c>
      <c r="B4126" s="9" t="s">
        <v>326</v>
      </c>
      <c r="C4126" s="10">
        <v>44825</v>
      </c>
      <c r="D4126" s="15">
        <v>1.0057</v>
      </c>
      <c r="E4126" s="15">
        <v>1.5407</v>
      </c>
      <c r="F4126" s="15">
        <v>1.675</v>
      </c>
      <c r="G4126" s="11">
        <v>-0.0002</v>
      </c>
      <c r="H4126" s="9">
        <f>MAX($F$3239:F4126)</f>
        <v>1.6753</v>
      </c>
      <c r="I4126" s="11">
        <f t="shared" si="94"/>
        <v>0.000179072404942415</v>
      </c>
      <c r="J4126" s="9"/>
      <c r="K4126" s="11"/>
      <c r="L4126" s="9"/>
      <c r="M4126" s="11"/>
      <c r="N4126" s="9" t="s">
        <v>809</v>
      </c>
    </row>
    <row r="4127" ht="25" customHeight="1" spans="1:14">
      <c r="A4127" s="9" t="s">
        <v>327</v>
      </c>
      <c r="B4127" s="9" t="s">
        <v>326</v>
      </c>
      <c r="C4127" s="10">
        <v>44826</v>
      </c>
      <c r="D4127" s="15">
        <v>1.0059</v>
      </c>
      <c r="E4127" s="15">
        <v>1.5409</v>
      </c>
      <c r="F4127" s="15">
        <v>1.6753</v>
      </c>
      <c r="G4127" s="11">
        <v>0.0002</v>
      </c>
      <c r="H4127" s="9">
        <f>MAX($F$3239:F4127)</f>
        <v>1.6753</v>
      </c>
      <c r="I4127" s="11">
        <f t="shared" si="94"/>
        <v>0</v>
      </c>
      <c r="J4127" s="9"/>
      <c r="K4127" s="11"/>
      <c r="L4127" s="9"/>
      <c r="M4127" s="11"/>
      <c r="N4127" s="9" t="s">
        <v>809</v>
      </c>
    </row>
    <row r="4128" ht="25" customHeight="1" spans="1:14">
      <c r="A4128" s="9" t="s">
        <v>327</v>
      </c>
      <c r="B4128" s="9" t="s">
        <v>326</v>
      </c>
      <c r="C4128" s="10">
        <v>44827</v>
      </c>
      <c r="D4128" s="15">
        <v>1.0065</v>
      </c>
      <c r="E4128" s="15">
        <v>1.5415</v>
      </c>
      <c r="F4128" s="15">
        <v>1.6763</v>
      </c>
      <c r="G4128" s="11">
        <v>0.0006</v>
      </c>
      <c r="H4128" s="9">
        <f>MAX($F$3239:F4128)</f>
        <v>1.6763</v>
      </c>
      <c r="I4128" s="11">
        <f t="shared" si="94"/>
        <v>0</v>
      </c>
      <c r="J4128" s="9"/>
      <c r="K4128" s="11"/>
      <c r="L4128" s="9"/>
      <c r="M4128" s="11"/>
      <c r="N4128" s="9" t="s">
        <v>809</v>
      </c>
    </row>
    <row r="4129" ht="25" customHeight="1" spans="1:14">
      <c r="A4129" s="9" t="s">
        <v>327</v>
      </c>
      <c r="B4129" s="9" t="s">
        <v>326</v>
      </c>
      <c r="C4129" s="10">
        <v>44830</v>
      </c>
      <c r="D4129" s="15">
        <v>1.0063</v>
      </c>
      <c r="E4129" s="15">
        <v>1.5413</v>
      </c>
      <c r="F4129" s="15">
        <v>1.676</v>
      </c>
      <c r="G4129" s="11">
        <v>-0.0002</v>
      </c>
      <c r="H4129" s="9">
        <f>MAX($F$3239:F4129)</f>
        <v>1.6763</v>
      </c>
      <c r="I4129" s="11">
        <f t="shared" si="94"/>
        <v>0.000178965578953583</v>
      </c>
      <c r="J4129" s="9"/>
      <c r="K4129" s="11"/>
      <c r="L4129" s="9"/>
      <c r="M4129" s="11"/>
      <c r="N4129" s="9" t="s">
        <v>809</v>
      </c>
    </row>
    <row r="4130" ht="25" customHeight="1" spans="1:14">
      <c r="A4130" s="9" t="s">
        <v>327</v>
      </c>
      <c r="B4130" s="9" t="s">
        <v>326</v>
      </c>
      <c r="C4130" s="10">
        <v>44831</v>
      </c>
      <c r="D4130" s="15">
        <v>1.006</v>
      </c>
      <c r="E4130" s="15">
        <v>1.541</v>
      </c>
      <c r="F4130" s="15">
        <v>1.6755</v>
      </c>
      <c r="G4130" s="11">
        <v>-0.0003</v>
      </c>
      <c r="H4130" s="9">
        <f>MAX($F$3239:F4130)</f>
        <v>1.6763</v>
      </c>
      <c r="I4130" s="11">
        <f t="shared" si="94"/>
        <v>0.000477241543876294</v>
      </c>
      <c r="J4130" s="9"/>
      <c r="K4130" s="11"/>
      <c r="L4130" s="9"/>
      <c r="M4130" s="11"/>
      <c r="N4130" s="9" t="s">
        <v>809</v>
      </c>
    </row>
    <row r="4131" ht="25" customHeight="1" spans="1:14">
      <c r="A4131" s="9" t="s">
        <v>327</v>
      </c>
      <c r="B4131" s="9" t="s">
        <v>326</v>
      </c>
      <c r="C4131" s="10">
        <v>44832</v>
      </c>
      <c r="D4131" s="15">
        <v>1.006</v>
      </c>
      <c r="E4131" s="15">
        <v>1.541</v>
      </c>
      <c r="F4131" s="15">
        <v>1.6755</v>
      </c>
      <c r="G4131" s="11">
        <v>0</v>
      </c>
      <c r="H4131" s="9">
        <f>MAX($F$3239:F4131)</f>
        <v>1.6763</v>
      </c>
      <c r="I4131" s="11">
        <f t="shared" si="94"/>
        <v>0.000477241543876294</v>
      </c>
      <c r="J4131" s="9"/>
      <c r="K4131" s="11"/>
      <c r="L4131" s="9"/>
      <c r="M4131" s="11"/>
      <c r="N4131" s="9" t="s">
        <v>809</v>
      </c>
    </row>
    <row r="4132" ht="25" customHeight="1" spans="1:14">
      <c r="A4132" s="9" t="s">
        <v>327</v>
      </c>
      <c r="B4132" s="9" t="s">
        <v>326</v>
      </c>
      <c r="C4132" s="10">
        <v>44833</v>
      </c>
      <c r="D4132" s="15">
        <v>1.0056</v>
      </c>
      <c r="E4132" s="15">
        <v>1.5406</v>
      </c>
      <c r="F4132" s="15">
        <v>1.6748</v>
      </c>
      <c r="G4132" s="11">
        <v>-0.0004</v>
      </c>
      <c r="H4132" s="9">
        <f>MAX($F$3239:F4132)</f>
        <v>1.6763</v>
      </c>
      <c r="I4132" s="11">
        <f t="shared" si="94"/>
        <v>0.000894827894768135</v>
      </c>
      <c r="J4132" s="9"/>
      <c r="K4132" s="11"/>
      <c r="L4132" s="9"/>
      <c r="M4132" s="11"/>
      <c r="N4132" s="9" t="s">
        <v>809</v>
      </c>
    </row>
    <row r="4133" ht="25" customHeight="1" spans="1:14">
      <c r="A4133" s="9" t="s">
        <v>327</v>
      </c>
      <c r="B4133" s="9" t="s">
        <v>326</v>
      </c>
      <c r="C4133" s="10">
        <v>44834</v>
      </c>
      <c r="D4133" s="15">
        <v>1.0053</v>
      </c>
      <c r="E4133" s="15">
        <v>1.5403</v>
      </c>
      <c r="F4133" s="15">
        <v>1.6743</v>
      </c>
      <c r="G4133" s="11">
        <v>-0.0003</v>
      </c>
      <c r="H4133" s="9">
        <f>MAX($F$3239:F4133)</f>
        <v>1.6763</v>
      </c>
      <c r="I4133" s="11">
        <f t="shared" si="94"/>
        <v>0.00119310385969096</v>
      </c>
      <c r="J4133" s="9"/>
      <c r="K4133" s="11"/>
      <c r="L4133" s="9"/>
      <c r="M4133" s="11"/>
      <c r="N4133" s="9" t="s">
        <v>809</v>
      </c>
    </row>
    <row r="4134" ht="25" customHeight="1" spans="1:14">
      <c r="A4134" s="9" t="s">
        <v>327</v>
      </c>
      <c r="B4134" s="9" t="s">
        <v>326</v>
      </c>
      <c r="C4134" s="10">
        <v>44844</v>
      </c>
      <c r="D4134" s="15">
        <v>1.0052</v>
      </c>
      <c r="E4134" s="15">
        <v>1.5402</v>
      </c>
      <c r="F4134" s="15">
        <v>1.6741</v>
      </c>
      <c r="G4134" s="11">
        <v>-0.0001</v>
      </c>
      <c r="H4134" s="9">
        <f>MAX($F$3239:F4134)</f>
        <v>1.6763</v>
      </c>
      <c r="I4134" s="11">
        <f t="shared" si="94"/>
        <v>0.00131241424566009</v>
      </c>
      <c r="J4134" s="9"/>
      <c r="K4134" s="11"/>
      <c r="L4134" s="9"/>
      <c r="M4134" s="11"/>
      <c r="N4134" s="9" t="s">
        <v>809</v>
      </c>
    </row>
    <row r="4135" ht="25" customHeight="1" spans="1:14">
      <c r="A4135" s="9" t="s">
        <v>327</v>
      </c>
      <c r="B4135" s="9" t="s">
        <v>326</v>
      </c>
      <c r="C4135" s="10">
        <v>44845</v>
      </c>
      <c r="D4135" s="15">
        <v>1.0054</v>
      </c>
      <c r="E4135" s="15">
        <v>1.5404</v>
      </c>
      <c r="F4135" s="15">
        <v>1.6745</v>
      </c>
      <c r="G4135" s="11">
        <v>0.0002</v>
      </c>
      <c r="H4135" s="9">
        <f>MAX($F$3239:F4135)</f>
        <v>1.6763</v>
      </c>
      <c r="I4135" s="11">
        <f t="shared" si="94"/>
        <v>0.00107379347372172</v>
      </c>
      <c r="J4135" s="9"/>
      <c r="K4135" s="11"/>
      <c r="L4135" s="9"/>
      <c r="M4135" s="11"/>
      <c r="N4135" s="9" t="s">
        <v>809</v>
      </c>
    </row>
    <row r="4136" ht="25" customHeight="1" spans="1:14">
      <c r="A4136" s="9" t="s">
        <v>327</v>
      </c>
      <c r="B4136" s="9" t="s">
        <v>326</v>
      </c>
      <c r="C4136" s="10">
        <v>44846</v>
      </c>
      <c r="D4136" s="15">
        <v>1.0064</v>
      </c>
      <c r="E4136" s="15">
        <v>1.5414</v>
      </c>
      <c r="F4136" s="15">
        <v>1.6761</v>
      </c>
      <c r="G4136" s="11">
        <v>0.001</v>
      </c>
      <c r="H4136" s="9">
        <f>MAX($F$3239:F4136)</f>
        <v>1.6763</v>
      </c>
      <c r="I4136" s="11">
        <f t="shared" si="94"/>
        <v>0.000119310385969129</v>
      </c>
      <c r="J4136" s="9"/>
      <c r="K4136" s="11"/>
      <c r="L4136" s="9"/>
      <c r="M4136" s="11"/>
      <c r="N4136" s="9" t="s">
        <v>809</v>
      </c>
    </row>
    <row r="4137" ht="25" customHeight="1" spans="1:14">
      <c r="A4137" s="9" t="s">
        <v>327</v>
      </c>
      <c r="B4137" s="9" t="s">
        <v>326</v>
      </c>
      <c r="C4137" s="10">
        <v>44847</v>
      </c>
      <c r="D4137" s="15">
        <v>1.0061</v>
      </c>
      <c r="E4137" s="15">
        <v>1.5411</v>
      </c>
      <c r="F4137" s="15">
        <v>1.6756</v>
      </c>
      <c r="G4137" s="11">
        <v>-0.0003</v>
      </c>
      <c r="H4137" s="9">
        <f>MAX($F$3239:F4137)</f>
        <v>1.6763</v>
      </c>
      <c r="I4137" s="11">
        <f t="shared" si="94"/>
        <v>0.000417586350891841</v>
      </c>
      <c r="J4137" s="9"/>
      <c r="K4137" s="11"/>
      <c r="L4137" s="9"/>
      <c r="M4137" s="11"/>
      <c r="N4137" s="9" t="s">
        <v>809</v>
      </c>
    </row>
    <row r="4138" ht="25" customHeight="1" spans="1:14">
      <c r="A4138" s="9" t="s">
        <v>327</v>
      </c>
      <c r="B4138" s="9" t="s">
        <v>326</v>
      </c>
      <c r="C4138" s="10">
        <v>44848</v>
      </c>
      <c r="D4138" s="15">
        <v>1.0063</v>
      </c>
      <c r="E4138" s="15">
        <v>1.5413</v>
      </c>
      <c r="F4138" s="15">
        <v>1.676</v>
      </c>
      <c r="G4138" s="11">
        <v>0.0002</v>
      </c>
      <c r="H4138" s="9">
        <f>MAX($F$3239:F4138)</f>
        <v>1.6763</v>
      </c>
      <c r="I4138" s="11">
        <f t="shared" si="94"/>
        <v>0.000178965578953583</v>
      </c>
      <c r="J4138" s="9"/>
      <c r="K4138" s="11"/>
      <c r="L4138" s="9"/>
      <c r="M4138" s="11"/>
      <c r="N4138" s="9" t="s">
        <v>809</v>
      </c>
    </row>
    <row r="4139" ht="25" customHeight="1" spans="1:14">
      <c r="A4139" s="9" t="s">
        <v>327</v>
      </c>
      <c r="B4139" s="9" t="s">
        <v>326</v>
      </c>
      <c r="C4139" s="10">
        <v>44851</v>
      </c>
      <c r="D4139" s="15">
        <v>1.0063</v>
      </c>
      <c r="E4139" s="15">
        <v>1.5413</v>
      </c>
      <c r="F4139" s="15">
        <v>1.676</v>
      </c>
      <c r="G4139" s="11">
        <v>0</v>
      </c>
      <c r="H4139" s="9">
        <f>MAX($F$3239:F4139)</f>
        <v>1.6763</v>
      </c>
      <c r="I4139" s="11">
        <f t="shared" si="94"/>
        <v>0.000178965578953583</v>
      </c>
      <c r="J4139" s="9"/>
      <c r="K4139" s="11"/>
      <c r="L4139" s="9"/>
      <c r="M4139" s="11"/>
      <c r="N4139" s="9" t="s">
        <v>809</v>
      </c>
    </row>
    <row r="4140" ht="25" customHeight="1" spans="1:14">
      <c r="A4140" s="9" t="s">
        <v>327</v>
      </c>
      <c r="B4140" s="9" t="s">
        <v>326</v>
      </c>
      <c r="C4140" s="10">
        <v>44852</v>
      </c>
      <c r="D4140" s="15">
        <v>1.0076</v>
      </c>
      <c r="E4140" s="15">
        <v>1.5426</v>
      </c>
      <c r="F4140" s="15">
        <v>1.6781</v>
      </c>
      <c r="G4140" s="11">
        <v>0.0013</v>
      </c>
      <c r="H4140" s="9">
        <f>MAX($F$3239:F4140)</f>
        <v>1.6781</v>
      </c>
      <c r="I4140" s="11">
        <f t="shared" si="94"/>
        <v>0</v>
      </c>
      <c r="J4140" s="9"/>
      <c r="K4140" s="11"/>
      <c r="L4140" s="9"/>
      <c r="M4140" s="11"/>
      <c r="N4140" s="9" t="s">
        <v>809</v>
      </c>
    </row>
    <row r="4141" ht="25" customHeight="1" spans="1:14">
      <c r="A4141" s="9" t="s">
        <v>327</v>
      </c>
      <c r="B4141" s="9" t="s">
        <v>326</v>
      </c>
      <c r="C4141" s="10">
        <v>44853</v>
      </c>
      <c r="D4141" s="15">
        <v>1.0076</v>
      </c>
      <c r="E4141" s="15">
        <v>1.5426</v>
      </c>
      <c r="F4141" s="15">
        <v>1.6781</v>
      </c>
      <c r="G4141" s="11">
        <v>0</v>
      </c>
      <c r="H4141" s="9">
        <f>MAX($F$3239:F4141)</f>
        <v>1.6781</v>
      </c>
      <c r="I4141" s="11">
        <f t="shared" si="94"/>
        <v>0</v>
      </c>
      <c r="J4141" s="9"/>
      <c r="K4141" s="11"/>
      <c r="L4141" s="9"/>
      <c r="M4141" s="11"/>
      <c r="N4141" s="9" t="s">
        <v>809</v>
      </c>
    </row>
    <row r="4142" ht="25" customHeight="1" spans="1:14">
      <c r="A4142" s="9" t="s">
        <v>327</v>
      </c>
      <c r="B4142" s="9" t="s">
        <v>326</v>
      </c>
      <c r="C4142" s="10">
        <v>44854</v>
      </c>
      <c r="D4142" s="15">
        <v>1.009</v>
      </c>
      <c r="E4142" s="15">
        <v>1.544</v>
      </c>
      <c r="F4142" s="15">
        <v>1.6805</v>
      </c>
      <c r="G4142" s="11">
        <v>0.0014</v>
      </c>
      <c r="H4142" s="9">
        <f>MAX($F$3239:F4142)</f>
        <v>1.6805</v>
      </c>
      <c r="I4142" s="11">
        <f t="shared" si="94"/>
        <v>0</v>
      </c>
      <c r="J4142" s="9"/>
      <c r="K4142" s="11"/>
      <c r="L4142" s="9"/>
      <c r="M4142" s="11"/>
      <c r="N4142" s="9" t="s">
        <v>809</v>
      </c>
    </row>
    <row r="4143" ht="25" customHeight="1" spans="1:14">
      <c r="A4143" s="9" t="s">
        <v>327</v>
      </c>
      <c r="B4143" s="9" t="s">
        <v>326</v>
      </c>
      <c r="C4143" s="10">
        <v>44855</v>
      </c>
      <c r="D4143" s="15">
        <v>1.0093</v>
      </c>
      <c r="E4143" s="15">
        <v>1.5443</v>
      </c>
      <c r="F4143" s="15">
        <v>1.681</v>
      </c>
      <c r="G4143" s="11">
        <v>0.0003</v>
      </c>
      <c r="H4143" s="9">
        <f>MAX($F$3239:F4143)</f>
        <v>1.681</v>
      </c>
      <c r="I4143" s="11">
        <f t="shared" si="94"/>
        <v>0</v>
      </c>
      <c r="J4143" s="9"/>
      <c r="K4143" s="11"/>
      <c r="L4143" s="9"/>
      <c r="M4143" s="11"/>
      <c r="N4143" s="9" t="s">
        <v>809</v>
      </c>
    </row>
    <row r="4144" ht="25" customHeight="1" spans="1:14">
      <c r="A4144" s="9" t="s">
        <v>327</v>
      </c>
      <c r="B4144" s="9" t="s">
        <v>326</v>
      </c>
      <c r="C4144" s="10">
        <v>44858</v>
      </c>
      <c r="D4144" s="15">
        <v>1.0102</v>
      </c>
      <c r="E4144" s="15">
        <v>1.5452</v>
      </c>
      <c r="F4144" s="15">
        <v>1.6825</v>
      </c>
      <c r="G4144" s="11">
        <v>0.0009</v>
      </c>
      <c r="H4144" s="9">
        <f>MAX($F$3239:F4144)</f>
        <v>1.6825</v>
      </c>
      <c r="I4144" s="11">
        <f t="shared" si="94"/>
        <v>0</v>
      </c>
      <c r="J4144" s="9"/>
      <c r="K4144" s="11"/>
      <c r="L4144" s="9"/>
      <c r="M4144" s="11"/>
      <c r="N4144" s="9" t="s">
        <v>809</v>
      </c>
    </row>
    <row r="4145" ht="25" customHeight="1" spans="1:14">
      <c r="A4145" s="9" t="s">
        <v>327</v>
      </c>
      <c r="B4145" s="9" t="s">
        <v>326</v>
      </c>
      <c r="C4145" s="10">
        <v>44859</v>
      </c>
      <c r="D4145" s="15">
        <v>1.0088</v>
      </c>
      <c r="E4145" s="15">
        <v>1.5438</v>
      </c>
      <c r="F4145" s="15">
        <v>1.6801</v>
      </c>
      <c r="G4145" s="11">
        <v>-0.0014</v>
      </c>
      <c r="H4145" s="9">
        <f>MAX($F$3239:F4145)</f>
        <v>1.6825</v>
      </c>
      <c r="I4145" s="11">
        <f t="shared" si="94"/>
        <v>0.0014264487369986</v>
      </c>
      <c r="J4145" s="9"/>
      <c r="K4145" s="11"/>
      <c r="L4145" s="9"/>
      <c r="M4145" s="11"/>
      <c r="N4145" s="9" t="s">
        <v>809</v>
      </c>
    </row>
    <row r="4146" ht="25" customHeight="1" spans="1:14">
      <c r="A4146" s="9" t="s">
        <v>327</v>
      </c>
      <c r="B4146" s="9" t="s">
        <v>326</v>
      </c>
      <c r="C4146" s="10">
        <v>44860</v>
      </c>
      <c r="D4146" s="15">
        <v>1.0087</v>
      </c>
      <c r="E4146" s="15">
        <v>1.5437</v>
      </c>
      <c r="F4146" s="15">
        <v>1.68</v>
      </c>
      <c r="G4146" s="11">
        <v>-0.0001</v>
      </c>
      <c r="H4146" s="9">
        <f>MAX($F$3239:F4146)</f>
        <v>1.6825</v>
      </c>
      <c r="I4146" s="11">
        <f t="shared" si="94"/>
        <v>0.00148588410104022</v>
      </c>
      <c r="J4146" s="9"/>
      <c r="K4146" s="11"/>
      <c r="L4146" s="9"/>
      <c r="M4146" s="11"/>
      <c r="N4146" s="9" t="s">
        <v>809</v>
      </c>
    </row>
    <row r="4147" ht="25" customHeight="1" spans="1:14">
      <c r="A4147" s="9" t="s">
        <v>327</v>
      </c>
      <c r="B4147" s="9" t="s">
        <v>326</v>
      </c>
      <c r="C4147" s="10">
        <v>44861</v>
      </c>
      <c r="D4147" s="15">
        <v>1.0087</v>
      </c>
      <c r="E4147" s="15">
        <v>1.5437</v>
      </c>
      <c r="F4147" s="15">
        <v>1.68</v>
      </c>
      <c r="G4147" s="11">
        <v>0</v>
      </c>
      <c r="H4147" s="9">
        <f>MAX($F$3239:F4147)</f>
        <v>1.6825</v>
      </c>
      <c r="I4147" s="11">
        <f t="shared" si="94"/>
        <v>0.00148588410104022</v>
      </c>
      <c r="J4147" s="9"/>
      <c r="K4147" s="11"/>
      <c r="L4147" s="9"/>
      <c r="M4147" s="11"/>
      <c r="N4147" s="9" t="s">
        <v>809</v>
      </c>
    </row>
    <row r="4148" ht="25" customHeight="1" spans="1:14">
      <c r="A4148" s="9" t="s">
        <v>327</v>
      </c>
      <c r="B4148" s="9" t="s">
        <v>326</v>
      </c>
      <c r="C4148" s="10">
        <v>44862</v>
      </c>
      <c r="D4148" s="15">
        <v>1.0083</v>
      </c>
      <c r="E4148" s="15">
        <v>1.5433</v>
      </c>
      <c r="F4148" s="15">
        <v>1.6793</v>
      </c>
      <c r="G4148" s="11">
        <v>-0.0004</v>
      </c>
      <c r="H4148" s="9">
        <f>MAX($F$3239:F4148)</f>
        <v>1.6825</v>
      </c>
      <c r="I4148" s="11">
        <f t="shared" si="94"/>
        <v>0.00190193164933139</v>
      </c>
      <c r="J4148" s="9"/>
      <c r="K4148" s="11"/>
      <c r="L4148" s="9"/>
      <c r="M4148" s="11"/>
      <c r="N4148" s="9" t="s">
        <v>809</v>
      </c>
    </row>
    <row r="4149" ht="25" customHeight="1" spans="1:14">
      <c r="A4149" s="9" t="s">
        <v>327</v>
      </c>
      <c r="B4149" s="9" t="s">
        <v>326</v>
      </c>
      <c r="C4149" s="10">
        <v>44865</v>
      </c>
      <c r="D4149" s="15">
        <v>1.0083</v>
      </c>
      <c r="E4149" s="15">
        <v>1.5433</v>
      </c>
      <c r="F4149" s="15">
        <v>1.6793</v>
      </c>
      <c r="G4149" s="11">
        <v>0</v>
      </c>
      <c r="H4149" s="9">
        <f>MAX($F$3239:F4149)</f>
        <v>1.6825</v>
      </c>
      <c r="I4149" s="11">
        <f t="shared" si="94"/>
        <v>0.00190193164933139</v>
      </c>
      <c r="J4149" s="9"/>
      <c r="K4149" s="11"/>
      <c r="L4149" s="9"/>
      <c r="M4149" s="11"/>
      <c r="N4149" s="9" t="s">
        <v>809</v>
      </c>
    </row>
    <row r="4150" ht="25" customHeight="1" spans="1:14">
      <c r="A4150" s="9" t="s">
        <v>327</v>
      </c>
      <c r="B4150" s="9" t="s">
        <v>326</v>
      </c>
      <c r="C4150" s="10">
        <v>44866</v>
      </c>
      <c r="D4150" s="15">
        <v>1.0087</v>
      </c>
      <c r="E4150" s="15">
        <v>1.5437</v>
      </c>
      <c r="F4150" s="15">
        <v>1.68</v>
      </c>
      <c r="G4150" s="11">
        <v>0.0004</v>
      </c>
      <c r="H4150" s="9">
        <f>MAX($F$3239:F4150)</f>
        <v>1.6825</v>
      </c>
      <c r="I4150" s="11">
        <f t="shared" si="94"/>
        <v>0.00148588410104022</v>
      </c>
      <c r="J4150" s="9"/>
      <c r="K4150" s="11"/>
      <c r="L4150" s="9"/>
      <c r="M4150" s="11"/>
      <c r="N4150" s="9" t="s">
        <v>809</v>
      </c>
    </row>
    <row r="4151" ht="25" customHeight="1" spans="1:14">
      <c r="A4151" s="9" t="s">
        <v>327</v>
      </c>
      <c r="B4151" s="9" t="s">
        <v>326</v>
      </c>
      <c r="C4151" s="10">
        <v>44867</v>
      </c>
      <c r="D4151" s="15">
        <v>1.0079</v>
      </c>
      <c r="E4151" s="15">
        <v>1.5429</v>
      </c>
      <c r="F4151" s="15">
        <v>1.6786</v>
      </c>
      <c r="G4151" s="11">
        <v>-0.0008</v>
      </c>
      <c r="H4151" s="9">
        <f>MAX($F$3239:F4151)</f>
        <v>1.6825</v>
      </c>
      <c r="I4151" s="11">
        <f t="shared" si="94"/>
        <v>0.00231797919762256</v>
      </c>
      <c r="J4151" s="9"/>
      <c r="K4151" s="11"/>
      <c r="L4151" s="9"/>
      <c r="M4151" s="11"/>
      <c r="N4151" s="9" t="s">
        <v>809</v>
      </c>
    </row>
    <row r="4152" ht="25" customHeight="1" spans="1:14">
      <c r="A4152" s="9" t="s">
        <v>327</v>
      </c>
      <c r="B4152" s="9" t="s">
        <v>326</v>
      </c>
      <c r="C4152" s="10">
        <v>44868</v>
      </c>
      <c r="D4152" s="15">
        <v>1.0081</v>
      </c>
      <c r="E4152" s="15">
        <v>1.5431</v>
      </c>
      <c r="F4152" s="15">
        <v>1.679</v>
      </c>
      <c r="G4152" s="11">
        <v>0.0002</v>
      </c>
      <c r="H4152" s="9">
        <f>MAX($F$3239:F4152)</f>
        <v>1.6825</v>
      </c>
      <c r="I4152" s="11">
        <f t="shared" si="94"/>
        <v>0.00208023774145616</v>
      </c>
      <c r="J4152" s="9"/>
      <c r="K4152" s="11"/>
      <c r="L4152" s="9"/>
      <c r="M4152" s="11"/>
      <c r="N4152" s="9" t="s">
        <v>809</v>
      </c>
    </row>
    <row r="4153" ht="25" customHeight="1" spans="1:14">
      <c r="A4153" s="9" t="s">
        <v>327</v>
      </c>
      <c r="B4153" s="9" t="s">
        <v>326</v>
      </c>
      <c r="C4153" s="10">
        <v>44869</v>
      </c>
      <c r="D4153" s="15">
        <v>1.0086</v>
      </c>
      <c r="E4153" s="15">
        <v>1.5436</v>
      </c>
      <c r="F4153" s="15">
        <v>1.6798</v>
      </c>
      <c r="G4153" s="11">
        <v>0.0005</v>
      </c>
      <c r="H4153" s="9">
        <f>MAX($F$3239:F4153)</f>
        <v>1.6825</v>
      </c>
      <c r="I4153" s="11">
        <f t="shared" si="94"/>
        <v>0.00160475482912337</v>
      </c>
      <c r="J4153" s="9"/>
      <c r="K4153" s="11"/>
      <c r="L4153" s="9"/>
      <c r="M4153" s="11"/>
      <c r="N4153" s="9" t="s">
        <v>809</v>
      </c>
    </row>
    <row r="4154" ht="25" customHeight="1" spans="1:14">
      <c r="A4154" s="9" t="s">
        <v>327</v>
      </c>
      <c r="B4154" s="9" t="s">
        <v>326</v>
      </c>
      <c r="C4154" s="10">
        <v>44872</v>
      </c>
      <c r="D4154" s="15">
        <v>1.0087</v>
      </c>
      <c r="E4154" s="15">
        <v>1.5437</v>
      </c>
      <c r="F4154" s="15">
        <v>1.68</v>
      </c>
      <c r="G4154" s="11">
        <v>0.0001</v>
      </c>
      <c r="H4154" s="9">
        <f>MAX($F$3239:F4154)</f>
        <v>1.6825</v>
      </c>
      <c r="I4154" s="11">
        <f t="shared" si="94"/>
        <v>0.00148588410104022</v>
      </c>
      <c r="J4154" s="9"/>
      <c r="K4154" s="11"/>
      <c r="L4154" s="9"/>
      <c r="M4154" s="11"/>
      <c r="N4154" s="9" t="s">
        <v>809</v>
      </c>
    </row>
    <row r="4155" ht="25" customHeight="1" spans="1:14">
      <c r="A4155" s="9" t="s">
        <v>327</v>
      </c>
      <c r="B4155" s="9" t="s">
        <v>326</v>
      </c>
      <c r="C4155" s="10">
        <v>44873</v>
      </c>
      <c r="D4155" s="15">
        <v>1.0082</v>
      </c>
      <c r="E4155" s="15">
        <v>1.5432</v>
      </c>
      <c r="F4155" s="15">
        <v>1.6791</v>
      </c>
      <c r="G4155" s="11">
        <v>-0.0005</v>
      </c>
      <c r="H4155" s="9">
        <f>MAX($F$3239:F4155)</f>
        <v>1.6825</v>
      </c>
      <c r="I4155" s="11">
        <f t="shared" si="94"/>
        <v>0.00202080237741464</v>
      </c>
      <c r="J4155" s="9"/>
      <c r="K4155" s="11"/>
      <c r="L4155" s="9"/>
      <c r="M4155" s="11"/>
      <c r="N4155" s="9" t="s">
        <v>809</v>
      </c>
    </row>
    <row r="4156" ht="25" customHeight="1" spans="1:14">
      <c r="A4156" s="9" t="s">
        <v>327</v>
      </c>
      <c r="B4156" s="9" t="s">
        <v>326</v>
      </c>
      <c r="C4156" s="10">
        <v>44874</v>
      </c>
      <c r="D4156" s="15">
        <v>1.0085</v>
      </c>
      <c r="E4156" s="15">
        <v>1.5435</v>
      </c>
      <c r="F4156" s="15">
        <v>1.6796</v>
      </c>
      <c r="G4156" s="11">
        <v>0.0003</v>
      </c>
      <c r="H4156" s="9">
        <f>MAX($F$3239:F4156)</f>
        <v>1.6825</v>
      </c>
      <c r="I4156" s="11">
        <f t="shared" si="94"/>
        <v>0.00172362555720662</v>
      </c>
      <c r="J4156" s="9"/>
      <c r="K4156" s="11"/>
      <c r="L4156" s="9"/>
      <c r="M4156" s="11"/>
      <c r="N4156" s="9" t="s">
        <v>809</v>
      </c>
    </row>
    <row r="4157" ht="25" customHeight="1" spans="1:14">
      <c r="A4157" s="9" t="s">
        <v>327</v>
      </c>
      <c r="B4157" s="9" t="s">
        <v>326</v>
      </c>
      <c r="C4157" s="10">
        <v>44875</v>
      </c>
      <c r="D4157" s="15">
        <v>1.0078</v>
      </c>
      <c r="E4157" s="15">
        <v>1.5428</v>
      </c>
      <c r="F4157" s="15">
        <v>1.6785</v>
      </c>
      <c r="G4157" s="11">
        <v>-0.0007</v>
      </c>
      <c r="H4157" s="9">
        <f>MAX($F$3239:F4157)</f>
        <v>1.6825</v>
      </c>
      <c r="I4157" s="11">
        <f t="shared" si="94"/>
        <v>0.00237741456166418</v>
      </c>
      <c r="J4157" s="9"/>
      <c r="K4157" s="11"/>
      <c r="L4157" s="9"/>
      <c r="M4157" s="11"/>
      <c r="N4157" s="9" t="s">
        <v>809</v>
      </c>
    </row>
    <row r="4158" ht="25" customHeight="1" spans="1:14">
      <c r="A4158" s="9" t="s">
        <v>327</v>
      </c>
      <c r="B4158" s="9" t="s">
        <v>326</v>
      </c>
      <c r="C4158" s="10">
        <v>44876</v>
      </c>
      <c r="D4158" s="15">
        <v>1.0087</v>
      </c>
      <c r="E4158" s="15">
        <v>1.5437</v>
      </c>
      <c r="F4158" s="15">
        <v>1.68</v>
      </c>
      <c r="G4158" s="11">
        <v>0.0009</v>
      </c>
      <c r="H4158" s="9">
        <f>MAX($F$3239:F4158)</f>
        <v>1.6825</v>
      </c>
      <c r="I4158" s="11">
        <f t="shared" si="94"/>
        <v>0.00148588410104022</v>
      </c>
      <c r="J4158" s="9"/>
      <c r="K4158" s="11"/>
      <c r="L4158" s="9"/>
      <c r="M4158" s="11"/>
      <c r="N4158" s="9" t="s">
        <v>809</v>
      </c>
    </row>
    <row r="4159" ht="25" customHeight="1" spans="1:14">
      <c r="A4159" s="9" t="s">
        <v>327</v>
      </c>
      <c r="B4159" s="9" t="s">
        <v>326</v>
      </c>
      <c r="C4159" s="10">
        <v>44879</v>
      </c>
      <c r="D4159" s="15">
        <v>1.0076</v>
      </c>
      <c r="E4159" s="15">
        <v>1.5426</v>
      </c>
      <c r="F4159" s="15">
        <v>1.6781</v>
      </c>
      <c r="G4159" s="11">
        <v>-0.0011</v>
      </c>
      <c r="H4159" s="9">
        <f>MAX($F$3239:F4159)</f>
        <v>1.6825</v>
      </c>
      <c r="I4159" s="11">
        <f t="shared" si="94"/>
        <v>0.00261515601783069</v>
      </c>
      <c r="J4159" s="9"/>
      <c r="K4159" s="11"/>
      <c r="L4159" s="9"/>
      <c r="M4159" s="11"/>
      <c r="N4159" s="9" t="s">
        <v>809</v>
      </c>
    </row>
    <row r="4160" ht="25" customHeight="1" spans="1:14">
      <c r="A4160" s="9" t="s">
        <v>327</v>
      </c>
      <c r="B4160" s="9" t="s">
        <v>326</v>
      </c>
      <c r="C4160" s="10">
        <v>44880</v>
      </c>
      <c r="D4160" s="15">
        <v>1.0082</v>
      </c>
      <c r="E4160" s="15">
        <v>1.5432</v>
      </c>
      <c r="F4160" s="15">
        <v>1.6791</v>
      </c>
      <c r="G4160" s="11">
        <v>0.0006</v>
      </c>
      <c r="H4160" s="9">
        <f>MAX($F$3239:F4160)</f>
        <v>1.6825</v>
      </c>
      <c r="I4160" s="11">
        <f t="shared" si="94"/>
        <v>0.00202080237741464</v>
      </c>
      <c r="J4160" s="9"/>
      <c r="K4160" s="11"/>
      <c r="L4160" s="9"/>
      <c r="M4160" s="11"/>
      <c r="N4160" s="9" t="s">
        <v>809</v>
      </c>
    </row>
    <row r="4161" ht="25" customHeight="1" spans="1:14">
      <c r="A4161" s="9" t="s">
        <v>327</v>
      </c>
      <c r="B4161" s="9" t="s">
        <v>326</v>
      </c>
      <c r="C4161" s="10">
        <v>44881</v>
      </c>
      <c r="D4161" s="15">
        <v>1.0083</v>
      </c>
      <c r="E4161" s="15">
        <v>1.5433</v>
      </c>
      <c r="F4161" s="15">
        <v>1.6793</v>
      </c>
      <c r="G4161" s="11">
        <v>0.0001</v>
      </c>
      <c r="H4161" s="9">
        <f>MAX($F$3239:F4161)</f>
        <v>1.6825</v>
      </c>
      <c r="I4161" s="11">
        <f t="shared" si="94"/>
        <v>0.00190193164933139</v>
      </c>
      <c r="J4161" s="9"/>
      <c r="K4161" s="11"/>
      <c r="L4161" s="9"/>
      <c r="M4161" s="11"/>
      <c r="N4161" s="9" t="s">
        <v>809</v>
      </c>
    </row>
    <row r="4162" ht="25" customHeight="1" spans="1:14">
      <c r="A4162" s="9" t="s">
        <v>327</v>
      </c>
      <c r="B4162" s="9" t="s">
        <v>326</v>
      </c>
      <c r="C4162" s="10">
        <v>44882</v>
      </c>
      <c r="D4162" s="15">
        <v>1.0087</v>
      </c>
      <c r="E4162" s="15">
        <v>1.5437</v>
      </c>
      <c r="F4162" s="15">
        <v>1.68</v>
      </c>
      <c r="G4162" s="11">
        <v>0.0004</v>
      </c>
      <c r="H4162" s="9">
        <f>MAX($F$3239:F4162)</f>
        <v>1.6825</v>
      </c>
      <c r="I4162" s="11">
        <f t="shared" ref="I4162:I4225" si="95">1-F4162/H4162</f>
        <v>0.00148588410104022</v>
      </c>
      <c r="J4162" s="9"/>
      <c r="K4162" s="11"/>
      <c r="L4162" s="9"/>
      <c r="M4162" s="11"/>
      <c r="N4162" s="9" t="s">
        <v>809</v>
      </c>
    </row>
    <row r="4163" ht="25" customHeight="1" spans="1:14">
      <c r="A4163" s="9" t="s">
        <v>327</v>
      </c>
      <c r="B4163" s="9" t="s">
        <v>326</v>
      </c>
      <c r="C4163" s="10">
        <v>44883</v>
      </c>
      <c r="D4163" s="15">
        <v>1.0085</v>
      </c>
      <c r="E4163" s="15">
        <v>1.5435</v>
      </c>
      <c r="F4163" s="15">
        <v>1.6796</v>
      </c>
      <c r="G4163" s="11">
        <v>-0.0002</v>
      </c>
      <c r="H4163" s="9">
        <f>MAX($F$3239:F4163)</f>
        <v>1.6825</v>
      </c>
      <c r="I4163" s="11">
        <f t="shared" si="95"/>
        <v>0.00172362555720662</v>
      </c>
      <c r="J4163" s="9"/>
      <c r="K4163" s="11"/>
      <c r="L4163" s="9"/>
      <c r="M4163" s="11"/>
      <c r="N4163" s="9" t="s">
        <v>809</v>
      </c>
    </row>
    <row r="4164" ht="25" customHeight="1" spans="1:14">
      <c r="A4164" s="9" t="s">
        <v>327</v>
      </c>
      <c r="B4164" s="9" t="s">
        <v>326</v>
      </c>
      <c r="C4164" s="10">
        <v>44886</v>
      </c>
      <c r="D4164" s="15">
        <v>1.0078</v>
      </c>
      <c r="E4164" s="15">
        <v>1.5428</v>
      </c>
      <c r="F4164" s="15">
        <v>1.6785</v>
      </c>
      <c r="G4164" s="11">
        <v>-0.0007</v>
      </c>
      <c r="H4164" s="9">
        <f>MAX($F$3239:F4164)</f>
        <v>1.6825</v>
      </c>
      <c r="I4164" s="11">
        <f t="shared" si="95"/>
        <v>0.00237741456166418</v>
      </c>
      <c r="J4164" s="9"/>
      <c r="K4164" s="11"/>
      <c r="L4164" s="9"/>
      <c r="M4164" s="11"/>
      <c r="N4164" s="9" t="s">
        <v>809</v>
      </c>
    </row>
    <row r="4165" ht="25" customHeight="1" spans="1:14">
      <c r="A4165" s="9" t="s">
        <v>327</v>
      </c>
      <c r="B4165" s="9" t="s">
        <v>326</v>
      </c>
      <c r="C4165" s="10">
        <v>44887</v>
      </c>
      <c r="D4165" s="15">
        <v>1.0082</v>
      </c>
      <c r="E4165" s="15">
        <v>1.5432</v>
      </c>
      <c r="F4165" s="15">
        <v>1.6791</v>
      </c>
      <c r="G4165" s="11">
        <v>0.0004</v>
      </c>
      <c r="H4165" s="9">
        <f>MAX($F$3239:F4165)</f>
        <v>1.6825</v>
      </c>
      <c r="I4165" s="11">
        <f t="shared" si="95"/>
        <v>0.00202080237741464</v>
      </c>
      <c r="J4165" s="9"/>
      <c r="K4165" s="11"/>
      <c r="L4165" s="9"/>
      <c r="M4165" s="11"/>
      <c r="N4165" s="9" t="s">
        <v>809</v>
      </c>
    </row>
    <row r="4166" ht="25" customHeight="1" spans="1:14">
      <c r="A4166" s="9" t="s">
        <v>327</v>
      </c>
      <c r="B4166" s="9" t="s">
        <v>326</v>
      </c>
      <c r="C4166" s="10">
        <v>44888</v>
      </c>
      <c r="D4166" s="15">
        <v>1.0079</v>
      </c>
      <c r="E4166" s="15">
        <v>1.5429</v>
      </c>
      <c r="F4166" s="15">
        <v>1.6786</v>
      </c>
      <c r="G4166" s="11">
        <v>-0.0003</v>
      </c>
      <c r="H4166" s="9">
        <f>MAX($F$3239:F4166)</f>
        <v>1.6825</v>
      </c>
      <c r="I4166" s="11">
        <f t="shared" si="95"/>
        <v>0.00231797919762256</v>
      </c>
      <c r="J4166" s="9"/>
      <c r="K4166" s="11"/>
      <c r="L4166" s="9"/>
      <c r="M4166" s="11"/>
      <c r="N4166" s="9" t="s">
        <v>809</v>
      </c>
    </row>
    <row r="4167" ht="25" customHeight="1" spans="1:14">
      <c r="A4167" s="9" t="s">
        <v>327</v>
      </c>
      <c r="B4167" s="9" t="s">
        <v>326</v>
      </c>
      <c r="C4167" s="10">
        <v>44889</v>
      </c>
      <c r="D4167" s="15">
        <v>1.0082</v>
      </c>
      <c r="E4167" s="15">
        <v>1.5432</v>
      </c>
      <c r="F4167" s="15">
        <v>1.6791</v>
      </c>
      <c r="G4167" s="11">
        <v>0.0003</v>
      </c>
      <c r="H4167" s="9">
        <f>MAX($F$3239:F4167)</f>
        <v>1.6825</v>
      </c>
      <c r="I4167" s="11">
        <f t="shared" si="95"/>
        <v>0.00202080237741464</v>
      </c>
      <c r="J4167" s="9"/>
      <c r="K4167" s="11"/>
      <c r="L4167" s="9"/>
      <c r="M4167" s="11"/>
      <c r="N4167" s="9" t="s">
        <v>809</v>
      </c>
    </row>
    <row r="4168" ht="25" customHeight="1" spans="1:14">
      <c r="A4168" s="9" t="s">
        <v>327</v>
      </c>
      <c r="B4168" s="9" t="s">
        <v>326</v>
      </c>
      <c r="C4168" s="10">
        <v>44890</v>
      </c>
      <c r="D4168" s="15">
        <v>1.0085</v>
      </c>
      <c r="E4168" s="15">
        <v>1.5435</v>
      </c>
      <c r="F4168" s="15">
        <v>1.6796</v>
      </c>
      <c r="G4168" s="11">
        <v>0.0003</v>
      </c>
      <c r="H4168" s="9">
        <f>MAX($F$3239:F4168)</f>
        <v>1.6825</v>
      </c>
      <c r="I4168" s="11">
        <f t="shared" si="95"/>
        <v>0.00172362555720662</v>
      </c>
      <c r="J4168" s="9"/>
      <c r="K4168" s="11"/>
      <c r="L4168" s="9"/>
      <c r="M4168" s="11"/>
      <c r="N4168" s="9" t="s">
        <v>809</v>
      </c>
    </row>
    <row r="4169" ht="25" customHeight="1" spans="1:14">
      <c r="A4169" s="9" t="s">
        <v>327</v>
      </c>
      <c r="B4169" s="9" t="s">
        <v>326</v>
      </c>
      <c r="C4169" s="10">
        <v>44893</v>
      </c>
      <c r="D4169" s="15">
        <v>1.0085</v>
      </c>
      <c r="E4169" s="15">
        <v>1.5435</v>
      </c>
      <c r="F4169" s="15">
        <v>1.6796</v>
      </c>
      <c r="G4169" s="11">
        <v>0</v>
      </c>
      <c r="H4169" s="9">
        <f>MAX($F$3239:F4169)</f>
        <v>1.6825</v>
      </c>
      <c r="I4169" s="11">
        <f t="shared" si="95"/>
        <v>0.00172362555720662</v>
      </c>
      <c r="J4169" s="9"/>
      <c r="K4169" s="11"/>
      <c r="L4169" s="9"/>
      <c r="M4169" s="11"/>
      <c r="N4169" s="9" t="s">
        <v>809</v>
      </c>
    </row>
    <row r="4170" ht="25" customHeight="1" spans="1:14">
      <c r="A4170" s="9" t="s">
        <v>327</v>
      </c>
      <c r="B4170" s="9" t="s">
        <v>326</v>
      </c>
      <c r="C4170" s="10">
        <v>44894</v>
      </c>
      <c r="D4170" s="15">
        <v>1.0087</v>
      </c>
      <c r="E4170" s="15">
        <v>1.5437</v>
      </c>
      <c r="F4170" s="15">
        <v>1.68</v>
      </c>
      <c r="G4170" s="11">
        <v>0.0002</v>
      </c>
      <c r="H4170" s="9">
        <f>MAX($F$3239:F4170)</f>
        <v>1.6825</v>
      </c>
      <c r="I4170" s="11">
        <f t="shared" si="95"/>
        <v>0.00148588410104022</v>
      </c>
      <c r="J4170" s="9"/>
      <c r="K4170" s="11"/>
      <c r="L4170" s="9"/>
      <c r="M4170" s="11"/>
      <c r="N4170" s="9" t="s">
        <v>809</v>
      </c>
    </row>
    <row r="4171" ht="25" customHeight="1" spans="1:14">
      <c r="A4171" s="9" t="s">
        <v>327</v>
      </c>
      <c r="B4171" s="9" t="s">
        <v>326</v>
      </c>
      <c r="C4171" s="10">
        <v>44895</v>
      </c>
      <c r="D4171" s="15">
        <v>1.0094</v>
      </c>
      <c r="E4171" s="15">
        <v>1.5444</v>
      </c>
      <c r="F4171" s="15">
        <v>1.6811</v>
      </c>
      <c r="G4171" s="11">
        <v>0.0007</v>
      </c>
      <c r="H4171" s="9">
        <f>MAX($F$3239:F4171)</f>
        <v>1.6825</v>
      </c>
      <c r="I4171" s="11">
        <f t="shared" si="95"/>
        <v>0.000832095096582552</v>
      </c>
      <c r="J4171" s="9"/>
      <c r="K4171" s="11"/>
      <c r="L4171" s="9"/>
      <c r="M4171" s="11"/>
      <c r="N4171" s="9" t="s">
        <v>809</v>
      </c>
    </row>
    <row r="4172" ht="25" customHeight="1" spans="1:14">
      <c r="A4172" s="9" t="s">
        <v>327</v>
      </c>
      <c r="B4172" s="9" t="s">
        <v>326</v>
      </c>
      <c r="C4172" s="10">
        <v>44896</v>
      </c>
      <c r="D4172" s="15">
        <v>1.0119</v>
      </c>
      <c r="E4172" s="15">
        <v>1.5469</v>
      </c>
      <c r="F4172" s="15">
        <v>1.6853</v>
      </c>
      <c r="G4172" s="11">
        <v>0.0025</v>
      </c>
      <c r="H4172" s="9">
        <f>MAX($F$3239:F4172)</f>
        <v>1.6853</v>
      </c>
      <c r="I4172" s="11">
        <f t="shared" si="95"/>
        <v>0</v>
      </c>
      <c r="J4172" s="9"/>
      <c r="K4172" s="11"/>
      <c r="L4172" s="9"/>
      <c r="M4172" s="11"/>
      <c r="N4172" s="9" t="s">
        <v>809</v>
      </c>
    </row>
    <row r="4173" ht="25" customHeight="1" spans="1:14">
      <c r="A4173" s="9" t="s">
        <v>327</v>
      </c>
      <c r="B4173" s="9" t="s">
        <v>326</v>
      </c>
      <c r="C4173" s="10">
        <v>44897</v>
      </c>
      <c r="D4173" s="15">
        <v>1.0114</v>
      </c>
      <c r="E4173" s="15">
        <v>1.5464</v>
      </c>
      <c r="F4173" s="15">
        <v>1.6845</v>
      </c>
      <c r="G4173" s="11">
        <v>-0.0005</v>
      </c>
      <c r="H4173" s="9">
        <f>MAX($F$3239:F4173)</f>
        <v>1.6853</v>
      </c>
      <c r="I4173" s="11">
        <f t="shared" si="95"/>
        <v>0.000474692933008947</v>
      </c>
      <c r="J4173" s="9"/>
      <c r="K4173" s="11"/>
      <c r="L4173" s="9"/>
      <c r="M4173" s="11"/>
      <c r="N4173" s="9" t="s">
        <v>809</v>
      </c>
    </row>
    <row r="4174" ht="25" customHeight="1" spans="1:14">
      <c r="A4174" s="9" t="s">
        <v>327</v>
      </c>
      <c r="B4174" s="9" t="s">
        <v>326</v>
      </c>
      <c r="C4174" s="10">
        <v>44900</v>
      </c>
      <c r="D4174" s="15">
        <v>1.0119</v>
      </c>
      <c r="E4174" s="15">
        <v>1.5469</v>
      </c>
      <c r="F4174" s="15">
        <v>1.6853</v>
      </c>
      <c r="G4174" s="11">
        <v>0.0005</v>
      </c>
      <c r="H4174" s="9">
        <f>MAX($F$3239:F4174)</f>
        <v>1.6853</v>
      </c>
      <c r="I4174" s="11">
        <f t="shared" si="95"/>
        <v>0</v>
      </c>
      <c r="J4174" s="9"/>
      <c r="K4174" s="11"/>
      <c r="L4174" s="9"/>
      <c r="M4174" s="11"/>
      <c r="N4174" s="9" t="s">
        <v>809</v>
      </c>
    </row>
    <row r="4175" ht="25" customHeight="1" spans="1:14">
      <c r="A4175" s="9" t="s">
        <v>327</v>
      </c>
      <c r="B4175" s="9" t="s">
        <v>326</v>
      </c>
      <c r="C4175" s="10">
        <v>44901</v>
      </c>
      <c r="D4175" s="15">
        <v>1.0118</v>
      </c>
      <c r="E4175" s="15">
        <v>1.5468</v>
      </c>
      <c r="F4175" s="15">
        <v>1.6851</v>
      </c>
      <c r="G4175" s="11">
        <v>-0.0001</v>
      </c>
      <c r="H4175" s="9">
        <f>MAX($F$3239:F4175)</f>
        <v>1.6853</v>
      </c>
      <c r="I4175" s="11">
        <f t="shared" si="95"/>
        <v>0.000118673233252209</v>
      </c>
      <c r="J4175" s="9"/>
      <c r="K4175" s="11"/>
      <c r="L4175" s="9"/>
      <c r="M4175" s="11"/>
      <c r="N4175" s="9" t="s">
        <v>809</v>
      </c>
    </row>
    <row r="4176" ht="25" customHeight="1" spans="1:14">
      <c r="A4176" s="9" t="s">
        <v>327</v>
      </c>
      <c r="B4176" s="9" t="s">
        <v>326</v>
      </c>
      <c r="C4176" s="10">
        <v>44902</v>
      </c>
      <c r="D4176" s="15">
        <v>1.0122</v>
      </c>
      <c r="E4176" s="15">
        <v>1.5472</v>
      </c>
      <c r="F4176" s="15">
        <v>1.6858</v>
      </c>
      <c r="G4176" s="11">
        <v>0.0004</v>
      </c>
      <c r="H4176" s="9">
        <f>MAX($F$3239:F4176)</f>
        <v>1.6858</v>
      </c>
      <c r="I4176" s="11">
        <f t="shared" si="95"/>
        <v>0</v>
      </c>
      <c r="J4176" s="9"/>
      <c r="K4176" s="11"/>
      <c r="L4176" s="9"/>
      <c r="M4176" s="11"/>
      <c r="N4176" s="9" t="s">
        <v>809</v>
      </c>
    </row>
    <row r="4177" ht="25" customHeight="1" spans="1:14">
      <c r="A4177" s="9" t="s">
        <v>327</v>
      </c>
      <c r="B4177" s="9" t="s">
        <v>326</v>
      </c>
      <c r="C4177" s="10">
        <v>44903</v>
      </c>
      <c r="D4177" s="15">
        <v>1.0117</v>
      </c>
      <c r="E4177" s="15">
        <v>1.5467</v>
      </c>
      <c r="F4177" s="15">
        <v>1.685</v>
      </c>
      <c r="G4177" s="11">
        <v>-0.0005</v>
      </c>
      <c r="H4177" s="9">
        <f>MAX($F$3239:F4177)</f>
        <v>1.6858</v>
      </c>
      <c r="I4177" s="11">
        <f t="shared" si="95"/>
        <v>0.000474552141416451</v>
      </c>
      <c r="J4177" s="9"/>
      <c r="K4177" s="11"/>
      <c r="L4177" s="9"/>
      <c r="M4177" s="11"/>
      <c r="N4177" s="9" t="s">
        <v>809</v>
      </c>
    </row>
    <row r="4178" ht="25" customHeight="1" spans="1:14">
      <c r="A4178" s="9" t="s">
        <v>327</v>
      </c>
      <c r="B4178" s="9" t="s">
        <v>326</v>
      </c>
      <c r="C4178" s="10">
        <v>44904</v>
      </c>
      <c r="D4178" s="15">
        <v>1.0127</v>
      </c>
      <c r="E4178" s="15">
        <v>1.5477</v>
      </c>
      <c r="F4178" s="15">
        <v>1.6866</v>
      </c>
      <c r="G4178" s="11">
        <v>0.001</v>
      </c>
      <c r="H4178" s="9">
        <f>MAX($F$3239:F4178)</f>
        <v>1.6866</v>
      </c>
      <c r="I4178" s="11">
        <f t="shared" si="95"/>
        <v>0</v>
      </c>
      <c r="J4178" s="9"/>
      <c r="K4178" s="11"/>
      <c r="L4178" s="9"/>
      <c r="M4178" s="11"/>
      <c r="N4178" s="9" t="s">
        <v>809</v>
      </c>
    </row>
    <row r="4179" ht="25" customHeight="1" spans="1:14">
      <c r="A4179" s="9" t="s">
        <v>327</v>
      </c>
      <c r="B4179" s="9" t="s">
        <v>326</v>
      </c>
      <c r="C4179" s="10">
        <v>44907</v>
      </c>
      <c r="D4179" s="15">
        <v>1.0122</v>
      </c>
      <c r="E4179" s="15">
        <v>1.5472</v>
      </c>
      <c r="F4179" s="15">
        <v>1.6858</v>
      </c>
      <c r="G4179" s="11">
        <v>-0.0005</v>
      </c>
      <c r="H4179" s="9">
        <f>MAX($F$3239:F4179)</f>
        <v>1.6866</v>
      </c>
      <c r="I4179" s="11">
        <f t="shared" si="95"/>
        <v>0.000474327048500034</v>
      </c>
      <c r="J4179" s="9"/>
      <c r="K4179" s="11"/>
      <c r="L4179" s="9"/>
      <c r="M4179" s="11"/>
      <c r="N4179" s="9" t="s">
        <v>809</v>
      </c>
    </row>
    <row r="4180" ht="25" customHeight="1" spans="1:14">
      <c r="A4180" s="9" t="s">
        <v>327</v>
      </c>
      <c r="B4180" s="9" t="s">
        <v>326</v>
      </c>
      <c r="C4180" s="10">
        <v>44908</v>
      </c>
      <c r="D4180" s="15">
        <v>1.012</v>
      </c>
      <c r="E4180" s="15">
        <v>1.547</v>
      </c>
      <c r="F4180" s="15">
        <v>1.6855</v>
      </c>
      <c r="G4180" s="11">
        <v>-0.0002</v>
      </c>
      <c r="H4180" s="9">
        <f>MAX($F$3239:F4180)</f>
        <v>1.6866</v>
      </c>
      <c r="I4180" s="11">
        <f t="shared" si="95"/>
        <v>0.000652199691687505</v>
      </c>
      <c r="J4180" s="9"/>
      <c r="K4180" s="11"/>
      <c r="L4180" s="9"/>
      <c r="M4180" s="11"/>
      <c r="N4180" s="9" t="s">
        <v>809</v>
      </c>
    </row>
    <row r="4181" ht="25" customHeight="1" spans="1:14">
      <c r="A4181" s="9" t="s">
        <v>327</v>
      </c>
      <c r="B4181" s="9" t="s">
        <v>326</v>
      </c>
      <c r="C4181" s="10">
        <v>44909</v>
      </c>
      <c r="D4181" s="15">
        <v>1.0119</v>
      </c>
      <c r="E4181" s="15">
        <v>1.5469</v>
      </c>
      <c r="F4181" s="15">
        <v>1.6853</v>
      </c>
      <c r="G4181" s="11">
        <v>-0.0001</v>
      </c>
      <c r="H4181" s="9">
        <f>MAX($F$3239:F4181)</f>
        <v>1.6866</v>
      </c>
      <c r="I4181" s="11">
        <f t="shared" si="95"/>
        <v>0.000770781453812486</v>
      </c>
      <c r="J4181" s="9"/>
      <c r="K4181" s="11"/>
      <c r="L4181" s="9"/>
      <c r="M4181" s="11"/>
      <c r="N4181" s="9" t="s">
        <v>809</v>
      </c>
    </row>
    <row r="4182" ht="25" customHeight="1" spans="1:14">
      <c r="A4182" s="9" t="s">
        <v>327</v>
      </c>
      <c r="B4182" s="9" t="s">
        <v>326</v>
      </c>
      <c r="C4182" s="10">
        <v>44910</v>
      </c>
      <c r="D4182" s="15">
        <v>1.0119</v>
      </c>
      <c r="E4182" s="15">
        <v>1.5469</v>
      </c>
      <c r="F4182" s="15">
        <v>1.6853</v>
      </c>
      <c r="G4182" s="11">
        <v>0</v>
      </c>
      <c r="H4182" s="9">
        <f>MAX($F$3239:F4182)</f>
        <v>1.6866</v>
      </c>
      <c r="I4182" s="11">
        <f t="shared" si="95"/>
        <v>0.000770781453812486</v>
      </c>
      <c r="J4182" s="9"/>
      <c r="K4182" s="11"/>
      <c r="L4182" s="9"/>
      <c r="M4182" s="11"/>
      <c r="N4182" s="9" t="s">
        <v>809</v>
      </c>
    </row>
    <row r="4183" ht="25" customHeight="1" spans="1:14">
      <c r="A4183" s="9" t="s">
        <v>327</v>
      </c>
      <c r="B4183" s="9" t="s">
        <v>326</v>
      </c>
      <c r="C4183" s="10">
        <v>44911</v>
      </c>
      <c r="D4183" s="15">
        <v>1.012</v>
      </c>
      <c r="E4183" s="15">
        <v>1.547</v>
      </c>
      <c r="F4183" s="15">
        <v>1.6855</v>
      </c>
      <c r="G4183" s="11">
        <v>0.0001</v>
      </c>
      <c r="H4183" s="9">
        <f>MAX($F$3239:F4183)</f>
        <v>1.6866</v>
      </c>
      <c r="I4183" s="11">
        <f t="shared" si="95"/>
        <v>0.000652199691687505</v>
      </c>
      <c r="J4183" s="9"/>
      <c r="K4183" s="11"/>
      <c r="L4183" s="9"/>
      <c r="M4183" s="11"/>
      <c r="N4183" s="9" t="s">
        <v>809</v>
      </c>
    </row>
    <row r="4184" ht="25" customHeight="1" spans="1:14">
      <c r="A4184" s="9" t="s">
        <v>327</v>
      </c>
      <c r="B4184" s="9" t="s">
        <v>326</v>
      </c>
      <c r="C4184" s="10">
        <v>44914</v>
      </c>
      <c r="D4184" s="15">
        <v>1.0116</v>
      </c>
      <c r="E4184" s="15">
        <v>1.5466</v>
      </c>
      <c r="F4184" s="15">
        <v>1.6848</v>
      </c>
      <c r="G4184" s="11">
        <v>-0.0004</v>
      </c>
      <c r="H4184" s="9">
        <f>MAX($F$3239:F4184)</f>
        <v>1.6866</v>
      </c>
      <c r="I4184" s="11">
        <f t="shared" si="95"/>
        <v>0.00106723585912483</v>
      </c>
      <c r="J4184" s="9"/>
      <c r="K4184" s="11"/>
      <c r="L4184" s="9"/>
      <c r="M4184" s="11"/>
      <c r="N4184" s="9" t="s">
        <v>809</v>
      </c>
    </row>
    <row r="4185" ht="25" customHeight="1" spans="1:14">
      <c r="A4185" s="9" t="s">
        <v>327</v>
      </c>
      <c r="B4185" s="9" t="s">
        <v>326</v>
      </c>
      <c r="C4185" s="10">
        <v>44915</v>
      </c>
      <c r="D4185" s="15">
        <v>1</v>
      </c>
      <c r="E4185" s="15">
        <v>1.5467</v>
      </c>
      <c r="F4185" s="15">
        <v>1.685</v>
      </c>
      <c r="G4185" s="11">
        <v>0.0001</v>
      </c>
      <c r="H4185" s="9">
        <f>MAX($F$3239:F4185)</f>
        <v>1.6866</v>
      </c>
      <c r="I4185" s="11">
        <f t="shared" si="95"/>
        <v>0.000948654096999957</v>
      </c>
      <c r="J4185" s="9"/>
      <c r="K4185" s="11"/>
      <c r="L4185" s="9"/>
      <c r="M4185" s="11"/>
      <c r="N4185" s="9" t="s">
        <v>809</v>
      </c>
    </row>
    <row r="4186" ht="25" customHeight="1" spans="1:14">
      <c r="A4186" s="9" t="s">
        <v>327</v>
      </c>
      <c r="B4186" s="9" t="s">
        <v>326</v>
      </c>
      <c r="C4186" s="10">
        <v>44916</v>
      </c>
      <c r="D4186" s="15">
        <v>1.0013</v>
      </c>
      <c r="E4186" s="15">
        <v>1.548</v>
      </c>
      <c r="F4186" s="15">
        <v>1.6872</v>
      </c>
      <c r="G4186" s="11">
        <v>0.0013</v>
      </c>
      <c r="H4186" s="9">
        <f>MAX($F$3239:F4186)</f>
        <v>1.6872</v>
      </c>
      <c r="I4186" s="11">
        <f t="shared" si="95"/>
        <v>0</v>
      </c>
      <c r="J4186" s="9"/>
      <c r="K4186" s="11"/>
      <c r="L4186" s="9"/>
      <c r="M4186" s="11"/>
      <c r="N4186" s="9" t="s">
        <v>809</v>
      </c>
    </row>
    <row r="4187" ht="25" customHeight="1" spans="1:14">
      <c r="A4187" s="9" t="s">
        <v>327</v>
      </c>
      <c r="B4187" s="9" t="s">
        <v>326</v>
      </c>
      <c r="C4187" s="10">
        <v>44917</v>
      </c>
      <c r="D4187" s="15">
        <v>1.0013</v>
      </c>
      <c r="E4187" s="15">
        <v>1.548</v>
      </c>
      <c r="F4187" s="15">
        <v>1.6872</v>
      </c>
      <c r="G4187" s="11">
        <v>0</v>
      </c>
      <c r="H4187" s="9">
        <f>MAX($F$3239:F4187)</f>
        <v>1.6872</v>
      </c>
      <c r="I4187" s="11">
        <f t="shared" si="95"/>
        <v>0</v>
      </c>
      <c r="J4187" s="9"/>
      <c r="K4187" s="11"/>
      <c r="L4187" s="9"/>
      <c r="M4187" s="11"/>
      <c r="N4187" s="9" t="s">
        <v>809</v>
      </c>
    </row>
    <row r="4188" ht="25" customHeight="1" spans="1:14">
      <c r="A4188" s="9" t="s">
        <v>327</v>
      </c>
      <c r="B4188" s="9" t="s">
        <v>326</v>
      </c>
      <c r="C4188" s="10">
        <v>44918</v>
      </c>
      <c r="D4188" s="15">
        <v>1.0017</v>
      </c>
      <c r="E4188" s="15">
        <v>1.5484</v>
      </c>
      <c r="F4188" s="15">
        <v>1.6878</v>
      </c>
      <c r="G4188" s="11">
        <v>0.0004</v>
      </c>
      <c r="H4188" s="9">
        <f>MAX($F$3239:F4188)</f>
        <v>1.6878</v>
      </c>
      <c r="I4188" s="11">
        <f t="shared" si="95"/>
        <v>0</v>
      </c>
      <c r="J4188" s="9"/>
      <c r="K4188" s="11"/>
      <c r="L4188" s="9"/>
      <c r="M4188" s="11"/>
      <c r="N4188" s="9" t="s">
        <v>809</v>
      </c>
    </row>
    <row r="4189" ht="25" customHeight="1" spans="1:14">
      <c r="A4189" s="9" t="s">
        <v>327</v>
      </c>
      <c r="B4189" s="9" t="s">
        <v>326</v>
      </c>
      <c r="C4189" s="10">
        <v>44921</v>
      </c>
      <c r="D4189" s="15">
        <v>1.0017</v>
      </c>
      <c r="E4189" s="15">
        <v>1.5484</v>
      </c>
      <c r="F4189" s="15">
        <v>1.6878</v>
      </c>
      <c r="G4189" s="11">
        <v>0</v>
      </c>
      <c r="H4189" s="9">
        <f>MAX($F$3239:F4189)</f>
        <v>1.6878</v>
      </c>
      <c r="I4189" s="11">
        <f t="shared" si="95"/>
        <v>0</v>
      </c>
      <c r="J4189" s="9"/>
      <c r="K4189" s="11"/>
      <c r="L4189" s="9"/>
      <c r="M4189" s="11"/>
      <c r="N4189" s="9" t="s">
        <v>809</v>
      </c>
    </row>
    <row r="4190" ht="25" customHeight="1" spans="1:14">
      <c r="A4190" s="9" t="s">
        <v>327</v>
      </c>
      <c r="B4190" s="9" t="s">
        <v>326</v>
      </c>
      <c r="C4190" s="10">
        <v>44922</v>
      </c>
      <c r="D4190" s="15">
        <v>1.0022</v>
      </c>
      <c r="E4190" s="15">
        <v>1.5489</v>
      </c>
      <c r="F4190" s="15">
        <v>1.6887</v>
      </c>
      <c r="G4190" s="11">
        <v>0.0005</v>
      </c>
      <c r="H4190" s="9">
        <f>MAX($F$3239:F4190)</f>
        <v>1.6887</v>
      </c>
      <c r="I4190" s="11">
        <f t="shared" si="95"/>
        <v>0</v>
      </c>
      <c r="J4190" s="9"/>
      <c r="K4190" s="11"/>
      <c r="L4190" s="9"/>
      <c r="M4190" s="11"/>
      <c r="N4190" s="9" t="s">
        <v>809</v>
      </c>
    </row>
    <row r="4191" ht="25" customHeight="1" spans="1:14">
      <c r="A4191" s="9" t="s">
        <v>327</v>
      </c>
      <c r="B4191" s="9" t="s">
        <v>326</v>
      </c>
      <c r="C4191" s="10">
        <v>44923</v>
      </c>
      <c r="D4191" s="15">
        <v>1.0024</v>
      </c>
      <c r="E4191" s="15">
        <v>1.5491</v>
      </c>
      <c r="F4191" s="15">
        <v>1.689</v>
      </c>
      <c r="G4191" s="11">
        <v>0.0002</v>
      </c>
      <c r="H4191" s="9">
        <f>MAX($F$3239:F4191)</f>
        <v>1.689</v>
      </c>
      <c r="I4191" s="11">
        <f t="shared" si="95"/>
        <v>0</v>
      </c>
      <c r="J4191" s="9"/>
      <c r="K4191" s="11"/>
      <c r="L4191" s="9"/>
      <c r="M4191" s="11"/>
      <c r="N4191" s="9" t="s">
        <v>809</v>
      </c>
    </row>
    <row r="4192" ht="25" customHeight="1" spans="1:14">
      <c r="A4192" s="9" t="s">
        <v>327</v>
      </c>
      <c r="B4192" s="9" t="s">
        <v>326</v>
      </c>
      <c r="C4192" s="10">
        <v>44924</v>
      </c>
      <c r="D4192" s="15">
        <v>1.0024</v>
      </c>
      <c r="E4192" s="15">
        <v>1.5491</v>
      </c>
      <c r="F4192" s="15">
        <v>1.689</v>
      </c>
      <c r="G4192" s="11">
        <v>0</v>
      </c>
      <c r="H4192" s="9">
        <f>MAX($F$3239:F4192)</f>
        <v>1.689</v>
      </c>
      <c r="I4192" s="11">
        <f t="shared" si="95"/>
        <v>0</v>
      </c>
      <c r="J4192" s="9"/>
      <c r="K4192" s="11"/>
      <c r="L4192" s="9"/>
      <c r="M4192" s="11"/>
      <c r="N4192" s="9" t="s">
        <v>809</v>
      </c>
    </row>
    <row r="4193" ht="25" customHeight="1" spans="1:14">
      <c r="A4193" s="9" t="s">
        <v>327</v>
      </c>
      <c r="B4193" s="9" t="s">
        <v>326</v>
      </c>
      <c r="C4193" s="10">
        <v>44925</v>
      </c>
      <c r="D4193" s="15">
        <v>1.0024</v>
      </c>
      <c r="E4193" s="15">
        <v>1.5491</v>
      </c>
      <c r="F4193" s="15">
        <v>1.689</v>
      </c>
      <c r="G4193" s="11">
        <v>0</v>
      </c>
      <c r="H4193" s="9">
        <f>MAX($F$3239:F4193)</f>
        <v>1.689</v>
      </c>
      <c r="I4193" s="11">
        <f t="shared" si="95"/>
        <v>0</v>
      </c>
      <c r="J4193" s="9"/>
      <c r="K4193" s="11"/>
      <c r="L4193" s="9"/>
      <c r="M4193" s="11"/>
      <c r="N4193" s="9" t="s">
        <v>809</v>
      </c>
    </row>
    <row r="4194" ht="25" customHeight="1" spans="1:14">
      <c r="A4194" s="9" t="s">
        <v>327</v>
      </c>
      <c r="B4194" s="9" t="s">
        <v>326</v>
      </c>
      <c r="C4194" s="10">
        <v>44929</v>
      </c>
      <c r="D4194" s="15">
        <v>1.0021</v>
      </c>
      <c r="E4194" s="15">
        <v>1.5488</v>
      </c>
      <c r="F4194" s="15">
        <v>1.6885</v>
      </c>
      <c r="G4194" s="11">
        <v>-0.0003</v>
      </c>
      <c r="H4194" s="9">
        <f>MAX($F$3239:F4194)</f>
        <v>1.689</v>
      </c>
      <c r="I4194" s="11">
        <f t="shared" si="95"/>
        <v>0.000296033155713582</v>
      </c>
      <c r="J4194" s="9"/>
      <c r="K4194" s="11"/>
      <c r="L4194" s="9"/>
      <c r="M4194" s="11"/>
      <c r="N4194" s="9" t="s">
        <v>809</v>
      </c>
    </row>
    <row r="4195" ht="25" customHeight="1" spans="1:14">
      <c r="A4195" s="9" t="s">
        <v>327</v>
      </c>
      <c r="B4195" s="9" t="s">
        <v>326</v>
      </c>
      <c r="C4195" s="10">
        <v>44930</v>
      </c>
      <c r="D4195" s="15">
        <v>1.0019</v>
      </c>
      <c r="E4195" s="15">
        <v>1.5486</v>
      </c>
      <c r="F4195" s="15">
        <v>1.6882</v>
      </c>
      <c r="G4195" s="11">
        <v>-0.0002</v>
      </c>
      <c r="H4195" s="9">
        <f>MAX($F$3239:F4195)</f>
        <v>1.689</v>
      </c>
      <c r="I4195" s="11">
        <f t="shared" si="95"/>
        <v>0.000473653049141598</v>
      </c>
      <c r="J4195" s="9"/>
      <c r="K4195" s="11"/>
      <c r="L4195" s="9"/>
      <c r="M4195" s="11"/>
      <c r="N4195" s="9" t="s">
        <v>809</v>
      </c>
    </row>
    <row r="4196" ht="25" customHeight="1" spans="1:14">
      <c r="A4196" s="9" t="s">
        <v>327</v>
      </c>
      <c r="B4196" s="9" t="s">
        <v>326</v>
      </c>
      <c r="C4196" s="10">
        <v>44931</v>
      </c>
      <c r="D4196" s="15">
        <v>1.0018</v>
      </c>
      <c r="E4196" s="15">
        <v>1.5485</v>
      </c>
      <c r="F4196" s="15">
        <v>1.688</v>
      </c>
      <c r="G4196" s="11">
        <v>-0.0001</v>
      </c>
      <c r="H4196" s="9">
        <f>MAX($F$3239:F4196)</f>
        <v>1.689</v>
      </c>
      <c r="I4196" s="11">
        <f t="shared" si="95"/>
        <v>0.000592066311426942</v>
      </c>
      <c r="J4196" s="9"/>
      <c r="K4196" s="11"/>
      <c r="L4196" s="9"/>
      <c r="M4196" s="11"/>
      <c r="N4196" s="9" t="s">
        <v>809</v>
      </c>
    </row>
    <row r="4197" ht="25" customHeight="1" spans="1:14">
      <c r="A4197" s="9" t="s">
        <v>327</v>
      </c>
      <c r="B4197" s="9" t="s">
        <v>326</v>
      </c>
      <c r="C4197" s="10">
        <v>44932</v>
      </c>
      <c r="D4197" s="15">
        <v>1.0016</v>
      </c>
      <c r="E4197" s="15">
        <v>1.5483</v>
      </c>
      <c r="F4197" s="15">
        <v>1.6877</v>
      </c>
      <c r="G4197" s="11">
        <v>-0.0002</v>
      </c>
      <c r="H4197" s="9">
        <f>MAX($F$3239:F4197)</f>
        <v>1.689</v>
      </c>
      <c r="I4197" s="11">
        <f t="shared" si="95"/>
        <v>0.000769686204854958</v>
      </c>
      <c r="J4197" s="9"/>
      <c r="K4197" s="11"/>
      <c r="L4197" s="9"/>
      <c r="M4197" s="11"/>
      <c r="N4197" s="9" t="s">
        <v>809</v>
      </c>
    </row>
    <row r="4198" ht="25" customHeight="1" spans="1:14">
      <c r="A4198" s="9" t="s">
        <v>327</v>
      </c>
      <c r="B4198" s="9" t="s">
        <v>326</v>
      </c>
      <c r="C4198" s="10">
        <v>44935</v>
      </c>
      <c r="D4198" s="15">
        <v>1.0016</v>
      </c>
      <c r="E4198" s="15">
        <v>1.5483</v>
      </c>
      <c r="F4198" s="15">
        <v>1.6877</v>
      </c>
      <c r="G4198" s="11">
        <v>0</v>
      </c>
      <c r="H4198" s="9">
        <f>MAX($F$3239:F4198)</f>
        <v>1.689</v>
      </c>
      <c r="I4198" s="11">
        <f t="shared" si="95"/>
        <v>0.000769686204854958</v>
      </c>
      <c r="J4198" s="9"/>
      <c r="K4198" s="11"/>
      <c r="L4198" s="9"/>
      <c r="M4198" s="11"/>
      <c r="N4198" s="9" t="s">
        <v>809</v>
      </c>
    </row>
    <row r="4199" ht="25" customHeight="1" spans="1:14">
      <c r="A4199" s="9" t="s">
        <v>327</v>
      </c>
      <c r="B4199" s="9" t="s">
        <v>326</v>
      </c>
      <c r="C4199" s="10">
        <v>44936</v>
      </c>
      <c r="D4199" s="15">
        <v>1.0014</v>
      </c>
      <c r="E4199" s="15">
        <v>1.5481</v>
      </c>
      <c r="F4199" s="15">
        <v>1.6873</v>
      </c>
      <c r="G4199" s="11">
        <v>-0.0002</v>
      </c>
      <c r="H4199" s="9">
        <f>MAX($F$3239:F4199)</f>
        <v>1.689</v>
      </c>
      <c r="I4199" s="11">
        <f t="shared" si="95"/>
        <v>0.00100651272942576</v>
      </c>
      <c r="J4199" s="9"/>
      <c r="K4199" s="11"/>
      <c r="L4199" s="9"/>
      <c r="M4199" s="11"/>
      <c r="N4199" s="9" t="s">
        <v>809</v>
      </c>
    </row>
    <row r="4200" ht="25" customHeight="1" spans="1:14">
      <c r="A4200" s="9" t="s">
        <v>327</v>
      </c>
      <c r="B4200" s="9" t="s">
        <v>326</v>
      </c>
      <c r="C4200" s="10">
        <v>44937</v>
      </c>
      <c r="D4200" s="15">
        <v>1.0024</v>
      </c>
      <c r="E4200" s="15">
        <v>1.5491</v>
      </c>
      <c r="F4200" s="15">
        <v>1.689</v>
      </c>
      <c r="G4200" s="11">
        <v>0.001</v>
      </c>
      <c r="H4200" s="9">
        <f>MAX($F$3239:F4200)</f>
        <v>1.689</v>
      </c>
      <c r="I4200" s="11">
        <f t="shared" si="95"/>
        <v>0</v>
      </c>
      <c r="J4200" s="9"/>
      <c r="K4200" s="11"/>
      <c r="L4200" s="9"/>
      <c r="M4200" s="11"/>
      <c r="N4200" s="9" t="s">
        <v>809</v>
      </c>
    </row>
    <row r="4201" ht="25" customHeight="1" spans="1:14">
      <c r="A4201" s="9" t="s">
        <v>327</v>
      </c>
      <c r="B4201" s="9" t="s">
        <v>326</v>
      </c>
      <c r="C4201" s="10">
        <v>44938</v>
      </c>
      <c r="D4201" s="15">
        <v>1.0021</v>
      </c>
      <c r="E4201" s="15">
        <v>1.5488</v>
      </c>
      <c r="F4201" s="15">
        <v>1.6885</v>
      </c>
      <c r="G4201" s="11">
        <v>-0.0003</v>
      </c>
      <c r="H4201" s="9">
        <f>MAX($F$3239:F4201)</f>
        <v>1.689</v>
      </c>
      <c r="I4201" s="11">
        <f t="shared" si="95"/>
        <v>0.000296033155713582</v>
      </c>
      <c r="J4201" s="9"/>
      <c r="K4201" s="11"/>
      <c r="L4201" s="9"/>
      <c r="M4201" s="11"/>
      <c r="N4201" s="9" t="s">
        <v>809</v>
      </c>
    </row>
    <row r="4202" ht="25" customHeight="1" spans="1:14">
      <c r="A4202" s="9" t="s">
        <v>327</v>
      </c>
      <c r="B4202" s="9" t="s">
        <v>326</v>
      </c>
      <c r="C4202" s="10">
        <v>44939</v>
      </c>
      <c r="D4202" s="15">
        <v>1.0024</v>
      </c>
      <c r="E4202" s="15">
        <v>1.5491</v>
      </c>
      <c r="F4202" s="15">
        <v>1.689</v>
      </c>
      <c r="G4202" s="11">
        <v>0.0003</v>
      </c>
      <c r="H4202" s="9">
        <f>MAX($F$3239:F4202)</f>
        <v>1.689</v>
      </c>
      <c r="I4202" s="11">
        <f t="shared" si="95"/>
        <v>0</v>
      </c>
      <c r="J4202" s="9"/>
      <c r="K4202" s="11"/>
      <c r="L4202" s="9"/>
      <c r="M4202" s="11"/>
      <c r="N4202" s="9" t="s">
        <v>809</v>
      </c>
    </row>
    <row r="4203" ht="25" customHeight="1" spans="1:14">
      <c r="A4203" s="9" t="s">
        <v>327</v>
      </c>
      <c r="B4203" s="9" t="s">
        <v>326</v>
      </c>
      <c r="C4203" s="10">
        <v>44942</v>
      </c>
      <c r="D4203" s="15">
        <v>1.0037</v>
      </c>
      <c r="E4203" s="15">
        <v>1.5504</v>
      </c>
      <c r="F4203" s="15">
        <v>1.6912</v>
      </c>
      <c r="G4203" s="11">
        <v>0.0013</v>
      </c>
      <c r="H4203" s="9">
        <f>MAX($F$3239:F4203)</f>
        <v>1.6912</v>
      </c>
      <c r="I4203" s="11">
        <f t="shared" si="95"/>
        <v>0</v>
      </c>
      <c r="J4203" s="9"/>
      <c r="K4203" s="11"/>
      <c r="L4203" s="9"/>
      <c r="M4203" s="11"/>
      <c r="N4203" s="9" t="s">
        <v>809</v>
      </c>
    </row>
    <row r="4204" ht="25" customHeight="1" spans="1:14">
      <c r="A4204" s="9" t="s">
        <v>327</v>
      </c>
      <c r="B4204" s="9" t="s">
        <v>326</v>
      </c>
      <c r="C4204" s="10">
        <v>44943</v>
      </c>
      <c r="D4204" s="15">
        <v>1.0036</v>
      </c>
      <c r="E4204" s="15">
        <v>1.5503</v>
      </c>
      <c r="F4204" s="15">
        <v>1.691</v>
      </c>
      <c r="G4204" s="11">
        <v>-0.0001</v>
      </c>
      <c r="H4204" s="9">
        <f>MAX($F$3239:F4204)</f>
        <v>1.6912</v>
      </c>
      <c r="I4204" s="11">
        <f t="shared" si="95"/>
        <v>0.000118259224219486</v>
      </c>
      <c r="J4204" s="9"/>
      <c r="K4204" s="11"/>
      <c r="L4204" s="9"/>
      <c r="M4204" s="11"/>
      <c r="N4204" s="9" t="s">
        <v>809</v>
      </c>
    </row>
    <row r="4205" ht="25" customHeight="1" spans="1:14">
      <c r="A4205" s="9" t="s">
        <v>327</v>
      </c>
      <c r="B4205" s="9" t="s">
        <v>326</v>
      </c>
      <c r="C4205" s="10">
        <v>44944</v>
      </c>
      <c r="D4205" s="15">
        <v>1.0028</v>
      </c>
      <c r="E4205" s="15">
        <v>1.5495</v>
      </c>
      <c r="F4205" s="15">
        <v>1.6897</v>
      </c>
      <c r="G4205" s="11">
        <v>-0.0008</v>
      </c>
      <c r="H4205" s="9">
        <f>MAX($F$3239:F4205)</f>
        <v>1.6912</v>
      </c>
      <c r="I4205" s="11">
        <f t="shared" si="95"/>
        <v>0.000886944181646254</v>
      </c>
      <c r="J4205" s="9"/>
      <c r="K4205" s="11"/>
      <c r="L4205" s="9"/>
      <c r="M4205" s="11"/>
      <c r="N4205" s="9" t="s">
        <v>809</v>
      </c>
    </row>
    <row r="4206" ht="25" customHeight="1" spans="1:14">
      <c r="A4206" s="9" t="s">
        <v>327</v>
      </c>
      <c r="B4206" s="9" t="s">
        <v>326</v>
      </c>
      <c r="C4206" s="10">
        <v>44945</v>
      </c>
      <c r="D4206" s="15">
        <v>1.003</v>
      </c>
      <c r="E4206" s="15">
        <v>1.5497</v>
      </c>
      <c r="F4206" s="15">
        <v>1.69</v>
      </c>
      <c r="G4206" s="11">
        <v>0.0002</v>
      </c>
      <c r="H4206" s="9">
        <f>MAX($F$3239:F4206)</f>
        <v>1.6912</v>
      </c>
      <c r="I4206" s="11">
        <f t="shared" si="95"/>
        <v>0.000709555345317026</v>
      </c>
      <c r="J4206" s="9"/>
      <c r="K4206" s="11"/>
      <c r="L4206" s="9"/>
      <c r="M4206" s="11"/>
      <c r="N4206" s="9" t="s">
        <v>809</v>
      </c>
    </row>
    <row r="4207" ht="25" customHeight="1" spans="1:14">
      <c r="A4207" s="9" t="s">
        <v>327</v>
      </c>
      <c r="B4207" s="9" t="s">
        <v>326</v>
      </c>
      <c r="C4207" s="10">
        <v>44946</v>
      </c>
      <c r="D4207" s="15">
        <v>1.0023</v>
      </c>
      <c r="E4207" s="15">
        <v>1.549</v>
      </c>
      <c r="F4207" s="15">
        <v>1.6888</v>
      </c>
      <c r="G4207" s="11">
        <v>-0.0007</v>
      </c>
      <c r="H4207" s="9">
        <f>MAX($F$3239:F4207)</f>
        <v>1.6912</v>
      </c>
      <c r="I4207" s="11">
        <f t="shared" si="95"/>
        <v>0.00141911069063383</v>
      </c>
      <c r="J4207" s="9"/>
      <c r="K4207" s="11"/>
      <c r="L4207" s="9"/>
      <c r="M4207" s="11"/>
      <c r="N4207" s="9" t="s">
        <v>809</v>
      </c>
    </row>
    <row r="4208" ht="25" customHeight="1" spans="1:14">
      <c r="A4208" s="9" t="s">
        <v>327</v>
      </c>
      <c r="B4208" s="9" t="s">
        <v>326</v>
      </c>
      <c r="C4208" s="10">
        <v>44956</v>
      </c>
      <c r="D4208" s="15">
        <v>1.002</v>
      </c>
      <c r="E4208" s="15">
        <v>1.5487</v>
      </c>
      <c r="F4208" s="15">
        <v>1.6883</v>
      </c>
      <c r="G4208" s="11">
        <v>-0.0003</v>
      </c>
      <c r="H4208" s="9">
        <f>MAX($F$3239:F4208)</f>
        <v>1.6912</v>
      </c>
      <c r="I4208" s="11">
        <f t="shared" si="95"/>
        <v>0.00171475875118265</v>
      </c>
      <c r="J4208" s="9"/>
      <c r="K4208" s="11"/>
      <c r="L4208" s="9"/>
      <c r="M4208" s="11"/>
      <c r="N4208" s="9" t="s">
        <v>809</v>
      </c>
    </row>
    <row r="4209" ht="25" customHeight="1" spans="1:14">
      <c r="A4209" s="9" t="s">
        <v>327</v>
      </c>
      <c r="B4209" s="9" t="s">
        <v>326</v>
      </c>
      <c r="C4209" s="10">
        <v>44957</v>
      </c>
      <c r="D4209" s="15">
        <v>1.0019</v>
      </c>
      <c r="E4209" s="15">
        <v>1.5486</v>
      </c>
      <c r="F4209" s="15">
        <v>1.6882</v>
      </c>
      <c r="G4209" s="11">
        <v>-0.0001</v>
      </c>
      <c r="H4209" s="9">
        <f>MAX($F$3239:F4209)</f>
        <v>1.6912</v>
      </c>
      <c r="I4209" s="11">
        <f t="shared" si="95"/>
        <v>0.0017738883632924</v>
      </c>
      <c r="J4209" s="9"/>
      <c r="K4209" s="11"/>
      <c r="L4209" s="9"/>
      <c r="M4209" s="11"/>
      <c r="N4209" s="9" t="s">
        <v>809</v>
      </c>
    </row>
    <row r="4210" ht="25" customHeight="1" spans="1:14">
      <c r="A4210" s="9" t="s">
        <v>327</v>
      </c>
      <c r="B4210" s="9" t="s">
        <v>326</v>
      </c>
      <c r="C4210" s="10">
        <v>44958</v>
      </c>
      <c r="D4210" s="15">
        <v>1.0024</v>
      </c>
      <c r="E4210" s="15">
        <v>1.5491</v>
      </c>
      <c r="F4210" s="15">
        <v>1.689</v>
      </c>
      <c r="G4210" s="11">
        <v>0.0005</v>
      </c>
      <c r="H4210" s="9">
        <f>MAX($F$3239:F4210)</f>
        <v>1.6912</v>
      </c>
      <c r="I4210" s="11">
        <f t="shared" si="95"/>
        <v>0.00130085146641434</v>
      </c>
      <c r="J4210" s="9"/>
      <c r="K4210" s="11"/>
      <c r="L4210" s="9"/>
      <c r="M4210" s="11"/>
      <c r="N4210" s="9" t="s">
        <v>809</v>
      </c>
    </row>
    <row r="4211" ht="25" customHeight="1" spans="1:14">
      <c r="A4211" s="9" t="s">
        <v>327</v>
      </c>
      <c r="B4211" s="9" t="s">
        <v>326</v>
      </c>
      <c r="C4211" s="10">
        <v>44959</v>
      </c>
      <c r="D4211" s="15">
        <v>1.0024</v>
      </c>
      <c r="E4211" s="15">
        <v>1.5491</v>
      </c>
      <c r="F4211" s="15">
        <v>1.689</v>
      </c>
      <c r="G4211" s="11">
        <v>0</v>
      </c>
      <c r="H4211" s="9">
        <f>MAX($F$3239:F4211)</f>
        <v>1.6912</v>
      </c>
      <c r="I4211" s="11">
        <f t="shared" si="95"/>
        <v>0.00130085146641434</v>
      </c>
      <c r="J4211" s="9"/>
      <c r="K4211" s="11"/>
      <c r="L4211" s="9"/>
      <c r="M4211" s="11"/>
      <c r="N4211" s="9" t="s">
        <v>809</v>
      </c>
    </row>
    <row r="4212" ht="25" customHeight="1" spans="1:14">
      <c r="A4212" s="9" t="s">
        <v>327</v>
      </c>
      <c r="B4212" s="9" t="s">
        <v>326</v>
      </c>
      <c r="C4212" s="10">
        <v>44960</v>
      </c>
      <c r="D4212" s="15">
        <v>1.0027</v>
      </c>
      <c r="E4212" s="15">
        <v>1.5494</v>
      </c>
      <c r="F4212" s="15">
        <v>1.6895</v>
      </c>
      <c r="G4212" s="11">
        <v>0.0003</v>
      </c>
      <c r="H4212" s="9">
        <f>MAX($F$3239:F4212)</f>
        <v>1.6912</v>
      </c>
      <c r="I4212" s="11">
        <f t="shared" si="95"/>
        <v>0.00100520340586563</v>
      </c>
      <c r="J4212" s="9"/>
      <c r="K4212" s="11"/>
      <c r="L4212" s="9"/>
      <c r="M4212" s="11"/>
      <c r="N4212" s="9" t="s">
        <v>809</v>
      </c>
    </row>
    <row r="4213" ht="25" customHeight="1" spans="1:14">
      <c r="A4213" s="9" t="s">
        <v>327</v>
      </c>
      <c r="B4213" s="9" t="s">
        <v>326</v>
      </c>
      <c r="C4213" s="10">
        <v>44963</v>
      </c>
      <c r="D4213" s="15">
        <v>1.0022</v>
      </c>
      <c r="E4213" s="15">
        <v>1.5489</v>
      </c>
      <c r="F4213" s="15">
        <v>1.6887</v>
      </c>
      <c r="G4213" s="11">
        <v>-0.0005</v>
      </c>
      <c r="H4213" s="9">
        <f>MAX($F$3239:F4213)</f>
        <v>1.6912</v>
      </c>
      <c r="I4213" s="11">
        <f t="shared" si="95"/>
        <v>0.00147824030274357</v>
      </c>
      <c r="J4213" s="9"/>
      <c r="K4213" s="11"/>
      <c r="L4213" s="9"/>
      <c r="M4213" s="11"/>
      <c r="N4213" s="9" t="s">
        <v>809</v>
      </c>
    </row>
    <row r="4214" ht="25" customHeight="1" spans="1:14">
      <c r="A4214" s="9" t="s">
        <v>327</v>
      </c>
      <c r="B4214" s="9" t="s">
        <v>326</v>
      </c>
      <c r="C4214" s="10">
        <v>44964</v>
      </c>
      <c r="D4214" s="15">
        <v>1.0017</v>
      </c>
      <c r="E4214" s="15">
        <v>1.5484</v>
      </c>
      <c r="F4214" s="15">
        <v>1.6878</v>
      </c>
      <c r="G4214" s="11">
        <v>-0.0005</v>
      </c>
      <c r="H4214" s="9">
        <f>MAX($F$3239:F4214)</f>
        <v>1.6912</v>
      </c>
      <c r="I4214" s="11">
        <f t="shared" si="95"/>
        <v>0.00201040681173137</v>
      </c>
      <c r="J4214" s="9"/>
      <c r="K4214" s="11"/>
      <c r="L4214" s="9"/>
      <c r="M4214" s="11"/>
      <c r="N4214" s="9" t="s">
        <v>809</v>
      </c>
    </row>
    <row r="4215" ht="25" customHeight="1" spans="1:14">
      <c r="A4215" s="9" t="s">
        <v>327</v>
      </c>
      <c r="B4215" s="9" t="s">
        <v>326</v>
      </c>
      <c r="C4215" s="10">
        <v>44965</v>
      </c>
      <c r="D4215" s="15">
        <v>1.0021</v>
      </c>
      <c r="E4215" s="15">
        <v>1.5488</v>
      </c>
      <c r="F4215" s="15">
        <v>1.6885</v>
      </c>
      <c r="G4215" s="11">
        <v>0.0004</v>
      </c>
      <c r="H4215" s="9">
        <f>MAX($F$3239:F4215)</f>
        <v>1.6912</v>
      </c>
      <c r="I4215" s="11">
        <f t="shared" si="95"/>
        <v>0.00159649952696317</v>
      </c>
      <c r="J4215" s="9"/>
      <c r="K4215" s="11"/>
      <c r="L4215" s="9"/>
      <c r="M4215" s="11"/>
      <c r="N4215" s="9" t="s">
        <v>809</v>
      </c>
    </row>
    <row r="4216" ht="25" customHeight="1" spans="1:14">
      <c r="A4216" s="9" t="s">
        <v>327</v>
      </c>
      <c r="B4216" s="9" t="s">
        <v>326</v>
      </c>
      <c r="C4216" s="10">
        <v>44966</v>
      </c>
      <c r="D4216" s="15">
        <v>1.0022</v>
      </c>
      <c r="E4216" s="15">
        <v>1.5489</v>
      </c>
      <c r="F4216" s="15">
        <v>1.6887</v>
      </c>
      <c r="G4216" s="11">
        <v>0.0001</v>
      </c>
      <c r="H4216" s="9">
        <f>MAX($F$3239:F4216)</f>
        <v>1.6912</v>
      </c>
      <c r="I4216" s="11">
        <f t="shared" si="95"/>
        <v>0.00147824030274357</v>
      </c>
      <c r="J4216" s="9"/>
      <c r="K4216" s="11"/>
      <c r="L4216" s="9"/>
      <c r="M4216" s="11"/>
      <c r="N4216" s="9" t="s">
        <v>809</v>
      </c>
    </row>
    <row r="4217" ht="25" customHeight="1" spans="1:14">
      <c r="A4217" s="9" t="s">
        <v>327</v>
      </c>
      <c r="B4217" s="9" t="s">
        <v>326</v>
      </c>
      <c r="C4217" s="10">
        <v>44967</v>
      </c>
      <c r="D4217" s="15">
        <v>1.0026</v>
      </c>
      <c r="E4217" s="15">
        <v>1.5493</v>
      </c>
      <c r="F4217" s="15">
        <v>1.6893</v>
      </c>
      <c r="G4217" s="11">
        <v>0.0004</v>
      </c>
      <c r="H4217" s="9">
        <f>MAX($F$3239:F4217)</f>
        <v>1.6912</v>
      </c>
      <c r="I4217" s="11">
        <f t="shared" si="95"/>
        <v>0.00112346263008511</v>
      </c>
      <c r="J4217" s="9"/>
      <c r="K4217" s="11"/>
      <c r="L4217" s="9"/>
      <c r="M4217" s="11"/>
      <c r="N4217" s="9" t="s">
        <v>809</v>
      </c>
    </row>
    <row r="4218" ht="25" customHeight="1" spans="1:14">
      <c r="A4218" s="9" t="s">
        <v>327</v>
      </c>
      <c r="B4218" s="9" t="s">
        <v>326</v>
      </c>
      <c r="C4218" s="10">
        <v>44970</v>
      </c>
      <c r="D4218" s="15">
        <v>1.0029</v>
      </c>
      <c r="E4218" s="15">
        <v>1.5496</v>
      </c>
      <c r="F4218" s="15">
        <v>1.6898</v>
      </c>
      <c r="G4218" s="11">
        <v>0.0003</v>
      </c>
      <c r="H4218" s="9">
        <f>MAX($F$3239:F4218)</f>
        <v>1.6912</v>
      </c>
      <c r="I4218" s="11">
        <f t="shared" si="95"/>
        <v>0.000827814569536511</v>
      </c>
      <c r="J4218" s="9"/>
      <c r="K4218" s="11"/>
      <c r="L4218" s="9"/>
      <c r="M4218" s="11"/>
      <c r="N4218" s="9" t="s">
        <v>809</v>
      </c>
    </row>
    <row r="4219" ht="25" customHeight="1" spans="1:14">
      <c r="A4219" s="9" t="s">
        <v>327</v>
      </c>
      <c r="B4219" s="9" t="s">
        <v>326</v>
      </c>
      <c r="C4219" s="10">
        <v>44971</v>
      </c>
      <c r="D4219" s="15">
        <v>1.0029</v>
      </c>
      <c r="E4219" s="15">
        <v>1.5496</v>
      </c>
      <c r="F4219" s="15">
        <v>1.6898</v>
      </c>
      <c r="G4219" s="11">
        <v>0</v>
      </c>
      <c r="H4219" s="9">
        <f>MAX($F$3239:F4219)</f>
        <v>1.6912</v>
      </c>
      <c r="I4219" s="11">
        <f t="shared" si="95"/>
        <v>0.000827814569536511</v>
      </c>
      <c r="J4219" s="9"/>
      <c r="K4219" s="11"/>
      <c r="L4219" s="9"/>
      <c r="M4219" s="11"/>
      <c r="N4219" s="9" t="s">
        <v>809</v>
      </c>
    </row>
    <row r="4220" ht="25" customHeight="1" spans="1:14">
      <c r="A4220" s="9" t="s">
        <v>327</v>
      </c>
      <c r="B4220" s="9" t="s">
        <v>326</v>
      </c>
      <c r="C4220" s="10">
        <v>44972</v>
      </c>
      <c r="D4220" s="15">
        <v>1.0024</v>
      </c>
      <c r="E4220" s="15">
        <v>1.5491</v>
      </c>
      <c r="F4220" s="15">
        <v>1.689</v>
      </c>
      <c r="G4220" s="11">
        <v>-0.0005</v>
      </c>
      <c r="H4220" s="9">
        <f>MAX($F$3239:F4220)</f>
        <v>1.6912</v>
      </c>
      <c r="I4220" s="11">
        <f t="shared" si="95"/>
        <v>0.00130085146641434</v>
      </c>
      <c r="J4220" s="9"/>
      <c r="K4220" s="11"/>
      <c r="L4220" s="9"/>
      <c r="M4220" s="11"/>
      <c r="N4220" s="9" t="s">
        <v>809</v>
      </c>
    </row>
    <row r="4221" ht="25" customHeight="1" spans="1:14">
      <c r="A4221" s="9" t="s">
        <v>327</v>
      </c>
      <c r="B4221" s="9" t="s">
        <v>326</v>
      </c>
      <c r="C4221" s="10">
        <v>44973</v>
      </c>
      <c r="D4221" s="15">
        <v>1.0025</v>
      </c>
      <c r="E4221" s="15">
        <v>1.5492</v>
      </c>
      <c r="F4221" s="15">
        <v>1.6892</v>
      </c>
      <c r="G4221" s="11">
        <v>0.0001</v>
      </c>
      <c r="H4221" s="9">
        <f>MAX($F$3239:F4221)</f>
        <v>1.6912</v>
      </c>
      <c r="I4221" s="11">
        <f t="shared" si="95"/>
        <v>0.00118259224219486</v>
      </c>
      <c r="J4221" s="9"/>
      <c r="K4221" s="11"/>
      <c r="L4221" s="9"/>
      <c r="M4221" s="11"/>
      <c r="N4221" s="9" t="s">
        <v>809</v>
      </c>
    </row>
    <row r="4222" ht="25" customHeight="1" spans="1:14">
      <c r="A4222" s="9" t="s">
        <v>327</v>
      </c>
      <c r="B4222" s="9" t="s">
        <v>326</v>
      </c>
      <c r="C4222" s="10">
        <v>44974</v>
      </c>
      <c r="D4222" s="15">
        <v>1.0023</v>
      </c>
      <c r="E4222" s="15">
        <v>1.549</v>
      </c>
      <c r="F4222" s="15">
        <v>1.6888</v>
      </c>
      <c r="G4222" s="11">
        <v>-0.0002</v>
      </c>
      <c r="H4222" s="9">
        <f>MAX($F$3239:F4222)</f>
        <v>1.6912</v>
      </c>
      <c r="I4222" s="11">
        <f t="shared" si="95"/>
        <v>0.00141911069063383</v>
      </c>
      <c r="J4222" s="9"/>
      <c r="K4222" s="11"/>
      <c r="L4222" s="9"/>
      <c r="M4222" s="11"/>
      <c r="N4222" s="9" t="s">
        <v>809</v>
      </c>
    </row>
    <row r="4223" ht="25" customHeight="1" spans="1:14">
      <c r="A4223" s="9" t="s">
        <v>327</v>
      </c>
      <c r="B4223" s="9" t="s">
        <v>326</v>
      </c>
      <c r="C4223" s="10">
        <v>44977</v>
      </c>
      <c r="D4223" s="15">
        <v>1.0024</v>
      </c>
      <c r="E4223" s="15">
        <v>1.5491</v>
      </c>
      <c r="F4223" s="15">
        <v>1.689</v>
      </c>
      <c r="G4223" s="11">
        <v>0.0001</v>
      </c>
      <c r="H4223" s="9">
        <f>MAX($F$3239:F4223)</f>
        <v>1.6912</v>
      </c>
      <c r="I4223" s="11">
        <f t="shared" si="95"/>
        <v>0.00130085146641434</v>
      </c>
      <c r="J4223" s="9"/>
      <c r="K4223" s="11"/>
      <c r="L4223" s="9"/>
      <c r="M4223" s="11"/>
      <c r="N4223" s="9" t="s">
        <v>809</v>
      </c>
    </row>
    <row r="4224" ht="25" customHeight="1" spans="1:14">
      <c r="A4224" s="9" t="s">
        <v>327</v>
      </c>
      <c r="B4224" s="9" t="s">
        <v>326</v>
      </c>
      <c r="C4224" s="10">
        <v>44978</v>
      </c>
      <c r="D4224" s="15">
        <v>1.0024</v>
      </c>
      <c r="E4224" s="15">
        <v>1.5491</v>
      </c>
      <c r="F4224" s="15">
        <v>1.689</v>
      </c>
      <c r="G4224" s="11">
        <v>0</v>
      </c>
      <c r="H4224" s="9">
        <f>MAX($F$3239:F4224)</f>
        <v>1.6912</v>
      </c>
      <c r="I4224" s="11">
        <f t="shared" si="95"/>
        <v>0.00130085146641434</v>
      </c>
      <c r="J4224" s="9"/>
      <c r="K4224" s="11"/>
      <c r="L4224" s="9"/>
      <c r="M4224" s="11"/>
      <c r="N4224" s="9" t="s">
        <v>809</v>
      </c>
    </row>
    <row r="4225" ht="25" customHeight="1" spans="1:14">
      <c r="A4225" s="9" t="s">
        <v>327</v>
      </c>
      <c r="B4225" s="9" t="s">
        <v>326</v>
      </c>
      <c r="C4225" s="10">
        <v>44979</v>
      </c>
      <c r="D4225" s="15">
        <v>1.0024</v>
      </c>
      <c r="E4225" s="15">
        <v>1.5491</v>
      </c>
      <c r="F4225" s="15">
        <v>1.689</v>
      </c>
      <c r="G4225" s="11">
        <v>0</v>
      </c>
      <c r="H4225" s="9">
        <f>MAX($F$3239:F4225)</f>
        <v>1.6912</v>
      </c>
      <c r="I4225" s="11">
        <f t="shared" si="95"/>
        <v>0.00130085146641434</v>
      </c>
      <c r="J4225" s="9"/>
      <c r="K4225" s="11"/>
      <c r="L4225" s="9"/>
      <c r="M4225" s="11"/>
      <c r="N4225" s="9" t="s">
        <v>809</v>
      </c>
    </row>
    <row r="4226" ht="25" customHeight="1" spans="1:14">
      <c r="A4226" s="9" t="s">
        <v>327</v>
      </c>
      <c r="B4226" s="9" t="s">
        <v>326</v>
      </c>
      <c r="C4226" s="10">
        <v>44980</v>
      </c>
      <c r="D4226" s="15">
        <v>1.0026</v>
      </c>
      <c r="E4226" s="15">
        <v>1.5493</v>
      </c>
      <c r="F4226" s="15">
        <v>1.6893</v>
      </c>
      <c r="G4226" s="11">
        <v>0.0002</v>
      </c>
      <c r="H4226" s="9">
        <f>MAX($F$3239:F4226)</f>
        <v>1.6912</v>
      </c>
      <c r="I4226" s="11">
        <f t="shared" ref="I4226:I4289" si="96">1-F4226/H4226</f>
        <v>0.00112346263008511</v>
      </c>
      <c r="J4226" s="9"/>
      <c r="K4226" s="11"/>
      <c r="L4226" s="9"/>
      <c r="M4226" s="11"/>
      <c r="N4226" s="9" t="s">
        <v>809</v>
      </c>
    </row>
    <row r="4227" ht="25" customHeight="1" spans="1:14">
      <c r="A4227" s="9" t="s">
        <v>327</v>
      </c>
      <c r="B4227" s="9" t="s">
        <v>326</v>
      </c>
      <c r="C4227" s="10">
        <v>44981</v>
      </c>
      <c r="D4227" s="15">
        <v>1.0034</v>
      </c>
      <c r="E4227" s="15">
        <v>1.5501</v>
      </c>
      <c r="F4227" s="15">
        <v>1.6907</v>
      </c>
      <c r="G4227" s="11">
        <v>0.0008</v>
      </c>
      <c r="H4227" s="9">
        <f>MAX($F$3239:F4227)</f>
        <v>1.6912</v>
      </c>
      <c r="I4227" s="11">
        <f t="shared" si="96"/>
        <v>0.000295648060548714</v>
      </c>
      <c r="J4227" s="9"/>
      <c r="K4227" s="11"/>
      <c r="L4227" s="9"/>
      <c r="M4227" s="11"/>
      <c r="N4227" s="9" t="s">
        <v>809</v>
      </c>
    </row>
    <row r="4228" ht="25" customHeight="1" spans="1:14">
      <c r="A4228" s="9" t="s">
        <v>327</v>
      </c>
      <c r="B4228" s="9" t="s">
        <v>326</v>
      </c>
      <c r="C4228" s="10">
        <v>44984</v>
      </c>
      <c r="D4228" s="15">
        <v>1.0042</v>
      </c>
      <c r="E4228" s="15">
        <v>1.5509</v>
      </c>
      <c r="F4228" s="15">
        <v>1.692</v>
      </c>
      <c r="G4228" s="11">
        <v>0.0008</v>
      </c>
      <c r="H4228" s="9">
        <f>MAX($F$3239:F4228)</f>
        <v>1.692</v>
      </c>
      <c r="I4228" s="11">
        <f t="shared" si="96"/>
        <v>0</v>
      </c>
      <c r="J4228" s="9"/>
      <c r="K4228" s="11"/>
      <c r="L4228" s="9"/>
      <c r="M4228" s="11"/>
      <c r="N4228" s="9" t="s">
        <v>809</v>
      </c>
    </row>
    <row r="4229" ht="25" customHeight="1" spans="1:14">
      <c r="A4229" s="9" t="s">
        <v>327</v>
      </c>
      <c r="B4229" s="9" t="s">
        <v>326</v>
      </c>
      <c r="C4229" s="10">
        <v>44985</v>
      </c>
      <c r="D4229" s="15">
        <v>1.0036</v>
      </c>
      <c r="E4229" s="15">
        <v>1.5503</v>
      </c>
      <c r="F4229" s="15">
        <v>1.691</v>
      </c>
      <c r="G4229" s="11">
        <v>-0.0006</v>
      </c>
      <c r="H4229" s="9">
        <f>MAX($F$3239:F4229)</f>
        <v>1.692</v>
      </c>
      <c r="I4229" s="11">
        <f t="shared" si="96"/>
        <v>0.000591016548463275</v>
      </c>
      <c r="J4229" s="9"/>
      <c r="K4229" s="11"/>
      <c r="L4229" s="9"/>
      <c r="M4229" s="11"/>
      <c r="N4229" s="9" t="s">
        <v>809</v>
      </c>
    </row>
    <row r="4230" ht="25" customHeight="1" spans="1:14">
      <c r="A4230" s="9" t="s">
        <v>327</v>
      </c>
      <c r="B4230" s="9" t="s">
        <v>326</v>
      </c>
      <c r="C4230" s="10">
        <v>44986</v>
      </c>
      <c r="D4230" s="15">
        <v>1.0044</v>
      </c>
      <c r="E4230" s="15">
        <v>1.5511</v>
      </c>
      <c r="F4230" s="15">
        <v>1.6924</v>
      </c>
      <c r="G4230" s="11">
        <v>0.0008</v>
      </c>
      <c r="H4230" s="9">
        <f>MAX($F$3239:F4230)</f>
        <v>1.6924</v>
      </c>
      <c r="I4230" s="11">
        <f t="shared" si="96"/>
        <v>0</v>
      </c>
      <c r="J4230" s="9"/>
      <c r="K4230" s="11"/>
      <c r="L4230" s="9"/>
      <c r="M4230" s="11"/>
      <c r="N4230" s="9" t="s">
        <v>809</v>
      </c>
    </row>
    <row r="4231" ht="25" customHeight="1" spans="1:14">
      <c r="A4231" s="9" t="s">
        <v>327</v>
      </c>
      <c r="B4231" s="9" t="s">
        <v>326</v>
      </c>
      <c r="C4231" s="10">
        <v>44987</v>
      </c>
      <c r="D4231" s="15">
        <v>1.0048</v>
      </c>
      <c r="E4231" s="15">
        <v>1.5515</v>
      </c>
      <c r="F4231" s="15">
        <v>1.6931</v>
      </c>
      <c r="G4231" s="11">
        <v>0.0004</v>
      </c>
      <c r="H4231" s="9">
        <f>MAX($F$3239:F4231)</f>
        <v>1.6931</v>
      </c>
      <c r="I4231" s="11">
        <f t="shared" si="96"/>
        <v>0</v>
      </c>
      <c r="J4231" s="9"/>
      <c r="K4231" s="11"/>
      <c r="L4231" s="9"/>
      <c r="M4231" s="11"/>
      <c r="N4231" s="9" t="s">
        <v>809</v>
      </c>
    </row>
    <row r="4232" ht="25" customHeight="1" spans="1:14">
      <c r="A4232" s="9" t="s">
        <v>327</v>
      </c>
      <c r="B4232" s="9" t="s">
        <v>326</v>
      </c>
      <c r="C4232" s="10">
        <v>44988</v>
      </c>
      <c r="D4232" s="15">
        <v>1.0046</v>
      </c>
      <c r="E4232" s="15">
        <v>1.5513</v>
      </c>
      <c r="F4232" s="15">
        <v>1.6927</v>
      </c>
      <c r="G4232" s="11">
        <v>-0.0002</v>
      </c>
      <c r="H4232" s="9">
        <f>MAX($F$3239:F4232)</f>
        <v>1.6931</v>
      </c>
      <c r="I4232" s="11">
        <f t="shared" si="96"/>
        <v>0.000236253026991928</v>
      </c>
      <c r="J4232" s="9"/>
      <c r="K4232" s="11"/>
      <c r="L4232" s="9"/>
      <c r="M4232" s="11"/>
      <c r="N4232" s="9" t="s">
        <v>809</v>
      </c>
    </row>
    <row r="4233" ht="25" customHeight="1" spans="1:14">
      <c r="A4233" s="9" t="s">
        <v>327</v>
      </c>
      <c r="B4233" s="9" t="s">
        <v>326</v>
      </c>
      <c r="C4233" s="10">
        <v>44991</v>
      </c>
      <c r="D4233" s="15">
        <v>1.0049</v>
      </c>
      <c r="E4233" s="15">
        <v>1.5516</v>
      </c>
      <c r="F4233" s="15">
        <v>1.6932</v>
      </c>
      <c r="G4233" s="11">
        <v>0.0003</v>
      </c>
      <c r="H4233" s="9">
        <f>MAX($F$3239:F4233)</f>
        <v>1.6932</v>
      </c>
      <c r="I4233" s="11">
        <f t="shared" si="96"/>
        <v>0</v>
      </c>
      <c r="J4233" s="9"/>
      <c r="K4233" s="11"/>
      <c r="L4233" s="9"/>
      <c r="M4233" s="11"/>
      <c r="N4233" s="9" t="s">
        <v>809</v>
      </c>
    </row>
    <row r="4234" ht="25" customHeight="1" spans="1:14">
      <c r="A4234" s="9" t="s">
        <v>327</v>
      </c>
      <c r="B4234" s="9" t="s">
        <v>326</v>
      </c>
      <c r="C4234" s="10">
        <v>44992</v>
      </c>
      <c r="D4234" s="15">
        <v>1.005</v>
      </c>
      <c r="E4234" s="15">
        <v>1.5517</v>
      </c>
      <c r="F4234" s="15">
        <v>1.6934</v>
      </c>
      <c r="G4234" s="11">
        <v>0.0001</v>
      </c>
      <c r="H4234" s="9">
        <f>MAX($F$3239:F4234)</f>
        <v>1.6934</v>
      </c>
      <c r="I4234" s="11">
        <f t="shared" si="96"/>
        <v>0</v>
      </c>
      <c r="J4234" s="9"/>
      <c r="K4234" s="11"/>
      <c r="L4234" s="9"/>
      <c r="M4234" s="11"/>
      <c r="N4234" s="9" t="s">
        <v>809</v>
      </c>
    </row>
    <row r="4235" ht="25" customHeight="1" spans="1:14">
      <c r="A4235" s="9" t="s">
        <v>327</v>
      </c>
      <c r="B4235" s="9" t="s">
        <v>326</v>
      </c>
      <c r="C4235" s="10">
        <v>44993</v>
      </c>
      <c r="D4235" s="15">
        <v>1.0057</v>
      </c>
      <c r="E4235" s="15">
        <v>1.5524</v>
      </c>
      <c r="F4235" s="15">
        <v>1.6946</v>
      </c>
      <c r="G4235" s="11">
        <v>0.0007</v>
      </c>
      <c r="H4235" s="9">
        <f>MAX($F$3239:F4235)</f>
        <v>1.6946</v>
      </c>
      <c r="I4235" s="11">
        <f t="shared" si="96"/>
        <v>0</v>
      </c>
      <c r="J4235" s="9"/>
      <c r="K4235" s="11"/>
      <c r="L4235" s="9"/>
      <c r="M4235" s="11"/>
      <c r="N4235" s="9" t="s">
        <v>809</v>
      </c>
    </row>
    <row r="4236" ht="25" customHeight="1" spans="1:14">
      <c r="A4236" s="9" t="s">
        <v>327</v>
      </c>
      <c r="B4236" s="9" t="s">
        <v>326</v>
      </c>
      <c r="C4236" s="10">
        <v>44994</v>
      </c>
      <c r="D4236" s="15">
        <v>1.0057</v>
      </c>
      <c r="E4236" s="15">
        <v>1.5524</v>
      </c>
      <c r="F4236" s="15">
        <v>1.6946</v>
      </c>
      <c r="G4236" s="11">
        <v>0</v>
      </c>
      <c r="H4236" s="9">
        <f>MAX($F$3239:F4236)</f>
        <v>1.6946</v>
      </c>
      <c r="I4236" s="11">
        <f t="shared" si="96"/>
        <v>0</v>
      </c>
      <c r="J4236" s="9"/>
      <c r="K4236" s="11"/>
      <c r="L4236" s="9"/>
      <c r="M4236" s="11"/>
      <c r="N4236" s="9" t="s">
        <v>809</v>
      </c>
    </row>
    <row r="4237" ht="25" customHeight="1" spans="1:14">
      <c r="A4237" s="9" t="s">
        <v>327</v>
      </c>
      <c r="B4237" s="9" t="s">
        <v>326</v>
      </c>
      <c r="C4237" s="10">
        <v>44995</v>
      </c>
      <c r="D4237" s="15">
        <v>1.0055</v>
      </c>
      <c r="E4237" s="15">
        <v>1.5522</v>
      </c>
      <c r="F4237" s="15">
        <v>1.6942</v>
      </c>
      <c r="G4237" s="11">
        <v>-0.0002</v>
      </c>
      <c r="H4237" s="9">
        <f>MAX($F$3239:F4237)</f>
        <v>1.6946</v>
      </c>
      <c r="I4237" s="11">
        <f t="shared" si="96"/>
        <v>0.000236043904166316</v>
      </c>
      <c r="J4237" s="9"/>
      <c r="K4237" s="11"/>
      <c r="L4237" s="9"/>
      <c r="M4237" s="11"/>
      <c r="N4237" s="9" t="s">
        <v>809</v>
      </c>
    </row>
    <row r="4238" ht="25" customHeight="1" spans="1:14">
      <c r="A4238" s="9" t="s">
        <v>327</v>
      </c>
      <c r="B4238" s="9" t="s">
        <v>326</v>
      </c>
      <c r="C4238" s="10">
        <v>44998</v>
      </c>
      <c r="D4238" s="15">
        <v>1.0058</v>
      </c>
      <c r="E4238" s="15">
        <v>1.5525</v>
      </c>
      <c r="F4238" s="15">
        <v>1.6947</v>
      </c>
      <c r="G4238" s="11">
        <v>0.0003</v>
      </c>
      <c r="H4238" s="9">
        <f>MAX($F$3239:F4238)</f>
        <v>1.6947</v>
      </c>
      <c r="I4238" s="11">
        <f t="shared" si="96"/>
        <v>0</v>
      </c>
      <c r="J4238" s="9"/>
      <c r="K4238" s="11"/>
      <c r="L4238" s="9"/>
      <c r="M4238" s="11"/>
      <c r="N4238" s="9" t="s">
        <v>809</v>
      </c>
    </row>
    <row r="4239" ht="25" customHeight="1" spans="1:14">
      <c r="A4239" s="9" t="s">
        <v>327</v>
      </c>
      <c r="B4239" s="9" t="s">
        <v>326</v>
      </c>
      <c r="C4239" s="10">
        <v>44999</v>
      </c>
      <c r="D4239" s="15">
        <v>1.0063</v>
      </c>
      <c r="E4239" s="15">
        <v>1.553</v>
      </c>
      <c r="F4239" s="15">
        <v>1.6956</v>
      </c>
      <c r="G4239" s="11">
        <v>0.0005</v>
      </c>
      <c r="H4239" s="9">
        <f>MAX($F$3239:F4239)</f>
        <v>1.6956</v>
      </c>
      <c r="I4239" s="11">
        <f t="shared" si="96"/>
        <v>0</v>
      </c>
      <c r="J4239" s="9"/>
      <c r="K4239" s="11"/>
      <c r="L4239" s="9"/>
      <c r="M4239" s="11"/>
      <c r="N4239" s="9" t="s">
        <v>809</v>
      </c>
    </row>
    <row r="4240" ht="25" customHeight="1" spans="1:14">
      <c r="A4240" s="9" t="s">
        <v>327</v>
      </c>
      <c r="B4240" s="9" t="s">
        <v>326</v>
      </c>
      <c r="C4240" s="10">
        <v>45000</v>
      </c>
      <c r="D4240" s="15">
        <v>1.0066</v>
      </c>
      <c r="E4240" s="15">
        <v>1.5533</v>
      </c>
      <c r="F4240" s="15">
        <v>1.6961</v>
      </c>
      <c r="G4240" s="11">
        <v>0.0003</v>
      </c>
      <c r="H4240" s="9">
        <f>MAX($F$3239:F4240)</f>
        <v>1.6961</v>
      </c>
      <c r="I4240" s="11">
        <f t="shared" si="96"/>
        <v>0</v>
      </c>
      <c r="J4240" s="9"/>
      <c r="K4240" s="11"/>
      <c r="L4240" s="9"/>
      <c r="M4240" s="11"/>
      <c r="N4240" s="9" t="s">
        <v>809</v>
      </c>
    </row>
    <row r="4241" ht="25" customHeight="1" spans="1:14">
      <c r="A4241" s="9" t="s">
        <v>327</v>
      </c>
      <c r="B4241" s="9" t="s">
        <v>326</v>
      </c>
      <c r="C4241" s="10">
        <v>45001</v>
      </c>
      <c r="D4241" s="15">
        <v>1.0074</v>
      </c>
      <c r="E4241" s="15">
        <v>1.5541</v>
      </c>
      <c r="F4241" s="15">
        <v>1.6974</v>
      </c>
      <c r="G4241" s="11">
        <v>0.0008</v>
      </c>
      <c r="H4241" s="9">
        <f>MAX($F$3239:F4241)</f>
        <v>1.6974</v>
      </c>
      <c r="I4241" s="11">
        <f t="shared" si="96"/>
        <v>0</v>
      </c>
      <c r="J4241" s="9"/>
      <c r="K4241" s="11"/>
      <c r="L4241" s="9"/>
      <c r="M4241" s="11"/>
      <c r="N4241" s="9" t="s">
        <v>809</v>
      </c>
    </row>
    <row r="4242" ht="25" customHeight="1" spans="1:14">
      <c r="A4242" s="9" t="s">
        <v>327</v>
      </c>
      <c r="B4242" s="9" t="s">
        <v>326</v>
      </c>
      <c r="C4242" s="10">
        <v>45002</v>
      </c>
      <c r="D4242" s="15">
        <v>1.0062</v>
      </c>
      <c r="E4242" s="15">
        <v>1.5529</v>
      </c>
      <c r="F4242" s="15">
        <v>1.6954</v>
      </c>
      <c r="G4242" s="11">
        <v>-0.0012</v>
      </c>
      <c r="H4242" s="9">
        <f>MAX($F$3239:F4242)</f>
        <v>1.6974</v>
      </c>
      <c r="I4242" s="11">
        <f t="shared" si="96"/>
        <v>0.00117827265229176</v>
      </c>
      <c r="J4242" s="9"/>
      <c r="K4242" s="11"/>
      <c r="L4242" s="9"/>
      <c r="M4242" s="11"/>
      <c r="N4242" s="9" t="s">
        <v>809</v>
      </c>
    </row>
    <row r="4243" ht="25" customHeight="1" spans="1:14">
      <c r="A4243" s="9" t="s">
        <v>327</v>
      </c>
      <c r="B4243" s="9" t="s">
        <v>326</v>
      </c>
      <c r="C4243" s="10">
        <v>45005</v>
      </c>
      <c r="D4243" s="15">
        <v>1.0061</v>
      </c>
      <c r="E4243" s="15">
        <v>1.5528</v>
      </c>
      <c r="F4243" s="15">
        <v>1.6952</v>
      </c>
      <c r="G4243" s="11">
        <v>-0.0001</v>
      </c>
      <c r="H4243" s="9">
        <f>MAX($F$3239:F4243)</f>
        <v>1.6974</v>
      </c>
      <c r="I4243" s="11">
        <f t="shared" si="96"/>
        <v>0.00129609991752089</v>
      </c>
      <c r="J4243" s="9"/>
      <c r="K4243" s="11"/>
      <c r="L4243" s="9"/>
      <c r="M4243" s="11"/>
      <c r="N4243" s="9" t="s">
        <v>809</v>
      </c>
    </row>
    <row r="4244" ht="25" customHeight="1" spans="1:14">
      <c r="A4244" s="9" t="s">
        <v>327</v>
      </c>
      <c r="B4244" s="9" t="s">
        <v>326</v>
      </c>
      <c r="C4244" s="10">
        <v>45006</v>
      </c>
      <c r="D4244" s="15">
        <v>1.0075</v>
      </c>
      <c r="E4244" s="15">
        <v>1.5542</v>
      </c>
      <c r="F4244" s="15">
        <v>1.6976</v>
      </c>
      <c r="G4244" s="11">
        <v>0.0014</v>
      </c>
      <c r="H4244" s="9">
        <f>MAX($F$3239:F4244)</f>
        <v>1.6976</v>
      </c>
      <c r="I4244" s="11">
        <f t="shared" si="96"/>
        <v>0</v>
      </c>
      <c r="J4244" s="9"/>
      <c r="K4244" s="11"/>
      <c r="L4244" s="9"/>
      <c r="M4244" s="11"/>
      <c r="N4244" s="9" t="s">
        <v>809</v>
      </c>
    </row>
    <row r="4245" ht="25" customHeight="1" spans="1:14">
      <c r="A4245" s="9" t="s">
        <v>327</v>
      </c>
      <c r="B4245" s="9" t="s">
        <v>326</v>
      </c>
      <c r="C4245" s="10">
        <v>45007</v>
      </c>
      <c r="D4245" s="15">
        <v>1.0073</v>
      </c>
      <c r="E4245" s="15">
        <v>1.554</v>
      </c>
      <c r="F4245" s="15">
        <v>1.6973</v>
      </c>
      <c r="G4245" s="11">
        <v>-0.0002</v>
      </c>
      <c r="H4245" s="9">
        <f>MAX($F$3239:F4245)</f>
        <v>1.6976</v>
      </c>
      <c r="I4245" s="11">
        <f t="shared" si="96"/>
        <v>0.000176720075400594</v>
      </c>
      <c r="J4245" s="9"/>
      <c r="K4245" s="11"/>
      <c r="L4245" s="9"/>
      <c r="M4245" s="11"/>
      <c r="N4245" s="9" t="s">
        <v>809</v>
      </c>
    </row>
    <row r="4246" ht="25" customHeight="1" spans="1:14">
      <c r="A4246" s="9" t="s">
        <v>327</v>
      </c>
      <c r="B4246" s="9" t="s">
        <v>326</v>
      </c>
      <c r="C4246" s="10">
        <v>45008</v>
      </c>
      <c r="D4246" s="15">
        <v>1.0075</v>
      </c>
      <c r="E4246" s="15">
        <v>1.5542</v>
      </c>
      <c r="F4246" s="15">
        <v>1.6976</v>
      </c>
      <c r="G4246" s="11">
        <v>0.0002</v>
      </c>
      <c r="H4246" s="9">
        <f>MAX($F$3239:F4246)</f>
        <v>1.6976</v>
      </c>
      <c r="I4246" s="11">
        <f t="shared" si="96"/>
        <v>0</v>
      </c>
      <c r="J4246" s="9"/>
      <c r="K4246" s="11"/>
      <c r="L4246" s="9"/>
      <c r="M4246" s="11"/>
      <c r="N4246" s="9" t="s">
        <v>809</v>
      </c>
    </row>
    <row r="4247" ht="25" customHeight="1" spans="1:14">
      <c r="A4247" s="9" t="s">
        <v>327</v>
      </c>
      <c r="B4247" s="9" t="s">
        <v>326</v>
      </c>
      <c r="C4247" s="10">
        <v>45009</v>
      </c>
      <c r="D4247" s="15">
        <v>1.007</v>
      </c>
      <c r="E4247" s="15">
        <v>1.5537</v>
      </c>
      <c r="F4247" s="15">
        <v>1.6968</v>
      </c>
      <c r="G4247" s="11">
        <v>-0.0005</v>
      </c>
      <c r="H4247" s="9">
        <f>MAX($F$3239:F4247)</f>
        <v>1.6976</v>
      </c>
      <c r="I4247" s="11">
        <f t="shared" si="96"/>
        <v>0.000471253534401472</v>
      </c>
      <c r="J4247" s="9"/>
      <c r="K4247" s="11"/>
      <c r="L4247" s="9"/>
      <c r="M4247" s="11"/>
      <c r="N4247" s="9" t="s">
        <v>809</v>
      </c>
    </row>
    <row r="4248" ht="25" customHeight="1" spans="1:14">
      <c r="A4248" s="9" t="s">
        <v>327</v>
      </c>
      <c r="B4248" s="9" t="s">
        <v>326</v>
      </c>
      <c r="C4248" s="10">
        <v>45012</v>
      </c>
      <c r="D4248" s="15">
        <v>1.0071</v>
      </c>
      <c r="E4248" s="15">
        <v>1.5538</v>
      </c>
      <c r="F4248" s="15">
        <v>1.6969</v>
      </c>
      <c r="G4248" s="11">
        <v>0.0001</v>
      </c>
      <c r="H4248" s="9">
        <f>MAX($F$3239:F4248)</f>
        <v>1.6976</v>
      </c>
      <c r="I4248" s="11">
        <f t="shared" si="96"/>
        <v>0.000412346842601274</v>
      </c>
      <c r="J4248" s="9"/>
      <c r="K4248" s="11"/>
      <c r="L4248" s="9"/>
      <c r="M4248" s="11"/>
      <c r="N4248" s="9" t="s">
        <v>809</v>
      </c>
    </row>
    <row r="4249" ht="25" customHeight="1" spans="1:14">
      <c r="A4249" s="9" t="s">
        <v>327</v>
      </c>
      <c r="B4249" s="9" t="s">
        <v>326</v>
      </c>
      <c r="C4249" s="10">
        <v>45013</v>
      </c>
      <c r="D4249" s="15">
        <v>1.0074</v>
      </c>
      <c r="E4249" s="15">
        <v>1.5541</v>
      </c>
      <c r="F4249" s="15">
        <v>1.6974</v>
      </c>
      <c r="G4249" s="11">
        <v>0.0003</v>
      </c>
      <c r="H4249" s="9">
        <f>MAX($F$3239:F4249)</f>
        <v>1.6976</v>
      </c>
      <c r="I4249" s="11">
        <f t="shared" si="96"/>
        <v>0.000117813383600396</v>
      </c>
      <c r="J4249" s="9"/>
      <c r="K4249" s="11"/>
      <c r="L4249" s="9"/>
      <c r="M4249" s="11"/>
      <c r="N4249" s="9" t="s">
        <v>809</v>
      </c>
    </row>
    <row r="4250" ht="25" customHeight="1" spans="1:14">
      <c r="A4250" s="9" t="s">
        <v>327</v>
      </c>
      <c r="B4250" s="9" t="s">
        <v>326</v>
      </c>
      <c r="C4250" s="10">
        <v>45014</v>
      </c>
      <c r="D4250" s="15">
        <v>1.0079</v>
      </c>
      <c r="E4250" s="15">
        <v>1.5546</v>
      </c>
      <c r="F4250" s="15">
        <v>1.6983</v>
      </c>
      <c r="G4250" s="11">
        <v>0.0005</v>
      </c>
      <c r="H4250" s="9">
        <f>MAX($F$3239:F4250)</f>
        <v>1.6983</v>
      </c>
      <c r="I4250" s="11">
        <f t="shared" si="96"/>
        <v>0</v>
      </c>
      <c r="J4250" s="9"/>
      <c r="K4250" s="11"/>
      <c r="L4250" s="9"/>
      <c r="M4250" s="11"/>
      <c r="N4250" s="9" t="s">
        <v>809</v>
      </c>
    </row>
    <row r="4251" ht="25" customHeight="1" spans="1:14">
      <c r="A4251" s="9" t="s">
        <v>327</v>
      </c>
      <c r="B4251" s="9" t="s">
        <v>326</v>
      </c>
      <c r="C4251" s="10">
        <v>45015</v>
      </c>
      <c r="D4251" s="15">
        <v>1.0076</v>
      </c>
      <c r="E4251" s="15">
        <v>1.5543</v>
      </c>
      <c r="F4251" s="15">
        <v>1.6978</v>
      </c>
      <c r="G4251" s="11">
        <v>-0.0003</v>
      </c>
      <c r="H4251" s="9">
        <f>MAX($F$3239:F4251)</f>
        <v>1.6983</v>
      </c>
      <c r="I4251" s="11">
        <f t="shared" si="96"/>
        <v>0.000294412059117954</v>
      </c>
      <c r="J4251" s="9"/>
      <c r="K4251" s="11"/>
      <c r="L4251" s="9"/>
      <c r="M4251" s="11"/>
      <c r="N4251" s="9" t="s">
        <v>809</v>
      </c>
    </row>
    <row r="4252" ht="25" customHeight="1" spans="1:14">
      <c r="A4252" s="9" t="s">
        <v>327</v>
      </c>
      <c r="B4252" s="9" t="s">
        <v>326</v>
      </c>
      <c r="C4252" s="10">
        <v>45016</v>
      </c>
      <c r="D4252" s="15">
        <v>1.0073</v>
      </c>
      <c r="E4252" s="15">
        <v>1.554</v>
      </c>
      <c r="F4252" s="15">
        <v>1.6973</v>
      </c>
      <c r="G4252" s="11">
        <v>-0.0003</v>
      </c>
      <c r="H4252" s="9">
        <f>MAX($F$3239:F4252)</f>
        <v>1.6983</v>
      </c>
      <c r="I4252" s="11">
        <f t="shared" si="96"/>
        <v>0.000588824118235798</v>
      </c>
      <c r="J4252" s="9"/>
      <c r="K4252" s="11"/>
      <c r="L4252" s="9"/>
      <c r="M4252" s="11"/>
      <c r="N4252" s="9" t="s">
        <v>809</v>
      </c>
    </row>
    <row r="4253" ht="25" customHeight="1" spans="1:14">
      <c r="A4253" s="9" t="s">
        <v>327</v>
      </c>
      <c r="B4253" s="9" t="s">
        <v>326</v>
      </c>
      <c r="C4253" s="10">
        <v>45019</v>
      </c>
      <c r="D4253" s="15">
        <v>1.0072</v>
      </c>
      <c r="E4253" s="15">
        <v>1.5539</v>
      </c>
      <c r="F4253" s="15">
        <v>1.6971</v>
      </c>
      <c r="G4253" s="11">
        <v>-0.0001</v>
      </c>
      <c r="H4253" s="9">
        <f>MAX($F$3239:F4253)</f>
        <v>1.6983</v>
      </c>
      <c r="I4253" s="11">
        <f t="shared" si="96"/>
        <v>0.000706588941883024</v>
      </c>
      <c r="J4253" s="9"/>
      <c r="K4253" s="11"/>
      <c r="L4253" s="9"/>
      <c r="M4253" s="11"/>
      <c r="N4253" s="9" t="s">
        <v>809</v>
      </c>
    </row>
    <row r="4254" ht="25" customHeight="1" spans="1:14">
      <c r="A4254" s="9" t="s">
        <v>327</v>
      </c>
      <c r="B4254" s="9" t="s">
        <v>326</v>
      </c>
      <c r="C4254" s="10">
        <v>45020</v>
      </c>
      <c r="D4254" s="15">
        <v>1.0073</v>
      </c>
      <c r="E4254" s="15">
        <v>1.554</v>
      </c>
      <c r="F4254" s="15">
        <v>1.6973</v>
      </c>
      <c r="G4254" s="11">
        <v>0.0001</v>
      </c>
      <c r="H4254" s="9">
        <f>MAX($F$3239:F4254)</f>
        <v>1.6983</v>
      </c>
      <c r="I4254" s="11">
        <f t="shared" si="96"/>
        <v>0.000588824118235798</v>
      </c>
      <c r="J4254" s="9"/>
      <c r="K4254" s="11"/>
      <c r="L4254" s="9"/>
      <c r="M4254" s="11"/>
      <c r="N4254" s="9" t="s">
        <v>809</v>
      </c>
    </row>
    <row r="4255" ht="25" customHeight="1" spans="1:14">
      <c r="A4255" s="9" t="s">
        <v>327</v>
      </c>
      <c r="B4255" s="9" t="s">
        <v>326</v>
      </c>
      <c r="C4255" s="10">
        <v>45022</v>
      </c>
      <c r="D4255" s="15">
        <v>1.0073</v>
      </c>
      <c r="E4255" s="15">
        <v>1.554</v>
      </c>
      <c r="F4255" s="15">
        <v>1.6973</v>
      </c>
      <c r="G4255" s="11">
        <v>0</v>
      </c>
      <c r="H4255" s="9">
        <f>MAX($F$3239:F4255)</f>
        <v>1.6983</v>
      </c>
      <c r="I4255" s="11">
        <f t="shared" si="96"/>
        <v>0.000588824118235798</v>
      </c>
      <c r="J4255" s="9"/>
      <c r="K4255" s="11"/>
      <c r="L4255" s="9"/>
      <c r="M4255" s="11"/>
      <c r="N4255" s="9" t="s">
        <v>809</v>
      </c>
    </row>
    <row r="4256" ht="25" customHeight="1" spans="1:14">
      <c r="A4256" s="9" t="s">
        <v>327</v>
      </c>
      <c r="B4256" s="9" t="s">
        <v>326</v>
      </c>
      <c r="C4256" s="10">
        <v>45023</v>
      </c>
      <c r="D4256" s="15">
        <v>1.0072</v>
      </c>
      <c r="E4256" s="15">
        <v>1.5539</v>
      </c>
      <c r="F4256" s="15">
        <v>1.6971</v>
      </c>
      <c r="G4256" s="11">
        <v>-0.0001</v>
      </c>
      <c r="H4256" s="9">
        <f>MAX($F$3239:F4256)</f>
        <v>1.6983</v>
      </c>
      <c r="I4256" s="11">
        <f t="shared" si="96"/>
        <v>0.000706588941883024</v>
      </c>
      <c r="J4256" s="9"/>
      <c r="K4256" s="11"/>
      <c r="L4256" s="9"/>
      <c r="M4256" s="11"/>
      <c r="N4256" s="9" t="s">
        <v>809</v>
      </c>
    </row>
    <row r="4257" ht="25" customHeight="1" spans="1:14">
      <c r="A4257" s="9" t="s">
        <v>327</v>
      </c>
      <c r="B4257" s="9" t="s">
        <v>326</v>
      </c>
      <c r="C4257" s="10">
        <v>45026</v>
      </c>
      <c r="D4257" s="15">
        <v>1.0064</v>
      </c>
      <c r="E4257" s="15">
        <v>1.5531</v>
      </c>
      <c r="F4257" s="15">
        <v>1.6957</v>
      </c>
      <c r="G4257" s="11">
        <v>-0.0008</v>
      </c>
      <c r="H4257" s="9">
        <f>MAX($F$3239:F4257)</f>
        <v>1.6983</v>
      </c>
      <c r="I4257" s="11">
        <f t="shared" si="96"/>
        <v>0.00153094270741327</v>
      </c>
      <c r="J4257" s="9"/>
      <c r="K4257" s="11"/>
      <c r="L4257" s="9"/>
      <c r="M4257" s="11"/>
      <c r="N4257" s="9" t="s">
        <v>809</v>
      </c>
    </row>
    <row r="4258" ht="25" customHeight="1" spans="1:14">
      <c r="A4258" s="9" t="s">
        <v>327</v>
      </c>
      <c r="B4258" s="9" t="s">
        <v>326</v>
      </c>
      <c r="C4258" s="10">
        <v>45027</v>
      </c>
      <c r="D4258" s="15">
        <v>1.0065</v>
      </c>
      <c r="E4258" s="15">
        <v>1.5532</v>
      </c>
      <c r="F4258" s="15">
        <v>1.6959</v>
      </c>
      <c r="G4258" s="11">
        <v>0.0001</v>
      </c>
      <c r="H4258" s="9">
        <f>MAX($F$3239:F4258)</f>
        <v>1.6983</v>
      </c>
      <c r="I4258" s="11">
        <f t="shared" si="96"/>
        <v>0.00141317788376605</v>
      </c>
      <c r="J4258" s="9"/>
      <c r="K4258" s="11"/>
      <c r="L4258" s="9"/>
      <c r="M4258" s="11"/>
      <c r="N4258" s="9" t="s">
        <v>809</v>
      </c>
    </row>
    <row r="4259" ht="25" customHeight="1" spans="1:14">
      <c r="A4259" s="9" t="s">
        <v>327</v>
      </c>
      <c r="B4259" s="9" t="s">
        <v>326</v>
      </c>
      <c r="C4259" s="10">
        <v>45028</v>
      </c>
      <c r="D4259" s="15">
        <v>1.0058</v>
      </c>
      <c r="E4259" s="15">
        <v>1.5525</v>
      </c>
      <c r="F4259" s="15">
        <v>1.6947</v>
      </c>
      <c r="G4259" s="11">
        <v>-0.0007</v>
      </c>
      <c r="H4259" s="9">
        <f>MAX($F$3239:F4259)</f>
        <v>1.6983</v>
      </c>
      <c r="I4259" s="11">
        <f t="shared" si="96"/>
        <v>0.00211976682564907</v>
      </c>
      <c r="J4259" s="9"/>
      <c r="K4259" s="11"/>
      <c r="L4259" s="9"/>
      <c r="M4259" s="11"/>
      <c r="N4259" s="9" t="s">
        <v>809</v>
      </c>
    </row>
    <row r="4260" ht="25" customHeight="1" spans="1:14">
      <c r="A4260" s="9" t="s">
        <v>327</v>
      </c>
      <c r="B4260" s="9" t="s">
        <v>326</v>
      </c>
      <c r="C4260" s="10">
        <v>45029</v>
      </c>
      <c r="D4260" s="15">
        <v>1.0056</v>
      </c>
      <c r="E4260" s="15">
        <v>1.5523</v>
      </c>
      <c r="F4260" s="15">
        <v>1.6944</v>
      </c>
      <c r="G4260" s="11">
        <v>-0.0002</v>
      </c>
      <c r="H4260" s="9">
        <f>MAX($F$3239:F4260)</f>
        <v>1.6983</v>
      </c>
      <c r="I4260" s="11">
        <f t="shared" si="96"/>
        <v>0.00229641406111991</v>
      </c>
      <c r="J4260" s="9"/>
      <c r="K4260" s="11"/>
      <c r="L4260" s="9"/>
      <c r="M4260" s="11"/>
      <c r="N4260" s="9" t="s">
        <v>809</v>
      </c>
    </row>
    <row r="4261" ht="25" customHeight="1" spans="1:14">
      <c r="A4261" s="9" t="s">
        <v>327</v>
      </c>
      <c r="B4261" s="9" t="s">
        <v>326</v>
      </c>
      <c r="C4261" s="10">
        <v>45030</v>
      </c>
      <c r="D4261" s="15">
        <v>1.0059</v>
      </c>
      <c r="E4261" s="15">
        <v>1.5526</v>
      </c>
      <c r="F4261" s="15">
        <v>1.6949</v>
      </c>
      <c r="G4261" s="11">
        <v>0.0003</v>
      </c>
      <c r="H4261" s="9">
        <f>MAX($F$3239:F4261)</f>
        <v>1.6983</v>
      </c>
      <c r="I4261" s="11">
        <f t="shared" si="96"/>
        <v>0.00200200200200196</v>
      </c>
      <c r="J4261" s="9"/>
      <c r="K4261" s="11"/>
      <c r="L4261" s="9"/>
      <c r="M4261" s="11"/>
      <c r="N4261" s="9" t="s">
        <v>809</v>
      </c>
    </row>
    <row r="4262" ht="25" customHeight="1" spans="1:14">
      <c r="A4262" s="9" t="s">
        <v>327</v>
      </c>
      <c r="B4262" s="9" t="s">
        <v>326</v>
      </c>
      <c r="C4262" s="10">
        <v>45033</v>
      </c>
      <c r="D4262" s="15">
        <v>1.0065</v>
      </c>
      <c r="E4262" s="15">
        <v>1.5532</v>
      </c>
      <c r="F4262" s="15">
        <v>1.6959</v>
      </c>
      <c r="G4262" s="11">
        <v>0.0006</v>
      </c>
      <c r="H4262" s="9">
        <f>MAX($F$3239:F4262)</f>
        <v>1.6983</v>
      </c>
      <c r="I4262" s="11">
        <f t="shared" si="96"/>
        <v>0.00141317788376605</v>
      </c>
      <c r="J4262" s="9"/>
      <c r="K4262" s="11"/>
      <c r="L4262" s="9"/>
      <c r="M4262" s="11"/>
      <c r="N4262" s="9" t="s">
        <v>809</v>
      </c>
    </row>
    <row r="4263" ht="25" customHeight="1" spans="1:14">
      <c r="A4263" s="9" t="s">
        <v>327</v>
      </c>
      <c r="B4263" s="9" t="s">
        <v>326</v>
      </c>
      <c r="C4263" s="10">
        <v>45034</v>
      </c>
      <c r="D4263" s="15">
        <v>1.0058</v>
      </c>
      <c r="E4263" s="15">
        <v>1.5525</v>
      </c>
      <c r="F4263" s="15">
        <v>1.6947</v>
      </c>
      <c r="G4263" s="11">
        <v>-0.0007</v>
      </c>
      <c r="H4263" s="9">
        <f>MAX($F$3239:F4263)</f>
        <v>1.6983</v>
      </c>
      <c r="I4263" s="11">
        <f t="shared" si="96"/>
        <v>0.00211976682564907</v>
      </c>
      <c r="J4263" s="9"/>
      <c r="K4263" s="11"/>
      <c r="L4263" s="9"/>
      <c r="M4263" s="11"/>
      <c r="N4263" s="9" t="s">
        <v>809</v>
      </c>
    </row>
    <row r="4264" ht="25" customHeight="1" spans="1:14">
      <c r="A4264" s="9" t="s">
        <v>327</v>
      </c>
      <c r="B4264" s="9" t="s">
        <v>326</v>
      </c>
      <c r="C4264" s="10">
        <v>45035</v>
      </c>
      <c r="D4264" s="15">
        <v>1.0058</v>
      </c>
      <c r="E4264" s="15">
        <v>1.5525</v>
      </c>
      <c r="F4264" s="15">
        <v>1.6947</v>
      </c>
      <c r="G4264" s="11">
        <v>0</v>
      </c>
      <c r="H4264" s="9">
        <f>MAX($F$3239:F4264)</f>
        <v>1.6983</v>
      </c>
      <c r="I4264" s="11">
        <f t="shared" si="96"/>
        <v>0.00211976682564907</v>
      </c>
      <c r="J4264" s="9"/>
      <c r="K4264" s="11"/>
      <c r="L4264" s="9"/>
      <c r="M4264" s="11"/>
      <c r="N4264" s="9" t="s">
        <v>809</v>
      </c>
    </row>
    <row r="4265" ht="25" customHeight="1" spans="1:14">
      <c r="A4265" s="9" t="s">
        <v>327</v>
      </c>
      <c r="B4265" s="9" t="s">
        <v>326</v>
      </c>
      <c r="C4265" s="10">
        <v>45036</v>
      </c>
      <c r="D4265" s="15">
        <v>1.0058</v>
      </c>
      <c r="E4265" s="15">
        <v>1.5525</v>
      </c>
      <c r="F4265" s="15">
        <v>1.6947</v>
      </c>
      <c r="G4265" s="11">
        <v>0</v>
      </c>
      <c r="H4265" s="9">
        <f>MAX($F$3239:F4265)</f>
        <v>1.6983</v>
      </c>
      <c r="I4265" s="11">
        <f t="shared" si="96"/>
        <v>0.00211976682564907</v>
      </c>
      <c r="J4265" s="9"/>
      <c r="K4265" s="11"/>
      <c r="L4265" s="9"/>
      <c r="M4265" s="11"/>
      <c r="N4265" s="9" t="s">
        <v>809</v>
      </c>
    </row>
    <row r="4266" ht="25" customHeight="1" spans="1:14">
      <c r="A4266" s="9" t="s">
        <v>327</v>
      </c>
      <c r="B4266" s="9" t="s">
        <v>326</v>
      </c>
      <c r="C4266" s="10">
        <v>45037</v>
      </c>
      <c r="D4266" s="15">
        <v>1.0065</v>
      </c>
      <c r="E4266" s="15">
        <v>1.5532</v>
      </c>
      <c r="F4266" s="15">
        <v>1.6959</v>
      </c>
      <c r="G4266" s="11">
        <v>0.0007</v>
      </c>
      <c r="H4266" s="9">
        <f>MAX($F$3239:F4266)</f>
        <v>1.6983</v>
      </c>
      <c r="I4266" s="11">
        <f t="shared" si="96"/>
        <v>0.00141317788376605</v>
      </c>
      <c r="J4266" s="9"/>
      <c r="K4266" s="11"/>
      <c r="L4266" s="9"/>
      <c r="M4266" s="11"/>
      <c r="N4266" s="9" t="s">
        <v>809</v>
      </c>
    </row>
    <row r="4267" ht="25" customHeight="1" spans="1:14">
      <c r="A4267" s="9" t="s">
        <v>327</v>
      </c>
      <c r="B4267" s="9" t="s">
        <v>326</v>
      </c>
      <c r="C4267" s="10">
        <v>45040</v>
      </c>
      <c r="D4267" s="15">
        <v>1.0082</v>
      </c>
      <c r="E4267" s="15">
        <v>1.5549</v>
      </c>
      <c r="F4267" s="15">
        <v>1.6988</v>
      </c>
      <c r="G4267" s="11">
        <v>0.0017</v>
      </c>
      <c r="H4267" s="9">
        <f>MAX($F$3239:F4267)</f>
        <v>1.6988</v>
      </c>
      <c r="I4267" s="11">
        <f t="shared" si="96"/>
        <v>0</v>
      </c>
      <c r="J4267" s="9"/>
      <c r="K4267" s="11"/>
      <c r="L4267" s="9"/>
      <c r="M4267" s="11"/>
      <c r="N4267" s="9" t="s">
        <v>809</v>
      </c>
    </row>
    <row r="4268" ht="25" customHeight="1" spans="1:14">
      <c r="A4268" s="9" t="s">
        <v>327</v>
      </c>
      <c r="B4268" s="9" t="s">
        <v>326</v>
      </c>
      <c r="C4268" s="10">
        <v>45041</v>
      </c>
      <c r="D4268" s="15">
        <v>1.0104</v>
      </c>
      <c r="E4268" s="15">
        <v>1.5571</v>
      </c>
      <c r="F4268" s="15">
        <v>1.7025</v>
      </c>
      <c r="G4268" s="11">
        <v>0.0022</v>
      </c>
      <c r="H4268" s="9">
        <f>MAX($F$3239:F4268)</f>
        <v>1.7025</v>
      </c>
      <c r="I4268" s="11">
        <f t="shared" si="96"/>
        <v>0</v>
      </c>
      <c r="J4268" s="9"/>
      <c r="K4268" s="11"/>
      <c r="L4268" s="9"/>
      <c r="M4268" s="11"/>
      <c r="N4268" s="9" t="s">
        <v>809</v>
      </c>
    </row>
    <row r="4269" ht="25" customHeight="1" spans="1:14">
      <c r="A4269" s="9" t="s">
        <v>327</v>
      </c>
      <c r="B4269" s="9" t="s">
        <v>326</v>
      </c>
      <c r="C4269" s="10">
        <v>45042</v>
      </c>
      <c r="D4269" s="15">
        <v>1.01</v>
      </c>
      <c r="E4269" s="15">
        <v>1.5567</v>
      </c>
      <c r="F4269" s="15">
        <v>1.7018</v>
      </c>
      <c r="G4269" s="11">
        <v>-0.0004</v>
      </c>
      <c r="H4269" s="9">
        <f>MAX($F$3239:F4269)</f>
        <v>1.7025</v>
      </c>
      <c r="I4269" s="11">
        <f t="shared" si="96"/>
        <v>0.000411160058737092</v>
      </c>
      <c r="J4269" s="9"/>
      <c r="K4269" s="11"/>
      <c r="L4269" s="9"/>
      <c r="M4269" s="11"/>
      <c r="N4269" s="9" t="s">
        <v>809</v>
      </c>
    </row>
    <row r="4270" ht="25" customHeight="1" spans="1:14">
      <c r="A4270" s="9" t="s">
        <v>327</v>
      </c>
      <c r="B4270" s="9" t="s">
        <v>326</v>
      </c>
      <c r="C4270" s="10">
        <v>45043</v>
      </c>
      <c r="D4270" s="15">
        <v>1.0098</v>
      </c>
      <c r="E4270" s="15">
        <v>1.5565</v>
      </c>
      <c r="F4270" s="15">
        <v>1.7015</v>
      </c>
      <c r="G4270" s="11">
        <v>-0.0002</v>
      </c>
      <c r="H4270" s="9">
        <f>MAX($F$3239:F4270)</f>
        <v>1.7025</v>
      </c>
      <c r="I4270" s="11">
        <f t="shared" si="96"/>
        <v>0.00058737151248156</v>
      </c>
      <c r="J4270" s="9"/>
      <c r="K4270" s="11"/>
      <c r="L4270" s="9"/>
      <c r="M4270" s="11"/>
      <c r="N4270" s="9" t="s">
        <v>809</v>
      </c>
    </row>
    <row r="4271" ht="25" customHeight="1" spans="1:14">
      <c r="A4271" s="9" t="s">
        <v>327</v>
      </c>
      <c r="B4271" s="9" t="s">
        <v>326</v>
      </c>
      <c r="C4271" s="10">
        <v>45044</v>
      </c>
      <c r="D4271" s="15">
        <v>1.0096</v>
      </c>
      <c r="E4271" s="15">
        <v>1.5563</v>
      </c>
      <c r="F4271" s="15">
        <v>1.7011</v>
      </c>
      <c r="G4271" s="11">
        <v>-0.0002</v>
      </c>
      <c r="H4271" s="9">
        <f>MAX($F$3239:F4271)</f>
        <v>1.7025</v>
      </c>
      <c r="I4271" s="11">
        <f t="shared" si="96"/>
        <v>0.000822320117474185</v>
      </c>
      <c r="J4271" s="9"/>
      <c r="K4271" s="11"/>
      <c r="L4271" s="9"/>
      <c r="M4271" s="11"/>
      <c r="N4271" s="9" t="s">
        <v>809</v>
      </c>
    </row>
    <row r="4272" ht="25" customHeight="1" spans="1:14">
      <c r="A4272" s="9" t="s">
        <v>327</v>
      </c>
      <c r="B4272" s="9" t="s">
        <v>326</v>
      </c>
      <c r="C4272" s="10">
        <v>45050</v>
      </c>
      <c r="D4272" s="15">
        <v>1.0091</v>
      </c>
      <c r="E4272" s="15">
        <v>1.5558</v>
      </c>
      <c r="F4272" s="15">
        <v>1.7003</v>
      </c>
      <c r="G4272" s="11">
        <v>-0.0005</v>
      </c>
      <c r="H4272" s="9">
        <f>MAX($F$3239:F4272)</f>
        <v>1.7025</v>
      </c>
      <c r="I4272" s="11">
        <f t="shared" si="96"/>
        <v>0.00129221732745965</v>
      </c>
      <c r="J4272" s="9"/>
      <c r="K4272" s="11"/>
      <c r="L4272" s="9"/>
      <c r="M4272" s="11"/>
      <c r="N4272" s="9" t="s">
        <v>809</v>
      </c>
    </row>
    <row r="4273" ht="25" customHeight="1" spans="1:14">
      <c r="A4273" s="9" t="s">
        <v>327</v>
      </c>
      <c r="B4273" s="9" t="s">
        <v>326</v>
      </c>
      <c r="C4273" s="10">
        <v>45051</v>
      </c>
      <c r="D4273" s="15">
        <v>1.0088</v>
      </c>
      <c r="E4273" s="15">
        <v>1.5555</v>
      </c>
      <c r="F4273" s="15">
        <v>1.6998</v>
      </c>
      <c r="G4273" s="11">
        <v>-0.0003</v>
      </c>
      <c r="H4273" s="9">
        <f>MAX($F$3239:F4273)</f>
        <v>1.7025</v>
      </c>
      <c r="I4273" s="11">
        <f t="shared" si="96"/>
        <v>0.00158590308370044</v>
      </c>
      <c r="J4273" s="9"/>
      <c r="K4273" s="11"/>
      <c r="L4273" s="9"/>
      <c r="M4273" s="11"/>
      <c r="N4273" s="9" t="s">
        <v>809</v>
      </c>
    </row>
    <row r="4274" ht="25" customHeight="1" spans="1:14">
      <c r="A4274" s="9" t="s">
        <v>327</v>
      </c>
      <c r="B4274" s="9" t="s">
        <v>326</v>
      </c>
      <c r="C4274" s="10">
        <v>45054</v>
      </c>
      <c r="D4274" s="15">
        <v>1.009</v>
      </c>
      <c r="E4274" s="15">
        <v>1.5557</v>
      </c>
      <c r="F4274" s="15">
        <v>1.7001</v>
      </c>
      <c r="G4274" s="11">
        <v>0.0002</v>
      </c>
      <c r="H4274" s="9">
        <f>MAX($F$3239:F4274)</f>
        <v>1.7025</v>
      </c>
      <c r="I4274" s="11">
        <f t="shared" si="96"/>
        <v>0.00140969162995597</v>
      </c>
      <c r="J4274" s="9"/>
      <c r="K4274" s="11"/>
      <c r="L4274" s="9"/>
      <c r="M4274" s="11"/>
      <c r="N4274" s="9" t="s">
        <v>809</v>
      </c>
    </row>
    <row r="4275" ht="25" customHeight="1" spans="1:14">
      <c r="A4275" s="9" t="s">
        <v>327</v>
      </c>
      <c r="B4275" s="9" t="s">
        <v>326</v>
      </c>
      <c r="C4275" s="10">
        <v>45055</v>
      </c>
      <c r="D4275" s="15">
        <v>1.0088</v>
      </c>
      <c r="E4275" s="15">
        <v>1.5555</v>
      </c>
      <c r="F4275" s="15">
        <v>1.6998</v>
      </c>
      <c r="G4275" s="11">
        <v>-0.0002</v>
      </c>
      <c r="H4275" s="9">
        <f>MAX($F$3239:F4275)</f>
        <v>1.7025</v>
      </c>
      <c r="I4275" s="11">
        <f t="shared" si="96"/>
        <v>0.00158590308370044</v>
      </c>
      <c r="J4275" s="9"/>
      <c r="K4275" s="11"/>
      <c r="L4275" s="9"/>
      <c r="M4275" s="11"/>
      <c r="N4275" s="9" t="s">
        <v>809</v>
      </c>
    </row>
    <row r="4276" ht="25" customHeight="1" spans="1:14">
      <c r="A4276" s="9" t="s">
        <v>327</v>
      </c>
      <c r="B4276" s="9" t="s">
        <v>326</v>
      </c>
      <c r="C4276" s="10">
        <v>45056</v>
      </c>
      <c r="D4276" s="15">
        <v>1.0095</v>
      </c>
      <c r="E4276" s="15">
        <v>1.5562</v>
      </c>
      <c r="F4276" s="15">
        <v>1.701</v>
      </c>
      <c r="G4276" s="11">
        <v>0.0007</v>
      </c>
      <c r="H4276" s="9">
        <f>MAX($F$3239:F4276)</f>
        <v>1.7025</v>
      </c>
      <c r="I4276" s="11">
        <f t="shared" si="96"/>
        <v>0.000881057268722341</v>
      </c>
      <c r="J4276" s="9"/>
      <c r="K4276" s="11"/>
      <c r="L4276" s="9"/>
      <c r="M4276" s="11"/>
      <c r="N4276" s="9" t="s">
        <v>809</v>
      </c>
    </row>
    <row r="4277" ht="25" customHeight="1" spans="1:14">
      <c r="A4277" s="9" t="s">
        <v>327</v>
      </c>
      <c r="B4277" s="9" t="s">
        <v>326</v>
      </c>
      <c r="C4277" s="10">
        <v>45057</v>
      </c>
      <c r="D4277" s="15">
        <v>1.0098</v>
      </c>
      <c r="E4277" s="15">
        <v>1.5565</v>
      </c>
      <c r="F4277" s="15">
        <v>1.7015</v>
      </c>
      <c r="G4277" s="11">
        <v>0.0003</v>
      </c>
      <c r="H4277" s="9">
        <f>MAX($F$3239:F4277)</f>
        <v>1.7025</v>
      </c>
      <c r="I4277" s="11">
        <f t="shared" si="96"/>
        <v>0.00058737151248156</v>
      </c>
      <c r="J4277" s="9"/>
      <c r="K4277" s="11"/>
      <c r="L4277" s="9"/>
      <c r="M4277" s="11"/>
      <c r="N4277" s="9" t="s">
        <v>809</v>
      </c>
    </row>
    <row r="4278" ht="25" customHeight="1" spans="1:14">
      <c r="A4278" s="9" t="s">
        <v>327</v>
      </c>
      <c r="B4278" s="9" t="s">
        <v>326</v>
      </c>
      <c r="C4278" s="10">
        <v>45058</v>
      </c>
      <c r="D4278" s="15">
        <v>1.01</v>
      </c>
      <c r="E4278" s="15">
        <v>1.5567</v>
      </c>
      <c r="F4278" s="15">
        <v>1.7018</v>
      </c>
      <c r="G4278" s="11">
        <v>0.0002</v>
      </c>
      <c r="H4278" s="9">
        <f>MAX($F$3239:F4278)</f>
        <v>1.7025</v>
      </c>
      <c r="I4278" s="11">
        <f t="shared" si="96"/>
        <v>0.000411160058737092</v>
      </c>
      <c r="J4278" s="9"/>
      <c r="K4278" s="11"/>
      <c r="L4278" s="9"/>
      <c r="M4278" s="11"/>
      <c r="N4278" s="9" t="s">
        <v>809</v>
      </c>
    </row>
    <row r="4279" ht="25" customHeight="1" spans="1:14">
      <c r="A4279" s="9" t="s">
        <v>327</v>
      </c>
      <c r="B4279" s="9" t="s">
        <v>326</v>
      </c>
      <c r="C4279" s="10">
        <v>45061</v>
      </c>
      <c r="D4279" s="15">
        <v>1.0111</v>
      </c>
      <c r="E4279" s="15">
        <v>1.5578</v>
      </c>
      <c r="F4279" s="15">
        <v>1.7037</v>
      </c>
      <c r="G4279" s="11">
        <v>0.0011</v>
      </c>
      <c r="H4279" s="9">
        <f>MAX($F$3239:F4279)</f>
        <v>1.7037</v>
      </c>
      <c r="I4279" s="11">
        <f t="shared" si="96"/>
        <v>0</v>
      </c>
      <c r="J4279" s="9"/>
      <c r="K4279" s="11"/>
      <c r="L4279" s="9"/>
      <c r="M4279" s="11"/>
      <c r="N4279" s="9" t="s">
        <v>809</v>
      </c>
    </row>
    <row r="4280" ht="25" customHeight="1" spans="1:14">
      <c r="A4280" s="9" t="s">
        <v>327</v>
      </c>
      <c r="B4280" s="9" t="s">
        <v>326</v>
      </c>
      <c r="C4280" s="10">
        <v>45062</v>
      </c>
      <c r="D4280" s="15">
        <v>1.0104</v>
      </c>
      <c r="E4280" s="15">
        <v>1.5571</v>
      </c>
      <c r="F4280" s="15">
        <v>1.7025</v>
      </c>
      <c r="G4280" s="11">
        <v>-0.0007</v>
      </c>
      <c r="H4280" s="9">
        <f>MAX($F$3239:F4280)</f>
        <v>1.7037</v>
      </c>
      <c r="I4280" s="11">
        <f t="shared" si="96"/>
        <v>0.000704349357281253</v>
      </c>
      <c r="J4280" s="9"/>
      <c r="K4280" s="11"/>
      <c r="L4280" s="9"/>
      <c r="M4280" s="11"/>
      <c r="N4280" s="9" t="s">
        <v>809</v>
      </c>
    </row>
    <row r="4281" ht="25" customHeight="1" spans="1:14">
      <c r="A4281" s="9" t="s">
        <v>327</v>
      </c>
      <c r="B4281" s="9" t="s">
        <v>326</v>
      </c>
      <c r="C4281" s="10">
        <v>45063</v>
      </c>
      <c r="D4281" s="15">
        <v>1.0103</v>
      </c>
      <c r="E4281" s="15">
        <v>1.557</v>
      </c>
      <c r="F4281" s="15">
        <v>1.7023</v>
      </c>
      <c r="G4281" s="11">
        <v>-0.0001</v>
      </c>
      <c r="H4281" s="9">
        <f>MAX($F$3239:F4281)</f>
        <v>1.7037</v>
      </c>
      <c r="I4281" s="11">
        <f t="shared" si="96"/>
        <v>0.000821740916828073</v>
      </c>
      <c r="J4281" s="9"/>
      <c r="K4281" s="11"/>
      <c r="L4281" s="9"/>
      <c r="M4281" s="11"/>
      <c r="N4281" s="9" t="s">
        <v>809</v>
      </c>
    </row>
    <row r="4282" ht="25" customHeight="1" spans="1:14">
      <c r="A4282" s="9" t="s">
        <v>327</v>
      </c>
      <c r="B4282" s="9" t="s">
        <v>326</v>
      </c>
      <c r="C4282" s="10">
        <v>45064</v>
      </c>
      <c r="D4282" s="15">
        <v>1.01</v>
      </c>
      <c r="E4282" s="15">
        <v>1.5567</v>
      </c>
      <c r="F4282" s="15">
        <v>1.7018</v>
      </c>
      <c r="G4282" s="11">
        <v>-0.0003</v>
      </c>
      <c r="H4282" s="9">
        <f>MAX($F$3239:F4282)</f>
        <v>1.7037</v>
      </c>
      <c r="I4282" s="11">
        <f t="shared" si="96"/>
        <v>0.00111521981569529</v>
      </c>
      <c r="J4282" s="9"/>
      <c r="K4282" s="11"/>
      <c r="L4282" s="9"/>
      <c r="M4282" s="11"/>
      <c r="N4282" s="9" t="s">
        <v>809</v>
      </c>
    </row>
    <row r="4283" ht="25" customHeight="1" spans="1:14">
      <c r="A4283" s="9" t="s">
        <v>327</v>
      </c>
      <c r="B4283" s="9" t="s">
        <v>326</v>
      </c>
      <c r="C4283" s="10">
        <v>45065</v>
      </c>
      <c r="D4283" s="15">
        <v>1.0102</v>
      </c>
      <c r="E4283" s="15">
        <v>1.5569</v>
      </c>
      <c r="F4283" s="15">
        <v>1.7021</v>
      </c>
      <c r="G4283" s="11">
        <v>0.0002</v>
      </c>
      <c r="H4283" s="9">
        <f>MAX($F$3239:F4283)</f>
        <v>1.7037</v>
      </c>
      <c r="I4283" s="11">
        <f t="shared" si="96"/>
        <v>0.000939132476375004</v>
      </c>
      <c r="J4283" s="9"/>
      <c r="K4283" s="11"/>
      <c r="L4283" s="9"/>
      <c r="M4283" s="11"/>
      <c r="N4283" s="9" t="s">
        <v>809</v>
      </c>
    </row>
    <row r="4284" ht="25" customHeight="1" spans="1:14">
      <c r="A4284" s="9" t="s">
        <v>327</v>
      </c>
      <c r="B4284" s="9" t="s">
        <v>326</v>
      </c>
      <c r="C4284" s="10">
        <v>45068</v>
      </c>
      <c r="D4284" s="15">
        <v>1.0102</v>
      </c>
      <c r="E4284" s="15">
        <v>1.5569</v>
      </c>
      <c r="F4284" s="15">
        <v>1.7021</v>
      </c>
      <c r="G4284" s="11">
        <v>0</v>
      </c>
      <c r="H4284" s="9">
        <f>MAX($F$3239:F4284)</f>
        <v>1.7037</v>
      </c>
      <c r="I4284" s="11">
        <f t="shared" si="96"/>
        <v>0.000939132476375004</v>
      </c>
      <c r="J4284" s="9"/>
      <c r="K4284" s="11"/>
      <c r="L4284" s="9"/>
      <c r="M4284" s="11"/>
      <c r="N4284" s="9" t="s">
        <v>809</v>
      </c>
    </row>
    <row r="4285" ht="25" customHeight="1" spans="1:14">
      <c r="A4285" s="9" t="s">
        <v>327</v>
      </c>
      <c r="B4285" s="9" t="s">
        <v>326</v>
      </c>
      <c r="C4285" s="10">
        <v>45069</v>
      </c>
      <c r="D4285" s="15">
        <v>1.0103</v>
      </c>
      <c r="E4285" s="15">
        <v>1.557</v>
      </c>
      <c r="F4285" s="15">
        <v>1.7023</v>
      </c>
      <c r="G4285" s="11">
        <v>0.0001</v>
      </c>
      <c r="H4285" s="9">
        <f>MAX($F$3239:F4285)</f>
        <v>1.7037</v>
      </c>
      <c r="I4285" s="11">
        <f t="shared" si="96"/>
        <v>0.000821740916828073</v>
      </c>
      <c r="J4285" s="9"/>
      <c r="K4285" s="11"/>
      <c r="L4285" s="9"/>
      <c r="M4285" s="11"/>
      <c r="N4285" s="9" t="s">
        <v>809</v>
      </c>
    </row>
    <row r="4286" ht="25" customHeight="1" spans="1:14">
      <c r="A4286" s="9" t="s">
        <v>327</v>
      </c>
      <c r="B4286" s="9" t="s">
        <v>326</v>
      </c>
      <c r="C4286" s="10">
        <v>45070</v>
      </c>
      <c r="D4286" s="15">
        <v>1.0119</v>
      </c>
      <c r="E4286" s="15">
        <v>1.5586</v>
      </c>
      <c r="F4286" s="15">
        <v>1.705</v>
      </c>
      <c r="G4286" s="11">
        <v>0.0016</v>
      </c>
      <c r="H4286" s="9">
        <f>MAX($F$3239:F4286)</f>
        <v>1.705</v>
      </c>
      <c r="I4286" s="11">
        <f t="shared" si="96"/>
        <v>0</v>
      </c>
      <c r="J4286" s="9"/>
      <c r="K4286" s="11"/>
      <c r="L4286" s="9"/>
      <c r="M4286" s="11"/>
      <c r="N4286" s="9" t="s">
        <v>809</v>
      </c>
    </row>
    <row r="4287" ht="25" customHeight="1" spans="1:14">
      <c r="A4287" s="9" t="s">
        <v>327</v>
      </c>
      <c r="B4287" s="9" t="s">
        <v>326</v>
      </c>
      <c r="C4287" s="10">
        <v>45071</v>
      </c>
      <c r="D4287" s="15">
        <v>1.0123</v>
      </c>
      <c r="E4287" s="15">
        <v>1.559</v>
      </c>
      <c r="F4287" s="15">
        <v>1.7057</v>
      </c>
      <c r="G4287" s="11">
        <v>0.0004</v>
      </c>
      <c r="H4287" s="9">
        <f>MAX($F$3239:F4287)</f>
        <v>1.7057</v>
      </c>
      <c r="I4287" s="11">
        <f t="shared" si="96"/>
        <v>0</v>
      </c>
      <c r="J4287" s="9"/>
      <c r="K4287" s="11"/>
      <c r="L4287" s="9"/>
      <c r="M4287" s="11"/>
      <c r="N4287" s="9" t="s">
        <v>809</v>
      </c>
    </row>
    <row r="4288" ht="25" customHeight="1" spans="1:14">
      <c r="A4288" s="9" t="s">
        <v>327</v>
      </c>
      <c r="B4288" s="9" t="s">
        <v>326</v>
      </c>
      <c r="C4288" s="10">
        <v>45072</v>
      </c>
      <c r="D4288" s="15">
        <v>1.0124</v>
      </c>
      <c r="E4288" s="15">
        <v>1.5591</v>
      </c>
      <c r="F4288" s="15">
        <v>1.7059</v>
      </c>
      <c r="G4288" s="11">
        <v>0.0001</v>
      </c>
      <c r="H4288" s="9">
        <f>MAX($F$3239:F4288)</f>
        <v>1.7059</v>
      </c>
      <c r="I4288" s="11">
        <f t="shared" si="96"/>
        <v>0</v>
      </c>
      <c r="J4288" s="9"/>
      <c r="K4288" s="11"/>
      <c r="L4288" s="9"/>
      <c r="M4288" s="11"/>
      <c r="N4288" s="9" t="s">
        <v>809</v>
      </c>
    </row>
    <row r="4289" ht="25" customHeight="1" spans="1:14">
      <c r="A4289" s="9" t="s">
        <v>327</v>
      </c>
      <c r="B4289" s="9" t="s">
        <v>326</v>
      </c>
      <c r="C4289" s="10">
        <v>45075</v>
      </c>
      <c r="D4289" s="15">
        <v>1.0124</v>
      </c>
      <c r="E4289" s="15">
        <v>1.5591</v>
      </c>
      <c r="F4289" s="15">
        <v>1.7059</v>
      </c>
      <c r="G4289" s="11">
        <v>0</v>
      </c>
      <c r="H4289" s="9">
        <f>MAX($F$3239:F4289)</f>
        <v>1.7059</v>
      </c>
      <c r="I4289" s="11">
        <f t="shared" si="96"/>
        <v>0</v>
      </c>
      <c r="J4289" s="9"/>
      <c r="K4289" s="11"/>
      <c r="L4289" s="9"/>
      <c r="M4289" s="11"/>
      <c r="N4289" s="9" t="s">
        <v>809</v>
      </c>
    </row>
    <row r="4290" ht="25" customHeight="1" spans="1:14">
      <c r="A4290" s="9" t="s">
        <v>327</v>
      </c>
      <c r="B4290" s="9" t="s">
        <v>326</v>
      </c>
      <c r="C4290" s="10">
        <v>45076</v>
      </c>
      <c r="D4290" s="15">
        <v>1.0127</v>
      </c>
      <c r="E4290" s="15">
        <v>1.5594</v>
      </c>
      <c r="F4290" s="15">
        <v>1.7064</v>
      </c>
      <c r="G4290" s="11">
        <v>0.0003</v>
      </c>
      <c r="H4290" s="9">
        <f>MAX($F$3239:F4290)</f>
        <v>1.7064</v>
      </c>
      <c r="I4290" s="11">
        <f t="shared" ref="I4290:I4353" si="97">1-F4290/H4290</f>
        <v>0</v>
      </c>
      <c r="J4290" s="9"/>
      <c r="K4290" s="11"/>
      <c r="L4290" s="9"/>
      <c r="M4290" s="11"/>
      <c r="N4290" s="9" t="s">
        <v>809</v>
      </c>
    </row>
    <row r="4291" ht="25" customHeight="1" spans="1:14">
      <c r="A4291" s="9" t="s">
        <v>327</v>
      </c>
      <c r="B4291" s="9" t="s">
        <v>326</v>
      </c>
      <c r="C4291" s="10">
        <v>45077</v>
      </c>
      <c r="D4291" s="15">
        <v>1.0124</v>
      </c>
      <c r="E4291" s="15">
        <v>1.5591</v>
      </c>
      <c r="F4291" s="15">
        <v>1.7059</v>
      </c>
      <c r="G4291" s="11">
        <v>-0.0003</v>
      </c>
      <c r="H4291" s="9">
        <f>MAX($F$3239:F4291)</f>
        <v>1.7064</v>
      </c>
      <c r="I4291" s="11">
        <f t="shared" si="97"/>
        <v>0.000293014533520819</v>
      </c>
      <c r="J4291" s="9"/>
      <c r="K4291" s="11"/>
      <c r="L4291" s="9"/>
      <c r="M4291" s="11"/>
      <c r="N4291" s="9" t="s">
        <v>809</v>
      </c>
    </row>
    <row r="4292" ht="25" customHeight="1" spans="1:14">
      <c r="A4292" s="9" t="s">
        <v>327</v>
      </c>
      <c r="B4292" s="9" t="s">
        <v>326</v>
      </c>
      <c r="C4292" s="10">
        <v>45078</v>
      </c>
      <c r="D4292" s="15">
        <v>1.0126</v>
      </c>
      <c r="E4292" s="15">
        <v>1.5593</v>
      </c>
      <c r="F4292" s="15">
        <v>1.7062</v>
      </c>
      <c r="G4292" s="11">
        <v>0.0002</v>
      </c>
      <c r="H4292" s="9">
        <f>MAX($F$3239:F4292)</f>
        <v>1.7064</v>
      </c>
      <c r="I4292" s="11">
        <f t="shared" si="97"/>
        <v>0.00011720581340835</v>
      </c>
      <c r="J4292" s="9"/>
      <c r="K4292" s="11"/>
      <c r="L4292" s="9"/>
      <c r="M4292" s="11"/>
      <c r="N4292" s="9" t="s">
        <v>809</v>
      </c>
    </row>
    <row r="4293" ht="25" customHeight="1" spans="1:14">
      <c r="A4293" s="9" t="s">
        <v>327</v>
      </c>
      <c r="B4293" s="9" t="s">
        <v>326</v>
      </c>
      <c r="C4293" s="10">
        <v>45079</v>
      </c>
      <c r="D4293" s="15">
        <v>1.0121</v>
      </c>
      <c r="E4293" s="15">
        <v>1.5588</v>
      </c>
      <c r="F4293" s="15">
        <v>1.7054</v>
      </c>
      <c r="G4293" s="11">
        <v>-0.0005</v>
      </c>
      <c r="H4293" s="9">
        <f>MAX($F$3239:F4293)</f>
        <v>1.7064</v>
      </c>
      <c r="I4293" s="11">
        <f t="shared" si="97"/>
        <v>0.000586029067041638</v>
      </c>
      <c r="J4293" s="9"/>
      <c r="K4293" s="11"/>
      <c r="L4293" s="9"/>
      <c r="M4293" s="11"/>
      <c r="N4293" s="9" t="s">
        <v>809</v>
      </c>
    </row>
    <row r="4294" ht="25" customHeight="1" spans="1:14">
      <c r="A4294" s="9" t="s">
        <v>327</v>
      </c>
      <c r="B4294" s="9" t="s">
        <v>326</v>
      </c>
      <c r="C4294" s="10">
        <v>45082</v>
      </c>
      <c r="D4294" s="15">
        <v>1.0121</v>
      </c>
      <c r="E4294" s="15">
        <v>1.5588</v>
      </c>
      <c r="F4294" s="15">
        <v>1.7054</v>
      </c>
      <c r="G4294" s="11">
        <v>0</v>
      </c>
      <c r="H4294" s="9">
        <f>MAX($F$3239:F4294)</f>
        <v>1.7064</v>
      </c>
      <c r="I4294" s="11">
        <f t="shared" si="97"/>
        <v>0.000586029067041638</v>
      </c>
      <c r="J4294" s="9"/>
      <c r="K4294" s="11"/>
      <c r="L4294" s="9"/>
      <c r="M4294" s="11"/>
      <c r="N4294" s="9" t="s">
        <v>809</v>
      </c>
    </row>
    <row r="4295" ht="25" customHeight="1" spans="1:14">
      <c r="A4295" s="9" t="s">
        <v>327</v>
      </c>
      <c r="B4295" s="9" t="s">
        <v>326</v>
      </c>
      <c r="C4295" s="10">
        <v>45083</v>
      </c>
      <c r="D4295" s="15">
        <v>1.0122</v>
      </c>
      <c r="E4295" s="15">
        <v>1.5589</v>
      </c>
      <c r="F4295" s="15">
        <v>1.7055</v>
      </c>
      <c r="G4295" s="11">
        <v>0.0001</v>
      </c>
      <c r="H4295" s="9">
        <f>MAX($F$3239:F4295)</f>
        <v>1.7064</v>
      </c>
      <c r="I4295" s="11">
        <f t="shared" si="97"/>
        <v>0.000527426160337519</v>
      </c>
      <c r="J4295" s="9"/>
      <c r="K4295" s="11"/>
      <c r="L4295" s="9"/>
      <c r="M4295" s="11"/>
      <c r="N4295" s="9" t="s">
        <v>809</v>
      </c>
    </row>
    <row r="4296" ht="25" customHeight="1" spans="1:14">
      <c r="A4296" s="9" t="s">
        <v>327</v>
      </c>
      <c r="B4296" s="9" t="s">
        <v>326</v>
      </c>
      <c r="C4296" s="10">
        <v>45084</v>
      </c>
      <c r="D4296" s="15">
        <v>1.0124</v>
      </c>
      <c r="E4296" s="15">
        <v>1.5591</v>
      </c>
      <c r="F4296" s="15">
        <v>1.7059</v>
      </c>
      <c r="G4296" s="11">
        <v>0.0002</v>
      </c>
      <c r="H4296" s="9">
        <f>MAX($F$3239:F4296)</f>
        <v>1.7064</v>
      </c>
      <c r="I4296" s="11">
        <f t="shared" si="97"/>
        <v>0.000293014533520819</v>
      </c>
      <c r="J4296" s="9"/>
      <c r="K4296" s="11"/>
      <c r="L4296" s="9"/>
      <c r="M4296" s="11"/>
      <c r="N4296" s="9" t="s">
        <v>809</v>
      </c>
    </row>
    <row r="4297" ht="25" customHeight="1" spans="1:14">
      <c r="A4297" s="9" t="s">
        <v>327</v>
      </c>
      <c r="B4297" s="9" t="s">
        <v>326</v>
      </c>
      <c r="C4297" s="10">
        <v>45085</v>
      </c>
      <c r="D4297" s="15">
        <v>1.0123</v>
      </c>
      <c r="E4297" s="15">
        <v>1.559</v>
      </c>
      <c r="F4297" s="15">
        <v>1.7057</v>
      </c>
      <c r="G4297" s="11">
        <v>-0.0001</v>
      </c>
      <c r="H4297" s="9">
        <f>MAX($F$3239:F4297)</f>
        <v>1.7064</v>
      </c>
      <c r="I4297" s="11">
        <f t="shared" si="97"/>
        <v>0.000410220346929169</v>
      </c>
      <c r="J4297" s="9"/>
      <c r="K4297" s="11"/>
      <c r="L4297" s="9"/>
      <c r="M4297" s="11"/>
      <c r="N4297" s="9" t="s">
        <v>809</v>
      </c>
    </row>
    <row r="4298" ht="25" customHeight="1" spans="1:14">
      <c r="A4298" s="9" t="s">
        <v>327</v>
      </c>
      <c r="B4298" s="9" t="s">
        <v>326</v>
      </c>
      <c r="C4298" s="10">
        <v>45086</v>
      </c>
      <c r="D4298" s="15">
        <v>1.0128</v>
      </c>
      <c r="E4298" s="15">
        <v>1.5595</v>
      </c>
      <c r="F4298" s="15">
        <v>1.7065</v>
      </c>
      <c r="G4298" s="11">
        <v>0.0005</v>
      </c>
      <c r="H4298" s="9">
        <f>MAX($F$3239:F4298)</f>
        <v>1.7065</v>
      </c>
      <c r="I4298" s="11">
        <f t="shared" si="97"/>
        <v>0</v>
      </c>
      <c r="J4298" s="9"/>
      <c r="K4298" s="11"/>
      <c r="L4298" s="9"/>
      <c r="M4298" s="11"/>
      <c r="N4298" s="9" t="s">
        <v>809</v>
      </c>
    </row>
    <row r="4299" ht="25" customHeight="1" spans="1:14">
      <c r="A4299" s="9" t="s">
        <v>327</v>
      </c>
      <c r="B4299" s="9" t="s">
        <v>326</v>
      </c>
      <c r="C4299" s="10">
        <v>45089</v>
      </c>
      <c r="D4299" s="15">
        <v>1.0117</v>
      </c>
      <c r="E4299" s="15">
        <v>1.5584</v>
      </c>
      <c r="F4299" s="15">
        <v>1.7047</v>
      </c>
      <c r="G4299" s="11">
        <v>-0.0011</v>
      </c>
      <c r="H4299" s="9">
        <f>MAX($F$3239:F4299)</f>
        <v>1.7065</v>
      </c>
      <c r="I4299" s="11">
        <f t="shared" si="97"/>
        <v>0.00105479050688528</v>
      </c>
      <c r="J4299" s="9"/>
      <c r="K4299" s="11"/>
      <c r="L4299" s="9"/>
      <c r="M4299" s="11"/>
      <c r="N4299" s="9" t="s">
        <v>809</v>
      </c>
    </row>
    <row r="4300" ht="25" customHeight="1" spans="1:14">
      <c r="A4300" s="9" t="s">
        <v>327</v>
      </c>
      <c r="B4300" s="9" t="s">
        <v>326</v>
      </c>
      <c r="C4300" s="10">
        <v>45090</v>
      </c>
      <c r="D4300" s="15">
        <v>1.0116</v>
      </c>
      <c r="E4300" s="15">
        <v>1.5583</v>
      </c>
      <c r="F4300" s="15">
        <v>1.7045</v>
      </c>
      <c r="G4300" s="11">
        <v>-0.0001</v>
      </c>
      <c r="H4300" s="9">
        <f>MAX($F$3239:F4300)</f>
        <v>1.7065</v>
      </c>
      <c r="I4300" s="11">
        <f t="shared" si="97"/>
        <v>0.00117198945209496</v>
      </c>
      <c r="J4300" s="9"/>
      <c r="K4300" s="11"/>
      <c r="L4300" s="9"/>
      <c r="M4300" s="11"/>
      <c r="N4300" s="9" t="s">
        <v>809</v>
      </c>
    </row>
    <row r="4301" ht="25" customHeight="1" spans="1:14">
      <c r="A4301" s="9" t="s">
        <v>327</v>
      </c>
      <c r="B4301" s="9" t="s">
        <v>326</v>
      </c>
      <c r="C4301" s="10">
        <v>45091</v>
      </c>
      <c r="D4301" s="15">
        <v>1.0122</v>
      </c>
      <c r="E4301" s="15">
        <v>1.5589</v>
      </c>
      <c r="F4301" s="15">
        <v>1.7055</v>
      </c>
      <c r="G4301" s="11">
        <v>0.0006</v>
      </c>
      <c r="H4301" s="9">
        <f>MAX($F$3239:F4301)</f>
        <v>1.7065</v>
      </c>
      <c r="I4301" s="11">
        <f t="shared" si="97"/>
        <v>0.000585994726047367</v>
      </c>
      <c r="J4301" s="9"/>
      <c r="K4301" s="11"/>
      <c r="L4301" s="9"/>
      <c r="M4301" s="11"/>
      <c r="N4301" s="9" t="s">
        <v>809</v>
      </c>
    </row>
    <row r="4302" ht="25" customHeight="1" spans="1:14">
      <c r="A4302" s="9" t="s">
        <v>327</v>
      </c>
      <c r="B4302" s="9" t="s">
        <v>326</v>
      </c>
      <c r="C4302" s="10">
        <v>45092</v>
      </c>
      <c r="D4302" s="15">
        <v>1.013</v>
      </c>
      <c r="E4302" s="15">
        <v>1.5597</v>
      </c>
      <c r="F4302" s="15">
        <v>1.7069</v>
      </c>
      <c r="G4302" s="11">
        <v>0.0008</v>
      </c>
      <c r="H4302" s="9">
        <f>MAX($F$3239:F4302)</f>
        <v>1.7069</v>
      </c>
      <c r="I4302" s="11">
        <f t="shared" si="97"/>
        <v>0</v>
      </c>
      <c r="J4302" s="9"/>
      <c r="K4302" s="11"/>
      <c r="L4302" s="9"/>
      <c r="M4302" s="11"/>
      <c r="N4302" s="9" t="s">
        <v>809</v>
      </c>
    </row>
    <row r="4303" ht="25" customHeight="1" spans="1:14">
      <c r="A4303" s="9" t="s">
        <v>327</v>
      </c>
      <c r="B4303" s="9" t="s">
        <v>326</v>
      </c>
      <c r="C4303" s="10">
        <v>45093</v>
      </c>
      <c r="D4303" s="15">
        <v>1.0134</v>
      </c>
      <c r="E4303" s="15">
        <v>1.5601</v>
      </c>
      <c r="F4303" s="15">
        <v>1.7075</v>
      </c>
      <c r="G4303" s="11">
        <v>0.0004</v>
      </c>
      <c r="H4303" s="9">
        <f>MAX($F$3239:F4303)</f>
        <v>1.7075</v>
      </c>
      <c r="I4303" s="11">
        <f t="shared" si="97"/>
        <v>0</v>
      </c>
      <c r="J4303" s="9"/>
      <c r="K4303" s="11"/>
      <c r="L4303" s="9"/>
      <c r="M4303" s="11"/>
      <c r="N4303" s="9" t="s">
        <v>809</v>
      </c>
    </row>
    <row r="4304" ht="25" customHeight="1" spans="1:14">
      <c r="A4304" s="9" t="s">
        <v>327</v>
      </c>
      <c r="B4304" s="9" t="s">
        <v>326</v>
      </c>
      <c r="C4304" s="10">
        <v>45096</v>
      </c>
      <c r="D4304" s="15">
        <v>1.0137</v>
      </c>
      <c r="E4304" s="15">
        <v>1.5604</v>
      </c>
      <c r="F4304" s="15">
        <v>1.708</v>
      </c>
      <c r="G4304" s="11">
        <v>0.0003</v>
      </c>
      <c r="H4304" s="9">
        <f>MAX($F$3239:F4304)</f>
        <v>1.708</v>
      </c>
      <c r="I4304" s="11">
        <f t="shared" si="97"/>
        <v>0</v>
      </c>
      <c r="J4304" s="9"/>
      <c r="K4304" s="11"/>
      <c r="L4304" s="9"/>
      <c r="M4304" s="11"/>
      <c r="N4304" s="9" t="s">
        <v>809</v>
      </c>
    </row>
    <row r="4305" ht="25" customHeight="1" spans="1:14">
      <c r="A4305" s="9" t="s">
        <v>327</v>
      </c>
      <c r="B4305" s="9" t="s">
        <v>326</v>
      </c>
      <c r="C4305" s="10">
        <v>45097</v>
      </c>
      <c r="D4305" s="15">
        <v>1.0138</v>
      </c>
      <c r="E4305" s="15">
        <v>1.5605</v>
      </c>
      <c r="F4305" s="15">
        <v>1.7082</v>
      </c>
      <c r="G4305" s="11">
        <v>0.0001</v>
      </c>
      <c r="H4305" s="9">
        <f>MAX($F$3239:F4305)</f>
        <v>1.7082</v>
      </c>
      <c r="I4305" s="11">
        <f t="shared" si="97"/>
        <v>0</v>
      </c>
      <c r="J4305" s="9"/>
      <c r="K4305" s="11"/>
      <c r="L4305" s="9"/>
      <c r="M4305" s="11"/>
      <c r="N4305" s="9" t="s">
        <v>809</v>
      </c>
    </row>
    <row r="4306" ht="25" customHeight="1" spans="1:14">
      <c r="A4306" s="9" t="s">
        <v>327</v>
      </c>
      <c r="B4306" s="9" t="s">
        <v>326</v>
      </c>
      <c r="C4306" s="10">
        <v>45098</v>
      </c>
      <c r="D4306" s="15">
        <v>1.016</v>
      </c>
      <c r="E4306" s="15">
        <v>1.5627</v>
      </c>
      <c r="F4306" s="15">
        <v>1.7119</v>
      </c>
      <c r="G4306" s="11">
        <v>0.0022</v>
      </c>
      <c r="H4306" s="9">
        <f>MAX($F$3239:F4306)</f>
        <v>1.7119</v>
      </c>
      <c r="I4306" s="11">
        <f t="shared" si="97"/>
        <v>0</v>
      </c>
      <c r="J4306" s="9"/>
      <c r="K4306" s="11"/>
      <c r="L4306" s="9"/>
      <c r="M4306" s="11"/>
      <c r="N4306" s="9" t="s">
        <v>809</v>
      </c>
    </row>
    <row r="4307" ht="25" customHeight="1" spans="1:14">
      <c r="A4307" s="9" t="s">
        <v>327</v>
      </c>
      <c r="B4307" s="9" t="s">
        <v>326</v>
      </c>
      <c r="C4307" s="10">
        <v>45103</v>
      </c>
      <c r="D4307" s="15">
        <v>1.0159</v>
      </c>
      <c r="E4307" s="15">
        <v>1.5626</v>
      </c>
      <c r="F4307" s="15">
        <v>1.7118</v>
      </c>
      <c r="G4307" s="11">
        <v>-0.0001</v>
      </c>
      <c r="H4307" s="9">
        <f>MAX($F$3239:F4307)</f>
        <v>1.7119</v>
      </c>
      <c r="I4307" s="11">
        <f t="shared" si="97"/>
        <v>5.84146270226071e-5</v>
      </c>
      <c r="J4307" s="9"/>
      <c r="K4307" s="11"/>
      <c r="L4307" s="9"/>
      <c r="M4307" s="11"/>
      <c r="N4307" s="9" t="s">
        <v>809</v>
      </c>
    </row>
    <row r="4308" ht="25" customHeight="1" spans="1:14">
      <c r="A4308" s="9" t="s">
        <v>327</v>
      </c>
      <c r="B4308" s="9" t="s">
        <v>326</v>
      </c>
      <c r="C4308" s="10">
        <v>45104</v>
      </c>
      <c r="D4308" s="15">
        <v>1.0156</v>
      </c>
      <c r="E4308" s="15">
        <v>1.5623</v>
      </c>
      <c r="F4308" s="15">
        <v>1.7112</v>
      </c>
      <c r="G4308" s="11">
        <v>-0.0003</v>
      </c>
      <c r="H4308" s="9">
        <f>MAX($F$3239:F4308)</f>
        <v>1.7119</v>
      </c>
      <c r="I4308" s="11">
        <f t="shared" si="97"/>
        <v>0.00040890238915825</v>
      </c>
      <c r="J4308" s="9"/>
      <c r="K4308" s="11"/>
      <c r="L4308" s="9"/>
      <c r="M4308" s="11"/>
      <c r="N4308" s="9" t="s">
        <v>809</v>
      </c>
    </row>
    <row r="4309" ht="25" customHeight="1" spans="1:14">
      <c r="A4309" s="9" t="s">
        <v>327</v>
      </c>
      <c r="B4309" s="9" t="s">
        <v>326</v>
      </c>
      <c r="C4309" s="10">
        <v>45105</v>
      </c>
      <c r="D4309" s="15">
        <v>1.0162</v>
      </c>
      <c r="E4309" s="15">
        <v>1.5629</v>
      </c>
      <c r="F4309" s="15">
        <v>1.7123</v>
      </c>
      <c r="G4309" s="11">
        <v>0.0006</v>
      </c>
      <c r="H4309" s="9">
        <f>MAX($F$3239:F4309)</f>
        <v>1.7123</v>
      </c>
      <c r="I4309" s="11">
        <f t="shared" si="97"/>
        <v>0</v>
      </c>
      <c r="J4309" s="9"/>
      <c r="K4309" s="11"/>
      <c r="L4309" s="9"/>
      <c r="M4309" s="11"/>
      <c r="N4309" s="9" t="s">
        <v>809</v>
      </c>
    </row>
    <row r="4310" ht="25" customHeight="1" spans="1:14">
      <c r="A4310" s="9" t="s">
        <v>327</v>
      </c>
      <c r="B4310" s="9" t="s">
        <v>326</v>
      </c>
      <c r="C4310" s="10">
        <v>45106</v>
      </c>
      <c r="D4310" s="15">
        <v>1.0195</v>
      </c>
      <c r="E4310" s="15">
        <v>1.5662</v>
      </c>
      <c r="F4310" s="15">
        <v>1.7178</v>
      </c>
      <c r="G4310" s="11">
        <v>0.0032</v>
      </c>
      <c r="H4310" s="9">
        <f>MAX($F$3239:F4310)</f>
        <v>1.7178</v>
      </c>
      <c r="I4310" s="11">
        <f t="shared" si="97"/>
        <v>0</v>
      </c>
      <c r="J4310" s="9"/>
      <c r="K4310" s="11"/>
      <c r="L4310" s="9"/>
      <c r="M4310" s="11"/>
      <c r="N4310" s="9" t="s">
        <v>809</v>
      </c>
    </row>
    <row r="4311" ht="25" customHeight="1" spans="1:14">
      <c r="A4311" s="9" t="s">
        <v>327</v>
      </c>
      <c r="B4311" s="9" t="s">
        <v>326</v>
      </c>
      <c r="C4311" s="10">
        <v>45107</v>
      </c>
      <c r="D4311" s="15">
        <v>1.0199</v>
      </c>
      <c r="E4311" s="15">
        <v>1.5666</v>
      </c>
      <c r="F4311" s="15">
        <v>1.7185</v>
      </c>
      <c r="G4311" s="11">
        <v>0.0004</v>
      </c>
      <c r="H4311" s="9">
        <f>MAX($F$3239:F4311)</f>
        <v>1.7185</v>
      </c>
      <c r="I4311" s="11">
        <f t="shared" si="97"/>
        <v>0</v>
      </c>
      <c r="J4311" s="9"/>
      <c r="K4311" s="11"/>
      <c r="L4311" s="9"/>
      <c r="M4311" s="11"/>
      <c r="N4311" s="9" t="s">
        <v>809</v>
      </c>
    </row>
    <row r="4312" ht="25" customHeight="1" spans="1:14">
      <c r="A4312" s="9" t="s">
        <v>327</v>
      </c>
      <c r="B4312" s="9" t="s">
        <v>326</v>
      </c>
      <c r="C4312" s="10">
        <v>45110</v>
      </c>
      <c r="D4312" s="15">
        <v>1</v>
      </c>
      <c r="E4312" s="15">
        <v>1.5663</v>
      </c>
      <c r="F4312" s="15">
        <v>1.718</v>
      </c>
      <c r="G4312" s="11">
        <v>-0.0003</v>
      </c>
      <c r="H4312" s="9">
        <f>MAX($F$3239:F4312)</f>
        <v>1.7185</v>
      </c>
      <c r="I4312" s="11">
        <f t="shared" si="97"/>
        <v>0.000290951411114349</v>
      </c>
      <c r="J4312" s="9"/>
      <c r="K4312" s="11"/>
      <c r="L4312" s="9"/>
      <c r="M4312" s="11"/>
      <c r="N4312" s="9" t="s">
        <v>809</v>
      </c>
    </row>
    <row r="4313" ht="25" customHeight="1" spans="1:14">
      <c r="A4313" s="9" t="s">
        <v>327</v>
      </c>
      <c r="B4313" s="9" t="s">
        <v>326</v>
      </c>
      <c r="C4313" s="10">
        <v>45111</v>
      </c>
      <c r="D4313" s="15">
        <v>0.9999</v>
      </c>
      <c r="E4313" s="15">
        <v>1.5662</v>
      </c>
      <c r="F4313" s="15">
        <v>1.7178</v>
      </c>
      <c r="G4313" s="11">
        <v>-0.0001</v>
      </c>
      <c r="H4313" s="9">
        <f>MAX($F$3239:F4313)</f>
        <v>1.7185</v>
      </c>
      <c r="I4313" s="11">
        <f t="shared" si="97"/>
        <v>0.000407331975560088</v>
      </c>
      <c r="J4313" s="9"/>
      <c r="K4313" s="11"/>
      <c r="L4313" s="9"/>
      <c r="M4313" s="11"/>
      <c r="N4313" s="9" t="s">
        <v>809</v>
      </c>
    </row>
    <row r="4314" ht="25" customHeight="1" spans="1:14">
      <c r="A4314" s="9" t="s">
        <v>327</v>
      </c>
      <c r="B4314" s="9" t="s">
        <v>326</v>
      </c>
      <c r="C4314" s="10">
        <v>45112</v>
      </c>
      <c r="D4314" s="15">
        <v>1.0001</v>
      </c>
      <c r="E4314" s="15">
        <v>1.5664</v>
      </c>
      <c r="F4314" s="15">
        <v>1.7182</v>
      </c>
      <c r="G4314" s="11">
        <v>0.0002</v>
      </c>
      <c r="H4314" s="9">
        <f>MAX($F$3239:F4314)</f>
        <v>1.7185</v>
      </c>
      <c r="I4314" s="11">
        <f t="shared" si="97"/>
        <v>0.000174570846668609</v>
      </c>
      <c r="J4314" s="9"/>
      <c r="K4314" s="11"/>
      <c r="L4314" s="9"/>
      <c r="M4314" s="11"/>
      <c r="N4314" s="9" t="s">
        <v>809</v>
      </c>
    </row>
    <row r="4315" ht="25" customHeight="1" spans="1:14">
      <c r="A4315" s="9" t="s">
        <v>327</v>
      </c>
      <c r="B4315" s="9" t="s">
        <v>326</v>
      </c>
      <c r="C4315" s="10">
        <v>45113</v>
      </c>
      <c r="D4315" s="15">
        <v>1.0004</v>
      </c>
      <c r="E4315" s="15">
        <v>1.5667</v>
      </c>
      <c r="F4315" s="15">
        <v>1.7187</v>
      </c>
      <c r="G4315" s="11">
        <v>0.0003</v>
      </c>
      <c r="H4315" s="9">
        <f>MAX($F$3239:F4315)</f>
        <v>1.7187</v>
      </c>
      <c r="I4315" s="11">
        <f t="shared" si="97"/>
        <v>0</v>
      </c>
      <c r="J4315" s="9"/>
      <c r="K4315" s="11"/>
      <c r="L4315" s="9"/>
      <c r="M4315" s="11"/>
      <c r="N4315" s="9" t="s">
        <v>809</v>
      </c>
    </row>
    <row r="4316" ht="25" customHeight="1" spans="1:14">
      <c r="A4316" s="9" t="s">
        <v>327</v>
      </c>
      <c r="B4316" s="9" t="s">
        <v>326</v>
      </c>
      <c r="C4316" s="10">
        <v>45114</v>
      </c>
      <c r="D4316" s="15">
        <v>1.0005</v>
      </c>
      <c r="E4316" s="15">
        <v>1.5668</v>
      </c>
      <c r="F4316" s="15">
        <v>1.7188</v>
      </c>
      <c r="G4316" s="11">
        <v>0.0001</v>
      </c>
      <c r="H4316" s="9">
        <f>MAX($F$3239:F4316)</f>
        <v>1.7188</v>
      </c>
      <c r="I4316" s="11">
        <f t="shared" si="97"/>
        <v>0</v>
      </c>
      <c r="J4316" s="9"/>
      <c r="K4316" s="11"/>
      <c r="L4316" s="9"/>
      <c r="M4316" s="11"/>
      <c r="N4316" s="9" t="s">
        <v>809</v>
      </c>
    </row>
    <row r="4317" ht="25" customHeight="1" spans="1:14">
      <c r="A4317" s="9" t="s">
        <v>327</v>
      </c>
      <c r="B4317" s="9" t="s">
        <v>326</v>
      </c>
      <c r="C4317" s="10">
        <v>45117</v>
      </c>
      <c r="D4317" s="15">
        <v>1.0009</v>
      </c>
      <c r="E4317" s="15">
        <v>1.5672</v>
      </c>
      <c r="F4317" s="15">
        <v>1.7195</v>
      </c>
      <c r="G4317" s="11">
        <v>0.0004</v>
      </c>
      <c r="H4317" s="9">
        <f>MAX($F$3239:F4317)</f>
        <v>1.7195</v>
      </c>
      <c r="I4317" s="11">
        <f t="shared" si="97"/>
        <v>0</v>
      </c>
      <c r="J4317" s="9"/>
      <c r="K4317" s="11"/>
      <c r="L4317" s="9"/>
      <c r="M4317" s="11"/>
      <c r="N4317" s="9" t="s">
        <v>809</v>
      </c>
    </row>
    <row r="4318" ht="25" customHeight="1" spans="1:14">
      <c r="A4318" s="9" t="s">
        <v>327</v>
      </c>
      <c r="B4318" s="9" t="s">
        <v>326</v>
      </c>
      <c r="C4318" s="10">
        <v>45118</v>
      </c>
      <c r="D4318" s="15">
        <v>1.0009</v>
      </c>
      <c r="E4318" s="15">
        <v>1.5672</v>
      </c>
      <c r="F4318" s="15">
        <v>1.7195</v>
      </c>
      <c r="G4318" s="11">
        <v>0</v>
      </c>
      <c r="H4318" s="9">
        <f>MAX($F$3239:F4318)</f>
        <v>1.7195</v>
      </c>
      <c r="I4318" s="11">
        <f t="shared" si="97"/>
        <v>0</v>
      </c>
      <c r="J4318" s="9"/>
      <c r="K4318" s="11"/>
      <c r="L4318" s="9"/>
      <c r="M4318" s="11"/>
      <c r="N4318" s="9" t="s">
        <v>809</v>
      </c>
    </row>
    <row r="4319" ht="25" customHeight="1" spans="1:14">
      <c r="A4319" s="9" t="s">
        <v>327</v>
      </c>
      <c r="B4319" s="9" t="s">
        <v>326</v>
      </c>
      <c r="C4319" s="10">
        <v>45119</v>
      </c>
      <c r="D4319" s="15">
        <v>1.0019</v>
      </c>
      <c r="E4319" s="15">
        <v>1.5682</v>
      </c>
      <c r="F4319" s="15">
        <v>1.7213</v>
      </c>
      <c r="G4319" s="11">
        <v>0.001</v>
      </c>
      <c r="H4319" s="9">
        <f>MAX($F$3239:F4319)</f>
        <v>1.7213</v>
      </c>
      <c r="I4319" s="11">
        <f t="shared" si="97"/>
        <v>0</v>
      </c>
      <c r="J4319" s="9"/>
      <c r="K4319" s="11"/>
      <c r="L4319" s="9"/>
      <c r="M4319" s="11"/>
      <c r="N4319" s="9" t="s">
        <v>809</v>
      </c>
    </row>
    <row r="4320" ht="25" customHeight="1" spans="1:14">
      <c r="A4320" s="9" t="s">
        <v>327</v>
      </c>
      <c r="B4320" s="9" t="s">
        <v>326</v>
      </c>
      <c r="C4320" s="10">
        <v>45120</v>
      </c>
      <c r="D4320" s="15">
        <v>1.0029</v>
      </c>
      <c r="E4320" s="15">
        <v>1.5692</v>
      </c>
      <c r="F4320" s="15">
        <v>1.723</v>
      </c>
      <c r="G4320" s="11">
        <v>0.001</v>
      </c>
      <c r="H4320" s="9">
        <f>MAX($F$3239:F4320)</f>
        <v>1.723</v>
      </c>
      <c r="I4320" s="11">
        <f t="shared" si="97"/>
        <v>0</v>
      </c>
      <c r="J4320" s="9"/>
      <c r="K4320" s="11"/>
      <c r="L4320" s="9"/>
      <c r="M4320" s="11"/>
      <c r="N4320" s="9" t="s">
        <v>809</v>
      </c>
    </row>
    <row r="4321" ht="25" customHeight="1" spans="1:14">
      <c r="A4321" s="9" t="s">
        <v>327</v>
      </c>
      <c r="B4321" s="9" t="s">
        <v>326</v>
      </c>
      <c r="C4321" s="10">
        <v>45121</v>
      </c>
      <c r="D4321" s="15">
        <v>1.0026</v>
      </c>
      <c r="E4321" s="15">
        <v>1.5689</v>
      </c>
      <c r="F4321" s="15">
        <v>1.7225</v>
      </c>
      <c r="G4321" s="11">
        <v>-0.0003</v>
      </c>
      <c r="H4321" s="9">
        <f>MAX($F$3239:F4321)</f>
        <v>1.723</v>
      </c>
      <c r="I4321" s="11">
        <f t="shared" si="97"/>
        <v>0.000290191526407524</v>
      </c>
      <c r="J4321" s="9"/>
      <c r="K4321" s="11"/>
      <c r="L4321" s="9"/>
      <c r="M4321" s="11"/>
      <c r="N4321" s="9" t="s">
        <v>809</v>
      </c>
    </row>
    <row r="4322" ht="25" customHeight="1" spans="1:14">
      <c r="A4322" s="9" t="s">
        <v>327</v>
      </c>
      <c r="B4322" s="9" t="s">
        <v>326</v>
      </c>
      <c r="C4322" s="10">
        <v>45124</v>
      </c>
      <c r="D4322" s="15">
        <v>1.0029</v>
      </c>
      <c r="E4322" s="15">
        <v>1.5692</v>
      </c>
      <c r="F4322" s="15">
        <v>1.723</v>
      </c>
      <c r="G4322" s="11">
        <v>0.0003</v>
      </c>
      <c r="H4322" s="9">
        <f>MAX($F$3239:F4322)</f>
        <v>1.723</v>
      </c>
      <c r="I4322" s="11">
        <f t="shared" si="97"/>
        <v>0</v>
      </c>
      <c r="J4322" s="9"/>
      <c r="K4322" s="11"/>
      <c r="L4322" s="9"/>
      <c r="M4322" s="11"/>
      <c r="N4322" s="9" t="s">
        <v>809</v>
      </c>
    </row>
    <row r="4323" ht="25" customHeight="1" spans="1:14">
      <c r="A4323" s="9" t="s">
        <v>327</v>
      </c>
      <c r="B4323" s="9" t="s">
        <v>326</v>
      </c>
      <c r="C4323" s="10">
        <v>45125</v>
      </c>
      <c r="D4323" s="15">
        <v>1.0029</v>
      </c>
      <c r="E4323" s="15">
        <v>1.5692</v>
      </c>
      <c r="F4323" s="15">
        <v>1.723</v>
      </c>
      <c r="G4323" s="11">
        <v>0</v>
      </c>
      <c r="H4323" s="9">
        <f>MAX($F$3239:F4323)</f>
        <v>1.723</v>
      </c>
      <c r="I4323" s="11">
        <f t="shared" si="97"/>
        <v>0</v>
      </c>
      <c r="J4323" s="9"/>
      <c r="K4323" s="11"/>
      <c r="L4323" s="9"/>
      <c r="M4323" s="11"/>
      <c r="N4323" s="9" t="s">
        <v>809</v>
      </c>
    </row>
    <row r="4324" ht="25" customHeight="1" spans="1:14">
      <c r="A4324" s="9" t="s">
        <v>327</v>
      </c>
      <c r="B4324" s="9" t="s">
        <v>326</v>
      </c>
      <c r="C4324" s="10">
        <v>45126</v>
      </c>
      <c r="D4324" s="15">
        <v>1.0029</v>
      </c>
      <c r="E4324" s="15">
        <v>1.5692</v>
      </c>
      <c r="F4324" s="15">
        <v>1.723</v>
      </c>
      <c r="G4324" s="11">
        <v>0</v>
      </c>
      <c r="H4324" s="9">
        <f>MAX($F$3239:F4324)</f>
        <v>1.723</v>
      </c>
      <c r="I4324" s="11">
        <f t="shared" si="97"/>
        <v>0</v>
      </c>
      <c r="J4324" s="9"/>
      <c r="K4324" s="11"/>
      <c r="L4324" s="9"/>
      <c r="M4324" s="11"/>
      <c r="N4324" s="9" t="s">
        <v>809</v>
      </c>
    </row>
    <row r="4325" ht="25" customHeight="1" spans="1:14">
      <c r="A4325" s="9" t="s">
        <v>327</v>
      </c>
      <c r="B4325" s="9" t="s">
        <v>326</v>
      </c>
      <c r="C4325" s="10">
        <v>45127</v>
      </c>
      <c r="D4325" s="15">
        <v>1.0046</v>
      </c>
      <c r="E4325" s="15">
        <v>1.5709</v>
      </c>
      <c r="F4325" s="15">
        <v>1.7259</v>
      </c>
      <c r="G4325" s="11">
        <v>0.0017</v>
      </c>
      <c r="H4325" s="9">
        <f>MAX($F$3239:F4325)</f>
        <v>1.7259</v>
      </c>
      <c r="I4325" s="11">
        <f t="shared" si="97"/>
        <v>0</v>
      </c>
      <c r="J4325" s="9"/>
      <c r="K4325" s="11"/>
      <c r="L4325" s="9"/>
      <c r="M4325" s="11"/>
      <c r="N4325" s="9" t="s">
        <v>809</v>
      </c>
    </row>
    <row r="4326" ht="25" customHeight="1" spans="1:14">
      <c r="A4326" s="9" t="s">
        <v>327</v>
      </c>
      <c r="B4326" s="9" t="s">
        <v>326</v>
      </c>
      <c r="C4326" s="10">
        <v>45128</v>
      </c>
      <c r="D4326" s="15">
        <v>1.0044</v>
      </c>
      <c r="E4326" s="15">
        <v>1.5707</v>
      </c>
      <c r="F4326" s="15">
        <v>1.7255</v>
      </c>
      <c r="G4326" s="11">
        <v>-0.0002</v>
      </c>
      <c r="H4326" s="9">
        <f>MAX($F$3239:F4326)</f>
        <v>1.7259</v>
      </c>
      <c r="I4326" s="11">
        <f t="shared" si="97"/>
        <v>0.000231763138072827</v>
      </c>
      <c r="J4326" s="9"/>
      <c r="K4326" s="11"/>
      <c r="L4326" s="9"/>
      <c r="M4326" s="11"/>
      <c r="N4326" s="9" t="s">
        <v>809</v>
      </c>
    </row>
    <row r="4327" ht="25" customHeight="1" spans="1:14">
      <c r="A4327" s="9" t="s">
        <v>327</v>
      </c>
      <c r="B4327" s="9" t="s">
        <v>326</v>
      </c>
      <c r="C4327" s="10">
        <v>45131</v>
      </c>
      <c r="D4327" s="15">
        <v>1.0044</v>
      </c>
      <c r="E4327" s="15">
        <v>1.5707</v>
      </c>
      <c r="F4327" s="15">
        <v>1.7255</v>
      </c>
      <c r="G4327" s="11">
        <v>0</v>
      </c>
      <c r="H4327" s="9">
        <f>MAX($F$3239:F4327)</f>
        <v>1.7259</v>
      </c>
      <c r="I4327" s="11">
        <f t="shared" si="97"/>
        <v>0.000231763138072827</v>
      </c>
      <c r="J4327" s="9"/>
      <c r="K4327" s="11"/>
      <c r="L4327" s="9"/>
      <c r="M4327" s="11"/>
      <c r="N4327" s="9" t="s">
        <v>809</v>
      </c>
    </row>
    <row r="4328" ht="25" customHeight="1" spans="1:14">
      <c r="A4328" s="9" t="s">
        <v>327</v>
      </c>
      <c r="B4328" s="9" t="s">
        <v>326</v>
      </c>
      <c r="C4328" s="10">
        <v>45132</v>
      </c>
      <c r="D4328" s="15">
        <v>1.0046</v>
      </c>
      <c r="E4328" s="15">
        <v>1.5709</v>
      </c>
      <c r="F4328" s="15">
        <v>1.7259</v>
      </c>
      <c r="G4328" s="11">
        <v>0.0002</v>
      </c>
      <c r="H4328" s="9">
        <f>MAX($F$3239:F4328)</f>
        <v>1.7259</v>
      </c>
      <c r="I4328" s="11">
        <f t="shared" si="97"/>
        <v>0</v>
      </c>
      <c r="J4328" s="9"/>
      <c r="K4328" s="11"/>
      <c r="L4328" s="9"/>
      <c r="M4328" s="11"/>
      <c r="N4328" s="9" t="s">
        <v>809</v>
      </c>
    </row>
    <row r="4329" ht="25" customHeight="1" spans="1:14">
      <c r="A4329" s="9" t="s">
        <v>327</v>
      </c>
      <c r="B4329" s="9" t="s">
        <v>326</v>
      </c>
      <c r="C4329" s="10">
        <v>45133</v>
      </c>
      <c r="D4329" s="15">
        <v>1.0046</v>
      </c>
      <c r="E4329" s="15">
        <v>1.5709</v>
      </c>
      <c r="F4329" s="15">
        <v>1.7259</v>
      </c>
      <c r="G4329" s="11">
        <v>0</v>
      </c>
      <c r="H4329" s="9">
        <f>MAX($F$3239:F4329)</f>
        <v>1.7259</v>
      </c>
      <c r="I4329" s="11">
        <f t="shared" si="97"/>
        <v>0</v>
      </c>
      <c r="J4329" s="9"/>
      <c r="K4329" s="11"/>
      <c r="L4329" s="9"/>
      <c r="M4329" s="11"/>
      <c r="N4329" s="9" t="s">
        <v>809</v>
      </c>
    </row>
    <row r="4330" ht="25" customHeight="1" spans="1:14">
      <c r="A4330" s="9" t="s">
        <v>327</v>
      </c>
      <c r="B4330" s="9" t="s">
        <v>326</v>
      </c>
      <c r="C4330" s="10">
        <v>45134</v>
      </c>
      <c r="D4330" s="15">
        <v>1.0041</v>
      </c>
      <c r="E4330" s="15">
        <v>1.5704</v>
      </c>
      <c r="F4330" s="15">
        <v>1.725</v>
      </c>
      <c r="G4330" s="11">
        <v>-0.0005</v>
      </c>
      <c r="H4330" s="9">
        <f>MAX($F$3239:F4330)</f>
        <v>1.7259</v>
      </c>
      <c r="I4330" s="11">
        <f t="shared" si="97"/>
        <v>0.000521467060663916</v>
      </c>
      <c r="J4330" s="9"/>
      <c r="K4330" s="11"/>
      <c r="L4330" s="9"/>
      <c r="M4330" s="11"/>
      <c r="N4330" s="9" t="s">
        <v>809</v>
      </c>
    </row>
    <row r="4331" ht="25" customHeight="1" spans="1:14">
      <c r="A4331" s="9" t="s">
        <v>327</v>
      </c>
      <c r="B4331" s="9" t="s">
        <v>326</v>
      </c>
      <c r="C4331" s="10">
        <v>45135</v>
      </c>
      <c r="D4331" s="15">
        <v>1.0049</v>
      </c>
      <c r="E4331" s="15">
        <v>1.5712</v>
      </c>
      <c r="F4331" s="15">
        <v>1.7264</v>
      </c>
      <c r="G4331" s="11">
        <v>0.0008</v>
      </c>
      <c r="H4331" s="9">
        <f>MAX($F$3239:F4331)</f>
        <v>1.7264</v>
      </c>
      <c r="I4331" s="11">
        <f t="shared" si="97"/>
        <v>0</v>
      </c>
      <c r="J4331" s="9"/>
      <c r="K4331" s="11"/>
      <c r="L4331" s="9"/>
      <c r="M4331" s="11"/>
      <c r="N4331" s="9" t="s">
        <v>809</v>
      </c>
    </row>
    <row r="4332" ht="25" customHeight="1" spans="1:14">
      <c r="A4332" s="9" t="s">
        <v>327</v>
      </c>
      <c r="B4332" s="9" t="s">
        <v>326</v>
      </c>
      <c r="C4332" s="10">
        <v>45138</v>
      </c>
      <c r="D4332" s="15">
        <v>1.0057</v>
      </c>
      <c r="E4332" s="15">
        <v>1.572</v>
      </c>
      <c r="F4332" s="15">
        <v>1.7278</v>
      </c>
      <c r="G4332" s="11">
        <v>0.0008</v>
      </c>
      <c r="H4332" s="9">
        <f>MAX($F$3239:F4332)</f>
        <v>1.7278</v>
      </c>
      <c r="I4332" s="11">
        <f t="shared" si="97"/>
        <v>0</v>
      </c>
      <c r="J4332" s="9"/>
      <c r="K4332" s="11"/>
      <c r="L4332" s="9"/>
      <c r="M4332" s="11"/>
      <c r="N4332" s="9" t="s">
        <v>809</v>
      </c>
    </row>
    <row r="4333" ht="25" customHeight="1" spans="1:14">
      <c r="A4333" s="9" t="s">
        <v>327</v>
      </c>
      <c r="B4333" s="9" t="s">
        <v>326</v>
      </c>
      <c r="C4333" s="10">
        <v>45139</v>
      </c>
      <c r="D4333" s="15">
        <v>1.0053</v>
      </c>
      <c r="E4333" s="15">
        <v>1.5716</v>
      </c>
      <c r="F4333" s="15">
        <v>1.7271</v>
      </c>
      <c r="G4333" s="11">
        <v>-0.0004</v>
      </c>
      <c r="H4333" s="9">
        <f>MAX($F$3239:F4333)</f>
        <v>1.7278</v>
      </c>
      <c r="I4333" s="11">
        <f t="shared" si="97"/>
        <v>0.00040513948373655</v>
      </c>
      <c r="J4333" s="9"/>
      <c r="K4333" s="11"/>
      <c r="L4333" s="9"/>
      <c r="M4333" s="11"/>
      <c r="N4333" s="9" t="s">
        <v>809</v>
      </c>
    </row>
    <row r="4334" ht="25" customHeight="1" spans="1:14">
      <c r="A4334" s="9" t="s">
        <v>327</v>
      </c>
      <c r="B4334" s="9" t="s">
        <v>326</v>
      </c>
      <c r="C4334" s="10">
        <v>45140</v>
      </c>
      <c r="D4334" s="15">
        <v>1.0061</v>
      </c>
      <c r="E4334" s="15">
        <v>1.5724</v>
      </c>
      <c r="F4334" s="15">
        <v>1.7285</v>
      </c>
      <c r="G4334" s="11">
        <v>0.0008</v>
      </c>
      <c r="H4334" s="9">
        <f>MAX($F$3239:F4334)</f>
        <v>1.7285</v>
      </c>
      <c r="I4334" s="11">
        <f t="shared" si="97"/>
        <v>0</v>
      </c>
      <c r="J4334" s="9"/>
      <c r="K4334" s="11"/>
      <c r="L4334" s="9"/>
      <c r="M4334" s="11"/>
      <c r="N4334" s="9" t="s">
        <v>809</v>
      </c>
    </row>
    <row r="4335" ht="25" customHeight="1" spans="1:14">
      <c r="A4335" s="9" t="s">
        <v>327</v>
      </c>
      <c r="B4335" s="9" t="s">
        <v>326</v>
      </c>
      <c r="C4335" s="10">
        <v>45141</v>
      </c>
      <c r="D4335" s="15">
        <v>1.0064</v>
      </c>
      <c r="E4335" s="15">
        <v>1.5727</v>
      </c>
      <c r="F4335" s="15">
        <v>1.729</v>
      </c>
      <c r="G4335" s="11">
        <v>0.0003</v>
      </c>
      <c r="H4335" s="9">
        <f>MAX($F$3239:F4335)</f>
        <v>1.729</v>
      </c>
      <c r="I4335" s="11">
        <f t="shared" si="97"/>
        <v>0</v>
      </c>
      <c r="J4335" s="9"/>
      <c r="K4335" s="11"/>
      <c r="L4335" s="9"/>
      <c r="M4335" s="11"/>
      <c r="N4335" s="9" t="s">
        <v>809</v>
      </c>
    </row>
    <row r="4336" ht="25" customHeight="1" spans="1:14">
      <c r="A4336" s="9" t="s">
        <v>327</v>
      </c>
      <c r="B4336" s="9" t="s">
        <v>326</v>
      </c>
      <c r="C4336" s="10">
        <v>45142</v>
      </c>
      <c r="D4336" s="15">
        <v>1.0076</v>
      </c>
      <c r="E4336" s="15">
        <v>1.5739</v>
      </c>
      <c r="F4336" s="15">
        <v>1.731</v>
      </c>
      <c r="G4336" s="11">
        <v>0.0012</v>
      </c>
      <c r="H4336" s="9">
        <f>MAX($F$3239:F4336)</f>
        <v>1.731</v>
      </c>
      <c r="I4336" s="11">
        <f t="shared" si="97"/>
        <v>0</v>
      </c>
      <c r="J4336" s="9"/>
      <c r="K4336" s="11"/>
      <c r="L4336" s="9"/>
      <c r="M4336" s="11"/>
      <c r="N4336" s="9" t="s">
        <v>809</v>
      </c>
    </row>
    <row r="4337" ht="25" customHeight="1" spans="1:14">
      <c r="A4337" s="9" t="s">
        <v>327</v>
      </c>
      <c r="B4337" s="9" t="s">
        <v>326</v>
      </c>
      <c r="C4337" s="10">
        <v>45145</v>
      </c>
      <c r="D4337" s="15">
        <v>1.0076</v>
      </c>
      <c r="E4337" s="15">
        <v>1.5739</v>
      </c>
      <c r="F4337" s="15">
        <v>1.731</v>
      </c>
      <c r="G4337" s="11">
        <v>0</v>
      </c>
      <c r="H4337" s="9">
        <f>MAX($F$3239:F4337)</f>
        <v>1.731</v>
      </c>
      <c r="I4337" s="11">
        <f t="shared" si="97"/>
        <v>0</v>
      </c>
      <c r="J4337" s="9"/>
      <c r="K4337" s="11"/>
      <c r="L4337" s="9"/>
      <c r="M4337" s="11"/>
      <c r="N4337" s="9" t="s">
        <v>809</v>
      </c>
    </row>
    <row r="4338" ht="25" customHeight="1" spans="1:14">
      <c r="A4338" s="9" t="s">
        <v>327</v>
      </c>
      <c r="B4338" s="9" t="s">
        <v>326</v>
      </c>
      <c r="C4338" s="10">
        <v>45146</v>
      </c>
      <c r="D4338" s="15">
        <v>1.0077</v>
      </c>
      <c r="E4338" s="15">
        <v>1.574</v>
      </c>
      <c r="F4338" s="15">
        <v>1.7312</v>
      </c>
      <c r="G4338" s="11">
        <v>0.0001</v>
      </c>
      <c r="H4338" s="9">
        <f>MAX($F$3239:F4338)</f>
        <v>1.7312</v>
      </c>
      <c r="I4338" s="11">
        <f t="shared" si="97"/>
        <v>0</v>
      </c>
      <c r="J4338" s="9"/>
      <c r="K4338" s="11"/>
      <c r="L4338" s="9"/>
      <c r="M4338" s="11"/>
      <c r="N4338" s="9" t="s">
        <v>809</v>
      </c>
    </row>
    <row r="4339" ht="25" customHeight="1" spans="1:14">
      <c r="A4339" s="9" t="s">
        <v>327</v>
      </c>
      <c r="B4339" s="9" t="s">
        <v>326</v>
      </c>
      <c r="C4339" s="10">
        <v>45147</v>
      </c>
      <c r="D4339" s="15">
        <v>1.0074</v>
      </c>
      <c r="E4339" s="15">
        <v>1.5737</v>
      </c>
      <c r="F4339" s="15">
        <v>1.7307</v>
      </c>
      <c r="G4339" s="11">
        <v>-0.0003</v>
      </c>
      <c r="H4339" s="9">
        <f>MAX($F$3239:F4339)</f>
        <v>1.7312</v>
      </c>
      <c r="I4339" s="11">
        <f t="shared" si="97"/>
        <v>0.000288817005545394</v>
      </c>
      <c r="J4339" s="9"/>
      <c r="K4339" s="11"/>
      <c r="L4339" s="9"/>
      <c r="M4339" s="11"/>
      <c r="N4339" s="9" t="s">
        <v>809</v>
      </c>
    </row>
    <row r="4340" ht="25" customHeight="1" spans="1:14">
      <c r="A4340" s="9" t="s">
        <v>327</v>
      </c>
      <c r="B4340" s="9" t="s">
        <v>326</v>
      </c>
      <c r="C4340" s="10">
        <v>45148</v>
      </c>
      <c r="D4340" s="15">
        <v>1.0078</v>
      </c>
      <c r="E4340" s="15">
        <v>1.5741</v>
      </c>
      <c r="F4340" s="15">
        <v>1.7314</v>
      </c>
      <c r="G4340" s="11">
        <v>0.0004</v>
      </c>
      <c r="H4340" s="9">
        <f>MAX($F$3239:F4340)</f>
        <v>1.7314</v>
      </c>
      <c r="I4340" s="11">
        <f t="shared" si="97"/>
        <v>0</v>
      </c>
      <c r="J4340" s="9"/>
      <c r="K4340" s="11"/>
      <c r="L4340" s="9"/>
      <c r="M4340" s="11"/>
      <c r="N4340" s="9" t="s">
        <v>809</v>
      </c>
    </row>
    <row r="4341" ht="25" customHeight="1" spans="1:14">
      <c r="A4341" s="9" t="s">
        <v>327</v>
      </c>
      <c r="B4341" s="9" t="s">
        <v>326</v>
      </c>
      <c r="C4341" s="10">
        <v>45149</v>
      </c>
      <c r="D4341" s="15">
        <v>1.0086</v>
      </c>
      <c r="E4341" s="15">
        <v>1.5749</v>
      </c>
      <c r="F4341" s="15">
        <v>1.7328</v>
      </c>
      <c r="G4341" s="11">
        <v>0.0008</v>
      </c>
      <c r="H4341" s="9">
        <f>MAX($F$3239:F4341)</f>
        <v>1.7328</v>
      </c>
      <c r="I4341" s="11">
        <f t="shared" si="97"/>
        <v>0</v>
      </c>
      <c r="J4341" s="9"/>
      <c r="K4341" s="11"/>
      <c r="L4341" s="9"/>
      <c r="M4341" s="11"/>
      <c r="N4341" s="9" t="s">
        <v>809</v>
      </c>
    </row>
    <row r="4342" ht="25" customHeight="1" spans="1:14">
      <c r="A4342" s="9" t="s">
        <v>327</v>
      </c>
      <c r="B4342" s="9" t="s">
        <v>326</v>
      </c>
      <c r="C4342" s="10">
        <v>45152</v>
      </c>
      <c r="D4342" s="15">
        <v>1.0076</v>
      </c>
      <c r="E4342" s="15">
        <v>1.5739</v>
      </c>
      <c r="F4342" s="15">
        <v>1.731</v>
      </c>
      <c r="G4342" s="11">
        <v>-0.001</v>
      </c>
      <c r="H4342" s="9">
        <f>MAX($F$3239:F4342)</f>
        <v>1.7328</v>
      </c>
      <c r="I4342" s="11">
        <f t="shared" si="97"/>
        <v>0.00103878116343481</v>
      </c>
      <c r="J4342" s="9"/>
      <c r="K4342" s="11"/>
      <c r="L4342" s="9"/>
      <c r="M4342" s="11"/>
      <c r="N4342" s="9" t="s">
        <v>809</v>
      </c>
    </row>
    <row r="4343" ht="25" customHeight="1" spans="1:14">
      <c r="A4343" s="9" t="s">
        <v>327</v>
      </c>
      <c r="B4343" s="9" t="s">
        <v>326</v>
      </c>
      <c r="C4343" s="10">
        <v>45153</v>
      </c>
      <c r="D4343" s="15">
        <v>1.0093</v>
      </c>
      <c r="E4343" s="15">
        <v>1.5756</v>
      </c>
      <c r="F4343" s="15">
        <v>1.734</v>
      </c>
      <c r="G4343" s="11">
        <v>0.0017</v>
      </c>
      <c r="H4343" s="9">
        <f>MAX($F$3239:F4343)</f>
        <v>1.734</v>
      </c>
      <c r="I4343" s="11">
        <f t="shared" si="97"/>
        <v>0</v>
      </c>
      <c r="J4343" s="9"/>
      <c r="K4343" s="11"/>
      <c r="L4343" s="9"/>
      <c r="M4343" s="11"/>
      <c r="N4343" s="9" t="s">
        <v>809</v>
      </c>
    </row>
    <row r="4344" ht="25" customHeight="1" spans="1:14">
      <c r="A4344" s="9" t="s">
        <v>327</v>
      </c>
      <c r="B4344" s="9" t="s">
        <v>326</v>
      </c>
      <c r="C4344" s="10">
        <v>45154</v>
      </c>
      <c r="D4344" s="15">
        <v>1.0097</v>
      </c>
      <c r="E4344" s="15">
        <v>1.576</v>
      </c>
      <c r="F4344" s="15">
        <v>1.7347</v>
      </c>
      <c r="G4344" s="11">
        <v>0.0004</v>
      </c>
      <c r="H4344" s="9">
        <f>MAX($F$3239:F4344)</f>
        <v>1.7347</v>
      </c>
      <c r="I4344" s="11">
        <f t="shared" si="97"/>
        <v>0</v>
      </c>
      <c r="J4344" s="9"/>
      <c r="K4344" s="11"/>
      <c r="L4344" s="9"/>
      <c r="M4344" s="11"/>
      <c r="N4344" s="9" t="s">
        <v>809</v>
      </c>
    </row>
    <row r="4345" ht="25" customHeight="1" spans="1:14">
      <c r="A4345" s="9" t="s">
        <v>327</v>
      </c>
      <c r="B4345" s="9" t="s">
        <v>326</v>
      </c>
      <c r="C4345" s="10">
        <v>45155</v>
      </c>
      <c r="D4345" s="15">
        <v>1.0098</v>
      </c>
      <c r="E4345" s="15">
        <v>1.5761</v>
      </c>
      <c r="F4345" s="15">
        <v>1.7348</v>
      </c>
      <c r="G4345" s="11">
        <v>0.0001</v>
      </c>
      <c r="H4345" s="9">
        <f>MAX($F$3239:F4345)</f>
        <v>1.7348</v>
      </c>
      <c r="I4345" s="11">
        <f t="shared" si="97"/>
        <v>0</v>
      </c>
      <c r="J4345" s="9"/>
      <c r="K4345" s="11"/>
      <c r="L4345" s="9"/>
      <c r="M4345" s="11"/>
      <c r="N4345" s="9" t="s">
        <v>809</v>
      </c>
    </row>
    <row r="4346" ht="25" customHeight="1" spans="1:14">
      <c r="A4346" s="9" t="s">
        <v>327</v>
      </c>
      <c r="B4346" s="9" t="s">
        <v>326</v>
      </c>
      <c r="C4346" s="10">
        <v>45156</v>
      </c>
      <c r="D4346" s="15">
        <v>1.0103</v>
      </c>
      <c r="E4346" s="15">
        <v>1.5766</v>
      </c>
      <c r="F4346" s="15">
        <v>1.7357</v>
      </c>
      <c r="G4346" s="11">
        <v>0.0005</v>
      </c>
      <c r="H4346" s="9">
        <f>MAX($F$3239:F4346)</f>
        <v>1.7357</v>
      </c>
      <c r="I4346" s="11">
        <f t="shared" si="97"/>
        <v>0</v>
      </c>
      <c r="J4346" s="9"/>
      <c r="K4346" s="11"/>
      <c r="L4346" s="9"/>
      <c r="M4346" s="11"/>
      <c r="N4346" s="9" t="s">
        <v>809</v>
      </c>
    </row>
    <row r="4347" ht="25" customHeight="1" spans="1:14">
      <c r="A4347" s="9" t="s">
        <v>327</v>
      </c>
      <c r="B4347" s="9" t="s">
        <v>326</v>
      </c>
      <c r="C4347" s="10">
        <v>45159</v>
      </c>
      <c r="D4347" s="15">
        <v>1.0123</v>
      </c>
      <c r="E4347" s="15">
        <v>1.5786</v>
      </c>
      <c r="F4347" s="15">
        <v>1.7391</v>
      </c>
      <c r="G4347" s="11">
        <v>0.002</v>
      </c>
      <c r="H4347" s="9">
        <f>MAX($F$3239:F4347)</f>
        <v>1.7391</v>
      </c>
      <c r="I4347" s="11">
        <f t="shared" si="97"/>
        <v>0</v>
      </c>
      <c r="J4347" s="9"/>
      <c r="K4347" s="11"/>
      <c r="L4347" s="9"/>
      <c r="M4347" s="11"/>
      <c r="N4347" s="9" t="s">
        <v>809</v>
      </c>
    </row>
    <row r="4348" ht="25" customHeight="1" spans="1:14">
      <c r="A4348" s="9" t="s">
        <v>327</v>
      </c>
      <c r="B4348" s="9" t="s">
        <v>326</v>
      </c>
      <c r="C4348" s="10">
        <v>45160</v>
      </c>
      <c r="D4348" s="15">
        <v>1.0116</v>
      </c>
      <c r="E4348" s="15">
        <v>1.5779</v>
      </c>
      <c r="F4348" s="15">
        <v>1.7379</v>
      </c>
      <c r="G4348" s="11">
        <v>-0.0007</v>
      </c>
      <c r="H4348" s="9">
        <f>MAX($F$3239:F4348)</f>
        <v>1.7391</v>
      </c>
      <c r="I4348" s="11">
        <f t="shared" si="97"/>
        <v>0.000690012075211355</v>
      </c>
      <c r="J4348" s="9"/>
      <c r="K4348" s="11"/>
      <c r="L4348" s="9"/>
      <c r="M4348" s="11"/>
      <c r="N4348" s="9" t="s">
        <v>809</v>
      </c>
    </row>
    <row r="4349" ht="25" customHeight="1" spans="1:14">
      <c r="A4349" s="9" t="s">
        <v>327</v>
      </c>
      <c r="B4349" s="9" t="s">
        <v>326</v>
      </c>
      <c r="C4349" s="10">
        <v>45161</v>
      </c>
      <c r="D4349" s="15">
        <v>1.0118</v>
      </c>
      <c r="E4349" s="15">
        <v>1.5781</v>
      </c>
      <c r="F4349" s="15">
        <v>1.7383</v>
      </c>
      <c r="G4349" s="11">
        <v>0.0002</v>
      </c>
      <c r="H4349" s="9">
        <f>MAX($F$3239:F4349)</f>
        <v>1.7391</v>
      </c>
      <c r="I4349" s="11">
        <f t="shared" si="97"/>
        <v>0.000460008050140903</v>
      </c>
      <c r="J4349" s="9"/>
      <c r="K4349" s="11"/>
      <c r="L4349" s="9"/>
      <c r="M4349" s="11"/>
      <c r="N4349" s="9" t="s">
        <v>809</v>
      </c>
    </row>
    <row r="4350" ht="25" customHeight="1" spans="1:14">
      <c r="A4350" s="9" t="s">
        <v>327</v>
      </c>
      <c r="B4350" s="9" t="s">
        <v>326</v>
      </c>
      <c r="C4350" s="10">
        <v>45162</v>
      </c>
      <c r="D4350" s="15">
        <v>1.0113</v>
      </c>
      <c r="E4350" s="15">
        <v>1.5776</v>
      </c>
      <c r="F4350" s="15">
        <v>1.7374</v>
      </c>
      <c r="G4350" s="11">
        <v>-0.0005</v>
      </c>
      <c r="H4350" s="9">
        <f>MAX($F$3239:F4350)</f>
        <v>1.7391</v>
      </c>
      <c r="I4350" s="11">
        <f t="shared" si="97"/>
        <v>0.000977517106549364</v>
      </c>
      <c r="J4350" s="9"/>
      <c r="K4350" s="11"/>
      <c r="L4350" s="9"/>
      <c r="M4350" s="11"/>
      <c r="N4350" s="9" t="s">
        <v>809</v>
      </c>
    </row>
    <row r="4351" ht="25" customHeight="1" spans="1:14">
      <c r="A4351" s="9" t="s">
        <v>327</v>
      </c>
      <c r="B4351" s="9" t="s">
        <v>326</v>
      </c>
      <c r="C4351" s="10">
        <v>45163</v>
      </c>
      <c r="D4351" s="15">
        <v>1.0124</v>
      </c>
      <c r="E4351" s="15">
        <v>1.5787</v>
      </c>
      <c r="F4351" s="15">
        <v>1.7393</v>
      </c>
      <c r="G4351" s="11">
        <v>0.0011</v>
      </c>
      <c r="H4351" s="9">
        <f>MAX($F$3239:F4351)</f>
        <v>1.7393</v>
      </c>
      <c r="I4351" s="11">
        <f t="shared" si="97"/>
        <v>0</v>
      </c>
      <c r="J4351" s="9"/>
      <c r="K4351" s="11"/>
      <c r="L4351" s="9"/>
      <c r="M4351" s="11"/>
      <c r="N4351" s="9" t="s">
        <v>809</v>
      </c>
    </row>
    <row r="4352" ht="25" customHeight="1" spans="1:14">
      <c r="A4352" s="9" t="s">
        <v>327</v>
      </c>
      <c r="B4352" s="9" t="s">
        <v>326</v>
      </c>
      <c r="C4352" s="10">
        <v>45166</v>
      </c>
      <c r="D4352" s="15">
        <v>1.0137</v>
      </c>
      <c r="E4352" s="15">
        <v>1.58</v>
      </c>
      <c r="F4352" s="15">
        <v>1.7415</v>
      </c>
      <c r="G4352" s="11">
        <v>0.0013</v>
      </c>
      <c r="H4352" s="9">
        <f>MAX($F$3239:F4352)</f>
        <v>1.7415</v>
      </c>
      <c r="I4352" s="11">
        <f t="shared" si="97"/>
        <v>0</v>
      </c>
      <c r="J4352" s="9"/>
      <c r="K4352" s="11"/>
      <c r="L4352" s="9"/>
      <c r="M4352" s="11"/>
      <c r="N4352" s="9" t="s">
        <v>809</v>
      </c>
    </row>
    <row r="4353" ht="25" customHeight="1" spans="1:14">
      <c r="A4353" s="9" t="s">
        <v>327</v>
      </c>
      <c r="B4353" s="9" t="s">
        <v>326</v>
      </c>
      <c r="C4353" s="10">
        <v>45167</v>
      </c>
      <c r="D4353" s="15">
        <v>1.0136</v>
      </c>
      <c r="E4353" s="15">
        <v>1.5799</v>
      </c>
      <c r="F4353" s="15">
        <v>1.7414</v>
      </c>
      <c r="G4353" s="11">
        <v>-0.0001</v>
      </c>
      <c r="H4353" s="9">
        <f>MAX($F$3239:F4353)</f>
        <v>1.7415</v>
      </c>
      <c r="I4353" s="11">
        <f t="shared" si="97"/>
        <v>5.74217628480644e-5</v>
      </c>
      <c r="J4353" s="9"/>
      <c r="K4353" s="11"/>
      <c r="L4353" s="9"/>
      <c r="M4353" s="11"/>
      <c r="N4353" s="9" t="s">
        <v>809</v>
      </c>
    </row>
    <row r="4354" ht="25" customHeight="1" spans="1:14">
      <c r="A4354" s="9" t="s">
        <v>327</v>
      </c>
      <c r="B4354" s="9" t="s">
        <v>326</v>
      </c>
      <c r="C4354" s="10">
        <v>45168</v>
      </c>
      <c r="D4354" s="15">
        <v>1.0132</v>
      </c>
      <c r="E4354" s="15">
        <v>1.5795</v>
      </c>
      <c r="F4354" s="15">
        <v>1.7407</v>
      </c>
      <c r="G4354" s="11">
        <v>-0.0004</v>
      </c>
      <c r="H4354" s="9">
        <f>MAX($F$3239:F4354)</f>
        <v>1.7415</v>
      </c>
      <c r="I4354" s="11">
        <f t="shared" ref="I4354:I4417" si="98">1-F4354/H4354</f>
        <v>0.000459374102785071</v>
      </c>
      <c r="J4354" s="9"/>
      <c r="K4354" s="11"/>
      <c r="L4354" s="9"/>
      <c r="M4354" s="11"/>
      <c r="N4354" s="9" t="s">
        <v>809</v>
      </c>
    </row>
    <row r="4355" ht="25" customHeight="1" spans="1:14">
      <c r="A4355" s="9" t="s">
        <v>327</v>
      </c>
      <c r="B4355" s="9" t="s">
        <v>326</v>
      </c>
      <c r="C4355" s="10">
        <v>45169</v>
      </c>
      <c r="D4355" s="15">
        <v>1.0132</v>
      </c>
      <c r="E4355" s="15">
        <v>1.5795</v>
      </c>
      <c r="F4355" s="15">
        <v>1.7407</v>
      </c>
      <c r="G4355" s="11">
        <v>0</v>
      </c>
      <c r="H4355" s="9">
        <f>MAX($F$3239:F4355)</f>
        <v>1.7415</v>
      </c>
      <c r="I4355" s="11">
        <f t="shared" si="98"/>
        <v>0.000459374102785071</v>
      </c>
      <c r="J4355" s="9"/>
      <c r="K4355" s="11"/>
      <c r="L4355" s="9"/>
      <c r="M4355" s="11"/>
      <c r="N4355" s="9" t="s">
        <v>809</v>
      </c>
    </row>
    <row r="4356" ht="25" customHeight="1" spans="1:14">
      <c r="A4356" s="9" t="s">
        <v>327</v>
      </c>
      <c r="B4356" s="9" t="s">
        <v>326</v>
      </c>
      <c r="C4356" s="10">
        <v>45170</v>
      </c>
      <c r="D4356" s="15">
        <v>1.0129</v>
      </c>
      <c r="E4356" s="15">
        <v>1.5792</v>
      </c>
      <c r="F4356" s="15">
        <v>1.7401</v>
      </c>
      <c r="G4356" s="11">
        <v>-0.0003</v>
      </c>
      <c r="H4356" s="9">
        <f>MAX($F$3239:F4356)</f>
        <v>1.7415</v>
      </c>
      <c r="I4356" s="11">
        <f t="shared" si="98"/>
        <v>0.000803904679873679</v>
      </c>
      <c r="J4356" s="9"/>
      <c r="K4356" s="11"/>
      <c r="L4356" s="9"/>
      <c r="M4356" s="11"/>
      <c r="N4356" s="9" t="s">
        <v>809</v>
      </c>
    </row>
    <row r="4357" ht="25" customHeight="1" spans="1:14">
      <c r="A4357" s="9" t="s">
        <v>327</v>
      </c>
      <c r="B4357" s="9" t="s">
        <v>326</v>
      </c>
      <c r="C4357" s="10">
        <v>45173</v>
      </c>
      <c r="D4357" s="15">
        <v>1.0135</v>
      </c>
      <c r="E4357" s="15">
        <v>1.5798</v>
      </c>
      <c r="F4357" s="15">
        <v>1.7412</v>
      </c>
      <c r="G4357" s="11">
        <v>0.0006</v>
      </c>
      <c r="H4357" s="9">
        <f>MAX($F$3239:F4357)</f>
        <v>1.7415</v>
      </c>
      <c r="I4357" s="11">
        <f t="shared" si="98"/>
        <v>0.000172265288544304</v>
      </c>
      <c r="J4357" s="9"/>
      <c r="K4357" s="11"/>
      <c r="L4357" s="9">
        <f>MAX($F$4357:F4357)</f>
        <v>1.7412</v>
      </c>
      <c r="M4357" s="11">
        <f t="shared" ref="M4357:M4420" si="99">1-F4357/L4357</f>
        <v>0</v>
      </c>
      <c r="N4357" s="9" t="s">
        <v>809</v>
      </c>
    </row>
    <row r="4358" ht="25" customHeight="1" spans="1:14">
      <c r="A4358" s="9" t="s">
        <v>327</v>
      </c>
      <c r="B4358" s="9" t="s">
        <v>326</v>
      </c>
      <c r="C4358" s="10">
        <v>45174</v>
      </c>
      <c r="D4358" s="15">
        <v>1.0135</v>
      </c>
      <c r="E4358" s="15">
        <v>1.5798</v>
      </c>
      <c r="F4358" s="15">
        <v>1.7412</v>
      </c>
      <c r="G4358" s="11">
        <v>0</v>
      </c>
      <c r="H4358" s="9">
        <f>MAX($F$3239:F4358)</f>
        <v>1.7415</v>
      </c>
      <c r="I4358" s="11">
        <f t="shared" si="98"/>
        <v>0.000172265288544304</v>
      </c>
      <c r="J4358" s="9"/>
      <c r="K4358" s="11"/>
      <c r="L4358" s="9">
        <f>MAX($F$4357:F4358)</f>
        <v>1.7412</v>
      </c>
      <c r="M4358" s="11">
        <f t="shared" si="99"/>
        <v>0</v>
      </c>
      <c r="N4358" s="9" t="s">
        <v>809</v>
      </c>
    </row>
    <row r="4359" ht="25" customHeight="1" spans="1:14">
      <c r="A4359" s="9" t="s">
        <v>327</v>
      </c>
      <c r="B4359" s="9" t="s">
        <v>326</v>
      </c>
      <c r="C4359" s="10">
        <v>45175</v>
      </c>
      <c r="D4359" s="15">
        <v>1.0139</v>
      </c>
      <c r="E4359" s="15">
        <v>1.5802</v>
      </c>
      <c r="F4359" s="15">
        <v>1.7419</v>
      </c>
      <c r="G4359" s="11">
        <v>0.0004</v>
      </c>
      <c r="H4359" s="9">
        <f>MAX($F$3239:F4359)</f>
        <v>1.7419</v>
      </c>
      <c r="I4359" s="11">
        <f t="shared" si="98"/>
        <v>0</v>
      </c>
      <c r="J4359" s="9"/>
      <c r="K4359" s="11"/>
      <c r="L4359" s="9">
        <f>MAX($F$4357:F4359)</f>
        <v>1.7419</v>
      </c>
      <c r="M4359" s="11">
        <f t="shared" si="99"/>
        <v>0</v>
      </c>
      <c r="N4359" s="9" t="s">
        <v>809</v>
      </c>
    </row>
    <row r="4360" ht="25" customHeight="1" spans="1:14">
      <c r="A4360" s="9" t="s">
        <v>327</v>
      </c>
      <c r="B4360" s="9" t="s">
        <v>326</v>
      </c>
      <c r="C4360" s="10">
        <v>45176</v>
      </c>
      <c r="D4360" s="15">
        <v>1.0141</v>
      </c>
      <c r="E4360" s="15">
        <v>1.5804</v>
      </c>
      <c r="F4360" s="15">
        <v>1.7422</v>
      </c>
      <c r="G4360" s="11">
        <v>0.0002</v>
      </c>
      <c r="H4360" s="9">
        <f>MAX($F$3239:F4360)</f>
        <v>1.7422</v>
      </c>
      <c r="I4360" s="11">
        <f t="shared" si="98"/>
        <v>0</v>
      </c>
      <c r="J4360" s="9"/>
      <c r="K4360" s="11"/>
      <c r="L4360" s="9">
        <f>MAX($F$4357:F4360)</f>
        <v>1.7422</v>
      </c>
      <c r="M4360" s="11">
        <f t="shared" si="99"/>
        <v>0</v>
      </c>
      <c r="N4360" s="9" t="s">
        <v>809</v>
      </c>
    </row>
    <row r="4361" ht="25" customHeight="1" spans="1:14">
      <c r="A4361" s="9" t="s">
        <v>327</v>
      </c>
      <c r="B4361" s="9" t="s">
        <v>326</v>
      </c>
      <c r="C4361" s="10">
        <v>45177</v>
      </c>
      <c r="D4361" s="15">
        <v>1.0143</v>
      </c>
      <c r="E4361" s="15">
        <v>1.5806</v>
      </c>
      <c r="F4361" s="15">
        <v>1.7426</v>
      </c>
      <c r="G4361" s="11">
        <v>0.0002</v>
      </c>
      <c r="H4361" s="9">
        <f>MAX($F$3239:F4361)</f>
        <v>1.7426</v>
      </c>
      <c r="I4361" s="11">
        <f t="shared" si="98"/>
        <v>0</v>
      </c>
      <c r="J4361" s="9"/>
      <c r="K4361" s="11"/>
      <c r="L4361" s="9">
        <f>MAX($F$4357:F4361)</f>
        <v>1.7426</v>
      </c>
      <c r="M4361" s="11">
        <f t="shared" si="99"/>
        <v>0</v>
      </c>
      <c r="N4361" s="9" t="s">
        <v>809</v>
      </c>
    </row>
    <row r="4362" ht="25" customHeight="1" spans="1:14">
      <c r="A4362" s="9" t="s">
        <v>327</v>
      </c>
      <c r="B4362" s="9" t="s">
        <v>326</v>
      </c>
      <c r="C4362" s="10">
        <v>45180</v>
      </c>
      <c r="D4362" s="15">
        <v>1.0146</v>
      </c>
      <c r="E4362" s="15">
        <v>1.5809</v>
      </c>
      <c r="F4362" s="15">
        <v>1.7431</v>
      </c>
      <c r="G4362" s="11">
        <v>0.0003</v>
      </c>
      <c r="H4362" s="9">
        <f>MAX($F$3239:F4362)</f>
        <v>1.7431</v>
      </c>
      <c r="I4362" s="11">
        <f t="shared" si="98"/>
        <v>0</v>
      </c>
      <c r="J4362" s="9"/>
      <c r="K4362" s="11"/>
      <c r="L4362" s="9">
        <f>MAX($F$4357:F4362)</f>
        <v>1.7431</v>
      </c>
      <c r="M4362" s="11">
        <f t="shared" si="99"/>
        <v>0</v>
      </c>
      <c r="N4362" s="9" t="s">
        <v>809</v>
      </c>
    </row>
    <row r="4363" ht="25" customHeight="1" spans="1:14">
      <c r="A4363" s="9" t="s">
        <v>327</v>
      </c>
      <c r="B4363" s="9" t="s">
        <v>326</v>
      </c>
      <c r="C4363" s="10">
        <v>45181</v>
      </c>
      <c r="D4363" s="15">
        <v>1.0149</v>
      </c>
      <c r="E4363" s="15">
        <v>1.5812</v>
      </c>
      <c r="F4363" s="15">
        <v>1.7436</v>
      </c>
      <c r="G4363" s="11">
        <v>0.0003</v>
      </c>
      <c r="H4363" s="9">
        <f>MAX($F$3239:F4363)</f>
        <v>1.7436</v>
      </c>
      <c r="I4363" s="11">
        <f t="shared" si="98"/>
        <v>0</v>
      </c>
      <c r="J4363" s="9"/>
      <c r="K4363" s="11"/>
      <c r="L4363" s="9">
        <f>MAX($F$4357:F4363)</f>
        <v>1.7436</v>
      </c>
      <c r="M4363" s="11">
        <f t="shared" si="99"/>
        <v>0</v>
      </c>
      <c r="N4363" s="9" t="s">
        <v>809</v>
      </c>
    </row>
    <row r="4364" ht="25" customHeight="1" spans="1:14">
      <c r="A4364" s="9" t="s">
        <v>327</v>
      </c>
      <c r="B4364" s="9" t="s">
        <v>326</v>
      </c>
      <c r="C4364" s="10">
        <v>45182</v>
      </c>
      <c r="D4364" s="15">
        <v>1.0149</v>
      </c>
      <c r="E4364" s="15">
        <v>1.5812</v>
      </c>
      <c r="F4364" s="15">
        <v>1.7436</v>
      </c>
      <c r="G4364" s="11">
        <v>0</v>
      </c>
      <c r="H4364" s="9">
        <f>MAX($F$3239:F4364)</f>
        <v>1.7436</v>
      </c>
      <c r="I4364" s="11">
        <f t="shared" si="98"/>
        <v>0</v>
      </c>
      <c r="J4364" s="9"/>
      <c r="K4364" s="11"/>
      <c r="L4364" s="9">
        <f>MAX($F$4357:F4364)</f>
        <v>1.7436</v>
      </c>
      <c r="M4364" s="11">
        <f t="shared" si="99"/>
        <v>0</v>
      </c>
      <c r="N4364" s="9" t="s">
        <v>809</v>
      </c>
    </row>
    <row r="4365" ht="25" customHeight="1" spans="1:14">
      <c r="A4365" s="9" t="s">
        <v>327</v>
      </c>
      <c r="B4365" s="9" t="s">
        <v>326</v>
      </c>
      <c r="C4365" s="10">
        <v>45183</v>
      </c>
      <c r="D4365" s="15">
        <v>1.0148</v>
      </c>
      <c r="E4365" s="15">
        <v>1.5811</v>
      </c>
      <c r="F4365" s="15">
        <v>1.7434</v>
      </c>
      <c r="G4365" s="11">
        <v>-0.0001</v>
      </c>
      <c r="H4365" s="9">
        <f>MAX($F$3239:F4365)</f>
        <v>1.7436</v>
      </c>
      <c r="I4365" s="11">
        <f t="shared" si="98"/>
        <v>0.000114705207616361</v>
      </c>
      <c r="J4365" s="9"/>
      <c r="K4365" s="11"/>
      <c r="L4365" s="9">
        <f>MAX($F$4357:F4365)</f>
        <v>1.7436</v>
      </c>
      <c r="M4365" s="11">
        <f t="shared" si="99"/>
        <v>0.000114705207616361</v>
      </c>
      <c r="N4365" s="9" t="s">
        <v>809</v>
      </c>
    </row>
    <row r="4366" ht="25" customHeight="1" spans="1:14">
      <c r="A4366" s="9" t="s">
        <v>327</v>
      </c>
      <c r="B4366" s="9" t="s">
        <v>326</v>
      </c>
      <c r="C4366" s="10">
        <v>45184</v>
      </c>
      <c r="D4366" s="15">
        <v>1.015</v>
      </c>
      <c r="E4366" s="15">
        <v>1.5813</v>
      </c>
      <c r="F4366" s="15">
        <v>1.7438</v>
      </c>
      <c r="G4366" s="11">
        <v>0.0002</v>
      </c>
      <c r="H4366" s="9">
        <f>MAX($F$3239:F4366)</f>
        <v>1.7438</v>
      </c>
      <c r="I4366" s="11">
        <f t="shared" si="98"/>
        <v>0</v>
      </c>
      <c r="J4366" s="9"/>
      <c r="K4366" s="11"/>
      <c r="L4366" s="9">
        <f>MAX($F$4357:F4366)</f>
        <v>1.7438</v>
      </c>
      <c r="M4366" s="11">
        <f t="shared" si="99"/>
        <v>0</v>
      </c>
      <c r="N4366" s="9" t="s">
        <v>809</v>
      </c>
    </row>
    <row r="4367" ht="25" customHeight="1" spans="1:14">
      <c r="A4367" s="9" t="s">
        <v>327</v>
      </c>
      <c r="B4367" s="9" t="s">
        <v>326</v>
      </c>
      <c r="C4367" s="10">
        <v>45187</v>
      </c>
      <c r="D4367" s="15">
        <v>1.0149</v>
      </c>
      <c r="E4367" s="15">
        <v>1.5812</v>
      </c>
      <c r="F4367" s="15">
        <v>1.7436</v>
      </c>
      <c r="G4367" s="11">
        <v>-0.0001</v>
      </c>
      <c r="H4367" s="9">
        <f>MAX($F$3239:F4367)</f>
        <v>1.7438</v>
      </c>
      <c r="I4367" s="11">
        <f t="shared" si="98"/>
        <v>0.000114692051840781</v>
      </c>
      <c r="J4367" s="9"/>
      <c r="K4367" s="11"/>
      <c r="L4367" s="9">
        <f>MAX($F$4357:F4367)</f>
        <v>1.7438</v>
      </c>
      <c r="M4367" s="11">
        <f t="shared" si="99"/>
        <v>0.000114692051840781</v>
      </c>
      <c r="N4367" s="9" t="s">
        <v>809</v>
      </c>
    </row>
    <row r="4368" ht="25" customHeight="1" spans="1:14">
      <c r="A4368" s="9" t="s">
        <v>327</v>
      </c>
      <c r="B4368" s="9" t="s">
        <v>326</v>
      </c>
      <c r="C4368" s="10">
        <v>45188</v>
      </c>
      <c r="D4368" s="15">
        <v>1.0148</v>
      </c>
      <c r="E4368" s="15">
        <v>1.5811</v>
      </c>
      <c r="F4368" s="15">
        <v>1.7434</v>
      </c>
      <c r="G4368" s="11">
        <v>-0.0001</v>
      </c>
      <c r="H4368" s="9">
        <f>MAX($F$3239:F4368)</f>
        <v>1.7438</v>
      </c>
      <c r="I4368" s="11">
        <f t="shared" si="98"/>
        <v>0.000229384103681562</v>
      </c>
      <c r="J4368" s="9"/>
      <c r="K4368" s="11"/>
      <c r="L4368" s="9">
        <f>MAX($F$4357:F4368)</f>
        <v>1.7438</v>
      </c>
      <c r="M4368" s="11">
        <f t="shared" si="99"/>
        <v>0.000229384103681562</v>
      </c>
      <c r="N4368" s="9" t="s">
        <v>809</v>
      </c>
    </row>
    <row r="4369" ht="25" customHeight="1" spans="1:14">
      <c r="A4369" s="9" t="s">
        <v>327</v>
      </c>
      <c r="B4369" s="9" t="s">
        <v>326</v>
      </c>
      <c r="C4369" s="10">
        <v>45189</v>
      </c>
      <c r="D4369" s="15">
        <v>1.0148</v>
      </c>
      <c r="E4369" s="15">
        <v>1.5811</v>
      </c>
      <c r="F4369" s="15">
        <v>1.7434</v>
      </c>
      <c r="G4369" s="11">
        <v>0</v>
      </c>
      <c r="H4369" s="9">
        <f>MAX($F$3239:F4369)</f>
        <v>1.7438</v>
      </c>
      <c r="I4369" s="11">
        <f t="shared" si="98"/>
        <v>0.000229384103681562</v>
      </c>
      <c r="J4369" s="9"/>
      <c r="K4369" s="11"/>
      <c r="L4369" s="9">
        <f>MAX($F$4357:F4369)</f>
        <v>1.7438</v>
      </c>
      <c r="M4369" s="11">
        <f t="shared" si="99"/>
        <v>0.000229384103681562</v>
      </c>
      <c r="N4369" s="9" t="s">
        <v>809</v>
      </c>
    </row>
    <row r="4370" ht="25" customHeight="1" spans="1:14">
      <c r="A4370" s="9" t="s">
        <v>327</v>
      </c>
      <c r="B4370" s="9" t="s">
        <v>326</v>
      </c>
      <c r="C4370" s="10">
        <v>45190</v>
      </c>
      <c r="D4370" s="15">
        <v>1.0181</v>
      </c>
      <c r="E4370" s="15">
        <v>1.5844</v>
      </c>
      <c r="F4370" s="15">
        <v>1.7491</v>
      </c>
      <c r="G4370" s="11">
        <v>0.0033</v>
      </c>
      <c r="H4370" s="9">
        <f>MAX($F$3239:F4370)</f>
        <v>1.7491</v>
      </c>
      <c r="I4370" s="11">
        <f t="shared" si="98"/>
        <v>0</v>
      </c>
      <c r="J4370" s="9"/>
      <c r="K4370" s="11"/>
      <c r="L4370" s="9">
        <f>MAX($F$4357:F4370)</f>
        <v>1.7491</v>
      </c>
      <c r="M4370" s="11">
        <f t="shared" si="99"/>
        <v>0</v>
      </c>
      <c r="N4370" s="9" t="s">
        <v>809</v>
      </c>
    </row>
    <row r="4371" ht="25" customHeight="1" spans="1:14">
      <c r="A4371" s="9" t="s">
        <v>327</v>
      </c>
      <c r="B4371" s="9" t="s">
        <v>326</v>
      </c>
      <c r="C4371" s="10">
        <v>45191</v>
      </c>
      <c r="D4371" s="15">
        <v>1.0182</v>
      </c>
      <c r="E4371" s="15">
        <v>1.5845</v>
      </c>
      <c r="F4371" s="15">
        <v>1.7493</v>
      </c>
      <c r="G4371" s="11">
        <v>0.0001</v>
      </c>
      <c r="H4371" s="9">
        <f>MAX($F$3239:F4371)</f>
        <v>1.7493</v>
      </c>
      <c r="I4371" s="11">
        <f t="shared" si="98"/>
        <v>0</v>
      </c>
      <c r="J4371" s="9"/>
      <c r="K4371" s="11"/>
      <c r="L4371" s="9">
        <f>MAX($F$4357:F4371)</f>
        <v>1.7493</v>
      </c>
      <c r="M4371" s="11">
        <f t="shared" si="99"/>
        <v>0</v>
      </c>
      <c r="N4371" s="9" t="s">
        <v>809</v>
      </c>
    </row>
    <row r="4372" ht="25" customHeight="1" spans="1:14">
      <c r="A4372" s="9" t="s">
        <v>327</v>
      </c>
      <c r="B4372" s="9" t="s">
        <v>326</v>
      </c>
      <c r="C4372" s="10">
        <v>45194</v>
      </c>
      <c r="D4372" s="15">
        <v>1.0178</v>
      </c>
      <c r="E4372" s="15">
        <v>1.5841</v>
      </c>
      <c r="F4372" s="15">
        <v>1.7486</v>
      </c>
      <c r="G4372" s="11">
        <v>-0.0004</v>
      </c>
      <c r="H4372" s="9">
        <f>MAX($F$3239:F4372)</f>
        <v>1.7493</v>
      </c>
      <c r="I4372" s="11">
        <f t="shared" si="98"/>
        <v>0.000400160064025656</v>
      </c>
      <c r="J4372" s="9"/>
      <c r="K4372" s="11"/>
      <c r="L4372" s="9">
        <f>MAX($F$4357:F4372)</f>
        <v>1.7493</v>
      </c>
      <c r="M4372" s="11">
        <f t="shared" si="99"/>
        <v>0.000400160064025656</v>
      </c>
      <c r="N4372" s="9" t="s">
        <v>809</v>
      </c>
    </row>
    <row r="4373" ht="25" customHeight="1" spans="1:14">
      <c r="A4373" s="9" t="s">
        <v>327</v>
      </c>
      <c r="B4373" s="9" t="s">
        <v>326</v>
      </c>
      <c r="C4373" s="10">
        <v>45195</v>
      </c>
      <c r="D4373" s="15">
        <v>1.0176</v>
      </c>
      <c r="E4373" s="15">
        <v>1.5839</v>
      </c>
      <c r="F4373" s="15">
        <v>1.7482</v>
      </c>
      <c r="G4373" s="11">
        <v>-0.0002</v>
      </c>
      <c r="H4373" s="9">
        <f>MAX($F$3239:F4373)</f>
        <v>1.7493</v>
      </c>
      <c r="I4373" s="11">
        <f t="shared" si="98"/>
        <v>0.000628822957754571</v>
      </c>
      <c r="J4373" s="9"/>
      <c r="K4373" s="11"/>
      <c r="L4373" s="9">
        <f>MAX($F$4357:F4373)</f>
        <v>1.7493</v>
      </c>
      <c r="M4373" s="11">
        <f t="shared" si="99"/>
        <v>0.000628822957754571</v>
      </c>
      <c r="N4373" s="9" t="s">
        <v>809</v>
      </c>
    </row>
    <row r="4374" ht="25" customHeight="1" spans="1:14">
      <c r="A4374" s="9" t="s">
        <v>327</v>
      </c>
      <c r="B4374" s="9" t="s">
        <v>326</v>
      </c>
      <c r="C4374" s="10">
        <v>45196</v>
      </c>
      <c r="D4374" s="15">
        <v>1.0191</v>
      </c>
      <c r="E4374" s="15">
        <v>1.5854</v>
      </c>
      <c r="F4374" s="15">
        <v>1.7508</v>
      </c>
      <c r="G4374" s="11">
        <v>0.0015</v>
      </c>
      <c r="H4374" s="9">
        <f>MAX($F$3239:F4374)</f>
        <v>1.7508</v>
      </c>
      <c r="I4374" s="11">
        <f t="shared" si="98"/>
        <v>0</v>
      </c>
      <c r="J4374" s="9"/>
      <c r="K4374" s="11"/>
      <c r="L4374" s="9">
        <f>MAX($F$4357:F4374)</f>
        <v>1.7508</v>
      </c>
      <c r="M4374" s="11">
        <f t="shared" si="99"/>
        <v>0</v>
      </c>
      <c r="N4374" s="9" t="s">
        <v>809</v>
      </c>
    </row>
    <row r="4375" ht="25" customHeight="1" spans="1:14">
      <c r="A4375" s="9" t="s">
        <v>327</v>
      </c>
      <c r="B4375" s="9" t="s">
        <v>326</v>
      </c>
      <c r="C4375" s="10">
        <v>45197</v>
      </c>
      <c r="D4375" s="15">
        <v>1.019</v>
      </c>
      <c r="E4375" s="15">
        <v>1.5853</v>
      </c>
      <c r="F4375" s="15">
        <v>1.7506</v>
      </c>
      <c r="G4375" s="11">
        <v>-0.0001</v>
      </c>
      <c r="H4375" s="9">
        <f>MAX($F$3239:F4375)</f>
        <v>1.7508</v>
      </c>
      <c r="I4375" s="11">
        <f t="shared" si="98"/>
        <v>0.00011423349326023</v>
      </c>
      <c r="J4375" s="9"/>
      <c r="K4375" s="11"/>
      <c r="L4375" s="9">
        <f>MAX($F$4357:F4375)</f>
        <v>1.7508</v>
      </c>
      <c r="M4375" s="11">
        <f t="shared" si="99"/>
        <v>0.00011423349326023</v>
      </c>
      <c r="N4375" s="9" t="s">
        <v>809</v>
      </c>
    </row>
    <row r="4376" ht="25" customHeight="1" spans="1:14">
      <c r="A4376" s="9" t="s">
        <v>327</v>
      </c>
      <c r="B4376" s="9" t="s">
        <v>326</v>
      </c>
      <c r="C4376" s="10">
        <v>45208</v>
      </c>
      <c r="D4376" s="15">
        <v>1.0195</v>
      </c>
      <c r="E4376" s="15">
        <v>1.5858</v>
      </c>
      <c r="F4376" s="15">
        <v>1.7515</v>
      </c>
      <c r="G4376" s="11">
        <v>0.0005</v>
      </c>
      <c r="H4376" s="9">
        <f>MAX($F$3239:F4376)</f>
        <v>1.7515</v>
      </c>
      <c r="I4376" s="11">
        <f t="shared" si="98"/>
        <v>0</v>
      </c>
      <c r="J4376" s="9"/>
      <c r="K4376" s="11"/>
      <c r="L4376" s="9">
        <f>MAX($F$4357:F4376)</f>
        <v>1.7515</v>
      </c>
      <c r="M4376" s="11">
        <f t="shared" si="99"/>
        <v>0</v>
      </c>
      <c r="N4376" s="9" t="s">
        <v>809</v>
      </c>
    </row>
    <row r="4377" ht="25" customHeight="1" spans="1:14">
      <c r="A4377" s="9" t="s">
        <v>327</v>
      </c>
      <c r="B4377" s="9" t="s">
        <v>326</v>
      </c>
      <c r="C4377" s="10">
        <v>45209</v>
      </c>
      <c r="D4377" s="15">
        <v>1.0194</v>
      </c>
      <c r="E4377" s="15">
        <v>1.5857</v>
      </c>
      <c r="F4377" s="15">
        <v>1.7513</v>
      </c>
      <c r="G4377" s="11">
        <v>-0.0001</v>
      </c>
      <c r="H4377" s="9">
        <f>MAX($F$3239:F4377)</f>
        <v>1.7515</v>
      </c>
      <c r="I4377" s="11">
        <f t="shared" si="98"/>
        <v>0.000114187838995083</v>
      </c>
      <c r="J4377" s="9"/>
      <c r="K4377" s="11"/>
      <c r="L4377" s="9">
        <f>MAX($F$4357:F4377)</f>
        <v>1.7515</v>
      </c>
      <c r="M4377" s="11">
        <f t="shared" si="99"/>
        <v>0.000114187838995083</v>
      </c>
      <c r="N4377" s="9" t="s">
        <v>809</v>
      </c>
    </row>
    <row r="4378" ht="25" customHeight="1" spans="1:14">
      <c r="A4378" s="9" t="s">
        <v>327</v>
      </c>
      <c r="B4378" s="9" t="s">
        <v>326</v>
      </c>
      <c r="C4378" s="10">
        <v>45210</v>
      </c>
      <c r="D4378" s="15">
        <v>1.0198</v>
      </c>
      <c r="E4378" s="15">
        <v>1.5861</v>
      </c>
      <c r="F4378" s="15">
        <v>1.752</v>
      </c>
      <c r="G4378" s="11">
        <v>0.0004</v>
      </c>
      <c r="H4378" s="9">
        <f>MAX($F$3239:F4378)</f>
        <v>1.752</v>
      </c>
      <c r="I4378" s="11">
        <f t="shared" si="98"/>
        <v>0</v>
      </c>
      <c r="J4378" s="9"/>
      <c r="K4378" s="11"/>
      <c r="L4378" s="9">
        <f>MAX($F$4357:F4378)</f>
        <v>1.752</v>
      </c>
      <c r="M4378" s="11">
        <f t="shared" si="99"/>
        <v>0</v>
      </c>
      <c r="N4378" s="9" t="s">
        <v>809</v>
      </c>
    </row>
    <row r="4379" ht="25" customHeight="1" spans="1:14">
      <c r="A4379" s="9" t="s">
        <v>327</v>
      </c>
      <c r="B4379" s="9" t="s">
        <v>326</v>
      </c>
      <c r="C4379" s="10">
        <v>45211</v>
      </c>
      <c r="D4379" s="15">
        <v>1.0199</v>
      </c>
      <c r="E4379" s="15">
        <v>1.5862</v>
      </c>
      <c r="F4379" s="15">
        <v>1.7522</v>
      </c>
      <c r="G4379" s="11">
        <v>0.0001</v>
      </c>
      <c r="H4379" s="9">
        <f>MAX($F$3239:F4379)</f>
        <v>1.7522</v>
      </c>
      <c r="I4379" s="11">
        <f t="shared" si="98"/>
        <v>0</v>
      </c>
      <c r="J4379" s="9"/>
      <c r="K4379" s="11"/>
      <c r="L4379" s="9">
        <f>MAX($F$4357:F4379)</f>
        <v>1.7522</v>
      </c>
      <c r="M4379" s="11">
        <f t="shared" si="99"/>
        <v>0</v>
      </c>
      <c r="N4379" s="9" t="s">
        <v>809</v>
      </c>
    </row>
    <row r="4380" ht="25" customHeight="1" spans="1:14">
      <c r="A4380" s="9" t="s">
        <v>327</v>
      </c>
      <c r="B4380" s="9" t="s">
        <v>326</v>
      </c>
      <c r="C4380" s="10">
        <v>45212</v>
      </c>
      <c r="D4380" s="15">
        <v>1.0204</v>
      </c>
      <c r="E4380" s="15">
        <v>1.5867</v>
      </c>
      <c r="F4380" s="15">
        <v>1.753</v>
      </c>
      <c r="G4380" s="11">
        <v>0.0005</v>
      </c>
      <c r="H4380" s="9">
        <f>MAX($F$3239:F4380)</f>
        <v>1.753</v>
      </c>
      <c r="I4380" s="11">
        <f t="shared" si="98"/>
        <v>0</v>
      </c>
      <c r="J4380" s="9"/>
      <c r="K4380" s="11"/>
      <c r="L4380" s="9">
        <f>MAX($F$4357:F4380)</f>
        <v>1.753</v>
      </c>
      <c r="M4380" s="11">
        <f t="shared" si="99"/>
        <v>0</v>
      </c>
      <c r="N4380" s="9" t="s">
        <v>809</v>
      </c>
    </row>
    <row r="4381" ht="25" customHeight="1" spans="1:14">
      <c r="A4381" s="9" t="s">
        <v>327</v>
      </c>
      <c r="B4381" s="9" t="s">
        <v>326</v>
      </c>
      <c r="C4381" s="10">
        <v>45215</v>
      </c>
      <c r="D4381" s="15">
        <v>1.0204</v>
      </c>
      <c r="E4381" s="15">
        <v>1.5867</v>
      </c>
      <c r="F4381" s="15">
        <v>1.753</v>
      </c>
      <c r="G4381" s="11">
        <v>0</v>
      </c>
      <c r="H4381" s="9">
        <f>MAX($F$3239:F4381)</f>
        <v>1.753</v>
      </c>
      <c r="I4381" s="11">
        <f t="shared" si="98"/>
        <v>0</v>
      </c>
      <c r="J4381" s="9"/>
      <c r="K4381" s="11"/>
      <c r="L4381" s="9">
        <f>MAX($F$4357:F4381)</f>
        <v>1.753</v>
      </c>
      <c r="M4381" s="11">
        <f t="shared" si="99"/>
        <v>0</v>
      </c>
      <c r="N4381" s="9" t="s">
        <v>809</v>
      </c>
    </row>
    <row r="4382" ht="25" customHeight="1" spans="1:14">
      <c r="A4382" s="9" t="s">
        <v>327</v>
      </c>
      <c r="B4382" s="9" t="s">
        <v>326</v>
      </c>
      <c r="C4382" s="10">
        <v>45216</v>
      </c>
      <c r="D4382" s="15">
        <v>1.0203</v>
      </c>
      <c r="E4382" s="15">
        <v>1.5866</v>
      </c>
      <c r="F4382" s="15">
        <v>1.7529</v>
      </c>
      <c r="G4382" s="11">
        <v>-0.0001</v>
      </c>
      <c r="H4382" s="9">
        <f>MAX($F$3239:F4382)</f>
        <v>1.753</v>
      </c>
      <c r="I4382" s="11">
        <f t="shared" si="98"/>
        <v>5.70450656017796e-5</v>
      </c>
      <c r="J4382" s="9"/>
      <c r="K4382" s="11"/>
      <c r="L4382" s="9">
        <f>MAX($F$4357:F4382)</f>
        <v>1.753</v>
      </c>
      <c r="M4382" s="11">
        <f t="shared" si="99"/>
        <v>5.70450656017796e-5</v>
      </c>
      <c r="N4382" s="9" t="s">
        <v>809</v>
      </c>
    </row>
    <row r="4383" ht="25" customHeight="1" spans="1:14">
      <c r="A4383" s="9" t="s">
        <v>327</v>
      </c>
      <c r="B4383" s="9" t="s">
        <v>326</v>
      </c>
      <c r="C4383" s="10">
        <v>45217</v>
      </c>
      <c r="D4383" s="15">
        <v>1.0207</v>
      </c>
      <c r="E4383" s="15">
        <v>1.587</v>
      </c>
      <c r="F4383" s="15">
        <v>1.7536</v>
      </c>
      <c r="G4383" s="11">
        <v>0.0004</v>
      </c>
      <c r="H4383" s="9">
        <f>MAX($F$3239:F4383)</f>
        <v>1.7536</v>
      </c>
      <c r="I4383" s="11">
        <f t="shared" si="98"/>
        <v>0</v>
      </c>
      <c r="J4383" s="9"/>
      <c r="K4383" s="11"/>
      <c r="L4383" s="9">
        <f>MAX($F$4357:F4383)</f>
        <v>1.7536</v>
      </c>
      <c r="M4383" s="11">
        <f t="shared" si="99"/>
        <v>0</v>
      </c>
      <c r="N4383" s="9" t="s">
        <v>809</v>
      </c>
    </row>
    <row r="4384" ht="25" customHeight="1" spans="1:14">
      <c r="A4384" s="9" t="s">
        <v>327</v>
      </c>
      <c r="B4384" s="9" t="s">
        <v>326</v>
      </c>
      <c r="C4384" s="10">
        <v>45218</v>
      </c>
      <c r="D4384" s="15">
        <v>1.0194</v>
      </c>
      <c r="E4384" s="15">
        <v>1.5857</v>
      </c>
      <c r="F4384" s="15">
        <v>1.7513</v>
      </c>
      <c r="G4384" s="11">
        <v>-0.0013</v>
      </c>
      <c r="H4384" s="9">
        <f>MAX($F$3239:F4384)</f>
        <v>1.7536</v>
      </c>
      <c r="I4384" s="11">
        <f t="shared" si="98"/>
        <v>0.00131158759124084</v>
      </c>
      <c r="J4384" s="9"/>
      <c r="K4384" s="11"/>
      <c r="L4384" s="9">
        <f>MAX($F$4357:F4384)</f>
        <v>1.7536</v>
      </c>
      <c r="M4384" s="11">
        <f t="shared" si="99"/>
        <v>0.00131158759124084</v>
      </c>
      <c r="N4384" s="9" t="s">
        <v>809</v>
      </c>
    </row>
    <row r="4385" ht="25" customHeight="1" spans="1:14">
      <c r="A4385" s="9" t="s">
        <v>327</v>
      </c>
      <c r="B4385" s="9" t="s">
        <v>326</v>
      </c>
      <c r="C4385" s="10">
        <v>45219</v>
      </c>
      <c r="D4385" s="15">
        <v>1.0193</v>
      </c>
      <c r="E4385" s="15">
        <v>1.5856</v>
      </c>
      <c r="F4385" s="15">
        <v>1.7511</v>
      </c>
      <c r="G4385" s="11">
        <v>-0.0001</v>
      </c>
      <c r="H4385" s="9">
        <f>MAX($F$3239:F4385)</f>
        <v>1.7536</v>
      </c>
      <c r="I4385" s="11">
        <f t="shared" si="98"/>
        <v>0.00142563868613133</v>
      </c>
      <c r="J4385" s="9"/>
      <c r="K4385" s="11"/>
      <c r="L4385" s="9">
        <f>MAX($F$4357:F4385)</f>
        <v>1.7536</v>
      </c>
      <c r="M4385" s="11">
        <f t="shared" si="99"/>
        <v>0.00142563868613133</v>
      </c>
      <c r="N4385" s="9" t="s">
        <v>809</v>
      </c>
    </row>
    <row r="4386" ht="25" customHeight="1" spans="1:14">
      <c r="A4386" s="9" t="s">
        <v>327</v>
      </c>
      <c r="B4386" s="9" t="s">
        <v>326</v>
      </c>
      <c r="C4386" s="10">
        <v>45222</v>
      </c>
      <c r="D4386" s="15">
        <v>1.0187</v>
      </c>
      <c r="E4386" s="15">
        <v>1.585</v>
      </c>
      <c r="F4386" s="15">
        <v>1.7501</v>
      </c>
      <c r="G4386" s="11">
        <v>-0.0006</v>
      </c>
      <c r="H4386" s="9">
        <f>MAX($F$3239:F4386)</f>
        <v>1.7536</v>
      </c>
      <c r="I4386" s="11">
        <f t="shared" si="98"/>
        <v>0.00199589416058399</v>
      </c>
      <c r="J4386" s="9"/>
      <c r="K4386" s="11"/>
      <c r="L4386" s="9">
        <f>MAX($F$4357:F4386)</f>
        <v>1.7536</v>
      </c>
      <c r="M4386" s="11">
        <f t="shared" si="99"/>
        <v>0.00199589416058399</v>
      </c>
      <c r="N4386" s="9" t="s">
        <v>809</v>
      </c>
    </row>
    <row r="4387" ht="25" customHeight="1" spans="1:14">
      <c r="A4387" s="9" t="s">
        <v>327</v>
      </c>
      <c r="B4387" s="9" t="s">
        <v>326</v>
      </c>
      <c r="C4387" s="10">
        <v>45223</v>
      </c>
      <c r="D4387" s="15">
        <v>1.0211</v>
      </c>
      <c r="E4387" s="15">
        <v>1.5874</v>
      </c>
      <c r="F4387" s="15">
        <v>1.7542</v>
      </c>
      <c r="G4387" s="11">
        <v>0.0024</v>
      </c>
      <c r="H4387" s="9">
        <f>MAX($F$3239:F4387)</f>
        <v>1.7542</v>
      </c>
      <c r="I4387" s="11">
        <f t="shared" si="98"/>
        <v>0</v>
      </c>
      <c r="J4387" s="9"/>
      <c r="K4387" s="11"/>
      <c r="L4387" s="9">
        <f>MAX($F$4357:F4387)</f>
        <v>1.7542</v>
      </c>
      <c r="M4387" s="11">
        <f t="shared" si="99"/>
        <v>0</v>
      </c>
      <c r="N4387" s="9" t="s">
        <v>809</v>
      </c>
    </row>
    <row r="4388" ht="25" customHeight="1" spans="1:14">
      <c r="A4388" s="9" t="s">
        <v>327</v>
      </c>
      <c r="B4388" s="9" t="s">
        <v>326</v>
      </c>
      <c r="C4388" s="10">
        <v>45224</v>
      </c>
      <c r="D4388" s="15">
        <v>1.0213</v>
      </c>
      <c r="E4388" s="15">
        <v>1.5876</v>
      </c>
      <c r="F4388" s="15">
        <v>1.7546</v>
      </c>
      <c r="G4388" s="11">
        <v>0.0002</v>
      </c>
      <c r="H4388" s="9">
        <f>MAX($F$3239:F4388)</f>
        <v>1.7546</v>
      </c>
      <c r="I4388" s="11">
        <f t="shared" si="98"/>
        <v>0</v>
      </c>
      <c r="J4388" s="9"/>
      <c r="K4388" s="11"/>
      <c r="L4388" s="9">
        <f>MAX($F$4357:F4388)</f>
        <v>1.7546</v>
      </c>
      <c r="M4388" s="11">
        <f t="shared" si="99"/>
        <v>0</v>
      </c>
      <c r="N4388" s="9" t="s">
        <v>809</v>
      </c>
    </row>
    <row r="4389" ht="25" customHeight="1" spans="1:14">
      <c r="A4389" s="9" t="s">
        <v>327</v>
      </c>
      <c r="B4389" s="9" t="s">
        <v>326</v>
      </c>
      <c r="C4389" s="10">
        <v>45225</v>
      </c>
      <c r="D4389" s="15">
        <v>1.0221</v>
      </c>
      <c r="E4389" s="15">
        <v>1.5884</v>
      </c>
      <c r="F4389" s="15">
        <v>1.756</v>
      </c>
      <c r="G4389" s="11">
        <v>0.0008</v>
      </c>
      <c r="H4389" s="9">
        <f>MAX($F$3239:F4389)</f>
        <v>1.756</v>
      </c>
      <c r="I4389" s="11">
        <f t="shared" si="98"/>
        <v>0</v>
      </c>
      <c r="J4389" s="9"/>
      <c r="K4389" s="11"/>
      <c r="L4389" s="9">
        <f>MAX($F$4357:F4389)</f>
        <v>1.756</v>
      </c>
      <c r="M4389" s="11">
        <f t="shared" si="99"/>
        <v>0</v>
      </c>
      <c r="N4389" s="9" t="s">
        <v>809</v>
      </c>
    </row>
    <row r="4390" ht="25" customHeight="1" spans="1:14">
      <c r="A4390" s="9" t="s">
        <v>327</v>
      </c>
      <c r="B4390" s="9" t="s">
        <v>326</v>
      </c>
      <c r="C4390" s="10">
        <v>45226</v>
      </c>
      <c r="D4390" s="15">
        <v>1.0214</v>
      </c>
      <c r="E4390" s="15">
        <v>1.5877</v>
      </c>
      <c r="F4390" s="15">
        <v>1.7548</v>
      </c>
      <c r="G4390" s="11">
        <v>-0.0007</v>
      </c>
      <c r="H4390" s="9">
        <f>MAX($F$3239:F4390)</f>
        <v>1.756</v>
      </c>
      <c r="I4390" s="11">
        <f t="shared" si="98"/>
        <v>0.000683371298405566</v>
      </c>
      <c r="J4390" s="9"/>
      <c r="K4390" s="11"/>
      <c r="L4390" s="9">
        <f>MAX($F$4357:F4390)</f>
        <v>1.756</v>
      </c>
      <c r="M4390" s="11">
        <f t="shared" si="99"/>
        <v>0.000683371298405566</v>
      </c>
      <c r="N4390" s="9" t="s">
        <v>809</v>
      </c>
    </row>
    <row r="4391" ht="25" customHeight="1" spans="1:14">
      <c r="A4391" s="9" t="s">
        <v>327</v>
      </c>
      <c r="B4391" s="9" t="s">
        <v>326</v>
      </c>
      <c r="C4391" s="10">
        <v>45229</v>
      </c>
      <c r="D4391" s="15">
        <v>1.0215</v>
      </c>
      <c r="E4391" s="15">
        <v>1.5878</v>
      </c>
      <c r="F4391" s="15">
        <v>1.7549</v>
      </c>
      <c r="G4391" s="11">
        <v>0.0001</v>
      </c>
      <c r="H4391" s="9">
        <f>MAX($F$3239:F4391)</f>
        <v>1.756</v>
      </c>
      <c r="I4391" s="11">
        <f t="shared" si="98"/>
        <v>0.000626423690205047</v>
      </c>
      <c r="J4391" s="9"/>
      <c r="K4391" s="11"/>
      <c r="L4391" s="9">
        <f>MAX($F$4357:F4391)</f>
        <v>1.756</v>
      </c>
      <c r="M4391" s="11">
        <f t="shared" si="99"/>
        <v>0.000626423690205047</v>
      </c>
      <c r="N4391" s="9" t="s">
        <v>809</v>
      </c>
    </row>
    <row r="4392" ht="25" customHeight="1" spans="1:14">
      <c r="A4392" s="9" t="s">
        <v>327</v>
      </c>
      <c r="B4392" s="9" t="s">
        <v>326</v>
      </c>
      <c r="C4392" s="10">
        <v>45230</v>
      </c>
      <c r="D4392" s="15">
        <v>1.0214</v>
      </c>
      <c r="E4392" s="15">
        <v>1.5877</v>
      </c>
      <c r="F4392" s="15">
        <v>1.7548</v>
      </c>
      <c r="G4392" s="11">
        <v>-0.0001</v>
      </c>
      <c r="H4392" s="9">
        <f>MAX($F$3239:F4392)</f>
        <v>1.756</v>
      </c>
      <c r="I4392" s="11">
        <f t="shared" si="98"/>
        <v>0.000683371298405566</v>
      </c>
      <c r="J4392" s="9"/>
      <c r="K4392" s="11"/>
      <c r="L4392" s="9">
        <f>MAX($F$4357:F4392)</f>
        <v>1.756</v>
      </c>
      <c r="M4392" s="11">
        <f t="shared" si="99"/>
        <v>0.000683371298405566</v>
      </c>
      <c r="N4392" s="9" t="s">
        <v>809</v>
      </c>
    </row>
    <row r="4393" ht="25" customHeight="1" spans="1:14">
      <c r="A4393" s="9" t="s">
        <v>327</v>
      </c>
      <c r="B4393" s="9" t="s">
        <v>326</v>
      </c>
      <c r="C4393" s="10">
        <v>45231</v>
      </c>
      <c r="D4393" s="15">
        <v>1.0218</v>
      </c>
      <c r="E4393" s="15">
        <v>1.5881</v>
      </c>
      <c r="F4393" s="15">
        <v>1.7554</v>
      </c>
      <c r="G4393" s="11">
        <v>0.0004</v>
      </c>
      <c r="H4393" s="9">
        <f>MAX($F$3239:F4393)</f>
        <v>1.756</v>
      </c>
      <c r="I4393" s="11">
        <f t="shared" si="98"/>
        <v>0.000341685649202672</v>
      </c>
      <c r="J4393" s="9"/>
      <c r="K4393" s="11"/>
      <c r="L4393" s="9">
        <f>MAX($F$4357:F4393)</f>
        <v>1.756</v>
      </c>
      <c r="M4393" s="11">
        <f t="shared" si="99"/>
        <v>0.000341685649202672</v>
      </c>
      <c r="N4393" s="9" t="s">
        <v>809</v>
      </c>
    </row>
    <row r="4394" ht="25" customHeight="1" spans="1:14">
      <c r="A4394" s="9" t="s">
        <v>327</v>
      </c>
      <c r="B4394" s="9" t="s">
        <v>326</v>
      </c>
      <c r="C4394" s="10">
        <v>45232</v>
      </c>
      <c r="D4394" s="15">
        <v>1.0218</v>
      </c>
      <c r="E4394" s="15">
        <v>1.5881</v>
      </c>
      <c r="F4394" s="15">
        <v>1.7554</v>
      </c>
      <c r="G4394" s="11">
        <v>0</v>
      </c>
      <c r="H4394" s="9">
        <f>MAX($F$3239:F4394)</f>
        <v>1.756</v>
      </c>
      <c r="I4394" s="11">
        <f t="shared" si="98"/>
        <v>0.000341685649202672</v>
      </c>
      <c r="J4394" s="9"/>
      <c r="K4394" s="11"/>
      <c r="L4394" s="9">
        <f>MAX($F$4357:F4394)</f>
        <v>1.756</v>
      </c>
      <c r="M4394" s="11">
        <f t="shared" si="99"/>
        <v>0.000341685649202672</v>
      </c>
      <c r="N4394" s="9" t="s">
        <v>809</v>
      </c>
    </row>
    <row r="4395" ht="25" customHeight="1" spans="1:14">
      <c r="A4395" s="9" t="s">
        <v>327</v>
      </c>
      <c r="B4395" s="9" t="s">
        <v>326</v>
      </c>
      <c r="C4395" s="10">
        <v>45233</v>
      </c>
      <c r="D4395" s="15">
        <v>1.0214</v>
      </c>
      <c r="E4395" s="15">
        <v>1.5877</v>
      </c>
      <c r="F4395" s="15">
        <v>1.7548</v>
      </c>
      <c r="G4395" s="11">
        <v>-0.0004</v>
      </c>
      <c r="H4395" s="9">
        <f>MAX($F$3239:F4395)</f>
        <v>1.756</v>
      </c>
      <c r="I4395" s="11">
        <f t="shared" si="98"/>
        <v>0.000683371298405566</v>
      </c>
      <c r="J4395" s="9"/>
      <c r="K4395" s="11"/>
      <c r="L4395" s="9">
        <f>MAX($F$4357:F4395)</f>
        <v>1.756</v>
      </c>
      <c r="M4395" s="11">
        <f t="shared" si="99"/>
        <v>0.000683371298405566</v>
      </c>
      <c r="N4395" s="9" t="s">
        <v>809</v>
      </c>
    </row>
    <row r="4396" ht="25" customHeight="1" spans="1:14">
      <c r="A4396" s="9" t="s">
        <v>327</v>
      </c>
      <c r="B4396" s="9" t="s">
        <v>326</v>
      </c>
      <c r="C4396" s="10">
        <v>45236</v>
      </c>
      <c r="D4396" s="15">
        <v>1.0218</v>
      </c>
      <c r="E4396" s="15">
        <v>1.5881</v>
      </c>
      <c r="F4396" s="15">
        <v>1.7554</v>
      </c>
      <c r="G4396" s="11">
        <v>0.0004</v>
      </c>
      <c r="H4396" s="9">
        <f>MAX($F$3239:F4396)</f>
        <v>1.756</v>
      </c>
      <c r="I4396" s="11">
        <f t="shared" si="98"/>
        <v>0.000341685649202672</v>
      </c>
      <c r="J4396" s="9"/>
      <c r="K4396" s="11"/>
      <c r="L4396" s="9">
        <f>MAX($F$4357:F4396)</f>
        <v>1.756</v>
      </c>
      <c r="M4396" s="11">
        <f t="shared" si="99"/>
        <v>0.000341685649202672</v>
      </c>
      <c r="N4396" s="9" t="s">
        <v>809</v>
      </c>
    </row>
    <row r="4397" ht="25" customHeight="1" spans="1:14">
      <c r="A4397" s="9" t="s">
        <v>327</v>
      </c>
      <c r="B4397" s="9" t="s">
        <v>326</v>
      </c>
      <c r="C4397" s="10">
        <v>45237</v>
      </c>
      <c r="D4397" s="15">
        <v>1.0218</v>
      </c>
      <c r="E4397" s="15">
        <v>1.5881</v>
      </c>
      <c r="F4397" s="15">
        <v>1.7554</v>
      </c>
      <c r="G4397" s="11">
        <v>0</v>
      </c>
      <c r="H4397" s="9">
        <f>MAX($F$3239:F4397)</f>
        <v>1.756</v>
      </c>
      <c r="I4397" s="11">
        <f t="shared" si="98"/>
        <v>0.000341685649202672</v>
      </c>
      <c r="J4397" s="9"/>
      <c r="K4397" s="11"/>
      <c r="L4397" s="9">
        <f>MAX($F$4357:F4397)</f>
        <v>1.756</v>
      </c>
      <c r="M4397" s="11">
        <f t="shared" si="99"/>
        <v>0.000341685649202672</v>
      </c>
      <c r="N4397" s="9" t="s">
        <v>809</v>
      </c>
    </row>
    <row r="4398" ht="25" customHeight="1" spans="1:14">
      <c r="A4398" s="9" t="s">
        <v>327</v>
      </c>
      <c r="B4398" s="9" t="s">
        <v>326</v>
      </c>
      <c r="C4398" s="10">
        <v>45238</v>
      </c>
      <c r="D4398" s="15">
        <v>1.0223</v>
      </c>
      <c r="E4398" s="15">
        <v>1.5886</v>
      </c>
      <c r="F4398" s="15">
        <v>1.7563</v>
      </c>
      <c r="G4398" s="11">
        <v>0.0005</v>
      </c>
      <c r="H4398" s="9">
        <f>MAX($F$3239:F4398)</f>
        <v>1.7563</v>
      </c>
      <c r="I4398" s="11">
        <f t="shared" si="98"/>
        <v>0</v>
      </c>
      <c r="J4398" s="9"/>
      <c r="K4398" s="11"/>
      <c r="L4398" s="9">
        <f>MAX($F$4357:F4398)</f>
        <v>1.7563</v>
      </c>
      <c r="M4398" s="11">
        <f t="shared" si="99"/>
        <v>0</v>
      </c>
      <c r="N4398" s="9" t="s">
        <v>809</v>
      </c>
    </row>
    <row r="4399" ht="25" customHeight="1" spans="1:14">
      <c r="A4399" s="9" t="s">
        <v>327</v>
      </c>
      <c r="B4399" s="9" t="s">
        <v>326</v>
      </c>
      <c r="C4399" s="10">
        <v>45239</v>
      </c>
      <c r="D4399" s="15">
        <v>1.0218</v>
      </c>
      <c r="E4399" s="15">
        <v>1.5881</v>
      </c>
      <c r="F4399" s="15">
        <v>1.7554</v>
      </c>
      <c r="G4399" s="11">
        <v>-0.0005</v>
      </c>
      <c r="H4399" s="9">
        <f>MAX($F$3239:F4399)</f>
        <v>1.7563</v>
      </c>
      <c r="I4399" s="11">
        <f t="shared" si="98"/>
        <v>0.000512440926948687</v>
      </c>
      <c r="J4399" s="9"/>
      <c r="K4399" s="11"/>
      <c r="L4399" s="9">
        <f>MAX($F$4357:F4399)</f>
        <v>1.7563</v>
      </c>
      <c r="M4399" s="11">
        <f t="shared" si="99"/>
        <v>0.000512440926948687</v>
      </c>
      <c r="N4399" s="9" t="s">
        <v>809</v>
      </c>
    </row>
    <row r="4400" ht="25" customHeight="1" spans="1:14">
      <c r="A4400" s="9" t="s">
        <v>327</v>
      </c>
      <c r="B4400" s="9" t="s">
        <v>326</v>
      </c>
      <c r="C4400" s="10">
        <v>45240</v>
      </c>
      <c r="D4400" s="15">
        <v>1.0219</v>
      </c>
      <c r="E4400" s="15">
        <v>1.5882</v>
      </c>
      <c r="F4400" s="15">
        <v>1.7556</v>
      </c>
      <c r="G4400" s="11">
        <v>0.0001</v>
      </c>
      <c r="H4400" s="9">
        <f>MAX($F$3239:F4400)</f>
        <v>1.7563</v>
      </c>
      <c r="I4400" s="11">
        <f t="shared" si="98"/>
        <v>0.000398565165404485</v>
      </c>
      <c r="J4400" s="9"/>
      <c r="K4400" s="11"/>
      <c r="L4400" s="9">
        <f>MAX($F$4357:F4400)</f>
        <v>1.7563</v>
      </c>
      <c r="M4400" s="11">
        <f t="shared" si="99"/>
        <v>0.000398565165404485</v>
      </c>
      <c r="N4400" s="9" t="s">
        <v>809</v>
      </c>
    </row>
    <row r="4401" ht="25" customHeight="1" spans="1:14">
      <c r="A4401" s="9" t="s">
        <v>327</v>
      </c>
      <c r="B4401" s="9" t="s">
        <v>326</v>
      </c>
      <c r="C4401" s="10">
        <v>45243</v>
      </c>
      <c r="D4401" s="15">
        <v>1.0214</v>
      </c>
      <c r="E4401" s="15">
        <v>1.5877</v>
      </c>
      <c r="F4401" s="15">
        <v>1.7548</v>
      </c>
      <c r="G4401" s="11">
        <v>-0.0005</v>
      </c>
      <c r="H4401" s="9">
        <f>MAX($F$3239:F4401)</f>
        <v>1.7563</v>
      </c>
      <c r="I4401" s="11">
        <f t="shared" si="98"/>
        <v>0.000854068211581183</v>
      </c>
      <c r="J4401" s="9"/>
      <c r="K4401" s="11"/>
      <c r="L4401" s="9">
        <f>MAX($F$4357:F4401)</f>
        <v>1.7563</v>
      </c>
      <c r="M4401" s="11">
        <f t="shared" si="99"/>
        <v>0.000854068211581183</v>
      </c>
      <c r="N4401" s="9" t="s">
        <v>809</v>
      </c>
    </row>
    <row r="4402" ht="25" customHeight="1" spans="1:14">
      <c r="A4402" s="9" t="s">
        <v>327</v>
      </c>
      <c r="B4402" s="9" t="s">
        <v>326</v>
      </c>
      <c r="C4402" s="10">
        <v>45244</v>
      </c>
      <c r="D4402" s="15">
        <v>1.0214</v>
      </c>
      <c r="E4402" s="15">
        <v>1.5877</v>
      </c>
      <c r="F4402" s="15">
        <v>1.7548</v>
      </c>
      <c r="G4402" s="11">
        <v>0</v>
      </c>
      <c r="H4402" s="9">
        <f>MAX($F$3239:F4402)</f>
        <v>1.7563</v>
      </c>
      <c r="I4402" s="11">
        <f t="shared" si="98"/>
        <v>0.000854068211581183</v>
      </c>
      <c r="J4402" s="9"/>
      <c r="K4402" s="11"/>
      <c r="L4402" s="9">
        <f>MAX($F$4357:F4402)</f>
        <v>1.7563</v>
      </c>
      <c r="M4402" s="11">
        <f t="shared" si="99"/>
        <v>0.000854068211581183</v>
      </c>
      <c r="N4402" s="9" t="s">
        <v>809</v>
      </c>
    </row>
    <row r="4403" ht="25" customHeight="1" spans="1:14">
      <c r="A4403" s="9" t="s">
        <v>327</v>
      </c>
      <c r="B4403" s="9" t="s">
        <v>326</v>
      </c>
      <c r="C4403" s="10">
        <v>45245</v>
      </c>
      <c r="D4403" s="15">
        <v>1.0208</v>
      </c>
      <c r="E4403" s="15">
        <v>1.5871</v>
      </c>
      <c r="F4403" s="15">
        <v>1.7537</v>
      </c>
      <c r="G4403" s="11">
        <v>-0.0006</v>
      </c>
      <c r="H4403" s="9">
        <f>MAX($F$3239:F4403)</f>
        <v>1.7563</v>
      </c>
      <c r="I4403" s="11">
        <f t="shared" si="98"/>
        <v>0.00148038490007396</v>
      </c>
      <c r="J4403" s="9"/>
      <c r="K4403" s="11"/>
      <c r="L4403" s="9">
        <f>MAX($F$4357:F4403)</f>
        <v>1.7563</v>
      </c>
      <c r="M4403" s="11">
        <f t="shared" si="99"/>
        <v>0.00148038490007396</v>
      </c>
      <c r="N4403" s="9" t="s">
        <v>809</v>
      </c>
    </row>
    <row r="4404" ht="25" customHeight="1" spans="1:14">
      <c r="A4404" s="9" t="s">
        <v>327</v>
      </c>
      <c r="B4404" s="9" t="s">
        <v>326</v>
      </c>
      <c r="C4404" s="10">
        <v>45246</v>
      </c>
      <c r="D4404" s="15">
        <v>1.0207</v>
      </c>
      <c r="E4404" s="15">
        <v>1.587</v>
      </c>
      <c r="F4404" s="15">
        <v>1.7536</v>
      </c>
      <c r="G4404" s="11">
        <v>-0.0001</v>
      </c>
      <c r="H4404" s="9">
        <f>MAX($F$3239:F4404)</f>
        <v>1.7563</v>
      </c>
      <c r="I4404" s="11">
        <f t="shared" si="98"/>
        <v>0.00153732278084606</v>
      </c>
      <c r="J4404" s="9"/>
      <c r="K4404" s="11"/>
      <c r="L4404" s="9">
        <f>MAX($F$4357:F4404)</f>
        <v>1.7563</v>
      </c>
      <c r="M4404" s="11">
        <f t="shared" si="99"/>
        <v>0.00153732278084606</v>
      </c>
      <c r="N4404" s="9" t="s">
        <v>809</v>
      </c>
    </row>
    <row r="4405" ht="25" customHeight="1" spans="1:14">
      <c r="A4405" s="9" t="s">
        <v>327</v>
      </c>
      <c r="B4405" s="9" t="s">
        <v>326</v>
      </c>
      <c r="C4405" s="10">
        <v>45247</v>
      </c>
      <c r="D4405" s="15">
        <v>1.0207</v>
      </c>
      <c r="E4405" s="15">
        <v>1.587</v>
      </c>
      <c r="F4405" s="15">
        <v>1.7536</v>
      </c>
      <c r="G4405" s="11">
        <v>0</v>
      </c>
      <c r="H4405" s="9">
        <f>MAX($F$3239:F4405)</f>
        <v>1.7563</v>
      </c>
      <c r="I4405" s="11">
        <f t="shared" si="98"/>
        <v>0.00153732278084606</v>
      </c>
      <c r="J4405" s="9"/>
      <c r="K4405" s="11"/>
      <c r="L4405" s="9">
        <f>MAX($F$4357:F4405)</f>
        <v>1.7563</v>
      </c>
      <c r="M4405" s="11">
        <f t="shared" si="99"/>
        <v>0.00153732278084606</v>
      </c>
      <c r="N4405" s="9" t="s">
        <v>809</v>
      </c>
    </row>
    <row r="4406" ht="25" customHeight="1" spans="1:14">
      <c r="A4406" s="9" t="s">
        <v>327</v>
      </c>
      <c r="B4406" s="9" t="s">
        <v>326</v>
      </c>
      <c r="C4406" s="10">
        <v>45250</v>
      </c>
      <c r="D4406" s="15">
        <v>1.0206</v>
      </c>
      <c r="E4406" s="15">
        <v>1.5869</v>
      </c>
      <c r="F4406" s="15">
        <v>1.7534</v>
      </c>
      <c r="G4406" s="11">
        <v>-0.0001</v>
      </c>
      <c r="H4406" s="9">
        <f>MAX($F$3239:F4406)</f>
        <v>1.7563</v>
      </c>
      <c r="I4406" s="11">
        <f t="shared" si="98"/>
        <v>0.00165119854239015</v>
      </c>
      <c r="J4406" s="9"/>
      <c r="K4406" s="11"/>
      <c r="L4406" s="9">
        <f>MAX($F$4357:F4406)</f>
        <v>1.7563</v>
      </c>
      <c r="M4406" s="11">
        <f t="shared" si="99"/>
        <v>0.00165119854239015</v>
      </c>
      <c r="N4406" s="9" t="s">
        <v>809</v>
      </c>
    </row>
    <row r="4407" ht="25" customHeight="1" spans="1:14">
      <c r="A4407" s="9" t="s">
        <v>327</v>
      </c>
      <c r="B4407" s="9" t="s">
        <v>326</v>
      </c>
      <c r="C4407" s="10">
        <v>45251</v>
      </c>
      <c r="D4407" s="15">
        <v>1.0209</v>
      </c>
      <c r="E4407" s="15">
        <v>1.5872</v>
      </c>
      <c r="F4407" s="15">
        <v>1.7539</v>
      </c>
      <c r="G4407" s="11">
        <v>0.0003</v>
      </c>
      <c r="H4407" s="9">
        <f>MAX($F$3239:F4407)</f>
        <v>1.7563</v>
      </c>
      <c r="I4407" s="11">
        <f t="shared" si="98"/>
        <v>0.00136650913852987</v>
      </c>
      <c r="J4407" s="9"/>
      <c r="K4407" s="11"/>
      <c r="L4407" s="9">
        <f>MAX($F$4357:F4407)</f>
        <v>1.7563</v>
      </c>
      <c r="M4407" s="11">
        <f t="shared" si="99"/>
        <v>0.00136650913852987</v>
      </c>
      <c r="N4407" s="9" t="s">
        <v>809</v>
      </c>
    </row>
    <row r="4408" ht="25" customHeight="1" spans="1:14">
      <c r="A4408" s="9" t="s">
        <v>327</v>
      </c>
      <c r="B4408" s="9" t="s">
        <v>326</v>
      </c>
      <c r="C4408" s="10">
        <v>45252</v>
      </c>
      <c r="D4408" s="15">
        <v>1.0214</v>
      </c>
      <c r="E4408" s="15">
        <v>1.5877</v>
      </c>
      <c r="F4408" s="15">
        <v>1.7548</v>
      </c>
      <c r="G4408" s="11">
        <v>0.0005</v>
      </c>
      <c r="H4408" s="9">
        <f>MAX($F$3239:F4408)</f>
        <v>1.7563</v>
      </c>
      <c r="I4408" s="11">
        <f t="shared" si="98"/>
        <v>0.000854068211581183</v>
      </c>
      <c r="J4408" s="9"/>
      <c r="K4408" s="11"/>
      <c r="L4408" s="9">
        <f>MAX($F$4357:F4408)</f>
        <v>1.7563</v>
      </c>
      <c r="M4408" s="11">
        <f t="shared" si="99"/>
        <v>0.000854068211581183</v>
      </c>
      <c r="N4408" s="9" t="s">
        <v>809</v>
      </c>
    </row>
    <row r="4409" ht="25" customHeight="1" spans="1:14">
      <c r="A4409" s="9" t="s">
        <v>327</v>
      </c>
      <c r="B4409" s="9" t="s">
        <v>326</v>
      </c>
      <c r="C4409" s="10">
        <v>45253</v>
      </c>
      <c r="D4409" s="15">
        <v>1.0215</v>
      </c>
      <c r="E4409" s="15">
        <v>1.5878</v>
      </c>
      <c r="F4409" s="15">
        <v>1.7549</v>
      </c>
      <c r="G4409" s="11">
        <v>0.0001</v>
      </c>
      <c r="H4409" s="9">
        <f>MAX($F$3239:F4409)</f>
        <v>1.7563</v>
      </c>
      <c r="I4409" s="11">
        <f t="shared" si="98"/>
        <v>0.000797130330809082</v>
      </c>
      <c r="J4409" s="9"/>
      <c r="K4409" s="11"/>
      <c r="L4409" s="9">
        <f>MAX($F$4357:F4409)</f>
        <v>1.7563</v>
      </c>
      <c r="M4409" s="11">
        <f t="shared" si="99"/>
        <v>0.000797130330809082</v>
      </c>
      <c r="N4409" s="9" t="s">
        <v>809</v>
      </c>
    </row>
    <row r="4410" ht="25" customHeight="1" spans="1:14">
      <c r="A4410" s="9" t="s">
        <v>327</v>
      </c>
      <c r="B4410" s="9" t="s">
        <v>326</v>
      </c>
      <c r="C4410" s="10">
        <v>45254</v>
      </c>
      <c r="D4410" s="15">
        <v>1.0236</v>
      </c>
      <c r="E4410" s="15">
        <v>1.5899</v>
      </c>
      <c r="F4410" s="15">
        <v>1.7585</v>
      </c>
      <c r="G4410" s="11">
        <v>0.0021</v>
      </c>
      <c r="H4410" s="9">
        <f>MAX($F$3239:F4410)</f>
        <v>1.7585</v>
      </c>
      <c r="I4410" s="11">
        <f t="shared" si="98"/>
        <v>0</v>
      </c>
      <c r="J4410" s="9"/>
      <c r="K4410" s="11"/>
      <c r="L4410" s="9">
        <f>MAX($F$4357:F4410)</f>
        <v>1.7585</v>
      </c>
      <c r="M4410" s="11">
        <f t="shared" si="99"/>
        <v>0</v>
      </c>
      <c r="N4410" s="9" t="s">
        <v>809</v>
      </c>
    </row>
    <row r="4411" ht="25" customHeight="1" spans="1:14">
      <c r="A4411" s="9" t="s">
        <v>327</v>
      </c>
      <c r="B4411" s="9" t="s">
        <v>326</v>
      </c>
      <c r="C4411" s="10">
        <v>45257</v>
      </c>
      <c r="D4411" s="15">
        <v>1.0241</v>
      </c>
      <c r="E4411" s="15">
        <v>1.5904</v>
      </c>
      <c r="F4411" s="15">
        <v>1.7594</v>
      </c>
      <c r="G4411" s="11">
        <v>0.0005</v>
      </c>
      <c r="H4411" s="9">
        <f>MAX($F$3239:F4411)</f>
        <v>1.7594</v>
      </c>
      <c r="I4411" s="11">
        <f t="shared" si="98"/>
        <v>0</v>
      </c>
      <c r="J4411" s="9"/>
      <c r="K4411" s="11"/>
      <c r="L4411" s="9">
        <f>MAX($F$4357:F4411)</f>
        <v>1.7594</v>
      </c>
      <c r="M4411" s="11">
        <f t="shared" si="99"/>
        <v>0</v>
      </c>
      <c r="N4411" s="9" t="s">
        <v>809</v>
      </c>
    </row>
    <row r="4412" ht="25" customHeight="1" spans="1:14">
      <c r="A4412" s="9" t="s">
        <v>327</v>
      </c>
      <c r="B4412" s="9" t="s">
        <v>326</v>
      </c>
      <c r="C4412" s="10">
        <v>45258</v>
      </c>
      <c r="D4412" s="15">
        <v>1.0239</v>
      </c>
      <c r="E4412" s="15">
        <v>1.5902</v>
      </c>
      <c r="F4412" s="15">
        <v>1.759</v>
      </c>
      <c r="G4412" s="11">
        <v>-0.0002</v>
      </c>
      <c r="H4412" s="9">
        <f>MAX($F$3239:F4412)</f>
        <v>1.7594</v>
      </c>
      <c r="I4412" s="11">
        <f t="shared" si="98"/>
        <v>0.000227350233034107</v>
      </c>
      <c r="J4412" s="9"/>
      <c r="K4412" s="11"/>
      <c r="L4412" s="9">
        <f>MAX($F$4357:F4412)</f>
        <v>1.7594</v>
      </c>
      <c r="M4412" s="11">
        <f t="shared" si="99"/>
        <v>0.000227350233034107</v>
      </c>
      <c r="N4412" s="9" t="s">
        <v>809</v>
      </c>
    </row>
    <row r="4413" ht="25" customHeight="1" spans="1:14">
      <c r="A4413" s="9" t="s">
        <v>327</v>
      </c>
      <c r="B4413" s="9" t="s">
        <v>326</v>
      </c>
      <c r="C4413" s="10">
        <v>45259</v>
      </c>
      <c r="D4413" s="15">
        <v>1.0245</v>
      </c>
      <c r="E4413" s="15">
        <v>1.5908</v>
      </c>
      <c r="F4413" s="15">
        <v>1.7601</v>
      </c>
      <c r="G4413" s="11">
        <v>0.0006</v>
      </c>
      <c r="H4413" s="9">
        <f>MAX($F$3239:F4413)</f>
        <v>1.7601</v>
      </c>
      <c r="I4413" s="11">
        <f t="shared" si="98"/>
        <v>0</v>
      </c>
      <c r="J4413" s="9"/>
      <c r="K4413" s="11"/>
      <c r="L4413" s="9">
        <f>MAX($F$4357:F4413)</f>
        <v>1.7601</v>
      </c>
      <c r="M4413" s="11">
        <f t="shared" si="99"/>
        <v>0</v>
      </c>
      <c r="N4413" s="9" t="s">
        <v>809</v>
      </c>
    </row>
    <row r="4414" ht="25" customHeight="1" spans="1:14">
      <c r="A4414" s="9" t="s">
        <v>327</v>
      </c>
      <c r="B4414" s="9" t="s">
        <v>326</v>
      </c>
      <c r="C4414" s="10">
        <v>45260</v>
      </c>
      <c r="D4414" s="15">
        <v>1.0245</v>
      </c>
      <c r="E4414" s="15">
        <v>1.5908</v>
      </c>
      <c r="F4414" s="15">
        <v>1.7601</v>
      </c>
      <c r="G4414" s="11">
        <v>0</v>
      </c>
      <c r="H4414" s="9">
        <f>MAX($F$3239:F4414)</f>
        <v>1.7601</v>
      </c>
      <c r="I4414" s="11">
        <f t="shared" si="98"/>
        <v>0</v>
      </c>
      <c r="J4414" s="9"/>
      <c r="K4414" s="11"/>
      <c r="L4414" s="9">
        <f>MAX($F$4357:F4414)</f>
        <v>1.7601</v>
      </c>
      <c r="M4414" s="11">
        <f t="shared" si="99"/>
        <v>0</v>
      </c>
      <c r="N4414" s="9" t="s">
        <v>809</v>
      </c>
    </row>
    <row r="4415" ht="25" customHeight="1" spans="1:14">
      <c r="A4415" s="9" t="s">
        <v>327</v>
      </c>
      <c r="B4415" s="9" t="s">
        <v>326</v>
      </c>
      <c r="C4415" s="10">
        <v>45261</v>
      </c>
      <c r="D4415" s="15">
        <v>1.0237</v>
      </c>
      <c r="E4415" s="15">
        <v>1.59</v>
      </c>
      <c r="F4415" s="15">
        <v>1.7587</v>
      </c>
      <c r="G4415" s="11">
        <v>-0.0008</v>
      </c>
      <c r="H4415" s="9">
        <f>MAX($F$3239:F4415)</f>
        <v>1.7601</v>
      </c>
      <c r="I4415" s="11">
        <f t="shared" si="98"/>
        <v>0.000795409351741383</v>
      </c>
      <c r="J4415" s="9"/>
      <c r="K4415" s="11"/>
      <c r="L4415" s="9">
        <f>MAX($F$4357:F4415)</f>
        <v>1.7601</v>
      </c>
      <c r="M4415" s="11">
        <f t="shared" si="99"/>
        <v>0.000795409351741383</v>
      </c>
      <c r="N4415" s="9" t="s">
        <v>809</v>
      </c>
    </row>
    <row r="4416" ht="25" customHeight="1" spans="1:14">
      <c r="A4416" s="9" t="s">
        <v>327</v>
      </c>
      <c r="B4416" s="9" t="s">
        <v>326</v>
      </c>
      <c r="C4416" s="10">
        <v>45264</v>
      </c>
      <c r="D4416" s="15">
        <v>1.024</v>
      </c>
      <c r="E4416" s="15">
        <v>1.5903</v>
      </c>
      <c r="F4416" s="15">
        <v>1.7592</v>
      </c>
      <c r="G4416" s="11">
        <v>0.0003</v>
      </c>
      <c r="H4416" s="9">
        <f>MAX($F$3239:F4416)</f>
        <v>1.7601</v>
      </c>
      <c r="I4416" s="11">
        <f t="shared" si="98"/>
        <v>0.000511334583262246</v>
      </c>
      <c r="J4416" s="9"/>
      <c r="K4416" s="11"/>
      <c r="L4416" s="9">
        <f>MAX($F$4357:F4416)</f>
        <v>1.7601</v>
      </c>
      <c r="M4416" s="11">
        <f t="shared" si="99"/>
        <v>0.000511334583262246</v>
      </c>
      <c r="N4416" s="9" t="s">
        <v>809</v>
      </c>
    </row>
    <row r="4417" ht="25" customHeight="1" spans="1:14">
      <c r="A4417" s="9" t="s">
        <v>327</v>
      </c>
      <c r="B4417" s="9" t="s">
        <v>326</v>
      </c>
      <c r="C4417" s="10">
        <v>45265</v>
      </c>
      <c r="D4417" s="15">
        <v>1.0256</v>
      </c>
      <c r="E4417" s="15">
        <v>1.5919</v>
      </c>
      <c r="F4417" s="15">
        <v>1.762</v>
      </c>
      <c r="G4417" s="11">
        <v>0.0016</v>
      </c>
      <c r="H4417" s="9">
        <f>MAX($F$3239:F4417)</f>
        <v>1.762</v>
      </c>
      <c r="I4417" s="11">
        <f t="shared" si="98"/>
        <v>0</v>
      </c>
      <c r="J4417" s="9"/>
      <c r="K4417" s="11"/>
      <c r="L4417" s="9">
        <f>MAX($F$4357:F4417)</f>
        <v>1.762</v>
      </c>
      <c r="M4417" s="11">
        <f t="shared" si="99"/>
        <v>0</v>
      </c>
      <c r="N4417" s="9" t="s">
        <v>809</v>
      </c>
    </row>
    <row r="4418" ht="25" customHeight="1" spans="1:14">
      <c r="A4418" s="9" t="s">
        <v>327</v>
      </c>
      <c r="B4418" s="9" t="s">
        <v>326</v>
      </c>
      <c r="C4418" s="10">
        <v>45266</v>
      </c>
      <c r="D4418" s="15">
        <v>1.0257</v>
      </c>
      <c r="E4418" s="15">
        <v>1.592</v>
      </c>
      <c r="F4418" s="15">
        <v>1.7621</v>
      </c>
      <c r="G4418" s="11">
        <v>0.0001</v>
      </c>
      <c r="H4418" s="9">
        <f>MAX($F$3239:F4418)</f>
        <v>1.7621</v>
      </c>
      <c r="I4418" s="11">
        <f t="shared" ref="I4418:I4481" si="100">1-F4418/H4418</f>
        <v>0</v>
      </c>
      <c r="J4418" s="9"/>
      <c r="K4418" s="11"/>
      <c r="L4418" s="9">
        <f>MAX($F$4357:F4418)</f>
        <v>1.7621</v>
      </c>
      <c r="M4418" s="11">
        <f t="shared" si="99"/>
        <v>0</v>
      </c>
      <c r="N4418" s="9" t="s">
        <v>809</v>
      </c>
    </row>
    <row r="4419" ht="25" customHeight="1" spans="1:14">
      <c r="A4419" s="9" t="s">
        <v>327</v>
      </c>
      <c r="B4419" s="9" t="s">
        <v>326</v>
      </c>
      <c r="C4419" s="10">
        <v>45267</v>
      </c>
      <c r="D4419" s="15">
        <v>1.0264</v>
      </c>
      <c r="E4419" s="15">
        <v>1.5927</v>
      </c>
      <c r="F4419" s="15">
        <v>1.7633</v>
      </c>
      <c r="G4419" s="11">
        <v>0.0007</v>
      </c>
      <c r="H4419" s="9">
        <f>MAX($F$3239:F4419)</f>
        <v>1.7633</v>
      </c>
      <c r="I4419" s="11">
        <f t="shared" si="100"/>
        <v>0</v>
      </c>
      <c r="J4419" s="9"/>
      <c r="K4419" s="11"/>
      <c r="L4419" s="9">
        <f>MAX($F$4357:F4419)</f>
        <v>1.7633</v>
      </c>
      <c r="M4419" s="11">
        <f t="shared" si="99"/>
        <v>0</v>
      </c>
      <c r="N4419" s="9" t="s">
        <v>809</v>
      </c>
    </row>
    <row r="4420" ht="25" customHeight="1" spans="1:14">
      <c r="A4420" s="9" t="s">
        <v>327</v>
      </c>
      <c r="B4420" s="9" t="s">
        <v>326</v>
      </c>
      <c r="C4420" s="10">
        <v>45268</v>
      </c>
      <c r="D4420" s="15">
        <v>1.0239</v>
      </c>
      <c r="E4420" s="15">
        <v>1.5902</v>
      </c>
      <c r="F4420" s="15">
        <v>1.759</v>
      </c>
      <c r="G4420" s="11">
        <v>-0.0024</v>
      </c>
      <c r="H4420" s="9">
        <f>MAX($F$3239:F4420)</f>
        <v>1.7633</v>
      </c>
      <c r="I4420" s="11">
        <f t="shared" si="100"/>
        <v>0.00243860942550911</v>
      </c>
      <c r="J4420" s="9"/>
      <c r="K4420" s="11"/>
      <c r="L4420" s="9">
        <f>MAX($F$4357:F4420)</f>
        <v>1.7633</v>
      </c>
      <c r="M4420" s="11">
        <f t="shared" si="99"/>
        <v>0.00243860942550911</v>
      </c>
      <c r="N4420" s="9" t="s">
        <v>809</v>
      </c>
    </row>
    <row r="4421" ht="25" customHeight="1" spans="1:14">
      <c r="A4421" s="9" t="s">
        <v>327</v>
      </c>
      <c r="B4421" s="9" t="s">
        <v>326</v>
      </c>
      <c r="C4421" s="10">
        <v>45271</v>
      </c>
      <c r="D4421" s="15">
        <v>1.0239</v>
      </c>
      <c r="E4421" s="15">
        <v>1.5902</v>
      </c>
      <c r="F4421" s="15">
        <v>1.759</v>
      </c>
      <c r="G4421" s="11">
        <v>0</v>
      </c>
      <c r="H4421" s="9">
        <f>MAX($F$3239:F4421)</f>
        <v>1.7633</v>
      </c>
      <c r="I4421" s="11">
        <f t="shared" si="100"/>
        <v>0.00243860942550911</v>
      </c>
      <c r="J4421" s="9"/>
      <c r="K4421" s="11"/>
      <c r="L4421" s="9">
        <f>MAX($F$4357:F4421)</f>
        <v>1.7633</v>
      </c>
      <c r="M4421" s="11">
        <f t="shared" ref="M4421:M4484" si="101">1-F4421/L4421</f>
        <v>0.00243860942550911</v>
      </c>
      <c r="N4421" s="9" t="s">
        <v>809</v>
      </c>
    </row>
    <row r="4422" ht="25" customHeight="1" spans="1:14">
      <c r="A4422" s="9" t="s">
        <v>327</v>
      </c>
      <c r="B4422" s="9" t="s">
        <v>326</v>
      </c>
      <c r="C4422" s="10">
        <v>45272</v>
      </c>
      <c r="D4422" s="15">
        <v>1.0242</v>
      </c>
      <c r="E4422" s="15">
        <v>1.5905</v>
      </c>
      <c r="F4422" s="15">
        <v>1.7596</v>
      </c>
      <c r="G4422" s="11">
        <v>0.0003</v>
      </c>
      <c r="H4422" s="9">
        <f>MAX($F$3239:F4422)</f>
        <v>1.7633</v>
      </c>
      <c r="I4422" s="11">
        <f t="shared" si="100"/>
        <v>0.00209833834287987</v>
      </c>
      <c r="J4422" s="9"/>
      <c r="K4422" s="11"/>
      <c r="L4422" s="9">
        <f>MAX($F$4357:F4422)</f>
        <v>1.7633</v>
      </c>
      <c r="M4422" s="11">
        <f t="shared" si="101"/>
        <v>0.00209833834287987</v>
      </c>
      <c r="N4422" s="9" t="s">
        <v>809</v>
      </c>
    </row>
    <row r="4423" ht="25" customHeight="1" spans="1:14">
      <c r="A4423" s="9" t="s">
        <v>327</v>
      </c>
      <c r="B4423" s="9" t="s">
        <v>326</v>
      </c>
      <c r="C4423" s="10">
        <v>45273</v>
      </c>
      <c r="D4423" s="15">
        <v>1.0242</v>
      </c>
      <c r="E4423" s="15">
        <v>1.5905</v>
      </c>
      <c r="F4423" s="15">
        <v>1.7596</v>
      </c>
      <c r="G4423" s="11">
        <v>0</v>
      </c>
      <c r="H4423" s="9">
        <f>MAX($F$3239:F4423)</f>
        <v>1.7633</v>
      </c>
      <c r="I4423" s="11">
        <f t="shared" si="100"/>
        <v>0.00209833834287987</v>
      </c>
      <c r="J4423" s="9"/>
      <c r="K4423" s="11"/>
      <c r="L4423" s="9">
        <f>MAX($F$4357:F4423)</f>
        <v>1.7633</v>
      </c>
      <c r="M4423" s="11">
        <f t="shared" si="101"/>
        <v>0.00209833834287987</v>
      </c>
      <c r="N4423" s="9" t="s">
        <v>809</v>
      </c>
    </row>
    <row r="4424" ht="25" customHeight="1" spans="1:14">
      <c r="A4424" s="9" t="s">
        <v>327</v>
      </c>
      <c r="B4424" s="9" t="s">
        <v>326</v>
      </c>
      <c r="C4424" s="10">
        <v>45274</v>
      </c>
      <c r="D4424" s="15">
        <v>1.0235</v>
      </c>
      <c r="E4424" s="15">
        <v>1.5898</v>
      </c>
      <c r="F4424" s="15">
        <v>1.7584</v>
      </c>
      <c r="G4424" s="11">
        <v>-0.0007</v>
      </c>
      <c r="H4424" s="9">
        <f>MAX($F$3239:F4424)</f>
        <v>1.7633</v>
      </c>
      <c r="I4424" s="11">
        <f t="shared" si="100"/>
        <v>0.00277888050813824</v>
      </c>
      <c r="J4424" s="9"/>
      <c r="K4424" s="11"/>
      <c r="L4424" s="9">
        <f>MAX($F$4357:F4424)</f>
        <v>1.7633</v>
      </c>
      <c r="M4424" s="11">
        <f t="shared" si="101"/>
        <v>0.00277888050813824</v>
      </c>
      <c r="N4424" s="9" t="s">
        <v>809</v>
      </c>
    </row>
    <row r="4425" ht="25" customHeight="1" spans="1:14">
      <c r="A4425" s="9" t="s">
        <v>327</v>
      </c>
      <c r="B4425" s="9" t="s">
        <v>326</v>
      </c>
      <c r="C4425" s="10">
        <v>45275</v>
      </c>
      <c r="D4425" s="15">
        <v>1.0236</v>
      </c>
      <c r="E4425" s="15">
        <v>1.5899</v>
      </c>
      <c r="F4425" s="15">
        <v>1.7585</v>
      </c>
      <c r="G4425" s="11">
        <v>0.0001</v>
      </c>
      <c r="H4425" s="9">
        <f>MAX($F$3239:F4425)</f>
        <v>1.7633</v>
      </c>
      <c r="I4425" s="11">
        <f t="shared" si="100"/>
        <v>0.00272216866103336</v>
      </c>
      <c r="J4425" s="9"/>
      <c r="K4425" s="11"/>
      <c r="L4425" s="9">
        <f>MAX($F$4357:F4425)</f>
        <v>1.7633</v>
      </c>
      <c r="M4425" s="11">
        <f t="shared" si="101"/>
        <v>0.00272216866103336</v>
      </c>
      <c r="N4425" s="9" t="s">
        <v>809</v>
      </c>
    </row>
    <row r="4426" ht="25" customHeight="1" spans="1:14">
      <c r="A4426" s="9" t="s">
        <v>327</v>
      </c>
      <c r="B4426" s="9" t="s">
        <v>326</v>
      </c>
      <c r="C4426" s="10">
        <v>45278</v>
      </c>
      <c r="D4426" s="15">
        <v>1.0216</v>
      </c>
      <c r="E4426" s="15">
        <v>1.5879</v>
      </c>
      <c r="F4426" s="15">
        <v>1.7551</v>
      </c>
      <c r="G4426" s="11">
        <v>-0.002</v>
      </c>
      <c r="H4426" s="9">
        <f>MAX($F$3239:F4426)</f>
        <v>1.7633</v>
      </c>
      <c r="I4426" s="11">
        <f t="shared" si="100"/>
        <v>0.0046503714625985</v>
      </c>
      <c r="J4426" s="9"/>
      <c r="K4426" s="11"/>
      <c r="L4426" s="9">
        <f>MAX($F$4357:F4426)</f>
        <v>1.7633</v>
      </c>
      <c r="M4426" s="11">
        <f t="shared" si="101"/>
        <v>0.0046503714625985</v>
      </c>
      <c r="N4426" s="9" t="s">
        <v>809</v>
      </c>
    </row>
    <row r="4427" ht="25" customHeight="1" spans="1:14">
      <c r="A4427" s="9" t="s">
        <v>327</v>
      </c>
      <c r="B4427" s="9" t="s">
        <v>326</v>
      </c>
      <c r="C4427" s="10">
        <v>45279</v>
      </c>
      <c r="D4427" s="15">
        <v>1.0219</v>
      </c>
      <c r="E4427" s="15">
        <v>1.5882</v>
      </c>
      <c r="F4427" s="15">
        <v>1.7556</v>
      </c>
      <c r="G4427" s="11">
        <v>0.0003</v>
      </c>
      <c r="H4427" s="9">
        <f>MAX($F$3239:F4427)</f>
        <v>1.7633</v>
      </c>
      <c r="I4427" s="11">
        <f t="shared" si="100"/>
        <v>0.00436681222707425</v>
      </c>
      <c r="J4427" s="9"/>
      <c r="K4427" s="11"/>
      <c r="L4427" s="9">
        <f>MAX($F$4357:F4427)</f>
        <v>1.7633</v>
      </c>
      <c r="M4427" s="11">
        <f t="shared" si="101"/>
        <v>0.00436681222707425</v>
      </c>
      <c r="N4427" s="9" t="s">
        <v>809</v>
      </c>
    </row>
    <row r="4428" ht="25" customHeight="1" spans="1:14">
      <c r="A4428" s="9" t="s">
        <v>327</v>
      </c>
      <c r="B4428" s="9" t="s">
        <v>326</v>
      </c>
      <c r="C4428" s="10">
        <v>45280</v>
      </c>
      <c r="D4428" s="15">
        <v>1.021</v>
      </c>
      <c r="E4428" s="15">
        <v>1.5873</v>
      </c>
      <c r="F4428" s="15">
        <v>1.7541</v>
      </c>
      <c r="G4428" s="11">
        <v>-0.0009</v>
      </c>
      <c r="H4428" s="9">
        <f>MAX($F$3239:F4428)</f>
        <v>1.7633</v>
      </c>
      <c r="I4428" s="11">
        <f t="shared" si="100"/>
        <v>0.00521748993364723</v>
      </c>
      <c r="J4428" s="9"/>
      <c r="K4428" s="11"/>
      <c r="L4428" s="9">
        <f>MAX($F$4357:F4428)</f>
        <v>1.7633</v>
      </c>
      <c r="M4428" s="11">
        <f t="shared" si="101"/>
        <v>0.00521748993364723</v>
      </c>
      <c r="N4428" s="9" t="s">
        <v>809</v>
      </c>
    </row>
    <row r="4429" ht="25" customHeight="1" spans="1:14">
      <c r="A4429" s="9" t="s">
        <v>327</v>
      </c>
      <c r="B4429" s="9" t="s">
        <v>326</v>
      </c>
      <c r="C4429" s="10">
        <v>45281</v>
      </c>
      <c r="D4429" s="15">
        <v>1.0214</v>
      </c>
      <c r="E4429" s="15">
        <v>1.5877</v>
      </c>
      <c r="F4429" s="15">
        <v>1.7548</v>
      </c>
      <c r="G4429" s="11">
        <v>0.0004</v>
      </c>
      <c r="H4429" s="9">
        <f>MAX($F$3239:F4429)</f>
        <v>1.7633</v>
      </c>
      <c r="I4429" s="11">
        <f t="shared" si="100"/>
        <v>0.00482050700391323</v>
      </c>
      <c r="J4429" s="9"/>
      <c r="K4429" s="11"/>
      <c r="L4429" s="9">
        <f>MAX($F$4357:F4429)</f>
        <v>1.7633</v>
      </c>
      <c r="M4429" s="11">
        <f t="shared" si="101"/>
        <v>0.00482050700391323</v>
      </c>
      <c r="N4429" s="9" t="s">
        <v>809</v>
      </c>
    </row>
    <row r="4430" ht="25" customHeight="1" spans="1:14">
      <c r="A4430" s="9" t="s">
        <v>327</v>
      </c>
      <c r="B4430" s="9" t="s">
        <v>326</v>
      </c>
      <c r="C4430" s="10">
        <v>45282</v>
      </c>
      <c r="D4430" s="15">
        <v>1</v>
      </c>
      <c r="E4430" s="15">
        <v>1.5875</v>
      </c>
      <c r="F4430" s="15">
        <v>1.7544</v>
      </c>
      <c r="G4430" s="11">
        <v>-0.0002</v>
      </c>
      <c r="H4430" s="9">
        <f>MAX($F$3239:F4430)</f>
        <v>1.7633</v>
      </c>
      <c r="I4430" s="11">
        <f t="shared" si="100"/>
        <v>0.00504735439233261</v>
      </c>
      <c r="J4430" s="9"/>
      <c r="K4430" s="11"/>
      <c r="L4430" s="9">
        <f>MAX($F$4357:F4430)</f>
        <v>1.7633</v>
      </c>
      <c r="M4430" s="11">
        <f t="shared" si="101"/>
        <v>0.00504735439233261</v>
      </c>
      <c r="N4430" s="9" t="s">
        <v>809</v>
      </c>
    </row>
    <row r="4431" ht="25" customHeight="1" spans="1:14">
      <c r="A4431" s="9" t="s">
        <v>327</v>
      </c>
      <c r="B4431" s="9" t="s">
        <v>326</v>
      </c>
      <c r="C4431" s="10">
        <v>45285</v>
      </c>
      <c r="D4431" s="15">
        <v>0.9997</v>
      </c>
      <c r="E4431" s="15">
        <v>1.5872</v>
      </c>
      <c r="F4431" s="15">
        <v>1.7539</v>
      </c>
      <c r="G4431" s="11">
        <v>-0.0003</v>
      </c>
      <c r="H4431" s="9">
        <f>MAX($F$3239:F4431)</f>
        <v>1.7633</v>
      </c>
      <c r="I4431" s="11">
        <f t="shared" si="100"/>
        <v>0.00533091362785687</v>
      </c>
      <c r="J4431" s="9"/>
      <c r="K4431" s="11"/>
      <c r="L4431" s="9">
        <f>MAX($F$4357:F4431)</f>
        <v>1.7633</v>
      </c>
      <c r="M4431" s="11">
        <f t="shared" si="101"/>
        <v>0.00533091362785687</v>
      </c>
      <c r="N4431" s="9" t="s">
        <v>809</v>
      </c>
    </row>
    <row r="4432" ht="25" customHeight="1" spans="1:14">
      <c r="A4432" s="9" t="s">
        <v>327</v>
      </c>
      <c r="B4432" s="9" t="s">
        <v>326</v>
      </c>
      <c r="C4432" s="10">
        <v>45286</v>
      </c>
      <c r="D4432" s="15">
        <v>1.0021</v>
      </c>
      <c r="E4432" s="15">
        <v>1.5896</v>
      </c>
      <c r="F4432" s="15">
        <v>1.7581</v>
      </c>
      <c r="G4432" s="11">
        <v>0.0024</v>
      </c>
      <c r="H4432" s="9">
        <f>MAX($F$3239:F4432)</f>
        <v>1.7633</v>
      </c>
      <c r="I4432" s="11">
        <f t="shared" si="100"/>
        <v>0.00294901604945275</v>
      </c>
      <c r="J4432" s="9"/>
      <c r="K4432" s="11"/>
      <c r="L4432" s="9">
        <f>MAX($F$4357:F4432)</f>
        <v>1.7633</v>
      </c>
      <c r="M4432" s="11">
        <f t="shared" si="101"/>
        <v>0.00294901604945275</v>
      </c>
      <c r="N4432" s="9" t="s">
        <v>809</v>
      </c>
    </row>
    <row r="4433" ht="25" customHeight="1" spans="1:14">
      <c r="A4433" s="9" t="s">
        <v>327</v>
      </c>
      <c r="B4433" s="9" t="s">
        <v>326</v>
      </c>
      <c r="C4433" s="10">
        <v>45287</v>
      </c>
      <c r="D4433" s="15">
        <v>1.0018</v>
      </c>
      <c r="E4433" s="15">
        <v>1.5893</v>
      </c>
      <c r="F4433" s="15">
        <v>1.7576</v>
      </c>
      <c r="G4433" s="11">
        <v>-0.0003</v>
      </c>
      <c r="H4433" s="9">
        <f>MAX($F$3239:F4433)</f>
        <v>1.7633</v>
      </c>
      <c r="I4433" s="11">
        <f t="shared" si="100"/>
        <v>0.003232575284977</v>
      </c>
      <c r="J4433" s="9"/>
      <c r="K4433" s="11"/>
      <c r="L4433" s="9">
        <f>MAX($F$4357:F4433)</f>
        <v>1.7633</v>
      </c>
      <c r="M4433" s="11">
        <f t="shared" si="101"/>
        <v>0.003232575284977</v>
      </c>
      <c r="N4433" s="9" t="s">
        <v>809</v>
      </c>
    </row>
    <row r="4434" ht="25" customHeight="1" spans="1:14">
      <c r="A4434" s="9" t="s">
        <v>327</v>
      </c>
      <c r="B4434" s="9" t="s">
        <v>326</v>
      </c>
      <c r="C4434" s="10">
        <v>45288</v>
      </c>
      <c r="D4434" s="15">
        <v>1.0036</v>
      </c>
      <c r="E4434" s="15">
        <v>1.5911</v>
      </c>
      <c r="F4434" s="15">
        <v>1.7607</v>
      </c>
      <c r="G4434" s="11">
        <v>0.0018</v>
      </c>
      <c r="H4434" s="9">
        <f>MAX($F$3239:F4434)</f>
        <v>1.7633</v>
      </c>
      <c r="I4434" s="11">
        <f t="shared" si="100"/>
        <v>0.00147450802472648</v>
      </c>
      <c r="J4434" s="9"/>
      <c r="K4434" s="11"/>
      <c r="L4434" s="9">
        <f>MAX($F$4357:F4434)</f>
        <v>1.7633</v>
      </c>
      <c r="M4434" s="11">
        <f t="shared" si="101"/>
        <v>0.00147450802472648</v>
      </c>
      <c r="N4434" s="9" t="s">
        <v>809</v>
      </c>
    </row>
    <row r="4435" ht="25" customHeight="1" spans="1:14">
      <c r="A4435" s="9" t="s">
        <v>327</v>
      </c>
      <c r="B4435" s="9" t="s">
        <v>326</v>
      </c>
      <c r="C4435" s="10">
        <v>45289</v>
      </c>
      <c r="D4435" s="15">
        <v>1.003</v>
      </c>
      <c r="E4435" s="15">
        <v>1.5905</v>
      </c>
      <c r="F4435" s="15">
        <v>1.7597</v>
      </c>
      <c r="G4435" s="11">
        <v>-0.0006</v>
      </c>
      <c r="H4435" s="9">
        <f>MAX($F$3239:F4435)</f>
        <v>1.7633</v>
      </c>
      <c r="I4435" s="11">
        <f t="shared" si="100"/>
        <v>0.002041626495775</v>
      </c>
      <c r="J4435" s="9"/>
      <c r="K4435" s="11"/>
      <c r="L4435" s="9">
        <f>MAX($F$4357:F4435)</f>
        <v>1.7633</v>
      </c>
      <c r="M4435" s="11">
        <f t="shared" si="101"/>
        <v>0.002041626495775</v>
      </c>
      <c r="N4435" s="9" t="s">
        <v>809</v>
      </c>
    </row>
    <row r="4436" ht="25" customHeight="1" spans="1:14">
      <c r="A4436" s="9" t="s">
        <v>327</v>
      </c>
      <c r="B4436" s="9" t="s">
        <v>326</v>
      </c>
      <c r="C4436" s="10">
        <v>45293</v>
      </c>
      <c r="D4436" s="15">
        <v>1.0029</v>
      </c>
      <c r="E4436" s="15">
        <v>1.5904</v>
      </c>
      <c r="F4436" s="15">
        <v>1.7595</v>
      </c>
      <c r="G4436" s="11">
        <v>-0.0001</v>
      </c>
      <c r="H4436" s="9">
        <f>MAX($F$3239:F4436)</f>
        <v>1.7633</v>
      </c>
      <c r="I4436" s="11">
        <f t="shared" si="100"/>
        <v>0.00215505018998474</v>
      </c>
      <c r="J4436" s="9"/>
      <c r="K4436" s="11"/>
      <c r="L4436" s="9">
        <f>MAX($F$4357:F4436)</f>
        <v>1.7633</v>
      </c>
      <c r="M4436" s="11">
        <f t="shared" si="101"/>
        <v>0.00215505018998474</v>
      </c>
      <c r="N4436" s="9" t="s">
        <v>809</v>
      </c>
    </row>
    <row r="4437" ht="25" customHeight="1" spans="1:14">
      <c r="A4437" s="9" t="s">
        <v>327</v>
      </c>
      <c r="B4437" s="9" t="s">
        <v>326</v>
      </c>
      <c r="C4437" s="10">
        <v>45294</v>
      </c>
      <c r="D4437" s="15">
        <v>1.0041</v>
      </c>
      <c r="E4437" s="15">
        <v>1.5916</v>
      </c>
      <c r="F4437" s="15">
        <v>1.7616</v>
      </c>
      <c r="G4437" s="11">
        <v>0.0012</v>
      </c>
      <c r="H4437" s="9">
        <f>MAX($F$3239:F4437)</f>
        <v>1.7633</v>
      </c>
      <c r="I4437" s="11">
        <f t="shared" si="100"/>
        <v>0.000964101400782624</v>
      </c>
      <c r="J4437" s="9"/>
      <c r="K4437" s="11"/>
      <c r="L4437" s="9">
        <f>MAX($F$4357:F4437)</f>
        <v>1.7633</v>
      </c>
      <c r="M4437" s="11">
        <f t="shared" si="101"/>
        <v>0.000964101400782624</v>
      </c>
      <c r="N4437" s="9" t="s">
        <v>809</v>
      </c>
    </row>
    <row r="4438" ht="25" customHeight="1" spans="1:14">
      <c r="A4438" s="9" t="s">
        <v>327</v>
      </c>
      <c r="B4438" s="9" t="s">
        <v>326</v>
      </c>
      <c r="C4438" s="10">
        <v>45295</v>
      </c>
      <c r="D4438" s="15">
        <v>1.0062</v>
      </c>
      <c r="E4438" s="15">
        <v>1.5937</v>
      </c>
      <c r="F4438" s="15">
        <v>1.7653</v>
      </c>
      <c r="G4438" s="11">
        <v>0.0021</v>
      </c>
      <c r="H4438" s="9">
        <f>MAX($F$3239:F4438)</f>
        <v>1.7653</v>
      </c>
      <c r="I4438" s="11">
        <f t="shared" si="100"/>
        <v>0</v>
      </c>
      <c r="J4438" s="9"/>
      <c r="K4438" s="11"/>
      <c r="L4438" s="9">
        <f>MAX($F$4357:F4438)</f>
        <v>1.7653</v>
      </c>
      <c r="M4438" s="11">
        <f t="shared" si="101"/>
        <v>0</v>
      </c>
      <c r="N4438" s="9" t="s">
        <v>809</v>
      </c>
    </row>
    <row r="4439" ht="25" customHeight="1" spans="1:14">
      <c r="A4439" s="9" t="s">
        <v>327</v>
      </c>
      <c r="B4439" s="9" t="s">
        <v>326</v>
      </c>
      <c r="C4439" s="10">
        <v>45296</v>
      </c>
      <c r="D4439" s="15">
        <v>1.0057</v>
      </c>
      <c r="E4439" s="15">
        <v>1.5932</v>
      </c>
      <c r="F4439" s="15">
        <v>1.7644</v>
      </c>
      <c r="G4439" s="11">
        <v>-0.0005</v>
      </c>
      <c r="H4439" s="9">
        <f>MAX($F$3239:F4439)</f>
        <v>1.7653</v>
      </c>
      <c r="I4439" s="11">
        <f t="shared" si="100"/>
        <v>0.000509828357786235</v>
      </c>
      <c r="J4439" s="9"/>
      <c r="K4439" s="11"/>
      <c r="L4439" s="9">
        <f>MAX($F$4357:F4439)</f>
        <v>1.7653</v>
      </c>
      <c r="M4439" s="11">
        <f t="shared" si="101"/>
        <v>0.000509828357786235</v>
      </c>
      <c r="N4439" s="9" t="s">
        <v>809</v>
      </c>
    </row>
    <row r="4440" ht="25" customHeight="1" spans="1:14">
      <c r="A4440" s="9" t="s">
        <v>327</v>
      </c>
      <c r="B4440" s="9" t="s">
        <v>326</v>
      </c>
      <c r="C4440" s="10">
        <v>45299</v>
      </c>
      <c r="D4440" s="15">
        <v>1.0073</v>
      </c>
      <c r="E4440" s="15">
        <v>1.5948</v>
      </c>
      <c r="F4440" s="15">
        <v>1.7672</v>
      </c>
      <c r="G4440" s="11">
        <v>0.0016</v>
      </c>
      <c r="H4440" s="9">
        <f>MAX($F$3239:F4440)</f>
        <v>1.7672</v>
      </c>
      <c r="I4440" s="11">
        <f t="shared" si="100"/>
        <v>0</v>
      </c>
      <c r="J4440" s="9"/>
      <c r="K4440" s="11"/>
      <c r="L4440" s="9">
        <f>MAX($F$4357:F4440)</f>
        <v>1.7672</v>
      </c>
      <c r="M4440" s="11">
        <f t="shared" si="101"/>
        <v>0</v>
      </c>
      <c r="N4440" s="9" t="s">
        <v>809</v>
      </c>
    </row>
    <row r="4441" ht="25" customHeight="1" spans="1:14">
      <c r="A4441" s="9" t="s">
        <v>327</v>
      </c>
      <c r="B4441" s="9" t="s">
        <v>326</v>
      </c>
      <c r="C4441" s="10">
        <v>45300</v>
      </c>
      <c r="D4441" s="15">
        <v>1.0071</v>
      </c>
      <c r="E4441" s="15">
        <v>1.5946</v>
      </c>
      <c r="F4441" s="15">
        <v>1.7669</v>
      </c>
      <c r="G4441" s="11">
        <v>-0.0002</v>
      </c>
      <c r="H4441" s="9">
        <f>MAX($F$3239:F4441)</f>
        <v>1.7672</v>
      </c>
      <c r="I4441" s="11">
        <f t="shared" si="100"/>
        <v>0.00016976007243108</v>
      </c>
      <c r="J4441" s="9"/>
      <c r="K4441" s="11"/>
      <c r="L4441" s="9">
        <f>MAX($F$4357:F4441)</f>
        <v>1.7672</v>
      </c>
      <c r="M4441" s="11">
        <f t="shared" si="101"/>
        <v>0.00016976007243108</v>
      </c>
      <c r="N4441" s="9" t="s">
        <v>809</v>
      </c>
    </row>
    <row r="4442" ht="25" customHeight="1" spans="1:14">
      <c r="A4442" s="9" t="s">
        <v>327</v>
      </c>
      <c r="B4442" s="9" t="s">
        <v>326</v>
      </c>
      <c r="C4442" s="10">
        <v>45301</v>
      </c>
      <c r="D4442" s="15">
        <v>1.0077</v>
      </c>
      <c r="E4442" s="15">
        <v>1.5952</v>
      </c>
      <c r="F4442" s="15">
        <v>1.7679</v>
      </c>
      <c r="G4442" s="11">
        <v>0.0006</v>
      </c>
      <c r="H4442" s="9">
        <f>MAX($F$3239:F4442)</f>
        <v>1.7679</v>
      </c>
      <c r="I4442" s="11">
        <f t="shared" si="100"/>
        <v>0</v>
      </c>
      <c r="J4442" s="9"/>
      <c r="K4442" s="11"/>
      <c r="L4442" s="9">
        <f>MAX($F$4357:F4442)</f>
        <v>1.7679</v>
      </c>
      <c r="M4442" s="11">
        <f t="shared" si="101"/>
        <v>0</v>
      </c>
      <c r="N4442" s="9" t="s">
        <v>809</v>
      </c>
    </row>
    <row r="4443" ht="25" customHeight="1" spans="1:14">
      <c r="A4443" s="9" t="s">
        <v>327</v>
      </c>
      <c r="B4443" s="9" t="s">
        <v>326</v>
      </c>
      <c r="C4443" s="10">
        <v>45302</v>
      </c>
      <c r="D4443" s="15">
        <v>1.0077</v>
      </c>
      <c r="E4443" s="15">
        <v>1.5952</v>
      </c>
      <c r="F4443" s="15">
        <v>1.7679</v>
      </c>
      <c r="G4443" s="11">
        <v>0</v>
      </c>
      <c r="H4443" s="9">
        <f>MAX($F$3239:F4443)</f>
        <v>1.7679</v>
      </c>
      <c r="I4443" s="11">
        <f t="shared" si="100"/>
        <v>0</v>
      </c>
      <c r="J4443" s="9"/>
      <c r="K4443" s="11"/>
      <c r="L4443" s="9">
        <f>MAX($F$4357:F4443)</f>
        <v>1.7679</v>
      </c>
      <c r="M4443" s="11">
        <f t="shared" si="101"/>
        <v>0</v>
      </c>
      <c r="N4443" s="9" t="s">
        <v>809</v>
      </c>
    </row>
    <row r="4444" ht="25" customHeight="1" spans="1:14">
      <c r="A4444" s="9" t="s">
        <v>327</v>
      </c>
      <c r="B4444" s="9" t="s">
        <v>326</v>
      </c>
      <c r="C4444" s="10">
        <v>45303</v>
      </c>
      <c r="D4444" s="15">
        <v>1.0084</v>
      </c>
      <c r="E4444" s="15">
        <v>1.5959</v>
      </c>
      <c r="F4444" s="15">
        <v>1.7691</v>
      </c>
      <c r="G4444" s="11">
        <v>0.0007</v>
      </c>
      <c r="H4444" s="9">
        <f>MAX($F$3239:F4444)</f>
        <v>1.7691</v>
      </c>
      <c r="I4444" s="11">
        <f t="shared" si="100"/>
        <v>0</v>
      </c>
      <c r="J4444" s="9"/>
      <c r="K4444" s="11"/>
      <c r="L4444" s="9">
        <f>MAX($F$4357:F4444)</f>
        <v>1.7691</v>
      </c>
      <c r="M4444" s="11">
        <f t="shared" si="101"/>
        <v>0</v>
      </c>
      <c r="N4444" s="9" t="s">
        <v>809</v>
      </c>
    </row>
    <row r="4445" ht="25" customHeight="1" spans="1:14">
      <c r="A4445" s="9" t="s">
        <v>327</v>
      </c>
      <c r="B4445" s="9" t="s">
        <v>326</v>
      </c>
      <c r="C4445" s="10">
        <v>45306</v>
      </c>
      <c r="D4445" s="15">
        <v>1.0081</v>
      </c>
      <c r="E4445" s="15">
        <v>1.5956</v>
      </c>
      <c r="F4445" s="15">
        <v>1.7686</v>
      </c>
      <c r="G4445" s="11">
        <v>-0.0003</v>
      </c>
      <c r="H4445" s="9">
        <f>MAX($F$3239:F4445)</f>
        <v>1.7691</v>
      </c>
      <c r="I4445" s="11">
        <f t="shared" si="100"/>
        <v>0.000282629585665051</v>
      </c>
      <c r="J4445" s="9"/>
      <c r="K4445" s="11"/>
      <c r="L4445" s="9">
        <f>MAX($F$4357:F4445)</f>
        <v>1.7691</v>
      </c>
      <c r="M4445" s="11">
        <f t="shared" si="101"/>
        <v>0.000282629585665051</v>
      </c>
      <c r="N4445" s="9" t="s">
        <v>809</v>
      </c>
    </row>
    <row r="4446" ht="25" customHeight="1" spans="1:14">
      <c r="A4446" s="9" t="s">
        <v>327</v>
      </c>
      <c r="B4446" s="9" t="s">
        <v>326</v>
      </c>
      <c r="C4446" s="10">
        <v>45307</v>
      </c>
      <c r="D4446" s="15">
        <v>1.0112</v>
      </c>
      <c r="E4446" s="15">
        <v>1.5987</v>
      </c>
      <c r="F4446" s="15">
        <v>1.7741</v>
      </c>
      <c r="G4446" s="11">
        <v>0.0031</v>
      </c>
      <c r="H4446" s="9">
        <f>MAX($F$3239:F4446)</f>
        <v>1.7741</v>
      </c>
      <c r="I4446" s="11">
        <f t="shared" si="100"/>
        <v>0</v>
      </c>
      <c r="J4446" s="9"/>
      <c r="K4446" s="11"/>
      <c r="L4446" s="9">
        <f>MAX($F$4357:F4446)</f>
        <v>1.7741</v>
      </c>
      <c r="M4446" s="11">
        <f t="shared" si="101"/>
        <v>0</v>
      </c>
      <c r="N4446" s="9" t="s">
        <v>809</v>
      </c>
    </row>
    <row r="4447" ht="25" customHeight="1" spans="1:14">
      <c r="A4447" s="9" t="s">
        <v>327</v>
      </c>
      <c r="B4447" s="9" t="s">
        <v>326</v>
      </c>
      <c r="C4447" s="10">
        <v>45308</v>
      </c>
      <c r="D4447" s="15">
        <v>1.0109</v>
      </c>
      <c r="E4447" s="15">
        <v>1.5984</v>
      </c>
      <c r="F4447" s="15">
        <v>1.7735</v>
      </c>
      <c r="G4447" s="11">
        <v>-0.0003</v>
      </c>
      <c r="H4447" s="9">
        <f>MAX($F$3239:F4447)</f>
        <v>1.7741</v>
      </c>
      <c r="I4447" s="11">
        <f t="shared" si="100"/>
        <v>0.000338199650526949</v>
      </c>
      <c r="J4447" s="9"/>
      <c r="K4447" s="11"/>
      <c r="L4447" s="9">
        <f>MAX($F$4357:F4447)</f>
        <v>1.7741</v>
      </c>
      <c r="M4447" s="11">
        <f t="shared" si="101"/>
        <v>0.000338199650526949</v>
      </c>
      <c r="N4447" s="9" t="s">
        <v>809</v>
      </c>
    </row>
    <row r="4448" ht="25" customHeight="1" spans="1:14">
      <c r="A4448" s="9" t="s">
        <v>327</v>
      </c>
      <c r="B4448" s="9" t="s">
        <v>326</v>
      </c>
      <c r="C4448" s="10">
        <v>45309</v>
      </c>
      <c r="D4448" s="15">
        <v>1.0061</v>
      </c>
      <c r="E4448" s="15">
        <v>1.5936</v>
      </c>
      <c r="F4448" s="15">
        <v>1.7651</v>
      </c>
      <c r="G4448" s="11">
        <v>-0.0047</v>
      </c>
      <c r="H4448" s="9">
        <f>MAX($F$3239:F4448)</f>
        <v>1.7741</v>
      </c>
      <c r="I4448" s="11">
        <f t="shared" si="100"/>
        <v>0.00507299475790546</v>
      </c>
      <c r="J4448" s="9"/>
      <c r="K4448" s="11"/>
      <c r="L4448" s="9">
        <f>MAX($F$4357:F4448)</f>
        <v>1.7741</v>
      </c>
      <c r="M4448" s="11">
        <f t="shared" si="101"/>
        <v>0.00507299475790546</v>
      </c>
      <c r="N4448" s="9" t="s">
        <v>809</v>
      </c>
    </row>
    <row r="4449" ht="25" customHeight="1" spans="1:14">
      <c r="A4449" s="9" t="s">
        <v>327</v>
      </c>
      <c r="B4449" s="9" t="s">
        <v>326</v>
      </c>
      <c r="C4449" s="10">
        <v>45310</v>
      </c>
      <c r="D4449" s="15">
        <v>1.0062</v>
      </c>
      <c r="E4449" s="15">
        <v>1.5937</v>
      </c>
      <c r="F4449" s="15">
        <v>1.7653</v>
      </c>
      <c r="G4449" s="11">
        <v>0.0001</v>
      </c>
      <c r="H4449" s="9">
        <f>MAX($F$3239:F4449)</f>
        <v>1.7741</v>
      </c>
      <c r="I4449" s="11">
        <f t="shared" si="100"/>
        <v>0.00496026154106299</v>
      </c>
      <c r="J4449" s="9"/>
      <c r="K4449" s="11"/>
      <c r="L4449" s="9">
        <f>MAX($F$4357:F4449)</f>
        <v>1.7741</v>
      </c>
      <c r="M4449" s="11">
        <f t="shared" si="101"/>
        <v>0.00496026154106299</v>
      </c>
      <c r="N4449" s="9" t="s">
        <v>809</v>
      </c>
    </row>
    <row r="4450" ht="25" customHeight="1" spans="1:14">
      <c r="A4450" s="9" t="s">
        <v>327</v>
      </c>
      <c r="B4450" s="9" t="s">
        <v>326</v>
      </c>
      <c r="C4450" s="10">
        <v>45313</v>
      </c>
      <c r="D4450" s="15">
        <v>1.0105</v>
      </c>
      <c r="E4450" s="15">
        <v>1.598</v>
      </c>
      <c r="F4450" s="15">
        <v>1.7728</v>
      </c>
      <c r="G4450" s="11">
        <v>0.0043</v>
      </c>
      <c r="H4450" s="9">
        <f>MAX($F$3239:F4450)</f>
        <v>1.7741</v>
      </c>
      <c r="I4450" s="11">
        <f t="shared" si="100"/>
        <v>0.000732765909475241</v>
      </c>
      <c r="J4450" s="9"/>
      <c r="K4450" s="11"/>
      <c r="L4450" s="9">
        <f>MAX($F$4357:F4450)</f>
        <v>1.7741</v>
      </c>
      <c r="M4450" s="11">
        <f t="shared" si="101"/>
        <v>0.000732765909475241</v>
      </c>
      <c r="N4450" s="9" t="s">
        <v>809</v>
      </c>
    </row>
    <row r="4451" ht="25" customHeight="1" spans="1:14">
      <c r="A4451" s="9" t="s">
        <v>327</v>
      </c>
      <c r="B4451" s="9" t="s">
        <v>326</v>
      </c>
      <c r="C4451" s="10">
        <v>45314</v>
      </c>
      <c r="D4451" s="15">
        <v>1.0086</v>
      </c>
      <c r="E4451" s="15">
        <v>1.5961</v>
      </c>
      <c r="F4451" s="15">
        <v>1.7695</v>
      </c>
      <c r="G4451" s="11">
        <v>-0.0019</v>
      </c>
      <c r="H4451" s="9">
        <f>MAX($F$3239:F4451)</f>
        <v>1.7741</v>
      </c>
      <c r="I4451" s="11">
        <f t="shared" si="100"/>
        <v>0.00259286398737379</v>
      </c>
      <c r="J4451" s="9"/>
      <c r="K4451" s="11"/>
      <c r="L4451" s="9">
        <f>MAX($F$4357:F4451)</f>
        <v>1.7741</v>
      </c>
      <c r="M4451" s="11">
        <f t="shared" si="101"/>
        <v>0.00259286398737379</v>
      </c>
      <c r="N4451" s="9" t="s">
        <v>809</v>
      </c>
    </row>
    <row r="4452" ht="25" customHeight="1" spans="1:14">
      <c r="A4452" s="9" t="s">
        <v>327</v>
      </c>
      <c r="B4452" s="9" t="s">
        <v>326</v>
      </c>
      <c r="C4452" s="10">
        <v>45315</v>
      </c>
      <c r="D4452" s="15">
        <v>1.0089</v>
      </c>
      <c r="E4452" s="15">
        <v>1.5964</v>
      </c>
      <c r="F4452" s="15">
        <v>1.77</v>
      </c>
      <c r="G4452" s="11">
        <v>0.0003</v>
      </c>
      <c r="H4452" s="9">
        <f>MAX($F$3239:F4452)</f>
        <v>1.7741</v>
      </c>
      <c r="I4452" s="11">
        <f t="shared" si="100"/>
        <v>0.00231103094526797</v>
      </c>
      <c r="J4452" s="9"/>
      <c r="K4452" s="11"/>
      <c r="L4452" s="9">
        <f>MAX($F$4357:F4452)</f>
        <v>1.7741</v>
      </c>
      <c r="M4452" s="11">
        <f t="shared" si="101"/>
        <v>0.00231103094526797</v>
      </c>
      <c r="N4452" s="9" t="s">
        <v>809</v>
      </c>
    </row>
    <row r="4453" ht="25" customHeight="1" spans="1:14">
      <c r="A4453" s="9" t="s">
        <v>327</v>
      </c>
      <c r="B4453" s="9" t="s">
        <v>326</v>
      </c>
      <c r="C4453" s="10">
        <v>45316</v>
      </c>
      <c r="D4453" s="15">
        <v>1.009</v>
      </c>
      <c r="E4453" s="15">
        <v>1.5965</v>
      </c>
      <c r="F4453" s="15">
        <v>1.7702</v>
      </c>
      <c r="G4453" s="11">
        <v>0.0001</v>
      </c>
      <c r="H4453" s="9">
        <f>MAX($F$3239:F4453)</f>
        <v>1.7741</v>
      </c>
      <c r="I4453" s="11">
        <f t="shared" si="100"/>
        <v>0.00219829772842572</v>
      </c>
      <c r="J4453" s="9"/>
      <c r="K4453" s="11"/>
      <c r="L4453" s="9">
        <f>MAX($F$4357:F4453)</f>
        <v>1.7741</v>
      </c>
      <c r="M4453" s="11">
        <f t="shared" si="101"/>
        <v>0.00219829772842572</v>
      </c>
      <c r="N4453" s="9" t="s">
        <v>809</v>
      </c>
    </row>
    <row r="4454" ht="25" customHeight="1" spans="1:14">
      <c r="A4454" s="9" t="s">
        <v>327</v>
      </c>
      <c r="B4454" s="9" t="s">
        <v>326</v>
      </c>
      <c r="C4454" s="10">
        <v>45317</v>
      </c>
      <c r="D4454" s="15">
        <v>1.0102</v>
      </c>
      <c r="E4454" s="15">
        <v>1.5977</v>
      </c>
      <c r="F4454" s="15">
        <v>1.7723</v>
      </c>
      <c r="G4454" s="11">
        <v>0.0012</v>
      </c>
      <c r="H4454" s="9">
        <f>MAX($F$3239:F4454)</f>
        <v>1.7741</v>
      </c>
      <c r="I4454" s="11">
        <f t="shared" si="100"/>
        <v>0.00101459895158107</v>
      </c>
      <c r="J4454" s="9"/>
      <c r="K4454" s="11"/>
      <c r="L4454" s="9">
        <f>MAX($F$4357:F4454)</f>
        <v>1.7741</v>
      </c>
      <c r="M4454" s="11">
        <f t="shared" si="101"/>
        <v>0.00101459895158107</v>
      </c>
      <c r="N4454" s="9" t="s">
        <v>809</v>
      </c>
    </row>
    <row r="4455" ht="25" customHeight="1" spans="1:14">
      <c r="A4455" s="9" t="s">
        <v>327</v>
      </c>
      <c r="B4455" s="9" t="s">
        <v>326</v>
      </c>
      <c r="C4455" s="10">
        <v>45320</v>
      </c>
      <c r="D4455" s="15">
        <v>1.0115</v>
      </c>
      <c r="E4455" s="15">
        <v>1.599</v>
      </c>
      <c r="F4455" s="15">
        <v>1.7746</v>
      </c>
      <c r="G4455" s="11">
        <v>0.0013</v>
      </c>
      <c r="H4455" s="9">
        <f>MAX($F$3239:F4455)</f>
        <v>1.7746</v>
      </c>
      <c r="I4455" s="11">
        <f t="shared" si="100"/>
        <v>0</v>
      </c>
      <c r="J4455" s="9"/>
      <c r="K4455" s="11"/>
      <c r="L4455" s="9">
        <f>MAX($F$4357:F4455)</f>
        <v>1.7746</v>
      </c>
      <c r="M4455" s="11">
        <f t="shared" si="101"/>
        <v>0</v>
      </c>
      <c r="N4455" s="9" t="s">
        <v>809</v>
      </c>
    </row>
    <row r="4456" ht="25" customHeight="1" spans="1:14">
      <c r="A4456" s="9" t="s">
        <v>327</v>
      </c>
      <c r="B4456" s="9" t="s">
        <v>326</v>
      </c>
      <c r="C4456" s="10">
        <v>45321</v>
      </c>
      <c r="D4456" s="15">
        <v>1.0134</v>
      </c>
      <c r="E4456" s="15">
        <v>1.6009</v>
      </c>
      <c r="F4456" s="15">
        <v>1.7779</v>
      </c>
      <c r="G4456" s="11">
        <v>0.0019</v>
      </c>
      <c r="H4456" s="9">
        <f>MAX($F$3239:F4456)</f>
        <v>1.7779</v>
      </c>
      <c r="I4456" s="11">
        <f t="shared" si="100"/>
        <v>0</v>
      </c>
      <c r="J4456" s="9"/>
      <c r="K4456" s="11"/>
      <c r="L4456" s="9">
        <f>MAX($F$4357:F4456)</f>
        <v>1.7779</v>
      </c>
      <c r="M4456" s="11">
        <f t="shared" si="101"/>
        <v>0</v>
      </c>
      <c r="N4456" s="9" t="s">
        <v>809</v>
      </c>
    </row>
    <row r="4457" ht="25" customHeight="1" spans="1:14">
      <c r="A4457" s="9" t="s">
        <v>327</v>
      </c>
      <c r="B4457" s="9" t="s">
        <v>326</v>
      </c>
      <c r="C4457" s="10">
        <v>45322</v>
      </c>
      <c r="D4457" s="15">
        <v>1.0127</v>
      </c>
      <c r="E4457" s="15">
        <v>1.6002</v>
      </c>
      <c r="F4457" s="15">
        <v>1.7767</v>
      </c>
      <c r="G4457" s="11">
        <v>-0.0007</v>
      </c>
      <c r="H4457" s="9">
        <f>MAX($F$3239:F4457)</f>
        <v>1.7779</v>
      </c>
      <c r="I4457" s="11">
        <f t="shared" si="100"/>
        <v>0.000674953596940253</v>
      </c>
      <c r="J4457" s="9"/>
      <c r="K4457" s="11"/>
      <c r="L4457" s="9">
        <f>MAX($F$4357:F4457)</f>
        <v>1.7779</v>
      </c>
      <c r="M4457" s="11">
        <f t="shared" si="101"/>
        <v>0.000674953596940253</v>
      </c>
      <c r="N4457" s="9" t="s">
        <v>809</v>
      </c>
    </row>
    <row r="4458" ht="25" customHeight="1" spans="1:14">
      <c r="A4458" s="9" t="s">
        <v>327</v>
      </c>
      <c r="B4458" s="9" t="s">
        <v>326</v>
      </c>
      <c r="C4458" s="10">
        <v>45323</v>
      </c>
      <c r="D4458" s="15">
        <v>1.0153</v>
      </c>
      <c r="E4458" s="15">
        <v>1.6028</v>
      </c>
      <c r="F4458" s="15">
        <v>1.7813</v>
      </c>
      <c r="G4458" s="11">
        <v>0.0026</v>
      </c>
      <c r="H4458" s="9">
        <f>MAX($F$3239:F4458)</f>
        <v>1.7813</v>
      </c>
      <c r="I4458" s="11">
        <f t="shared" si="100"/>
        <v>0</v>
      </c>
      <c r="J4458" s="9"/>
      <c r="K4458" s="11"/>
      <c r="L4458" s="9">
        <f>MAX($F$4357:F4458)</f>
        <v>1.7813</v>
      </c>
      <c r="M4458" s="11">
        <f t="shared" si="101"/>
        <v>0</v>
      </c>
      <c r="N4458" s="9" t="s">
        <v>809</v>
      </c>
    </row>
    <row r="4459" ht="25" customHeight="1" spans="1:14">
      <c r="A4459" s="9" t="s">
        <v>327</v>
      </c>
      <c r="B4459" s="9" t="s">
        <v>326</v>
      </c>
      <c r="C4459" s="10">
        <v>45324</v>
      </c>
      <c r="D4459" s="15">
        <v>1.0158</v>
      </c>
      <c r="E4459" s="15">
        <v>1.6033</v>
      </c>
      <c r="F4459" s="15">
        <v>1.7821</v>
      </c>
      <c r="G4459" s="11">
        <v>0.0005</v>
      </c>
      <c r="H4459" s="9">
        <f>MAX($F$3239:F4459)</f>
        <v>1.7821</v>
      </c>
      <c r="I4459" s="11">
        <f t="shared" si="100"/>
        <v>0</v>
      </c>
      <c r="J4459" s="9"/>
      <c r="K4459" s="11"/>
      <c r="L4459" s="9">
        <f>MAX($F$4357:F4459)</f>
        <v>1.7821</v>
      </c>
      <c r="M4459" s="11">
        <f t="shared" si="101"/>
        <v>0</v>
      </c>
      <c r="N4459" s="9" t="s">
        <v>809</v>
      </c>
    </row>
    <row r="4460" ht="25" customHeight="1" spans="1:14">
      <c r="A4460" s="9" t="s">
        <v>327</v>
      </c>
      <c r="B4460" s="9" t="s">
        <v>326</v>
      </c>
      <c r="C4460" s="10">
        <v>45327</v>
      </c>
      <c r="D4460" s="15">
        <v>1.0194</v>
      </c>
      <c r="E4460" s="15">
        <v>1.6069</v>
      </c>
      <c r="F4460" s="15">
        <v>1.7884</v>
      </c>
      <c r="G4460" s="11">
        <v>0.0035</v>
      </c>
      <c r="H4460" s="9">
        <f>MAX($F$3239:F4460)</f>
        <v>1.7884</v>
      </c>
      <c r="I4460" s="11">
        <f t="shared" si="100"/>
        <v>0</v>
      </c>
      <c r="J4460" s="9"/>
      <c r="K4460" s="11"/>
      <c r="L4460" s="9">
        <f>MAX($F$4357:F4460)</f>
        <v>1.7884</v>
      </c>
      <c r="M4460" s="11">
        <f t="shared" si="101"/>
        <v>0</v>
      </c>
      <c r="N4460" s="9" t="s">
        <v>809</v>
      </c>
    </row>
    <row r="4461" ht="25" customHeight="1" spans="1:14">
      <c r="A4461" s="9" t="s">
        <v>327</v>
      </c>
      <c r="B4461" s="9" t="s">
        <v>326</v>
      </c>
      <c r="C4461" s="10">
        <v>45328</v>
      </c>
      <c r="D4461" s="15">
        <v>1.0233</v>
      </c>
      <c r="E4461" s="15">
        <v>1.6108</v>
      </c>
      <c r="F4461" s="15">
        <v>1.7953</v>
      </c>
      <c r="G4461" s="11">
        <v>0.0038</v>
      </c>
      <c r="H4461" s="9">
        <f>MAX($F$3239:F4461)</f>
        <v>1.7953</v>
      </c>
      <c r="I4461" s="11">
        <f t="shared" si="100"/>
        <v>0</v>
      </c>
      <c r="J4461" s="9"/>
      <c r="K4461" s="11"/>
      <c r="L4461" s="9">
        <f>MAX($F$4357:F4461)</f>
        <v>1.7953</v>
      </c>
      <c r="M4461" s="11">
        <f t="shared" si="101"/>
        <v>0</v>
      </c>
      <c r="N4461" s="9" t="s">
        <v>809</v>
      </c>
    </row>
    <row r="4462" ht="25" customHeight="1" spans="1:14">
      <c r="A4462" s="9" t="s">
        <v>327</v>
      </c>
      <c r="B4462" s="9" t="s">
        <v>326</v>
      </c>
      <c r="C4462" s="10">
        <v>45329</v>
      </c>
      <c r="D4462" s="15">
        <v>1.0239</v>
      </c>
      <c r="E4462" s="15">
        <v>1.6114</v>
      </c>
      <c r="F4462" s="15">
        <v>1.7963</v>
      </c>
      <c r="G4462" s="11">
        <v>0.0006</v>
      </c>
      <c r="H4462" s="9">
        <f>MAX($F$3239:F4462)</f>
        <v>1.7963</v>
      </c>
      <c r="I4462" s="11">
        <f t="shared" si="100"/>
        <v>0</v>
      </c>
      <c r="J4462" s="9"/>
      <c r="K4462" s="11"/>
      <c r="L4462" s="9">
        <f>MAX($F$4357:F4462)</f>
        <v>1.7963</v>
      </c>
      <c r="M4462" s="11">
        <f t="shared" si="101"/>
        <v>0</v>
      </c>
      <c r="N4462" s="9" t="s">
        <v>809</v>
      </c>
    </row>
    <row r="4463" ht="25" customHeight="1" spans="1:14">
      <c r="A4463" s="9" t="s">
        <v>327</v>
      </c>
      <c r="B4463" s="9" t="s">
        <v>326</v>
      </c>
      <c r="C4463" s="10">
        <v>45330</v>
      </c>
      <c r="D4463" s="15">
        <v>1.0231</v>
      </c>
      <c r="E4463" s="15">
        <v>1.6106</v>
      </c>
      <c r="F4463" s="15">
        <v>1.7949</v>
      </c>
      <c r="G4463" s="11">
        <v>-0.0008</v>
      </c>
      <c r="H4463" s="9">
        <f>MAX($F$3239:F4463)</f>
        <v>1.7963</v>
      </c>
      <c r="I4463" s="11">
        <f t="shared" si="100"/>
        <v>0.000779379836330252</v>
      </c>
      <c r="J4463" s="9"/>
      <c r="K4463" s="11"/>
      <c r="L4463" s="9">
        <f>MAX($F$4357:F4463)</f>
        <v>1.7963</v>
      </c>
      <c r="M4463" s="11">
        <f t="shared" si="101"/>
        <v>0.000779379836330252</v>
      </c>
      <c r="N4463" s="9" t="s">
        <v>809</v>
      </c>
    </row>
    <row r="4464" ht="25" customHeight="1" spans="1:14">
      <c r="A4464" s="9" t="s">
        <v>327</v>
      </c>
      <c r="B4464" s="9" t="s">
        <v>326</v>
      </c>
      <c r="C4464" s="10">
        <v>45341</v>
      </c>
      <c r="D4464" s="15">
        <v>1.0231</v>
      </c>
      <c r="E4464" s="15">
        <v>1.6106</v>
      </c>
      <c r="F4464" s="15">
        <v>1.7949</v>
      </c>
      <c r="G4464" s="11">
        <v>0</v>
      </c>
      <c r="H4464" s="9">
        <f>MAX($F$3239:F4464)</f>
        <v>1.7963</v>
      </c>
      <c r="I4464" s="11">
        <f t="shared" si="100"/>
        <v>0.000779379836330252</v>
      </c>
      <c r="J4464" s="9"/>
      <c r="K4464" s="11"/>
      <c r="L4464" s="9">
        <f>MAX($F$4357:F4464)</f>
        <v>1.7963</v>
      </c>
      <c r="M4464" s="11">
        <f t="shared" si="101"/>
        <v>0.000779379836330252</v>
      </c>
      <c r="N4464" s="9" t="s">
        <v>809</v>
      </c>
    </row>
    <row r="4465" ht="25" customHeight="1" spans="1:14">
      <c r="A4465" s="9" t="s">
        <v>327</v>
      </c>
      <c r="B4465" s="9" t="s">
        <v>326</v>
      </c>
      <c r="C4465" s="10">
        <v>45342</v>
      </c>
      <c r="D4465" s="15">
        <v>1.0247</v>
      </c>
      <c r="E4465" s="15">
        <v>1.6122</v>
      </c>
      <c r="F4465" s="15">
        <v>1.7977</v>
      </c>
      <c r="G4465" s="11">
        <v>0.0016</v>
      </c>
      <c r="H4465" s="9">
        <f>MAX($F$3239:F4465)</f>
        <v>1.7977</v>
      </c>
      <c r="I4465" s="11">
        <f t="shared" si="100"/>
        <v>0</v>
      </c>
      <c r="J4465" s="9"/>
      <c r="K4465" s="11"/>
      <c r="L4465" s="9">
        <f>MAX($F$4357:F4465)</f>
        <v>1.7977</v>
      </c>
      <c r="M4465" s="11">
        <f t="shared" si="101"/>
        <v>0</v>
      </c>
      <c r="N4465" s="9" t="s">
        <v>809</v>
      </c>
    </row>
    <row r="4466" ht="25" customHeight="1" spans="1:14">
      <c r="A4466" s="9" t="s">
        <v>327</v>
      </c>
      <c r="B4466" s="9" t="s">
        <v>326</v>
      </c>
      <c r="C4466" s="10">
        <v>45343</v>
      </c>
      <c r="D4466" s="15">
        <v>1.0256</v>
      </c>
      <c r="E4466" s="15">
        <v>1.6131</v>
      </c>
      <c r="F4466" s="15">
        <v>1.7993</v>
      </c>
      <c r="G4466" s="11">
        <v>0.0009</v>
      </c>
      <c r="H4466" s="9">
        <f>MAX($F$3239:F4466)</f>
        <v>1.7993</v>
      </c>
      <c r="I4466" s="11">
        <f t="shared" si="100"/>
        <v>0</v>
      </c>
      <c r="J4466" s="9"/>
      <c r="K4466" s="11"/>
      <c r="L4466" s="9">
        <f>MAX($F$4357:F4466)</f>
        <v>1.7993</v>
      </c>
      <c r="M4466" s="11">
        <f t="shared" si="101"/>
        <v>0</v>
      </c>
      <c r="N4466" s="9" t="s">
        <v>809</v>
      </c>
    </row>
    <row r="4467" ht="25" customHeight="1" spans="1:14">
      <c r="A4467" s="9" t="s">
        <v>327</v>
      </c>
      <c r="B4467" s="9" t="s">
        <v>326</v>
      </c>
      <c r="C4467" s="10">
        <v>45344</v>
      </c>
      <c r="D4467" s="15">
        <v>1.0257</v>
      </c>
      <c r="E4467" s="15">
        <v>1.6132</v>
      </c>
      <c r="F4467" s="15">
        <v>1.7995</v>
      </c>
      <c r="G4467" s="11">
        <v>0.0001</v>
      </c>
      <c r="H4467" s="9">
        <f>MAX($F$3239:F4467)</f>
        <v>1.7995</v>
      </c>
      <c r="I4467" s="11">
        <f t="shared" si="100"/>
        <v>0</v>
      </c>
      <c r="J4467" s="9"/>
      <c r="K4467" s="11"/>
      <c r="L4467" s="9">
        <f>MAX($F$4357:F4467)</f>
        <v>1.7995</v>
      </c>
      <c r="M4467" s="11">
        <f t="shared" si="101"/>
        <v>0</v>
      </c>
      <c r="N4467" s="9" t="s">
        <v>809</v>
      </c>
    </row>
    <row r="4468" ht="25" customHeight="1" spans="1:14">
      <c r="A4468" s="9" t="s">
        <v>327</v>
      </c>
      <c r="B4468" s="9" t="s">
        <v>326</v>
      </c>
      <c r="C4468" s="10">
        <v>45345</v>
      </c>
      <c r="D4468" s="15">
        <v>1.0263</v>
      </c>
      <c r="E4468" s="15">
        <v>1.6138</v>
      </c>
      <c r="F4468" s="15">
        <v>1.8005</v>
      </c>
      <c r="G4468" s="11">
        <v>0.0006</v>
      </c>
      <c r="H4468" s="9">
        <f>MAX($F$3239:F4468)</f>
        <v>1.8005</v>
      </c>
      <c r="I4468" s="11">
        <f t="shared" si="100"/>
        <v>0</v>
      </c>
      <c r="J4468" s="9"/>
      <c r="K4468" s="11"/>
      <c r="L4468" s="9">
        <f>MAX($F$4357:F4468)</f>
        <v>1.8005</v>
      </c>
      <c r="M4468" s="11">
        <f t="shared" si="101"/>
        <v>0</v>
      </c>
      <c r="N4468" s="9" t="s">
        <v>809</v>
      </c>
    </row>
    <row r="4469" ht="25" customHeight="1" spans="1:14">
      <c r="A4469" s="9" t="s">
        <v>327</v>
      </c>
      <c r="B4469" s="9" t="s">
        <v>326</v>
      </c>
      <c r="C4469" s="10">
        <v>45348</v>
      </c>
      <c r="D4469" s="15">
        <v>1.0269</v>
      </c>
      <c r="E4469" s="15">
        <v>1.6144</v>
      </c>
      <c r="F4469" s="15">
        <v>1.8016</v>
      </c>
      <c r="G4469" s="11">
        <v>0.0006</v>
      </c>
      <c r="H4469" s="9">
        <f>MAX($F$3239:F4469)</f>
        <v>1.8016</v>
      </c>
      <c r="I4469" s="11">
        <f t="shared" si="100"/>
        <v>0</v>
      </c>
      <c r="J4469" s="9"/>
      <c r="K4469" s="11"/>
      <c r="L4469" s="9">
        <f>MAX($F$4357:F4469)</f>
        <v>1.8016</v>
      </c>
      <c r="M4469" s="11">
        <f t="shared" si="101"/>
        <v>0</v>
      </c>
      <c r="N4469" s="9" t="s">
        <v>809</v>
      </c>
    </row>
    <row r="4470" ht="25" customHeight="1" spans="1:14">
      <c r="A4470" s="9" t="s">
        <v>327</v>
      </c>
      <c r="B4470" s="9" t="s">
        <v>326</v>
      </c>
      <c r="C4470" s="10">
        <v>45349</v>
      </c>
      <c r="D4470" s="15">
        <v>1.0306</v>
      </c>
      <c r="E4470" s="15">
        <v>1.6181</v>
      </c>
      <c r="F4470" s="15">
        <v>1.8081</v>
      </c>
      <c r="G4470" s="11">
        <v>0.0036</v>
      </c>
      <c r="H4470" s="9">
        <f>MAX($F$3239:F4470)</f>
        <v>1.8081</v>
      </c>
      <c r="I4470" s="11">
        <f t="shared" si="100"/>
        <v>0</v>
      </c>
      <c r="J4470" s="9"/>
      <c r="K4470" s="11"/>
      <c r="L4470" s="9">
        <f>MAX($F$4357:F4470)</f>
        <v>1.8081</v>
      </c>
      <c r="M4470" s="11">
        <f t="shared" si="101"/>
        <v>0</v>
      </c>
      <c r="N4470" s="9" t="s">
        <v>809</v>
      </c>
    </row>
    <row r="4471" ht="25" customHeight="1" spans="1:14">
      <c r="A4471" s="9" t="s">
        <v>327</v>
      </c>
      <c r="B4471" s="9" t="s">
        <v>326</v>
      </c>
      <c r="C4471" s="10">
        <v>45350</v>
      </c>
      <c r="D4471" s="15">
        <v>1.0307</v>
      </c>
      <c r="E4471" s="15">
        <v>1.6182</v>
      </c>
      <c r="F4471" s="15">
        <v>1.8083</v>
      </c>
      <c r="G4471" s="11">
        <v>0.0001</v>
      </c>
      <c r="H4471" s="9">
        <f>MAX($F$3239:F4471)</f>
        <v>1.8083</v>
      </c>
      <c r="I4471" s="11">
        <f t="shared" si="100"/>
        <v>0</v>
      </c>
      <c r="J4471" s="9"/>
      <c r="K4471" s="11"/>
      <c r="L4471" s="9">
        <f>MAX($F$4357:F4471)</f>
        <v>1.8083</v>
      </c>
      <c r="M4471" s="11">
        <f t="shared" si="101"/>
        <v>0</v>
      </c>
      <c r="N4471" s="9" t="s">
        <v>809</v>
      </c>
    </row>
    <row r="4472" ht="25" customHeight="1" spans="1:14">
      <c r="A4472" s="9" t="s">
        <v>327</v>
      </c>
      <c r="B4472" s="9" t="s">
        <v>326</v>
      </c>
      <c r="C4472" s="10">
        <v>45351</v>
      </c>
      <c r="D4472" s="15">
        <v>1.0326</v>
      </c>
      <c r="E4472" s="15">
        <v>1.6201</v>
      </c>
      <c r="F4472" s="15">
        <v>1.8116</v>
      </c>
      <c r="G4472" s="11">
        <v>0.0018</v>
      </c>
      <c r="H4472" s="9">
        <f>MAX($F$3239:F4472)</f>
        <v>1.8116</v>
      </c>
      <c r="I4472" s="11">
        <f t="shared" si="100"/>
        <v>0</v>
      </c>
      <c r="J4472" s="9"/>
      <c r="K4472" s="11"/>
      <c r="L4472" s="9">
        <f>MAX($F$4357:F4472)</f>
        <v>1.8116</v>
      </c>
      <c r="M4472" s="11">
        <f t="shared" si="101"/>
        <v>0</v>
      </c>
      <c r="N4472" s="9" t="s">
        <v>809</v>
      </c>
    </row>
    <row r="4473" ht="25" customHeight="1" spans="1:14">
      <c r="A4473" s="9" t="s">
        <v>327</v>
      </c>
      <c r="B4473" s="9" t="s">
        <v>326</v>
      </c>
      <c r="C4473" s="10">
        <v>45352</v>
      </c>
      <c r="D4473" s="15">
        <v>1.0332</v>
      </c>
      <c r="E4473" s="15">
        <v>1.6207</v>
      </c>
      <c r="F4473" s="15">
        <v>1.8127</v>
      </c>
      <c r="G4473" s="11">
        <v>0.0006</v>
      </c>
      <c r="H4473" s="9">
        <f>MAX($F$3239:F4473)</f>
        <v>1.8127</v>
      </c>
      <c r="I4473" s="11">
        <f t="shared" si="100"/>
        <v>0</v>
      </c>
      <c r="J4473" s="9"/>
      <c r="K4473" s="11"/>
      <c r="L4473" s="9">
        <f>MAX($F$4357:F4473)</f>
        <v>1.8127</v>
      </c>
      <c r="M4473" s="11">
        <f t="shared" si="101"/>
        <v>0</v>
      </c>
      <c r="N4473" s="9" t="s">
        <v>809</v>
      </c>
    </row>
    <row r="4474" ht="25" customHeight="1" spans="1:14">
      <c r="A4474" s="9" t="s">
        <v>327</v>
      </c>
      <c r="B4474" s="9" t="s">
        <v>326</v>
      </c>
      <c r="C4474" s="10">
        <v>45355</v>
      </c>
      <c r="D4474" s="15">
        <v>1.0334</v>
      </c>
      <c r="E4474" s="15">
        <v>1.6209</v>
      </c>
      <c r="F4474" s="15">
        <v>1.813</v>
      </c>
      <c r="G4474" s="11">
        <v>0.0002</v>
      </c>
      <c r="H4474" s="9">
        <f>MAX($F$3239:F4474)</f>
        <v>1.813</v>
      </c>
      <c r="I4474" s="11">
        <f t="shared" si="100"/>
        <v>0</v>
      </c>
      <c r="J4474" s="9"/>
      <c r="K4474" s="11"/>
      <c r="L4474" s="9">
        <f>MAX($F$4357:F4474)</f>
        <v>1.813</v>
      </c>
      <c r="M4474" s="11">
        <f t="shared" si="101"/>
        <v>0</v>
      </c>
      <c r="N4474" s="9" t="s">
        <v>809</v>
      </c>
    </row>
    <row r="4475" ht="25" customHeight="1" spans="1:14">
      <c r="A4475" s="9" t="s">
        <v>327</v>
      </c>
      <c r="B4475" s="9" t="s">
        <v>326</v>
      </c>
      <c r="C4475" s="10">
        <v>45356</v>
      </c>
      <c r="D4475" s="15">
        <v>1.0337</v>
      </c>
      <c r="E4475" s="15">
        <v>1.6212</v>
      </c>
      <c r="F4475" s="15">
        <v>1.8135</v>
      </c>
      <c r="G4475" s="11">
        <v>0.0003</v>
      </c>
      <c r="H4475" s="9">
        <f>MAX($F$3239:F4475)</f>
        <v>1.8135</v>
      </c>
      <c r="I4475" s="11">
        <f t="shared" si="100"/>
        <v>0</v>
      </c>
      <c r="J4475" s="9"/>
      <c r="K4475" s="11"/>
      <c r="L4475" s="9">
        <f>MAX($F$4357:F4475)</f>
        <v>1.8135</v>
      </c>
      <c r="M4475" s="11">
        <f t="shared" si="101"/>
        <v>0</v>
      </c>
      <c r="N4475" s="9" t="s">
        <v>809</v>
      </c>
    </row>
    <row r="4476" ht="25" customHeight="1" spans="1:14">
      <c r="A4476" s="9" t="s">
        <v>327</v>
      </c>
      <c r="B4476" s="9" t="s">
        <v>326</v>
      </c>
      <c r="C4476" s="10">
        <v>45357</v>
      </c>
      <c r="D4476" s="15">
        <v>1.0329</v>
      </c>
      <c r="E4476" s="15">
        <v>1.6204</v>
      </c>
      <c r="F4476" s="15">
        <v>1.8121</v>
      </c>
      <c r="G4476" s="11">
        <v>-0.0008</v>
      </c>
      <c r="H4476" s="9">
        <f>MAX($F$3239:F4476)</f>
        <v>1.8135</v>
      </c>
      <c r="I4476" s="11">
        <f t="shared" si="100"/>
        <v>0.000771987868761981</v>
      </c>
      <c r="J4476" s="9"/>
      <c r="K4476" s="11"/>
      <c r="L4476" s="9">
        <f>MAX($F$4357:F4476)</f>
        <v>1.8135</v>
      </c>
      <c r="M4476" s="11">
        <f t="shared" si="101"/>
        <v>0.000771987868761981</v>
      </c>
      <c r="N4476" s="9" t="s">
        <v>809</v>
      </c>
    </row>
    <row r="4477" ht="25" customHeight="1" spans="1:14">
      <c r="A4477" s="9" t="s">
        <v>327</v>
      </c>
      <c r="B4477" s="9" t="s">
        <v>326</v>
      </c>
      <c r="C4477" s="10">
        <v>45358</v>
      </c>
      <c r="D4477" s="15">
        <v>1.0335</v>
      </c>
      <c r="E4477" s="15">
        <v>1.621</v>
      </c>
      <c r="F4477" s="15">
        <v>1.8132</v>
      </c>
      <c r="G4477" s="11">
        <v>0.0006</v>
      </c>
      <c r="H4477" s="9">
        <f>MAX($F$3239:F4477)</f>
        <v>1.8135</v>
      </c>
      <c r="I4477" s="11">
        <f t="shared" si="100"/>
        <v>0.00016542597187752</v>
      </c>
      <c r="J4477" s="9"/>
      <c r="K4477" s="11"/>
      <c r="L4477" s="9">
        <f>MAX($F$4357:F4477)</f>
        <v>1.8135</v>
      </c>
      <c r="M4477" s="11">
        <f t="shared" si="101"/>
        <v>0.00016542597187752</v>
      </c>
      <c r="N4477" s="9" t="s">
        <v>809</v>
      </c>
    </row>
    <row r="4478" ht="25" customHeight="1" spans="1:14">
      <c r="A4478" s="9" t="s">
        <v>327</v>
      </c>
      <c r="B4478" s="9" t="s">
        <v>326</v>
      </c>
      <c r="C4478" s="10">
        <v>45359</v>
      </c>
      <c r="D4478" s="15">
        <v>1.0338</v>
      </c>
      <c r="E4478" s="15">
        <v>1.6213</v>
      </c>
      <c r="F4478" s="15">
        <v>1.8137</v>
      </c>
      <c r="G4478" s="11">
        <v>0.0003</v>
      </c>
      <c r="H4478" s="9">
        <f>MAX($F$3239:F4478)</f>
        <v>1.8137</v>
      </c>
      <c r="I4478" s="11">
        <f t="shared" si="100"/>
        <v>0</v>
      </c>
      <c r="J4478" s="9"/>
      <c r="K4478" s="11"/>
      <c r="L4478" s="9">
        <f>MAX($F$4357:F4478)</f>
        <v>1.8137</v>
      </c>
      <c r="M4478" s="11">
        <f t="shared" si="101"/>
        <v>0</v>
      </c>
      <c r="N4478" s="9" t="s">
        <v>809</v>
      </c>
    </row>
    <row r="4479" ht="25" customHeight="1" spans="1:14">
      <c r="A4479" s="9" t="s">
        <v>327</v>
      </c>
      <c r="B4479" s="9" t="s">
        <v>326</v>
      </c>
      <c r="C4479" s="10">
        <v>45362</v>
      </c>
      <c r="D4479" s="15">
        <v>1.0338</v>
      </c>
      <c r="E4479" s="15">
        <v>1.6213</v>
      </c>
      <c r="F4479" s="15">
        <v>1.8137</v>
      </c>
      <c r="G4479" s="11">
        <v>0</v>
      </c>
      <c r="H4479" s="9">
        <f>MAX($F$3239:F4479)</f>
        <v>1.8137</v>
      </c>
      <c r="I4479" s="11">
        <f t="shared" si="100"/>
        <v>0</v>
      </c>
      <c r="J4479" s="9"/>
      <c r="K4479" s="11"/>
      <c r="L4479" s="9">
        <f>MAX($F$4357:F4479)</f>
        <v>1.8137</v>
      </c>
      <c r="M4479" s="11">
        <f t="shared" si="101"/>
        <v>0</v>
      </c>
      <c r="N4479" s="9" t="s">
        <v>809</v>
      </c>
    </row>
    <row r="4480" ht="25" customHeight="1" spans="1:14">
      <c r="A4480" s="9" t="s">
        <v>327</v>
      </c>
      <c r="B4480" s="9" t="s">
        <v>326</v>
      </c>
      <c r="C4480" s="10">
        <v>45363</v>
      </c>
      <c r="D4480" s="15">
        <v>1.0345</v>
      </c>
      <c r="E4480" s="15">
        <v>1.622</v>
      </c>
      <c r="F4480" s="15">
        <v>1.8149</v>
      </c>
      <c r="G4480" s="11">
        <v>0.0007</v>
      </c>
      <c r="H4480" s="9">
        <f>MAX($F$3239:F4480)</f>
        <v>1.8149</v>
      </c>
      <c r="I4480" s="11">
        <f t="shared" si="100"/>
        <v>0</v>
      </c>
      <c r="J4480" s="9"/>
      <c r="K4480" s="11"/>
      <c r="L4480" s="9">
        <f>MAX($F$4357:F4480)</f>
        <v>1.8149</v>
      </c>
      <c r="M4480" s="11">
        <f t="shared" si="101"/>
        <v>0</v>
      </c>
      <c r="N4480" s="9" t="s">
        <v>809</v>
      </c>
    </row>
    <row r="4481" ht="25" customHeight="1" spans="1:14">
      <c r="A4481" s="9" t="s">
        <v>327</v>
      </c>
      <c r="B4481" s="9" t="s">
        <v>326</v>
      </c>
      <c r="C4481" s="10">
        <v>45364</v>
      </c>
      <c r="D4481" s="15">
        <v>1.0356</v>
      </c>
      <c r="E4481" s="15">
        <v>1.6231</v>
      </c>
      <c r="F4481" s="15">
        <v>1.8169</v>
      </c>
      <c r="G4481" s="11">
        <v>0.0011</v>
      </c>
      <c r="H4481" s="9">
        <f>MAX($F$3239:F4481)</f>
        <v>1.8169</v>
      </c>
      <c r="I4481" s="11">
        <f t="shared" si="100"/>
        <v>0</v>
      </c>
      <c r="J4481" s="9"/>
      <c r="K4481" s="11"/>
      <c r="L4481" s="9">
        <f>MAX($F$4357:F4481)</f>
        <v>1.8169</v>
      </c>
      <c r="M4481" s="11">
        <f t="shared" si="101"/>
        <v>0</v>
      </c>
      <c r="N4481" s="9" t="s">
        <v>809</v>
      </c>
    </row>
    <row r="4482" ht="25" customHeight="1" spans="1:14">
      <c r="A4482" s="9" t="s">
        <v>327</v>
      </c>
      <c r="B4482" s="9" t="s">
        <v>326</v>
      </c>
      <c r="C4482" s="10">
        <v>45365</v>
      </c>
      <c r="D4482" s="15">
        <v>1.0358</v>
      </c>
      <c r="E4482" s="15">
        <v>1.6233</v>
      </c>
      <c r="F4482" s="15">
        <v>1.8172</v>
      </c>
      <c r="G4482" s="11">
        <v>0.0002</v>
      </c>
      <c r="H4482" s="9">
        <f>MAX($F$3239:F4482)</f>
        <v>1.8172</v>
      </c>
      <c r="I4482" s="11">
        <f t="shared" ref="I4482:I4545" si="102">1-F4482/H4482</f>
        <v>0</v>
      </c>
      <c r="J4482" s="9"/>
      <c r="K4482" s="11"/>
      <c r="L4482" s="9">
        <f>MAX($F$4357:F4482)</f>
        <v>1.8172</v>
      </c>
      <c r="M4482" s="11">
        <f t="shared" si="101"/>
        <v>0</v>
      </c>
      <c r="N4482" s="9" t="s">
        <v>809</v>
      </c>
    </row>
    <row r="4483" ht="25" customHeight="1" spans="1:14">
      <c r="A4483" s="9" t="s">
        <v>327</v>
      </c>
      <c r="B4483" s="9" t="s">
        <v>326</v>
      </c>
      <c r="C4483" s="10">
        <v>45366</v>
      </c>
      <c r="D4483" s="15">
        <v>1.0366</v>
      </c>
      <c r="E4483" s="15">
        <v>1.6241</v>
      </c>
      <c r="F4483" s="15">
        <v>1.8186</v>
      </c>
      <c r="G4483" s="11">
        <v>0.0008</v>
      </c>
      <c r="H4483" s="9">
        <f>MAX($F$3239:F4483)</f>
        <v>1.8186</v>
      </c>
      <c r="I4483" s="11">
        <f t="shared" si="102"/>
        <v>0</v>
      </c>
      <c r="J4483" s="9"/>
      <c r="K4483" s="11"/>
      <c r="L4483" s="9">
        <f>MAX($F$4357:F4483)</f>
        <v>1.8186</v>
      </c>
      <c r="M4483" s="11">
        <f t="shared" si="101"/>
        <v>0</v>
      </c>
      <c r="N4483" s="9" t="s">
        <v>809</v>
      </c>
    </row>
    <row r="4484" ht="25" customHeight="1" spans="1:14">
      <c r="A4484" s="9" t="s">
        <v>327</v>
      </c>
      <c r="B4484" s="9" t="s">
        <v>326</v>
      </c>
      <c r="C4484" s="10">
        <v>45369</v>
      </c>
      <c r="D4484" s="15">
        <v>1.0358</v>
      </c>
      <c r="E4484" s="15">
        <v>1.6233</v>
      </c>
      <c r="F4484" s="15">
        <v>1.8172</v>
      </c>
      <c r="G4484" s="11">
        <v>-0.0008</v>
      </c>
      <c r="H4484" s="9">
        <f>MAX($F$3239:F4484)</f>
        <v>1.8186</v>
      </c>
      <c r="I4484" s="11">
        <f t="shared" si="102"/>
        <v>0.000769822940723697</v>
      </c>
      <c r="J4484" s="9"/>
      <c r="K4484" s="11"/>
      <c r="L4484" s="9">
        <f>MAX($F$4357:F4484)</f>
        <v>1.8186</v>
      </c>
      <c r="M4484" s="11">
        <f t="shared" si="101"/>
        <v>0.000769822940723697</v>
      </c>
      <c r="N4484" s="9" t="s">
        <v>809</v>
      </c>
    </row>
    <row r="4485" ht="25" customHeight="1" spans="1:14">
      <c r="A4485" s="9" t="s">
        <v>327</v>
      </c>
      <c r="B4485" s="9" t="s">
        <v>326</v>
      </c>
      <c r="C4485" s="10">
        <v>45370</v>
      </c>
      <c r="D4485" s="15">
        <v>1.0365</v>
      </c>
      <c r="E4485" s="15">
        <v>1.624</v>
      </c>
      <c r="F4485" s="15">
        <v>1.8184</v>
      </c>
      <c r="G4485" s="11">
        <v>0.0007</v>
      </c>
      <c r="H4485" s="9">
        <f>MAX($F$3239:F4485)</f>
        <v>1.8186</v>
      </c>
      <c r="I4485" s="11">
        <f t="shared" si="102"/>
        <v>0.000109974705817639</v>
      </c>
      <c r="J4485" s="9"/>
      <c r="K4485" s="11"/>
      <c r="L4485" s="9">
        <f>MAX($F$4357:F4485)</f>
        <v>1.8186</v>
      </c>
      <c r="M4485" s="11">
        <f t="shared" ref="M4485:M4548" si="103">1-F4485/L4485</f>
        <v>0.000109974705817639</v>
      </c>
      <c r="N4485" s="9" t="s">
        <v>809</v>
      </c>
    </row>
    <row r="4486" ht="25" customHeight="1" spans="1:14">
      <c r="A4486" s="9" t="s">
        <v>327</v>
      </c>
      <c r="B4486" s="9" t="s">
        <v>326</v>
      </c>
      <c r="C4486" s="10">
        <v>45371</v>
      </c>
      <c r="D4486" s="15">
        <v>1.0369</v>
      </c>
      <c r="E4486" s="15">
        <v>1.6244</v>
      </c>
      <c r="F4486" s="15">
        <v>1.8191</v>
      </c>
      <c r="G4486" s="11">
        <v>0.0004</v>
      </c>
      <c r="H4486" s="9">
        <f>MAX($F$3239:F4486)</f>
        <v>1.8191</v>
      </c>
      <c r="I4486" s="11">
        <f t="shared" si="102"/>
        <v>0</v>
      </c>
      <c r="J4486" s="9"/>
      <c r="K4486" s="11"/>
      <c r="L4486" s="9">
        <f>MAX($F$4357:F4486)</f>
        <v>1.8191</v>
      </c>
      <c r="M4486" s="11">
        <f t="shared" si="103"/>
        <v>0</v>
      </c>
      <c r="N4486" s="9" t="s">
        <v>809</v>
      </c>
    </row>
    <row r="4487" ht="25" customHeight="1" spans="1:14">
      <c r="A4487" s="9" t="s">
        <v>327</v>
      </c>
      <c r="B4487" s="9" t="s">
        <v>326</v>
      </c>
      <c r="C4487" s="10">
        <v>45372</v>
      </c>
      <c r="D4487" s="15">
        <v>1.0366</v>
      </c>
      <c r="E4487" s="15">
        <v>1.6241</v>
      </c>
      <c r="F4487" s="15">
        <v>1.8186</v>
      </c>
      <c r="G4487" s="11">
        <v>-0.0003</v>
      </c>
      <c r="H4487" s="9">
        <f>MAX($F$3239:F4487)</f>
        <v>1.8191</v>
      </c>
      <c r="I4487" s="11">
        <f t="shared" si="102"/>
        <v>0.000274861195096454</v>
      </c>
      <c r="J4487" s="9"/>
      <c r="K4487" s="11"/>
      <c r="L4487" s="9">
        <f>MAX($F$4357:F4487)</f>
        <v>1.8191</v>
      </c>
      <c r="M4487" s="11">
        <f t="shared" si="103"/>
        <v>0.000274861195096454</v>
      </c>
      <c r="N4487" s="9" t="s">
        <v>809</v>
      </c>
    </row>
    <row r="4488" ht="25" customHeight="1" spans="1:14">
      <c r="A4488" s="9" t="s">
        <v>327</v>
      </c>
      <c r="B4488" s="9" t="s">
        <v>326</v>
      </c>
      <c r="C4488" s="10">
        <v>45373</v>
      </c>
      <c r="D4488" s="15">
        <v>1.0369</v>
      </c>
      <c r="E4488" s="15">
        <v>1.6244</v>
      </c>
      <c r="F4488" s="15">
        <v>1.8191</v>
      </c>
      <c r="G4488" s="11">
        <v>0.0003</v>
      </c>
      <c r="H4488" s="9">
        <f>MAX($F$3239:F4488)</f>
        <v>1.8191</v>
      </c>
      <c r="I4488" s="11">
        <f t="shared" si="102"/>
        <v>0</v>
      </c>
      <c r="J4488" s="9"/>
      <c r="K4488" s="11"/>
      <c r="L4488" s="9">
        <f>MAX($F$4357:F4488)</f>
        <v>1.8191</v>
      </c>
      <c r="M4488" s="11">
        <f t="shared" si="103"/>
        <v>0</v>
      </c>
      <c r="N4488" s="9" t="s">
        <v>809</v>
      </c>
    </row>
    <row r="4489" ht="25" customHeight="1" spans="1:14">
      <c r="A4489" s="9" t="s">
        <v>327</v>
      </c>
      <c r="B4489" s="9" t="s">
        <v>326</v>
      </c>
      <c r="C4489" s="10">
        <v>45376</v>
      </c>
      <c r="D4489" s="15">
        <v>1.0379</v>
      </c>
      <c r="E4489" s="15">
        <v>1.6254</v>
      </c>
      <c r="F4489" s="15">
        <v>1.8209</v>
      </c>
      <c r="G4489" s="11">
        <v>0.001</v>
      </c>
      <c r="H4489" s="9">
        <f>MAX($F$3239:F4489)</f>
        <v>1.8209</v>
      </c>
      <c r="I4489" s="11">
        <f t="shared" si="102"/>
        <v>0</v>
      </c>
      <c r="J4489" s="9"/>
      <c r="K4489" s="11"/>
      <c r="L4489" s="9">
        <f>MAX($F$4357:F4489)</f>
        <v>1.8209</v>
      </c>
      <c r="M4489" s="11">
        <f t="shared" si="103"/>
        <v>0</v>
      </c>
      <c r="N4489" s="9" t="s">
        <v>809</v>
      </c>
    </row>
    <row r="4490" ht="25" customHeight="1" spans="1:14">
      <c r="A4490" s="9" t="s">
        <v>327</v>
      </c>
      <c r="B4490" s="9" t="s">
        <v>326</v>
      </c>
      <c r="C4490" s="10">
        <v>45377</v>
      </c>
      <c r="D4490" s="15">
        <v>1.0376</v>
      </c>
      <c r="E4490" s="15">
        <v>1.6251</v>
      </c>
      <c r="F4490" s="15">
        <v>1.8204</v>
      </c>
      <c r="G4490" s="11">
        <v>-0.0003</v>
      </c>
      <c r="H4490" s="9">
        <f>MAX($F$3239:F4490)</f>
        <v>1.8209</v>
      </c>
      <c r="I4490" s="11">
        <f t="shared" si="102"/>
        <v>0.000274589488714394</v>
      </c>
      <c r="J4490" s="9"/>
      <c r="K4490" s="11"/>
      <c r="L4490" s="9">
        <f>MAX($F$4357:F4490)</f>
        <v>1.8209</v>
      </c>
      <c r="M4490" s="11">
        <f t="shared" si="103"/>
        <v>0.000274589488714394</v>
      </c>
      <c r="N4490" s="9" t="s">
        <v>809</v>
      </c>
    </row>
    <row r="4491" ht="25" customHeight="1" spans="1:14">
      <c r="A4491" s="9" t="s">
        <v>327</v>
      </c>
      <c r="B4491" s="9" t="s">
        <v>326</v>
      </c>
      <c r="C4491" s="10">
        <v>45378</v>
      </c>
      <c r="D4491" s="15">
        <v>1.038</v>
      </c>
      <c r="E4491" s="15">
        <v>1.6255</v>
      </c>
      <c r="F4491" s="15">
        <v>1.8211</v>
      </c>
      <c r="G4491" s="11">
        <v>0.0004</v>
      </c>
      <c r="H4491" s="9">
        <f>MAX($F$3239:F4491)</f>
        <v>1.8211</v>
      </c>
      <c r="I4491" s="11">
        <f t="shared" si="102"/>
        <v>0</v>
      </c>
      <c r="J4491" s="9"/>
      <c r="K4491" s="11"/>
      <c r="L4491" s="9">
        <f>MAX($F$4357:F4491)</f>
        <v>1.8211</v>
      </c>
      <c r="M4491" s="11">
        <f t="shared" si="103"/>
        <v>0</v>
      </c>
      <c r="N4491" s="9" t="s">
        <v>809</v>
      </c>
    </row>
    <row r="4492" ht="25" customHeight="1" spans="1:14">
      <c r="A4492" s="9" t="s">
        <v>327</v>
      </c>
      <c r="B4492" s="9" t="s">
        <v>326</v>
      </c>
      <c r="C4492" s="10">
        <v>45379</v>
      </c>
      <c r="D4492" s="15">
        <v>1.041</v>
      </c>
      <c r="E4492" s="15">
        <v>1.6285</v>
      </c>
      <c r="F4492" s="15">
        <v>1.8263</v>
      </c>
      <c r="G4492" s="11">
        <v>0.0029</v>
      </c>
      <c r="H4492" s="9">
        <f>MAX($F$3239:F4492)</f>
        <v>1.8263</v>
      </c>
      <c r="I4492" s="11">
        <f t="shared" si="102"/>
        <v>0</v>
      </c>
      <c r="J4492" s="9"/>
      <c r="K4492" s="11"/>
      <c r="L4492" s="9">
        <f>MAX($F$4357:F4492)</f>
        <v>1.8263</v>
      </c>
      <c r="M4492" s="11">
        <f t="shared" si="103"/>
        <v>0</v>
      </c>
      <c r="N4492" s="9" t="s">
        <v>809</v>
      </c>
    </row>
    <row r="4493" ht="25" customHeight="1" spans="1:14">
      <c r="A4493" s="9" t="s">
        <v>327</v>
      </c>
      <c r="B4493" s="9" t="s">
        <v>326</v>
      </c>
      <c r="C4493" s="10">
        <v>45380</v>
      </c>
      <c r="D4493" s="15">
        <v>1.0422</v>
      </c>
      <c r="E4493" s="15">
        <v>1.6297</v>
      </c>
      <c r="F4493" s="15">
        <v>1.8284</v>
      </c>
      <c r="G4493" s="11">
        <v>0.0012</v>
      </c>
      <c r="H4493" s="9">
        <f>MAX($F$3239:F4493)</f>
        <v>1.8284</v>
      </c>
      <c r="I4493" s="11">
        <f t="shared" si="102"/>
        <v>0</v>
      </c>
      <c r="J4493" s="9"/>
      <c r="K4493" s="11"/>
      <c r="L4493" s="9">
        <f>MAX($F$4357:F4493)</f>
        <v>1.8284</v>
      </c>
      <c r="M4493" s="11">
        <f t="shared" si="103"/>
        <v>0</v>
      </c>
      <c r="N4493" s="9" t="s">
        <v>809</v>
      </c>
    </row>
    <row r="4494" ht="25" customHeight="1" spans="1:14">
      <c r="A4494" s="9" t="s">
        <v>327</v>
      </c>
      <c r="B4494" s="9" t="s">
        <v>326</v>
      </c>
      <c r="C4494" s="10">
        <v>45383</v>
      </c>
      <c r="D4494" s="15">
        <v>1.0413</v>
      </c>
      <c r="E4494" s="15">
        <v>1.6288</v>
      </c>
      <c r="F4494" s="15">
        <v>1.8269</v>
      </c>
      <c r="G4494" s="11">
        <v>-0.0009</v>
      </c>
      <c r="H4494" s="9">
        <f>MAX($F$3239:F4494)</f>
        <v>1.8284</v>
      </c>
      <c r="I4494" s="11">
        <f t="shared" si="102"/>
        <v>0.000820389411507305</v>
      </c>
      <c r="J4494" s="9"/>
      <c r="K4494" s="11"/>
      <c r="L4494" s="9">
        <f>MAX($F$4357:F4494)</f>
        <v>1.8284</v>
      </c>
      <c r="M4494" s="11">
        <f t="shared" si="103"/>
        <v>0.000820389411507305</v>
      </c>
      <c r="N4494" s="9" t="s">
        <v>809</v>
      </c>
    </row>
    <row r="4495" ht="25" customHeight="1" spans="1:14">
      <c r="A4495" s="9" t="s">
        <v>327</v>
      </c>
      <c r="B4495" s="9" t="s">
        <v>326</v>
      </c>
      <c r="C4495" s="10">
        <v>45384</v>
      </c>
      <c r="D4495" s="15">
        <v>1.0415</v>
      </c>
      <c r="E4495" s="15">
        <v>1.629</v>
      </c>
      <c r="F4495" s="15">
        <v>1.8272</v>
      </c>
      <c r="G4495" s="11">
        <v>0.0002</v>
      </c>
      <c r="H4495" s="9">
        <f>MAX($F$3239:F4495)</f>
        <v>1.8284</v>
      </c>
      <c r="I4495" s="11">
        <f t="shared" si="102"/>
        <v>0.000656311529205866</v>
      </c>
      <c r="J4495" s="9"/>
      <c r="K4495" s="11"/>
      <c r="L4495" s="9">
        <f>MAX($F$4357:F4495)</f>
        <v>1.8284</v>
      </c>
      <c r="M4495" s="11">
        <f t="shared" si="103"/>
        <v>0.000656311529205866</v>
      </c>
      <c r="N4495" s="9" t="s">
        <v>809</v>
      </c>
    </row>
    <row r="4496" ht="25" customHeight="1" spans="1:14">
      <c r="A4496" s="9" t="s">
        <v>327</v>
      </c>
      <c r="B4496" s="9" t="s">
        <v>326</v>
      </c>
      <c r="C4496" s="10">
        <v>45385</v>
      </c>
      <c r="D4496" s="15">
        <v>1.0413</v>
      </c>
      <c r="E4496" s="15">
        <v>1.6288</v>
      </c>
      <c r="F4496" s="15">
        <v>1.8269</v>
      </c>
      <c r="G4496" s="11">
        <v>-0.0002</v>
      </c>
      <c r="H4496" s="9">
        <f>MAX($F$3239:F4496)</f>
        <v>1.8284</v>
      </c>
      <c r="I4496" s="11">
        <f t="shared" si="102"/>
        <v>0.000820389411507305</v>
      </c>
      <c r="J4496" s="9"/>
      <c r="K4496" s="11"/>
      <c r="L4496" s="9">
        <f>MAX($F$4357:F4496)</f>
        <v>1.8284</v>
      </c>
      <c r="M4496" s="11">
        <f t="shared" si="103"/>
        <v>0.000820389411507305</v>
      </c>
      <c r="N4496" s="9" t="s">
        <v>809</v>
      </c>
    </row>
    <row r="4497" ht="25" customHeight="1" spans="1:14">
      <c r="A4497" s="9" t="s">
        <v>327</v>
      </c>
      <c r="B4497" s="9" t="s">
        <v>326</v>
      </c>
      <c r="C4497" s="10">
        <v>45390</v>
      </c>
      <c r="D4497" s="15">
        <v>1.0414</v>
      </c>
      <c r="E4497" s="15">
        <v>1.6289</v>
      </c>
      <c r="F4497" s="15">
        <v>1.827</v>
      </c>
      <c r="G4497" s="11">
        <v>0.0001</v>
      </c>
      <c r="H4497" s="9">
        <f>MAX($F$3239:F4497)</f>
        <v>1.8284</v>
      </c>
      <c r="I4497" s="11">
        <f t="shared" si="102"/>
        <v>0.000765696784073566</v>
      </c>
      <c r="J4497" s="9"/>
      <c r="K4497" s="11"/>
      <c r="L4497" s="9">
        <f>MAX($F$4357:F4497)</f>
        <v>1.8284</v>
      </c>
      <c r="M4497" s="11">
        <f t="shared" si="103"/>
        <v>0.000765696784073566</v>
      </c>
      <c r="N4497" s="9" t="s">
        <v>809</v>
      </c>
    </row>
    <row r="4498" ht="25" customHeight="1" spans="1:14">
      <c r="A4498" s="9" t="s">
        <v>327</v>
      </c>
      <c r="B4498" s="9" t="s">
        <v>326</v>
      </c>
      <c r="C4498" s="10">
        <v>45391</v>
      </c>
      <c r="D4498" s="15">
        <v>1.041</v>
      </c>
      <c r="E4498" s="15">
        <v>1.6285</v>
      </c>
      <c r="F4498" s="15">
        <v>1.8263</v>
      </c>
      <c r="G4498" s="11">
        <v>-0.0004</v>
      </c>
      <c r="H4498" s="9">
        <f>MAX($F$3239:F4498)</f>
        <v>1.8284</v>
      </c>
      <c r="I4498" s="11">
        <f t="shared" si="102"/>
        <v>0.00114854517611029</v>
      </c>
      <c r="J4498" s="9"/>
      <c r="K4498" s="11"/>
      <c r="L4498" s="9">
        <f>MAX($F$4357:F4498)</f>
        <v>1.8284</v>
      </c>
      <c r="M4498" s="11">
        <f t="shared" si="103"/>
        <v>0.00114854517611029</v>
      </c>
      <c r="N4498" s="9" t="s">
        <v>809</v>
      </c>
    </row>
    <row r="4499" ht="25" customHeight="1" spans="1:14">
      <c r="A4499" s="9" t="s">
        <v>327</v>
      </c>
      <c r="B4499" s="9" t="s">
        <v>326</v>
      </c>
      <c r="C4499" s="10">
        <v>45392</v>
      </c>
      <c r="D4499" s="15">
        <v>1.0422</v>
      </c>
      <c r="E4499" s="15">
        <v>1.6297</v>
      </c>
      <c r="F4499" s="15">
        <v>1.8284</v>
      </c>
      <c r="G4499" s="11">
        <v>0.0012</v>
      </c>
      <c r="H4499" s="9">
        <f>MAX($F$3239:F4499)</f>
        <v>1.8284</v>
      </c>
      <c r="I4499" s="11">
        <f t="shared" si="102"/>
        <v>0</v>
      </c>
      <c r="J4499" s="9"/>
      <c r="K4499" s="11"/>
      <c r="L4499" s="9">
        <f>MAX($F$4357:F4499)</f>
        <v>1.8284</v>
      </c>
      <c r="M4499" s="11">
        <f t="shared" si="103"/>
        <v>0</v>
      </c>
      <c r="N4499" s="9" t="s">
        <v>809</v>
      </c>
    </row>
    <row r="4500" ht="25" customHeight="1" spans="1:14">
      <c r="A4500" s="9" t="s">
        <v>327</v>
      </c>
      <c r="B4500" s="9" t="s">
        <v>326</v>
      </c>
      <c r="C4500" s="10">
        <v>45393</v>
      </c>
      <c r="D4500" s="15">
        <v>1.0424</v>
      </c>
      <c r="E4500" s="15">
        <v>1.6299</v>
      </c>
      <c r="F4500" s="15">
        <v>1.8288</v>
      </c>
      <c r="G4500" s="11">
        <v>0.0002</v>
      </c>
      <c r="H4500" s="9">
        <f>MAX($F$3239:F4500)</f>
        <v>1.8288</v>
      </c>
      <c r="I4500" s="11">
        <f t="shared" si="102"/>
        <v>0</v>
      </c>
      <c r="J4500" s="9"/>
      <c r="K4500" s="11"/>
      <c r="L4500" s="9">
        <f>MAX($F$4357:F4500)</f>
        <v>1.8288</v>
      </c>
      <c r="M4500" s="11">
        <f t="shared" si="103"/>
        <v>0</v>
      </c>
      <c r="N4500" s="9" t="s">
        <v>809</v>
      </c>
    </row>
    <row r="4501" ht="25" customHeight="1" spans="1:14">
      <c r="A4501" s="9" t="s">
        <v>327</v>
      </c>
      <c r="B4501" s="9" t="s">
        <v>326</v>
      </c>
      <c r="C4501" s="10">
        <v>45394</v>
      </c>
      <c r="D4501" s="15">
        <v>1.0424</v>
      </c>
      <c r="E4501" s="15">
        <v>1.6299</v>
      </c>
      <c r="F4501" s="15">
        <v>1.8288</v>
      </c>
      <c r="G4501" s="11">
        <v>0</v>
      </c>
      <c r="H4501" s="9">
        <f>MAX($F$3239:F4501)</f>
        <v>1.8288</v>
      </c>
      <c r="I4501" s="11">
        <f t="shared" si="102"/>
        <v>0</v>
      </c>
      <c r="J4501" s="9"/>
      <c r="K4501" s="11"/>
      <c r="L4501" s="9">
        <f>MAX($F$4357:F4501)</f>
        <v>1.8288</v>
      </c>
      <c r="M4501" s="11">
        <f t="shared" si="103"/>
        <v>0</v>
      </c>
      <c r="N4501" s="9" t="s">
        <v>809</v>
      </c>
    </row>
    <row r="4502" ht="25" customHeight="1" spans="1:14">
      <c r="A4502" s="9" t="s">
        <v>327</v>
      </c>
      <c r="B4502" s="9" t="s">
        <v>326</v>
      </c>
      <c r="C4502" s="10">
        <v>45397</v>
      </c>
      <c r="D4502" s="15">
        <v>1.0452</v>
      </c>
      <c r="E4502" s="15">
        <v>1.6327</v>
      </c>
      <c r="F4502" s="15">
        <v>1.8337</v>
      </c>
      <c r="G4502" s="11">
        <v>0.0027</v>
      </c>
      <c r="H4502" s="9">
        <f>MAX($F$3239:F4502)</f>
        <v>1.8337</v>
      </c>
      <c r="I4502" s="11">
        <f t="shared" si="102"/>
        <v>0</v>
      </c>
      <c r="J4502" s="9"/>
      <c r="K4502" s="11"/>
      <c r="L4502" s="9">
        <f>MAX($F$4357:F4502)</f>
        <v>1.8337</v>
      </c>
      <c r="M4502" s="11">
        <f t="shared" si="103"/>
        <v>0</v>
      </c>
      <c r="N4502" s="9" t="s">
        <v>809</v>
      </c>
    </row>
    <row r="4503" ht="25" customHeight="1" spans="1:14">
      <c r="A4503" s="9" t="s">
        <v>327</v>
      </c>
      <c r="B4503" s="9" t="s">
        <v>326</v>
      </c>
      <c r="C4503" s="10">
        <v>45398</v>
      </c>
      <c r="D4503" s="15">
        <v>1.0469</v>
      </c>
      <c r="E4503" s="15">
        <v>1.6344</v>
      </c>
      <c r="F4503" s="15">
        <v>1.8367</v>
      </c>
      <c r="G4503" s="11">
        <v>0.0016</v>
      </c>
      <c r="H4503" s="9">
        <f>MAX($F$3239:F4503)</f>
        <v>1.8367</v>
      </c>
      <c r="I4503" s="11">
        <f t="shared" si="102"/>
        <v>0</v>
      </c>
      <c r="J4503" s="9"/>
      <c r="K4503" s="11"/>
      <c r="L4503" s="9">
        <f>MAX($F$4357:F4503)</f>
        <v>1.8367</v>
      </c>
      <c r="M4503" s="11">
        <f t="shared" si="103"/>
        <v>0</v>
      </c>
      <c r="N4503" s="9" t="s">
        <v>809</v>
      </c>
    </row>
    <row r="4504" ht="25" customHeight="1" spans="1:14">
      <c r="A4504" s="9" t="s">
        <v>327</v>
      </c>
      <c r="B4504" s="9" t="s">
        <v>326</v>
      </c>
      <c r="C4504" s="10">
        <v>45399</v>
      </c>
      <c r="D4504" s="15">
        <v>1.0492</v>
      </c>
      <c r="E4504" s="15">
        <v>1.6367</v>
      </c>
      <c r="F4504" s="15">
        <v>1.8407</v>
      </c>
      <c r="G4504" s="11">
        <v>0.0022</v>
      </c>
      <c r="H4504" s="9">
        <f>MAX($F$3239:F4504)</f>
        <v>1.8407</v>
      </c>
      <c r="I4504" s="11">
        <f t="shared" si="102"/>
        <v>0</v>
      </c>
      <c r="J4504" s="9"/>
      <c r="K4504" s="11"/>
      <c r="L4504" s="9">
        <f>MAX($F$4357:F4504)</f>
        <v>1.8407</v>
      </c>
      <c r="M4504" s="11">
        <f t="shared" si="103"/>
        <v>0</v>
      </c>
      <c r="N4504" s="9" t="s">
        <v>809</v>
      </c>
    </row>
    <row r="4505" ht="25" customHeight="1" spans="1:14">
      <c r="A4505" s="9" t="s">
        <v>327</v>
      </c>
      <c r="B4505" s="9" t="s">
        <v>326</v>
      </c>
      <c r="C4505" s="10">
        <v>45400</v>
      </c>
      <c r="D4505" s="15">
        <v>1.049</v>
      </c>
      <c r="E4505" s="15">
        <v>1.6365</v>
      </c>
      <c r="F4505" s="15">
        <v>1.8404</v>
      </c>
      <c r="G4505" s="11">
        <v>-0.0002</v>
      </c>
      <c r="H4505" s="9">
        <f>MAX($F$3239:F4505)</f>
        <v>1.8407</v>
      </c>
      <c r="I4505" s="11">
        <f t="shared" si="102"/>
        <v>0.00016298147443905</v>
      </c>
      <c r="J4505" s="9"/>
      <c r="K4505" s="11"/>
      <c r="L4505" s="9">
        <f>MAX($F$4357:F4505)</f>
        <v>1.8407</v>
      </c>
      <c r="M4505" s="11">
        <f t="shared" si="103"/>
        <v>0.00016298147443905</v>
      </c>
      <c r="N4505" s="9" t="s">
        <v>809</v>
      </c>
    </row>
    <row r="4506" ht="25" customHeight="1" spans="1:14">
      <c r="A4506" s="9" t="s">
        <v>327</v>
      </c>
      <c r="B4506" s="9" t="s">
        <v>326</v>
      </c>
      <c r="C4506" s="10">
        <v>45401</v>
      </c>
      <c r="D4506" s="15">
        <v>1.0498</v>
      </c>
      <c r="E4506" s="15">
        <v>1.6373</v>
      </c>
      <c r="F4506" s="15">
        <v>1.8418</v>
      </c>
      <c r="G4506" s="11">
        <v>0.0008</v>
      </c>
      <c r="H4506" s="9">
        <f>MAX($F$3239:F4506)</f>
        <v>1.8418</v>
      </c>
      <c r="I4506" s="11">
        <f t="shared" si="102"/>
        <v>0</v>
      </c>
      <c r="J4506" s="9"/>
      <c r="K4506" s="11"/>
      <c r="L4506" s="9">
        <f>MAX($F$4357:F4506)</f>
        <v>1.8418</v>
      </c>
      <c r="M4506" s="11">
        <f t="shared" si="103"/>
        <v>0</v>
      </c>
      <c r="N4506" s="9" t="s">
        <v>809</v>
      </c>
    </row>
    <row r="4507" ht="25" customHeight="1" spans="1:14">
      <c r="A4507" s="9" t="s">
        <v>327</v>
      </c>
      <c r="B4507" s="9" t="s">
        <v>326</v>
      </c>
      <c r="C4507" s="10">
        <v>45404</v>
      </c>
      <c r="D4507" s="15">
        <v>1.0499</v>
      </c>
      <c r="E4507" s="15">
        <v>1.6374</v>
      </c>
      <c r="F4507" s="15">
        <v>1.842</v>
      </c>
      <c r="G4507" s="11">
        <v>0.0001</v>
      </c>
      <c r="H4507" s="9">
        <f>MAX($F$3239:F4507)</f>
        <v>1.842</v>
      </c>
      <c r="I4507" s="11">
        <f t="shared" si="102"/>
        <v>0</v>
      </c>
      <c r="J4507" s="9"/>
      <c r="K4507" s="11"/>
      <c r="L4507" s="9">
        <f>MAX($F$4357:F4507)</f>
        <v>1.842</v>
      </c>
      <c r="M4507" s="11">
        <f t="shared" si="103"/>
        <v>0</v>
      </c>
      <c r="N4507" s="9" t="s">
        <v>809</v>
      </c>
    </row>
    <row r="4508" ht="25" customHeight="1" spans="1:14">
      <c r="A4508" s="9" t="s">
        <v>327</v>
      </c>
      <c r="B4508" s="9" t="s">
        <v>326</v>
      </c>
      <c r="C4508" s="10">
        <v>45405</v>
      </c>
      <c r="D4508" s="15">
        <v>1.0492</v>
      </c>
      <c r="E4508" s="15">
        <v>1.6367</v>
      </c>
      <c r="F4508" s="15">
        <v>1.8407</v>
      </c>
      <c r="G4508" s="11">
        <v>-0.0007</v>
      </c>
      <c r="H4508" s="9">
        <f>MAX($F$3239:F4508)</f>
        <v>1.842</v>
      </c>
      <c r="I4508" s="11">
        <f t="shared" si="102"/>
        <v>0.00070575461454947</v>
      </c>
      <c r="J4508" s="9"/>
      <c r="K4508" s="11"/>
      <c r="L4508" s="9">
        <f>MAX($F$4357:F4508)</f>
        <v>1.842</v>
      </c>
      <c r="M4508" s="11">
        <f t="shared" si="103"/>
        <v>0.00070575461454947</v>
      </c>
      <c r="N4508" s="9" t="s">
        <v>809</v>
      </c>
    </row>
    <row r="4509" ht="25" customHeight="1" spans="1:14">
      <c r="A4509" s="9" t="s">
        <v>327</v>
      </c>
      <c r="B4509" s="9" t="s">
        <v>326</v>
      </c>
      <c r="C4509" s="10">
        <v>45406</v>
      </c>
      <c r="D4509" s="15">
        <v>1.05</v>
      </c>
      <c r="E4509" s="15">
        <v>1.6375</v>
      </c>
      <c r="F4509" s="15">
        <v>1.8421</v>
      </c>
      <c r="G4509" s="11">
        <v>0.0008</v>
      </c>
      <c r="H4509" s="9">
        <f>MAX($F$3239:F4509)</f>
        <v>1.8421</v>
      </c>
      <c r="I4509" s="11">
        <f t="shared" si="102"/>
        <v>0</v>
      </c>
      <c r="J4509" s="9"/>
      <c r="K4509" s="11"/>
      <c r="L4509" s="9">
        <f>MAX($F$4357:F4509)</f>
        <v>1.8421</v>
      </c>
      <c r="M4509" s="11">
        <f t="shared" si="103"/>
        <v>0</v>
      </c>
      <c r="N4509" s="9" t="s">
        <v>809</v>
      </c>
    </row>
    <row r="4510" ht="25" customHeight="1" spans="1:14">
      <c r="A4510" s="9" t="s">
        <v>327</v>
      </c>
      <c r="B4510" s="9" t="s">
        <v>326</v>
      </c>
      <c r="C4510" s="10">
        <v>45407</v>
      </c>
      <c r="D4510" s="15">
        <v>1.0504</v>
      </c>
      <c r="E4510" s="15">
        <v>1.6379</v>
      </c>
      <c r="F4510" s="15">
        <v>1.8428</v>
      </c>
      <c r="G4510" s="11">
        <v>0.0004</v>
      </c>
      <c r="H4510" s="9">
        <f>MAX($F$3239:F4510)</f>
        <v>1.8428</v>
      </c>
      <c r="I4510" s="11">
        <f t="shared" si="102"/>
        <v>0</v>
      </c>
      <c r="J4510" s="9"/>
      <c r="K4510" s="11"/>
      <c r="L4510" s="9">
        <f>MAX($F$4357:F4510)</f>
        <v>1.8428</v>
      </c>
      <c r="M4510" s="11">
        <f t="shared" si="103"/>
        <v>0</v>
      </c>
      <c r="N4510" s="9" t="s">
        <v>809</v>
      </c>
    </row>
    <row r="4511" ht="25" customHeight="1" spans="1:14">
      <c r="A4511" s="9" t="s">
        <v>327</v>
      </c>
      <c r="B4511" s="9" t="s">
        <v>326</v>
      </c>
      <c r="C4511" s="10">
        <v>45408</v>
      </c>
      <c r="D4511" s="15">
        <v>1.0504</v>
      </c>
      <c r="E4511" s="15">
        <v>1.6379</v>
      </c>
      <c r="F4511" s="15">
        <v>1.8428</v>
      </c>
      <c r="G4511" s="11">
        <v>0</v>
      </c>
      <c r="H4511" s="9">
        <f>MAX($F$3239:F4511)</f>
        <v>1.8428</v>
      </c>
      <c r="I4511" s="11">
        <f t="shared" si="102"/>
        <v>0</v>
      </c>
      <c r="J4511" s="9"/>
      <c r="K4511" s="11"/>
      <c r="L4511" s="9">
        <f>MAX($F$4357:F4511)</f>
        <v>1.8428</v>
      </c>
      <c r="M4511" s="11">
        <f t="shared" si="103"/>
        <v>0</v>
      </c>
      <c r="N4511" s="9" t="s">
        <v>809</v>
      </c>
    </row>
    <row r="4512" ht="25" customHeight="1" spans="1:14">
      <c r="A4512" s="9" t="s">
        <v>327</v>
      </c>
      <c r="B4512" s="9" t="s">
        <v>326</v>
      </c>
      <c r="C4512" s="10">
        <v>45411</v>
      </c>
      <c r="D4512" s="15">
        <v>1.0487</v>
      </c>
      <c r="E4512" s="15">
        <v>1.6362</v>
      </c>
      <c r="F4512" s="15">
        <v>1.8398</v>
      </c>
      <c r="G4512" s="11">
        <v>-0.0016</v>
      </c>
      <c r="H4512" s="9">
        <f>MAX($F$3239:F4512)</f>
        <v>1.8428</v>
      </c>
      <c r="I4512" s="11">
        <f t="shared" si="102"/>
        <v>0.00162795745604505</v>
      </c>
      <c r="J4512" s="9"/>
      <c r="K4512" s="11"/>
      <c r="L4512" s="9">
        <f>MAX($F$4357:F4512)</f>
        <v>1.8428</v>
      </c>
      <c r="M4512" s="11">
        <f t="shared" si="103"/>
        <v>0.00162795745604505</v>
      </c>
      <c r="N4512" s="9" t="s">
        <v>809</v>
      </c>
    </row>
    <row r="4513" ht="25" customHeight="1" spans="1:14">
      <c r="A4513" s="9" t="s">
        <v>327</v>
      </c>
      <c r="B4513" s="9" t="s">
        <v>326</v>
      </c>
      <c r="C4513" s="10">
        <v>45412</v>
      </c>
      <c r="D4513" s="15">
        <v>1.0482</v>
      </c>
      <c r="E4513" s="15">
        <v>1.6357</v>
      </c>
      <c r="F4513" s="15">
        <v>1.839</v>
      </c>
      <c r="G4513" s="11">
        <v>-0.0005</v>
      </c>
      <c r="H4513" s="9">
        <f>MAX($F$3239:F4513)</f>
        <v>1.8428</v>
      </c>
      <c r="I4513" s="11">
        <f t="shared" si="102"/>
        <v>0.00206207944432391</v>
      </c>
      <c r="J4513" s="9"/>
      <c r="K4513" s="11"/>
      <c r="L4513" s="9">
        <f>MAX($F$4357:F4513)</f>
        <v>1.8428</v>
      </c>
      <c r="M4513" s="11">
        <f t="shared" si="103"/>
        <v>0.00206207944432391</v>
      </c>
      <c r="N4513" s="9" t="s">
        <v>809</v>
      </c>
    </row>
    <row r="4514" ht="25" customHeight="1" spans="1:14">
      <c r="A4514" s="9" t="s">
        <v>327</v>
      </c>
      <c r="B4514" s="9" t="s">
        <v>326</v>
      </c>
      <c r="C4514" s="10">
        <v>45418</v>
      </c>
      <c r="D4514" s="15">
        <v>1.0476</v>
      </c>
      <c r="E4514" s="15">
        <v>1.6351</v>
      </c>
      <c r="F4514" s="15">
        <v>1.8379</v>
      </c>
      <c r="G4514" s="11">
        <v>-0.0006</v>
      </c>
      <c r="H4514" s="9">
        <f>MAX($F$3239:F4514)</f>
        <v>1.8428</v>
      </c>
      <c r="I4514" s="11">
        <f t="shared" si="102"/>
        <v>0.00265899717820706</v>
      </c>
      <c r="J4514" s="9"/>
      <c r="K4514" s="11"/>
      <c r="L4514" s="9">
        <f>MAX($F$4357:F4514)</f>
        <v>1.8428</v>
      </c>
      <c r="M4514" s="11">
        <f t="shared" si="103"/>
        <v>0.00265899717820706</v>
      </c>
      <c r="N4514" s="9" t="s">
        <v>809</v>
      </c>
    </row>
    <row r="4515" ht="25" customHeight="1" spans="1:14">
      <c r="A4515" s="9" t="s">
        <v>327</v>
      </c>
      <c r="B4515" s="9" t="s">
        <v>326</v>
      </c>
      <c r="C4515" s="10">
        <v>45419</v>
      </c>
      <c r="D4515" s="15">
        <v>1.0473</v>
      </c>
      <c r="E4515" s="15">
        <v>1.6348</v>
      </c>
      <c r="F4515" s="15">
        <v>1.8374</v>
      </c>
      <c r="G4515" s="11">
        <v>-0.0003</v>
      </c>
      <c r="H4515" s="9">
        <f>MAX($F$3239:F4515)</f>
        <v>1.8428</v>
      </c>
      <c r="I4515" s="11">
        <f t="shared" si="102"/>
        <v>0.00293032342088129</v>
      </c>
      <c r="J4515" s="9"/>
      <c r="K4515" s="11"/>
      <c r="L4515" s="9">
        <f>MAX($F$4357:F4515)</f>
        <v>1.8428</v>
      </c>
      <c r="M4515" s="11">
        <f t="shared" si="103"/>
        <v>0.00293032342088129</v>
      </c>
      <c r="N4515" s="9" t="s">
        <v>809</v>
      </c>
    </row>
    <row r="4516" ht="25" customHeight="1" spans="1:14">
      <c r="A4516" s="9" t="s">
        <v>327</v>
      </c>
      <c r="B4516" s="9" t="s">
        <v>326</v>
      </c>
      <c r="C4516" s="10">
        <v>45420</v>
      </c>
      <c r="D4516" s="15">
        <v>1.0466</v>
      </c>
      <c r="E4516" s="15">
        <v>1.6341</v>
      </c>
      <c r="F4516" s="15">
        <v>1.8362</v>
      </c>
      <c r="G4516" s="11">
        <v>-0.0007</v>
      </c>
      <c r="H4516" s="9">
        <f>MAX($F$3239:F4516)</f>
        <v>1.8428</v>
      </c>
      <c r="I4516" s="11">
        <f t="shared" si="102"/>
        <v>0.00358150640329924</v>
      </c>
      <c r="J4516" s="9"/>
      <c r="K4516" s="11"/>
      <c r="L4516" s="9">
        <f>MAX($F$4357:F4516)</f>
        <v>1.8428</v>
      </c>
      <c r="M4516" s="11">
        <f t="shared" si="103"/>
        <v>0.00358150640329924</v>
      </c>
      <c r="N4516" s="9" t="s">
        <v>809</v>
      </c>
    </row>
    <row r="4517" ht="25" customHeight="1" spans="1:14">
      <c r="A4517" s="9" t="s">
        <v>327</v>
      </c>
      <c r="B4517" s="9" t="s">
        <v>326</v>
      </c>
      <c r="C4517" s="10">
        <v>45421</v>
      </c>
      <c r="D4517" s="15">
        <v>1.0466</v>
      </c>
      <c r="E4517" s="15">
        <v>1.6341</v>
      </c>
      <c r="F4517" s="15">
        <v>1.8362</v>
      </c>
      <c r="G4517" s="11">
        <v>0</v>
      </c>
      <c r="H4517" s="9">
        <f>MAX($F$3239:F4517)</f>
        <v>1.8428</v>
      </c>
      <c r="I4517" s="11">
        <f t="shared" si="102"/>
        <v>0.00358150640329924</v>
      </c>
      <c r="J4517" s="9"/>
      <c r="K4517" s="11"/>
      <c r="L4517" s="9">
        <f>MAX($F$4357:F4517)</f>
        <v>1.8428</v>
      </c>
      <c r="M4517" s="11">
        <f t="shared" si="103"/>
        <v>0.00358150640329924</v>
      </c>
      <c r="N4517" s="9" t="s">
        <v>809</v>
      </c>
    </row>
    <row r="4518" ht="25" customHeight="1" spans="1:14">
      <c r="A4518" s="9" t="s">
        <v>327</v>
      </c>
      <c r="B4518" s="9" t="s">
        <v>326</v>
      </c>
      <c r="C4518" s="10">
        <v>45422</v>
      </c>
      <c r="D4518" s="15">
        <v>1.0466</v>
      </c>
      <c r="E4518" s="15">
        <v>1.6341</v>
      </c>
      <c r="F4518" s="15">
        <v>1.8362</v>
      </c>
      <c r="G4518" s="11">
        <v>0</v>
      </c>
      <c r="H4518" s="9">
        <f>MAX($F$3239:F4518)</f>
        <v>1.8428</v>
      </c>
      <c r="I4518" s="11">
        <f t="shared" si="102"/>
        <v>0.00358150640329924</v>
      </c>
      <c r="J4518" s="9"/>
      <c r="K4518" s="11"/>
      <c r="L4518" s="9">
        <f>MAX($F$4357:F4518)</f>
        <v>1.8428</v>
      </c>
      <c r="M4518" s="11">
        <f t="shared" si="103"/>
        <v>0.00358150640329924</v>
      </c>
      <c r="N4518" s="9" t="s">
        <v>809</v>
      </c>
    </row>
    <row r="4519" ht="25" customHeight="1" spans="1:14">
      <c r="A4519" s="9" t="s">
        <v>327</v>
      </c>
      <c r="B4519" s="9" t="s">
        <v>326</v>
      </c>
      <c r="C4519" s="10">
        <v>45425</v>
      </c>
      <c r="D4519" s="15">
        <v>1.0467</v>
      </c>
      <c r="E4519" s="15">
        <v>1.6342</v>
      </c>
      <c r="F4519" s="15">
        <v>1.8363</v>
      </c>
      <c r="G4519" s="11">
        <v>0.0001</v>
      </c>
      <c r="H4519" s="9">
        <f>MAX($F$3239:F4519)</f>
        <v>1.8428</v>
      </c>
      <c r="I4519" s="11">
        <f t="shared" si="102"/>
        <v>0.00352724115476444</v>
      </c>
      <c r="J4519" s="9"/>
      <c r="K4519" s="11"/>
      <c r="L4519" s="9">
        <f>MAX($F$4357:F4519)</f>
        <v>1.8428</v>
      </c>
      <c r="M4519" s="11">
        <f t="shared" si="103"/>
        <v>0.00352724115476444</v>
      </c>
      <c r="N4519" s="9" t="s">
        <v>809</v>
      </c>
    </row>
    <row r="4520" ht="25" customHeight="1" spans="1:14">
      <c r="A4520" s="9" t="s">
        <v>327</v>
      </c>
      <c r="B4520" s="9" t="s">
        <v>326</v>
      </c>
      <c r="C4520" s="10">
        <v>45426</v>
      </c>
      <c r="D4520" s="15">
        <v>1.0472</v>
      </c>
      <c r="E4520" s="15">
        <v>1.6347</v>
      </c>
      <c r="F4520" s="15">
        <v>1.8372</v>
      </c>
      <c r="G4520" s="11">
        <v>0.0005</v>
      </c>
      <c r="H4520" s="9">
        <f>MAX($F$3239:F4520)</f>
        <v>1.8428</v>
      </c>
      <c r="I4520" s="11">
        <f t="shared" si="102"/>
        <v>0.003038853917951</v>
      </c>
      <c r="J4520" s="9"/>
      <c r="K4520" s="11"/>
      <c r="L4520" s="9">
        <f>MAX($F$4357:F4520)</f>
        <v>1.8428</v>
      </c>
      <c r="M4520" s="11">
        <f t="shared" si="103"/>
        <v>0.003038853917951</v>
      </c>
      <c r="N4520" s="9" t="s">
        <v>809</v>
      </c>
    </row>
    <row r="4521" ht="25" customHeight="1" spans="1:14">
      <c r="A4521" s="9" t="s">
        <v>327</v>
      </c>
      <c r="B4521" s="9" t="s">
        <v>326</v>
      </c>
      <c r="C4521" s="10">
        <v>45427</v>
      </c>
      <c r="D4521" s="15">
        <v>1.0471</v>
      </c>
      <c r="E4521" s="15">
        <v>1.6346</v>
      </c>
      <c r="F4521" s="15">
        <v>1.837</v>
      </c>
      <c r="G4521" s="11">
        <v>-0.0001</v>
      </c>
      <c r="H4521" s="9">
        <f>MAX($F$3239:F4521)</f>
        <v>1.8428</v>
      </c>
      <c r="I4521" s="11">
        <f t="shared" si="102"/>
        <v>0.0031473844150206</v>
      </c>
      <c r="J4521" s="9"/>
      <c r="K4521" s="11"/>
      <c r="L4521" s="9">
        <f>MAX($F$4357:F4521)</f>
        <v>1.8428</v>
      </c>
      <c r="M4521" s="11">
        <f t="shared" si="103"/>
        <v>0.0031473844150206</v>
      </c>
      <c r="N4521" s="9" t="s">
        <v>809</v>
      </c>
    </row>
    <row r="4522" ht="25" customHeight="1" spans="1:14">
      <c r="A4522" s="9" t="s">
        <v>327</v>
      </c>
      <c r="B4522" s="9" t="s">
        <v>326</v>
      </c>
      <c r="C4522" s="10">
        <v>45428</v>
      </c>
      <c r="D4522" s="15">
        <v>1.0464</v>
      </c>
      <c r="E4522" s="15">
        <v>1.6339</v>
      </c>
      <c r="F4522" s="15">
        <v>1.8358</v>
      </c>
      <c r="G4522" s="11">
        <v>-0.0007</v>
      </c>
      <c r="H4522" s="9">
        <f>MAX($F$3239:F4522)</f>
        <v>1.8428</v>
      </c>
      <c r="I4522" s="11">
        <f t="shared" si="102"/>
        <v>0.00379856739743867</v>
      </c>
      <c r="J4522" s="9"/>
      <c r="K4522" s="11"/>
      <c r="L4522" s="9">
        <f>MAX($F$4357:F4522)</f>
        <v>1.8428</v>
      </c>
      <c r="M4522" s="11">
        <f t="shared" si="103"/>
        <v>0.00379856739743867</v>
      </c>
      <c r="N4522" s="9" t="s">
        <v>809</v>
      </c>
    </row>
    <row r="4523" ht="25" customHeight="1" spans="1:14">
      <c r="A4523" s="9" t="s">
        <v>327</v>
      </c>
      <c r="B4523" s="9" t="s">
        <v>326</v>
      </c>
      <c r="C4523" s="10">
        <v>45429</v>
      </c>
      <c r="D4523" s="15">
        <v>1.0473</v>
      </c>
      <c r="E4523" s="15">
        <v>1.6348</v>
      </c>
      <c r="F4523" s="15">
        <v>1.8374</v>
      </c>
      <c r="G4523" s="11">
        <v>0.0009</v>
      </c>
      <c r="H4523" s="9">
        <f>MAX($F$3239:F4523)</f>
        <v>1.8428</v>
      </c>
      <c r="I4523" s="11">
        <f t="shared" si="102"/>
        <v>0.00293032342088129</v>
      </c>
      <c r="J4523" s="9"/>
      <c r="K4523" s="11"/>
      <c r="L4523" s="9">
        <f>MAX($F$4357:F4523)</f>
        <v>1.8428</v>
      </c>
      <c r="M4523" s="11">
        <f t="shared" si="103"/>
        <v>0.00293032342088129</v>
      </c>
      <c r="N4523" s="9" t="s">
        <v>809</v>
      </c>
    </row>
    <row r="4524" ht="25" customHeight="1" spans="1:14">
      <c r="A4524" s="9" t="s">
        <v>327</v>
      </c>
      <c r="B4524" s="9" t="s">
        <v>326</v>
      </c>
      <c r="C4524" s="10">
        <v>45432</v>
      </c>
      <c r="D4524" s="15">
        <v>1.0464</v>
      </c>
      <c r="E4524" s="15">
        <v>1.6339</v>
      </c>
      <c r="F4524" s="15">
        <v>1.8358</v>
      </c>
      <c r="G4524" s="11">
        <v>-0.0009</v>
      </c>
      <c r="H4524" s="9">
        <f>MAX($F$3239:F4524)</f>
        <v>1.8428</v>
      </c>
      <c r="I4524" s="11">
        <f t="shared" si="102"/>
        <v>0.00379856739743867</v>
      </c>
      <c r="J4524" s="9"/>
      <c r="K4524" s="11"/>
      <c r="L4524" s="9">
        <f>MAX($F$4357:F4524)</f>
        <v>1.8428</v>
      </c>
      <c r="M4524" s="11">
        <f t="shared" si="103"/>
        <v>0.00379856739743867</v>
      </c>
      <c r="N4524" s="9" t="s">
        <v>809</v>
      </c>
    </row>
    <row r="4525" ht="25" customHeight="1" spans="1:14">
      <c r="A4525" s="9" t="s">
        <v>327</v>
      </c>
      <c r="B4525" s="9" t="s">
        <v>326</v>
      </c>
      <c r="C4525" s="10">
        <v>45433</v>
      </c>
      <c r="D4525" s="15">
        <v>1.0467</v>
      </c>
      <c r="E4525" s="15">
        <v>1.6342</v>
      </c>
      <c r="F4525" s="15">
        <v>1.8363</v>
      </c>
      <c r="G4525" s="11">
        <v>0.0003</v>
      </c>
      <c r="H4525" s="9">
        <f>MAX($F$3239:F4525)</f>
        <v>1.8428</v>
      </c>
      <c r="I4525" s="11">
        <f t="shared" si="102"/>
        <v>0.00352724115476444</v>
      </c>
      <c r="J4525" s="9"/>
      <c r="K4525" s="11"/>
      <c r="L4525" s="9">
        <f>MAX($F$4357:F4525)</f>
        <v>1.8428</v>
      </c>
      <c r="M4525" s="11">
        <f t="shared" si="103"/>
        <v>0.00352724115476444</v>
      </c>
      <c r="N4525" s="9" t="s">
        <v>809</v>
      </c>
    </row>
    <row r="4526" ht="25" customHeight="1" spans="1:14">
      <c r="A4526" s="9" t="s">
        <v>327</v>
      </c>
      <c r="B4526" s="9" t="s">
        <v>326</v>
      </c>
      <c r="C4526" s="10">
        <v>45434</v>
      </c>
      <c r="D4526" s="15">
        <v>1.0466</v>
      </c>
      <c r="E4526" s="15">
        <v>1.6341</v>
      </c>
      <c r="F4526" s="15">
        <v>1.8362</v>
      </c>
      <c r="G4526" s="11">
        <v>-0.0001</v>
      </c>
      <c r="H4526" s="9">
        <f>MAX($F$3239:F4526)</f>
        <v>1.8428</v>
      </c>
      <c r="I4526" s="11">
        <f t="shared" si="102"/>
        <v>0.00358150640329924</v>
      </c>
      <c r="J4526" s="9"/>
      <c r="K4526" s="11"/>
      <c r="L4526" s="9">
        <f>MAX($F$4357:F4526)</f>
        <v>1.8428</v>
      </c>
      <c r="M4526" s="11">
        <f t="shared" si="103"/>
        <v>0.00358150640329924</v>
      </c>
      <c r="N4526" s="9" t="s">
        <v>809</v>
      </c>
    </row>
    <row r="4527" ht="25" customHeight="1" spans="1:14">
      <c r="A4527" s="9" t="s">
        <v>327</v>
      </c>
      <c r="B4527" s="9" t="s">
        <v>326</v>
      </c>
      <c r="C4527" s="10">
        <v>45435</v>
      </c>
      <c r="D4527" s="15">
        <v>1.0466</v>
      </c>
      <c r="E4527" s="15">
        <v>1.6341</v>
      </c>
      <c r="F4527" s="15">
        <v>1.8362</v>
      </c>
      <c r="G4527" s="11">
        <v>0</v>
      </c>
      <c r="H4527" s="9">
        <f>MAX($F$3239:F4527)</f>
        <v>1.8428</v>
      </c>
      <c r="I4527" s="11">
        <f t="shared" si="102"/>
        <v>0.00358150640329924</v>
      </c>
      <c r="J4527" s="9"/>
      <c r="K4527" s="11"/>
      <c r="L4527" s="9">
        <f>MAX($F$4357:F4527)</f>
        <v>1.8428</v>
      </c>
      <c r="M4527" s="11">
        <f t="shared" si="103"/>
        <v>0.00358150640329924</v>
      </c>
      <c r="N4527" s="9" t="s">
        <v>809</v>
      </c>
    </row>
    <row r="4528" ht="25" customHeight="1" spans="1:14">
      <c r="A4528" s="9" t="s">
        <v>327</v>
      </c>
      <c r="B4528" s="9" t="s">
        <v>326</v>
      </c>
      <c r="C4528" s="10">
        <v>45436</v>
      </c>
      <c r="D4528" s="15">
        <v>1.0464</v>
      </c>
      <c r="E4528" s="15">
        <v>1.6339</v>
      </c>
      <c r="F4528" s="15">
        <v>1.8358</v>
      </c>
      <c r="G4528" s="11">
        <v>-0.0002</v>
      </c>
      <c r="H4528" s="9">
        <f>MAX($F$3239:F4528)</f>
        <v>1.8428</v>
      </c>
      <c r="I4528" s="11">
        <f t="shared" si="102"/>
        <v>0.00379856739743867</v>
      </c>
      <c r="J4528" s="9"/>
      <c r="K4528" s="11"/>
      <c r="L4528" s="9">
        <f>MAX($F$4357:F4528)</f>
        <v>1.8428</v>
      </c>
      <c r="M4528" s="11">
        <f t="shared" si="103"/>
        <v>0.00379856739743867</v>
      </c>
      <c r="N4528" s="9" t="s">
        <v>809</v>
      </c>
    </row>
    <row r="4529" ht="25" customHeight="1" spans="1:14">
      <c r="A4529" s="9" t="s">
        <v>327</v>
      </c>
      <c r="B4529" s="9" t="s">
        <v>326</v>
      </c>
      <c r="C4529" s="10">
        <v>45439</v>
      </c>
      <c r="D4529" s="15">
        <v>1.0468</v>
      </c>
      <c r="E4529" s="15">
        <v>1.6343</v>
      </c>
      <c r="F4529" s="15">
        <v>1.8365</v>
      </c>
      <c r="G4529" s="11">
        <v>0.0004</v>
      </c>
      <c r="H4529" s="9">
        <f>MAX($F$3239:F4529)</f>
        <v>1.8428</v>
      </c>
      <c r="I4529" s="11">
        <f t="shared" si="102"/>
        <v>0.00341871065769483</v>
      </c>
      <c r="J4529" s="9"/>
      <c r="K4529" s="11"/>
      <c r="L4529" s="9">
        <f>MAX($F$4357:F4529)</f>
        <v>1.8428</v>
      </c>
      <c r="M4529" s="11">
        <f t="shared" si="103"/>
        <v>0.00341871065769483</v>
      </c>
      <c r="N4529" s="9" t="s">
        <v>809</v>
      </c>
    </row>
    <row r="4530" ht="25" customHeight="1" spans="1:14">
      <c r="A4530" s="9" t="s">
        <v>327</v>
      </c>
      <c r="B4530" s="9" t="s">
        <v>326</v>
      </c>
      <c r="C4530" s="10">
        <v>45440</v>
      </c>
      <c r="D4530" s="15">
        <v>1.0465</v>
      </c>
      <c r="E4530" s="15">
        <v>1.634</v>
      </c>
      <c r="F4530" s="15">
        <v>1.836</v>
      </c>
      <c r="G4530" s="11">
        <v>-0.0003</v>
      </c>
      <c r="H4530" s="9">
        <f>MAX($F$3239:F4530)</f>
        <v>1.8428</v>
      </c>
      <c r="I4530" s="11">
        <f t="shared" si="102"/>
        <v>0.00369003690036895</v>
      </c>
      <c r="J4530" s="9"/>
      <c r="K4530" s="11"/>
      <c r="L4530" s="9">
        <f>MAX($F$4357:F4530)</f>
        <v>1.8428</v>
      </c>
      <c r="M4530" s="11">
        <f t="shared" si="103"/>
        <v>0.00369003690036895</v>
      </c>
      <c r="N4530" s="9" t="s">
        <v>809</v>
      </c>
    </row>
    <row r="4531" ht="25" customHeight="1" spans="1:14">
      <c r="A4531" s="9" t="s">
        <v>327</v>
      </c>
      <c r="B4531" s="9" t="s">
        <v>326</v>
      </c>
      <c r="C4531" s="10">
        <v>45441</v>
      </c>
      <c r="D4531" s="15">
        <v>1.0457</v>
      </c>
      <c r="E4531" s="15">
        <v>1.6332</v>
      </c>
      <c r="F4531" s="15">
        <v>1.8346</v>
      </c>
      <c r="G4531" s="11">
        <v>-0.0008</v>
      </c>
      <c r="H4531" s="9">
        <f>MAX($F$3239:F4531)</f>
        <v>1.8428</v>
      </c>
      <c r="I4531" s="11">
        <f t="shared" si="102"/>
        <v>0.00444975037985673</v>
      </c>
      <c r="J4531" s="9"/>
      <c r="K4531" s="11"/>
      <c r="L4531" s="9">
        <f>MAX($F$4357:F4531)</f>
        <v>1.8428</v>
      </c>
      <c r="M4531" s="11">
        <f t="shared" si="103"/>
        <v>0.00444975037985673</v>
      </c>
      <c r="N4531" s="9" t="s">
        <v>809</v>
      </c>
    </row>
    <row r="4532" ht="25" customHeight="1" spans="1:14">
      <c r="A4532" s="9" t="s">
        <v>327</v>
      </c>
      <c r="B4532" s="9" t="s">
        <v>326</v>
      </c>
      <c r="C4532" s="10">
        <v>45442</v>
      </c>
      <c r="D4532" s="15">
        <v>1.0461</v>
      </c>
      <c r="E4532" s="15">
        <v>1.6336</v>
      </c>
      <c r="F4532" s="15">
        <v>1.8353</v>
      </c>
      <c r="G4532" s="11">
        <v>0.0004</v>
      </c>
      <c r="H4532" s="9">
        <f>MAX($F$3239:F4532)</f>
        <v>1.8428</v>
      </c>
      <c r="I4532" s="11">
        <f t="shared" si="102"/>
        <v>0.0040698936401129</v>
      </c>
      <c r="J4532" s="9"/>
      <c r="K4532" s="11"/>
      <c r="L4532" s="9">
        <f>MAX($F$4357:F4532)</f>
        <v>1.8428</v>
      </c>
      <c r="M4532" s="11">
        <f t="shared" si="103"/>
        <v>0.0040698936401129</v>
      </c>
      <c r="N4532" s="9" t="s">
        <v>809</v>
      </c>
    </row>
    <row r="4533" ht="25" customHeight="1" spans="1:14">
      <c r="A4533" s="9" t="s">
        <v>327</v>
      </c>
      <c r="B4533" s="9" t="s">
        <v>326</v>
      </c>
      <c r="C4533" s="10">
        <v>45443</v>
      </c>
      <c r="D4533" s="15">
        <v>1.0457</v>
      </c>
      <c r="E4533" s="15">
        <v>1.6332</v>
      </c>
      <c r="F4533" s="15">
        <v>1.8346</v>
      </c>
      <c r="G4533" s="11">
        <v>-0.0004</v>
      </c>
      <c r="H4533" s="9">
        <f>MAX($F$3239:F4533)</f>
        <v>1.8428</v>
      </c>
      <c r="I4533" s="11">
        <f t="shared" si="102"/>
        <v>0.00444975037985673</v>
      </c>
      <c r="J4533" s="9"/>
      <c r="K4533" s="11"/>
      <c r="L4533" s="9">
        <f>MAX($F$4357:F4533)</f>
        <v>1.8428</v>
      </c>
      <c r="M4533" s="11">
        <f t="shared" si="103"/>
        <v>0.00444975037985673</v>
      </c>
      <c r="N4533" s="9" t="s">
        <v>809</v>
      </c>
    </row>
    <row r="4534" ht="25" customHeight="1" spans="1:14">
      <c r="A4534" s="9" t="s">
        <v>327</v>
      </c>
      <c r="B4534" s="9" t="s">
        <v>326</v>
      </c>
      <c r="C4534" s="10">
        <v>45446</v>
      </c>
      <c r="D4534" s="15">
        <v>1.0453</v>
      </c>
      <c r="E4534" s="15">
        <v>1.6328</v>
      </c>
      <c r="F4534" s="15">
        <v>1.8339</v>
      </c>
      <c r="G4534" s="11">
        <v>-0.0004</v>
      </c>
      <c r="H4534" s="9">
        <f>MAX($F$3239:F4534)</f>
        <v>1.8428</v>
      </c>
      <c r="I4534" s="11">
        <f t="shared" si="102"/>
        <v>0.00482960711960057</v>
      </c>
      <c r="J4534" s="9"/>
      <c r="K4534" s="11"/>
      <c r="L4534" s="9">
        <f>MAX($F$4357:F4534)</f>
        <v>1.8428</v>
      </c>
      <c r="M4534" s="11">
        <f t="shared" si="103"/>
        <v>0.00482960711960057</v>
      </c>
      <c r="N4534" s="9" t="s">
        <v>809</v>
      </c>
    </row>
    <row r="4535" ht="25" customHeight="1" spans="1:14">
      <c r="A4535" s="9" t="s">
        <v>327</v>
      </c>
      <c r="B4535" s="9" t="s">
        <v>326</v>
      </c>
      <c r="C4535" s="10">
        <v>45447</v>
      </c>
      <c r="D4535" s="15">
        <v>1.0453</v>
      </c>
      <c r="E4535" s="15">
        <v>1.6328</v>
      </c>
      <c r="F4535" s="15">
        <v>1.8339</v>
      </c>
      <c r="G4535" s="11">
        <v>0</v>
      </c>
      <c r="H4535" s="9">
        <f>MAX($F$3239:F4535)</f>
        <v>1.8428</v>
      </c>
      <c r="I4535" s="11">
        <f t="shared" si="102"/>
        <v>0.00482960711960057</v>
      </c>
      <c r="J4535" s="9"/>
      <c r="K4535" s="11"/>
      <c r="L4535" s="9">
        <f>MAX($F$4357:F4535)</f>
        <v>1.8428</v>
      </c>
      <c r="M4535" s="11">
        <f t="shared" si="103"/>
        <v>0.00482960711960057</v>
      </c>
      <c r="N4535" s="9" t="s">
        <v>809</v>
      </c>
    </row>
    <row r="4536" ht="25" customHeight="1" spans="1:14">
      <c r="A4536" s="9" t="s">
        <v>327</v>
      </c>
      <c r="B4536" s="9" t="s">
        <v>326</v>
      </c>
      <c r="C4536" s="10">
        <v>45448</v>
      </c>
      <c r="D4536" s="15">
        <v>1.045</v>
      </c>
      <c r="E4536" s="15">
        <v>1.6325</v>
      </c>
      <c r="F4536" s="15">
        <v>1.8334</v>
      </c>
      <c r="G4536" s="11">
        <v>-0.0003</v>
      </c>
      <c r="H4536" s="9">
        <f>MAX($F$3239:F4536)</f>
        <v>1.8428</v>
      </c>
      <c r="I4536" s="11">
        <f t="shared" si="102"/>
        <v>0.0051009333622748</v>
      </c>
      <c r="J4536" s="9"/>
      <c r="K4536" s="11"/>
      <c r="L4536" s="9">
        <f>MAX($F$4357:F4536)</f>
        <v>1.8428</v>
      </c>
      <c r="M4536" s="11">
        <f t="shared" si="103"/>
        <v>0.0051009333622748</v>
      </c>
      <c r="N4536" s="9" t="s">
        <v>809</v>
      </c>
    </row>
    <row r="4537" ht="25" customHeight="1" spans="1:14">
      <c r="A4537" s="9" t="s">
        <v>327</v>
      </c>
      <c r="B4537" s="9" t="s">
        <v>326</v>
      </c>
      <c r="C4537" s="10">
        <v>45449</v>
      </c>
      <c r="D4537" s="15">
        <v>1.0456</v>
      </c>
      <c r="E4537" s="15">
        <v>1.6331</v>
      </c>
      <c r="F4537" s="15">
        <v>1.8344</v>
      </c>
      <c r="G4537" s="11">
        <v>0.0006</v>
      </c>
      <c r="H4537" s="9">
        <f>MAX($F$3239:F4537)</f>
        <v>1.8428</v>
      </c>
      <c r="I4537" s="11">
        <f t="shared" si="102"/>
        <v>0.00455828087692645</v>
      </c>
      <c r="J4537" s="9"/>
      <c r="K4537" s="11"/>
      <c r="L4537" s="9">
        <f>MAX($F$4357:F4537)</f>
        <v>1.8428</v>
      </c>
      <c r="M4537" s="11">
        <f t="shared" si="103"/>
        <v>0.00455828087692645</v>
      </c>
      <c r="N4537" s="9" t="s">
        <v>809</v>
      </c>
    </row>
    <row r="4538" ht="25" customHeight="1" spans="1:14">
      <c r="A4538" s="9" t="s">
        <v>327</v>
      </c>
      <c r="B4538" s="9" t="s">
        <v>326</v>
      </c>
      <c r="C4538" s="10">
        <v>45450</v>
      </c>
      <c r="D4538" s="15">
        <v>1.0456</v>
      </c>
      <c r="E4538" s="15">
        <v>1.6331</v>
      </c>
      <c r="F4538" s="15">
        <v>1.8344</v>
      </c>
      <c r="G4538" s="11">
        <v>0</v>
      </c>
      <c r="H4538" s="9">
        <f>MAX($F$3239:F4538)</f>
        <v>1.8428</v>
      </c>
      <c r="I4538" s="11">
        <f t="shared" si="102"/>
        <v>0.00455828087692645</v>
      </c>
      <c r="J4538" s="9"/>
      <c r="K4538" s="11"/>
      <c r="L4538" s="9">
        <f>MAX($F$4357:F4538)</f>
        <v>1.8428</v>
      </c>
      <c r="M4538" s="11">
        <f t="shared" si="103"/>
        <v>0.00455828087692645</v>
      </c>
      <c r="N4538" s="9" t="s">
        <v>809</v>
      </c>
    </row>
    <row r="4539" ht="25" customHeight="1" spans="1:14">
      <c r="A4539" s="9" t="s">
        <v>327</v>
      </c>
      <c r="B4539" s="9" t="s">
        <v>326</v>
      </c>
      <c r="C4539" s="10">
        <v>45454</v>
      </c>
      <c r="D4539" s="15">
        <v>1.0459</v>
      </c>
      <c r="E4539" s="15">
        <v>1.6334</v>
      </c>
      <c r="F4539" s="15">
        <v>1.8349</v>
      </c>
      <c r="G4539" s="11">
        <v>0.0003</v>
      </c>
      <c r="H4539" s="9">
        <f>MAX($F$3239:F4539)</f>
        <v>1.8428</v>
      </c>
      <c r="I4539" s="11">
        <f t="shared" si="102"/>
        <v>0.00428695463425222</v>
      </c>
      <c r="J4539" s="9"/>
      <c r="K4539" s="11"/>
      <c r="L4539" s="9">
        <f>MAX($F$4357:F4539)</f>
        <v>1.8428</v>
      </c>
      <c r="M4539" s="11">
        <f t="shared" si="103"/>
        <v>0.00428695463425222</v>
      </c>
      <c r="N4539" s="9" t="s">
        <v>809</v>
      </c>
    </row>
    <row r="4540" ht="25" customHeight="1" spans="1:14">
      <c r="A4540" s="9" t="s">
        <v>327</v>
      </c>
      <c r="B4540" s="9" t="s">
        <v>326</v>
      </c>
      <c r="C4540" s="10">
        <v>45455</v>
      </c>
      <c r="D4540" s="15">
        <v>1.0463</v>
      </c>
      <c r="E4540" s="15">
        <v>1.6338</v>
      </c>
      <c r="F4540" s="15">
        <v>1.8356</v>
      </c>
      <c r="G4540" s="11">
        <v>0.0004</v>
      </c>
      <c r="H4540" s="9">
        <f>MAX($F$3239:F4540)</f>
        <v>1.8428</v>
      </c>
      <c r="I4540" s="11">
        <f t="shared" si="102"/>
        <v>0.00390709789450838</v>
      </c>
      <c r="J4540" s="9"/>
      <c r="K4540" s="11"/>
      <c r="L4540" s="9">
        <f>MAX($F$4357:F4540)</f>
        <v>1.8428</v>
      </c>
      <c r="M4540" s="11">
        <f t="shared" si="103"/>
        <v>0.00390709789450838</v>
      </c>
      <c r="N4540" s="9" t="s">
        <v>809</v>
      </c>
    </row>
    <row r="4541" ht="25" customHeight="1" spans="1:14">
      <c r="A4541" s="9" t="s">
        <v>327</v>
      </c>
      <c r="B4541" s="9" t="s">
        <v>326</v>
      </c>
      <c r="C4541" s="10">
        <v>45456</v>
      </c>
      <c r="D4541" s="15">
        <v>1.0462</v>
      </c>
      <c r="E4541" s="15">
        <v>1.6337</v>
      </c>
      <c r="F4541" s="15">
        <v>1.8355</v>
      </c>
      <c r="G4541" s="11">
        <v>-0.0001</v>
      </c>
      <c r="H4541" s="9">
        <f>MAX($F$3239:F4541)</f>
        <v>1.8428</v>
      </c>
      <c r="I4541" s="11">
        <f t="shared" si="102"/>
        <v>0.00396136314304329</v>
      </c>
      <c r="J4541" s="9"/>
      <c r="K4541" s="11"/>
      <c r="L4541" s="9">
        <f>MAX($F$4357:F4541)</f>
        <v>1.8428</v>
      </c>
      <c r="M4541" s="11">
        <f t="shared" si="103"/>
        <v>0.00396136314304329</v>
      </c>
      <c r="N4541" s="9" t="s">
        <v>809</v>
      </c>
    </row>
    <row r="4542" ht="25" customHeight="1" spans="1:14">
      <c r="A4542" s="9" t="s">
        <v>327</v>
      </c>
      <c r="B4542" s="9" t="s">
        <v>326</v>
      </c>
      <c r="C4542" s="10">
        <v>45457</v>
      </c>
      <c r="D4542" s="15">
        <v>1.046</v>
      </c>
      <c r="E4542" s="15">
        <v>1.6335</v>
      </c>
      <c r="F4542" s="15">
        <v>1.8351</v>
      </c>
      <c r="G4542" s="11">
        <v>-0.0002</v>
      </c>
      <c r="H4542" s="9">
        <f>MAX($F$3239:F4542)</f>
        <v>1.8428</v>
      </c>
      <c r="I4542" s="11">
        <f t="shared" si="102"/>
        <v>0.00417842413718261</v>
      </c>
      <c r="J4542" s="9"/>
      <c r="K4542" s="11"/>
      <c r="L4542" s="9">
        <f>MAX($F$4357:F4542)</f>
        <v>1.8428</v>
      </c>
      <c r="M4542" s="11">
        <f t="shared" si="103"/>
        <v>0.00417842413718261</v>
      </c>
      <c r="N4542" s="9" t="s">
        <v>809</v>
      </c>
    </row>
    <row r="4543" ht="25" customHeight="1" spans="1:14">
      <c r="A4543" s="9" t="s">
        <v>327</v>
      </c>
      <c r="B4543" s="9" t="s">
        <v>326</v>
      </c>
      <c r="C4543" s="10">
        <v>45460</v>
      </c>
      <c r="D4543" s="15">
        <v>1.0458</v>
      </c>
      <c r="E4543" s="15">
        <v>1.6333</v>
      </c>
      <c r="F4543" s="15">
        <v>1.8348</v>
      </c>
      <c r="G4543" s="11">
        <v>-0.0002</v>
      </c>
      <c r="H4543" s="9">
        <f>MAX($F$3239:F4543)</f>
        <v>1.8428</v>
      </c>
      <c r="I4543" s="11">
        <f t="shared" si="102"/>
        <v>0.00434121988278702</v>
      </c>
      <c r="J4543" s="9"/>
      <c r="K4543" s="11"/>
      <c r="L4543" s="9">
        <f>MAX($F$4357:F4543)</f>
        <v>1.8428</v>
      </c>
      <c r="M4543" s="11">
        <f t="shared" si="103"/>
        <v>0.00434121988278702</v>
      </c>
      <c r="N4543" s="9" t="s">
        <v>809</v>
      </c>
    </row>
    <row r="4544" ht="25" customHeight="1" spans="1:14">
      <c r="A4544" s="9" t="s">
        <v>327</v>
      </c>
      <c r="B4544" s="9" t="s">
        <v>326</v>
      </c>
      <c r="C4544" s="10">
        <v>45461</v>
      </c>
      <c r="D4544" s="15">
        <v>1.0461</v>
      </c>
      <c r="E4544" s="15">
        <v>1.6336</v>
      </c>
      <c r="F4544" s="15">
        <v>1.8353</v>
      </c>
      <c r="G4544" s="11">
        <v>0.0003</v>
      </c>
      <c r="H4544" s="9">
        <f>MAX($F$3239:F4544)</f>
        <v>1.8428</v>
      </c>
      <c r="I4544" s="11">
        <f t="shared" si="102"/>
        <v>0.0040698936401129</v>
      </c>
      <c r="J4544" s="9"/>
      <c r="K4544" s="11"/>
      <c r="L4544" s="9">
        <f>MAX($F$4357:F4544)</f>
        <v>1.8428</v>
      </c>
      <c r="M4544" s="11">
        <f t="shared" si="103"/>
        <v>0.0040698936401129</v>
      </c>
      <c r="N4544" s="9" t="s">
        <v>809</v>
      </c>
    </row>
    <row r="4545" ht="25" customHeight="1" spans="1:14">
      <c r="A4545" s="9" t="s">
        <v>327</v>
      </c>
      <c r="B4545" s="9" t="s">
        <v>326</v>
      </c>
      <c r="C4545" s="10">
        <v>45462</v>
      </c>
      <c r="D4545" s="15">
        <v>1.0461</v>
      </c>
      <c r="E4545" s="15">
        <v>1.6336</v>
      </c>
      <c r="F4545" s="15">
        <v>1.8353</v>
      </c>
      <c r="G4545" s="11">
        <v>0</v>
      </c>
      <c r="H4545" s="9">
        <f>MAX($F$3239:F4545)</f>
        <v>1.8428</v>
      </c>
      <c r="I4545" s="11">
        <f t="shared" si="102"/>
        <v>0.0040698936401129</v>
      </c>
      <c r="J4545" s="9"/>
      <c r="K4545" s="11"/>
      <c r="L4545" s="9">
        <f>MAX($F$4357:F4545)</f>
        <v>1.8428</v>
      </c>
      <c r="M4545" s="11">
        <f t="shared" si="103"/>
        <v>0.0040698936401129</v>
      </c>
      <c r="N4545" s="9" t="s">
        <v>809</v>
      </c>
    </row>
    <row r="4546" ht="25" customHeight="1" spans="1:14">
      <c r="A4546" s="9" t="s">
        <v>327</v>
      </c>
      <c r="B4546" s="9" t="s">
        <v>326</v>
      </c>
      <c r="C4546" s="10">
        <v>45463</v>
      </c>
      <c r="D4546" s="15">
        <v>1.0462</v>
      </c>
      <c r="E4546" s="15">
        <v>1.6337</v>
      </c>
      <c r="F4546" s="15">
        <v>1.8355</v>
      </c>
      <c r="G4546" s="11">
        <v>0.0001</v>
      </c>
      <c r="H4546" s="9">
        <f>MAX($F$3239:F4546)</f>
        <v>1.8428</v>
      </c>
      <c r="I4546" s="11">
        <f t="shared" ref="I4546:I4609" si="104">1-F4546/H4546</f>
        <v>0.00396136314304329</v>
      </c>
      <c r="J4546" s="9"/>
      <c r="K4546" s="11"/>
      <c r="L4546" s="9">
        <f>MAX($F$4357:F4546)</f>
        <v>1.8428</v>
      </c>
      <c r="M4546" s="11">
        <f t="shared" si="103"/>
        <v>0.00396136314304329</v>
      </c>
      <c r="N4546" s="9" t="s">
        <v>809</v>
      </c>
    </row>
    <row r="4547" ht="25" customHeight="1" spans="1:14">
      <c r="A4547" s="9" t="s">
        <v>327</v>
      </c>
      <c r="B4547" s="9" t="s">
        <v>326</v>
      </c>
      <c r="C4547" s="10">
        <v>45464</v>
      </c>
      <c r="D4547" s="15">
        <v>1.0471</v>
      </c>
      <c r="E4547" s="15">
        <v>1.6346</v>
      </c>
      <c r="F4547" s="15">
        <v>1.837</v>
      </c>
      <c r="G4547" s="11">
        <v>0.0009</v>
      </c>
      <c r="H4547" s="9">
        <f>MAX($F$3239:F4547)</f>
        <v>1.8428</v>
      </c>
      <c r="I4547" s="11">
        <f t="shared" si="104"/>
        <v>0.0031473844150206</v>
      </c>
      <c r="J4547" s="9"/>
      <c r="K4547" s="11"/>
      <c r="L4547" s="9">
        <f>MAX($F$4357:F4547)</f>
        <v>1.8428</v>
      </c>
      <c r="M4547" s="11">
        <f t="shared" si="103"/>
        <v>0.0031473844150206</v>
      </c>
      <c r="N4547" s="9" t="s">
        <v>809</v>
      </c>
    </row>
    <row r="4548" ht="25" customHeight="1" spans="1:14">
      <c r="A4548" s="9" t="s">
        <v>327</v>
      </c>
      <c r="B4548" s="9" t="s">
        <v>326</v>
      </c>
      <c r="C4548" s="10">
        <v>45467</v>
      </c>
      <c r="D4548" s="15">
        <v>1.0474</v>
      </c>
      <c r="E4548" s="15">
        <v>1.6349</v>
      </c>
      <c r="F4548" s="15">
        <v>1.8376</v>
      </c>
      <c r="G4548" s="11">
        <v>0.0003</v>
      </c>
      <c r="H4548" s="9">
        <f>MAX($F$3239:F4548)</f>
        <v>1.8428</v>
      </c>
      <c r="I4548" s="11">
        <f t="shared" si="104"/>
        <v>0.00282179292381168</v>
      </c>
      <c r="J4548" s="9"/>
      <c r="K4548" s="11"/>
      <c r="L4548" s="9">
        <f>MAX($F$4357:F4548)</f>
        <v>1.8428</v>
      </c>
      <c r="M4548" s="11">
        <f t="shared" si="103"/>
        <v>0.00282179292381168</v>
      </c>
      <c r="N4548" s="9" t="s">
        <v>809</v>
      </c>
    </row>
    <row r="4549" ht="25" customHeight="1" spans="1:14">
      <c r="A4549" s="9" t="s">
        <v>327</v>
      </c>
      <c r="B4549" s="9" t="s">
        <v>326</v>
      </c>
      <c r="C4549" s="10">
        <v>45468</v>
      </c>
      <c r="D4549" s="15">
        <v>1.0484</v>
      </c>
      <c r="E4549" s="15">
        <v>1.6359</v>
      </c>
      <c r="F4549" s="15">
        <v>1.8393</v>
      </c>
      <c r="G4549" s="11">
        <v>0.001</v>
      </c>
      <c r="H4549" s="9">
        <f>MAX($F$3239:F4549)</f>
        <v>1.8428</v>
      </c>
      <c r="I4549" s="11">
        <f t="shared" si="104"/>
        <v>0.00189928369871939</v>
      </c>
      <c r="J4549" s="9"/>
      <c r="K4549" s="11"/>
      <c r="L4549" s="9">
        <f>MAX($F$4357:F4549)</f>
        <v>1.8428</v>
      </c>
      <c r="M4549" s="11">
        <f t="shared" ref="M4549:M4612" si="105">1-F4549/L4549</f>
        <v>0.00189928369871939</v>
      </c>
      <c r="N4549" s="9" t="s">
        <v>809</v>
      </c>
    </row>
    <row r="4550" ht="25" customHeight="1" spans="1:14">
      <c r="A4550" s="9" t="s">
        <v>327</v>
      </c>
      <c r="B4550" s="9" t="s">
        <v>326</v>
      </c>
      <c r="C4550" s="10">
        <v>45469</v>
      </c>
      <c r="D4550" s="15">
        <v>1.0477</v>
      </c>
      <c r="E4550" s="15">
        <v>1.6352</v>
      </c>
      <c r="F4550" s="15">
        <v>1.8381</v>
      </c>
      <c r="G4550" s="11">
        <v>-0.0007</v>
      </c>
      <c r="H4550" s="9">
        <f>MAX($F$3239:F4550)</f>
        <v>1.8428</v>
      </c>
      <c r="I4550" s="11">
        <f t="shared" si="104"/>
        <v>0.00255046668113734</v>
      </c>
      <c r="J4550" s="9"/>
      <c r="K4550" s="11"/>
      <c r="L4550" s="9">
        <f>MAX($F$4357:F4550)</f>
        <v>1.8428</v>
      </c>
      <c r="M4550" s="11">
        <f t="shared" si="105"/>
        <v>0.00255046668113734</v>
      </c>
      <c r="N4550" s="9" t="s">
        <v>809</v>
      </c>
    </row>
    <row r="4551" ht="25" customHeight="1" spans="1:14">
      <c r="A4551" s="9" t="s">
        <v>327</v>
      </c>
      <c r="B4551" s="9" t="s">
        <v>326</v>
      </c>
      <c r="C4551" s="10">
        <v>45470</v>
      </c>
      <c r="D4551" s="15">
        <v>1</v>
      </c>
      <c r="E4551" s="15">
        <v>1.6379</v>
      </c>
      <c r="F4551" s="15">
        <v>1.8428</v>
      </c>
      <c r="G4551" s="11">
        <v>0.0026</v>
      </c>
      <c r="H4551" s="9">
        <f>MAX($F$3239:F4551)</f>
        <v>1.8428</v>
      </c>
      <c r="I4551" s="11">
        <f t="shared" si="104"/>
        <v>0</v>
      </c>
      <c r="J4551" s="9"/>
      <c r="K4551" s="11"/>
      <c r="L4551" s="9">
        <f>MAX($F$4357:F4551)</f>
        <v>1.8428</v>
      </c>
      <c r="M4551" s="11">
        <f t="shared" si="105"/>
        <v>0</v>
      </c>
      <c r="N4551" s="9" t="s">
        <v>809</v>
      </c>
    </row>
    <row r="4552" ht="25" customHeight="1" spans="1:14">
      <c r="A4552" s="9" t="s">
        <v>327</v>
      </c>
      <c r="B4552" s="9" t="s">
        <v>326</v>
      </c>
      <c r="C4552" s="10">
        <v>45471</v>
      </c>
      <c r="D4552" s="15">
        <v>0.9993</v>
      </c>
      <c r="E4552" s="15">
        <v>1.6372</v>
      </c>
      <c r="F4552" s="15">
        <v>1.8415</v>
      </c>
      <c r="G4552" s="11">
        <v>-0.0007</v>
      </c>
      <c r="H4552" s="9">
        <f>MAX($F$3239:F4552)</f>
        <v>1.8428</v>
      </c>
      <c r="I4552" s="11">
        <f t="shared" si="104"/>
        <v>0.000705448230952976</v>
      </c>
      <c r="J4552" s="9"/>
      <c r="K4552" s="11"/>
      <c r="L4552" s="9">
        <f>MAX($F$4357:F4552)</f>
        <v>1.8428</v>
      </c>
      <c r="M4552" s="11">
        <f t="shared" si="105"/>
        <v>0.000705448230952976</v>
      </c>
      <c r="N4552" s="9" t="s">
        <v>809</v>
      </c>
    </row>
    <row r="4553" ht="25" customHeight="1" spans="1:14">
      <c r="A4553" s="9" t="s">
        <v>327</v>
      </c>
      <c r="B4553" s="9" t="s">
        <v>326</v>
      </c>
      <c r="C4553" s="10">
        <v>45474</v>
      </c>
      <c r="D4553" s="15">
        <v>0.9998</v>
      </c>
      <c r="E4553" s="15">
        <v>1.6377</v>
      </c>
      <c r="F4553" s="15">
        <v>1.8425</v>
      </c>
      <c r="G4553" s="11">
        <v>0.0005</v>
      </c>
      <c r="H4553" s="9">
        <f>MAX($F$3239:F4553)</f>
        <v>1.8428</v>
      </c>
      <c r="I4553" s="11">
        <f t="shared" si="104"/>
        <v>0.000162795745604516</v>
      </c>
      <c r="J4553" s="9"/>
      <c r="K4553" s="11"/>
      <c r="L4553" s="9">
        <f>MAX($F$4357:F4553)</f>
        <v>1.8428</v>
      </c>
      <c r="M4553" s="11">
        <f t="shared" si="105"/>
        <v>0.000162795745604516</v>
      </c>
      <c r="N4553" s="9" t="s">
        <v>809</v>
      </c>
    </row>
    <row r="4554" ht="25" customHeight="1" spans="1:14">
      <c r="A4554" s="9" t="s">
        <v>327</v>
      </c>
      <c r="B4554" s="9" t="s">
        <v>326</v>
      </c>
      <c r="C4554" s="10">
        <v>45475</v>
      </c>
      <c r="D4554" s="15">
        <v>0.9994</v>
      </c>
      <c r="E4554" s="15">
        <v>1.6373</v>
      </c>
      <c r="F4554" s="15">
        <v>1.8417</v>
      </c>
      <c r="G4554" s="11">
        <v>-0.0004</v>
      </c>
      <c r="H4554" s="9">
        <f>MAX($F$3239:F4554)</f>
        <v>1.8428</v>
      </c>
      <c r="I4554" s="11">
        <f t="shared" si="104"/>
        <v>0.000596917733883262</v>
      </c>
      <c r="J4554" s="9"/>
      <c r="K4554" s="11"/>
      <c r="L4554" s="9">
        <f>MAX($F$4357:F4554)</f>
        <v>1.8428</v>
      </c>
      <c r="M4554" s="11">
        <f t="shared" si="105"/>
        <v>0.000596917733883262</v>
      </c>
      <c r="N4554" s="9" t="s">
        <v>809</v>
      </c>
    </row>
    <row r="4555" ht="25" customHeight="1" spans="1:14">
      <c r="A4555" s="9" t="s">
        <v>327</v>
      </c>
      <c r="B4555" s="9" t="s">
        <v>326</v>
      </c>
      <c r="C4555" s="10">
        <v>45476</v>
      </c>
      <c r="D4555" s="15">
        <v>0.9995</v>
      </c>
      <c r="E4555" s="15">
        <v>1.6374</v>
      </c>
      <c r="F4555" s="15">
        <v>1.8419</v>
      </c>
      <c r="G4555" s="11">
        <v>0.0001</v>
      </c>
      <c r="H4555" s="9">
        <f>MAX($F$3239:F4555)</f>
        <v>1.8428</v>
      </c>
      <c r="I4555" s="11">
        <f t="shared" si="104"/>
        <v>0.000488387236813437</v>
      </c>
      <c r="J4555" s="9"/>
      <c r="K4555" s="11"/>
      <c r="L4555" s="9">
        <f>MAX($F$4357:F4555)</f>
        <v>1.8428</v>
      </c>
      <c r="M4555" s="11">
        <f t="shared" si="105"/>
        <v>0.000488387236813437</v>
      </c>
      <c r="N4555" s="9" t="s">
        <v>809</v>
      </c>
    </row>
    <row r="4556" ht="25" customHeight="1" spans="1:14">
      <c r="A4556" s="9" t="s">
        <v>327</v>
      </c>
      <c r="B4556" s="9" t="s">
        <v>326</v>
      </c>
      <c r="C4556" s="10">
        <v>45477</v>
      </c>
      <c r="D4556" s="15">
        <v>0.9994</v>
      </c>
      <c r="E4556" s="15">
        <v>1.6373</v>
      </c>
      <c r="F4556" s="15">
        <v>1.8417</v>
      </c>
      <c r="G4556" s="11">
        <v>-0.0001</v>
      </c>
      <c r="H4556" s="9">
        <f>MAX($F$3239:F4556)</f>
        <v>1.8428</v>
      </c>
      <c r="I4556" s="11">
        <f t="shared" si="104"/>
        <v>0.000596917733883262</v>
      </c>
      <c r="J4556" s="9"/>
      <c r="K4556" s="11"/>
      <c r="L4556" s="9">
        <f>MAX($F$4357:F4556)</f>
        <v>1.8428</v>
      </c>
      <c r="M4556" s="11">
        <f t="shared" si="105"/>
        <v>0.000596917733883262</v>
      </c>
      <c r="N4556" s="9" t="s">
        <v>809</v>
      </c>
    </row>
    <row r="4557" ht="25" customHeight="1" spans="1:14">
      <c r="A4557" s="9" t="s">
        <v>327</v>
      </c>
      <c r="B4557" s="9" t="s">
        <v>326</v>
      </c>
      <c r="C4557" s="10">
        <v>45478</v>
      </c>
      <c r="D4557" s="15">
        <v>1.0016</v>
      </c>
      <c r="E4557" s="15">
        <v>1.6395</v>
      </c>
      <c r="F4557" s="15">
        <v>1.8458</v>
      </c>
      <c r="G4557" s="11">
        <v>0.0022</v>
      </c>
      <c r="H4557" s="9">
        <f>MAX($F$3239:F4557)</f>
        <v>1.8458</v>
      </c>
      <c r="I4557" s="11">
        <f t="shared" si="104"/>
        <v>0</v>
      </c>
      <c r="J4557" s="9"/>
      <c r="K4557" s="11"/>
      <c r="L4557" s="9">
        <f>MAX($F$4357:F4557)</f>
        <v>1.8458</v>
      </c>
      <c r="M4557" s="11">
        <f t="shared" si="105"/>
        <v>0</v>
      </c>
      <c r="N4557" s="9" t="s">
        <v>809</v>
      </c>
    </row>
    <row r="4558" ht="25" customHeight="1" spans="1:14">
      <c r="A4558" s="9" t="s">
        <v>327</v>
      </c>
      <c r="B4558" s="9" t="s">
        <v>326</v>
      </c>
      <c r="C4558" s="10">
        <v>45481</v>
      </c>
      <c r="D4558" s="15">
        <v>1.0016</v>
      </c>
      <c r="E4558" s="15">
        <v>1.6395</v>
      </c>
      <c r="F4558" s="15">
        <v>1.8458</v>
      </c>
      <c r="G4558" s="11">
        <v>0</v>
      </c>
      <c r="H4558" s="9">
        <f>MAX($F$3239:F4558)</f>
        <v>1.8458</v>
      </c>
      <c r="I4558" s="11">
        <f t="shared" si="104"/>
        <v>0</v>
      </c>
      <c r="J4558" s="9"/>
      <c r="K4558" s="11"/>
      <c r="L4558" s="9">
        <f>MAX($F$4357:F4558)</f>
        <v>1.8458</v>
      </c>
      <c r="M4558" s="11">
        <f t="shared" si="105"/>
        <v>0</v>
      </c>
      <c r="N4558" s="9" t="s">
        <v>809</v>
      </c>
    </row>
    <row r="4559" ht="25" customHeight="1" spans="1:14">
      <c r="A4559" s="9" t="s">
        <v>327</v>
      </c>
      <c r="B4559" s="9" t="s">
        <v>326</v>
      </c>
      <c r="C4559" s="10">
        <v>45482</v>
      </c>
      <c r="D4559" s="15">
        <v>1.0024</v>
      </c>
      <c r="E4559" s="15">
        <v>1.6403</v>
      </c>
      <c r="F4559" s="15">
        <v>1.8473</v>
      </c>
      <c r="G4559" s="11">
        <v>0.0008</v>
      </c>
      <c r="H4559" s="9">
        <f>MAX($F$3239:F4559)</f>
        <v>1.8473</v>
      </c>
      <c r="I4559" s="11">
        <f t="shared" si="104"/>
        <v>0</v>
      </c>
      <c r="J4559" s="9"/>
      <c r="K4559" s="11"/>
      <c r="L4559" s="9">
        <f>MAX($F$4357:F4559)</f>
        <v>1.8473</v>
      </c>
      <c r="M4559" s="11">
        <f t="shared" si="105"/>
        <v>0</v>
      </c>
      <c r="N4559" s="9" t="s">
        <v>809</v>
      </c>
    </row>
    <row r="4560" ht="25" customHeight="1" spans="1:14">
      <c r="A4560" s="9" t="s">
        <v>327</v>
      </c>
      <c r="B4560" s="9" t="s">
        <v>326</v>
      </c>
      <c r="C4560" s="10">
        <v>45483</v>
      </c>
      <c r="D4560" s="15">
        <v>1.0027</v>
      </c>
      <c r="E4560" s="15">
        <v>1.6406</v>
      </c>
      <c r="F4560" s="15">
        <v>1.8478</v>
      </c>
      <c r="G4560" s="11">
        <v>0.0003</v>
      </c>
      <c r="H4560" s="9">
        <f>MAX($F$3239:F4560)</f>
        <v>1.8478</v>
      </c>
      <c r="I4560" s="11">
        <f t="shared" si="104"/>
        <v>0</v>
      </c>
      <c r="J4560" s="9"/>
      <c r="K4560" s="11"/>
      <c r="L4560" s="9">
        <f>MAX($F$4357:F4560)</f>
        <v>1.8478</v>
      </c>
      <c r="M4560" s="11">
        <f t="shared" si="105"/>
        <v>0</v>
      </c>
      <c r="N4560" s="9" t="s">
        <v>809</v>
      </c>
    </row>
    <row r="4561" ht="25" customHeight="1" spans="1:14">
      <c r="A4561" s="9" t="s">
        <v>327</v>
      </c>
      <c r="B4561" s="9" t="s">
        <v>326</v>
      </c>
      <c r="C4561" s="10">
        <v>45484</v>
      </c>
      <c r="D4561" s="15">
        <v>1.0028</v>
      </c>
      <c r="E4561" s="15">
        <v>1.6407</v>
      </c>
      <c r="F4561" s="15">
        <v>1.848</v>
      </c>
      <c r="G4561" s="11">
        <v>0.0001</v>
      </c>
      <c r="H4561" s="9">
        <f>MAX($F$3239:F4561)</f>
        <v>1.848</v>
      </c>
      <c r="I4561" s="11">
        <f t="shared" si="104"/>
        <v>0</v>
      </c>
      <c r="J4561" s="9"/>
      <c r="K4561" s="11"/>
      <c r="L4561" s="9">
        <f>MAX($F$4357:F4561)</f>
        <v>1.848</v>
      </c>
      <c r="M4561" s="11">
        <f t="shared" si="105"/>
        <v>0</v>
      </c>
      <c r="N4561" s="9" t="s">
        <v>809</v>
      </c>
    </row>
    <row r="4562" ht="25" customHeight="1" spans="1:14">
      <c r="A4562" s="9" t="s">
        <v>327</v>
      </c>
      <c r="B4562" s="9" t="s">
        <v>326</v>
      </c>
      <c r="C4562" s="10">
        <v>45485</v>
      </c>
      <c r="D4562" s="15">
        <v>1.0054</v>
      </c>
      <c r="E4562" s="15">
        <v>1.6433</v>
      </c>
      <c r="F4562" s="15">
        <v>1.8528</v>
      </c>
      <c r="G4562" s="11">
        <v>0.0026</v>
      </c>
      <c r="H4562" s="9">
        <f>MAX($F$3239:F4562)</f>
        <v>1.8528</v>
      </c>
      <c r="I4562" s="11">
        <f t="shared" si="104"/>
        <v>0</v>
      </c>
      <c r="J4562" s="9"/>
      <c r="K4562" s="11"/>
      <c r="L4562" s="9">
        <f>MAX($F$4357:F4562)</f>
        <v>1.8528</v>
      </c>
      <c r="M4562" s="11">
        <f t="shared" si="105"/>
        <v>0</v>
      </c>
      <c r="N4562" s="9" t="s">
        <v>809</v>
      </c>
    </row>
    <row r="4563" ht="25" customHeight="1" spans="1:14">
      <c r="A4563" s="9" t="s">
        <v>327</v>
      </c>
      <c r="B4563" s="9" t="s">
        <v>326</v>
      </c>
      <c r="C4563" s="10">
        <v>45488</v>
      </c>
      <c r="D4563" s="15">
        <v>1.0047</v>
      </c>
      <c r="E4563" s="15">
        <v>1.6426</v>
      </c>
      <c r="F4563" s="15">
        <v>1.8515</v>
      </c>
      <c r="G4563" s="11">
        <v>-0.0007</v>
      </c>
      <c r="H4563" s="9">
        <f>MAX($F$3239:F4563)</f>
        <v>1.8528</v>
      </c>
      <c r="I4563" s="11">
        <f t="shared" si="104"/>
        <v>0.000701640759930955</v>
      </c>
      <c r="J4563" s="9"/>
      <c r="K4563" s="11"/>
      <c r="L4563" s="9">
        <f>MAX($F$4357:F4563)</f>
        <v>1.8528</v>
      </c>
      <c r="M4563" s="11">
        <f t="shared" si="105"/>
        <v>0.000701640759930955</v>
      </c>
      <c r="N4563" s="9" t="s">
        <v>809</v>
      </c>
    </row>
    <row r="4564" ht="25" customHeight="1" spans="1:14">
      <c r="A4564" s="9" t="s">
        <v>327</v>
      </c>
      <c r="B4564" s="9" t="s">
        <v>326</v>
      </c>
      <c r="C4564" s="10">
        <v>45489</v>
      </c>
      <c r="D4564" s="15">
        <v>1.0036</v>
      </c>
      <c r="E4564" s="15">
        <v>1.6415</v>
      </c>
      <c r="F4564" s="15">
        <v>1.8495</v>
      </c>
      <c r="G4564" s="11">
        <v>-0.0011</v>
      </c>
      <c r="H4564" s="9">
        <f>MAX($F$3239:F4564)</f>
        <v>1.8528</v>
      </c>
      <c r="I4564" s="11">
        <f t="shared" si="104"/>
        <v>0.00178108808290156</v>
      </c>
      <c r="J4564" s="9"/>
      <c r="K4564" s="11"/>
      <c r="L4564" s="9">
        <f>MAX($F$4357:F4564)</f>
        <v>1.8528</v>
      </c>
      <c r="M4564" s="11">
        <f t="shared" si="105"/>
        <v>0.00178108808290156</v>
      </c>
      <c r="N4564" s="9" t="s">
        <v>809</v>
      </c>
    </row>
    <row r="4565" ht="25" customHeight="1" spans="1:14">
      <c r="A4565" s="9" t="s">
        <v>327</v>
      </c>
      <c r="B4565" s="9" t="s">
        <v>326</v>
      </c>
      <c r="C4565" s="10">
        <v>45490</v>
      </c>
      <c r="D4565" s="15">
        <v>1.0031</v>
      </c>
      <c r="E4565" s="15">
        <v>1.641</v>
      </c>
      <c r="F4565" s="15">
        <v>1.8485</v>
      </c>
      <c r="G4565" s="11">
        <v>-0.0005</v>
      </c>
      <c r="H4565" s="9">
        <f>MAX($F$3239:F4565)</f>
        <v>1.8528</v>
      </c>
      <c r="I4565" s="11">
        <f t="shared" si="104"/>
        <v>0.00232081174438681</v>
      </c>
      <c r="J4565" s="9"/>
      <c r="K4565" s="11"/>
      <c r="L4565" s="9">
        <f>MAX($F$4357:F4565)</f>
        <v>1.8528</v>
      </c>
      <c r="M4565" s="11">
        <f t="shared" si="105"/>
        <v>0.00232081174438681</v>
      </c>
      <c r="N4565" s="9" t="s">
        <v>809</v>
      </c>
    </row>
    <row r="4566" ht="25" customHeight="1" spans="1:14">
      <c r="A4566" s="9" t="s">
        <v>327</v>
      </c>
      <c r="B4566" s="9" t="s">
        <v>326</v>
      </c>
      <c r="C4566" s="10">
        <v>45491</v>
      </c>
      <c r="D4566" s="15">
        <v>1.0037</v>
      </c>
      <c r="E4566" s="15">
        <v>1.6416</v>
      </c>
      <c r="F4566" s="15">
        <v>1.8496</v>
      </c>
      <c r="G4566" s="11">
        <v>0.0006</v>
      </c>
      <c r="H4566" s="9">
        <f>MAX($F$3239:F4566)</f>
        <v>1.8528</v>
      </c>
      <c r="I4566" s="11">
        <f t="shared" si="104"/>
        <v>0.0017271157167531</v>
      </c>
      <c r="J4566" s="9"/>
      <c r="K4566" s="11"/>
      <c r="L4566" s="9">
        <f>MAX($F$4357:F4566)</f>
        <v>1.8528</v>
      </c>
      <c r="M4566" s="11">
        <f t="shared" si="105"/>
        <v>0.0017271157167531</v>
      </c>
      <c r="N4566" s="9" t="s">
        <v>809</v>
      </c>
    </row>
    <row r="4567" ht="25" customHeight="1" spans="1:14">
      <c r="A4567" s="9" t="s">
        <v>327</v>
      </c>
      <c r="B4567" s="9" t="s">
        <v>326</v>
      </c>
      <c r="C4567" s="10">
        <v>45492</v>
      </c>
      <c r="D4567" s="15">
        <v>1.0061</v>
      </c>
      <c r="E4567" s="15">
        <v>1.644</v>
      </c>
      <c r="F4567" s="15">
        <v>1.8541</v>
      </c>
      <c r="G4567" s="11">
        <v>0.0024</v>
      </c>
      <c r="H4567" s="9">
        <f>MAX($F$3239:F4567)</f>
        <v>1.8541</v>
      </c>
      <c r="I4567" s="11">
        <f t="shared" si="104"/>
        <v>0</v>
      </c>
      <c r="J4567" s="9"/>
      <c r="K4567" s="11"/>
      <c r="L4567" s="9">
        <f>MAX($F$4357:F4567)</f>
        <v>1.8541</v>
      </c>
      <c r="M4567" s="11">
        <f t="shared" si="105"/>
        <v>0</v>
      </c>
      <c r="N4567" s="9" t="s">
        <v>809</v>
      </c>
    </row>
    <row r="4568" ht="25" customHeight="1" spans="1:14">
      <c r="A4568" s="9" t="s">
        <v>327</v>
      </c>
      <c r="B4568" s="9" t="s">
        <v>326</v>
      </c>
      <c r="C4568" s="10">
        <v>45495</v>
      </c>
      <c r="D4568" s="15">
        <v>1.0062</v>
      </c>
      <c r="E4568" s="15">
        <v>1.6441</v>
      </c>
      <c r="F4568" s="15">
        <v>1.8543</v>
      </c>
      <c r="G4568" s="11">
        <v>0.0001</v>
      </c>
      <c r="H4568" s="9">
        <f>MAX($F$3239:F4568)</f>
        <v>1.8543</v>
      </c>
      <c r="I4568" s="11">
        <f t="shared" si="104"/>
        <v>0</v>
      </c>
      <c r="J4568" s="9"/>
      <c r="K4568" s="11"/>
      <c r="L4568" s="9">
        <f>MAX($F$4357:F4568)</f>
        <v>1.8543</v>
      </c>
      <c r="M4568" s="11">
        <f t="shared" si="105"/>
        <v>0</v>
      </c>
      <c r="N4568" s="9" t="s">
        <v>809</v>
      </c>
    </row>
    <row r="4569" ht="25" customHeight="1" spans="1:14">
      <c r="A4569" s="9" t="s">
        <v>327</v>
      </c>
      <c r="B4569" s="9" t="s">
        <v>326</v>
      </c>
      <c r="C4569" s="10">
        <v>45496</v>
      </c>
      <c r="D4569" s="15">
        <v>1.0063</v>
      </c>
      <c r="E4569" s="15">
        <v>1.6442</v>
      </c>
      <c r="F4569" s="15">
        <v>1.8544</v>
      </c>
      <c r="G4569" s="11">
        <v>0.0001</v>
      </c>
      <c r="H4569" s="9">
        <f>MAX($F$3239:F4569)</f>
        <v>1.8544</v>
      </c>
      <c r="I4569" s="11">
        <f t="shared" si="104"/>
        <v>0</v>
      </c>
      <c r="J4569" s="9"/>
      <c r="K4569" s="11"/>
      <c r="L4569" s="9">
        <f>MAX($F$4357:F4569)</f>
        <v>1.8544</v>
      </c>
      <c r="M4569" s="11">
        <f t="shared" si="105"/>
        <v>0</v>
      </c>
      <c r="N4569" s="9" t="s">
        <v>809</v>
      </c>
    </row>
    <row r="4570" ht="25" customHeight="1" spans="1:14">
      <c r="A4570" s="9" t="s">
        <v>327</v>
      </c>
      <c r="B4570" s="9" t="s">
        <v>326</v>
      </c>
      <c r="C4570" s="10">
        <v>45497</v>
      </c>
      <c r="D4570" s="15">
        <v>1.0066</v>
      </c>
      <c r="E4570" s="15">
        <v>1.6445</v>
      </c>
      <c r="F4570" s="15">
        <v>1.855</v>
      </c>
      <c r="G4570" s="11">
        <v>0.0003</v>
      </c>
      <c r="H4570" s="9">
        <f>MAX($F$3239:F4570)</f>
        <v>1.855</v>
      </c>
      <c r="I4570" s="11">
        <f t="shared" si="104"/>
        <v>0</v>
      </c>
      <c r="J4570" s="9"/>
      <c r="K4570" s="11"/>
      <c r="L4570" s="9">
        <f>MAX($F$4357:F4570)</f>
        <v>1.855</v>
      </c>
      <c r="M4570" s="11">
        <f t="shared" si="105"/>
        <v>0</v>
      </c>
      <c r="N4570" s="9" t="s">
        <v>809</v>
      </c>
    </row>
    <row r="4571" ht="25" customHeight="1" spans="1:14">
      <c r="A4571" s="9" t="s">
        <v>327</v>
      </c>
      <c r="B4571" s="9" t="s">
        <v>326</v>
      </c>
      <c r="C4571" s="10">
        <v>45498</v>
      </c>
      <c r="D4571" s="15">
        <v>1.0066</v>
      </c>
      <c r="E4571" s="15">
        <v>1.6445</v>
      </c>
      <c r="F4571" s="15">
        <v>1.855</v>
      </c>
      <c r="G4571" s="11">
        <v>0</v>
      </c>
      <c r="H4571" s="9">
        <f>MAX($F$3239:F4571)</f>
        <v>1.855</v>
      </c>
      <c r="I4571" s="11">
        <f t="shared" si="104"/>
        <v>0</v>
      </c>
      <c r="J4571" s="9"/>
      <c r="K4571" s="11"/>
      <c r="L4571" s="9">
        <f>MAX($F$4357:F4571)</f>
        <v>1.855</v>
      </c>
      <c r="M4571" s="11">
        <f t="shared" si="105"/>
        <v>0</v>
      </c>
      <c r="N4571" s="9" t="s">
        <v>809</v>
      </c>
    </row>
    <row r="4572" ht="25" customHeight="1" spans="1:14">
      <c r="A4572" s="9" t="s">
        <v>327</v>
      </c>
      <c r="B4572" s="9" t="s">
        <v>326</v>
      </c>
      <c r="C4572" s="10">
        <v>45499</v>
      </c>
      <c r="D4572" s="15">
        <v>1.0067</v>
      </c>
      <c r="E4572" s="15">
        <v>1.6446</v>
      </c>
      <c r="F4572" s="15">
        <v>1.8552</v>
      </c>
      <c r="G4572" s="11">
        <v>0.0001</v>
      </c>
      <c r="H4572" s="9">
        <f>MAX($F$3239:F4572)</f>
        <v>1.8552</v>
      </c>
      <c r="I4572" s="11">
        <f t="shared" si="104"/>
        <v>0</v>
      </c>
      <c r="J4572" s="9"/>
      <c r="K4572" s="11"/>
      <c r="L4572" s="9">
        <f>MAX($F$4357:F4572)</f>
        <v>1.8552</v>
      </c>
      <c r="M4572" s="11">
        <f t="shared" si="105"/>
        <v>0</v>
      </c>
      <c r="N4572" s="9" t="s">
        <v>809</v>
      </c>
    </row>
    <row r="4573" ht="25" customHeight="1" spans="1:14">
      <c r="A4573" s="9" t="s">
        <v>327</v>
      </c>
      <c r="B4573" s="9" t="s">
        <v>326</v>
      </c>
      <c r="C4573" s="10">
        <v>45502</v>
      </c>
      <c r="D4573" s="15">
        <v>1.0059</v>
      </c>
      <c r="E4573" s="15">
        <v>1.6438</v>
      </c>
      <c r="F4573" s="15">
        <v>1.8537</v>
      </c>
      <c r="G4573" s="11">
        <v>-0.0008</v>
      </c>
      <c r="H4573" s="9">
        <f>MAX($F$3239:F4573)</f>
        <v>1.8552</v>
      </c>
      <c r="I4573" s="11">
        <f t="shared" si="104"/>
        <v>0.000808538163001304</v>
      </c>
      <c r="J4573" s="9"/>
      <c r="K4573" s="11"/>
      <c r="L4573" s="9">
        <f>MAX($F$4357:F4573)</f>
        <v>1.8552</v>
      </c>
      <c r="M4573" s="11">
        <f t="shared" si="105"/>
        <v>0.000808538163001304</v>
      </c>
      <c r="N4573" s="9" t="s">
        <v>809</v>
      </c>
    </row>
    <row r="4574" ht="25" customHeight="1" spans="1:14">
      <c r="A4574" s="9" t="s">
        <v>327</v>
      </c>
      <c r="B4574" s="9" t="s">
        <v>326</v>
      </c>
      <c r="C4574" s="10">
        <v>45503</v>
      </c>
      <c r="D4574" s="15">
        <v>1.0067</v>
      </c>
      <c r="E4574" s="15">
        <v>1.6446</v>
      </c>
      <c r="F4574" s="15">
        <v>1.8552</v>
      </c>
      <c r="G4574" s="11">
        <v>0.0008</v>
      </c>
      <c r="H4574" s="9">
        <f>MAX($F$3239:F4574)</f>
        <v>1.8552</v>
      </c>
      <c r="I4574" s="11">
        <f t="shared" si="104"/>
        <v>0</v>
      </c>
      <c r="J4574" s="9"/>
      <c r="K4574" s="11"/>
      <c r="L4574" s="9">
        <f>MAX($F$4357:F4574)</f>
        <v>1.8552</v>
      </c>
      <c r="M4574" s="11">
        <f t="shared" si="105"/>
        <v>0</v>
      </c>
      <c r="N4574" s="9" t="s">
        <v>809</v>
      </c>
    </row>
    <row r="4575" ht="25" customHeight="1" spans="1:14">
      <c r="A4575" s="9" t="s">
        <v>327</v>
      </c>
      <c r="B4575" s="9" t="s">
        <v>326</v>
      </c>
      <c r="C4575" s="10">
        <v>45504</v>
      </c>
      <c r="D4575" s="15">
        <v>1.0056</v>
      </c>
      <c r="E4575" s="15">
        <v>1.6435</v>
      </c>
      <c r="F4575" s="15">
        <v>1.8532</v>
      </c>
      <c r="G4575" s="11">
        <v>-0.0011</v>
      </c>
      <c r="H4575" s="9">
        <f>MAX($F$3239:F4575)</f>
        <v>1.8552</v>
      </c>
      <c r="I4575" s="11">
        <f t="shared" si="104"/>
        <v>0.0010780508840017</v>
      </c>
      <c r="J4575" s="9"/>
      <c r="K4575" s="11"/>
      <c r="L4575" s="9">
        <f>MAX($F$4357:F4575)</f>
        <v>1.8552</v>
      </c>
      <c r="M4575" s="11">
        <f t="shared" si="105"/>
        <v>0.0010780508840017</v>
      </c>
      <c r="N4575" s="9" t="s">
        <v>809</v>
      </c>
    </row>
    <row r="4576" ht="25" customHeight="1" spans="1:14">
      <c r="A4576" s="9" t="s">
        <v>327</v>
      </c>
      <c r="B4576" s="9" t="s">
        <v>326</v>
      </c>
      <c r="C4576" s="10">
        <v>45505</v>
      </c>
      <c r="D4576" s="15">
        <v>1.0066</v>
      </c>
      <c r="E4576" s="15">
        <v>1.6445</v>
      </c>
      <c r="F4576" s="15">
        <v>1.855</v>
      </c>
      <c r="G4576" s="11">
        <v>0.001</v>
      </c>
      <c r="H4576" s="9">
        <f>MAX($F$3239:F4576)</f>
        <v>1.8552</v>
      </c>
      <c r="I4576" s="11">
        <f t="shared" si="104"/>
        <v>0.000107805088400137</v>
      </c>
      <c r="J4576" s="9"/>
      <c r="K4576" s="11"/>
      <c r="L4576" s="9">
        <f>MAX($F$4357:F4576)</f>
        <v>1.8552</v>
      </c>
      <c r="M4576" s="11">
        <f t="shared" si="105"/>
        <v>0.000107805088400137</v>
      </c>
      <c r="N4576" s="9" t="s">
        <v>809</v>
      </c>
    </row>
    <row r="4577" ht="25" customHeight="1" spans="1:14">
      <c r="A4577" s="9" t="s">
        <v>327</v>
      </c>
      <c r="B4577" s="9" t="s">
        <v>326</v>
      </c>
      <c r="C4577" s="10">
        <v>45506</v>
      </c>
      <c r="D4577" s="15">
        <v>1.0067</v>
      </c>
      <c r="E4577" s="15">
        <v>1.6446</v>
      </c>
      <c r="F4577" s="15">
        <v>1.8552</v>
      </c>
      <c r="G4577" s="11">
        <v>0.0001</v>
      </c>
      <c r="H4577" s="9">
        <f>MAX($F$3239:F4577)</f>
        <v>1.8552</v>
      </c>
      <c r="I4577" s="11">
        <f t="shared" si="104"/>
        <v>0</v>
      </c>
      <c r="J4577" s="9"/>
      <c r="K4577" s="11"/>
      <c r="L4577" s="9">
        <f>MAX($F$4357:F4577)</f>
        <v>1.8552</v>
      </c>
      <c r="M4577" s="11">
        <f t="shared" si="105"/>
        <v>0</v>
      </c>
      <c r="N4577" s="9" t="s">
        <v>809</v>
      </c>
    </row>
    <row r="4578" ht="25" customHeight="1" spans="1:14">
      <c r="A4578" s="9" t="s">
        <v>327</v>
      </c>
      <c r="B4578" s="9" t="s">
        <v>326</v>
      </c>
      <c r="C4578" s="10">
        <v>45509</v>
      </c>
      <c r="D4578" s="15">
        <v>1.0081</v>
      </c>
      <c r="E4578" s="15">
        <v>1.646</v>
      </c>
      <c r="F4578" s="15">
        <v>1.8578</v>
      </c>
      <c r="G4578" s="11">
        <v>0.0014</v>
      </c>
      <c r="H4578" s="9">
        <f>MAX($F$3239:F4578)</f>
        <v>1.8578</v>
      </c>
      <c r="I4578" s="11">
        <f t="shared" si="104"/>
        <v>0</v>
      </c>
      <c r="J4578" s="9"/>
      <c r="K4578" s="11"/>
      <c r="L4578" s="9">
        <f>MAX($F$4357:F4578)</f>
        <v>1.8578</v>
      </c>
      <c r="M4578" s="11">
        <f t="shared" si="105"/>
        <v>0</v>
      </c>
      <c r="N4578" s="9" t="s">
        <v>809</v>
      </c>
    </row>
    <row r="4579" ht="25" customHeight="1" spans="1:14">
      <c r="A4579" s="9" t="s">
        <v>327</v>
      </c>
      <c r="B4579" s="9" t="s">
        <v>326</v>
      </c>
      <c r="C4579" s="10">
        <v>45510</v>
      </c>
      <c r="D4579" s="15">
        <v>1.0085</v>
      </c>
      <c r="E4579" s="15">
        <v>1.6464</v>
      </c>
      <c r="F4579" s="15">
        <v>1.8585</v>
      </c>
      <c r="G4579" s="11">
        <v>0.0004</v>
      </c>
      <c r="H4579" s="9">
        <f>MAX($F$3239:F4579)</f>
        <v>1.8585</v>
      </c>
      <c r="I4579" s="11">
        <f t="shared" si="104"/>
        <v>0</v>
      </c>
      <c r="J4579" s="9"/>
      <c r="K4579" s="11"/>
      <c r="L4579" s="9">
        <f>MAX($F$4357:F4579)</f>
        <v>1.8585</v>
      </c>
      <c r="M4579" s="11">
        <f t="shared" si="105"/>
        <v>0</v>
      </c>
      <c r="N4579" s="9" t="s">
        <v>809</v>
      </c>
    </row>
    <row r="4580" ht="25" customHeight="1" spans="1:14">
      <c r="A4580" s="9" t="s">
        <v>327</v>
      </c>
      <c r="B4580" s="9" t="s">
        <v>326</v>
      </c>
      <c r="C4580" s="10">
        <v>45511</v>
      </c>
      <c r="D4580" s="15">
        <v>1.0086</v>
      </c>
      <c r="E4580" s="15">
        <v>1.6465</v>
      </c>
      <c r="F4580" s="15">
        <v>1.8587</v>
      </c>
      <c r="G4580" s="11">
        <v>0.0001</v>
      </c>
      <c r="H4580" s="9">
        <f>MAX($F$3239:F4580)</f>
        <v>1.8587</v>
      </c>
      <c r="I4580" s="11">
        <f t="shared" si="104"/>
        <v>0</v>
      </c>
      <c r="J4580" s="9"/>
      <c r="K4580" s="11"/>
      <c r="L4580" s="9">
        <f>MAX($F$4357:F4580)</f>
        <v>1.8587</v>
      </c>
      <c r="M4580" s="11">
        <f t="shared" si="105"/>
        <v>0</v>
      </c>
      <c r="N4580" s="9" t="s">
        <v>809</v>
      </c>
    </row>
    <row r="4581" ht="25" customHeight="1" spans="1:14">
      <c r="A4581" s="9" t="s">
        <v>327</v>
      </c>
      <c r="B4581" s="9" t="s">
        <v>326</v>
      </c>
      <c r="C4581" s="10">
        <v>45512</v>
      </c>
      <c r="D4581" s="15">
        <v>1.0089</v>
      </c>
      <c r="E4581" s="15">
        <v>1.6468</v>
      </c>
      <c r="F4581" s="15">
        <v>1.8592</v>
      </c>
      <c r="G4581" s="11">
        <v>0.0003</v>
      </c>
      <c r="H4581" s="9">
        <f>MAX($F$3239:F4581)</f>
        <v>1.8592</v>
      </c>
      <c r="I4581" s="11">
        <f t="shared" si="104"/>
        <v>0</v>
      </c>
      <c r="J4581" s="9"/>
      <c r="K4581" s="11"/>
      <c r="L4581" s="9">
        <f>MAX($F$4357:F4581)</f>
        <v>1.8592</v>
      </c>
      <c r="M4581" s="11">
        <f t="shared" si="105"/>
        <v>0</v>
      </c>
      <c r="N4581" s="9" t="s">
        <v>809</v>
      </c>
    </row>
    <row r="4582" ht="25" customHeight="1" spans="1:14">
      <c r="A4582" s="9" t="s">
        <v>327</v>
      </c>
      <c r="B4582" s="9" t="s">
        <v>326</v>
      </c>
      <c r="C4582" s="10">
        <v>45513</v>
      </c>
      <c r="D4582" s="15">
        <v>1.0093</v>
      </c>
      <c r="E4582" s="15">
        <v>1.6472</v>
      </c>
      <c r="F4582" s="15">
        <v>1.86</v>
      </c>
      <c r="G4582" s="11">
        <v>0.0004</v>
      </c>
      <c r="H4582" s="9">
        <f>MAX($F$3239:F4582)</f>
        <v>1.86</v>
      </c>
      <c r="I4582" s="11">
        <f t="shared" si="104"/>
        <v>0</v>
      </c>
      <c r="J4582" s="9"/>
      <c r="K4582" s="11"/>
      <c r="L4582" s="9">
        <f>MAX($F$4357:F4582)</f>
        <v>1.86</v>
      </c>
      <c r="M4582" s="11">
        <f t="shared" si="105"/>
        <v>0</v>
      </c>
      <c r="N4582" s="9" t="s">
        <v>809</v>
      </c>
    </row>
    <row r="4583" ht="25" customHeight="1" spans="1:14">
      <c r="A4583" s="9" t="s">
        <v>327</v>
      </c>
      <c r="B4583" s="9" t="s">
        <v>326</v>
      </c>
      <c r="C4583" s="10">
        <v>45516</v>
      </c>
      <c r="D4583" s="15">
        <v>1.0086</v>
      </c>
      <c r="E4583" s="15">
        <v>1.6465</v>
      </c>
      <c r="F4583" s="15">
        <v>1.8587</v>
      </c>
      <c r="G4583" s="11">
        <v>-0.0007</v>
      </c>
      <c r="H4583" s="9">
        <f>MAX($F$3239:F4583)</f>
        <v>1.86</v>
      </c>
      <c r="I4583" s="11">
        <f t="shared" si="104"/>
        <v>0.000698924731182826</v>
      </c>
      <c r="J4583" s="9"/>
      <c r="K4583" s="11"/>
      <c r="L4583" s="9">
        <f>MAX($F$4357:F4583)</f>
        <v>1.86</v>
      </c>
      <c r="M4583" s="11">
        <f t="shared" si="105"/>
        <v>0.000698924731182826</v>
      </c>
      <c r="N4583" s="9" t="s">
        <v>809</v>
      </c>
    </row>
    <row r="4584" ht="25" customHeight="1" spans="1:14">
      <c r="A4584" s="9" t="s">
        <v>327</v>
      </c>
      <c r="B4584" s="9" t="s">
        <v>326</v>
      </c>
      <c r="C4584" s="10">
        <v>45517</v>
      </c>
      <c r="D4584" s="15">
        <v>1.0109</v>
      </c>
      <c r="E4584" s="15">
        <v>1.6488</v>
      </c>
      <c r="F4584" s="15">
        <v>1.8629</v>
      </c>
      <c r="G4584" s="11">
        <v>0.0023</v>
      </c>
      <c r="H4584" s="9">
        <f>MAX($F$3239:F4584)</f>
        <v>1.8629</v>
      </c>
      <c r="I4584" s="11">
        <f t="shared" si="104"/>
        <v>0</v>
      </c>
      <c r="J4584" s="9"/>
      <c r="K4584" s="11"/>
      <c r="L4584" s="9">
        <f>MAX($F$4357:F4584)</f>
        <v>1.8629</v>
      </c>
      <c r="M4584" s="11">
        <f t="shared" si="105"/>
        <v>0</v>
      </c>
      <c r="N4584" s="9" t="s">
        <v>809</v>
      </c>
    </row>
    <row r="4585" ht="25" customHeight="1" spans="1:14">
      <c r="A4585" s="9" t="s">
        <v>327</v>
      </c>
      <c r="B4585" s="9" t="s">
        <v>326</v>
      </c>
      <c r="C4585" s="10">
        <v>45518</v>
      </c>
      <c r="D4585" s="15">
        <v>1.0108</v>
      </c>
      <c r="E4585" s="15">
        <v>1.6487</v>
      </c>
      <c r="F4585" s="15">
        <v>1.8627</v>
      </c>
      <c r="G4585" s="11">
        <v>-0.0001</v>
      </c>
      <c r="H4585" s="9">
        <f>MAX($F$3239:F4585)</f>
        <v>1.8629</v>
      </c>
      <c r="I4585" s="11">
        <f t="shared" si="104"/>
        <v>0.000107359493263126</v>
      </c>
      <c r="J4585" s="9"/>
      <c r="K4585" s="11"/>
      <c r="L4585" s="9">
        <f>MAX($F$4357:F4585)</f>
        <v>1.8629</v>
      </c>
      <c r="M4585" s="11">
        <f t="shared" si="105"/>
        <v>0.000107359493263126</v>
      </c>
      <c r="N4585" s="9" t="s">
        <v>809</v>
      </c>
    </row>
    <row r="4586" ht="25" customHeight="1" spans="1:14">
      <c r="A4586" s="9" t="s">
        <v>327</v>
      </c>
      <c r="B4586" s="9" t="s">
        <v>326</v>
      </c>
      <c r="C4586" s="10">
        <v>45519</v>
      </c>
      <c r="D4586" s="15">
        <v>1.0112</v>
      </c>
      <c r="E4586" s="15">
        <v>1.6491</v>
      </c>
      <c r="F4586" s="15">
        <v>1.8635</v>
      </c>
      <c r="G4586" s="11">
        <v>0.0004</v>
      </c>
      <c r="H4586" s="9">
        <f>MAX($F$3239:F4586)</f>
        <v>1.8635</v>
      </c>
      <c r="I4586" s="11">
        <f t="shared" si="104"/>
        <v>0</v>
      </c>
      <c r="J4586" s="9"/>
      <c r="K4586" s="11"/>
      <c r="L4586" s="9">
        <f>MAX($F$4357:F4586)</f>
        <v>1.8635</v>
      </c>
      <c r="M4586" s="11">
        <f t="shared" si="105"/>
        <v>0</v>
      </c>
      <c r="N4586" s="9" t="s">
        <v>809</v>
      </c>
    </row>
    <row r="4587" ht="25" customHeight="1" spans="1:14">
      <c r="A4587" s="9" t="s">
        <v>327</v>
      </c>
      <c r="B4587" s="9" t="s">
        <v>326</v>
      </c>
      <c r="C4587" s="10">
        <v>45520</v>
      </c>
      <c r="D4587" s="15">
        <v>1.0159</v>
      </c>
      <c r="E4587" s="15">
        <v>1.6538</v>
      </c>
      <c r="F4587" s="15">
        <v>1.8721</v>
      </c>
      <c r="G4587" s="11">
        <v>0.0046</v>
      </c>
      <c r="H4587" s="9">
        <f>MAX($F$3239:F4587)</f>
        <v>1.8721</v>
      </c>
      <c r="I4587" s="11">
        <f t="shared" si="104"/>
        <v>0</v>
      </c>
      <c r="J4587" s="9"/>
      <c r="K4587" s="11"/>
      <c r="L4587" s="9">
        <f>MAX($F$4357:F4587)</f>
        <v>1.8721</v>
      </c>
      <c r="M4587" s="11">
        <f t="shared" si="105"/>
        <v>0</v>
      </c>
      <c r="N4587" s="9" t="s">
        <v>809</v>
      </c>
    </row>
    <row r="4588" ht="25" customHeight="1" spans="1:14">
      <c r="A4588" s="9" t="s">
        <v>327</v>
      </c>
      <c r="B4588" s="9" t="s">
        <v>326</v>
      </c>
      <c r="C4588" s="10">
        <v>45523</v>
      </c>
      <c r="D4588" s="15">
        <v>1.0159</v>
      </c>
      <c r="E4588" s="15">
        <v>1.6538</v>
      </c>
      <c r="F4588" s="15">
        <v>1.8721</v>
      </c>
      <c r="G4588" s="11">
        <v>0</v>
      </c>
      <c r="H4588" s="9">
        <f>MAX($F$3239:F4588)</f>
        <v>1.8721</v>
      </c>
      <c r="I4588" s="11">
        <f t="shared" si="104"/>
        <v>0</v>
      </c>
      <c r="J4588" s="9"/>
      <c r="K4588" s="11"/>
      <c r="L4588" s="9">
        <f>MAX($F$4357:F4588)</f>
        <v>1.8721</v>
      </c>
      <c r="M4588" s="11">
        <f t="shared" si="105"/>
        <v>0</v>
      </c>
      <c r="N4588" s="9" t="s">
        <v>809</v>
      </c>
    </row>
    <row r="4589" ht="25" customHeight="1" spans="1:14">
      <c r="A4589" s="9" t="s">
        <v>327</v>
      </c>
      <c r="B4589" s="9" t="s">
        <v>326</v>
      </c>
      <c r="C4589" s="10">
        <v>45524</v>
      </c>
      <c r="D4589" s="15">
        <v>1.0183</v>
      </c>
      <c r="E4589" s="15">
        <v>1.6562</v>
      </c>
      <c r="F4589" s="15">
        <v>1.8766</v>
      </c>
      <c r="G4589" s="11">
        <v>0.0024</v>
      </c>
      <c r="H4589" s="9">
        <f>MAX($F$3239:F4589)</f>
        <v>1.8766</v>
      </c>
      <c r="I4589" s="11">
        <f t="shared" si="104"/>
        <v>0</v>
      </c>
      <c r="J4589" s="9"/>
      <c r="K4589" s="11"/>
      <c r="L4589" s="9">
        <f>MAX($F$4357:F4589)</f>
        <v>1.8766</v>
      </c>
      <c r="M4589" s="11">
        <f t="shared" si="105"/>
        <v>0</v>
      </c>
      <c r="N4589" s="9" t="s">
        <v>809</v>
      </c>
    </row>
    <row r="4590" ht="25" customHeight="1" spans="1:14">
      <c r="A4590" s="9" t="s">
        <v>327</v>
      </c>
      <c r="B4590" s="9" t="s">
        <v>326</v>
      </c>
      <c r="C4590" s="10">
        <v>45525</v>
      </c>
      <c r="D4590" s="15">
        <v>1.0184</v>
      </c>
      <c r="E4590" s="15">
        <v>1.6563</v>
      </c>
      <c r="F4590" s="15">
        <v>1.8767</v>
      </c>
      <c r="G4590" s="11">
        <v>0.0001</v>
      </c>
      <c r="H4590" s="9">
        <f>MAX($F$3239:F4590)</f>
        <v>1.8767</v>
      </c>
      <c r="I4590" s="11">
        <f t="shared" si="104"/>
        <v>0</v>
      </c>
      <c r="J4590" s="9"/>
      <c r="K4590" s="11"/>
      <c r="L4590" s="9">
        <f>MAX($F$4357:F4590)</f>
        <v>1.8767</v>
      </c>
      <c r="M4590" s="11">
        <f t="shared" si="105"/>
        <v>0</v>
      </c>
      <c r="N4590" s="9" t="s">
        <v>809</v>
      </c>
    </row>
    <row r="4591" ht="25" customHeight="1" spans="1:14">
      <c r="A4591" s="9" t="s">
        <v>327</v>
      </c>
      <c r="B4591" s="9" t="s">
        <v>326</v>
      </c>
      <c r="C4591" s="10">
        <v>45526</v>
      </c>
      <c r="D4591" s="15">
        <v>1.0186</v>
      </c>
      <c r="E4591" s="15">
        <v>1.6565</v>
      </c>
      <c r="F4591" s="15">
        <v>1.8771</v>
      </c>
      <c r="G4591" s="11">
        <v>0.0002</v>
      </c>
      <c r="H4591" s="9">
        <f>MAX($F$3239:F4591)</f>
        <v>1.8771</v>
      </c>
      <c r="I4591" s="11">
        <f t="shared" si="104"/>
        <v>0</v>
      </c>
      <c r="J4591" s="9"/>
      <c r="K4591" s="11"/>
      <c r="L4591" s="9">
        <f>MAX($F$4357:F4591)</f>
        <v>1.8771</v>
      </c>
      <c r="M4591" s="11">
        <f t="shared" si="105"/>
        <v>0</v>
      </c>
      <c r="N4591" s="9" t="s">
        <v>809</v>
      </c>
    </row>
    <row r="4592" ht="25" customHeight="1" spans="1:14">
      <c r="A4592" s="9" t="s">
        <v>327</v>
      </c>
      <c r="B4592" s="9" t="s">
        <v>326</v>
      </c>
      <c r="C4592" s="10">
        <v>45527</v>
      </c>
      <c r="D4592" s="15">
        <v>1.019</v>
      </c>
      <c r="E4592" s="15">
        <v>1.6569</v>
      </c>
      <c r="F4592" s="15">
        <v>1.8778</v>
      </c>
      <c r="G4592" s="11">
        <v>0.0004</v>
      </c>
      <c r="H4592" s="9">
        <f>MAX($F$3239:F4592)</f>
        <v>1.8778</v>
      </c>
      <c r="I4592" s="11">
        <f t="shared" si="104"/>
        <v>0</v>
      </c>
      <c r="J4592" s="9"/>
      <c r="K4592" s="11"/>
      <c r="L4592" s="9">
        <f>MAX($F$4357:F4592)</f>
        <v>1.8778</v>
      </c>
      <c r="M4592" s="11">
        <f t="shared" si="105"/>
        <v>0</v>
      </c>
      <c r="N4592" s="9" t="s">
        <v>809</v>
      </c>
    </row>
    <row r="4593" ht="25" customHeight="1" spans="1:14">
      <c r="A4593" s="9" t="s">
        <v>327</v>
      </c>
      <c r="B4593" s="9" t="s">
        <v>326</v>
      </c>
      <c r="C4593" s="10">
        <v>45530</v>
      </c>
      <c r="D4593" s="15">
        <v>1.0189</v>
      </c>
      <c r="E4593" s="15">
        <v>1.6568</v>
      </c>
      <c r="F4593" s="15">
        <v>1.8777</v>
      </c>
      <c r="G4593" s="11">
        <v>-0.0001</v>
      </c>
      <c r="H4593" s="9">
        <f>MAX($F$3239:F4593)</f>
        <v>1.8778</v>
      </c>
      <c r="I4593" s="11">
        <f t="shared" si="104"/>
        <v>5.32538076472022e-5</v>
      </c>
      <c r="J4593" s="9"/>
      <c r="K4593" s="11"/>
      <c r="L4593" s="9">
        <f>MAX($F$4357:F4593)</f>
        <v>1.8778</v>
      </c>
      <c r="M4593" s="11">
        <f t="shared" si="105"/>
        <v>5.32538076472022e-5</v>
      </c>
      <c r="N4593" s="9" t="s">
        <v>809</v>
      </c>
    </row>
    <row r="4594" ht="25" customHeight="1" spans="1:14">
      <c r="A4594" s="9" t="s">
        <v>327</v>
      </c>
      <c r="B4594" s="9" t="s">
        <v>326</v>
      </c>
      <c r="C4594" s="10">
        <v>45531</v>
      </c>
      <c r="D4594" s="15">
        <v>1.0207</v>
      </c>
      <c r="E4594" s="15">
        <v>1.6586</v>
      </c>
      <c r="F4594" s="15">
        <v>1.881</v>
      </c>
      <c r="G4594" s="11">
        <v>0.0018</v>
      </c>
      <c r="H4594" s="9">
        <f>MAX($F$3239:F4594)</f>
        <v>1.881</v>
      </c>
      <c r="I4594" s="11">
        <f t="shared" si="104"/>
        <v>0</v>
      </c>
      <c r="J4594" s="9"/>
      <c r="K4594" s="11"/>
      <c r="L4594" s="9">
        <f>MAX($F$4357:F4594)</f>
        <v>1.881</v>
      </c>
      <c r="M4594" s="11">
        <f t="shared" si="105"/>
        <v>0</v>
      </c>
      <c r="N4594" s="9" t="s">
        <v>809</v>
      </c>
    </row>
    <row r="4595" ht="25" customHeight="1" spans="1:14">
      <c r="A4595" s="9" t="s">
        <v>327</v>
      </c>
      <c r="B4595" s="9" t="s">
        <v>326</v>
      </c>
      <c r="C4595" s="10">
        <v>45532</v>
      </c>
      <c r="D4595" s="15">
        <v>1.0211</v>
      </c>
      <c r="E4595" s="15">
        <v>1.659</v>
      </c>
      <c r="F4595" s="15">
        <v>1.8817</v>
      </c>
      <c r="G4595" s="11">
        <v>0.0004</v>
      </c>
      <c r="H4595" s="9">
        <f>MAX($F$3239:F4595)</f>
        <v>1.8817</v>
      </c>
      <c r="I4595" s="11">
        <f t="shared" si="104"/>
        <v>0</v>
      </c>
      <c r="J4595" s="9"/>
      <c r="K4595" s="11"/>
      <c r="L4595" s="9">
        <f>MAX($F$4357:F4595)</f>
        <v>1.8817</v>
      </c>
      <c r="M4595" s="11">
        <f t="shared" si="105"/>
        <v>0</v>
      </c>
      <c r="N4595" s="9" t="s">
        <v>809</v>
      </c>
    </row>
    <row r="4596" ht="25" customHeight="1" spans="1:14">
      <c r="A4596" s="9" t="s">
        <v>327</v>
      </c>
      <c r="B4596" s="9" t="s">
        <v>326</v>
      </c>
      <c r="C4596" s="10">
        <v>45533</v>
      </c>
      <c r="D4596" s="15">
        <v>1.0211</v>
      </c>
      <c r="E4596" s="15">
        <v>1.659</v>
      </c>
      <c r="F4596" s="15">
        <v>1.8817</v>
      </c>
      <c r="G4596" s="11">
        <v>0</v>
      </c>
      <c r="H4596" s="9">
        <f>MAX($F$3239:F4596)</f>
        <v>1.8817</v>
      </c>
      <c r="I4596" s="11">
        <f t="shared" si="104"/>
        <v>0</v>
      </c>
      <c r="J4596" s="9"/>
      <c r="K4596" s="11"/>
      <c r="L4596" s="9">
        <f>MAX($F$4357:F4596)</f>
        <v>1.8817</v>
      </c>
      <c r="M4596" s="11">
        <f t="shared" si="105"/>
        <v>0</v>
      </c>
      <c r="N4596" s="9" t="s">
        <v>809</v>
      </c>
    </row>
    <row r="4597" ht="25" customHeight="1" spans="1:14">
      <c r="A4597" s="9" t="s">
        <v>327</v>
      </c>
      <c r="B4597" s="9" t="s">
        <v>326</v>
      </c>
      <c r="C4597" s="10">
        <v>45534</v>
      </c>
      <c r="D4597" s="15">
        <v>1.0217</v>
      </c>
      <c r="E4597" s="15">
        <v>1.6596</v>
      </c>
      <c r="F4597" s="15">
        <v>1.8828</v>
      </c>
      <c r="G4597" s="11">
        <v>0.0006</v>
      </c>
      <c r="H4597" s="9">
        <f>MAX($F$3239:F4597)</f>
        <v>1.8828</v>
      </c>
      <c r="I4597" s="11">
        <f t="shared" si="104"/>
        <v>0</v>
      </c>
      <c r="J4597" s="9"/>
      <c r="K4597" s="11"/>
      <c r="L4597" s="9">
        <f>MAX($F$4357:F4597)</f>
        <v>1.8828</v>
      </c>
      <c r="M4597" s="11">
        <f t="shared" si="105"/>
        <v>0</v>
      </c>
      <c r="N4597" s="9" t="s">
        <v>809</v>
      </c>
    </row>
    <row r="4598" ht="25" customHeight="1" spans="1:14">
      <c r="A4598" s="9" t="s">
        <v>327</v>
      </c>
      <c r="B4598" s="9" t="s">
        <v>326</v>
      </c>
      <c r="C4598" s="10">
        <v>45537</v>
      </c>
      <c r="D4598" s="15">
        <v>1.0215</v>
      </c>
      <c r="E4598" s="15">
        <v>1.6594</v>
      </c>
      <c r="F4598" s="15">
        <v>1.8825</v>
      </c>
      <c r="G4598" s="11">
        <v>-0.0002</v>
      </c>
      <c r="H4598" s="9">
        <f>MAX($F$3239:F4598)</f>
        <v>1.8828</v>
      </c>
      <c r="I4598" s="11">
        <f t="shared" si="104"/>
        <v>0.00015933715742511</v>
      </c>
      <c r="J4598" s="9"/>
      <c r="K4598" s="11"/>
      <c r="L4598" s="9">
        <f>MAX($F$4357:F4598)</f>
        <v>1.8828</v>
      </c>
      <c r="M4598" s="11">
        <f t="shared" si="105"/>
        <v>0.00015933715742511</v>
      </c>
      <c r="N4598" s="9" t="s">
        <v>809</v>
      </c>
    </row>
    <row r="4599" ht="25" customHeight="1" spans="1:14">
      <c r="A4599" s="9" t="s">
        <v>327</v>
      </c>
      <c r="B4599" s="9" t="s">
        <v>326</v>
      </c>
      <c r="C4599" s="10">
        <v>45538</v>
      </c>
      <c r="D4599" s="15">
        <v>1.021</v>
      </c>
      <c r="E4599" s="15">
        <v>1.6589</v>
      </c>
      <c r="F4599" s="15">
        <v>1.8815</v>
      </c>
      <c r="G4599" s="11">
        <v>-0.0005</v>
      </c>
      <c r="H4599" s="9">
        <f>MAX($F$3239:F4599)</f>
        <v>1.8828</v>
      </c>
      <c r="I4599" s="11">
        <f t="shared" si="104"/>
        <v>0.000690461015508848</v>
      </c>
      <c r="J4599" s="9"/>
      <c r="K4599" s="11"/>
      <c r="L4599" s="9">
        <f>MAX($F$4357:F4599)</f>
        <v>1.8828</v>
      </c>
      <c r="M4599" s="11">
        <f t="shared" si="105"/>
        <v>0.000690461015508848</v>
      </c>
      <c r="N4599" s="9" t="s">
        <v>809</v>
      </c>
    </row>
    <row r="4600" ht="25" customHeight="1" spans="1:14">
      <c r="A4600" s="9" t="s">
        <v>327</v>
      </c>
      <c r="B4600" s="9" t="s">
        <v>326</v>
      </c>
      <c r="C4600" s="10">
        <v>45539</v>
      </c>
      <c r="D4600" s="15">
        <v>1.0212</v>
      </c>
      <c r="E4600" s="15">
        <v>1.6591</v>
      </c>
      <c r="F4600" s="15">
        <v>1.8819</v>
      </c>
      <c r="G4600" s="11">
        <v>0.0002</v>
      </c>
      <c r="H4600" s="9">
        <f>MAX($F$3239:F4600)</f>
        <v>1.8828</v>
      </c>
      <c r="I4600" s="11">
        <f t="shared" si="104"/>
        <v>0.000478011472275441</v>
      </c>
      <c r="J4600" s="9"/>
      <c r="K4600" s="11"/>
      <c r="L4600" s="9">
        <f>MAX($F$4357:F4600)</f>
        <v>1.8828</v>
      </c>
      <c r="M4600" s="11">
        <f t="shared" si="105"/>
        <v>0.000478011472275441</v>
      </c>
      <c r="N4600" s="9" t="s">
        <v>809</v>
      </c>
    </row>
    <row r="4601" ht="25" customHeight="1" spans="1:14">
      <c r="A4601" s="9" t="s">
        <v>327</v>
      </c>
      <c r="B4601" s="9" t="s">
        <v>326</v>
      </c>
      <c r="C4601" s="10">
        <v>45540</v>
      </c>
      <c r="D4601" s="15">
        <v>1.0212</v>
      </c>
      <c r="E4601" s="15">
        <v>1.6591</v>
      </c>
      <c r="F4601" s="15">
        <v>1.8819</v>
      </c>
      <c r="G4601" s="11">
        <v>0</v>
      </c>
      <c r="H4601" s="9">
        <f>MAX($F$3239:F4601)</f>
        <v>1.8828</v>
      </c>
      <c r="I4601" s="11">
        <f t="shared" si="104"/>
        <v>0.000478011472275441</v>
      </c>
      <c r="J4601" s="9"/>
      <c r="K4601" s="11"/>
      <c r="L4601" s="9">
        <f>MAX($F$4357:F4601)</f>
        <v>1.8828</v>
      </c>
      <c r="M4601" s="11">
        <f t="shared" si="105"/>
        <v>0.000478011472275441</v>
      </c>
      <c r="N4601" s="9" t="s">
        <v>809</v>
      </c>
    </row>
    <row r="4602" ht="25" customHeight="1" spans="1:14">
      <c r="A4602" s="9" t="s">
        <v>327</v>
      </c>
      <c r="B4602" s="9" t="s">
        <v>326</v>
      </c>
      <c r="C4602" s="10">
        <v>45541</v>
      </c>
      <c r="D4602" s="15">
        <v>1.0212</v>
      </c>
      <c r="E4602" s="15">
        <v>1.6591</v>
      </c>
      <c r="F4602" s="15">
        <v>1.8819</v>
      </c>
      <c r="G4602" s="11">
        <v>0</v>
      </c>
      <c r="H4602" s="9">
        <f>MAX($F$3239:F4602)</f>
        <v>1.8828</v>
      </c>
      <c r="I4602" s="11">
        <f t="shared" si="104"/>
        <v>0.000478011472275441</v>
      </c>
      <c r="J4602" s="9"/>
      <c r="K4602" s="11"/>
      <c r="L4602" s="9">
        <f>MAX($F$4357:F4602)</f>
        <v>1.8828</v>
      </c>
      <c r="M4602" s="11">
        <f t="shared" si="105"/>
        <v>0.000478011472275441</v>
      </c>
      <c r="N4602" s="9" t="s">
        <v>809</v>
      </c>
    </row>
    <row r="4603" ht="25" customHeight="1" spans="1:14">
      <c r="A4603" s="9" t="s">
        <v>327</v>
      </c>
      <c r="B4603" s="9" t="s">
        <v>326</v>
      </c>
      <c r="C4603" s="10">
        <v>45544</v>
      </c>
      <c r="D4603" s="15">
        <v>1.021</v>
      </c>
      <c r="E4603" s="15">
        <v>1.6589</v>
      </c>
      <c r="F4603" s="15">
        <v>1.8815</v>
      </c>
      <c r="G4603" s="11">
        <v>-0.0002</v>
      </c>
      <c r="H4603" s="9">
        <f>MAX($F$3239:F4603)</f>
        <v>1.8828</v>
      </c>
      <c r="I4603" s="11">
        <f t="shared" si="104"/>
        <v>0.000690461015508848</v>
      </c>
      <c r="J4603" s="9"/>
      <c r="K4603" s="11"/>
      <c r="L4603" s="9">
        <f>MAX($F$4357:F4603)</f>
        <v>1.8828</v>
      </c>
      <c r="M4603" s="11">
        <f t="shared" si="105"/>
        <v>0.000690461015508848</v>
      </c>
      <c r="N4603" s="9" t="s">
        <v>809</v>
      </c>
    </row>
    <row r="4604" ht="25" customHeight="1" spans="1:14">
      <c r="A4604" s="9" t="s">
        <v>327</v>
      </c>
      <c r="B4604" s="9" t="s">
        <v>326</v>
      </c>
      <c r="C4604" s="10">
        <v>45545</v>
      </c>
      <c r="D4604" s="15">
        <v>1.0215</v>
      </c>
      <c r="E4604" s="15">
        <v>1.6594</v>
      </c>
      <c r="F4604" s="15">
        <v>1.8825</v>
      </c>
      <c r="G4604" s="11">
        <v>0.0005</v>
      </c>
      <c r="H4604" s="9">
        <f>MAX($F$3239:F4604)</f>
        <v>1.8828</v>
      </c>
      <c r="I4604" s="11">
        <f t="shared" si="104"/>
        <v>0.00015933715742511</v>
      </c>
      <c r="J4604" s="9"/>
      <c r="K4604" s="11"/>
      <c r="L4604" s="9">
        <f>MAX($F$4357:F4604)</f>
        <v>1.8828</v>
      </c>
      <c r="M4604" s="11">
        <f t="shared" si="105"/>
        <v>0.00015933715742511</v>
      </c>
      <c r="N4604" s="9" t="s">
        <v>809</v>
      </c>
    </row>
    <row r="4605" ht="25" customHeight="1" spans="1:14">
      <c r="A4605" s="9" t="s">
        <v>327</v>
      </c>
      <c r="B4605" s="9" t="s">
        <v>326</v>
      </c>
      <c r="C4605" s="10">
        <v>45546</v>
      </c>
      <c r="D4605" s="15">
        <v>1.0219</v>
      </c>
      <c r="E4605" s="15">
        <v>1.6598</v>
      </c>
      <c r="F4605" s="15">
        <v>1.8832</v>
      </c>
      <c r="G4605" s="11">
        <v>0.0004</v>
      </c>
      <c r="H4605" s="9">
        <f>MAX($F$3239:F4605)</f>
        <v>1.8832</v>
      </c>
      <c r="I4605" s="11">
        <f t="shared" si="104"/>
        <v>0</v>
      </c>
      <c r="J4605" s="9"/>
      <c r="K4605" s="11"/>
      <c r="L4605" s="9">
        <f>MAX($F$4357:F4605)</f>
        <v>1.8832</v>
      </c>
      <c r="M4605" s="11">
        <f t="shared" si="105"/>
        <v>0</v>
      </c>
      <c r="N4605" s="9" t="s">
        <v>809</v>
      </c>
    </row>
    <row r="4606" ht="25" customHeight="1" spans="1:14">
      <c r="A4606" s="9" t="s">
        <v>327</v>
      </c>
      <c r="B4606" s="9" t="s">
        <v>326</v>
      </c>
      <c r="C4606" s="10">
        <v>45547</v>
      </c>
      <c r="D4606" s="15">
        <v>1.0216</v>
      </c>
      <c r="E4606" s="15">
        <v>1.6595</v>
      </c>
      <c r="F4606" s="15">
        <v>1.8826</v>
      </c>
      <c r="G4606" s="11">
        <v>-0.0003</v>
      </c>
      <c r="H4606" s="9">
        <f>MAX($F$3239:F4606)</f>
        <v>1.8832</v>
      </c>
      <c r="I4606" s="11">
        <f t="shared" si="104"/>
        <v>0.00031860662701777</v>
      </c>
      <c r="J4606" s="9"/>
      <c r="K4606" s="11"/>
      <c r="L4606" s="9">
        <f>MAX($F$4357:F4606)</f>
        <v>1.8832</v>
      </c>
      <c r="M4606" s="11">
        <f t="shared" si="105"/>
        <v>0.00031860662701777</v>
      </c>
      <c r="N4606" s="9" t="s">
        <v>809</v>
      </c>
    </row>
    <row r="4607" ht="25" customHeight="1" spans="1:14">
      <c r="A4607" s="9" t="s">
        <v>327</v>
      </c>
      <c r="B4607" s="9" t="s">
        <v>326</v>
      </c>
      <c r="C4607" s="10">
        <v>45548</v>
      </c>
      <c r="D4607" s="15">
        <v>1.0237</v>
      </c>
      <c r="E4607" s="15">
        <v>1.6616</v>
      </c>
      <c r="F4607" s="15">
        <v>1.8865</v>
      </c>
      <c r="G4607" s="11">
        <v>0.0021</v>
      </c>
      <c r="H4607" s="9">
        <f>MAX($F$3239:F4607)</f>
        <v>1.8865</v>
      </c>
      <c r="I4607" s="11">
        <f t="shared" si="104"/>
        <v>0</v>
      </c>
      <c r="J4607" s="9"/>
      <c r="K4607" s="11"/>
      <c r="L4607" s="9">
        <f>MAX($F$4357:F4607)</f>
        <v>1.8865</v>
      </c>
      <c r="M4607" s="11">
        <f t="shared" si="105"/>
        <v>0</v>
      </c>
      <c r="N4607" s="9" t="s">
        <v>809</v>
      </c>
    </row>
    <row r="4608" ht="25" customHeight="1" spans="1:14">
      <c r="A4608" s="9" t="s">
        <v>327</v>
      </c>
      <c r="B4608" s="9" t="s">
        <v>326</v>
      </c>
      <c r="C4608" s="10">
        <v>45553</v>
      </c>
      <c r="D4608" s="15">
        <v>1.024</v>
      </c>
      <c r="E4608" s="15">
        <v>1.6619</v>
      </c>
      <c r="F4608" s="15">
        <v>1.8871</v>
      </c>
      <c r="G4608" s="11">
        <v>0.0003</v>
      </c>
      <c r="H4608" s="9">
        <f>MAX($F$3239:F4608)</f>
        <v>1.8871</v>
      </c>
      <c r="I4608" s="11">
        <f t="shared" si="104"/>
        <v>0</v>
      </c>
      <c r="J4608" s="9"/>
      <c r="K4608" s="11"/>
      <c r="L4608" s="9">
        <f>MAX($F$4357:F4608)</f>
        <v>1.8871</v>
      </c>
      <c r="M4608" s="11">
        <f t="shared" si="105"/>
        <v>0</v>
      </c>
      <c r="N4608" s="9" t="s">
        <v>809</v>
      </c>
    </row>
    <row r="4609" ht="25" customHeight="1" spans="1:14">
      <c r="A4609" s="9" t="s">
        <v>327</v>
      </c>
      <c r="B4609" s="9" t="s">
        <v>326</v>
      </c>
      <c r="C4609" s="10">
        <v>45554</v>
      </c>
      <c r="D4609" s="15">
        <v>1.0259</v>
      </c>
      <c r="E4609" s="15">
        <v>1.6638</v>
      </c>
      <c r="F4609" s="15">
        <v>1.8906</v>
      </c>
      <c r="G4609" s="11">
        <v>0.0019</v>
      </c>
      <c r="H4609" s="9">
        <f>MAX($F$3239:F4609)</f>
        <v>1.8906</v>
      </c>
      <c r="I4609" s="11">
        <f t="shared" si="104"/>
        <v>0</v>
      </c>
      <c r="J4609" s="9"/>
      <c r="K4609" s="11"/>
      <c r="L4609" s="9">
        <f>MAX($F$4357:F4609)</f>
        <v>1.8906</v>
      </c>
      <c r="M4609" s="11">
        <f t="shared" si="105"/>
        <v>0</v>
      </c>
      <c r="N4609" s="9" t="s">
        <v>809</v>
      </c>
    </row>
    <row r="4610" ht="25" customHeight="1" spans="1:14">
      <c r="A4610" s="9" t="s">
        <v>327</v>
      </c>
      <c r="B4610" s="9" t="s">
        <v>326</v>
      </c>
      <c r="C4610" s="10">
        <v>45555</v>
      </c>
      <c r="D4610" s="15">
        <v>1.026</v>
      </c>
      <c r="E4610" s="15">
        <v>1.6639</v>
      </c>
      <c r="F4610" s="15">
        <v>1.8907</v>
      </c>
      <c r="G4610" s="11">
        <v>0.0001</v>
      </c>
      <c r="H4610" s="9">
        <f>MAX($F$3239:F4610)</f>
        <v>1.8907</v>
      </c>
      <c r="I4610" s="11">
        <f t="shared" ref="I4610:I4673" si="106">1-F4610/H4610</f>
        <v>0</v>
      </c>
      <c r="J4610" s="9"/>
      <c r="K4610" s="11"/>
      <c r="L4610" s="9">
        <f>MAX($F$4357:F4610)</f>
        <v>1.8907</v>
      </c>
      <c r="M4610" s="11">
        <f t="shared" si="105"/>
        <v>0</v>
      </c>
      <c r="N4610" s="9" t="s">
        <v>809</v>
      </c>
    </row>
    <row r="4611" ht="25" customHeight="1" spans="1:14">
      <c r="A4611" s="9" t="s">
        <v>327</v>
      </c>
      <c r="B4611" s="9" t="s">
        <v>326</v>
      </c>
      <c r="C4611" s="10">
        <v>45558</v>
      </c>
      <c r="D4611" s="15">
        <v>1.0268</v>
      </c>
      <c r="E4611" s="15">
        <v>1.6647</v>
      </c>
      <c r="F4611" s="15">
        <v>1.8922</v>
      </c>
      <c r="G4611" s="11">
        <v>0.0008</v>
      </c>
      <c r="H4611" s="9">
        <f>MAX($F$3239:F4611)</f>
        <v>1.8922</v>
      </c>
      <c r="I4611" s="11">
        <f t="shared" si="106"/>
        <v>0</v>
      </c>
      <c r="J4611" s="9"/>
      <c r="K4611" s="11"/>
      <c r="L4611" s="9">
        <f>MAX($F$4357:F4611)</f>
        <v>1.8922</v>
      </c>
      <c r="M4611" s="11">
        <f t="shared" si="105"/>
        <v>0</v>
      </c>
      <c r="N4611" s="9" t="s">
        <v>809</v>
      </c>
    </row>
    <row r="4612" ht="25" customHeight="1" spans="1:14">
      <c r="A4612" s="9" t="s">
        <v>327</v>
      </c>
      <c r="B4612" s="9" t="s">
        <v>326</v>
      </c>
      <c r="C4612" s="10">
        <v>45559</v>
      </c>
      <c r="D4612" s="15">
        <v>1.0276</v>
      </c>
      <c r="E4612" s="15">
        <v>1.6655</v>
      </c>
      <c r="F4612" s="15">
        <v>1.8937</v>
      </c>
      <c r="G4612" s="11">
        <v>0.0008</v>
      </c>
      <c r="H4612" s="9">
        <f>MAX($F$3239:F4612)</f>
        <v>1.8937</v>
      </c>
      <c r="I4612" s="11">
        <f t="shared" si="106"/>
        <v>0</v>
      </c>
      <c r="J4612" s="9"/>
      <c r="K4612" s="11"/>
      <c r="L4612" s="9">
        <f>MAX($F$4357:F4612)</f>
        <v>1.8937</v>
      </c>
      <c r="M4612" s="11">
        <f t="shared" si="105"/>
        <v>0</v>
      </c>
      <c r="N4612" s="9" t="s">
        <v>809</v>
      </c>
    </row>
    <row r="4613" ht="25" customHeight="1" spans="1:14">
      <c r="A4613" s="9" t="s">
        <v>327</v>
      </c>
      <c r="B4613" s="9" t="s">
        <v>326</v>
      </c>
      <c r="C4613" s="10">
        <v>45560</v>
      </c>
      <c r="D4613" s="15">
        <v>1.029</v>
      </c>
      <c r="E4613" s="15">
        <v>1.6669</v>
      </c>
      <c r="F4613" s="15">
        <v>1.8963</v>
      </c>
      <c r="G4613" s="11">
        <v>0.0014</v>
      </c>
      <c r="H4613" s="9">
        <f>MAX($F$3239:F4613)</f>
        <v>1.8963</v>
      </c>
      <c r="I4613" s="11">
        <f t="shared" si="106"/>
        <v>0</v>
      </c>
      <c r="J4613" s="9"/>
      <c r="K4613" s="11"/>
      <c r="L4613" s="9">
        <f>MAX($F$4357:F4613)</f>
        <v>1.8963</v>
      </c>
      <c r="M4613" s="11">
        <f t="shared" ref="M4613:M4676" si="107">1-F4613/L4613</f>
        <v>0</v>
      </c>
      <c r="N4613" s="9" t="s">
        <v>809</v>
      </c>
    </row>
    <row r="4614" ht="25" customHeight="1" spans="1:14">
      <c r="A4614" s="9" t="s">
        <v>327</v>
      </c>
      <c r="B4614" s="9" t="s">
        <v>326</v>
      </c>
      <c r="C4614" s="10">
        <v>45561</v>
      </c>
      <c r="D4614" s="15">
        <v>1.0303</v>
      </c>
      <c r="E4614" s="15">
        <v>1.6682</v>
      </c>
      <c r="F4614" s="15">
        <v>1.8987</v>
      </c>
      <c r="G4614" s="11">
        <v>0.0013</v>
      </c>
      <c r="H4614" s="9">
        <f>MAX($F$3239:F4614)</f>
        <v>1.8987</v>
      </c>
      <c r="I4614" s="11">
        <f t="shared" si="106"/>
        <v>0</v>
      </c>
      <c r="J4614" s="9"/>
      <c r="K4614" s="11"/>
      <c r="L4614" s="9">
        <f>MAX($F$4357:F4614)</f>
        <v>1.8987</v>
      </c>
      <c r="M4614" s="11">
        <f t="shared" si="107"/>
        <v>0</v>
      </c>
      <c r="N4614" s="9" t="s">
        <v>809</v>
      </c>
    </row>
    <row r="4615" ht="25" customHeight="1" spans="1:14">
      <c r="A4615" s="9" t="s">
        <v>327</v>
      </c>
      <c r="B4615" s="9" t="s">
        <v>326</v>
      </c>
      <c r="C4615" s="10">
        <v>45562</v>
      </c>
      <c r="D4615" s="15">
        <v>1.0345</v>
      </c>
      <c r="E4615" s="15">
        <v>1.6724</v>
      </c>
      <c r="F4615" s="15">
        <v>1.9064</v>
      </c>
      <c r="G4615" s="11">
        <v>0.0041</v>
      </c>
      <c r="H4615" s="9">
        <f>MAX($F$3239:F4615)</f>
        <v>1.9064</v>
      </c>
      <c r="I4615" s="11">
        <f t="shared" si="106"/>
        <v>0</v>
      </c>
      <c r="J4615" s="9"/>
      <c r="K4615" s="11"/>
      <c r="L4615" s="9">
        <f>MAX($F$4357:F4615)</f>
        <v>1.9064</v>
      </c>
      <c r="M4615" s="11">
        <f t="shared" si="107"/>
        <v>0</v>
      </c>
      <c r="N4615" s="9" t="s">
        <v>809</v>
      </c>
    </row>
    <row r="4616" ht="25" customHeight="1" spans="1:14">
      <c r="A4616" s="9" t="s">
        <v>327</v>
      </c>
      <c r="B4616" s="9" t="s">
        <v>326</v>
      </c>
      <c r="C4616" s="10">
        <v>45565</v>
      </c>
      <c r="D4616" s="15">
        <v>1.0484</v>
      </c>
      <c r="E4616" s="15">
        <v>1.6863</v>
      </c>
      <c r="F4616" s="15">
        <v>1.932</v>
      </c>
      <c r="G4616" s="11">
        <v>0.0134</v>
      </c>
      <c r="H4616" s="9">
        <f>MAX($F$3239:F4616)</f>
        <v>1.932</v>
      </c>
      <c r="I4616" s="11">
        <f t="shared" si="106"/>
        <v>0</v>
      </c>
      <c r="J4616" s="9"/>
      <c r="K4616" s="11"/>
      <c r="L4616" s="9">
        <f>MAX($F$4357:F4616)</f>
        <v>1.932</v>
      </c>
      <c r="M4616" s="11">
        <f t="shared" si="107"/>
        <v>0</v>
      </c>
      <c r="N4616" s="9" t="s">
        <v>809</v>
      </c>
    </row>
    <row r="4617" ht="25" customHeight="1" spans="1:14">
      <c r="A4617" s="9" t="s">
        <v>327</v>
      </c>
      <c r="B4617" s="9" t="s">
        <v>326</v>
      </c>
      <c r="C4617" s="10">
        <v>45573</v>
      </c>
      <c r="D4617" s="15">
        <v>1.0812</v>
      </c>
      <c r="E4617" s="15">
        <v>1.7191</v>
      </c>
      <c r="F4617" s="15">
        <v>1.9925</v>
      </c>
      <c r="G4617" s="11">
        <v>0.0313</v>
      </c>
      <c r="H4617" s="9">
        <f>MAX($F$3239:F4617)</f>
        <v>1.9925</v>
      </c>
      <c r="I4617" s="11">
        <f t="shared" si="106"/>
        <v>0</v>
      </c>
      <c r="J4617" s="9"/>
      <c r="K4617" s="11"/>
      <c r="L4617" s="9">
        <f>MAX($F$4357:F4617)</f>
        <v>1.9925</v>
      </c>
      <c r="M4617" s="11">
        <f t="shared" si="107"/>
        <v>0</v>
      </c>
      <c r="N4617" s="9" t="s">
        <v>809</v>
      </c>
    </row>
    <row r="4618" ht="25" customHeight="1" spans="1:14">
      <c r="A4618" s="9" t="s">
        <v>327</v>
      </c>
      <c r="B4618" s="9" t="s">
        <v>326</v>
      </c>
      <c r="C4618" s="10">
        <v>45574</v>
      </c>
      <c r="D4618" s="15">
        <v>1.0996</v>
      </c>
      <c r="E4618" s="15">
        <v>1.7375</v>
      </c>
      <c r="F4618" s="15">
        <v>2.0264</v>
      </c>
      <c r="G4618" s="11">
        <v>0.017</v>
      </c>
      <c r="H4618" s="9">
        <f>MAX($F$3239:F4618)</f>
        <v>2.0264</v>
      </c>
      <c r="I4618" s="11">
        <f t="shared" si="106"/>
        <v>0</v>
      </c>
      <c r="J4618" s="9"/>
      <c r="K4618" s="11"/>
      <c r="L4618" s="9">
        <f>MAX($F$4357:F4618)</f>
        <v>2.0264</v>
      </c>
      <c r="M4618" s="11">
        <f t="shared" si="107"/>
        <v>0</v>
      </c>
      <c r="N4618" s="9" t="s">
        <v>809</v>
      </c>
    </row>
    <row r="4619" ht="25" customHeight="1" spans="1:14">
      <c r="A4619" s="9" t="s">
        <v>327</v>
      </c>
      <c r="B4619" s="9" t="s">
        <v>326</v>
      </c>
      <c r="C4619" s="10">
        <v>45575</v>
      </c>
      <c r="D4619" s="15">
        <v>1.104</v>
      </c>
      <c r="E4619" s="15">
        <v>1.7419</v>
      </c>
      <c r="F4619" s="15">
        <v>2.0345</v>
      </c>
      <c r="G4619" s="11">
        <v>0.004</v>
      </c>
      <c r="H4619" s="9">
        <f>MAX($F$3239:F4619)</f>
        <v>2.0345</v>
      </c>
      <c r="I4619" s="11">
        <f t="shared" si="106"/>
        <v>0</v>
      </c>
      <c r="J4619" s="9"/>
      <c r="K4619" s="11"/>
      <c r="L4619" s="9">
        <f>MAX($F$4357:F4619)</f>
        <v>2.0345</v>
      </c>
      <c r="M4619" s="11">
        <f t="shared" si="107"/>
        <v>0</v>
      </c>
      <c r="N4619" s="9" t="s">
        <v>809</v>
      </c>
    </row>
    <row r="4620" ht="25" customHeight="1" spans="1:14">
      <c r="A4620" s="9" t="s">
        <v>327</v>
      </c>
      <c r="B4620" s="9" t="s">
        <v>326</v>
      </c>
      <c r="C4620" s="10">
        <v>45576</v>
      </c>
      <c r="D4620" s="15">
        <v>1.104</v>
      </c>
      <c r="E4620" s="15">
        <v>1.7419</v>
      </c>
      <c r="F4620" s="15">
        <v>2.0345</v>
      </c>
      <c r="G4620" s="11">
        <v>0</v>
      </c>
      <c r="H4620" s="9">
        <f>MAX($F$3239:F4620)</f>
        <v>2.0345</v>
      </c>
      <c r="I4620" s="11">
        <f t="shared" si="106"/>
        <v>0</v>
      </c>
      <c r="J4620" s="9"/>
      <c r="K4620" s="11"/>
      <c r="L4620" s="9">
        <f>MAX($F$4357:F4620)</f>
        <v>2.0345</v>
      </c>
      <c r="M4620" s="11">
        <f t="shared" si="107"/>
        <v>0</v>
      </c>
      <c r="N4620" s="9" t="s">
        <v>809</v>
      </c>
    </row>
    <row r="4621" ht="25" customHeight="1" spans="1:14">
      <c r="A4621" s="9" t="s">
        <v>327</v>
      </c>
      <c r="B4621" s="9" t="s">
        <v>326</v>
      </c>
      <c r="C4621" s="10">
        <v>45579</v>
      </c>
      <c r="D4621" s="15">
        <v>1.106</v>
      </c>
      <c r="E4621" s="15">
        <v>1.7439</v>
      </c>
      <c r="F4621" s="15">
        <v>2.0382</v>
      </c>
      <c r="G4621" s="11">
        <v>0.0018</v>
      </c>
      <c r="H4621" s="9">
        <f>MAX($F$3239:F4621)</f>
        <v>2.0382</v>
      </c>
      <c r="I4621" s="11">
        <f t="shared" si="106"/>
        <v>0</v>
      </c>
      <c r="J4621" s="9"/>
      <c r="K4621" s="11"/>
      <c r="L4621" s="9">
        <f>MAX($F$4357:F4621)</f>
        <v>2.0382</v>
      </c>
      <c r="M4621" s="11">
        <f t="shared" si="107"/>
        <v>0</v>
      </c>
      <c r="N4621" s="9" t="s">
        <v>809</v>
      </c>
    </row>
    <row r="4622" ht="25" customHeight="1" spans="1:14">
      <c r="A4622" s="9" t="s">
        <v>327</v>
      </c>
      <c r="B4622" s="9" t="s">
        <v>326</v>
      </c>
      <c r="C4622" s="10">
        <v>45580</v>
      </c>
      <c r="D4622" s="15">
        <v>1.1086</v>
      </c>
      <c r="E4622" s="15">
        <v>1.7465</v>
      </c>
      <c r="F4622" s="15">
        <v>2.043</v>
      </c>
      <c r="G4622" s="11">
        <v>0.0024</v>
      </c>
      <c r="H4622" s="9">
        <f>MAX($F$3239:F4622)</f>
        <v>2.043</v>
      </c>
      <c r="I4622" s="11">
        <f t="shared" si="106"/>
        <v>0</v>
      </c>
      <c r="J4622" s="9"/>
      <c r="K4622" s="11"/>
      <c r="L4622" s="9">
        <f>MAX($F$4357:F4622)</f>
        <v>2.043</v>
      </c>
      <c r="M4622" s="11">
        <f t="shared" si="107"/>
        <v>0</v>
      </c>
      <c r="N4622" s="9" t="s">
        <v>809</v>
      </c>
    </row>
    <row r="4623" ht="25" customHeight="1" spans="1:14">
      <c r="A4623" s="9" t="s">
        <v>327</v>
      </c>
      <c r="B4623" s="9" t="s">
        <v>326</v>
      </c>
      <c r="C4623" s="10">
        <v>45581</v>
      </c>
      <c r="D4623" s="15">
        <v>1.1102</v>
      </c>
      <c r="E4623" s="15">
        <v>1.7481</v>
      </c>
      <c r="F4623" s="15">
        <v>2.0459</v>
      </c>
      <c r="G4623" s="11">
        <v>0.0014</v>
      </c>
      <c r="H4623" s="9">
        <f>MAX($F$3239:F4623)</f>
        <v>2.0459</v>
      </c>
      <c r="I4623" s="11">
        <f t="shared" si="106"/>
        <v>0</v>
      </c>
      <c r="J4623" s="9"/>
      <c r="K4623" s="11"/>
      <c r="L4623" s="9">
        <f>MAX($F$4357:F4623)</f>
        <v>2.0459</v>
      </c>
      <c r="M4623" s="11">
        <f t="shared" si="107"/>
        <v>0</v>
      </c>
      <c r="N4623" s="9" t="s">
        <v>809</v>
      </c>
    </row>
    <row r="4624" ht="25" customHeight="1" spans="1:14">
      <c r="A4624" s="9" t="s">
        <v>327</v>
      </c>
      <c r="B4624" s="9" t="s">
        <v>326</v>
      </c>
      <c r="C4624" s="10">
        <v>45582</v>
      </c>
      <c r="D4624" s="15">
        <v>1.1109</v>
      </c>
      <c r="E4624" s="15">
        <v>1.7488</v>
      </c>
      <c r="F4624" s="15">
        <v>2.0472</v>
      </c>
      <c r="G4624" s="11">
        <v>0.0006</v>
      </c>
      <c r="H4624" s="9">
        <f>MAX($F$3239:F4624)</f>
        <v>2.0472</v>
      </c>
      <c r="I4624" s="11">
        <f t="shared" si="106"/>
        <v>0</v>
      </c>
      <c r="J4624" s="9"/>
      <c r="K4624" s="11"/>
      <c r="L4624" s="9">
        <f>MAX($F$4357:F4624)</f>
        <v>2.0472</v>
      </c>
      <c r="M4624" s="11">
        <f t="shared" si="107"/>
        <v>0</v>
      </c>
      <c r="N4624" s="9" t="s">
        <v>809</v>
      </c>
    </row>
    <row r="4625" ht="25" customHeight="1" spans="1:14">
      <c r="A4625" s="9" t="s">
        <v>327</v>
      </c>
      <c r="B4625" s="9" t="s">
        <v>326</v>
      </c>
      <c r="C4625" s="10">
        <v>45583</v>
      </c>
      <c r="D4625" s="15">
        <v>1.1112</v>
      </c>
      <c r="E4625" s="15">
        <v>1.7491</v>
      </c>
      <c r="F4625" s="15">
        <v>2.0478</v>
      </c>
      <c r="G4625" s="11">
        <v>0.0003</v>
      </c>
      <c r="H4625" s="9">
        <f>MAX($F$3239:F4625)</f>
        <v>2.0478</v>
      </c>
      <c r="I4625" s="11">
        <f t="shared" si="106"/>
        <v>0</v>
      </c>
      <c r="J4625" s="9"/>
      <c r="K4625" s="11"/>
      <c r="L4625" s="9">
        <f>MAX($F$4357:F4625)</f>
        <v>2.0478</v>
      </c>
      <c r="M4625" s="11">
        <f t="shared" si="107"/>
        <v>0</v>
      </c>
      <c r="N4625" s="9" t="s">
        <v>809</v>
      </c>
    </row>
    <row r="4626" ht="25" customHeight="1" spans="1:14">
      <c r="A4626" s="9" t="s">
        <v>327</v>
      </c>
      <c r="B4626" s="9" t="s">
        <v>326</v>
      </c>
      <c r="C4626" s="10">
        <v>45586</v>
      </c>
      <c r="D4626" s="15">
        <v>1.1101</v>
      </c>
      <c r="E4626" s="15">
        <v>1.748</v>
      </c>
      <c r="F4626" s="15">
        <v>2.0457</v>
      </c>
      <c r="G4626" s="11">
        <v>-0.001</v>
      </c>
      <c r="H4626" s="9">
        <f>MAX($F$3239:F4626)</f>
        <v>2.0478</v>
      </c>
      <c r="I4626" s="11">
        <f t="shared" si="106"/>
        <v>0.00102549077058312</v>
      </c>
      <c r="J4626" s="9"/>
      <c r="K4626" s="11"/>
      <c r="L4626" s="9">
        <f>MAX($F$4357:F4626)</f>
        <v>2.0478</v>
      </c>
      <c r="M4626" s="11">
        <f t="shared" si="107"/>
        <v>0.00102549077058312</v>
      </c>
      <c r="N4626" s="9" t="s">
        <v>809</v>
      </c>
    </row>
    <row r="4627" ht="25" customHeight="1" spans="1:14">
      <c r="A4627" s="9" t="s">
        <v>327</v>
      </c>
      <c r="B4627" s="9" t="s">
        <v>326</v>
      </c>
      <c r="C4627" s="10">
        <v>45587</v>
      </c>
      <c r="D4627" s="15">
        <v>1.1086</v>
      </c>
      <c r="E4627" s="15">
        <v>1.7465</v>
      </c>
      <c r="F4627" s="15">
        <v>2.043</v>
      </c>
      <c r="G4627" s="11">
        <v>-0.0014</v>
      </c>
      <c r="H4627" s="9">
        <f>MAX($F$3239:F4627)</f>
        <v>2.0478</v>
      </c>
      <c r="I4627" s="11">
        <f t="shared" si="106"/>
        <v>0.0023439789041898</v>
      </c>
      <c r="J4627" s="9"/>
      <c r="K4627" s="11"/>
      <c r="L4627" s="9">
        <f>MAX($F$4357:F4627)</f>
        <v>2.0478</v>
      </c>
      <c r="M4627" s="11">
        <f t="shared" si="107"/>
        <v>0.0023439789041898</v>
      </c>
      <c r="N4627" s="9" t="s">
        <v>809</v>
      </c>
    </row>
    <row r="4628" ht="25" customHeight="1" spans="1:14">
      <c r="A4628" s="9" t="s">
        <v>327</v>
      </c>
      <c r="B4628" s="9" t="s">
        <v>326</v>
      </c>
      <c r="C4628" s="10">
        <v>45588</v>
      </c>
      <c r="D4628" s="15">
        <v>1.1117</v>
      </c>
      <c r="E4628" s="15">
        <v>1.7496</v>
      </c>
      <c r="F4628" s="15">
        <v>2.0487</v>
      </c>
      <c r="G4628" s="11">
        <v>0.0028</v>
      </c>
      <c r="H4628" s="9">
        <f>MAX($F$3239:F4628)</f>
        <v>2.0487</v>
      </c>
      <c r="I4628" s="11">
        <f t="shared" si="106"/>
        <v>0</v>
      </c>
      <c r="J4628" s="9"/>
      <c r="K4628" s="11"/>
      <c r="L4628" s="9">
        <f>MAX($F$4357:F4628)</f>
        <v>2.0487</v>
      </c>
      <c r="M4628" s="11">
        <f t="shared" si="107"/>
        <v>0</v>
      </c>
      <c r="N4628" s="9" t="s">
        <v>809</v>
      </c>
    </row>
    <row r="4629" ht="25" customHeight="1" spans="1:14">
      <c r="A4629" s="9" t="s">
        <v>327</v>
      </c>
      <c r="B4629" s="9" t="s">
        <v>326</v>
      </c>
      <c r="C4629" s="10">
        <v>45589</v>
      </c>
      <c r="D4629" s="15">
        <v>1.1117</v>
      </c>
      <c r="E4629" s="15">
        <v>1.7496</v>
      </c>
      <c r="F4629" s="15">
        <v>2.0487</v>
      </c>
      <c r="G4629" s="11">
        <v>0</v>
      </c>
      <c r="H4629" s="9">
        <f>MAX($F$3239:F4629)</f>
        <v>2.0487</v>
      </c>
      <c r="I4629" s="11">
        <f t="shared" si="106"/>
        <v>0</v>
      </c>
      <c r="J4629" s="9"/>
      <c r="K4629" s="11"/>
      <c r="L4629" s="9">
        <f>MAX($F$4357:F4629)</f>
        <v>2.0487</v>
      </c>
      <c r="M4629" s="11">
        <f t="shared" si="107"/>
        <v>0</v>
      </c>
      <c r="N4629" s="9" t="s">
        <v>809</v>
      </c>
    </row>
    <row r="4630" ht="25" customHeight="1" spans="1:14">
      <c r="A4630" s="9" t="s">
        <v>327</v>
      </c>
      <c r="B4630" s="9" t="s">
        <v>326</v>
      </c>
      <c r="C4630" s="10">
        <v>45590</v>
      </c>
      <c r="D4630" s="15">
        <v>1.1121</v>
      </c>
      <c r="E4630" s="15">
        <v>1.75</v>
      </c>
      <c r="F4630" s="15">
        <v>2.0494</v>
      </c>
      <c r="G4630" s="11">
        <v>0.0004</v>
      </c>
      <c r="H4630" s="9">
        <f>MAX($F$3239:F4630)</f>
        <v>2.0494</v>
      </c>
      <c r="I4630" s="11">
        <f t="shared" si="106"/>
        <v>0</v>
      </c>
      <c r="J4630" s="9"/>
      <c r="K4630" s="11"/>
      <c r="L4630" s="9">
        <f>MAX($F$4357:F4630)</f>
        <v>2.0494</v>
      </c>
      <c r="M4630" s="11">
        <f t="shared" si="107"/>
        <v>0</v>
      </c>
      <c r="N4630" s="9" t="s">
        <v>809</v>
      </c>
    </row>
    <row r="4631" ht="25" customHeight="1" spans="1:14">
      <c r="A4631" s="9" t="s">
        <v>327</v>
      </c>
      <c r="B4631" s="9" t="s">
        <v>326</v>
      </c>
      <c r="C4631" s="10">
        <v>45593</v>
      </c>
      <c r="D4631" s="15">
        <v>1.1117</v>
      </c>
      <c r="E4631" s="15">
        <v>1.7496</v>
      </c>
      <c r="F4631" s="15">
        <v>2.0487</v>
      </c>
      <c r="G4631" s="11">
        <v>-0.0004</v>
      </c>
      <c r="H4631" s="9">
        <f>MAX($F$3239:F4631)</f>
        <v>2.0494</v>
      </c>
      <c r="I4631" s="11">
        <f t="shared" si="106"/>
        <v>0.000341563384405053</v>
      </c>
      <c r="J4631" s="9"/>
      <c r="K4631" s="11"/>
      <c r="L4631" s="9">
        <f>MAX($F$4357:F4631)</f>
        <v>2.0494</v>
      </c>
      <c r="M4631" s="11">
        <f t="shared" si="107"/>
        <v>0.000341563384405053</v>
      </c>
      <c r="N4631" s="9" t="s">
        <v>809</v>
      </c>
    </row>
    <row r="4632" ht="25" customHeight="1" spans="1:14">
      <c r="A4632" s="9" t="s">
        <v>327</v>
      </c>
      <c r="B4632" s="9" t="s">
        <v>326</v>
      </c>
      <c r="C4632" s="10">
        <v>45594</v>
      </c>
      <c r="D4632" s="15">
        <v>1.1149</v>
      </c>
      <c r="E4632" s="15">
        <v>1.7528</v>
      </c>
      <c r="F4632" s="15">
        <v>2.0546</v>
      </c>
      <c r="G4632" s="11">
        <v>0.0029</v>
      </c>
      <c r="H4632" s="9">
        <f>MAX($F$3239:F4632)</f>
        <v>2.0546</v>
      </c>
      <c r="I4632" s="11">
        <f t="shared" si="106"/>
        <v>0</v>
      </c>
      <c r="J4632" s="9"/>
      <c r="K4632" s="11"/>
      <c r="L4632" s="9">
        <f>MAX($F$4357:F4632)</f>
        <v>2.0546</v>
      </c>
      <c r="M4632" s="11">
        <f t="shared" si="107"/>
        <v>0</v>
      </c>
      <c r="N4632" s="9" t="s">
        <v>809</v>
      </c>
    </row>
    <row r="4633" ht="25" customHeight="1" spans="1:14">
      <c r="A4633" s="9" t="s">
        <v>327</v>
      </c>
      <c r="B4633" s="9" t="s">
        <v>326</v>
      </c>
      <c r="C4633" s="10">
        <v>45595</v>
      </c>
      <c r="D4633" s="15">
        <v>1.1154</v>
      </c>
      <c r="E4633" s="15">
        <v>1.7533</v>
      </c>
      <c r="F4633" s="15">
        <v>2.0555</v>
      </c>
      <c r="G4633" s="11">
        <v>0.0004</v>
      </c>
      <c r="H4633" s="9">
        <f>MAX($F$3239:F4633)</f>
        <v>2.0555</v>
      </c>
      <c r="I4633" s="11">
        <f t="shared" si="106"/>
        <v>0</v>
      </c>
      <c r="J4633" s="9"/>
      <c r="K4633" s="11"/>
      <c r="L4633" s="9">
        <f>MAX($F$4357:F4633)</f>
        <v>2.0555</v>
      </c>
      <c r="M4633" s="11">
        <f t="shared" si="107"/>
        <v>0</v>
      </c>
      <c r="N4633" s="9" t="s">
        <v>809</v>
      </c>
    </row>
    <row r="4634" ht="25" customHeight="1" spans="1:14">
      <c r="A4634" s="9" t="s">
        <v>327</v>
      </c>
      <c r="B4634" s="9" t="s">
        <v>326</v>
      </c>
      <c r="C4634" s="10">
        <v>45596</v>
      </c>
      <c r="D4634" s="15">
        <v>1.1155</v>
      </c>
      <c r="E4634" s="15">
        <v>1.7534</v>
      </c>
      <c r="F4634" s="15">
        <v>2.0557</v>
      </c>
      <c r="G4634" s="11">
        <v>0.0001</v>
      </c>
      <c r="H4634" s="9">
        <f>MAX($F$3239:F4634)</f>
        <v>2.0557</v>
      </c>
      <c r="I4634" s="11">
        <f t="shared" si="106"/>
        <v>0</v>
      </c>
      <c r="J4634" s="9"/>
      <c r="K4634" s="11"/>
      <c r="L4634" s="9">
        <f>MAX($F$4357:F4634)</f>
        <v>2.0557</v>
      </c>
      <c r="M4634" s="11">
        <f t="shared" si="107"/>
        <v>0</v>
      </c>
      <c r="N4634" s="9" t="s">
        <v>809</v>
      </c>
    </row>
    <row r="4635" ht="25" customHeight="1" spans="1:14">
      <c r="A4635" s="9" t="s">
        <v>327</v>
      </c>
      <c r="B4635" s="9" t="s">
        <v>326</v>
      </c>
      <c r="C4635" s="10">
        <v>45597</v>
      </c>
      <c r="D4635" s="15">
        <v>1.1154</v>
      </c>
      <c r="E4635" s="15">
        <v>1.7533</v>
      </c>
      <c r="F4635" s="15">
        <v>2.0555</v>
      </c>
      <c r="G4635" s="11">
        <v>-0.0001</v>
      </c>
      <c r="H4635" s="9">
        <f>MAX($F$3239:F4635)</f>
        <v>2.0557</v>
      </c>
      <c r="I4635" s="11">
        <f t="shared" si="106"/>
        <v>9.72904606703073e-5</v>
      </c>
      <c r="J4635" s="9"/>
      <c r="K4635" s="11"/>
      <c r="L4635" s="9">
        <f>MAX($F$4357:F4635)</f>
        <v>2.0557</v>
      </c>
      <c r="M4635" s="11">
        <f t="shared" si="107"/>
        <v>9.72904606703073e-5</v>
      </c>
      <c r="N4635" s="9" t="s">
        <v>809</v>
      </c>
    </row>
    <row r="4636" ht="25" customHeight="1" spans="1:14">
      <c r="A4636" s="9" t="s">
        <v>327</v>
      </c>
      <c r="B4636" s="9" t="s">
        <v>326</v>
      </c>
      <c r="C4636" s="10">
        <v>45600</v>
      </c>
      <c r="D4636" s="15">
        <v>1.1153</v>
      </c>
      <c r="E4636" s="15">
        <v>1.7532</v>
      </c>
      <c r="F4636" s="15">
        <v>2.0553</v>
      </c>
      <c r="G4636" s="11">
        <v>-0.0001</v>
      </c>
      <c r="H4636" s="9">
        <f>MAX($F$3239:F4636)</f>
        <v>2.0557</v>
      </c>
      <c r="I4636" s="11">
        <f t="shared" si="106"/>
        <v>0.000194580921340615</v>
      </c>
      <c r="J4636" s="9"/>
      <c r="K4636" s="11"/>
      <c r="L4636" s="9">
        <f>MAX($F$4357:F4636)</f>
        <v>2.0557</v>
      </c>
      <c r="M4636" s="11">
        <f t="shared" si="107"/>
        <v>0.000194580921340615</v>
      </c>
      <c r="N4636" s="9" t="s">
        <v>809</v>
      </c>
    </row>
    <row r="4637" ht="25" customHeight="1" spans="1:14">
      <c r="A4637" s="9" t="s">
        <v>327</v>
      </c>
      <c r="B4637" s="9" t="s">
        <v>326</v>
      </c>
      <c r="C4637" s="10">
        <v>45601</v>
      </c>
      <c r="D4637" s="15">
        <v>1.115</v>
      </c>
      <c r="E4637" s="15">
        <v>1.7529</v>
      </c>
      <c r="F4637" s="15">
        <v>2.0548</v>
      </c>
      <c r="G4637" s="11">
        <v>-0.0003</v>
      </c>
      <c r="H4637" s="9">
        <f>MAX($F$3239:F4637)</f>
        <v>2.0557</v>
      </c>
      <c r="I4637" s="11">
        <f t="shared" si="106"/>
        <v>0.000437807073016327</v>
      </c>
      <c r="J4637" s="9"/>
      <c r="K4637" s="11"/>
      <c r="L4637" s="9">
        <f>MAX($F$4357:F4637)</f>
        <v>2.0557</v>
      </c>
      <c r="M4637" s="11">
        <f t="shared" si="107"/>
        <v>0.000437807073016327</v>
      </c>
      <c r="N4637" s="9" t="s">
        <v>809</v>
      </c>
    </row>
    <row r="4638" ht="25" customHeight="1" spans="1:14">
      <c r="A4638" s="9" t="s">
        <v>327</v>
      </c>
      <c r="B4638" s="9" t="s">
        <v>326</v>
      </c>
      <c r="C4638" s="10">
        <v>45602</v>
      </c>
      <c r="D4638" s="15">
        <v>1.1152</v>
      </c>
      <c r="E4638" s="15">
        <v>1.7531</v>
      </c>
      <c r="F4638" s="15">
        <v>2.0551</v>
      </c>
      <c r="G4638" s="11">
        <v>0.0002</v>
      </c>
      <c r="H4638" s="9">
        <f>MAX($F$3239:F4638)</f>
        <v>2.0557</v>
      </c>
      <c r="I4638" s="11">
        <f t="shared" si="106"/>
        <v>0.000291871382010922</v>
      </c>
      <c r="J4638" s="9"/>
      <c r="K4638" s="11"/>
      <c r="L4638" s="9">
        <f>MAX($F$4357:F4638)</f>
        <v>2.0557</v>
      </c>
      <c r="M4638" s="11">
        <f t="shared" si="107"/>
        <v>0.000291871382010922</v>
      </c>
      <c r="N4638" s="9" t="s">
        <v>809</v>
      </c>
    </row>
    <row r="4639" ht="25" customHeight="1" spans="1:14">
      <c r="A4639" s="9" t="s">
        <v>327</v>
      </c>
      <c r="B4639" s="9" t="s">
        <v>326</v>
      </c>
      <c r="C4639" s="10">
        <v>45603</v>
      </c>
      <c r="D4639" s="15">
        <v>1.1159</v>
      </c>
      <c r="E4639" s="15">
        <v>1.7538</v>
      </c>
      <c r="F4639" s="15">
        <v>2.0564</v>
      </c>
      <c r="G4639" s="11">
        <v>0.0006</v>
      </c>
      <c r="H4639" s="9">
        <f>MAX($F$3239:F4639)</f>
        <v>2.0564</v>
      </c>
      <c r="I4639" s="11">
        <f t="shared" si="106"/>
        <v>0</v>
      </c>
      <c r="J4639" s="9"/>
      <c r="K4639" s="11"/>
      <c r="L4639" s="9">
        <f>MAX($F$4357:F4639)</f>
        <v>2.0564</v>
      </c>
      <c r="M4639" s="11">
        <f t="shared" si="107"/>
        <v>0</v>
      </c>
      <c r="N4639" s="9" t="s">
        <v>809</v>
      </c>
    </row>
    <row r="4640" ht="25" customHeight="1" spans="1:14">
      <c r="A4640" s="9" t="s">
        <v>327</v>
      </c>
      <c r="B4640" s="9" t="s">
        <v>326</v>
      </c>
      <c r="C4640" s="10">
        <v>45604</v>
      </c>
      <c r="D4640" s="15">
        <v>1.1162</v>
      </c>
      <c r="E4640" s="15">
        <v>1.7541</v>
      </c>
      <c r="F4640" s="15">
        <v>2.057</v>
      </c>
      <c r="G4640" s="11">
        <v>0.0003</v>
      </c>
      <c r="H4640" s="9">
        <f>MAX($F$3239:F4640)</f>
        <v>2.057</v>
      </c>
      <c r="I4640" s="11">
        <f t="shared" si="106"/>
        <v>0</v>
      </c>
      <c r="J4640" s="9"/>
      <c r="K4640" s="11"/>
      <c r="L4640" s="9">
        <f>MAX($F$4357:F4640)</f>
        <v>2.057</v>
      </c>
      <c r="M4640" s="11">
        <f t="shared" si="107"/>
        <v>0</v>
      </c>
      <c r="N4640" s="9" t="s">
        <v>809</v>
      </c>
    </row>
    <row r="4641" ht="25" customHeight="1" spans="1:14">
      <c r="A4641" s="9" t="s">
        <v>327</v>
      </c>
      <c r="B4641" s="9" t="s">
        <v>326</v>
      </c>
      <c r="C4641" s="10">
        <v>45607</v>
      </c>
      <c r="D4641" s="15">
        <v>1.116</v>
      </c>
      <c r="E4641" s="15">
        <v>1.7539</v>
      </c>
      <c r="F4641" s="15">
        <v>2.0566</v>
      </c>
      <c r="G4641" s="11">
        <v>-0.0002</v>
      </c>
      <c r="H4641" s="9">
        <f>MAX($F$3239:F4641)</f>
        <v>2.057</v>
      </c>
      <c r="I4641" s="11">
        <f t="shared" si="106"/>
        <v>0.000194457948468618</v>
      </c>
      <c r="J4641" s="9"/>
      <c r="K4641" s="11"/>
      <c r="L4641" s="9">
        <f>MAX($F$4357:F4641)</f>
        <v>2.057</v>
      </c>
      <c r="M4641" s="11">
        <f t="shared" si="107"/>
        <v>0.000194457948468618</v>
      </c>
      <c r="N4641" s="9" t="s">
        <v>809</v>
      </c>
    </row>
    <row r="4642" ht="25" customHeight="1" spans="1:14">
      <c r="A4642" s="9" t="s">
        <v>327</v>
      </c>
      <c r="B4642" s="9" t="s">
        <v>326</v>
      </c>
      <c r="C4642" s="10">
        <v>45608</v>
      </c>
      <c r="D4642" s="15">
        <v>1.1167</v>
      </c>
      <c r="E4642" s="15">
        <v>1.7546</v>
      </c>
      <c r="F4642" s="15">
        <v>2.0579</v>
      </c>
      <c r="G4642" s="11">
        <v>0.0006</v>
      </c>
      <c r="H4642" s="9">
        <f>MAX($F$3239:F4642)</f>
        <v>2.0579</v>
      </c>
      <c r="I4642" s="11">
        <f t="shared" si="106"/>
        <v>0</v>
      </c>
      <c r="J4642" s="9"/>
      <c r="K4642" s="11"/>
      <c r="L4642" s="9">
        <f>MAX($F$4357:F4642)</f>
        <v>2.0579</v>
      </c>
      <c r="M4642" s="11">
        <f t="shared" si="107"/>
        <v>0</v>
      </c>
      <c r="N4642" s="9" t="s">
        <v>809</v>
      </c>
    </row>
    <row r="4643" ht="25" customHeight="1" spans="1:14">
      <c r="A4643" s="9" t="s">
        <v>327</v>
      </c>
      <c r="B4643" s="9" t="s">
        <v>326</v>
      </c>
      <c r="C4643" s="10">
        <v>45609</v>
      </c>
      <c r="D4643" s="15">
        <v>1.1168</v>
      </c>
      <c r="E4643" s="15">
        <v>1.7547</v>
      </c>
      <c r="F4643" s="15">
        <v>2.0581</v>
      </c>
      <c r="G4643" s="11">
        <v>0.0001</v>
      </c>
      <c r="H4643" s="9">
        <f>MAX($F$3239:F4643)</f>
        <v>2.0581</v>
      </c>
      <c r="I4643" s="11">
        <f t="shared" si="106"/>
        <v>0</v>
      </c>
      <c r="J4643" s="9"/>
      <c r="K4643" s="11"/>
      <c r="L4643" s="9">
        <f>MAX($F$4357:F4643)</f>
        <v>2.0581</v>
      </c>
      <c r="M4643" s="11">
        <f t="shared" si="107"/>
        <v>0</v>
      </c>
      <c r="N4643" s="9" t="s">
        <v>809</v>
      </c>
    </row>
    <row r="4644" ht="25" customHeight="1" spans="1:14">
      <c r="A4644" s="9" t="s">
        <v>327</v>
      </c>
      <c r="B4644" s="9" t="s">
        <v>326</v>
      </c>
      <c r="C4644" s="10">
        <v>45610</v>
      </c>
      <c r="D4644" s="15">
        <v>1.116</v>
      </c>
      <c r="E4644" s="15">
        <v>1.7539</v>
      </c>
      <c r="F4644" s="15">
        <v>2.0566</v>
      </c>
      <c r="G4644" s="11">
        <v>-0.0007</v>
      </c>
      <c r="H4644" s="9">
        <f>MAX($F$3239:F4644)</f>
        <v>2.0581</v>
      </c>
      <c r="I4644" s="11">
        <f t="shared" si="106"/>
        <v>0.000728827559399514</v>
      </c>
      <c r="J4644" s="9"/>
      <c r="K4644" s="11"/>
      <c r="L4644" s="9">
        <f>MAX($F$4357:F4644)</f>
        <v>2.0581</v>
      </c>
      <c r="M4644" s="11">
        <f t="shared" si="107"/>
        <v>0.000728827559399514</v>
      </c>
      <c r="N4644" s="9" t="s">
        <v>809</v>
      </c>
    </row>
    <row r="4645" ht="25" customHeight="1" spans="1:14">
      <c r="A4645" s="9" t="s">
        <v>327</v>
      </c>
      <c r="B4645" s="9" t="s">
        <v>326</v>
      </c>
      <c r="C4645" s="10">
        <v>45611</v>
      </c>
      <c r="D4645" s="15">
        <v>1.1155</v>
      </c>
      <c r="E4645" s="15">
        <v>1.7534</v>
      </c>
      <c r="F4645" s="15">
        <v>2.0557</v>
      </c>
      <c r="G4645" s="11">
        <v>-0.0004</v>
      </c>
      <c r="H4645" s="9">
        <f>MAX($F$3239:F4645)</f>
        <v>2.0581</v>
      </c>
      <c r="I4645" s="11">
        <f t="shared" si="106"/>
        <v>0.00116612409503924</v>
      </c>
      <c r="J4645" s="9"/>
      <c r="K4645" s="11"/>
      <c r="L4645" s="9">
        <f>MAX($F$4357:F4645)</f>
        <v>2.0581</v>
      </c>
      <c r="M4645" s="11">
        <f t="shared" si="107"/>
        <v>0.00116612409503924</v>
      </c>
      <c r="N4645" s="9" t="s">
        <v>809</v>
      </c>
    </row>
    <row r="4646" ht="25" customHeight="1" spans="1:14">
      <c r="A4646" s="9" t="s">
        <v>327</v>
      </c>
      <c r="B4646" s="9" t="s">
        <v>326</v>
      </c>
      <c r="C4646" s="10">
        <v>45614</v>
      </c>
      <c r="D4646" s="15">
        <v>1.1167</v>
      </c>
      <c r="E4646" s="15">
        <v>1.7546</v>
      </c>
      <c r="F4646" s="15">
        <v>2.0579</v>
      </c>
      <c r="G4646" s="11">
        <v>0.0011</v>
      </c>
      <c r="H4646" s="9">
        <f>MAX($F$3239:F4646)</f>
        <v>2.0581</v>
      </c>
      <c r="I4646" s="11">
        <f t="shared" si="106"/>
        <v>9.71770079198908e-5</v>
      </c>
      <c r="J4646" s="9"/>
      <c r="K4646" s="11"/>
      <c r="L4646" s="9">
        <f>MAX($F$4357:F4646)</f>
        <v>2.0581</v>
      </c>
      <c r="M4646" s="11">
        <f t="shared" si="107"/>
        <v>9.71770079198908e-5</v>
      </c>
      <c r="N4646" s="9" t="s">
        <v>809</v>
      </c>
    </row>
    <row r="4647" ht="25" customHeight="1" spans="1:14">
      <c r="A4647" s="9" t="s">
        <v>327</v>
      </c>
      <c r="B4647" s="9" t="s">
        <v>326</v>
      </c>
      <c r="C4647" s="10">
        <v>45615</v>
      </c>
      <c r="D4647" s="15">
        <v>1.1179</v>
      </c>
      <c r="E4647" s="15">
        <v>1.7558</v>
      </c>
      <c r="F4647" s="15">
        <v>2.0601</v>
      </c>
      <c r="G4647" s="11">
        <v>0.0011</v>
      </c>
      <c r="H4647" s="9">
        <f>MAX($F$3239:F4647)</f>
        <v>2.0601</v>
      </c>
      <c r="I4647" s="11">
        <f t="shared" si="106"/>
        <v>0</v>
      </c>
      <c r="J4647" s="9"/>
      <c r="K4647" s="11"/>
      <c r="L4647" s="9">
        <f>MAX($F$4357:F4647)</f>
        <v>2.0601</v>
      </c>
      <c r="M4647" s="11">
        <f t="shared" si="107"/>
        <v>0</v>
      </c>
      <c r="N4647" s="9" t="s">
        <v>809</v>
      </c>
    </row>
    <row r="4648" ht="25" customHeight="1" spans="1:14">
      <c r="A4648" s="9" t="s">
        <v>327</v>
      </c>
      <c r="B4648" s="9" t="s">
        <v>326</v>
      </c>
      <c r="C4648" s="10">
        <v>45616</v>
      </c>
      <c r="D4648" s="15">
        <v>1.1183</v>
      </c>
      <c r="E4648" s="15">
        <v>1.7562</v>
      </c>
      <c r="F4648" s="15">
        <v>2.0608</v>
      </c>
      <c r="G4648" s="11">
        <v>0.0004</v>
      </c>
      <c r="H4648" s="9">
        <f>MAX($F$3239:F4648)</f>
        <v>2.0608</v>
      </c>
      <c r="I4648" s="11">
        <f t="shared" si="106"/>
        <v>0</v>
      </c>
      <c r="J4648" s="9"/>
      <c r="K4648" s="11"/>
      <c r="L4648" s="9">
        <f>MAX($F$4357:F4648)</f>
        <v>2.0608</v>
      </c>
      <c r="M4648" s="11">
        <f t="shared" si="107"/>
        <v>0</v>
      </c>
      <c r="N4648" s="9" t="s">
        <v>809</v>
      </c>
    </row>
    <row r="4649" ht="25" customHeight="1" spans="1:14">
      <c r="A4649" s="9" t="s">
        <v>327</v>
      </c>
      <c r="B4649" s="9" t="s">
        <v>326</v>
      </c>
      <c r="C4649" s="10">
        <v>45617</v>
      </c>
      <c r="D4649" s="15">
        <v>1.1176</v>
      </c>
      <c r="E4649" s="15">
        <v>1.7555</v>
      </c>
      <c r="F4649" s="15">
        <v>2.0595</v>
      </c>
      <c r="G4649" s="11">
        <v>-0.0006</v>
      </c>
      <c r="H4649" s="9">
        <f>MAX($F$3239:F4649)</f>
        <v>2.0608</v>
      </c>
      <c r="I4649" s="11">
        <f t="shared" si="106"/>
        <v>0.000630822981366519</v>
      </c>
      <c r="J4649" s="9"/>
      <c r="K4649" s="11"/>
      <c r="L4649" s="9">
        <f>MAX($F$4357:F4649)</f>
        <v>2.0608</v>
      </c>
      <c r="M4649" s="11">
        <f t="shared" si="107"/>
        <v>0.000630822981366519</v>
      </c>
      <c r="N4649" s="9" t="s">
        <v>809</v>
      </c>
    </row>
    <row r="4650" ht="25" customHeight="1" spans="1:14">
      <c r="A4650" s="9" t="s">
        <v>327</v>
      </c>
      <c r="B4650" s="9" t="s">
        <v>326</v>
      </c>
      <c r="C4650" s="10">
        <v>45618</v>
      </c>
      <c r="D4650" s="15">
        <v>1.1186</v>
      </c>
      <c r="E4650" s="15">
        <v>1.7565</v>
      </c>
      <c r="F4650" s="15">
        <v>2.0614</v>
      </c>
      <c r="G4650" s="11">
        <v>0.0009</v>
      </c>
      <c r="H4650" s="9">
        <f>MAX($F$3239:F4650)</f>
        <v>2.0614</v>
      </c>
      <c r="I4650" s="11">
        <f t="shared" si="106"/>
        <v>0</v>
      </c>
      <c r="J4650" s="9"/>
      <c r="K4650" s="11"/>
      <c r="L4650" s="9">
        <f>MAX($F$4357:F4650)</f>
        <v>2.0614</v>
      </c>
      <c r="M4650" s="11">
        <f t="shared" si="107"/>
        <v>0</v>
      </c>
      <c r="N4650" s="9" t="s">
        <v>809</v>
      </c>
    </row>
    <row r="4651" ht="25" customHeight="1" spans="1:14">
      <c r="A4651" s="9" t="s">
        <v>327</v>
      </c>
      <c r="B4651" s="9" t="s">
        <v>326</v>
      </c>
      <c r="C4651" s="10">
        <v>45621</v>
      </c>
      <c r="D4651" s="15">
        <v>1.119</v>
      </c>
      <c r="E4651" s="15">
        <v>1.7569</v>
      </c>
      <c r="F4651" s="15">
        <v>2.0621</v>
      </c>
      <c r="G4651" s="11">
        <v>0.0004</v>
      </c>
      <c r="H4651" s="9">
        <f>MAX($F$3239:F4651)</f>
        <v>2.0621</v>
      </c>
      <c r="I4651" s="11">
        <f t="shared" si="106"/>
        <v>0</v>
      </c>
      <c r="J4651" s="9"/>
      <c r="K4651" s="11"/>
      <c r="L4651" s="9">
        <f>MAX($F$4357:F4651)</f>
        <v>2.0621</v>
      </c>
      <c r="M4651" s="11">
        <f t="shared" si="107"/>
        <v>0</v>
      </c>
      <c r="N4651" s="9" t="s">
        <v>809</v>
      </c>
    </row>
    <row r="4652" ht="25" customHeight="1" spans="1:14">
      <c r="A4652" s="9" t="s">
        <v>327</v>
      </c>
      <c r="B4652" s="9" t="s">
        <v>326</v>
      </c>
      <c r="C4652" s="10">
        <v>45622</v>
      </c>
      <c r="D4652" s="15">
        <v>1.1202</v>
      </c>
      <c r="E4652" s="15">
        <v>1.7581</v>
      </c>
      <c r="F4652" s="15">
        <v>2.0643</v>
      </c>
      <c r="G4652" s="11">
        <v>0.0011</v>
      </c>
      <c r="H4652" s="9">
        <f>MAX($F$3239:F4652)</f>
        <v>2.0643</v>
      </c>
      <c r="I4652" s="11">
        <f t="shared" si="106"/>
        <v>0</v>
      </c>
      <c r="J4652" s="9"/>
      <c r="K4652" s="11"/>
      <c r="L4652" s="9">
        <f>MAX($F$4357:F4652)</f>
        <v>2.0643</v>
      </c>
      <c r="M4652" s="11">
        <f t="shared" si="107"/>
        <v>0</v>
      </c>
      <c r="N4652" s="9" t="s">
        <v>809</v>
      </c>
    </row>
    <row r="4653" ht="25" customHeight="1" spans="1:14">
      <c r="A4653" s="9" t="s">
        <v>327</v>
      </c>
      <c r="B4653" s="9" t="s">
        <v>326</v>
      </c>
      <c r="C4653" s="10">
        <v>45623</v>
      </c>
      <c r="D4653" s="15">
        <v>1.1335</v>
      </c>
      <c r="E4653" s="15">
        <v>1.7714</v>
      </c>
      <c r="F4653" s="15">
        <v>2.0888</v>
      </c>
      <c r="G4653" s="11">
        <v>0.0119</v>
      </c>
      <c r="H4653" s="9">
        <f>MAX($F$3239:F4653)</f>
        <v>2.0888</v>
      </c>
      <c r="I4653" s="11">
        <f t="shared" si="106"/>
        <v>0</v>
      </c>
      <c r="J4653" s="9"/>
      <c r="K4653" s="11"/>
      <c r="L4653" s="9">
        <f>MAX($F$4357:F4653)</f>
        <v>2.0888</v>
      </c>
      <c r="M4653" s="11">
        <f t="shared" si="107"/>
        <v>0</v>
      </c>
      <c r="N4653" s="9" t="s">
        <v>809</v>
      </c>
    </row>
    <row r="4654" ht="25" customHeight="1" spans="1:14">
      <c r="A4654" s="9" t="s">
        <v>327</v>
      </c>
      <c r="B4654" s="9" t="s">
        <v>326</v>
      </c>
      <c r="C4654" s="10">
        <v>45624</v>
      </c>
      <c r="D4654" s="15">
        <v>1.133</v>
      </c>
      <c r="E4654" s="15">
        <v>1.7709</v>
      </c>
      <c r="F4654" s="15">
        <v>2.0879</v>
      </c>
      <c r="G4654" s="11">
        <v>-0.0004</v>
      </c>
      <c r="H4654" s="9">
        <f>MAX($F$3239:F4654)</f>
        <v>2.0888</v>
      </c>
      <c r="I4654" s="11">
        <f t="shared" si="106"/>
        <v>0.000430869398697853</v>
      </c>
      <c r="J4654" s="9"/>
      <c r="K4654" s="11"/>
      <c r="L4654" s="9">
        <f>MAX($F$4357:F4654)</f>
        <v>2.0888</v>
      </c>
      <c r="M4654" s="11">
        <f t="shared" si="107"/>
        <v>0.000430869398697853</v>
      </c>
      <c r="N4654" s="9" t="s">
        <v>809</v>
      </c>
    </row>
    <row r="4655" ht="25" customHeight="1" spans="1:14">
      <c r="A4655" s="9" t="s">
        <v>327</v>
      </c>
      <c r="B4655" s="9" t="s">
        <v>326</v>
      </c>
      <c r="C4655" s="10">
        <v>45625</v>
      </c>
      <c r="D4655" s="15">
        <v>1.1331</v>
      </c>
      <c r="E4655" s="15">
        <v>1.771</v>
      </c>
      <c r="F4655" s="15">
        <v>2.0881</v>
      </c>
      <c r="G4655" s="11">
        <v>0.0001</v>
      </c>
      <c r="H4655" s="9">
        <f>MAX($F$3239:F4655)</f>
        <v>2.0888</v>
      </c>
      <c r="I4655" s="11">
        <f t="shared" si="106"/>
        <v>0.000335120643431663</v>
      </c>
      <c r="J4655" s="9"/>
      <c r="K4655" s="11"/>
      <c r="L4655" s="9">
        <f>MAX($F$4357:F4655)</f>
        <v>2.0888</v>
      </c>
      <c r="M4655" s="11">
        <f t="shared" si="107"/>
        <v>0.000335120643431663</v>
      </c>
      <c r="N4655" s="9" t="s">
        <v>809</v>
      </c>
    </row>
    <row r="4656" ht="25" customHeight="1" spans="1:14">
      <c r="A4656" s="9" t="s">
        <v>327</v>
      </c>
      <c r="B4656" s="9" t="s">
        <v>326</v>
      </c>
      <c r="C4656" s="10">
        <v>45628</v>
      </c>
      <c r="D4656" s="15">
        <v>1.1332</v>
      </c>
      <c r="E4656" s="15">
        <v>1.7711</v>
      </c>
      <c r="F4656" s="15">
        <v>2.0883</v>
      </c>
      <c r="G4656" s="11">
        <v>0.0001</v>
      </c>
      <c r="H4656" s="9">
        <f>MAX($F$3239:F4656)</f>
        <v>2.0888</v>
      </c>
      <c r="I4656" s="11">
        <f t="shared" si="106"/>
        <v>0.000239371888165585</v>
      </c>
      <c r="J4656" s="9"/>
      <c r="K4656" s="11"/>
      <c r="L4656" s="9">
        <f>MAX($F$4357:F4656)</f>
        <v>2.0888</v>
      </c>
      <c r="M4656" s="11">
        <f t="shared" si="107"/>
        <v>0.000239371888165585</v>
      </c>
      <c r="N4656" s="9" t="s">
        <v>809</v>
      </c>
    </row>
    <row r="4657" ht="25" customHeight="1" spans="1:14">
      <c r="A4657" s="9" t="s">
        <v>327</v>
      </c>
      <c r="B4657" s="9" t="s">
        <v>326</v>
      </c>
      <c r="C4657" s="10">
        <v>45629</v>
      </c>
      <c r="D4657" s="15">
        <v>1.1318</v>
      </c>
      <c r="E4657" s="15">
        <v>1.7697</v>
      </c>
      <c r="F4657" s="15">
        <v>2.0857</v>
      </c>
      <c r="G4657" s="11">
        <v>-0.0012</v>
      </c>
      <c r="H4657" s="9">
        <f>MAX($F$3239:F4657)</f>
        <v>2.0888</v>
      </c>
      <c r="I4657" s="11">
        <f t="shared" si="106"/>
        <v>0.00148410570662572</v>
      </c>
      <c r="J4657" s="9"/>
      <c r="K4657" s="11"/>
      <c r="L4657" s="9">
        <f>MAX($F$4357:F4657)</f>
        <v>2.0888</v>
      </c>
      <c r="M4657" s="11">
        <f t="shared" si="107"/>
        <v>0.00148410570662572</v>
      </c>
      <c r="N4657" s="9" t="s">
        <v>809</v>
      </c>
    </row>
    <row r="4658" ht="25" customHeight="1" spans="1:14">
      <c r="A4658" s="9" t="s">
        <v>327</v>
      </c>
      <c r="B4658" s="9" t="s">
        <v>326</v>
      </c>
      <c r="C4658" s="10">
        <v>45630</v>
      </c>
      <c r="D4658" s="15">
        <v>1.1316</v>
      </c>
      <c r="E4658" s="15">
        <v>1.7695</v>
      </c>
      <c r="F4658" s="15">
        <v>2.0853</v>
      </c>
      <c r="G4658" s="11">
        <v>-0.0002</v>
      </c>
      <c r="H4658" s="9">
        <f>MAX($F$3239:F4658)</f>
        <v>2.0888</v>
      </c>
      <c r="I4658" s="11">
        <f t="shared" si="106"/>
        <v>0.00167560321715809</v>
      </c>
      <c r="J4658" s="9"/>
      <c r="K4658" s="11"/>
      <c r="L4658" s="9">
        <f>MAX($F$4357:F4658)</f>
        <v>2.0888</v>
      </c>
      <c r="M4658" s="11">
        <f t="shared" si="107"/>
        <v>0.00167560321715809</v>
      </c>
      <c r="N4658" s="9" t="s">
        <v>809</v>
      </c>
    </row>
    <row r="4659" ht="25" customHeight="1" spans="1:14">
      <c r="A4659" s="9" t="s">
        <v>327</v>
      </c>
      <c r="B4659" s="9" t="s">
        <v>326</v>
      </c>
      <c r="C4659" s="10">
        <v>45631</v>
      </c>
      <c r="D4659" s="15">
        <v>1.1322</v>
      </c>
      <c r="E4659" s="15">
        <v>1.7701</v>
      </c>
      <c r="F4659" s="15">
        <v>2.0865</v>
      </c>
      <c r="G4659" s="11">
        <v>0.0005</v>
      </c>
      <c r="H4659" s="9">
        <f>MAX($F$3239:F4659)</f>
        <v>2.0888</v>
      </c>
      <c r="I4659" s="11">
        <f t="shared" si="106"/>
        <v>0.00110111068556107</v>
      </c>
      <c r="J4659" s="9"/>
      <c r="K4659" s="11"/>
      <c r="L4659" s="9">
        <f>MAX($F$4357:F4659)</f>
        <v>2.0888</v>
      </c>
      <c r="M4659" s="11">
        <f t="shared" si="107"/>
        <v>0.00110111068556107</v>
      </c>
      <c r="N4659" s="9" t="s">
        <v>809</v>
      </c>
    </row>
    <row r="4660" ht="25" customHeight="1" spans="1:14">
      <c r="A4660" s="9" t="s">
        <v>327</v>
      </c>
      <c r="B4660" s="9" t="s">
        <v>326</v>
      </c>
      <c r="C4660" s="10">
        <v>45632</v>
      </c>
      <c r="D4660" s="15">
        <v>1.1317</v>
      </c>
      <c r="E4660" s="15">
        <v>1.7696</v>
      </c>
      <c r="F4660" s="15">
        <v>2.0855</v>
      </c>
      <c r="G4660" s="11">
        <v>-0.0004</v>
      </c>
      <c r="H4660" s="9">
        <f>MAX($F$3239:F4660)</f>
        <v>2.0888</v>
      </c>
      <c r="I4660" s="11">
        <f t="shared" si="106"/>
        <v>0.00157985446189191</v>
      </c>
      <c r="J4660" s="9"/>
      <c r="K4660" s="11"/>
      <c r="L4660" s="9">
        <f>MAX($F$4357:F4660)</f>
        <v>2.0888</v>
      </c>
      <c r="M4660" s="11">
        <f t="shared" si="107"/>
        <v>0.00157985446189191</v>
      </c>
      <c r="N4660" s="9" t="s">
        <v>809</v>
      </c>
    </row>
    <row r="4661" ht="25" customHeight="1" spans="1:14">
      <c r="A4661" s="9" t="s">
        <v>327</v>
      </c>
      <c r="B4661" s="9" t="s">
        <v>326</v>
      </c>
      <c r="C4661" s="10">
        <v>45635</v>
      </c>
      <c r="D4661" s="15">
        <v>1.1325</v>
      </c>
      <c r="E4661" s="15">
        <v>1.7704</v>
      </c>
      <c r="F4661" s="15">
        <v>2.087</v>
      </c>
      <c r="G4661" s="11">
        <v>0.0007</v>
      </c>
      <c r="H4661" s="9">
        <f>MAX($F$3239:F4661)</f>
        <v>2.0888</v>
      </c>
      <c r="I4661" s="11">
        <f t="shared" si="106"/>
        <v>0.000861738797395484</v>
      </c>
      <c r="J4661" s="9"/>
      <c r="K4661" s="11"/>
      <c r="L4661" s="9">
        <f>MAX($F$4357:F4661)</f>
        <v>2.0888</v>
      </c>
      <c r="M4661" s="11">
        <f t="shared" si="107"/>
        <v>0.000861738797395484</v>
      </c>
      <c r="N4661" s="9" t="s">
        <v>809</v>
      </c>
    </row>
    <row r="4662" ht="25" customHeight="1" spans="1:14">
      <c r="A4662" s="9" t="s">
        <v>327</v>
      </c>
      <c r="B4662" s="9" t="s">
        <v>326</v>
      </c>
      <c r="C4662" s="10">
        <v>45636</v>
      </c>
      <c r="D4662" s="15">
        <v>1.133</v>
      </c>
      <c r="E4662" s="15">
        <v>1.7709</v>
      </c>
      <c r="F4662" s="15">
        <v>2.0879</v>
      </c>
      <c r="G4662" s="11">
        <v>0.0004</v>
      </c>
      <c r="H4662" s="9">
        <f>MAX($F$3239:F4662)</f>
        <v>2.0888</v>
      </c>
      <c r="I4662" s="11">
        <f t="shared" si="106"/>
        <v>0.000430869398697853</v>
      </c>
      <c r="J4662" s="9"/>
      <c r="K4662" s="11"/>
      <c r="L4662" s="9">
        <f>MAX($F$4357:F4662)</f>
        <v>2.0888</v>
      </c>
      <c r="M4662" s="11">
        <f t="shared" si="107"/>
        <v>0.000430869398697853</v>
      </c>
      <c r="N4662" s="9" t="s">
        <v>809</v>
      </c>
    </row>
    <row r="4663" ht="25" customHeight="1" spans="1:14">
      <c r="A4663" s="9" t="s">
        <v>327</v>
      </c>
      <c r="B4663" s="9" t="s">
        <v>326</v>
      </c>
      <c r="C4663" s="10">
        <v>45637</v>
      </c>
      <c r="D4663" s="15">
        <v>1.1332</v>
      </c>
      <c r="E4663" s="15">
        <v>1.7711</v>
      </c>
      <c r="F4663" s="15">
        <v>2.0883</v>
      </c>
      <c r="G4663" s="11">
        <v>0.0002</v>
      </c>
      <c r="H4663" s="9">
        <f>MAX($F$3239:F4663)</f>
        <v>2.0888</v>
      </c>
      <c r="I4663" s="11">
        <f t="shared" si="106"/>
        <v>0.000239371888165585</v>
      </c>
      <c r="J4663" s="9"/>
      <c r="K4663" s="11"/>
      <c r="L4663" s="9">
        <f>MAX($F$4357:F4663)</f>
        <v>2.0888</v>
      </c>
      <c r="M4663" s="11">
        <f t="shared" si="107"/>
        <v>0.000239371888165585</v>
      </c>
      <c r="N4663" s="9" t="s">
        <v>809</v>
      </c>
    </row>
    <row r="4664" ht="25" customHeight="1" spans="1:14">
      <c r="A4664" s="9" t="s">
        <v>327</v>
      </c>
      <c r="B4664" s="9" t="s">
        <v>326</v>
      </c>
      <c r="C4664" s="10">
        <v>45638</v>
      </c>
      <c r="D4664" s="15">
        <v>1.1339</v>
      </c>
      <c r="E4664" s="15">
        <v>1.7718</v>
      </c>
      <c r="F4664" s="15">
        <v>2.0896</v>
      </c>
      <c r="G4664" s="11">
        <v>0.0006</v>
      </c>
      <c r="H4664" s="9">
        <f>MAX($F$3239:F4664)</f>
        <v>2.0896</v>
      </c>
      <c r="I4664" s="11">
        <f t="shared" si="106"/>
        <v>0</v>
      </c>
      <c r="J4664" s="9"/>
      <c r="K4664" s="11"/>
      <c r="L4664" s="9">
        <f>MAX($F$4357:F4664)</f>
        <v>2.0896</v>
      </c>
      <c r="M4664" s="11">
        <f t="shared" si="107"/>
        <v>0</v>
      </c>
      <c r="N4664" s="9" t="s">
        <v>809</v>
      </c>
    </row>
    <row r="4665" ht="25" customHeight="1" spans="1:14">
      <c r="A4665" s="9" t="s">
        <v>327</v>
      </c>
      <c r="B4665" s="9" t="s">
        <v>326</v>
      </c>
      <c r="C4665" s="10">
        <v>45639</v>
      </c>
      <c r="D4665" s="15">
        <v>1.1354</v>
      </c>
      <c r="E4665" s="15">
        <v>1.7733</v>
      </c>
      <c r="F4665" s="15">
        <v>2.0924</v>
      </c>
      <c r="G4665" s="11">
        <v>0.0013</v>
      </c>
      <c r="H4665" s="9">
        <f>MAX($F$3239:F4665)</f>
        <v>2.0924</v>
      </c>
      <c r="I4665" s="11">
        <f t="shared" si="106"/>
        <v>0</v>
      </c>
      <c r="J4665" s="9"/>
      <c r="K4665" s="11"/>
      <c r="L4665" s="9">
        <f>MAX($F$4357:F4665)</f>
        <v>2.0924</v>
      </c>
      <c r="M4665" s="11">
        <f t="shared" si="107"/>
        <v>0</v>
      </c>
      <c r="N4665" s="9" t="s">
        <v>809</v>
      </c>
    </row>
    <row r="4666" ht="25" customHeight="1" spans="1:14">
      <c r="A4666" s="9" t="s">
        <v>327</v>
      </c>
      <c r="B4666" s="9" t="s">
        <v>326</v>
      </c>
      <c r="C4666" s="10">
        <v>45642</v>
      </c>
      <c r="D4666" s="15">
        <v>1.1362</v>
      </c>
      <c r="E4666" s="15">
        <v>1.7741</v>
      </c>
      <c r="F4666" s="15">
        <v>2.0938</v>
      </c>
      <c r="G4666" s="11">
        <v>0.0007</v>
      </c>
      <c r="H4666" s="9">
        <f>MAX($F$3239:F4666)</f>
        <v>2.0938</v>
      </c>
      <c r="I4666" s="11">
        <f t="shared" si="106"/>
        <v>0</v>
      </c>
      <c r="J4666" s="9"/>
      <c r="K4666" s="11"/>
      <c r="L4666" s="9">
        <f>MAX($F$4357:F4666)</f>
        <v>2.0938</v>
      </c>
      <c r="M4666" s="11">
        <f t="shared" si="107"/>
        <v>0</v>
      </c>
      <c r="N4666" s="9" t="s">
        <v>809</v>
      </c>
    </row>
    <row r="4667" ht="25" customHeight="1" spans="1:14">
      <c r="A4667" s="9" t="s">
        <v>327</v>
      </c>
      <c r="B4667" s="9" t="s">
        <v>326</v>
      </c>
      <c r="C4667" s="10">
        <v>45643</v>
      </c>
      <c r="D4667" s="15">
        <v>1.1375</v>
      </c>
      <c r="E4667" s="15">
        <v>1.7754</v>
      </c>
      <c r="F4667" s="15">
        <v>2.0962</v>
      </c>
      <c r="G4667" s="11">
        <v>0.0011</v>
      </c>
      <c r="H4667" s="9">
        <f>MAX($F$3239:F4667)</f>
        <v>2.0962</v>
      </c>
      <c r="I4667" s="11">
        <f t="shared" si="106"/>
        <v>0</v>
      </c>
      <c r="J4667" s="9"/>
      <c r="K4667" s="11"/>
      <c r="L4667" s="9">
        <f>MAX($F$4357:F4667)</f>
        <v>2.0962</v>
      </c>
      <c r="M4667" s="11">
        <f t="shared" si="107"/>
        <v>0</v>
      </c>
      <c r="N4667" s="9" t="s">
        <v>809</v>
      </c>
    </row>
    <row r="4668" ht="25" customHeight="1" spans="1:14">
      <c r="A4668" s="9" t="s">
        <v>327</v>
      </c>
      <c r="B4668" s="9" t="s">
        <v>326</v>
      </c>
      <c r="C4668" s="10">
        <v>45644</v>
      </c>
      <c r="D4668" s="15">
        <v>1.1381</v>
      </c>
      <c r="E4668" s="15">
        <v>1.776</v>
      </c>
      <c r="F4668" s="15">
        <v>2.0973</v>
      </c>
      <c r="G4668" s="11">
        <v>0.0005</v>
      </c>
      <c r="H4668" s="9">
        <f>MAX($F$3239:F4668)</f>
        <v>2.0973</v>
      </c>
      <c r="I4668" s="11">
        <f t="shared" si="106"/>
        <v>0</v>
      </c>
      <c r="J4668" s="9"/>
      <c r="K4668" s="11"/>
      <c r="L4668" s="9">
        <f>MAX($F$4357:F4668)</f>
        <v>2.0973</v>
      </c>
      <c r="M4668" s="11">
        <f t="shared" si="107"/>
        <v>0</v>
      </c>
      <c r="N4668" s="9" t="s">
        <v>809</v>
      </c>
    </row>
    <row r="4669" ht="25" customHeight="1" spans="1:14">
      <c r="A4669" s="9" t="s">
        <v>327</v>
      </c>
      <c r="B4669" s="9" t="s">
        <v>326</v>
      </c>
      <c r="C4669" s="10">
        <v>45645</v>
      </c>
      <c r="D4669" s="15">
        <v>1.1382</v>
      </c>
      <c r="E4669" s="15">
        <v>1.7761</v>
      </c>
      <c r="F4669" s="15">
        <v>2.0975</v>
      </c>
      <c r="G4669" s="11">
        <v>0.0001</v>
      </c>
      <c r="H4669" s="9">
        <f>MAX($F$3239:F4669)</f>
        <v>2.0975</v>
      </c>
      <c r="I4669" s="11">
        <f t="shared" si="106"/>
        <v>0</v>
      </c>
      <c r="J4669" s="9"/>
      <c r="K4669" s="11"/>
      <c r="L4669" s="9">
        <f>MAX($F$4357:F4669)</f>
        <v>2.0975</v>
      </c>
      <c r="M4669" s="11">
        <f t="shared" si="107"/>
        <v>0</v>
      </c>
      <c r="N4669" s="9" t="s">
        <v>809</v>
      </c>
    </row>
    <row r="4670" ht="25" customHeight="1" spans="1:14">
      <c r="A4670" s="9" t="s">
        <v>327</v>
      </c>
      <c r="B4670" s="9" t="s">
        <v>326</v>
      </c>
      <c r="C4670" s="10">
        <v>45646</v>
      </c>
      <c r="D4670" s="15">
        <v>1</v>
      </c>
      <c r="E4670" s="15">
        <v>1.7761</v>
      </c>
      <c r="F4670" s="15">
        <v>2.0975</v>
      </c>
      <c r="G4670" s="11">
        <v>0</v>
      </c>
      <c r="H4670" s="9">
        <f>MAX($F$3239:F4670)</f>
        <v>2.0975</v>
      </c>
      <c r="I4670" s="11">
        <f t="shared" si="106"/>
        <v>0</v>
      </c>
      <c r="J4670" s="9"/>
      <c r="K4670" s="11"/>
      <c r="L4670" s="9">
        <f>MAX($F$4357:F4670)</f>
        <v>2.0975</v>
      </c>
      <c r="M4670" s="11">
        <f t="shared" si="107"/>
        <v>0</v>
      </c>
      <c r="N4670" s="9" t="s">
        <v>809</v>
      </c>
    </row>
    <row r="4671" ht="25" customHeight="1" spans="1:14">
      <c r="A4671" s="9" t="s">
        <v>327</v>
      </c>
      <c r="B4671" s="9" t="s">
        <v>326</v>
      </c>
      <c r="C4671" s="10">
        <v>45649</v>
      </c>
      <c r="D4671" s="15">
        <v>1.0016</v>
      </c>
      <c r="E4671" s="15">
        <v>1.7777</v>
      </c>
      <c r="F4671" s="15">
        <v>2.1009</v>
      </c>
      <c r="G4671" s="11">
        <v>0.0016</v>
      </c>
      <c r="H4671" s="9">
        <f>MAX($F$3239:F4671)</f>
        <v>2.1009</v>
      </c>
      <c r="I4671" s="11">
        <f t="shared" si="106"/>
        <v>0</v>
      </c>
      <c r="J4671" s="9"/>
      <c r="K4671" s="11"/>
      <c r="L4671" s="9">
        <f>MAX($F$4357:F4671)</f>
        <v>2.1009</v>
      </c>
      <c r="M4671" s="11">
        <f t="shared" si="107"/>
        <v>0</v>
      </c>
      <c r="N4671" s="9" t="s">
        <v>809</v>
      </c>
    </row>
    <row r="4672" ht="25" customHeight="1" spans="1:14">
      <c r="A4672" s="9" t="s">
        <v>327</v>
      </c>
      <c r="B4672" s="9" t="s">
        <v>326</v>
      </c>
      <c r="C4672" s="10">
        <v>45650</v>
      </c>
      <c r="D4672" s="15">
        <v>1.0013</v>
      </c>
      <c r="E4672" s="15">
        <v>1.7774</v>
      </c>
      <c r="F4672" s="15">
        <v>2.1002</v>
      </c>
      <c r="G4672" s="11">
        <v>-0.0003</v>
      </c>
      <c r="H4672" s="9">
        <f>MAX($F$3239:F4672)</f>
        <v>2.1009</v>
      </c>
      <c r="I4672" s="11">
        <f t="shared" si="106"/>
        <v>0.000333190537388783</v>
      </c>
      <c r="J4672" s="9"/>
      <c r="K4672" s="11"/>
      <c r="L4672" s="9">
        <f>MAX($F$4357:F4672)</f>
        <v>2.1009</v>
      </c>
      <c r="M4672" s="11">
        <f t="shared" si="107"/>
        <v>0.000333190537388783</v>
      </c>
      <c r="N4672" s="9" t="s">
        <v>809</v>
      </c>
    </row>
    <row r="4673" ht="25" customHeight="1" spans="1:14">
      <c r="A4673" s="9" t="s">
        <v>327</v>
      </c>
      <c r="B4673" s="9" t="s">
        <v>326</v>
      </c>
      <c r="C4673" s="10">
        <v>45651</v>
      </c>
      <c r="D4673" s="15">
        <v>1.0014</v>
      </c>
      <c r="E4673" s="15">
        <v>1.7775</v>
      </c>
      <c r="F4673" s="15">
        <v>2.1004</v>
      </c>
      <c r="G4673" s="11">
        <v>0.0001</v>
      </c>
      <c r="H4673" s="9">
        <f>MAX($F$3239:F4673)</f>
        <v>2.1009</v>
      </c>
      <c r="I4673" s="11">
        <f t="shared" si="106"/>
        <v>0.000237993240992052</v>
      </c>
      <c r="J4673" s="9"/>
      <c r="K4673" s="11"/>
      <c r="L4673" s="9">
        <f>MAX($F$4357:F4673)</f>
        <v>2.1009</v>
      </c>
      <c r="M4673" s="11">
        <f t="shared" si="107"/>
        <v>0.000237993240992052</v>
      </c>
      <c r="N4673" s="9" t="s">
        <v>809</v>
      </c>
    </row>
    <row r="4674" ht="25" customHeight="1" spans="1:14">
      <c r="A4674" s="9" t="s">
        <v>327</v>
      </c>
      <c r="B4674" s="9" t="s">
        <v>326</v>
      </c>
      <c r="C4674" s="10">
        <v>45652</v>
      </c>
      <c r="D4674" s="15">
        <v>1.0014</v>
      </c>
      <c r="E4674" s="15">
        <v>1.7775</v>
      </c>
      <c r="F4674" s="15">
        <v>2.1004</v>
      </c>
      <c r="G4674" s="11">
        <v>0</v>
      </c>
      <c r="H4674" s="9">
        <f>MAX($F$3239:F4674)</f>
        <v>2.1009</v>
      </c>
      <c r="I4674" s="11">
        <f t="shared" ref="I4674:I4737" si="108">1-F4674/H4674</f>
        <v>0.000237993240992052</v>
      </c>
      <c r="J4674" s="9"/>
      <c r="K4674" s="11"/>
      <c r="L4674" s="9">
        <f>MAX($F$4357:F4674)</f>
        <v>2.1009</v>
      </c>
      <c r="M4674" s="11">
        <f t="shared" si="107"/>
        <v>0.000237993240992052</v>
      </c>
      <c r="N4674" s="9" t="s">
        <v>809</v>
      </c>
    </row>
    <row r="4675" ht="25" customHeight="1" spans="1:14">
      <c r="A4675" s="9" t="s">
        <v>327</v>
      </c>
      <c r="B4675" s="9" t="s">
        <v>326</v>
      </c>
      <c r="C4675" s="10">
        <v>45653</v>
      </c>
      <c r="D4675" s="15">
        <v>1.002</v>
      </c>
      <c r="E4675" s="15">
        <v>1.7781</v>
      </c>
      <c r="F4675" s="15">
        <v>2.1017</v>
      </c>
      <c r="G4675" s="11">
        <v>0.0006</v>
      </c>
      <c r="H4675" s="9">
        <f>MAX($F$3239:F4675)</f>
        <v>2.1017</v>
      </c>
      <c r="I4675" s="11">
        <f t="shared" si="108"/>
        <v>0</v>
      </c>
      <c r="J4675" s="9"/>
      <c r="K4675" s="11"/>
      <c r="L4675" s="9">
        <f>MAX($F$4357:F4675)</f>
        <v>2.1017</v>
      </c>
      <c r="M4675" s="11">
        <f t="shared" si="107"/>
        <v>0</v>
      </c>
      <c r="N4675" s="9" t="s">
        <v>809</v>
      </c>
    </row>
    <row r="4676" ht="25" customHeight="1" spans="1:14">
      <c r="A4676" s="9" t="s">
        <v>327</v>
      </c>
      <c r="B4676" s="9" t="s">
        <v>326</v>
      </c>
      <c r="C4676" s="10">
        <v>45656</v>
      </c>
      <c r="D4676" s="15">
        <v>1.0024</v>
      </c>
      <c r="E4676" s="15">
        <v>1.7785</v>
      </c>
      <c r="F4676" s="15">
        <v>2.1025</v>
      </c>
      <c r="G4676" s="11">
        <v>0.0004</v>
      </c>
      <c r="H4676" s="9">
        <f>MAX($F$3239:F4676)</f>
        <v>2.1025</v>
      </c>
      <c r="I4676" s="11">
        <f t="shared" si="108"/>
        <v>0</v>
      </c>
      <c r="J4676" s="9"/>
      <c r="K4676" s="11"/>
      <c r="L4676" s="9">
        <f>MAX($F$4357:F4676)</f>
        <v>2.1025</v>
      </c>
      <c r="M4676" s="11">
        <f t="shared" si="107"/>
        <v>0</v>
      </c>
      <c r="N4676" s="9" t="s">
        <v>809</v>
      </c>
    </row>
    <row r="4677" ht="25" customHeight="1" spans="1:14">
      <c r="A4677" s="9" t="s">
        <v>327</v>
      </c>
      <c r="B4677" s="9" t="s">
        <v>326</v>
      </c>
      <c r="C4677" s="10">
        <v>45657</v>
      </c>
      <c r="D4677" s="15">
        <v>1.003</v>
      </c>
      <c r="E4677" s="15">
        <v>1.7791</v>
      </c>
      <c r="F4677" s="15">
        <v>2.1038</v>
      </c>
      <c r="G4677" s="11">
        <v>0.0006</v>
      </c>
      <c r="H4677" s="9">
        <f>MAX($F$3239:F4677)</f>
        <v>2.1038</v>
      </c>
      <c r="I4677" s="11">
        <f t="shared" si="108"/>
        <v>0</v>
      </c>
      <c r="J4677" s="9"/>
      <c r="K4677" s="11"/>
      <c r="L4677" s="9">
        <f>MAX($F$4357:F4677)</f>
        <v>2.1038</v>
      </c>
      <c r="M4677" s="11">
        <f t="shared" ref="M4677:M4740" si="109">1-F4677/L4677</f>
        <v>0</v>
      </c>
      <c r="N4677" s="9" t="s">
        <v>809</v>
      </c>
    </row>
    <row r="4678" ht="25" customHeight="1" spans="1:14">
      <c r="A4678" s="9" t="s">
        <v>327</v>
      </c>
      <c r="B4678" s="9" t="s">
        <v>326</v>
      </c>
      <c r="C4678" s="10">
        <v>45659</v>
      </c>
      <c r="D4678" s="15">
        <v>1.0035</v>
      </c>
      <c r="E4678" s="15">
        <v>1.7796</v>
      </c>
      <c r="F4678" s="15">
        <v>2.1049</v>
      </c>
      <c r="G4678" s="11">
        <v>0.0005</v>
      </c>
      <c r="H4678" s="9">
        <f>MAX($F$3239:F4678)</f>
        <v>2.1049</v>
      </c>
      <c r="I4678" s="11">
        <f t="shared" si="108"/>
        <v>0</v>
      </c>
      <c r="J4678" s="9"/>
      <c r="K4678" s="11"/>
      <c r="L4678" s="9">
        <f>MAX($F$4357:F4678)</f>
        <v>2.1049</v>
      </c>
      <c r="M4678" s="11">
        <f t="shared" si="109"/>
        <v>0</v>
      </c>
      <c r="N4678" s="9" t="s">
        <v>809</v>
      </c>
    </row>
    <row r="4679" ht="25" customHeight="1" spans="1:14">
      <c r="A4679" s="9" t="s">
        <v>327</v>
      </c>
      <c r="B4679" s="9" t="s">
        <v>326</v>
      </c>
      <c r="C4679" s="10">
        <v>45660</v>
      </c>
      <c r="D4679" s="15">
        <v>1.0035</v>
      </c>
      <c r="E4679" s="15">
        <v>1.7796</v>
      </c>
      <c r="F4679" s="15">
        <v>2.1049</v>
      </c>
      <c r="G4679" s="11">
        <v>0</v>
      </c>
      <c r="H4679" s="9">
        <f>MAX($F$3239:F4679)</f>
        <v>2.1049</v>
      </c>
      <c r="I4679" s="11">
        <f t="shared" si="108"/>
        <v>0</v>
      </c>
      <c r="J4679" s="9"/>
      <c r="K4679" s="11"/>
      <c r="L4679" s="9">
        <f>MAX($F$4357:F4679)</f>
        <v>2.1049</v>
      </c>
      <c r="M4679" s="11">
        <f t="shared" si="109"/>
        <v>0</v>
      </c>
      <c r="N4679" s="9" t="s">
        <v>809</v>
      </c>
    </row>
    <row r="4680" ht="25" customHeight="1" spans="1:14">
      <c r="A4680" s="9" t="s">
        <v>327</v>
      </c>
      <c r="B4680" s="9" t="s">
        <v>326</v>
      </c>
      <c r="C4680" s="10">
        <v>45663</v>
      </c>
      <c r="D4680" s="15">
        <v>1.0036</v>
      </c>
      <c r="E4680" s="15">
        <v>1.7797</v>
      </c>
      <c r="F4680" s="15">
        <v>2.1051</v>
      </c>
      <c r="G4680" s="11">
        <v>0.0001</v>
      </c>
      <c r="H4680" s="9">
        <f>MAX($F$3239:F4680)</f>
        <v>2.1051</v>
      </c>
      <c r="I4680" s="11">
        <f t="shared" si="108"/>
        <v>0</v>
      </c>
      <c r="J4680" s="9"/>
      <c r="K4680" s="11"/>
      <c r="L4680" s="9">
        <f>MAX($F$4357:F4680)</f>
        <v>2.1051</v>
      </c>
      <c r="M4680" s="11">
        <f t="shared" si="109"/>
        <v>0</v>
      </c>
      <c r="N4680" s="9" t="s">
        <v>809</v>
      </c>
    </row>
    <row r="4681" ht="25" customHeight="1" spans="1:14">
      <c r="A4681" s="9" t="s">
        <v>327</v>
      </c>
      <c r="B4681" s="9" t="s">
        <v>326</v>
      </c>
      <c r="C4681" s="10">
        <v>45664</v>
      </c>
      <c r="D4681" s="15">
        <v>1.0037</v>
      </c>
      <c r="E4681" s="15">
        <v>1.7798</v>
      </c>
      <c r="F4681" s="15">
        <v>2.1053</v>
      </c>
      <c r="G4681" s="11">
        <v>0.0001</v>
      </c>
      <c r="H4681" s="9">
        <f>MAX($F$3239:F4681)</f>
        <v>2.1053</v>
      </c>
      <c r="I4681" s="11">
        <f t="shared" si="108"/>
        <v>0</v>
      </c>
      <c r="J4681" s="9"/>
      <c r="K4681" s="11"/>
      <c r="L4681" s="9">
        <f>MAX($F$4357:F4681)</f>
        <v>2.1053</v>
      </c>
      <c r="M4681" s="11">
        <f t="shared" si="109"/>
        <v>0</v>
      </c>
      <c r="N4681" s="9" t="s">
        <v>809</v>
      </c>
    </row>
    <row r="4682" ht="25" customHeight="1" spans="1:14">
      <c r="A4682" s="9" t="s">
        <v>327</v>
      </c>
      <c r="B4682" s="9" t="s">
        <v>326</v>
      </c>
      <c r="C4682" s="10">
        <v>45665</v>
      </c>
      <c r="D4682" s="15">
        <v>1.0038</v>
      </c>
      <c r="E4682" s="15">
        <v>1.7799</v>
      </c>
      <c r="F4682" s="15">
        <v>2.1055</v>
      </c>
      <c r="G4682" s="11">
        <v>0.0001</v>
      </c>
      <c r="H4682" s="9">
        <f>MAX($F$3239:F4682)</f>
        <v>2.1055</v>
      </c>
      <c r="I4682" s="11">
        <f t="shared" si="108"/>
        <v>0</v>
      </c>
      <c r="J4682" s="9"/>
      <c r="K4682" s="11"/>
      <c r="L4682" s="9">
        <f>MAX($F$4357:F4682)</f>
        <v>2.1055</v>
      </c>
      <c r="M4682" s="11">
        <f t="shared" si="109"/>
        <v>0</v>
      </c>
      <c r="N4682" s="9" t="s">
        <v>809</v>
      </c>
    </row>
    <row r="4683" ht="25" customHeight="1" spans="1:14">
      <c r="A4683" s="9" t="s">
        <v>327</v>
      </c>
      <c r="B4683" s="9" t="s">
        <v>326</v>
      </c>
      <c r="C4683" s="10">
        <v>45666</v>
      </c>
      <c r="D4683" s="15">
        <v>1.0033</v>
      </c>
      <c r="E4683" s="15">
        <v>1.7794</v>
      </c>
      <c r="F4683" s="15">
        <v>2.1044</v>
      </c>
      <c r="G4683" s="11">
        <v>-0.0005</v>
      </c>
      <c r="H4683" s="9">
        <f>MAX($F$3239:F4683)</f>
        <v>2.1055</v>
      </c>
      <c r="I4683" s="11">
        <f t="shared" si="108"/>
        <v>0.000522441225362158</v>
      </c>
      <c r="J4683" s="9"/>
      <c r="K4683" s="11"/>
      <c r="L4683" s="9">
        <f>MAX($F$4357:F4683)</f>
        <v>2.1055</v>
      </c>
      <c r="M4683" s="11">
        <f t="shared" si="109"/>
        <v>0.000522441225362158</v>
      </c>
      <c r="N4683" s="9" t="s">
        <v>809</v>
      </c>
    </row>
    <row r="4684" ht="25" customHeight="1" spans="1:14">
      <c r="A4684" s="9" t="s">
        <v>327</v>
      </c>
      <c r="B4684" s="9" t="s">
        <v>326</v>
      </c>
      <c r="C4684" s="10">
        <v>45667</v>
      </c>
      <c r="D4684" s="15">
        <v>1.0042</v>
      </c>
      <c r="E4684" s="15">
        <v>1.7803</v>
      </c>
      <c r="F4684" s="15">
        <v>2.1063</v>
      </c>
      <c r="G4684" s="11">
        <v>0.0009</v>
      </c>
      <c r="H4684" s="9">
        <f>MAX($F$3239:F4684)</f>
        <v>2.1063</v>
      </c>
      <c r="I4684" s="11">
        <f t="shared" si="108"/>
        <v>0</v>
      </c>
      <c r="J4684" s="9"/>
      <c r="K4684" s="11"/>
      <c r="L4684" s="9">
        <f>MAX($F$4357:F4684)</f>
        <v>2.1063</v>
      </c>
      <c r="M4684" s="11">
        <f t="shared" si="109"/>
        <v>0</v>
      </c>
      <c r="N4684" s="9" t="s">
        <v>809</v>
      </c>
    </row>
    <row r="4685" ht="25" customHeight="1" spans="1:14">
      <c r="A4685" s="9" t="s">
        <v>327</v>
      </c>
      <c r="B4685" s="9" t="s">
        <v>326</v>
      </c>
      <c r="C4685" s="10">
        <v>45670</v>
      </c>
      <c r="D4685" s="15">
        <v>1.0042</v>
      </c>
      <c r="E4685" s="15">
        <v>1.7803</v>
      </c>
      <c r="F4685" s="15">
        <v>2.1063</v>
      </c>
      <c r="G4685" s="11">
        <v>0</v>
      </c>
      <c r="H4685" s="9">
        <f>MAX($F$3239:F4685)</f>
        <v>2.1063</v>
      </c>
      <c r="I4685" s="11">
        <f t="shared" si="108"/>
        <v>0</v>
      </c>
      <c r="J4685" s="9"/>
      <c r="K4685" s="11"/>
      <c r="L4685" s="9">
        <f>MAX($F$4357:F4685)</f>
        <v>2.1063</v>
      </c>
      <c r="M4685" s="11">
        <f t="shared" si="109"/>
        <v>0</v>
      </c>
      <c r="N4685" s="9" t="s">
        <v>809</v>
      </c>
    </row>
    <row r="4686" ht="25" customHeight="1" spans="1:14">
      <c r="A4686" s="9" t="s">
        <v>327</v>
      </c>
      <c r="B4686" s="9" t="s">
        <v>326</v>
      </c>
      <c r="C4686" s="10">
        <v>45671</v>
      </c>
      <c r="D4686" s="15">
        <v>1.0049</v>
      </c>
      <c r="E4686" s="15">
        <v>1.781</v>
      </c>
      <c r="F4686" s="15">
        <v>2.1078</v>
      </c>
      <c r="G4686" s="11">
        <v>0.0007</v>
      </c>
      <c r="H4686" s="9">
        <f>MAX($F$3239:F4686)</f>
        <v>2.1078</v>
      </c>
      <c r="I4686" s="11">
        <f t="shared" si="108"/>
        <v>0</v>
      </c>
      <c r="J4686" s="9"/>
      <c r="K4686" s="11"/>
      <c r="L4686" s="9">
        <f>MAX($F$4357:F4686)</f>
        <v>2.1078</v>
      </c>
      <c r="M4686" s="11">
        <f t="shared" si="109"/>
        <v>0</v>
      </c>
      <c r="N4686" s="9" t="s">
        <v>809</v>
      </c>
    </row>
    <row r="4687" ht="25" customHeight="1" spans="1:14">
      <c r="A4687" s="9" t="s">
        <v>327</v>
      </c>
      <c r="B4687" s="9" t="s">
        <v>326</v>
      </c>
      <c r="C4687" s="10">
        <v>45672</v>
      </c>
      <c r="D4687" s="15">
        <v>1.0044</v>
      </c>
      <c r="E4687" s="15">
        <v>1.7805</v>
      </c>
      <c r="F4687" s="15">
        <v>2.1067</v>
      </c>
      <c r="G4687" s="11">
        <v>-0.0005</v>
      </c>
      <c r="H4687" s="9">
        <f>MAX($F$3239:F4687)</f>
        <v>2.1078</v>
      </c>
      <c r="I4687" s="11">
        <f t="shared" si="108"/>
        <v>0.000521871145270025</v>
      </c>
      <c r="J4687" s="9"/>
      <c r="K4687" s="11"/>
      <c r="L4687" s="9">
        <f>MAX($F$4357:F4687)</f>
        <v>2.1078</v>
      </c>
      <c r="M4687" s="11">
        <f t="shared" si="109"/>
        <v>0.000521871145270025</v>
      </c>
      <c r="N4687" s="9" t="s">
        <v>809</v>
      </c>
    </row>
    <row r="4688" ht="25" customHeight="1" spans="1:14">
      <c r="A4688" s="9" t="s">
        <v>327</v>
      </c>
      <c r="B4688" s="9" t="s">
        <v>326</v>
      </c>
      <c r="C4688" s="10">
        <v>45673</v>
      </c>
      <c r="D4688" s="15">
        <v>1.0054</v>
      </c>
      <c r="E4688" s="15">
        <v>1.7815</v>
      </c>
      <c r="F4688" s="15">
        <v>2.1088</v>
      </c>
      <c r="G4688" s="11">
        <v>0.001</v>
      </c>
      <c r="H4688" s="9">
        <f>MAX($F$3239:F4688)</f>
        <v>2.1088</v>
      </c>
      <c r="I4688" s="11">
        <f t="shared" si="108"/>
        <v>0</v>
      </c>
      <c r="J4688" s="9"/>
      <c r="K4688" s="11"/>
      <c r="L4688" s="9">
        <f>MAX($F$4357:F4688)</f>
        <v>2.1088</v>
      </c>
      <c r="M4688" s="11">
        <f t="shared" si="109"/>
        <v>0</v>
      </c>
      <c r="N4688" s="9" t="s">
        <v>809</v>
      </c>
    </row>
    <row r="4689" ht="25" customHeight="1" spans="1:14">
      <c r="A4689" s="9" t="s">
        <v>327</v>
      </c>
      <c r="B4689" s="9" t="s">
        <v>326</v>
      </c>
      <c r="C4689" s="10">
        <v>45674</v>
      </c>
      <c r="D4689" s="15">
        <v>1.0064</v>
      </c>
      <c r="E4689" s="15">
        <v>1.7825</v>
      </c>
      <c r="F4689" s="15">
        <v>2.1109</v>
      </c>
      <c r="G4689" s="11">
        <v>0.001</v>
      </c>
      <c r="H4689" s="9">
        <f>MAX($F$3239:F4689)</f>
        <v>2.1109</v>
      </c>
      <c r="I4689" s="11">
        <f t="shared" si="108"/>
        <v>0</v>
      </c>
      <c r="J4689" s="9"/>
      <c r="K4689" s="11"/>
      <c r="L4689" s="9">
        <f>MAX($F$4357:F4689)</f>
        <v>2.1109</v>
      </c>
      <c r="M4689" s="11">
        <f t="shared" si="109"/>
        <v>0</v>
      </c>
      <c r="N4689" s="9" t="s">
        <v>809</v>
      </c>
    </row>
    <row r="4690" ht="25" customHeight="1" spans="1:14">
      <c r="A4690" s="9" t="s">
        <v>327</v>
      </c>
      <c r="B4690" s="9" t="s">
        <v>326</v>
      </c>
      <c r="C4690" s="10">
        <v>45677</v>
      </c>
      <c r="D4690" s="15">
        <v>1.0069</v>
      </c>
      <c r="E4690" s="15">
        <v>1.783</v>
      </c>
      <c r="F4690" s="15">
        <v>2.112</v>
      </c>
      <c r="G4690" s="11">
        <v>0.0005</v>
      </c>
      <c r="H4690" s="9">
        <f>MAX($F$3239:F4690)</f>
        <v>2.112</v>
      </c>
      <c r="I4690" s="11">
        <f t="shared" si="108"/>
        <v>0</v>
      </c>
      <c r="J4690" s="9"/>
      <c r="K4690" s="11"/>
      <c r="L4690" s="9">
        <f>MAX($F$4357:F4690)</f>
        <v>2.112</v>
      </c>
      <c r="M4690" s="11">
        <f t="shared" si="109"/>
        <v>0</v>
      </c>
      <c r="N4690" s="9" t="s">
        <v>809</v>
      </c>
    </row>
    <row r="4691" ht="25" customHeight="1" spans="1:14">
      <c r="A4691" s="9" t="s">
        <v>327</v>
      </c>
      <c r="B4691" s="9" t="s">
        <v>326</v>
      </c>
      <c r="C4691" s="10">
        <v>45678</v>
      </c>
      <c r="D4691" s="15">
        <v>1.0067</v>
      </c>
      <c r="E4691" s="15">
        <v>1.7828</v>
      </c>
      <c r="F4691" s="15">
        <v>2.1116</v>
      </c>
      <c r="G4691" s="11">
        <v>-0.0002</v>
      </c>
      <c r="H4691" s="9">
        <f>MAX($F$3239:F4691)</f>
        <v>2.112</v>
      </c>
      <c r="I4691" s="11">
        <f t="shared" si="108"/>
        <v>0.000189393939393878</v>
      </c>
      <c r="J4691" s="9"/>
      <c r="K4691" s="11"/>
      <c r="L4691" s="9">
        <f>MAX($F$4357:F4691)</f>
        <v>2.112</v>
      </c>
      <c r="M4691" s="11">
        <f t="shared" si="109"/>
        <v>0.000189393939393878</v>
      </c>
      <c r="N4691" s="9" t="s">
        <v>809</v>
      </c>
    </row>
    <row r="4692" ht="25" customHeight="1" spans="1:14">
      <c r="A4692" s="9" t="s">
        <v>327</v>
      </c>
      <c r="B4692" s="9" t="s">
        <v>326</v>
      </c>
      <c r="C4692" s="10">
        <v>45679</v>
      </c>
      <c r="D4692" s="15">
        <v>1.0067</v>
      </c>
      <c r="E4692" s="15">
        <v>1.7828</v>
      </c>
      <c r="F4692" s="15">
        <v>2.1116</v>
      </c>
      <c r="G4692" s="11">
        <v>0</v>
      </c>
      <c r="H4692" s="9">
        <f>MAX($F$3239:F4692)</f>
        <v>2.112</v>
      </c>
      <c r="I4692" s="11">
        <f t="shared" si="108"/>
        <v>0.000189393939393878</v>
      </c>
      <c r="J4692" s="9"/>
      <c r="K4692" s="11"/>
      <c r="L4692" s="9">
        <f>MAX($F$4357:F4692)</f>
        <v>2.112</v>
      </c>
      <c r="M4692" s="11">
        <f t="shared" si="109"/>
        <v>0.000189393939393878</v>
      </c>
      <c r="N4692" s="9" t="s">
        <v>809</v>
      </c>
    </row>
    <row r="4693" ht="25" customHeight="1" spans="1:14">
      <c r="A4693" s="9" t="s">
        <v>327</v>
      </c>
      <c r="B4693" s="9" t="s">
        <v>326</v>
      </c>
      <c r="C4693" s="10">
        <v>45680</v>
      </c>
      <c r="D4693" s="15">
        <v>1.0078</v>
      </c>
      <c r="E4693" s="15">
        <v>1.7839</v>
      </c>
      <c r="F4693" s="15">
        <v>2.1139</v>
      </c>
      <c r="G4693" s="11">
        <v>0.0011</v>
      </c>
      <c r="H4693" s="9">
        <f>MAX($F$3239:F4693)</f>
        <v>2.1139</v>
      </c>
      <c r="I4693" s="11">
        <f t="shared" si="108"/>
        <v>0</v>
      </c>
      <c r="J4693" s="9"/>
      <c r="K4693" s="11"/>
      <c r="L4693" s="9">
        <f>MAX($F$4357:F4693)</f>
        <v>2.1139</v>
      </c>
      <c r="M4693" s="11">
        <f t="shared" si="109"/>
        <v>0</v>
      </c>
      <c r="N4693" s="9" t="s">
        <v>809</v>
      </c>
    </row>
    <row r="4694" ht="25" customHeight="1" spans="1:14">
      <c r="A4694" s="9" t="s">
        <v>327</v>
      </c>
      <c r="B4694" s="9" t="s">
        <v>326</v>
      </c>
      <c r="C4694" s="10">
        <v>45681</v>
      </c>
      <c r="D4694" s="15">
        <v>1.0076</v>
      </c>
      <c r="E4694" s="15">
        <v>1.7837</v>
      </c>
      <c r="F4694" s="15">
        <v>2.1135</v>
      </c>
      <c r="G4694" s="11">
        <v>-0.0002</v>
      </c>
      <c r="H4694" s="9">
        <f>MAX($F$3239:F4694)</f>
        <v>2.1139</v>
      </c>
      <c r="I4694" s="11">
        <f t="shared" si="108"/>
        <v>0.000189223709730846</v>
      </c>
      <c r="J4694" s="9"/>
      <c r="K4694" s="11"/>
      <c r="L4694" s="9">
        <f>MAX($F$4357:F4694)</f>
        <v>2.1139</v>
      </c>
      <c r="M4694" s="11">
        <f t="shared" si="109"/>
        <v>0.000189223709730846</v>
      </c>
      <c r="N4694" s="9" t="s">
        <v>809</v>
      </c>
    </row>
    <row r="4695" ht="25" customHeight="1" spans="1:14">
      <c r="A4695" s="9" t="s">
        <v>327</v>
      </c>
      <c r="B4695" s="9" t="s">
        <v>326</v>
      </c>
      <c r="C4695" s="10">
        <v>45684</v>
      </c>
      <c r="D4695" s="15">
        <v>1.008</v>
      </c>
      <c r="E4695" s="15">
        <v>1.7841</v>
      </c>
      <c r="F4695" s="15">
        <v>2.1143</v>
      </c>
      <c r="G4695" s="11">
        <v>0.0004</v>
      </c>
      <c r="H4695" s="9">
        <f>MAX($F$3239:F4695)</f>
        <v>2.1143</v>
      </c>
      <c r="I4695" s="11">
        <f t="shared" si="108"/>
        <v>0</v>
      </c>
      <c r="J4695" s="9"/>
      <c r="K4695" s="11"/>
      <c r="L4695" s="9">
        <f>MAX($F$4357:F4695)</f>
        <v>2.1143</v>
      </c>
      <c r="M4695" s="11">
        <f t="shared" si="109"/>
        <v>0</v>
      </c>
      <c r="N4695" s="9" t="s">
        <v>809</v>
      </c>
    </row>
    <row r="4696" ht="25" customHeight="1" spans="1:14">
      <c r="A4696" s="9" t="s">
        <v>327</v>
      </c>
      <c r="B4696" s="9" t="s">
        <v>326</v>
      </c>
      <c r="C4696" s="10">
        <v>45693</v>
      </c>
      <c r="D4696" s="15">
        <v>1.0082</v>
      </c>
      <c r="E4696" s="15">
        <v>1.7843</v>
      </c>
      <c r="F4696" s="15">
        <v>2.1147</v>
      </c>
      <c r="G4696" s="11">
        <v>0.0002</v>
      </c>
      <c r="H4696" s="9">
        <f>MAX($F$3239:F4696)</f>
        <v>2.1147</v>
      </c>
      <c r="I4696" s="11">
        <f t="shared" si="108"/>
        <v>0</v>
      </c>
      <c r="J4696" s="9"/>
      <c r="K4696" s="11"/>
      <c r="L4696" s="9">
        <f>MAX($F$4357:F4696)</f>
        <v>2.1147</v>
      </c>
      <c r="M4696" s="11">
        <f t="shared" si="109"/>
        <v>0</v>
      </c>
      <c r="N4696" s="9" t="s">
        <v>809</v>
      </c>
    </row>
    <row r="4697" ht="25" customHeight="1" spans="1:14">
      <c r="A4697" s="9" t="s">
        <v>327</v>
      </c>
      <c r="B4697" s="9" t="s">
        <v>326</v>
      </c>
      <c r="C4697" s="10">
        <v>45694</v>
      </c>
      <c r="D4697" s="15">
        <v>1.0089</v>
      </c>
      <c r="E4697" s="15">
        <v>1.785</v>
      </c>
      <c r="F4697" s="15">
        <v>2.1162</v>
      </c>
      <c r="G4697" s="11">
        <v>0.0007</v>
      </c>
      <c r="H4697" s="9">
        <f>MAX($F$3239:F4697)</f>
        <v>2.1162</v>
      </c>
      <c r="I4697" s="11">
        <f t="shared" si="108"/>
        <v>0</v>
      </c>
      <c r="J4697" s="9"/>
      <c r="K4697" s="11"/>
      <c r="L4697" s="9">
        <f>MAX($F$4357:F4697)</f>
        <v>2.1162</v>
      </c>
      <c r="M4697" s="11">
        <f t="shared" si="109"/>
        <v>0</v>
      </c>
      <c r="N4697" s="9" t="s">
        <v>809</v>
      </c>
    </row>
    <row r="4698" ht="25" customHeight="1" spans="1:14">
      <c r="A4698" s="9" t="s">
        <v>327</v>
      </c>
      <c r="B4698" s="9" t="s">
        <v>326</v>
      </c>
      <c r="C4698" s="10">
        <v>45695</v>
      </c>
      <c r="D4698" s="15">
        <v>1.0093</v>
      </c>
      <c r="E4698" s="15">
        <v>1.7854</v>
      </c>
      <c r="F4698" s="15">
        <v>2.117</v>
      </c>
      <c r="G4698" s="11">
        <v>0.0004</v>
      </c>
      <c r="H4698" s="9">
        <f>MAX($F$3239:F4698)</f>
        <v>2.117</v>
      </c>
      <c r="I4698" s="11">
        <f t="shared" si="108"/>
        <v>0</v>
      </c>
      <c r="J4698" s="9"/>
      <c r="K4698" s="11"/>
      <c r="L4698" s="9">
        <f>MAX($F$4357:F4698)</f>
        <v>2.117</v>
      </c>
      <c r="M4698" s="11">
        <f t="shared" si="109"/>
        <v>0</v>
      </c>
      <c r="N4698" s="9" t="s">
        <v>809</v>
      </c>
    </row>
    <row r="4699" ht="25" customHeight="1" spans="1:14">
      <c r="A4699" s="9" t="s">
        <v>327</v>
      </c>
      <c r="B4699" s="9" t="s">
        <v>326</v>
      </c>
      <c r="C4699" s="10">
        <v>45698</v>
      </c>
      <c r="D4699" s="15">
        <v>1.0087</v>
      </c>
      <c r="E4699" s="15">
        <v>1.7848</v>
      </c>
      <c r="F4699" s="15">
        <v>2.1158</v>
      </c>
      <c r="G4699" s="11">
        <v>-0.0006</v>
      </c>
      <c r="H4699" s="9">
        <f>MAX($F$3239:F4699)</f>
        <v>2.117</v>
      </c>
      <c r="I4699" s="11">
        <f t="shared" si="108"/>
        <v>0.000566839867737312</v>
      </c>
      <c r="J4699" s="9"/>
      <c r="K4699" s="11"/>
      <c r="L4699" s="9">
        <f>MAX($F$4357:F4699)</f>
        <v>2.117</v>
      </c>
      <c r="M4699" s="11">
        <f t="shared" si="109"/>
        <v>0.000566839867737312</v>
      </c>
      <c r="N4699" s="9" t="s">
        <v>809</v>
      </c>
    </row>
    <row r="4700" ht="25" customHeight="1" spans="1:14">
      <c r="A4700" s="9" t="s">
        <v>327</v>
      </c>
      <c r="B4700" s="9" t="s">
        <v>326</v>
      </c>
      <c r="C4700" s="10">
        <v>45699</v>
      </c>
      <c r="D4700" s="15">
        <v>1.0096</v>
      </c>
      <c r="E4700" s="15">
        <v>1.7857</v>
      </c>
      <c r="F4700" s="15">
        <v>2.1176</v>
      </c>
      <c r="G4700" s="11">
        <v>0.0009</v>
      </c>
      <c r="H4700" s="9">
        <f>MAX($F$3239:F4700)</f>
        <v>2.1176</v>
      </c>
      <c r="I4700" s="11">
        <f t="shared" si="108"/>
        <v>0</v>
      </c>
      <c r="J4700" s="9"/>
      <c r="K4700" s="11"/>
      <c r="L4700" s="9">
        <f>MAX($F$4357:F4700)</f>
        <v>2.1176</v>
      </c>
      <c r="M4700" s="11">
        <f t="shared" si="109"/>
        <v>0</v>
      </c>
      <c r="N4700" s="9" t="s">
        <v>809</v>
      </c>
    </row>
    <row r="4701" ht="25" customHeight="1" spans="1:14">
      <c r="A4701" s="9" t="s">
        <v>327</v>
      </c>
      <c r="B4701" s="9" t="s">
        <v>326</v>
      </c>
      <c r="C4701" s="10">
        <v>45700</v>
      </c>
      <c r="D4701" s="15">
        <v>1.0095</v>
      </c>
      <c r="E4701" s="15">
        <v>1.7856</v>
      </c>
      <c r="F4701" s="15">
        <v>2.1174</v>
      </c>
      <c r="G4701" s="11">
        <v>-0.0001</v>
      </c>
      <c r="H4701" s="9">
        <f>MAX($F$3239:F4701)</f>
        <v>2.1176</v>
      </c>
      <c r="I4701" s="11">
        <f t="shared" si="108"/>
        <v>9.44465432565211e-5</v>
      </c>
      <c r="J4701" s="9"/>
      <c r="K4701" s="11"/>
      <c r="L4701" s="9">
        <f>MAX($F$4357:F4701)</f>
        <v>2.1176</v>
      </c>
      <c r="M4701" s="11">
        <f t="shared" si="109"/>
        <v>9.44465432565211e-5</v>
      </c>
      <c r="N4701" s="9" t="s">
        <v>809</v>
      </c>
    </row>
    <row r="4702" ht="25" customHeight="1" spans="1:14">
      <c r="A4702" s="9" t="s">
        <v>327</v>
      </c>
      <c r="B4702" s="9" t="s">
        <v>326</v>
      </c>
      <c r="C4702" s="10">
        <v>45701</v>
      </c>
      <c r="D4702" s="15">
        <v>1.0096</v>
      </c>
      <c r="E4702" s="15">
        <v>1.7857</v>
      </c>
      <c r="F4702" s="15">
        <v>2.1176</v>
      </c>
      <c r="G4702" s="11">
        <v>0.0001</v>
      </c>
      <c r="H4702" s="9">
        <f>MAX($F$3239:F4702)</f>
        <v>2.1176</v>
      </c>
      <c r="I4702" s="11">
        <f t="shared" si="108"/>
        <v>0</v>
      </c>
      <c r="J4702" s="9"/>
      <c r="K4702" s="11"/>
      <c r="L4702" s="9">
        <f>MAX($F$4357:F4702)</f>
        <v>2.1176</v>
      </c>
      <c r="M4702" s="11">
        <f t="shared" si="109"/>
        <v>0</v>
      </c>
      <c r="N4702" s="9" t="s">
        <v>809</v>
      </c>
    </row>
    <row r="4703" ht="25" customHeight="1" spans="1:14">
      <c r="A4703" s="9" t="s">
        <v>327</v>
      </c>
      <c r="B4703" s="9" t="s">
        <v>326</v>
      </c>
      <c r="C4703" s="10">
        <v>45702</v>
      </c>
      <c r="D4703" s="15">
        <v>1.0094</v>
      </c>
      <c r="E4703" s="15">
        <v>1.7855</v>
      </c>
      <c r="F4703" s="15">
        <v>2.1172</v>
      </c>
      <c r="G4703" s="11">
        <v>-0.0002</v>
      </c>
      <c r="H4703" s="9">
        <f>MAX($F$3239:F4703)</f>
        <v>2.1176</v>
      </c>
      <c r="I4703" s="11">
        <f t="shared" si="108"/>
        <v>0.000188893086513042</v>
      </c>
      <c r="J4703" s="9"/>
      <c r="K4703" s="11"/>
      <c r="L4703" s="9">
        <f>MAX($F$4357:F4703)</f>
        <v>2.1176</v>
      </c>
      <c r="M4703" s="11">
        <f t="shared" si="109"/>
        <v>0.000188893086513042</v>
      </c>
      <c r="N4703" s="9" t="s">
        <v>809</v>
      </c>
    </row>
    <row r="4704" ht="25" customHeight="1" spans="1:14">
      <c r="A4704" s="9" t="s">
        <v>327</v>
      </c>
      <c r="B4704" s="9" t="s">
        <v>326</v>
      </c>
      <c r="C4704" s="10">
        <v>45705</v>
      </c>
      <c r="D4704" s="15">
        <v>1.0094</v>
      </c>
      <c r="E4704" s="15">
        <v>1.7855</v>
      </c>
      <c r="F4704" s="15">
        <v>2.1172</v>
      </c>
      <c r="G4704" s="11">
        <v>0</v>
      </c>
      <c r="H4704" s="9">
        <f>MAX($F$3239:F4704)</f>
        <v>2.1176</v>
      </c>
      <c r="I4704" s="11">
        <f t="shared" si="108"/>
        <v>0.000188893086513042</v>
      </c>
      <c r="J4704" s="9"/>
      <c r="K4704" s="11"/>
      <c r="L4704" s="9">
        <f>MAX($F$4357:F4704)</f>
        <v>2.1176</v>
      </c>
      <c r="M4704" s="11">
        <f t="shared" si="109"/>
        <v>0.000188893086513042</v>
      </c>
      <c r="N4704" s="9" t="s">
        <v>809</v>
      </c>
    </row>
    <row r="4705" ht="25" customHeight="1" spans="1:14">
      <c r="A4705" s="9" t="s">
        <v>327</v>
      </c>
      <c r="B4705" s="9" t="s">
        <v>326</v>
      </c>
      <c r="C4705" s="10">
        <v>45706</v>
      </c>
      <c r="D4705" s="15">
        <v>1.0099</v>
      </c>
      <c r="E4705" s="15">
        <v>1.786</v>
      </c>
      <c r="F4705" s="15">
        <v>2.1183</v>
      </c>
      <c r="G4705" s="11">
        <v>0.0005</v>
      </c>
      <c r="H4705" s="9">
        <f>MAX($F$3239:F4705)</f>
        <v>2.1183</v>
      </c>
      <c r="I4705" s="11">
        <f t="shared" si="108"/>
        <v>0</v>
      </c>
      <c r="J4705" s="9"/>
      <c r="K4705" s="11"/>
      <c r="L4705" s="9">
        <f>MAX($F$4357:F4705)</f>
        <v>2.1183</v>
      </c>
      <c r="M4705" s="11">
        <f t="shared" si="109"/>
        <v>0</v>
      </c>
      <c r="N4705" s="9" t="s">
        <v>809</v>
      </c>
    </row>
    <row r="4706" ht="25" customHeight="1" spans="1:14">
      <c r="A4706" s="9" t="s">
        <v>327</v>
      </c>
      <c r="B4706" s="9" t="s">
        <v>326</v>
      </c>
      <c r="C4706" s="10">
        <v>45707</v>
      </c>
      <c r="D4706" s="15">
        <v>1.0101</v>
      </c>
      <c r="E4706" s="15">
        <v>1.7862</v>
      </c>
      <c r="F4706" s="15">
        <v>2.1187</v>
      </c>
      <c r="G4706" s="11">
        <v>0.0002</v>
      </c>
      <c r="H4706" s="9">
        <f>MAX($F$3239:F4706)</f>
        <v>2.1187</v>
      </c>
      <c r="I4706" s="11">
        <f t="shared" si="108"/>
        <v>0</v>
      </c>
      <c r="J4706" s="9"/>
      <c r="K4706" s="11"/>
      <c r="L4706" s="9">
        <f>MAX($F$4357:F4706)</f>
        <v>2.1187</v>
      </c>
      <c r="M4706" s="11">
        <f t="shared" si="109"/>
        <v>0</v>
      </c>
      <c r="N4706" s="9" t="s">
        <v>809</v>
      </c>
    </row>
    <row r="4707" ht="25" customHeight="1" spans="1:14">
      <c r="A4707" s="9" t="s">
        <v>327</v>
      </c>
      <c r="B4707" s="9" t="s">
        <v>326</v>
      </c>
      <c r="C4707" s="10">
        <v>45708</v>
      </c>
      <c r="D4707" s="15">
        <v>1.0104</v>
      </c>
      <c r="E4707" s="15">
        <v>1.7865</v>
      </c>
      <c r="F4707" s="15">
        <v>2.1193</v>
      </c>
      <c r="G4707" s="11">
        <v>0.0003</v>
      </c>
      <c r="H4707" s="9">
        <f>MAX($F$3239:F4707)</f>
        <v>2.1193</v>
      </c>
      <c r="I4707" s="11">
        <f t="shared" si="108"/>
        <v>0</v>
      </c>
      <c r="J4707" s="9"/>
      <c r="K4707" s="11"/>
      <c r="L4707" s="9">
        <f>MAX($F$4357:F4707)</f>
        <v>2.1193</v>
      </c>
      <c r="M4707" s="11">
        <f t="shared" si="109"/>
        <v>0</v>
      </c>
      <c r="N4707" s="9" t="s">
        <v>809</v>
      </c>
    </row>
    <row r="4708" ht="25" customHeight="1" spans="1:14">
      <c r="A4708" s="9" t="s">
        <v>327</v>
      </c>
      <c r="B4708" s="9" t="s">
        <v>326</v>
      </c>
      <c r="C4708" s="10">
        <v>45709</v>
      </c>
      <c r="D4708" s="15">
        <v>1.011</v>
      </c>
      <c r="E4708" s="15">
        <v>1.7871</v>
      </c>
      <c r="F4708" s="15">
        <v>2.1206</v>
      </c>
      <c r="G4708" s="11">
        <v>0.0006</v>
      </c>
      <c r="H4708" s="9">
        <f>MAX($F$3239:F4708)</f>
        <v>2.1206</v>
      </c>
      <c r="I4708" s="11">
        <f t="shared" si="108"/>
        <v>0</v>
      </c>
      <c r="J4708" s="9"/>
      <c r="K4708" s="11"/>
      <c r="L4708" s="9">
        <f>MAX($F$4357:F4708)</f>
        <v>2.1206</v>
      </c>
      <c r="M4708" s="11">
        <f t="shared" si="109"/>
        <v>0</v>
      </c>
      <c r="N4708" s="9" t="s">
        <v>809</v>
      </c>
    </row>
    <row r="4709" ht="25" customHeight="1" spans="1:14">
      <c r="A4709" s="9" t="s">
        <v>327</v>
      </c>
      <c r="B4709" s="9" t="s">
        <v>326</v>
      </c>
      <c r="C4709" s="10">
        <v>45712</v>
      </c>
      <c r="D4709" s="15">
        <v>1.0107</v>
      </c>
      <c r="E4709" s="15">
        <v>1.7868</v>
      </c>
      <c r="F4709" s="15">
        <v>2.12</v>
      </c>
      <c r="G4709" s="11">
        <v>-0.0003</v>
      </c>
      <c r="H4709" s="9">
        <f>MAX($F$3239:F4709)</f>
        <v>2.1206</v>
      </c>
      <c r="I4709" s="11">
        <f t="shared" si="108"/>
        <v>0.000282938790908238</v>
      </c>
      <c r="J4709" s="9"/>
      <c r="K4709" s="11"/>
      <c r="L4709" s="9">
        <f>MAX($F$4357:F4709)</f>
        <v>2.1206</v>
      </c>
      <c r="M4709" s="11">
        <f t="shared" si="109"/>
        <v>0.000282938790908238</v>
      </c>
      <c r="N4709" s="9" t="s">
        <v>809</v>
      </c>
    </row>
    <row r="4710" ht="25" customHeight="1" spans="1:14">
      <c r="A4710" s="9" t="s">
        <v>327</v>
      </c>
      <c r="B4710" s="9" t="s">
        <v>326</v>
      </c>
      <c r="C4710" s="10">
        <v>45713</v>
      </c>
      <c r="D4710" s="15">
        <v>1.0108</v>
      </c>
      <c r="E4710" s="15">
        <v>1.7869</v>
      </c>
      <c r="F4710" s="15">
        <v>2.1202</v>
      </c>
      <c r="G4710" s="11">
        <v>0.0001</v>
      </c>
      <c r="H4710" s="9">
        <f>MAX($F$3239:F4710)</f>
        <v>2.1206</v>
      </c>
      <c r="I4710" s="11">
        <f t="shared" si="108"/>
        <v>0.000188625860605418</v>
      </c>
      <c r="J4710" s="9"/>
      <c r="K4710" s="11"/>
      <c r="L4710" s="9">
        <f>MAX($F$4357:F4710)</f>
        <v>2.1206</v>
      </c>
      <c r="M4710" s="11">
        <f t="shared" si="109"/>
        <v>0.000188625860605418</v>
      </c>
      <c r="N4710" s="9" t="s">
        <v>809</v>
      </c>
    </row>
    <row r="4711" ht="25" customHeight="1" spans="1:14">
      <c r="A4711" s="9" t="s">
        <v>327</v>
      </c>
      <c r="B4711" s="9" t="s">
        <v>326</v>
      </c>
      <c r="C4711" s="10">
        <v>45714</v>
      </c>
      <c r="D4711" s="15">
        <v>1.0117</v>
      </c>
      <c r="E4711" s="15">
        <v>1.7878</v>
      </c>
      <c r="F4711" s="15">
        <v>2.1221</v>
      </c>
      <c r="G4711" s="11">
        <v>0.0009</v>
      </c>
      <c r="H4711" s="9">
        <f>MAX($F$3239:F4711)</f>
        <v>2.1221</v>
      </c>
      <c r="I4711" s="11">
        <f t="shared" si="108"/>
        <v>0</v>
      </c>
      <c r="J4711" s="9"/>
      <c r="K4711" s="11"/>
      <c r="L4711" s="9">
        <f>MAX($F$4357:F4711)</f>
        <v>2.1221</v>
      </c>
      <c r="M4711" s="11">
        <f t="shared" si="109"/>
        <v>0</v>
      </c>
      <c r="N4711" s="9" t="s">
        <v>809</v>
      </c>
    </row>
    <row r="4712" ht="25" customHeight="1" spans="1:14">
      <c r="A4712" s="9" t="s">
        <v>327</v>
      </c>
      <c r="B4712" s="9" t="s">
        <v>326</v>
      </c>
      <c r="C4712" s="10">
        <v>45715</v>
      </c>
      <c r="D4712" s="15">
        <v>1.0105</v>
      </c>
      <c r="E4712" s="15">
        <v>1.7866</v>
      </c>
      <c r="F4712" s="15">
        <v>2.1195</v>
      </c>
      <c r="G4712" s="11">
        <v>-0.0012</v>
      </c>
      <c r="H4712" s="9">
        <f>MAX($F$3239:F4712)</f>
        <v>2.1221</v>
      </c>
      <c r="I4712" s="11">
        <f t="shared" si="108"/>
        <v>0.0012252014513926</v>
      </c>
      <c r="J4712" s="9"/>
      <c r="K4712" s="11"/>
      <c r="L4712" s="9">
        <f>MAX($F$4357:F4712)</f>
        <v>2.1221</v>
      </c>
      <c r="M4712" s="11">
        <f t="shared" si="109"/>
        <v>0.0012252014513926</v>
      </c>
      <c r="N4712" s="9" t="s">
        <v>809</v>
      </c>
    </row>
    <row r="4713" ht="25" customHeight="1" spans="1:14">
      <c r="A4713" s="9" t="s">
        <v>327</v>
      </c>
      <c r="B4713" s="9" t="s">
        <v>326</v>
      </c>
      <c r="C4713" s="10">
        <v>45716</v>
      </c>
      <c r="D4713" s="15">
        <v>1.0107</v>
      </c>
      <c r="E4713" s="15">
        <v>1.7868</v>
      </c>
      <c r="F4713" s="15">
        <v>2.12</v>
      </c>
      <c r="G4713" s="11">
        <v>0.0002</v>
      </c>
      <c r="H4713" s="9">
        <f>MAX($F$3239:F4713)</f>
        <v>2.1221</v>
      </c>
      <c r="I4713" s="11">
        <f t="shared" si="108"/>
        <v>0.000989585787663172</v>
      </c>
      <c r="J4713" s="9"/>
      <c r="K4713" s="11"/>
      <c r="L4713" s="9">
        <f>MAX($F$4357:F4713)</f>
        <v>2.1221</v>
      </c>
      <c r="M4713" s="11">
        <f t="shared" si="109"/>
        <v>0.000989585787663172</v>
      </c>
      <c r="N4713" s="9" t="s">
        <v>809</v>
      </c>
    </row>
    <row r="4714" ht="25" customHeight="1" spans="1:14">
      <c r="A4714" s="9" t="s">
        <v>327</v>
      </c>
      <c r="B4714" s="9" t="s">
        <v>326</v>
      </c>
      <c r="C4714" s="10">
        <v>45719</v>
      </c>
      <c r="D4714" s="15">
        <v>1.0112</v>
      </c>
      <c r="E4714" s="15">
        <v>1.7873</v>
      </c>
      <c r="F4714" s="15">
        <v>2.121</v>
      </c>
      <c r="G4714" s="11">
        <v>0.0005</v>
      </c>
      <c r="H4714" s="9">
        <f>MAX($F$3239:F4714)</f>
        <v>2.1221</v>
      </c>
      <c r="I4714" s="11">
        <f t="shared" si="108"/>
        <v>0.00051835446020454</v>
      </c>
      <c r="J4714" s="9"/>
      <c r="K4714" s="11"/>
      <c r="L4714" s="9">
        <f>MAX($F$4357:F4714)</f>
        <v>2.1221</v>
      </c>
      <c r="M4714" s="11">
        <f t="shared" si="109"/>
        <v>0.00051835446020454</v>
      </c>
      <c r="N4714" s="9" t="s">
        <v>809</v>
      </c>
    </row>
    <row r="4715" ht="25" customHeight="1" spans="1:14">
      <c r="A4715" s="9" t="s">
        <v>327</v>
      </c>
      <c r="B4715" s="9" t="s">
        <v>326</v>
      </c>
      <c r="C4715" s="10">
        <v>45720</v>
      </c>
      <c r="D4715" s="15">
        <v>1.0113</v>
      </c>
      <c r="E4715" s="15">
        <v>1.7874</v>
      </c>
      <c r="F4715" s="15">
        <v>2.1212</v>
      </c>
      <c r="G4715" s="11">
        <v>0.0001</v>
      </c>
      <c r="H4715" s="9">
        <f>MAX($F$3239:F4715)</f>
        <v>2.1221</v>
      </c>
      <c r="I4715" s="11">
        <f t="shared" si="108"/>
        <v>0.000424108194712836</v>
      </c>
      <c r="J4715" s="9"/>
      <c r="K4715" s="11"/>
      <c r="L4715" s="9">
        <f>MAX($F$4357:F4715)</f>
        <v>2.1221</v>
      </c>
      <c r="M4715" s="11">
        <f t="shared" si="109"/>
        <v>0.000424108194712836</v>
      </c>
      <c r="N4715" s="9" t="s">
        <v>809</v>
      </c>
    </row>
    <row r="4716" ht="25" customHeight="1" spans="1:14">
      <c r="A4716" s="9" t="s">
        <v>327</v>
      </c>
      <c r="B4716" s="9" t="s">
        <v>326</v>
      </c>
      <c r="C4716" s="10">
        <v>45721</v>
      </c>
      <c r="D4716" s="15">
        <v>1.0114</v>
      </c>
      <c r="E4716" s="15">
        <v>1.7875</v>
      </c>
      <c r="F4716" s="15">
        <v>2.1214</v>
      </c>
      <c r="G4716" s="11">
        <v>0.0001</v>
      </c>
      <c r="H4716" s="9">
        <f>MAX($F$3239:F4716)</f>
        <v>2.1221</v>
      </c>
      <c r="I4716" s="11">
        <f t="shared" si="108"/>
        <v>0.000329861929221131</v>
      </c>
      <c r="J4716" s="9"/>
      <c r="K4716" s="11"/>
      <c r="L4716" s="9">
        <f>MAX($F$4357:F4716)</f>
        <v>2.1221</v>
      </c>
      <c r="M4716" s="11">
        <f t="shared" si="109"/>
        <v>0.000329861929221131</v>
      </c>
      <c r="N4716" s="9" t="s">
        <v>809</v>
      </c>
    </row>
    <row r="4717" ht="25" customHeight="1" spans="1:14">
      <c r="A4717" s="9" t="s">
        <v>327</v>
      </c>
      <c r="B4717" s="9" t="s">
        <v>326</v>
      </c>
      <c r="C4717" s="10">
        <v>45722</v>
      </c>
      <c r="D4717" s="15">
        <v>1.0111</v>
      </c>
      <c r="E4717" s="15">
        <v>1.7872</v>
      </c>
      <c r="F4717" s="15">
        <v>2.1208</v>
      </c>
      <c r="G4717" s="11">
        <v>-0.0003</v>
      </c>
      <c r="H4717" s="9">
        <f>MAX($F$3239:F4717)</f>
        <v>2.1221</v>
      </c>
      <c r="I4717" s="11">
        <f t="shared" si="108"/>
        <v>0.000612600725696244</v>
      </c>
      <c r="J4717" s="9"/>
      <c r="K4717" s="11"/>
      <c r="L4717" s="9">
        <f>MAX($F$4357:F4717)</f>
        <v>2.1221</v>
      </c>
      <c r="M4717" s="11">
        <f t="shared" si="109"/>
        <v>0.000612600725696244</v>
      </c>
      <c r="N4717" s="9" t="s">
        <v>809</v>
      </c>
    </row>
    <row r="4718" ht="25" customHeight="1" spans="1:14">
      <c r="A4718" s="9" t="s">
        <v>327</v>
      </c>
      <c r="B4718" s="9" t="s">
        <v>326</v>
      </c>
      <c r="C4718" s="10">
        <v>45723</v>
      </c>
      <c r="D4718" s="15">
        <v>1.0111</v>
      </c>
      <c r="E4718" s="15">
        <v>1.7872</v>
      </c>
      <c r="F4718" s="15">
        <v>2.1208</v>
      </c>
      <c r="G4718" s="11">
        <v>0</v>
      </c>
      <c r="H4718" s="9">
        <f>MAX($F$3239:F4718)</f>
        <v>2.1221</v>
      </c>
      <c r="I4718" s="11">
        <f t="shared" si="108"/>
        <v>0.000612600725696244</v>
      </c>
      <c r="J4718" s="9"/>
      <c r="K4718" s="11"/>
      <c r="L4718" s="9">
        <f>MAX($F$4357:F4718)</f>
        <v>2.1221</v>
      </c>
      <c r="M4718" s="11">
        <f t="shared" si="109"/>
        <v>0.000612600725696244</v>
      </c>
      <c r="N4718" s="9" t="s">
        <v>809</v>
      </c>
    </row>
    <row r="4719" ht="25" customHeight="1" spans="1:14">
      <c r="A4719" s="9" t="s">
        <v>327</v>
      </c>
      <c r="B4719" s="9" t="s">
        <v>326</v>
      </c>
      <c r="C4719" s="10">
        <v>45726</v>
      </c>
      <c r="D4719" s="15">
        <v>1.0106</v>
      </c>
      <c r="E4719" s="15">
        <v>1.7867</v>
      </c>
      <c r="F4719" s="15">
        <v>2.1197</v>
      </c>
      <c r="G4719" s="11">
        <v>-0.0005</v>
      </c>
      <c r="H4719" s="9">
        <f>MAX($F$3239:F4719)</f>
        <v>2.1221</v>
      </c>
      <c r="I4719" s="11">
        <f t="shared" si="108"/>
        <v>0.00113095518590089</v>
      </c>
      <c r="J4719" s="9"/>
      <c r="K4719" s="11"/>
      <c r="L4719" s="9">
        <f>MAX($F$4357:F4719)</f>
        <v>2.1221</v>
      </c>
      <c r="M4719" s="11">
        <f t="shared" si="109"/>
        <v>0.00113095518590089</v>
      </c>
      <c r="N4719" s="9" t="s">
        <v>809</v>
      </c>
    </row>
    <row r="4720" ht="25" customHeight="1" spans="1:14">
      <c r="A4720" s="9" t="s">
        <v>327</v>
      </c>
      <c r="B4720" s="9" t="s">
        <v>326</v>
      </c>
      <c r="C4720" s="10">
        <v>45727</v>
      </c>
      <c r="D4720" s="15">
        <v>1.0106</v>
      </c>
      <c r="E4720" s="15">
        <v>1.7867</v>
      </c>
      <c r="F4720" s="15">
        <v>2.1197</v>
      </c>
      <c r="G4720" s="11">
        <v>0</v>
      </c>
      <c r="H4720" s="9">
        <f>MAX($F$3239:F4720)</f>
        <v>2.1221</v>
      </c>
      <c r="I4720" s="11">
        <f t="shared" si="108"/>
        <v>0.00113095518590089</v>
      </c>
      <c r="J4720" s="9"/>
      <c r="K4720" s="11"/>
      <c r="L4720" s="9">
        <f>MAX($F$4357:F4720)</f>
        <v>2.1221</v>
      </c>
      <c r="M4720" s="11">
        <f t="shared" si="109"/>
        <v>0.00113095518590089</v>
      </c>
      <c r="N4720" s="9" t="s">
        <v>809</v>
      </c>
    </row>
    <row r="4721" ht="25" customHeight="1" spans="1:14">
      <c r="A4721" s="9" t="s">
        <v>327</v>
      </c>
      <c r="B4721" s="9" t="s">
        <v>326</v>
      </c>
      <c r="C4721" s="10">
        <v>45728</v>
      </c>
      <c r="D4721" s="15">
        <v>1.0104</v>
      </c>
      <c r="E4721" s="15">
        <v>1.7865</v>
      </c>
      <c r="F4721" s="15">
        <v>2.1193</v>
      </c>
      <c r="G4721" s="11">
        <v>-0.0002</v>
      </c>
      <c r="H4721" s="9">
        <f>MAX($F$3239:F4721)</f>
        <v>2.1221</v>
      </c>
      <c r="I4721" s="11">
        <f t="shared" si="108"/>
        <v>0.0013194477168843</v>
      </c>
      <c r="J4721" s="9"/>
      <c r="K4721" s="11"/>
      <c r="L4721" s="9">
        <f>MAX($F$4357:F4721)</f>
        <v>2.1221</v>
      </c>
      <c r="M4721" s="11">
        <f t="shared" si="109"/>
        <v>0.0013194477168843</v>
      </c>
      <c r="N4721" s="9" t="s">
        <v>809</v>
      </c>
    </row>
    <row r="4722" ht="25" customHeight="1" spans="1:14">
      <c r="A4722" s="9" t="s">
        <v>327</v>
      </c>
      <c r="B4722" s="9" t="s">
        <v>326</v>
      </c>
      <c r="C4722" s="10">
        <v>45729</v>
      </c>
      <c r="D4722" s="15">
        <v>1.0095</v>
      </c>
      <c r="E4722" s="15">
        <v>1.7856</v>
      </c>
      <c r="F4722" s="15">
        <v>2.1174</v>
      </c>
      <c r="G4722" s="11">
        <v>-0.0009</v>
      </c>
      <c r="H4722" s="9">
        <f>MAX($F$3239:F4722)</f>
        <v>2.1221</v>
      </c>
      <c r="I4722" s="11">
        <f t="shared" si="108"/>
        <v>0.00221478723905577</v>
      </c>
      <c r="J4722" s="9"/>
      <c r="K4722" s="11"/>
      <c r="L4722" s="9">
        <f>MAX($F$4357:F4722)</f>
        <v>2.1221</v>
      </c>
      <c r="M4722" s="11">
        <f t="shared" si="109"/>
        <v>0.00221478723905577</v>
      </c>
      <c r="N4722" s="9" t="s">
        <v>809</v>
      </c>
    </row>
    <row r="4723" ht="25" customHeight="1" spans="1:14">
      <c r="A4723" s="9" t="s">
        <v>327</v>
      </c>
      <c r="B4723" s="9" t="s">
        <v>326</v>
      </c>
      <c r="C4723" s="10">
        <v>45730</v>
      </c>
      <c r="D4723" s="15">
        <v>1.01</v>
      </c>
      <c r="E4723" s="15">
        <v>1.7861</v>
      </c>
      <c r="F4723" s="15">
        <v>2.1185</v>
      </c>
      <c r="G4723" s="11">
        <v>0.0005</v>
      </c>
      <c r="H4723" s="9">
        <f>MAX($F$3239:F4723)</f>
        <v>2.1221</v>
      </c>
      <c r="I4723" s="11">
        <f t="shared" si="108"/>
        <v>0.00169643277885112</v>
      </c>
      <c r="J4723" s="9"/>
      <c r="K4723" s="11"/>
      <c r="L4723" s="9">
        <f>MAX($F$4357:F4723)</f>
        <v>2.1221</v>
      </c>
      <c r="M4723" s="11">
        <f t="shared" si="109"/>
        <v>0.00169643277885112</v>
      </c>
      <c r="N4723" s="9" t="s">
        <v>809</v>
      </c>
    </row>
    <row r="4724" ht="25" customHeight="1" spans="1:14">
      <c r="A4724" s="9" t="s">
        <v>327</v>
      </c>
      <c r="B4724" s="9" t="s">
        <v>326</v>
      </c>
      <c r="C4724" s="10">
        <v>45733</v>
      </c>
      <c r="D4724" s="15">
        <v>1.0094</v>
      </c>
      <c r="E4724" s="15">
        <v>1.7855</v>
      </c>
      <c r="F4724" s="15">
        <v>2.1172</v>
      </c>
      <c r="G4724" s="11">
        <v>-0.0006</v>
      </c>
      <c r="H4724" s="9">
        <f>MAX($F$3239:F4724)</f>
        <v>2.1221</v>
      </c>
      <c r="I4724" s="11">
        <f t="shared" si="108"/>
        <v>0.00230903350454748</v>
      </c>
      <c r="J4724" s="9"/>
      <c r="K4724" s="11"/>
      <c r="L4724" s="9">
        <f>MAX($F$4357:F4724)</f>
        <v>2.1221</v>
      </c>
      <c r="M4724" s="11">
        <f t="shared" si="109"/>
        <v>0.00230903350454748</v>
      </c>
      <c r="N4724" s="9" t="s">
        <v>809</v>
      </c>
    </row>
    <row r="4725" ht="25" customHeight="1" spans="1:14">
      <c r="A4725" s="9" t="s">
        <v>327</v>
      </c>
      <c r="B4725" s="9" t="s">
        <v>326</v>
      </c>
      <c r="C4725" s="10">
        <v>45734</v>
      </c>
      <c r="D4725" s="15">
        <v>1.0095</v>
      </c>
      <c r="E4725" s="15">
        <v>1.7856</v>
      </c>
      <c r="F4725" s="15">
        <v>2.1174</v>
      </c>
      <c r="G4725" s="11">
        <v>0.0001</v>
      </c>
      <c r="H4725" s="9">
        <f>MAX($F$3239:F4725)</f>
        <v>2.1221</v>
      </c>
      <c r="I4725" s="11">
        <f t="shared" si="108"/>
        <v>0.00221478723905577</v>
      </c>
      <c r="J4725" s="9"/>
      <c r="K4725" s="11"/>
      <c r="L4725" s="9">
        <f>MAX($F$4357:F4725)</f>
        <v>2.1221</v>
      </c>
      <c r="M4725" s="11">
        <f t="shared" si="109"/>
        <v>0.00221478723905577</v>
      </c>
      <c r="N4725" s="9" t="s">
        <v>809</v>
      </c>
    </row>
    <row r="4726" ht="25" customHeight="1" spans="1:14">
      <c r="A4726" s="9" t="s">
        <v>327</v>
      </c>
      <c r="B4726" s="9" t="s">
        <v>326</v>
      </c>
      <c r="C4726" s="10">
        <v>45735</v>
      </c>
      <c r="D4726" s="15">
        <v>1.0098</v>
      </c>
      <c r="E4726" s="15">
        <v>1.7859</v>
      </c>
      <c r="F4726" s="15">
        <v>2.1181</v>
      </c>
      <c r="G4726" s="11">
        <v>0.0003</v>
      </c>
      <c r="H4726" s="9">
        <f>MAX($F$3239:F4726)</f>
        <v>2.1221</v>
      </c>
      <c r="I4726" s="11">
        <f t="shared" si="108"/>
        <v>0.00188492530983464</v>
      </c>
      <c r="J4726" s="9"/>
      <c r="K4726" s="11"/>
      <c r="L4726" s="9">
        <f>MAX($F$4357:F4726)</f>
        <v>2.1221</v>
      </c>
      <c r="M4726" s="11">
        <f t="shared" si="109"/>
        <v>0.00188492530983464</v>
      </c>
      <c r="N4726" s="9" t="s">
        <v>809</v>
      </c>
    </row>
    <row r="4727" ht="25" customHeight="1" spans="1:14">
      <c r="A4727" s="9" t="s">
        <v>327</v>
      </c>
      <c r="B4727" s="9" t="s">
        <v>326</v>
      </c>
      <c r="C4727" s="10">
        <v>45736</v>
      </c>
      <c r="D4727" s="15">
        <v>1.0097</v>
      </c>
      <c r="E4727" s="15">
        <v>1.7858</v>
      </c>
      <c r="F4727" s="15">
        <v>2.1179</v>
      </c>
      <c r="G4727" s="11">
        <v>-0.0001</v>
      </c>
      <c r="H4727" s="9">
        <f>MAX($F$3239:F4727)</f>
        <v>2.1221</v>
      </c>
      <c r="I4727" s="11">
        <f t="shared" si="108"/>
        <v>0.00197917157532634</v>
      </c>
      <c r="J4727" s="9"/>
      <c r="K4727" s="11"/>
      <c r="L4727" s="9">
        <f>MAX($F$4357:F4727)</f>
        <v>2.1221</v>
      </c>
      <c r="M4727" s="11">
        <f t="shared" si="109"/>
        <v>0.00197917157532634</v>
      </c>
      <c r="N4727" s="9" t="s">
        <v>809</v>
      </c>
    </row>
    <row r="4728" ht="25" customHeight="1" spans="1:14">
      <c r="A4728" s="9" t="s">
        <v>327</v>
      </c>
      <c r="B4728" s="9" t="s">
        <v>326</v>
      </c>
      <c r="C4728" s="10">
        <v>45737</v>
      </c>
      <c r="D4728" s="15">
        <v>1.0109</v>
      </c>
      <c r="E4728" s="15">
        <v>1.787</v>
      </c>
      <c r="F4728" s="15">
        <v>2.1204</v>
      </c>
      <c r="G4728" s="11">
        <v>0.0012</v>
      </c>
      <c r="H4728" s="9">
        <f>MAX($F$3239:F4728)</f>
        <v>2.1221</v>
      </c>
      <c r="I4728" s="11">
        <f t="shared" si="108"/>
        <v>0.000801093256679763</v>
      </c>
      <c r="J4728" s="9"/>
      <c r="K4728" s="11"/>
      <c r="L4728" s="9">
        <f>MAX($F$4357:F4728)</f>
        <v>2.1221</v>
      </c>
      <c r="M4728" s="11">
        <f t="shared" si="109"/>
        <v>0.000801093256679763</v>
      </c>
      <c r="N4728" s="9" t="s">
        <v>809</v>
      </c>
    </row>
    <row r="4729" ht="25" customHeight="1" spans="1:14">
      <c r="A4729" s="9" t="s">
        <v>327</v>
      </c>
      <c r="B4729" s="9" t="s">
        <v>326</v>
      </c>
      <c r="C4729" s="10">
        <v>45740</v>
      </c>
      <c r="D4729" s="15">
        <v>1.0109</v>
      </c>
      <c r="E4729" s="15">
        <v>1.787</v>
      </c>
      <c r="F4729" s="15">
        <v>2.1204</v>
      </c>
      <c r="G4729" s="11">
        <v>0</v>
      </c>
      <c r="H4729" s="9">
        <f>MAX($F$3239:F4729)</f>
        <v>2.1221</v>
      </c>
      <c r="I4729" s="11">
        <f t="shared" si="108"/>
        <v>0.000801093256679763</v>
      </c>
      <c r="J4729" s="9"/>
      <c r="K4729" s="11"/>
      <c r="L4729" s="9">
        <f>MAX($F$4357:F4729)</f>
        <v>2.1221</v>
      </c>
      <c r="M4729" s="11">
        <f t="shared" si="109"/>
        <v>0.000801093256679763</v>
      </c>
      <c r="N4729" s="9" t="s">
        <v>809</v>
      </c>
    </row>
    <row r="4730" ht="25" customHeight="1" spans="1:14">
      <c r="A4730" s="9" t="s">
        <v>327</v>
      </c>
      <c r="B4730" s="9" t="s">
        <v>326</v>
      </c>
      <c r="C4730" s="10">
        <v>45741</v>
      </c>
      <c r="D4730" s="15">
        <v>1.0108</v>
      </c>
      <c r="E4730" s="15">
        <v>1.7869</v>
      </c>
      <c r="F4730" s="15">
        <v>2.1202</v>
      </c>
      <c r="G4730" s="11">
        <v>-0.0001</v>
      </c>
      <c r="H4730" s="9">
        <f>MAX($F$3239:F4730)</f>
        <v>2.1221</v>
      </c>
      <c r="I4730" s="11">
        <f t="shared" si="108"/>
        <v>0.000895339522171468</v>
      </c>
      <c r="J4730" s="9"/>
      <c r="K4730" s="11"/>
      <c r="L4730" s="9">
        <f>MAX($F$4357:F4730)</f>
        <v>2.1221</v>
      </c>
      <c r="M4730" s="11">
        <f t="shared" si="109"/>
        <v>0.000895339522171468</v>
      </c>
      <c r="N4730" s="9" t="s">
        <v>809</v>
      </c>
    </row>
    <row r="4731" ht="25" customHeight="1" spans="1:14">
      <c r="A4731" s="9" t="s">
        <v>327</v>
      </c>
      <c r="B4731" s="9" t="s">
        <v>326</v>
      </c>
      <c r="C4731" s="10">
        <v>45742</v>
      </c>
      <c r="D4731" s="15">
        <v>1.0106</v>
      </c>
      <c r="E4731" s="15">
        <v>1.7867</v>
      </c>
      <c r="F4731" s="15">
        <v>2.1197</v>
      </c>
      <c r="G4731" s="11">
        <v>-0.0002</v>
      </c>
      <c r="H4731" s="9">
        <f>MAX($F$3239:F4731)</f>
        <v>2.1221</v>
      </c>
      <c r="I4731" s="11">
        <f t="shared" si="108"/>
        <v>0.00113095518590089</v>
      </c>
      <c r="J4731" s="9"/>
      <c r="K4731" s="11"/>
      <c r="L4731" s="9">
        <f>MAX($F$4357:F4731)</f>
        <v>2.1221</v>
      </c>
      <c r="M4731" s="11">
        <f t="shared" si="109"/>
        <v>0.00113095518590089</v>
      </c>
      <c r="N4731" s="9" t="s">
        <v>809</v>
      </c>
    </row>
    <row r="4732" ht="25" customHeight="1" spans="1:14">
      <c r="A4732" s="9" t="s">
        <v>327</v>
      </c>
      <c r="B4732" s="9" t="s">
        <v>326</v>
      </c>
      <c r="C4732" s="10">
        <v>45743</v>
      </c>
      <c r="D4732" s="15">
        <v>1.0116</v>
      </c>
      <c r="E4732" s="15">
        <v>1.7877</v>
      </c>
      <c r="F4732" s="15">
        <v>2.1218</v>
      </c>
      <c r="G4732" s="11">
        <v>0.001</v>
      </c>
      <c r="H4732" s="9">
        <f>MAX($F$3239:F4732)</f>
        <v>2.1221</v>
      </c>
      <c r="I4732" s="11">
        <f t="shared" si="108"/>
        <v>0.000141369398237723</v>
      </c>
      <c r="J4732" s="9"/>
      <c r="K4732" s="11"/>
      <c r="L4732" s="9">
        <f>MAX($F$4357:F4732)</f>
        <v>2.1221</v>
      </c>
      <c r="M4732" s="11">
        <f t="shared" si="109"/>
        <v>0.000141369398237723</v>
      </c>
      <c r="N4732" s="9" t="s">
        <v>809</v>
      </c>
    </row>
    <row r="4733" ht="25" customHeight="1" spans="1:14">
      <c r="A4733" s="9" t="s">
        <v>327</v>
      </c>
      <c r="B4733" s="9" t="s">
        <v>326</v>
      </c>
      <c r="C4733" s="10">
        <v>45744</v>
      </c>
      <c r="D4733" s="15">
        <v>1.0117</v>
      </c>
      <c r="E4733" s="15">
        <v>1.7878</v>
      </c>
      <c r="F4733" s="15">
        <v>2.1221</v>
      </c>
      <c r="G4733" s="11">
        <v>0.0001</v>
      </c>
      <c r="H4733" s="9">
        <f>MAX($F$3239:F4733)</f>
        <v>2.1221</v>
      </c>
      <c r="I4733" s="11">
        <f t="shared" si="108"/>
        <v>0</v>
      </c>
      <c r="J4733" s="9"/>
      <c r="K4733" s="11"/>
      <c r="L4733" s="9">
        <f>MAX($F$4357:F4733)</f>
        <v>2.1221</v>
      </c>
      <c r="M4733" s="11">
        <f t="shared" si="109"/>
        <v>0</v>
      </c>
      <c r="N4733" s="9" t="s">
        <v>809</v>
      </c>
    </row>
    <row r="4734" ht="25" customHeight="1" spans="1:14">
      <c r="A4734" s="9" t="s">
        <v>327</v>
      </c>
      <c r="B4734" s="9" t="s">
        <v>326</v>
      </c>
      <c r="C4734" s="10">
        <v>45747</v>
      </c>
      <c r="D4734" s="15">
        <v>1.0118</v>
      </c>
      <c r="E4734" s="15">
        <v>1.7879</v>
      </c>
      <c r="F4734" s="15">
        <v>2.1223</v>
      </c>
      <c r="G4734" s="11">
        <v>0.0001</v>
      </c>
      <c r="H4734" s="9">
        <f>MAX($F$3239:F4734)</f>
        <v>2.1223</v>
      </c>
      <c r="I4734" s="11">
        <f t="shared" si="108"/>
        <v>0</v>
      </c>
      <c r="J4734" s="9"/>
      <c r="K4734" s="11"/>
      <c r="L4734" s="9">
        <f>MAX($F$4357:F4734)</f>
        <v>2.1223</v>
      </c>
      <c r="M4734" s="11">
        <f t="shared" si="109"/>
        <v>0</v>
      </c>
      <c r="N4734" s="9" t="s">
        <v>809</v>
      </c>
    </row>
    <row r="4735" ht="25" customHeight="1" spans="1:14">
      <c r="A4735" s="9" t="s">
        <v>327</v>
      </c>
      <c r="B4735" s="9" t="s">
        <v>326</v>
      </c>
      <c r="C4735" s="10">
        <v>45748</v>
      </c>
      <c r="D4735" s="15">
        <v>1.0118</v>
      </c>
      <c r="E4735" s="15">
        <v>1.7879</v>
      </c>
      <c r="F4735" s="15">
        <v>2.1223</v>
      </c>
      <c r="G4735" s="11">
        <v>0</v>
      </c>
      <c r="H4735" s="9">
        <f>MAX($F$3239:F4735)</f>
        <v>2.1223</v>
      </c>
      <c r="I4735" s="11">
        <f t="shared" si="108"/>
        <v>0</v>
      </c>
      <c r="J4735" s="9"/>
      <c r="K4735" s="11"/>
      <c r="L4735" s="9">
        <f>MAX($F$4357:F4735)</f>
        <v>2.1223</v>
      </c>
      <c r="M4735" s="11">
        <f t="shared" si="109"/>
        <v>0</v>
      </c>
      <c r="N4735" s="9" t="s">
        <v>809</v>
      </c>
    </row>
    <row r="4736" ht="25" customHeight="1" spans="1:14">
      <c r="A4736" s="9" t="s">
        <v>327</v>
      </c>
      <c r="B4736" s="9" t="s">
        <v>326</v>
      </c>
      <c r="C4736" s="10">
        <v>45749</v>
      </c>
      <c r="D4736" s="15">
        <v>1.0117</v>
      </c>
      <c r="E4736" s="15">
        <v>1.7878</v>
      </c>
      <c r="F4736" s="15">
        <v>2.1221</v>
      </c>
      <c r="G4736" s="11">
        <v>-0.0001</v>
      </c>
      <c r="H4736" s="9">
        <f>MAX($F$3239:F4736)</f>
        <v>2.1223</v>
      </c>
      <c r="I4736" s="11">
        <f t="shared" si="108"/>
        <v>9.4237383970186e-5</v>
      </c>
      <c r="J4736" s="9"/>
      <c r="K4736" s="11"/>
      <c r="L4736" s="9">
        <f>MAX($F$4357:F4736)</f>
        <v>2.1223</v>
      </c>
      <c r="M4736" s="11">
        <f t="shared" si="109"/>
        <v>9.4237383970186e-5</v>
      </c>
      <c r="N4736" s="9" t="s">
        <v>809</v>
      </c>
    </row>
    <row r="4737" ht="25" customHeight="1" spans="1:14">
      <c r="A4737" s="9" t="s">
        <v>327</v>
      </c>
      <c r="B4737" s="9" t="s">
        <v>326</v>
      </c>
      <c r="C4737" s="10">
        <v>45750</v>
      </c>
      <c r="D4737" s="15">
        <v>1.0119</v>
      </c>
      <c r="E4737" s="15">
        <v>1.788</v>
      </c>
      <c r="F4737" s="15">
        <v>2.1225</v>
      </c>
      <c r="G4737" s="11">
        <v>0.0002</v>
      </c>
      <c r="H4737" s="9">
        <f>MAX($F$3239:F4737)</f>
        <v>2.1225</v>
      </c>
      <c r="I4737" s="11">
        <f t="shared" si="108"/>
        <v>0</v>
      </c>
      <c r="J4737" s="9"/>
      <c r="K4737" s="11"/>
      <c r="L4737" s="9">
        <f>MAX($F$4357:F4737)</f>
        <v>2.1225</v>
      </c>
      <c r="M4737" s="11">
        <f t="shared" si="109"/>
        <v>0</v>
      </c>
      <c r="N4737" s="9" t="s">
        <v>809</v>
      </c>
    </row>
    <row r="4738" ht="25" customHeight="1" spans="1:14">
      <c r="A4738" s="9" t="s">
        <v>327</v>
      </c>
      <c r="B4738" s="9" t="s">
        <v>326</v>
      </c>
      <c r="C4738" s="10">
        <v>45754</v>
      </c>
      <c r="D4738" s="15">
        <v>1.0151</v>
      </c>
      <c r="E4738" s="15">
        <v>1.7912</v>
      </c>
      <c r="F4738" s="15">
        <v>2.1292</v>
      </c>
      <c r="G4738" s="11">
        <v>0.0032</v>
      </c>
      <c r="H4738" s="9">
        <f>MAX($F$3239:F4738)</f>
        <v>2.1292</v>
      </c>
      <c r="I4738" s="11">
        <f t="shared" ref="I4738:I4801" si="110">1-F4738/H4738</f>
        <v>0</v>
      </c>
      <c r="J4738" s="9"/>
      <c r="K4738" s="11"/>
      <c r="L4738" s="9">
        <f>MAX($F$4357:F4738)</f>
        <v>2.1292</v>
      </c>
      <c r="M4738" s="11">
        <f t="shared" si="109"/>
        <v>0</v>
      </c>
      <c r="N4738" s="9" t="s">
        <v>809</v>
      </c>
    </row>
    <row r="4739" ht="25" customHeight="1" spans="1:14">
      <c r="A4739" s="9" t="s">
        <v>327</v>
      </c>
      <c r="B4739" s="9" t="s">
        <v>326</v>
      </c>
      <c r="C4739" s="10">
        <v>45755</v>
      </c>
      <c r="D4739" s="15">
        <v>1.0163</v>
      </c>
      <c r="E4739" s="15">
        <v>1.7924</v>
      </c>
      <c r="F4739" s="15">
        <v>2.1317</v>
      </c>
      <c r="G4739" s="11">
        <v>0.0012</v>
      </c>
      <c r="H4739" s="9">
        <f>MAX($F$3239:F4739)</f>
        <v>2.1317</v>
      </c>
      <c r="I4739" s="11">
        <f t="shared" si="110"/>
        <v>0</v>
      </c>
      <c r="J4739" s="9"/>
      <c r="K4739" s="11"/>
      <c r="L4739" s="9">
        <f>MAX($F$4357:F4739)</f>
        <v>2.1317</v>
      </c>
      <c r="M4739" s="11">
        <f t="shared" si="109"/>
        <v>0</v>
      </c>
      <c r="N4739" s="9" t="s">
        <v>809</v>
      </c>
    </row>
    <row r="4740" ht="25" customHeight="1" spans="1:14">
      <c r="A4740" s="9" t="s">
        <v>327</v>
      </c>
      <c r="B4740" s="9" t="s">
        <v>326</v>
      </c>
      <c r="C4740" s="10">
        <v>45756</v>
      </c>
      <c r="D4740" s="15">
        <v>1.0176</v>
      </c>
      <c r="E4740" s="15">
        <v>1.7937</v>
      </c>
      <c r="F4740" s="15">
        <v>2.1344</v>
      </c>
      <c r="G4740" s="11">
        <v>0.0013</v>
      </c>
      <c r="H4740" s="9">
        <f>MAX($F$3239:F4740)</f>
        <v>2.1344</v>
      </c>
      <c r="I4740" s="11">
        <f t="shared" si="110"/>
        <v>0</v>
      </c>
      <c r="J4740" s="9"/>
      <c r="K4740" s="11"/>
      <c r="L4740" s="9">
        <f>MAX($F$4357:F4740)</f>
        <v>2.1344</v>
      </c>
      <c r="M4740" s="11">
        <f t="shared" si="109"/>
        <v>0</v>
      </c>
      <c r="N4740" s="9" t="s">
        <v>809</v>
      </c>
    </row>
    <row r="4741" ht="25" customHeight="1" spans="1:14">
      <c r="A4741" s="9" t="s">
        <v>327</v>
      </c>
      <c r="B4741" s="9" t="s">
        <v>326</v>
      </c>
      <c r="C4741" s="10">
        <v>45757</v>
      </c>
      <c r="D4741" s="15">
        <v>1.0177</v>
      </c>
      <c r="E4741" s="15">
        <v>1.7938</v>
      </c>
      <c r="F4741" s="15">
        <v>2.1346</v>
      </c>
      <c r="G4741" s="11">
        <v>0.0001</v>
      </c>
      <c r="H4741" s="9">
        <f>MAX($F$3239:F4741)</f>
        <v>2.1346</v>
      </c>
      <c r="I4741" s="11">
        <f t="shared" si="110"/>
        <v>0</v>
      </c>
      <c r="J4741" s="9"/>
      <c r="K4741" s="11"/>
      <c r="L4741" s="9">
        <f>MAX($F$4357:F4741)</f>
        <v>2.1346</v>
      </c>
      <c r="M4741" s="11">
        <f t="shared" ref="M4741:M4804" si="111">1-F4741/L4741</f>
        <v>0</v>
      </c>
      <c r="N4741" s="9" t="s">
        <v>809</v>
      </c>
    </row>
    <row r="4742" ht="25" customHeight="1" spans="1:14">
      <c r="A4742" s="9" t="s">
        <v>327</v>
      </c>
      <c r="B4742" s="9" t="s">
        <v>326</v>
      </c>
      <c r="C4742" s="10">
        <v>45758</v>
      </c>
      <c r="D4742" s="15">
        <v>1.0177</v>
      </c>
      <c r="E4742" s="15">
        <v>1.7938</v>
      </c>
      <c r="F4742" s="15">
        <v>2.1346</v>
      </c>
      <c r="G4742" s="11">
        <v>0</v>
      </c>
      <c r="H4742" s="9">
        <f>MAX($F$3239:F4742)</f>
        <v>2.1346</v>
      </c>
      <c r="I4742" s="11">
        <f t="shared" si="110"/>
        <v>0</v>
      </c>
      <c r="J4742" s="9"/>
      <c r="K4742" s="11"/>
      <c r="L4742" s="9">
        <f>MAX($F$4357:F4742)</f>
        <v>2.1346</v>
      </c>
      <c r="M4742" s="11">
        <f t="shared" si="111"/>
        <v>0</v>
      </c>
      <c r="N4742" s="9" t="s">
        <v>809</v>
      </c>
    </row>
    <row r="4743" ht="25" customHeight="1" spans="1:14">
      <c r="A4743" s="9" t="s">
        <v>327</v>
      </c>
      <c r="B4743" s="9" t="s">
        <v>326</v>
      </c>
      <c r="C4743" s="10">
        <v>45761</v>
      </c>
      <c r="D4743" s="15">
        <v>1.0174</v>
      </c>
      <c r="E4743" s="15">
        <v>1.7935</v>
      </c>
      <c r="F4743" s="15">
        <v>2.134</v>
      </c>
      <c r="G4743" s="11">
        <v>-0.0003</v>
      </c>
      <c r="H4743" s="9">
        <f>MAX($F$3239:F4743)</f>
        <v>2.1346</v>
      </c>
      <c r="I4743" s="11">
        <f t="shared" si="110"/>
        <v>0.000281083106905222</v>
      </c>
      <c r="J4743" s="9"/>
      <c r="K4743" s="11"/>
      <c r="L4743" s="9">
        <f>MAX($F$4357:F4743)</f>
        <v>2.1346</v>
      </c>
      <c r="M4743" s="11">
        <f t="shared" si="111"/>
        <v>0.000281083106905222</v>
      </c>
      <c r="N4743" s="9" t="s">
        <v>809</v>
      </c>
    </row>
    <row r="4744" ht="25" customHeight="1" spans="1:14">
      <c r="A4744" s="9" t="s">
        <v>327</v>
      </c>
      <c r="B4744" s="9" t="s">
        <v>326</v>
      </c>
      <c r="C4744" s="10">
        <v>45762</v>
      </c>
      <c r="D4744" s="15">
        <v>1.0172</v>
      </c>
      <c r="E4744" s="15">
        <v>1.7933</v>
      </c>
      <c r="F4744" s="15">
        <v>2.1336</v>
      </c>
      <c r="G4744" s="11">
        <v>-0.0002</v>
      </c>
      <c r="H4744" s="9">
        <f>MAX($F$3239:F4744)</f>
        <v>2.1346</v>
      </c>
      <c r="I4744" s="11">
        <f t="shared" si="110"/>
        <v>0.000468471844842111</v>
      </c>
      <c r="J4744" s="9"/>
      <c r="K4744" s="11"/>
      <c r="L4744" s="9">
        <f>MAX($F$4357:F4744)</f>
        <v>2.1346</v>
      </c>
      <c r="M4744" s="11">
        <f t="shared" si="111"/>
        <v>0.000468471844842111</v>
      </c>
      <c r="N4744" s="9" t="s">
        <v>809</v>
      </c>
    </row>
    <row r="4745" ht="25" customHeight="1" spans="1:14">
      <c r="A4745" s="9" t="s">
        <v>327</v>
      </c>
      <c r="B4745" s="9" t="s">
        <v>326</v>
      </c>
      <c r="C4745" s="10">
        <v>45763</v>
      </c>
      <c r="D4745" s="15">
        <v>1.0171</v>
      </c>
      <c r="E4745" s="15">
        <v>1.7932</v>
      </c>
      <c r="F4745" s="15">
        <v>2.1334</v>
      </c>
      <c r="G4745" s="11">
        <v>-0.0001</v>
      </c>
      <c r="H4745" s="9">
        <f>MAX($F$3239:F4745)</f>
        <v>2.1346</v>
      </c>
      <c r="I4745" s="11">
        <f t="shared" si="110"/>
        <v>0.000562166213810444</v>
      </c>
      <c r="J4745" s="9"/>
      <c r="K4745" s="11"/>
      <c r="L4745" s="9">
        <f>MAX($F$4357:F4745)</f>
        <v>2.1346</v>
      </c>
      <c r="M4745" s="11">
        <f t="shared" si="111"/>
        <v>0.000562166213810444</v>
      </c>
      <c r="N4745" s="9" t="s">
        <v>809</v>
      </c>
    </row>
    <row r="4746" ht="25" customHeight="1" spans="1:14">
      <c r="A4746" s="9" t="s">
        <v>327</v>
      </c>
      <c r="B4746" s="9" t="s">
        <v>326</v>
      </c>
      <c r="C4746" s="10">
        <v>45764</v>
      </c>
      <c r="D4746" s="15">
        <v>1.0171</v>
      </c>
      <c r="E4746" s="15">
        <v>1.7932</v>
      </c>
      <c r="F4746" s="15">
        <v>2.1334</v>
      </c>
      <c r="G4746" s="11">
        <v>0</v>
      </c>
      <c r="H4746" s="9">
        <f>MAX($F$3239:F4746)</f>
        <v>2.1346</v>
      </c>
      <c r="I4746" s="11">
        <f t="shared" si="110"/>
        <v>0.000562166213810444</v>
      </c>
      <c r="J4746" s="9"/>
      <c r="K4746" s="11"/>
      <c r="L4746" s="9">
        <f>MAX($F$4357:F4746)</f>
        <v>2.1346</v>
      </c>
      <c r="M4746" s="11">
        <f t="shared" si="111"/>
        <v>0.000562166213810444</v>
      </c>
      <c r="N4746" s="9" t="s">
        <v>809</v>
      </c>
    </row>
    <row r="4747" ht="25" customHeight="1" spans="1:14">
      <c r="A4747" s="9" t="s">
        <v>327</v>
      </c>
      <c r="B4747" s="9" t="s">
        <v>326</v>
      </c>
      <c r="C4747" s="10">
        <v>45765</v>
      </c>
      <c r="D4747" s="15">
        <v>1.0166</v>
      </c>
      <c r="E4747" s="15">
        <v>1.7927</v>
      </c>
      <c r="F4747" s="15">
        <v>2.1323</v>
      </c>
      <c r="G4747" s="11">
        <v>-0.0005</v>
      </c>
      <c r="H4747" s="9">
        <f>MAX($F$3239:F4747)</f>
        <v>2.1346</v>
      </c>
      <c r="I4747" s="11">
        <f t="shared" si="110"/>
        <v>0.00107748524313689</v>
      </c>
      <c r="J4747" s="9"/>
      <c r="K4747" s="11"/>
      <c r="L4747" s="9">
        <f>MAX($F$4357:F4747)</f>
        <v>2.1346</v>
      </c>
      <c r="M4747" s="11">
        <f t="shared" si="111"/>
        <v>0.00107748524313689</v>
      </c>
      <c r="N4747" s="9" t="s">
        <v>809</v>
      </c>
    </row>
    <row r="4748" ht="25" customHeight="1" spans="1:14">
      <c r="A4748" s="9" t="s">
        <v>327</v>
      </c>
      <c r="B4748" s="9" t="s">
        <v>326</v>
      </c>
      <c r="C4748" s="10">
        <v>45768</v>
      </c>
      <c r="D4748" s="15">
        <v>1.0165</v>
      </c>
      <c r="E4748" s="15">
        <v>1.7926</v>
      </c>
      <c r="F4748" s="15">
        <v>2.1321</v>
      </c>
      <c r="G4748" s="11">
        <v>-0.0001</v>
      </c>
      <c r="H4748" s="9">
        <f>MAX($F$3239:F4748)</f>
        <v>2.1346</v>
      </c>
      <c r="I4748" s="11">
        <f t="shared" si="110"/>
        <v>0.00117117961210533</v>
      </c>
      <c r="J4748" s="9"/>
      <c r="K4748" s="11"/>
      <c r="L4748" s="9">
        <f>MAX($F$4357:F4748)</f>
        <v>2.1346</v>
      </c>
      <c r="M4748" s="11">
        <f t="shared" si="111"/>
        <v>0.00117117961210533</v>
      </c>
      <c r="N4748" s="9" t="s">
        <v>809</v>
      </c>
    </row>
    <row r="4749" ht="25" customHeight="1" spans="1:14">
      <c r="A4749" s="9" t="s">
        <v>327</v>
      </c>
      <c r="B4749" s="9" t="s">
        <v>326</v>
      </c>
      <c r="C4749" s="10">
        <v>45769</v>
      </c>
      <c r="D4749" s="15">
        <v>1.0167</v>
      </c>
      <c r="E4749" s="15">
        <v>1.7928</v>
      </c>
      <c r="F4749" s="15">
        <v>2.1325</v>
      </c>
      <c r="G4749" s="11">
        <v>0.0002</v>
      </c>
      <c r="H4749" s="9">
        <f>MAX($F$3239:F4749)</f>
        <v>2.1346</v>
      </c>
      <c r="I4749" s="11">
        <f t="shared" si="110"/>
        <v>0.000983790874168444</v>
      </c>
      <c r="J4749" s="9"/>
      <c r="K4749" s="11"/>
      <c r="L4749" s="9">
        <f>MAX($F$4357:F4749)</f>
        <v>2.1346</v>
      </c>
      <c r="M4749" s="11">
        <f t="shared" si="111"/>
        <v>0.000983790874168444</v>
      </c>
      <c r="N4749" s="9" t="s">
        <v>809</v>
      </c>
    </row>
    <row r="4750" ht="25" customHeight="1" spans="1:14">
      <c r="A4750" s="9" t="s">
        <v>327</v>
      </c>
      <c r="B4750" s="9" t="s">
        <v>326</v>
      </c>
      <c r="C4750" s="10">
        <v>45770</v>
      </c>
      <c r="D4750" s="15">
        <v>1.0169</v>
      </c>
      <c r="E4750" s="15">
        <v>1.793</v>
      </c>
      <c r="F4750" s="15">
        <v>2.133</v>
      </c>
      <c r="G4750" s="11">
        <v>0.0002</v>
      </c>
      <c r="H4750" s="9">
        <f>MAX($F$3239:F4750)</f>
        <v>2.1346</v>
      </c>
      <c r="I4750" s="11">
        <f t="shared" si="110"/>
        <v>0.000749554951747333</v>
      </c>
      <c r="J4750" s="9"/>
      <c r="K4750" s="11"/>
      <c r="L4750" s="9">
        <f>MAX($F$4357:F4750)</f>
        <v>2.1346</v>
      </c>
      <c r="M4750" s="11">
        <f t="shared" si="111"/>
        <v>0.000749554951747333</v>
      </c>
      <c r="N4750" s="9" t="s">
        <v>809</v>
      </c>
    </row>
    <row r="4751" ht="25" customHeight="1" spans="1:14">
      <c r="A4751" s="9" t="s">
        <v>327</v>
      </c>
      <c r="B4751" s="9" t="s">
        <v>326</v>
      </c>
      <c r="C4751" s="10">
        <v>45771</v>
      </c>
      <c r="D4751" s="15">
        <v>1.0172</v>
      </c>
      <c r="E4751" s="15">
        <v>1.7933</v>
      </c>
      <c r="F4751" s="15">
        <v>2.1336</v>
      </c>
      <c r="G4751" s="11">
        <v>0.0003</v>
      </c>
      <c r="H4751" s="9">
        <f>MAX($F$3239:F4751)</f>
        <v>2.1346</v>
      </c>
      <c r="I4751" s="11">
        <f t="shared" si="110"/>
        <v>0.000468471844842111</v>
      </c>
      <c r="J4751" s="9"/>
      <c r="K4751" s="11"/>
      <c r="L4751" s="9">
        <f>MAX($F$4357:F4751)</f>
        <v>2.1346</v>
      </c>
      <c r="M4751" s="11">
        <f t="shared" si="111"/>
        <v>0.000468471844842111</v>
      </c>
      <c r="N4751" s="9" t="s">
        <v>809</v>
      </c>
    </row>
    <row r="4752" ht="25" customHeight="1" spans="1:14">
      <c r="A4752" s="9" t="s">
        <v>327</v>
      </c>
      <c r="B4752" s="9" t="s">
        <v>326</v>
      </c>
      <c r="C4752" s="10">
        <v>45772</v>
      </c>
      <c r="D4752" s="15">
        <v>1.0174</v>
      </c>
      <c r="E4752" s="15">
        <v>1.7935</v>
      </c>
      <c r="F4752" s="15">
        <v>2.134</v>
      </c>
      <c r="G4752" s="11">
        <v>0.0002</v>
      </c>
      <c r="H4752" s="9">
        <f>MAX($F$3239:F4752)</f>
        <v>2.1346</v>
      </c>
      <c r="I4752" s="11">
        <f t="shared" si="110"/>
        <v>0.000281083106905222</v>
      </c>
      <c r="J4752" s="9"/>
      <c r="K4752" s="11"/>
      <c r="L4752" s="9">
        <f>MAX($F$4357:F4752)</f>
        <v>2.1346</v>
      </c>
      <c r="M4752" s="11">
        <f t="shared" si="111"/>
        <v>0.000281083106905222</v>
      </c>
      <c r="N4752" s="9" t="s">
        <v>809</v>
      </c>
    </row>
    <row r="4753" ht="25" customHeight="1" spans="1:14">
      <c r="A4753" s="9" t="s">
        <v>327</v>
      </c>
      <c r="B4753" s="9" t="s">
        <v>326</v>
      </c>
      <c r="C4753" s="10">
        <v>45775</v>
      </c>
      <c r="D4753" s="15">
        <v>1.0181</v>
      </c>
      <c r="E4753" s="15">
        <v>1.7942</v>
      </c>
      <c r="F4753" s="15">
        <v>2.1355</v>
      </c>
      <c r="G4753" s="11">
        <v>0.0007</v>
      </c>
      <c r="H4753" s="9">
        <f>MAX($F$3239:F4753)</f>
        <v>2.1355</v>
      </c>
      <c r="I4753" s="11">
        <f t="shared" si="110"/>
        <v>0</v>
      </c>
      <c r="J4753" s="9"/>
      <c r="K4753" s="11"/>
      <c r="L4753" s="9">
        <f>MAX($F$4357:F4753)</f>
        <v>2.1355</v>
      </c>
      <c r="M4753" s="11">
        <f t="shared" si="111"/>
        <v>0</v>
      </c>
      <c r="N4753" s="9" t="s">
        <v>809</v>
      </c>
    </row>
    <row r="4754" ht="25" customHeight="1" spans="1:14">
      <c r="A4754" s="9" t="s">
        <v>327</v>
      </c>
      <c r="B4754" s="9" t="s">
        <v>326</v>
      </c>
      <c r="C4754" s="10">
        <v>45776</v>
      </c>
      <c r="D4754" s="15">
        <v>1.0183</v>
      </c>
      <c r="E4754" s="15">
        <v>1.7944</v>
      </c>
      <c r="F4754" s="15">
        <v>2.1359</v>
      </c>
      <c r="G4754" s="11">
        <v>0.0002</v>
      </c>
      <c r="H4754" s="9">
        <f>MAX($F$3239:F4754)</f>
        <v>2.1359</v>
      </c>
      <c r="I4754" s="11">
        <f t="shared" si="110"/>
        <v>0</v>
      </c>
      <c r="J4754" s="9"/>
      <c r="K4754" s="11"/>
      <c r="L4754" s="9">
        <f>MAX($F$4357:F4754)</f>
        <v>2.1359</v>
      </c>
      <c r="M4754" s="11">
        <f t="shared" si="111"/>
        <v>0</v>
      </c>
      <c r="N4754" s="9" t="s">
        <v>809</v>
      </c>
    </row>
    <row r="4755" ht="25" customHeight="1" spans="1:14">
      <c r="A4755" s="9" t="s">
        <v>327</v>
      </c>
      <c r="B4755" s="9" t="s">
        <v>326</v>
      </c>
      <c r="C4755" s="10">
        <v>45777</v>
      </c>
      <c r="D4755" s="15">
        <v>1.0184</v>
      </c>
      <c r="E4755" s="15">
        <v>1.7945</v>
      </c>
      <c r="F4755" s="15">
        <v>2.1361</v>
      </c>
      <c r="G4755" s="11">
        <v>0.0001</v>
      </c>
      <c r="H4755" s="9">
        <f>MAX($F$3239:F4755)</f>
        <v>2.1361</v>
      </c>
      <c r="I4755" s="11">
        <f t="shared" si="110"/>
        <v>0</v>
      </c>
      <c r="J4755" s="9"/>
      <c r="K4755" s="11"/>
      <c r="L4755" s="9">
        <f>MAX($F$4357:F4755)</f>
        <v>2.1361</v>
      </c>
      <c r="M4755" s="11">
        <f t="shared" si="111"/>
        <v>0</v>
      </c>
      <c r="N4755" s="9" t="s">
        <v>809</v>
      </c>
    </row>
    <row r="4756" ht="25" customHeight="1" spans="1:14">
      <c r="A4756" s="9" t="s">
        <v>327</v>
      </c>
      <c r="B4756" s="9" t="s">
        <v>326</v>
      </c>
      <c r="C4756" s="10">
        <v>45783</v>
      </c>
      <c r="D4756" s="15">
        <v>1.018</v>
      </c>
      <c r="E4756" s="15">
        <v>1.7941</v>
      </c>
      <c r="F4756" s="15">
        <v>2.1353</v>
      </c>
      <c r="G4756" s="11">
        <v>-0.0004</v>
      </c>
      <c r="H4756" s="9">
        <f>MAX($F$3239:F4756)</f>
        <v>2.1361</v>
      </c>
      <c r="I4756" s="11">
        <f t="shared" si="110"/>
        <v>0.000374514301764828</v>
      </c>
      <c r="J4756" s="9"/>
      <c r="K4756" s="11"/>
      <c r="L4756" s="9">
        <f>MAX($F$4357:F4756)</f>
        <v>2.1361</v>
      </c>
      <c r="M4756" s="11">
        <f t="shared" si="111"/>
        <v>0.000374514301764828</v>
      </c>
      <c r="N4756" s="9" t="s">
        <v>809</v>
      </c>
    </row>
    <row r="4757" ht="25" customHeight="1" spans="1:14">
      <c r="A4757" s="9" t="s">
        <v>327</v>
      </c>
      <c r="B4757" s="9" t="s">
        <v>326</v>
      </c>
      <c r="C4757" s="10">
        <v>45784</v>
      </c>
      <c r="D4757" s="15">
        <v>1.0182</v>
      </c>
      <c r="E4757" s="15">
        <v>1.7943</v>
      </c>
      <c r="F4757" s="15">
        <v>2.1357</v>
      </c>
      <c r="G4757" s="11">
        <v>0.0002</v>
      </c>
      <c r="H4757" s="9">
        <f>MAX($F$3239:F4757)</f>
        <v>2.1361</v>
      </c>
      <c r="I4757" s="11">
        <f t="shared" si="110"/>
        <v>0.000187257150882414</v>
      </c>
      <c r="J4757" s="9"/>
      <c r="K4757" s="11"/>
      <c r="L4757" s="9">
        <f>MAX($F$4357:F4757)</f>
        <v>2.1361</v>
      </c>
      <c r="M4757" s="11">
        <f t="shared" si="111"/>
        <v>0.000187257150882414</v>
      </c>
      <c r="N4757" s="9" t="s">
        <v>809</v>
      </c>
    </row>
    <row r="4758" ht="25" customHeight="1" spans="1:14">
      <c r="A4758" s="9" t="s">
        <v>327</v>
      </c>
      <c r="B4758" s="9" t="s">
        <v>326</v>
      </c>
      <c r="C4758" s="10">
        <v>45785</v>
      </c>
      <c r="D4758" s="15">
        <v>1.018</v>
      </c>
      <c r="E4758" s="15">
        <v>1.7941</v>
      </c>
      <c r="F4758" s="15">
        <v>2.1353</v>
      </c>
      <c r="G4758" s="11">
        <v>-0.0002</v>
      </c>
      <c r="H4758" s="9">
        <f>MAX($F$3239:F4758)</f>
        <v>2.1361</v>
      </c>
      <c r="I4758" s="11">
        <f t="shared" si="110"/>
        <v>0.000374514301764828</v>
      </c>
      <c r="J4758" s="9"/>
      <c r="K4758" s="11"/>
      <c r="L4758" s="9">
        <f>MAX($F$4357:F4758)</f>
        <v>2.1361</v>
      </c>
      <c r="M4758" s="11">
        <f t="shared" si="111"/>
        <v>0.000374514301764828</v>
      </c>
      <c r="N4758" s="9" t="s">
        <v>809</v>
      </c>
    </row>
    <row r="4759" ht="25" customHeight="1" spans="1:14">
      <c r="A4759" s="9" t="s">
        <v>327</v>
      </c>
      <c r="B4759" s="9" t="s">
        <v>326</v>
      </c>
      <c r="C4759" s="10">
        <v>45786</v>
      </c>
      <c r="D4759" s="15">
        <v>1.0181</v>
      </c>
      <c r="E4759" s="15">
        <v>1.7942</v>
      </c>
      <c r="F4759" s="15">
        <v>2.1355</v>
      </c>
      <c r="G4759" s="11">
        <v>0.0001</v>
      </c>
      <c r="H4759" s="9">
        <f>MAX($F$3239:F4759)</f>
        <v>2.1361</v>
      </c>
      <c r="I4759" s="11">
        <f t="shared" si="110"/>
        <v>0.000280885726323676</v>
      </c>
      <c r="J4759" s="9"/>
      <c r="K4759" s="11"/>
      <c r="L4759" s="9">
        <f>MAX($F$4357:F4759)</f>
        <v>2.1361</v>
      </c>
      <c r="M4759" s="11">
        <f t="shared" si="111"/>
        <v>0.000280885726323676</v>
      </c>
      <c r="N4759" s="9" t="s">
        <v>809</v>
      </c>
    </row>
    <row r="4760" ht="25" customHeight="1" spans="1:14">
      <c r="A4760" s="9" t="s">
        <v>327</v>
      </c>
      <c r="B4760" s="9" t="s">
        <v>326</v>
      </c>
      <c r="C4760" s="10">
        <v>45789</v>
      </c>
      <c r="D4760" s="15">
        <v>1.0176</v>
      </c>
      <c r="E4760" s="15">
        <v>1.7937</v>
      </c>
      <c r="F4760" s="15">
        <v>2.1344</v>
      </c>
      <c r="G4760" s="11">
        <v>-0.0005</v>
      </c>
      <c r="H4760" s="9">
        <f>MAX($F$3239:F4760)</f>
        <v>2.1361</v>
      </c>
      <c r="I4760" s="11">
        <f t="shared" si="110"/>
        <v>0.000795842891250453</v>
      </c>
      <c r="J4760" s="9"/>
      <c r="K4760" s="11"/>
      <c r="L4760" s="9">
        <f>MAX($F$4357:F4760)</f>
        <v>2.1361</v>
      </c>
      <c r="M4760" s="11">
        <f t="shared" si="111"/>
        <v>0.000795842891250453</v>
      </c>
      <c r="N4760" s="9" t="s">
        <v>809</v>
      </c>
    </row>
    <row r="4761" ht="25" customHeight="1" spans="1:14">
      <c r="A4761" s="9" t="s">
        <v>327</v>
      </c>
      <c r="B4761" s="9" t="s">
        <v>326</v>
      </c>
      <c r="C4761" s="10">
        <v>45790</v>
      </c>
      <c r="D4761" s="15">
        <v>1.0174</v>
      </c>
      <c r="E4761" s="15">
        <v>1.7935</v>
      </c>
      <c r="F4761" s="15">
        <v>2.134</v>
      </c>
      <c r="G4761" s="11">
        <v>-0.0002</v>
      </c>
      <c r="H4761" s="9">
        <f>MAX($F$3239:F4761)</f>
        <v>2.1361</v>
      </c>
      <c r="I4761" s="11">
        <f t="shared" si="110"/>
        <v>0.000983100042132867</v>
      </c>
      <c r="J4761" s="9"/>
      <c r="K4761" s="11"/>
      <c r="L4761" s="9">
        <f>MAX($F$4357:F4761)</f>
        <v>2.1361</v>
      </c>
      <c r="M4761" s="11">
        <f t="shared" si="111"/>
        <v>0.000983100042132867</v>
      </c>
      <c r="N4761" s="9" t="s">
        <v>809</v>
      </c>
    </row>
    <row r="4762" ht="25" customHeight="1" spans="1:14">
      <c r="A4762" s="9" t="s">
        <v>327</v>
      </c>
      <c r="B4762" s="9" t="s">
        <v>326</v>
      </c>
      <c r="C4762" s="10">
        <v>45791</v>
      </c>
      <c r="D4762" s="15">
        <v>1.0174</v>
      </c>
      <c r="E4762" s="15">
        <v>1.7935</v>
      </c>
      <c r="F4762" s="15">
        <v>2.134</v>
      </c>
      <c r="G4762" s="11">
        <v>0</v>
      </c>
      <c r="H4762" s="9">
        <f>MAX($F$3239:F4762)</f>
        <v>2.1361</v>
      </c>
      <c r="I4762" s="11">
        <f t="shared" si="110"/>
        <v>0.000983100042132867</v>
      </c>
      <c r="J4762" s="9"/>
      <c r="K4762" s="11"/>
      <c r="L4762" s="9">
        <f>MAX($F$4357:F4762)</f>
        <v>2.1361</v>
      </c>
      <c r="M4762" s="11">
        <f t="shared" si="111"/>
        <v>0.000983100042132867</v>
      </c>
      <c r="N4762" s="9" t="s">
        <v>809</v>
      </c>
    </row>
    <row r="4763" ht="25" customHeight="1" spans="1:14">
      <c r="A4763" s="9" t="s">
        <v>327</v>
      </c>
      <c r="B4763" s="9" t="s">
        <v>326</v>
      </c>
      <c r="C4763" s="10">
        <v>45792</v>
      </c>
      <c r="D4763" s="15">
        <v>1.0182</v>
      </c>
      <c r="E4763" s="15">
        <v>1.7943</v>
      </c>
      <c r="F4763" s="15">
        <v>2.1357</v>
      </c>
      <c r="G4763" s="11">
        <v>0.0008</v>
      </c>
      <c r="H4763" s="9">
        <f>MAX($F$3239:F4763)</f>
        <v>2.1361</v>
      </c>
      <c r="I4763" s="11">
        <f t="shared" si="110"/>
        <v>0.000187257150882414</v>
      </c>
      <c r="J4763" s="9"/>
      <c r="K4763" s="11"/>
      <c r="L4763" s="9">
        <f>MAX($F$4357:F4763)</f>
        <v>2.1361</v>
      </c>
      <c r="M4763" s="11">
        <f t="shared" si="111"/>
        <v>0.000187257150882414</v>
      </c>
      <c r="N4763" s="9" t="s">
        <v>809</v>
      </c>
    </row>
    <row r="4764" ht="25" customHeight="1" spans="1:14">
      <c r="A4764" s="9" t="s">
        <v>327</v>
      </c>
      <c r="B4764" s="9" t="s">
        <v>326</v>
      </c>
      <c r="C4764" s="10">
        <v>45793</v>
      </c>
      <c r="D4764" s="15">
        <v>1.0172</v>
      </c>
      <c r="E4764" s="15">
        <v>1.7933</v>
      </c>
      <c r="F4764" s="15">
        <v>2.1336</v>
      </c>
      <c r="G4764" s="11">
        <v>-0.001</v>
      </c>
      <c r="H4764" s="9">
        <f>MAX($F$3239:F4764)</f>
        <v>2.1361</v>
      </c>
      <c r="I4764" s="11">
        <f t="shared" si="110"/>
        <v>0.00117035719301528</v>
      </c>
      <c r="J4764" s="9"/>
      <c r="K4764" s="11"/>
      <c r="L4764" s="9">
        <f>MAX($F$4357:F4764)</f>
        <v>2.1361</v>
      </c>
      <c r="M4764" s="11">
        <f t="shared" si="111"/>
        <v>0.00117035719301528</v>
      </c>
      <c r="N4764" s="9" t="s">
        <v>809</v>
      </c>
    </row>
    <row r="4765" ht="25" customHeight="1" spans="1:14">
      <c r="A4765" s="9" t="s">
        <v>327</v>
      </c>
      <c r="B4765" s="9" t="s">
        <v>326</v>
      </c>
      <c r="C4765" s="10">
        <v>45796</v>
      </c>
      <c r="D4765" s="15">
        <v>1.017</v>
      </c>
      <c r="E4765" s="15">
        <v>1.7931</v>
      </c>
      <c r="F4765" s="15">
        <v>2.1332</v>
      </c>
      <c r="G4765" s="11">
        <v>-0.0002</v>
      </c>
      <c r="H4765" s="9">
        <f>MAX($F$3239:F4765)</f>
        <v>2.1361</v>
      </c>
      <c r="I4765" s="11">
        <f t="shared" si="110"/>
        <v>0.0013576143438977</v>
      </c>
      <c r="J4765" s="9"/>
      <c r="K4765" s="11"/>
      <c r="L4765" s="9">
        <f>MAX($F$4357:F4765)</f>
        <v>2.1361</v>
      </c>
      <c r="M4765" s="11">
        <f t="shared" si="111"/>
        <v>0.0013576143438977</v>
      </c>
      <c r="N4765" s="9" t="s">
        <v>809</v>
      </c>
    </row>
    <row r="4766" ht="25" customHeight="1" spans="1:14">
      <c r="A4766" s="9" t="s">
        <v>327</v>
      </c>
      <c r="B4766" s="9" t="s">
        <v>326</v>
      </c>
      <c r="C4766" s="10">
        <v>45797</v>
      </c>
      <c r="D4766" s="15">
        <v>1.0168</v>
      </c>
      <c r="E4766" s="15">
        <v>1.7929</v>
      </c>
      <c r="F4766" s="15">
        <v>2.1327</v>
      </c>
      <c r="G4766" s="11">
        <v>-0.0002</v>
      </c>
      <c r="H4766" s="9">
        <f>MAX($F$3239:F4766)</f>
        <v>2.1361</v>
      </c>
      <c r="I4766" s="11">
        <f t="shared" si="110"/>
        <v>0.00159168578250091</v>
      </c>
      <c r="J4766" s="9"/>
      <c r="K4766" s="11"/>
      <c r="L4766" s="9">
        <f>MAX($F$4357:F4766)</f>
        <v>2.1361</v>
      </c>
      <c r="M4766" s="11">
        <f t="shared" si="111"/>
        <v>0.00159168578250091</v>
      </c>
      <c r="N4766" s="9" t="s">
        <v>809</v>
      </c>
    </row>
    <row r="4767" ht="25" customHeight="1" spans="1:14">
      <c r="A4767" s="9" t="s">
        <v>327</v>
      </c>
      <c r="B4767" s="9" t="s">
        <v>326</v>
      </c>
      <c r="C4767" s="10">
        <v>45798</v>
      </c>
      <c r="D4767" s="15">
        <v>1.0165</v>
      </c>
      <c r="E4767" s="15">
        <v>1.7926</v>
      </c>
      <c r="F4767" s="15">
        <v>2.1321</v>
      </c>
      <c r="G4767" s="11">
        <v>-0.0003</v>
      </c>
      <c r="H4767" s="9">
        <f>MAX($F$3239:F4767)</f>
        <v>2.1361</v>
      </c>
      <c r="I4767" s="11">
        <f t="shared" si="110"/>
        <v>0.00187257150882447</v>
      </c>
      <c r="J4767" s="9"/>
      <c r="K4767" s="11"/>
      <c r="L4767" s="9">
        <f>MAX($F$4357:F4767)</f>
        <v>2.1361</v>
      </c>
      <c r="M4767" s="11">
        <f t="shared" si="111"/>
        <v>0.00187257150882447</v>
      </c>
      <c r="N4767" s="9" t="s">
        <v>809</v>
      </c>
    </row>
    <row r="4768" ht="25" customHeight="1" spans="1:14">
      <c r="A4768" s="9" t="s">
        <v>327</v>
      </c>
      <c r="B4768" s="9" t="s">
        <v>326</v>
      </c>
      <c r="C4768" s="10">
        <v>45799</v>
      </c>
      <c r="D4768" s="15">
        <v>1.0165</v>
      </c>
      <c r="E4768" s="15">
        <v>1.7926</v>
      </c>
      <c r="F4768" s="15">
        <v>2.1321</v>
      </c>
      <c r="G4768" s="11">
        <v>0</v>
      </c>
      <c r="H4768" s="9">
        <f>MAX($F$3239:F4768)</f>
        <v>2.1361</v>
      </c>
      <c r="I4768" s="11">
        <f t="shared" si="110"/>
        <v>0.00187257150882447</v>
      </c>
      <c r="J4768" s="9"/>
      <c r="K4768" s="11"/>
      <c r="L4768" s="9">
        <f>MAX($F$4357:F4768)</f>
        <v>2.1361</v>
      </c>
      <c r="M4768" s="11">
        <f t="shared" si="111"/>
        <v>0.00187257150882447</v>
      </c>
      <c r="N4768" s="9" t="s">
        <v>809</v>
      </c>
    </row>
    <row r="4769" ht="25" customHeight="1" spans="1:14">
      <c r="A4769" s="9" t="s">
        <v>327</v>
      </c>
      <c r="B4769" s="9" t="s">
        <v>326</v>
      </c>
      <c r="C4769" s="10">
        <v>45800</v>
      </c>
      <c r="D4769" s="15">
        <v>1.0167</v>
      </c>
      <c r="E4769" s="15">
        <v>1.7928</v>
      </c>
      <c r="F4769" s="15">
        <v>2.1325</v>
      </c>
      <c r="G4769" s="11">
        <v>0.0002</v>
      </c>
      <c r="H4769" s="9">
        <f>MAX($F$3239:F4769)</f>
        <v>2.1361</v>
      </c>
      <c r="I4769" s="11">
        <f t="shared" si="110"/>
        <v>0.00168531435794206</v>
      </c>
      <c r="J4769" s="9"/>
      <c r="K4769" s="11"/>
      <c r="L4769" s="9">
        <f>MAX($F$4357:F4769)</f>
        <v>2.1361</v>
      </c>
      <c r="M4769" s="11">
        <f t="shared" si="111"/>
        <v>0.00168531435794206</v>
      </c>
      <c r="N4769" s="9" t="s">
        <v>809</v>
      </c>
    </row>
    <row r="4770" ht="25" customHeight="1" spans="1:14">
      <c r="A4770" s="9" t="s">
        <v>327</v>
      </c>
      <c r="B4770" s="9" t="s">
        <v>326</v>
      </c>
      <c r="C4770" s="10">
        <v>45803</v>
      </c>
      <c r="D4770" s="15">
        <v>1.0166</v>
      </c>
      <c r="E4770" s="15">
        <v>1.7927</v>
      </c>
      <c r="F4770" s="15">
        <v>2.1323</v>
      </c>
      <c r="G4770" s="11">
        <v>-0.0001</v>
      </c>
      <c r="H4770" s="9">
        <f>MAX($F$3239:F4770)</f>
        <v>2.1361</v>
      </c>
      <c r="I4770" s="11">
        <f t="shared" si="110"/>
        <v>0.00177894293338332</v>
      </c>
      <c r="J4770" s="9"/>
      <c r="K4770" s="11"/>
      <c r="L4770" s="9">
        <f>MAX($F$4357:F4770)</f>
        <v>2.1361</v>
      </c>
      <c r="M4770" s="11">
        <f t="shared" si="111"/>
        <v>0.00177894293338332</v>
      </c>
      <c r="N4770" s="9" t="s">
        <v>809</v>
      </c>
    </row>
    <row r="4771" ht="25" customHeight="1" spans="1:14">
      <c r="A4771" s="9" t="s">
        <v>327</v>
      </c>
      <c r="B4771" s="9" t="s">
        <v>326</v>
      </c>
      <c r="C4771" s="10">
        <v>45804</v>
      </c>
      <c r="D4771" s="15">
        <v>1.0165</v>
      </c>
      <c r="E4771" s="15">
        <v>1.7926</v>
      </c>
      <c r="F4771" s="15">
        <v>2.1321</v>
      </c>
      <c r="G4771" s="11">
        <v>-0.0001</v>
      </c>
      <c r="H4771" s="9">
        <f>MAX($F$3239:F4771)</f>
        <v>2.1361</v>
      </c>
      <c r="I4771" s="11">
        <f t="shared" si="110"/>
        <v>0.00187257150882447</v>
      </c>
      <c r="J4771" s="9"/>
      <c r="K4771" s="11"/>
      <c r="L4771" s="9">
        <f>MAX($F$4357:F4771)</f>
        <v>2.1361</v>
      </c>
      <c r="M4771" s="11">
        <f t="shared" si="111"/>
        <v>0.00187257150882447</v>
      </c>
      <c r="N4771" s="9" t="s">
        <v>809</v>
      </c>
    </row>
    <row r="4772" ht="25" customHeight="1" spans="1:14">
      <c r="A4772" s="9" t="s">
        <v>327</v>
      </c>
      <c r="B4772" s="9" t="s">
        <v>326</v>
      </c>
      <c r="C4772" s="10">
        <v>45805</v>
      </c>
      <c r="D4772" s="15">
        <v>1.0172</v>
      </c>
      <c r="E4772" s="15">
        <v>1.7933</v>
      </c>
      <c r="F4772" s="15">
        <v>2.1336</v>
      </c>
      <c r="G4772" s="11">
        <v>0.0007</v>
      </c>
      <c r="H4772" s="9">
        <f>MAX($F$3239:F4772)</f>
        <v>2.1361</v>
      </c>
      <c r="I4772" s="11">
        <f t="shared" si="110"/>
        <v>0.00117035719301528</v>
      </c>
      <c r="J4772" s="9"/>
      <c r="K4772" s="11"/>
      <c r="L4772" s="9">
        <f>MAX($F$4357:F4772)</f>
        <v>2.1361</v>
      </c>
      <c r="M4772" s="11">
        <f t="shared" si="111"/>
        <v>0.00117035719301528</v>
      </c>
      <c r="N4772" s="9" t="s">
        <v>809</v>
      </c>
    </row>
    <row r="4773" ht="25" customHeight="1" spans="1:14">
      <c r="A4773" s="9" t="s">
        <v>327</v>
      </c>
      <c r="B4773" s="9" t="s">
        <v>326</v>
      </c>
      <c r="C4773" s="10">
        <v>45806</v>
      </c>
      <c r="D4773" s="15">
        <v>1.0174</v>
      </c>
      <c r="E4773" s="15">
        <v>1.7935</v>
      </c>
      <c r="F4773" s="15">
        <v>2.134</v>
      </c>
      <c r="G4773" s="11">
        <v>0.0002</v>
      </c>
      <c r="H4773" s="9">
        <f>MAX($F$3239:F4773)</f>
        <v>2.1361</v>
      </c>
      <c r="I4773" s="11">
        <f t="shared" si="110"/>
        <v>0.000983100042132867</v>
      </c>
      <c r="J4773" s="9"/>
      <c r="K4773" s="11"/>
      <c r="L4773" s="9">
        <f>MAX($F$4357:F4773)</f>
        <v>2.1361</v>
      </c>
      <c r="M4773" s="11">
        <f t="shared" si="111"/>
        <v>0.000983100042132867</v>
      </c>
      <c r="N4773" s="9" t="s">
        <v>809</v>
      </c>
    </row>
    <row r="4774" ht="25" customHeight="1" spans="1:14">
      <c r="A4774" s="9" t="s">
        <v>327</v>
      </c>
      <c r="B4774" s="9" t="s">
        <v>326</v>
      </c>
      <c r="C4774" s="10">
        <v>45807</v>
      </c>
      <c r="D4774" s="15">
        <v>1.0173</v>
      </c>
      <c r="E4774" s="15">
        <v>1.7934</v>
      </c>
      <c r="F4774" s="15">
        <v>2.1338</v>
      </c>
      <c r="G4774" s="11">
        <v>-0.0001</v>
      </c>
      <c r="H4774" s="9">
        <f>MAX($F$3239:F4774)</f>
        <v>2.1361</v>
      </c>
      <c r="I4774" s="11">
        <f t="shared" si="110"/>
        <v>0.00107672861757402</v>
      </c>
      <c r="J4774" s="9"/>
      <c r="K4774" s="11"/>
      <c r="L4774" s="9">
        <f>MAX($F$4357:F4774)</f>
        <v>2.1361</v>
      </c>
      <c r="M4774" s="11">
        <f t="shared" si="111"/>
        <v>0.00107672861757402</v>
      </c>
      <c r="N4774" s="9" t="s">
        <v>809</v>
      </c>
    </row>
    <row r="4775" ht="25" customHeight="1" spans="1:14">
      <c r="A4775" s="9" t="s">
        <v>327</v>
      </c>
      <c r="B4775" s="9" t="s">
        <v>326</v>
      </c>
      <c r="C4775" s="10">
        <v>45811</v>
      </c>
      <c r="D4775" s="15">
        <v>1.017</v>
      </c>
      <c r="E4775" s="15">
        <v>1.7931</v>
      </c>
      <c r="F4775" s="15">
        <v>2.1332</v>
      </c>
      <c r="G4775" s="11">
        <v>-0.0003</v>
      </c>
      <c r="H4775" s="9">
        <f>MAX($F$3239:F4775)</f>
        <v>2.1361</v>
      </c>
      <c r="I4775" s="11">
        <f t="shared" si="110"/>
        <v>0.0013576143438977</v>
      </c>
      <c r="J4775" s="9"/>
      <c r="K4775" s="11"/>
      <c r="L4775" s="9">
        <f>MAX($F$4357:F4775)</f>
        <v>2.1361</v>
      </c>
      <c r="M4775" s="11">
        <f t="shared" si="111"/>
        <v>0.0013576143438977</v>
      </c>
      <c r="N4775" s="9" t="s">
        <v>809</v>
      </c>
    </row>
    <row r="4776" ht="25" customHeight="1" spans="1:14">
      <c r="A4776" s="9" t="s">
        <v>327</v>
      </c>
      <c r="B4776" s="9" t="s">
        <v>326</v>
      </c>
      <c r="C4776" s="10">
        <v>45812</v>
      </c>
      <c r="D4776" s="15">
        <v>1.0168</v>
      </c>
      <c r="E4776" s="15">
        <v>1.7929</v>
      </c>
      <c r="F4776" s="15">
        <v>2.1327</v>
      </c>
      <c r="G4776" s="11">
        <v>-0.0002</v>
      </c>
      <c r="H4776" s="9">
        <f>MAX($F$3239:F4776)</f>
        <v>2.1361</v>
      </c>
      <c r="I4776" s="11">
        <f t="shared" si="110"/>
        <v>0.00159168578250091</v>
      </c>
      <c r="J4776" s="9"/>
      <c r="K4776" s="11"/>
      <c r="L4776" s="9">
        <f>MAX($F$4357:F4776)</f>
        <v>2.1361</v>
      </c>
      <c r="M4776" s="11">
        <f t="shared" si="111"/>
        <v>0.00159168578250091</v>
      </c>
      <c r="N4776" s="9" t="s">
        <v>809</v>
      </c>
    </row>
    <row r="4777" ht="25" customHeight="1" spans="1:14">
      <c r="A4777" s="9" t="s">
        <v>327</v>
      </c>
      <c r="B4777" s="9" t="s">
        <v>326</v>
      </c>
      <c r="C4777" s="10">
        <v>45813</v>
      </c>
      <c r="D4777" s="15">
        <v>1.0168</v>
      </c>
      <c r="E4777" s="15">
        <v>1.7929</v>
      </c>
      <c r="F4777" s="15">
        <v>2.1327</v>
      </c>
      <c r="G4777" s="11">
        <v>0</v>
      </c>
      <c r="H4777" s="9">
        <f>MAX($F$3239:F4777)</f>
        <v>2.1361</v>
      </c>
      <c r="I4777" s="11">
        <f t="shared" si="110"/>
        <v>0.00159168578250091</v>
      </c>
      <c r="J4777" s="9"/>
      <c r="K4777" s="11"/>
      <c r="L4777" s="9">
        <f>MAX($F$4357:F4777)</f>
        <v>2.1361</v>
      </c>
      <c r="M4777" s="11">
        <f t="shared" si="111"/>
        <v>0.00159168578250091</v>
      </c>
      <c r="N4777" s="9" t="s">
        <v>809</v>
      </c>
    </row>
    <row r="4778" ht="25" customHeight="1" spans="1:14">
      <c r="A4778" s="9" t="s">
        <v>327</v>
      </c>
      <c r="B4778" s="9" t="s">
        <v>326</v>
      </c>
      <c r="C4778" s="10">
        <v>45814</v>
      </c>
      <c r="D4778" s="15">
        <v>1.0168</v>
      </c>
      <c r="E4778" s="15">
        <v>1.7929</v>
      </c>
      <c r="F4778" s="15">
        <v>2.1327</v>
      </c>
      <c r="G4778" s="11">
        <v>0</v>
      </c>
      <c r="H4778" s="9">
        <f>MAX($F$3239:F4778)</f>
        <v>2.1361</v>
      </c>
      <c r="I4778" s="11">
        <f t="shared" si="110"/>
        <v>0.00159168578250091</v>
      </c>
      <c r="J4778" s="9"/>
      <c r="K4778" s="11"/>
      <c r="L4778" s="9">
        <f>MAX($F$4357:F4778)</f>
        <v>2.1361</v>
      </c>
      <c r="M4778" s="11">
        <f t="shared" si="111"/>
        <v>0.00159168578250091</v>
      </c>
      <c r="N4778" s="9" t="s">
        <v>809</v>
      </c>
    </row>
    <row r="4779" ht="25" customHeight="1" spans="1:14">
      <c r="A4779" s="9" t="s">
        <v>327</v>
      </c>
      <c r="B4779" s="9" t="s">
        <v>326</v>
      </c>
      <c r="C4779" s="10">
        <v>45817</v>
      </c>
      <c r="D4779" s="15">
        <v>1.0169</v>
      </c>
      <c r="E4779" s="15">
        <v>1.793</v>
      </c>
      <c r="F4779" s="15">
        <v>2.133</v>
      </c>
      <c r="G4779" s="11">
        <v>0.0001</v>
      </c>
      <c r="H4779" s="9">
        <f>MAX($F$3239:F4779)</f>
        <v>2.1361</v>
      </c>
      <c r="I4779" s="11">
        <f t="shared" si="110"/>
        <v>0.00145124291933896</v>
      </c>
      <c r="J4779" s="9"/>
      <c r="K4779" s="11"/>
      <c r="L4779" s="9">
        <f>MAX($F$4357:F4779)</f>
        <v>2.1361</v>
      </c>
      <c r="M4779" s="11">
        <f t="shared" si="111"/>
        <v>0.00145124291933896</v>
      </c>
      <c r="N4779" s="9" t="s">
        <v>809</v>
      </c>
    </row>
    <row r="4780" ht="25" customHeight="1" spans="1:14">
      <c r="A4780" s="9" t="s">
        <v>327</v>
      </c>
      <c r="B4780" s="9" t="s">
        <v>326</v>
      </c>
      <c r="C4780" s="10">
        <v>45818</v>
      </c>
      <c r="D4780" s="15">
        <v>1.0169</v>
      </c>
      <c r="E4780" s="15">
        <v>1.793</v>
      </c>
      <c r="F4780" s="15">
        <v>2.133</v>
      </c>
      <c r="G4780" s="11">
        <v>0</v>
      </c>
      <c r="H4780" s="9">
        <f>MAX($F$3239:F4780)</f>
        <v>2.1361</v>
      </c>
      <c r="I4780" s="11">
        <f t="shared" si="110"/>
        <v>0.00145124291933896</v>
      </c>
      <c r="J4780" s="9"/>
      <c r="K4780" s="11"/>
      <c r="L4780" s="9">
        <f>MAX($F$4357:F4780)</f>
        <v>2.1361</v>
      </c>
      <c r="M4780" s="11">
        <f t="shared" si="111"/>
        <v>0.00145124291933896</v>
      </c>
      <c r="N4780" s="9" t="s">
        <v>809</v>
      </c>
    </row>
    <row r="4781" ht="25" customHeight="1" spans="1:14">
      <c r="A4781" s="9" t="s">
        <v>327</v>
      </c>
      <c r="B4781" s="9" t="s">
        <v>326</v>
      </c>
      <c r="C4781" s="10">
        <v>45819</v>
      </c>
      <c r="D4781" s="15">
        <v>1.0171</v>
      </c>
      <c r="E4781" s="15">
        <v>1.7932</v>
      </c>
      <c r="F4781" s="15">
        <v>2.1334</v>
      </c>
      <c r="G4781" s="11">
        <v>0.0002</v>
      </c>
      <c r="H4781" s="9">
        <f>MAX($F$3239:F4781)</f>
        <v>2.1361</v>
      </c>
      <c r="I4781" s="11">
        <f t="shared" si="110"/>
        <v>0.00126398576845654</v>
      </c>
      <c r="J4781" s="9"/>
      <c r="K4781" s="11"/>
      <c r="L4781" s="9">
        <f>MAX($F$4357:F4781)</f>
        <v>2.1361</v>
      </c>
      <c r="M4781" s="11">
        <f t="shared" si="111"/>
        <v>0.00126398576845654</v>
      </c>
      <c r="N4781" s="9" t="s">
        <v>809</v>
      </c>
    </row>
    <row r="4782" ht="25" customHeight="1" spans="1:14">
      <c r="A4782" s="9" t="s">
        <v>327</v>
      </c>
      <c r="B4782" s="9" t="s">
        <v>326</v>
      </c>
      <c r="C4782" s="10">
        <v>45820</v>
      </c>
      <c r="D4782" s="15">
        <v>1.0164</v>
      </c>
      <c r="E4782" s="15">
        <v>1.7925</v>
      </c>
      <c r="F4782" s="15">
        <v>2.1319</v>
      </c>
      <c r="G4782" s="11">
        <v>-0.0007</v>
      </c>
      <c r="H4782" s="9">
        <f>MAX($F$3239:F4782)</f>
        <v>2.1361</v>
      </c>
      <c r="I4782" s="11">
        <f t="shared" si="110"/>
        <v>0.00196620008426573</v>
      </c>
      <c r="J4782" s="9"/>
      <c r="K4782" s="11"/>
      <c r="L4782" s="9">
        <f>MAX($F$4357:F4782)</f>
        <v>2.1361</v>
      </c>
      <c r="M4782" s="11">
        <f t="shared" si="111"/>
        <v>0.00196620008426573</v>
      </c>
      <c r="N4782" s="9" t="s">
        <v>809</v>
      </c>
    </row>
    <row r="4783" ht="25" customHeight="1" spans="1:14">
      <c r="A4783" s="9" t="s">
        <v>327</v>
      </c>
      <c r="B4783" s="9" t="s">
        <v>326</v>
      </c>
      <c r="C4783" s="10">
        <v>45821</v>
      </c>
      <c r="D4783" s="15">
        <v>1.0165</v>
      </c>
      <c r="E4783" s="15">
        <v>1.7926</v>
      </c>
      <c r="F4783" s="15">
        <v>2.1321</v>
      </c>
      <c r="G4783" s="11">
        <v>0.0001</v>
      </c>
      <c r="H4783" s="9">
        <f>MAX($F$3239:F4783)</f>
        <v>2.1361</v>
      </c>
      <c r="I4783" s="11">
        <f t="shared" si="110"/>
        <v>0.00187257150882447</v>
      </c>
      <c r="J4783" s="9"/>
      <c r="K4783" s="11"/>
      <c r="L4783" s="9">
        <f>MAX($F$4357:F4783)</f>
        <v>2.1361</v>
      </c>
      <c r="M4783" s="11">
        <f t="shared" si="111"/>
        <v>0.00187257150882447</v>
      </c>
      <c r="N4783" s="9" t="s">
        <v>809</v>
      </c>
    </row>
    <row r="4784" ht="25" customHeight="1" spans="1:14">
      <c r="A4784" s="9" t="s">
        <v>327</v>
      </c>
      <c r="B4784" s="9" t="s">
        <v>326</v>
      </c>
      <c r="C4784" s="10">
        <v>45824</v>
      </c>
      <c r="D4784" s="15">
        <v>1.0163</v>
      </c>
      <c r="E4784" s="15">
        <v>1.7924</v>
      </c>
      <c r="F4784" s="15">
        <v>2.1317</v>
      </c>
      <c r="G4784" s="11">
        <v>-0.0002</v>
      </c>
      <c r="H4784" s="9">
        <f>MAX($F$3239:F4784)</f>
        <v>2.1361</v>
      </c>
      <c r="I4784" s="11">
        <f t="shared" si="110"/>
        <v>0.00205982865970689</v>
      </c>
      <c r="J4784" s="9"/>
      <c r="K4784" s="11"/>
      <c r="L4784" s="9">
        <f>MAX($F$4357:F4784)</f>
        <v>2.1361</v>
      </c>
      <c r="M4784" s="11">
        <f t="shared" si="111"/>
        <v>0.00205982865970689</v>
      </c>
      <c r="N4784" s="9" t="s">
        <v>809</v>
      </c>
    </row>
    <row r="4785" ht="25" customHeight="1" spans="1:14">
      <c r="A4785" s="9" t="s">
        <v>327</v>
      </c>
      <c r="B4785" s="9" t="s">
        <v>326</v>
      </c>
      <c r="C4785" s="10">
        <v>45825</v>
      </c>
      <c r="D4785" s="15">
        <v>1.0165</v>
      </c>
      <c r="E4785" s="15">
        <v>1.7926</v>
      </c>
      <c r="F4785" s="15">
        <v>2.1321</v>
      </c>
      <c r="G4785" s="11">
        <v>0.0002</v>
      </c>
      <c r="H4785" s="9">
        <f>MAX($F$3239:F4785)</f>
        <v>2.1361</v>
      </c>
      <c r="I4785" s="11">
        <f t="shared" si="110"/>
        <v>0.00187257150882447</v>
      </c>
      <c r="J4785" s="9"/>
      <c r="K4785" s="11"/>
      <c r="L4785" s="9">
        <f>MAX($F$4357:F4785)</f>
        <v>2.1361</v>
      </c>
      <c r="M4785" s="11">
        <f t="shared" si="111"/>
        <v>0.00187257150882447</v>
      </c>
      <c r="N4785" s="9" t="s">
        <v>809</v>
      </c>
    </row>
    <row r="4786" ht="25" customHeight="1" spans="1:14">
      <c r="A4786" s="9" t="s">
        <v>327</v>
      </c>
      <c r="B4786" s="9" t="s">
        <v>326</v>
      </c>
      <c r="C4786" s="10">
        <v>45826</v>
      </c>
      <c r="D4786" s="15">
        <v>1.0159</v>
      </c>
      <c r="E4786" s="15">
        <v>1.792</v>
      </c>
      <c r="F4786" s="15">
        <v>2.1309</v>
      </c>
      <c r="G4786" s="11">
        <v>-0.0006</v>
      </c>
      <c r="H4786" s="9">
        <f>MAX($F$3239:F4786)</f>
        <v>2.1361</v>
      </c>
      <c r="I4786" s="11">
        <f t="shared" si="110"/>
        <v>0.00243434296147182</v>
      </c>
      <c r="J4786" s="9"/>
      <c r="K4786" s="11"/>
      <c r="L4786" s="9">
        <f>MAX($F$4357:F4786)</f>
        <v>2.1361</v>
      </c>
      <c r="M4786" s="11">
        <f t="shared" si="111"/>
        <v>0.00243434296147182</v>
      </c>
      <c r="N4786" s="9" t="s">
        <v>809</v>
      </c>
    </row>
    <row r="4787" ht="25" customHeight="1" spans="1:14">
      <c r="A4787" s="9" t="s">
        <v>327</v>
      </c>
      <c r="B4787" s="9" t="s">
        <v>326</v>
      </c>
      <c r="C4787" s="10">
        <v>45827</v>
      </c>
      <c r="D4787" s="15">
        <v>1.0162</v>
      </c>
      <c r="E4787" s="15">
        <v>1.7923</v>
      </c>
      <c r="F4787" s="15">
        <v>2.1315</v>
      </c>
      <c r="G4787" s="11">
        <v>0.0003</v>
      </c>
      <c r="H4787" s="9">
        <f>MAX($F$3239:F4787)</f>
        <v>2.1361</v>
      </c>
      <c r="I4787" s="11">
        <f t="shared" si="110"/>
        <v>0.00215345723514815</v>
      </c>
      <c r="J4787" s="9"/>
      <c r="K4787" s="11"/>
      <c r="L4787" s="9">
        <f>MAX($F$4357:F4787)</f>
        <v>2.1361</v>
      </c>
      <c r="M4787" s="11">
        <f t="shared" si="111"/>
        <v>0.00215345723514815</v>
      </c>
      <c r="N4787" s="9" t="s">
        <v>809</v>
      </c>
    </row>
    <row r="4788" ht="25" customHeight="1" spans="1:14">
      <c r="A4788" s="9" t="s">
        <v>327</v>
      </c>
      <c r="B4788" s="9" t="s">
        <v>326</v>
      </c>
      <c r="C4788" s="10">
        <v>45828</v>
      </c>
      <c r="D4788" s="15">
        <v>1.0161</v>
      </c>
      <c r="E4788" s="15">
        <v>1.7922</v>
      </c>
      <c r="F4788" s="15">
        <v>2.1313</v>
      </c>
      <c r="G4788" s="11">
        <v>-0.0001</v>
      </c>
      <c r="H4788" s="9">
        <f>MAX($F$3239:F4788)</f>
        <v>2.1361</v>
      </c>
      <c r="I4788" s="11">
        <f t="shared" si="110"/>
        <v>0.0022470858105893</v>
      </c>
      <c r="J4788" s="9"/>
      <c r="K4788" s="11"/>
      <c r="L4788" s="9">
        <f>MAX($F$4357:F4788)</f>
        <v>2.1361</v>
      </c>
      <c r="M4788" s="11">
        <f t="shared" si="111"/>
        <v>0.0022470858105893</v>
      </c>
      <c r="N4788" s="9" t="s">
        <v>809</v>
      </c>
    </row>
    <row r="4789" ht="25" customHeight="1" spans="1:14">
      <c r="A4789" s="9" t="s">
        <v>327</v>
      </c>
      <c r="B4789" s="9" t="s">
        <v>326</v>
      </c>
      <c r="C4789" s="10">
        <v>45831</v>
      </c>
      <c r="D4789" s="15">
        <v>1.0176</v>
      </c>
      <c r="E4789" s="15">
        <v>1.7937</v>
      </c>
      <c r="F4789" s="15">
        <v>2.1344</v>
      </c>
      <c r="G4789" s="11">
        <v>0.0015</v>
      </c>
      <c r="H4789" s="9">
        <f>MAX($F$3239:F4789)</f>
        <v>2.1361</v>
      </c>
      <c r="I4789" s="11">
        <f t="shared" si="110"/>
        <v>0.000795842891250453</v>
      </c>
      <c r="J4789" s="9"/>
      <c r="K4789" s="11"/>
      <c r="L4789" s="9">
        <f>MAX($F$4357:F4789)</f>
        <v>2.1361</v>
      </c>
      <c r="M4789" s="11">
        <f t="shared" si="111"/>
        <v>0.000795842891250453</v>
      </c>
      <c r="N4789" s="9" t="s">
        <v>809</v>
      </c>
    </row>
    <row r="4790" ht="25" customHeight="1" spans="1:14">
      <c r="A4790" s="9" t="s">
        <v>327</v>
      </c>
      <c r="B4790" s="9" t="s">
        <v>326</v>
      </c>
      <c r="C4790" s="10">
        <v>45832</v>
      </c>
      <c r="D4790" s="15">
        <v>1.0173</v>
      </c>
      <c r="E4790" s="15">
        <v>1.7934</v>
      </c>
      <c r="F4790" s="15">
        <v>2.1338</v>
      </c>
      <c r="G4790" s="11">
        <v>-0.0003</v>
      </c>
      <c r="H4790" s="9">
        <f>MAX($F$3239:F4790)</f>
        <v>2.1361</v>
      </c>
      <c r="I4790" s="11">
        <f t="shared" si="110"/>
        <v>0.00107672861757402</v>
      </c>
      <c r="J4790" s="9"/>
      <c r="K4790" s="11"/>
      <c r="L4790" s="9">
        <f>MAX($F$4357:F4790)</f>
        <v>2.1361</v>
      </c>
      <c r="M4790" s="11">
        <f t="shared" si="111"/>
        <v>0.00107672861757402</v>
      </c>
      <c r="N4790" s="9" t="s">
        <v>809</v>
      </c>
    </row>
    <row r="4791" ht="25" customHeight="1" spans="1:14">
      <c r="A4791" s="9" t="s">
        <v>327</v>
      </c>
      <c r="B4791" s="9" t="s">
        <v>326</v>
      </c>
      <c r="C4791" s="10">
        <v>45833</v>
      </c>
      <c r="D4791" s="15">
        <v>1.017</v>
      </c>
      <c r="E4791" s="15">
        <v>1.7931</v>
      </c>
      <c r="F4791" s="15">
        <v>2.1332</v>
      </c>
      <c r="G4791" s="11">
        <v>-0.0003</v>
      </c>
      <c r="H4791" s="9">
        <f>MAX($F$3239:F4791)</f>
        <v>2.1361</v>
      </c>
      <c r="I4791" s="11">
        <f t="shared" si="110"/>
        <v>0.0013576143438977</v>
      </c>
      <c r="J4791" s="9"/>
      <c r="K4791" s="11"/>
      <c r="L4791" s="9">
        <f>MAX($F$4357:F4791)</f>
        <v>2.1361</v>
      </c>
      <c r="M4791" s="11">
        <f t="shared" si="111"/>
        <v>0.0013576143438977</v>
      </c>
      <c r="N4791" s="9" t="s">
        <v>809</v>
      </c>
    </row>
    <row r="4792" ht="25" customHeight="1" spans="1:14">
      <c r="A4792" s="9" t="s">
        <v>327</v>
      </c>
      <c r="B4792" s="9" t="s">
        <v>326</v>
      </c>
      <c r="C4792" s="10">
        <v>45834</v>
      </c>
      <c r="D4792" s="15">
        <v>1.0173</v>
      </c>
      <c r="E4792" s="15">
        <v>1.7934</v>
      </c>
      <c r="F4792" s="15">
        <v>2.1338</v>
      </c>
      <c r="G4792" s="11">
        <v>0.0003</v>
      </c>
      <c r="H4792" s="9">
        <f>MAX($F$3239:F4792)</f>
        <v>2.1361</v>
      </c>
      <c r="I4792" s="11">
        <f t="shared" si="110"/>
        <v>0.00107672861757402</v>
      </c>
      <c r="J4792" s="9"/>
      <c r="K4792" s="11"/>
      <c r="L4792" s="9">
        <f>MAX($F$4357:F4792)</f>
        <v>2.1361</v>
      </c>
      <c r="M4792" s="11">
        <f t="shared" si="111"/>
        <v>0.00107672861757402</v>
      </c>
      <c r="N4792" s="9" t="s">
        <v>809</v>
      </c>
    </row>
    <row r="4793" ht="25" customHeight="1" spans="1:14">
      <c r="A4793" s="9" t="s">
        <v>327</v>
      </c>
      <c r="B4793" s="9" t="s">
        <v>326</v>
      </c>
      <c r="C4793" s="10">
        <v>45835</v>
      </c>
      <c r="D4793" s="15">
        <v>1.0176</v>
      </c>
      <c r="E4793" s="15">
        <v>1.7937</v>
      </c>
      <c r="F4793" s="15">
        <v>2.1344</v>
      </c>
      <c r="G4793" s="11">
        <v>0.0003</v>
      </c>
      <c r="H4793" s="9">
        <f>MAX($F$3239:F4793)</f>
        <v>2.1361</v>
      </c>
      <c r="I4793" s="11">
        <f t="shared" si="110"/>
        <v>0.000795842891250453</v>
      </c>
      <c r="J4793" s="9"/>
      <c r="K4793" s="11"/>
      <c r="L4793" s="9">
        <f>MAX($F$4357:F4793)</f>
        <v>2.1361</v>
      </c>
      <c r="M4793" s="11">
        <f t="shared" si="111"/>
        <v>0.000795842891250453</v>
      </c>
      <c r="N4793" s="9" t="s">
        <v>809</v>
      </c>
    </row>
    <row r="4794" ht="25" customHeight="1" spans="1:14">
      <c r="A4794" s="9" t="s">
        <v>327</v>
      </c>
      <c r="B4794" s="9" t="s">
        <v>326</v>
      </c>
      <c r="C4794" s="10">
        <v>45838</v>
      </c>
      <c r="D4794" s="15">
        <v>1.0171</v>
      </c>
      <c r="E4794" s="15">
        <v>1.7932</v>
      </c>
      <c r="F4794" s="15">
        <v>2.1334</v>
      </c>
      <c r="G4794" s="11">
        <v>-0.0005</v>
      </c>
      <c r="H4794" s="9">
        <f>MAX($F$3239:F4794)</f>
        <v>2.1361</v>
      </c>
      <c r="I4794" s="11">
        <f t="shared" si="110"/>
        <v>0.00126398576845654</v>
      </c>
      <c r="J4794" s="9"/>
      <c r="K4794" s="11"/>
      <c r="L4794" s="9">
        <f>MAX($F$4357:F4794)</f>
        <v>2.1361</v>
      </c>
      <c r="M4794" s="11">
        <f t="shared" si="111"/>
        <v>0.00126398576845654</v>
      </c>
      <c r="N4794" s="9" t="s">
        <v>809</v>
      </c>
    </row>
    <row r="4795" ht="25" customHeight="1" spans="1:14">
      <c r="A4795" s="9" t="s">
        <v>327</v>
      </c>
      <c r="B4795" s="9" t="s">
        <v>326</v>
      </c>
      <c r="C4795" s="10">
        <v>45839</v>
      </c>
      <c r="D4795" s="15">
        <v>1.0173</v>
      </c>
      <c r="E4795" s="15">
        <v>1.7934</v>
      </c>
      <c r="F4795" s="15">
        <v>2.1338</v>
      </c>
      <c r="G4795" s="11">
        <v>0.0002</v>
      </c>
      <c r="H4795" s="9">
        <f>MAX($F$3239:F4795)</f>
        <v>2.1361</v>
      </c>
      <c r="I4795" s="11">
        <f t="shared" si="110"/>
        <v>0.00107672861757402</v>
      </c>
      <c r="J4795" s="9"/>
      <c r="K4795" s="11"/>
      <c r="L4795" s="9">
        <f>MAX($F$4357:F4795)</f>
        <v>2.1361</v>
      </c>
      <c r="M4795" s="11">
        <f t="shared" si="111"/>
        <v>0.00107672861757402</v>
      </c>
      <c r="N4795" s="9" t="s">
        <v>809</v>
      </c>
    </row>
    <row r="4796" ht="25" customHeight="1" spans="1:14">
      <c r="A4796" s="9" t="s">
        <v>327</v>
      </c>
      <c r="B4796" s="9" t="s">
        <v>326</v>
      </c>
      <c r="C4796" s="10">
        <v>45840</v>
      </c>
      <c r="D4796" s="15">
        <v>1</v>
      </c>
      <c r="E4796" s="15">
        <v>1.7935</v>
      </c>
      <c r="F4796" s="15">
        <v>2.134</v>
      </c>
      <c r="G4796" s="11">
        <v>0.0001</v>
      </c>
      <c r="H4796" s="9">
        <f>MAX($F$3239:F4796)</f>
        <v>2.1361</v>
      </c>
      <c r="I4796" s="11">
        <f t="shared" si="110"/>
        <v>0.000983100042132867</v>
      </c>
      <c r="J4796" s="9"/>
      <c r="K4796" s="11"/>
      <c r="L4796" s="9">
        <f>MAX($F$4357:F4796)</f>
        <v>2.1361</v>
      </c>
      <c r="M4796" s="11">
        <f t="shared" si="111"/>
        <v>0.000983100042132867</v>
      </c>
      <c r="N4796" s="9" t="s">
        <v>809</v>
      </c>
    </row>
    <row r="4797" ht="25" customHeight="1" spans="1:14">
      <c r="A4797" s="9" t="s">
        <v>327</v>
      </c>
      <c r="B4797" s="9" t="s">
        <v>326</v>
      </c>
      <c r="C4797" s="10">
        <v>45841</v>
      </c>
      <c r="D4797" s="15">
        <v>1</v>
      </c>
      <c r="E4797" s="15">
        <v>1.7935</v>
      </c>
      <c r="F4797" s="15">
        <v>2.134</v>
      </c>
      <c r="G4797" s="11">
        <v>0</v>
      </c>
      <c r="H4797" s="9">
        <f>MAX($F$3239:F4797)</f>
        <v>2.1361</v>
      </c>
      <c r="I4797" s="11">
        <f t="shared" si="110"/>
        <v>0.000983100042132867</v>
      </c>
      <c r="J4797" s="9"/>
      <c r="K4797" s="11"/>
      <c r="L4797" s="9">
        <f>MAX($F$4357:F4797)</f>
        <v>2.1361</v>
      </c>
      <c r="M4797" s="11">
        <f t="shared" si="111"/>
        <v>0.000983100042132867</v>
      </c>
      <c r="N4797" s="9" t="s">
        <v>809</v>
      </c>
    </row>
    <row r="4798" ht="25" customHeight="1" spans="1:14">
      <c r="A4798" s="9" t="s">
        <v>327</v>
      </c>
      <c r="B4798" s="9" t="s">
        <v>326</v>
      </c>
      <c r="C4798" s="10">
        <v>45842</v>
      </c>
      <c r="D4798" s="15">
        <v>0.9996</v>
      </c>
      <c r="E4798" s="15">
        <v>1.7931</v>
      </c>
      <c r="F4798" s="15">
        <v>2.1332</v>
      </c>
      <c r="G4798" s="11">
        <v>-0.0004</v>
      </c>
      <c r="H4798" s="9">
        <f>MAX($F$3239:F4798)</f>
        <v>2.1361</v>
      </c>
      <c r="I4798" s="11">
        <f t="shared" si="110"/>
        <v>0.0013576143438977</v>
      </c>
      <c r="J4798" s="9"/>
      <c r="K4798" s="11"/>
      <c r="L4798" s="9">
        <f>MAX($F$4357:F4798)</f>
        <v>2.1361</v>
      </c>
      <c r="M4798" s="11">
        <f t="shared" si="111"/>
        <v>0.0013576143438977</v>
      </c>
      <c r="N4798" s="9" t="s">
        <v>809</v>
      </c>
    </row>
    <row r="4799" ht="25" customHeight="1" spans="1:14">
      <c r="A4799" s="9" t="s">
        <v>327</v>
      </c>
      <c r="B4799" s="9" t="s">
        <v>326</v>
      </c>
      <c r="C4799" s="10">
        <v>45845</v>
      </c>
      <c r="D4799" s="15">
        <v>0.9995</v>
      </c>
      <c r="E4799" s="15">
        <v>1.793</v>
      </c>
      <c r="F4799" s="15">
        <v>2.1329</v>
      </c>
      <c r="G4799" s="11">
        <v>-0.0001</v>
      </c>
      <c r="H4799" s="9">
        <f>MAX($F$3239:F4799)</f>
        <v>2.1361</v>
      </c>
      <c r="I4799" s="11">
        <f t="shared" si="110"/>
        <v>0.00149805720705964</v>
      </c>
      <c r="J4799" s="9"/>
      <c r="K4799" s="11"/>
      <c r="L4799" s="9">
        <f>MAX($F$4357:F4799)</f>
        <v>2.1361</v>
      </c>
      <c r="M4799" s="11">
        <f t="shared" si="111"/>
        <v>0.00149805720705964</v>
      </c>
      <c r="N4799" s="9" t="s">
        <v>809</v>
      </c>
    </row>
    <row r="4800" ht="25" customHeight="1" spans="1:14">
      <c r="A4800" s="9" t="s">
        <v>327</v>
      </c>
      <c r="B4800" s="9" t="s">
        <v>326</v>
      </c>
      <c r="C4800" s="10">
        <v>45846</v>
      </c>
      <c r="D4800" s="15">
        <v>0.9996</v>
      </c>
      <c r="E4800" s="15">
        <v>1.7931</v>
      </c>
      <c r="F4800" s="15">
        <v>2.1332</v>
      </c>
      <c r="G4800" s="11">
        <v>0.0001</v>
      </c>
      <c r="H4800" s="9">
        <f>MAX($F$3239:F4800)</f>
        <v>2.1361</v>
      </c>
      <c r="I4800" s="11">
        <f t="shared" si="110"/>
        <v>0.0013576143438977</v>
      </c>
      <c r="J4800" s="9"/>
      <c r="K4800" s="11"/>
      <c r="L4800" s="9">
        <f>MAX($F$4357:F4800)</f>
        <v>2.1361</v>
      </c>
      <c r="M4800" s="11">
        <f t="shared" si="111"/>
        <v>0.0013576143438977</v>
      </c>
      <c r="N4800" s="9" t="s">
        <v>809</v>
      </c>
    </row>
    <row r="4801" ht="25" customHeight="1" spans="1:14">
      <c r="A4801" s="9" t="s">
        <v>327</v>
      </c>
      <c r="B4801" s="9" t="s">
        <v>326</v>
      </c>
      <c r="C4801" s="10">
        <v>45847</v>
      </c>
      <c r="D4801" s="15">
        <v>0.9995</v>
      </c>
      <c r="E4801" s="15">
        <v>1.793</v>
      </c>
      <c r="F4801" s="15">
        <v>2.1329</v>
      </c>
      <c r="G4801" s="11">
        <v>-0.0001</v>
      </c>
      <c r="H4801" s="9">
        <f>MAX($F$3239:F4801)</f>
        <v>2.1361</v>
      </c>
      <c r="I4801" s="11">
        <f t="shared" si="110"/>
        <v>0.00149805720705964</v>
      </c>
      <c r="J4801" s="9"/>
      <c r="K4801" s="11"/>
      <c r="L4801" s="9">
        <f>MAX($F$4357:F4801)</f>
        <v>2.1361</v>
      </c>
      <c r="M4801" s="11">
        <f t="shared" si="111"/>
        <v>0.00149805720705964</v>
      </c>
      <c r="N4801" s="9" t="s">
        <v>809</v>
      </c>
    </row>
    <row r="4802" ht="25" customHeight="1" spans="1:14">
      <c r="A4802" s="9" t="s">
        <v>327</v>
      </c>
      <c r="B4802" s="9" t="s">
        <v>326</v>
      </c>
      <c r="C4802" s="10">
        <v>45848</v>
      </c>
      <c r="D4802" s="15">
        <v>0.9995</v>
      </c>
      <c r="E4802" s="15">
        <v>1.793</v>
      </c>
      <c r="F4802" s="15">
        <v>2.1329</v>
      </c>
      <c r="G4802" s="11">
        <v>0</v>
      </c>
      <c r="H4802" s="9">
        <f>MAX($F$3239:F4802)</f>
        <v>2.1361</v>
      </c>
      <c r="I4802" s="11">
        <f t="shared" ref="I4802:I4865" si="112">1-F4802/H4802</f>
        <v>0.00149805720705964</v>
      </c>
      <c r="J4802" s="9"/>
      <c r="K4802" s="11"/>
      <c r="L4802" s="9">
        <f>MAX($F$4357:F4802)</f>
        <v>2.1361</v>
      </c>
      <c r="M4802" s="11">
        <f t="shared" si="111"/>
        <v>0.00149805720705964</v>
      </c>
      <c r="N4802" s="9" t="s">
        <v>809</v>
      </c>
    </row>
    <row r="4803" ht="25" customHeight="1" spans="1:14">
      <c r="A4803" s="9" t="s">
        <v>327</v>
      </c>
      <c r="B4803" s="9" t="s">
        <v>326</v>
      </c>
      <c r="C4803" s="10">
        <v>45849</v>
      </c>
      <c r="D4803" s="15">
        <v>0.9991</v>
      </c>
      <c r="E4803" s="15">
        <v>1.7926</v>
      </c>
      <c r="F4803" s="15">
        <v>2.1321</v>
      </c>
      <c r="G4803" s="11">
        <v>-0.0004</v>
      </c>
      <c r="H4803" s="9">
        <f>MAX($F$3239:F4803)</f>
        <v>2.1361</v>
      </c>
      <c r="I4803" s="11">
        <f t="shared" si="112"/>
        <v>0.00187257150882447</v>
      </c>
      <c r="J4803" s="9"/>
      <c r="K4803" s="11"/>
      <c r="L4803" s="9">
        <f>MAX($F$4357:F4803)</f>
        <v>2.1361</v>
      </c>
      <c r="M4803" s="11">
        <f t="shared" si="111"/>
        <v>0.00187257150882447</v>
      </c>
      <c r="N4803" s="9" t="s">
        <v>809</v>
      </c>
    </row>
    <row r="4804" ht="25" customHeight="1" spans="1:14">
      <c r="A4804" s="9" t="s">
        <v>327</v>
      </c>
      <c r="B4804" s="9" t="s">
        <v>326</v>
      </c>
      <c r="C4804" s="10">
        <v>45852</v>
      </c>
      <c r="D4804" s="15">
        <v>0.9991</v>
      </c>
      <c r="E4804" s="15">
        <v>1.7926</v>
      </c>
      <c r="F4804" s="15">
        <v>2.1321</v>
      </c>
      <c r="G4804" s="11">
        <v>0</v>
      </c>
      <c r="H4804" s="9">
        <f>MAX($F$3239:F4804)</f>
        <v>2.1361</v>
      </c>
      <c r="I4804" s="11">
        <f t="shared" si="112"/>
        <v>0.00187257150882447</v>
      </c>
      <c r="J4804" s="9"/>
      <c r="K4804" s="11"/>
      <c r="L4804" s="9">
        <f>MAX($F$4357:F4804)</f>
        <v>2.1361</v>
      </c>
      <c r="M4804" s="11">
        <f t="shared" si="111"/>
        <v>0.00187257150882447</v>
      </c>
      <c r="N4804" s="9" t="s">
        <v>809</v>
      </c>
    </row>
    <row r="4805" ht="25" customHeight="1" spans="1:14">
      <c r="A4805" s="9" t="s">
        <v>327</v>
      </c>
      <c r="B4805" s="9" t="s">
        <v>326</v>
      </c>
      <c r="C4805" s="10">
        <v>45853</v>
      </c>
      <c r="D4805" s="15">
        <v>0.9992</v>
      </c>
      <c r="E4805" s="15">
        <v>1.7927</v>
      </c>
      <c r="F4805" s="15">
        <v>2.1323</v>
      </c>
      <c r="G4805" s="11">
        <v>0.0001</v>
      </c>
      <c r="H4805" s="9">
        <f>MAX($F$3239:F4805)</f>
        <v>2.1361</v>
      </c>
      <c r="I4805" s="11">
        <f t="shared" si="112"/>
        <v>0.00177894293338332</v>
      </c>
      <c r="J4805" s="9"/>
      <c r="K4805" s="11"/>
      <c r="L4805" s="9">
        <f>MAX($F$4357:F4805)</f>
        <v>2.1361</v>
      </c>
      <c r="M4805" s="11">
        <f t="shared" ref="M4805:M4868" si="113">1-F4805/L4805</f>
        <v>0.00177894293338332</v>
      </c>
      <c r="N4805" s="9" t="s">
        <v>809</v>
      </c>
    </row>
    <row r="4806" ht="25" customHeight="1" spans="1:14">
      <c r="A4806" s="9" t="s">
        <v>327</v>
      </c>
      <c r="B4806" s="9" t="s">
        <v>326</v>
      </c>
      <c r="C4806" s="10">
        <v>45854</v>
      </c>
      <c r="D4806" s="15">
        <v>0.9995</v>
      </c>
      <c r="E4806" s="15">
        <v>1.793</v>
      </c>
      <c r="F4806" s="15">
        <v>2.1329</v>
      </c>
      <c r="G4806" s="11">
        <v>0.0003</v>
      </c>
      <c r="H4806" s="9">
        <f>MAX($F$3239:F4806)</f>
        <v>2.1361</v>
      </c>
      <c r="I4806" s="11">
        <f t="shared" si="112"/>
        <v>0.00149805720705964</v>
      </c>
      <c r="J4806" s="9"/>
      <c r="K4806" s="11"/>
      <c r="L4806" s="9">
        <f>MAX($F$4357:F4806)</f>
        <v>2.1361</v>
      </c>
      <c r="M4806" s="11">
        <f t="shared" si="113"/>
        <v>0.00149805720705964</v>
      </c>
      <c r="N4806" s="9" t="s">
        <v>809</v>
      </c>
    </row>
    <row r="4807" ht="25" customHeight="1" spans="1:14">
      <c r="A4807" s="9" t="s">
        <v>327</v>
      </c>
      <c r="B4807" s="9" t="s">
        <v>326</v>
      </c>
      <c r="C4807" s="10">
        <v>45855</v>
      </c>
      <c r="D4807" s="15">
        <v>0.9998</v>
      </c>
      <c r="E4807" s="15">
        <v>1.7933</v>
      </c>
      <c r="F4807" s="15">
        <v>2.1336</v>
      </c>
      <c r="G4807" s="11">
        <v>0.0003</v>
      </c>
      <c r="H4807" s="9">
        <f>MAX($F$3239:F4807)</f>
        <v>2.1361</v>
      </c>
      <c r="I4807" s="11">
        <f t="shared" si="112"/>
        <v>0.00117035719301528</v>
      </c>
      <c r="J4807" s="9"/>
      <c r="K4807" s="11"/>
      <c r="L4807" s="9">
        <f>MAX($F$4357:F4807)</f>
        <v>2.1361</v>
      </c>
      <c r="M4807" s="11">
        <f t="shared" si="113"/>
        <v>0.00117035719301528</v>
      </c>
      <c r="N4807" s="9" t="s">
        <v>809</v>
      </c>
    </row>
    <row r="4808" ht="25" customHeight="1" spans="1:14">
      <c r="A4808" s="9" t="s">
        <v>327</v>
      </c>
      <c r="B4808" s="9" t="s">
        <v>326</v>
      </c>
      <c r="C4808" s="10">
        <v>45856</v>
      </c>
      <c r="D4808" s="15">
        <v>0.9994</v>
      </c>
      <c r="E4808" s="15">
        <v>1.7929</v>
      </c>
      <c r="F4808" s="15">
        <v>2.1327</v>
      </c>
      <c r="G4808" s="11">
        <v>-0.0004</v>
      </c>
      <c r="H4808" s="9">
        <f>MAX($F$3239:F4808)</f>
        <v>2.1361</v>
      </c>
      <c r="I4808" s="11">
        <f t="shared" si="112"/>
        <v>0.00159168578250091</v>
      </c>
      <c r="J4808" s="9"/>
      <c r="K4808" s="11"/>
      <c r="L4808" s="9">
        <f>MAX($F$4357:F4808)</f>
        <v>2.1361</v>
      </c>
      <c r="M4808" s="11">
        <f t="shared" si="113"/>
        <v>0.00159168578250091</v>
      </c>
      <c r="N4808" s="9" t="s">
        <v>809</v>
      </c>
    </row>
    <row r="4809" ht="25" customHeight="1" spans="1:14">
      <c r="A4809" s="9" t="s">
        <v>327</v>
      </c>
      <c r="B4809" s="9" t="s">
        <v>326</v>
      </c>
      <c r="C4809" s="10">
        <v>45859</v>
      </c>
      <c r="D4809" s="15">
        <v>0.9996</v>
      </c>
      <c r="E4809" s="15">
        <v>1.7931</v>
      </c>
      <c r="F4809" s="15">
        <v>2.1332</v>
      </c>
      <c r="G4809" s="11">
        <v>0.0002</v>
      </c>
      <c r="H4809" s="9">
        <f>MAX($F$3239:F4809)</f>
        <v>2.1361</v>
      </c>
      <c r="I4809" s="11">
        <f t="shared" si="112"/>
        <v>0.0013576143438977</v>
      </c>
      <c r="J4809" s="9"/>
      <c r="K4809" s="11"/>
      <c r="L4809" s="9">
        <f>MAX($F$4357:F4809)</f>
        <v>2.1361</v>
      </c>
      <c r="M4809" s="11">
        <f t="shared" si="113"/>
        <v>0.0013576143438977</v>
      </c>
      <c r="N4809" s="9" t="s">
        <v>809</v>
      </c>
    </row>
    <row r="4810" ht="25" customHeight="1" spans="1:14">
      <c r="A4810" s="9" t="s">
        <v>327</v>
      </c>
      <c r="B4810" s="9" t="s">
        <v>326</v>
      </c>
      <c r="C4810" s="10">
        <v>45860</v>
      </c>
      <c r="D4810" s="15">
        <v>0.9995</v>
      </c>
      <c r="E4810" s="15">
        <v>1.793</v>
      </c>
      <c r="F4810" s="15">
        <v>2.1329</v>
      </c>
      <c r="G4810" s="11">
        <v>-0.0001</v>
      </c>
      <c r="H4810" s="9">
        <f>MAX($F$3239:F4810)</f>
        <v>2.1361</v>
      </c>
      <c r="I4810" s="11">
        <f t="shared" si="112"/>
        <v>0.00149805720705964</v>
      </c>
      <c r="J4810" s="9"/>
      <c r="K4810" s="11"/>
      <c r="L4810" s="9">
        <f>MAX($F$4357:F4810)</f>
        <v>2.1361</v>
      </c>
      <c r="M4810" s="11">
        <f t="shared" si="113"/>
        <v>0.00149805720705964</v>
      </c>
      <c r="N4810" s="9" t="s">
        <v>809</v>
      </c>
    </row>
    <row r="4811" ht="25" customHeight="1" spans="1:14">
      <c r="A4811" s="9" t="s">
        <v>327</v>
      </c>
      <c r="B4811" s="9" t="s">
        <v>326</v>
      </c>
      <c r="C4811" s="10">
        <v>45861</v>
      </c>
      <c r="D4811" s="15">
        <v>0.9995</v>
      </c>
      <c r="E4811" s="15">
        <v>1.793</v>
      </c>
      <c r="F4811" s="15">
        <v>2.1329</v>
      </c>
      <c r="G4811" s="11">
        <v>0</v>
      </c>
      <c r="H4811" s="9">
        <f>MAX($F$3239:F4811)</f>
        <v>2.1361</v>
      </c>
      <c r="I4811" s="11">
        <f t="shared" si="112"/>
        <v>0.00149805720705964</v>
      </c>
      <c r="J4811" s="9"/>
      <c r="K4811" s="11"/>
      <c r="L4811" s="9">
        <f>MAX($F$4357:F4811)</f>
        <v>2.1361</v>
      </c>
      <c r="M4811" s="11">
        <f t="shared" si="113"/>
        <v>0.00149805720705964</v>
      </c>
      <c r="N4811" s="9" t="s">
        <v>809</v>
      </c>
    </row>
    <row r="4812" ht="25" customHeight="1" spans="1:14">
      <c r="A4812" s="9" t="s">
        <v>327</v>
      </c>
      <c r="B4812" s="9" t="s">
        <v>326</v>
      </c>
      <c r="C4812" s="10">
        <v>45862</v>
      </c>
      <c r="D4812" s="15">
        <v>0.9995</v>
      </c>
      <c r="E4812" s="15">
        <v>1.793</v>
      </c>
      <c r="F4812" s="15">
        <v>2.1329</v>
      </c>
      <c r="G4812" s="11">
        <v>0</v>
      </c>
      <c r="H4812" s="9">
        <f>MAX($F$3239:F4812)</f>
        <v>2.1361</v>
      </c>
      <c r="I4812" s="11">
        <f t="shared" si="112"/>
        <v>0.00149805720705964</v>
      </c>
      <c r="J4812" s="9"/>
      <c r="K4812" s="11"/>
      <c r="L4812" s="9">
        <f>MAX($F$4357:F4812)</f>
        <v>2.1361</v>
      </c>
      <c r="M4812" s="11">
        <f t="shared" si="113"/>
        <v>0.00149805720705964</v>
      </c>
      <c r="N4812" s="9" t="s">
        <v>809</v>
      </c>
    </row>
    <row r="4813" ht="25" customHeight="1" spans="1:14">
      <c r="A4813" s="9" t="s">
        <v>327</v>
      </c>
      <c r="B4813" s="9" t="s">
        <v>326</v>
      </c>
      <c r="C4813" s="10">
        <v>45863</v>
      </c>
      <c r="D4813" s="15">
        <v>0.9992</v>
      </c>
      <c r="E4813" s="15">
        <v>1.7927</v>
      </c>
      <c r="F4813" s="15">
        <v>2.1323</v>
      </c>
      <c r="G4813" s="11">
        <v>-0.0003</v>
      </c>
      <c r="H4813" s="9">
        <f>MAX($F$3239:F4813)</f>
        <v>2.1361</v>
      </c>
      <c r="I4813" s="11">
        <f t="shared" si="112"/>
        <v>0.00177894293338332</v>
      </c>
      <c r="J4813" s="9"/>
      <c r="K4813" s="11"/>
      <c r="L4813" s="9">
        <f>MAX($F$4357:F4813)</f>
        <v>2.1361</v>
      </c>
      <c r="M4813" s="11">
        <f t="shared" si="113"/>
        <v>0.00177894293338332</v>
      </c>
      <c r="N4813" s="9" t="s">
        <v>809</v>
      </c>
    </row>
    <row r="4814" ht="25" customHeight="1" spans="1:14">
      <c r="A4814" s="9" t="s">
        <v>327</v>
      </c>
      <c r="B4814" s="9" t="s">
        <v>326</v>
      </c>
      <c r="C4814" s="10">
        <v>45866</v>
      </c>
      <c r="D4814" s="15">
        <v>0.9991</v>
      </c>
      <c r="E4814" s="15">
        <v>1.7926</v>
      </c>
      <c r="F4814" s="15">
        <v>2.1321</v>
      </c>
      <c r="G4814" s="11">
        <v>-0.0001</v>
      </c>
      <c r="H4814" s="9">
        <f>MAX($F$3239:F4814)</f>
        <v>2.1361</v>
      </c>
      <c r="I4814" s="11">
        <f t="shared" si="112"/>
        <v>0.00187257150882447</v>
      </c>
      <c r="J4814" s="9"/>
      <c r="K4814" s="11"/>
      <c r="L4814" s="9">
        <f>MAX($F$4357:F4814)</f>
        <v>2.1361</v>
      </c>
      <c r="M4814" s="11">
        <f t="shared" si="113"/>
        <v>0.00187257150882447</v>
      </c>
      <c r="N4814" s="9" t="s">
        <v>809</v>
      </c>
    </row>
    <row r="4815" ht="25" customHeight="1" spans="1:14">
      <c r="A4815" s="9" t="s">
        <v>327</v>
      </c>
      <c r="B4815" s="9" t="s">
        <v>326</v>
      </c>
      <c r="C4815" s="10">
        <v>45867</v>
      </c>
      <c r="D4815" s="15">
        <v>0.9995</v>
      </c>
      <c r="E4815" s="15">
        <v>1.793</v>
      </c>
      <c r="F4815" s="15">
        <v>2.1329</v>
      </c>
      <c r="G4815" s="11">
        <v>0.0004</v>
      </c>
      <c r="H4815" s="9">
        <f>MAX($F$3239:F4815)</f>
        <v>2.1361</v>
      </c>
      <c r="I4815" s="11">
        <f t="shared" si="112"/>
        <v>0.00149805720705964</v>
      </c>
      <c r="J4815" s="9"/>
      <c r="K4815" s="11"/>
      <c r="L4815" s="9">
        <f>MAX($F$4357:F4815)</f>
        <v>2.1361</v>
      </c>
      <c r="M4815" s="11">
        <f t="shared" si="113"/>
        <v>0.00149805720705964</v>
      </c>
      <c r="N4815" s="9" t="s">
        <v>809</v>
      </c>
    </row>
    <row r="4816" ht="25" customHeight="1" spans="1:14">
      <c r="A4816" s="9" t="s">
        <v>327</v>
      </c>
      <c r="B4816" s="9" t="s">
        <v>326</v>
      </c>
      <c r="C4816" s="10">
        <v>45868</v>
      </c>
      <c r="D4816" s="15">
        <v>0.9995</v>
      </c>
      <c r="E4816" s="15">
        <v>1.793</v>
      </c>
      <c r="F4816" s="15">
        <v>2.1329</v>
      </c>
      <c r="G4816" s="11">
        <v>0</v>
      </c>
      <c r="H4816" s="9">
        <f>MAX($F$3239:F4816)</f>
        <v>2.1361</v>
      </c>
      <c r="I4816" s="11">
        <f t="shared" si="112"/>
        <v>0.00149805720705964</v>
      </c>
      <c r="J4816" s="9"/>
      <c r="K4816" s="11"/>
      <c r="L4816" s="9">
        <f>MAX($F$4357:F4816)</f>
        <v>2.1361</v>
      </c>
      <c r="M4816" s="11">
        <f t="shared" si="113"/>
        <v>0.00149805720705964</v>
      </c>
      <c r="N4816" s="9" t="s">
        <v>809</v>
      </c>
    </row>
    <row r="4817" ht="25" customHeight="1" spans="1:14">
      <c r="A4817" s="9" t="s">
        <v>327</v>
      </c>
      <c r="B4817" s="9" t="s">
        <v>326</v>
      </c>
      <c r="C4817" s="10">
        <v>45869</v>
      </c>
      <c r="D4817" s="15">
        <v>0.9993</v>
      </c>
      <c r="E4817" s="15">
        <v>1.7928</v>
      </c>
      <c r="F4817" s="15">
        <v>2.1325</v>
      </c>
      <c r="G4817" s="11">
        <v>-0.0002</v>
      </c>
      <c r="H4817" s="9">
        <f>MAX($F$3239:F4817)</f>
        <v>2.1361</v>
      </c>
      <c r="I4817" s="11">
        <f t="shared" si="112"/>
        <v>0.00168531435794206</v>
      </c>
      <c r="J4817" s="9"/>
      <c r="K4817" s="11"/>
      <c r="L4817" s="9">
        <f>MAX($F$4357:F4817)</f>
        <v>2.1361</v>
      </c>
      <c r="M4817" s="11">
        <f t="shared" si="113"/>
        <v>0.00168531435794206</v>
      </c>
      <c r="N4817" s="9" t="s">
        <v>809</v>
      </c>
    </row>
    <row r="4818" ht="25" customHeight="1" spans="1:14">
      <c r="A4818" s="9" t="s">
        <v>327</v>
      </c>
      <c r="B4818" s="9" t="s">
        <v>326</v>
      </c>
      <c r="C4818" s="10">
        <v>45870</v>
      </c>
      <c r="D4818" s="15">
        <v>0.999</v>
      </c>
      <c r="E4818" s="15">
        <v>1.7925</v>
      </c>
      <c r="F4818" s="15">
        <v>2.1319</v>
      </c>
      <c r="G4818" s="11">
        <v>-0.0003</v>
      </c>
      <c r="H4818" s="9">
        <f>MAX($F$3239:F4818)</f>
        <v>2.1361</v>
      </c>
      <c r="I4818" s="11">
        <f t="shared" si="112"/>
        <v>0.00196620008426573</v>
      </c>
      <c r="J4818" s="9"/>
      <c r="K4818" s="11"/>
      <c r="L4818" s="9">
        <f>MAX($F$4357:F4818)</f>
        <v>2.1361</v>
      </c>
      <c r="M4818" s="11">
        <f t="shared" si="113"/>
        <v>0.00196620008426573</v>
      </c>
      <c r="N4818" s="9" t="s">
        <v>809</v>
      </c>
    </row>
    <row r="4819" ht="25" customHeight="1" spans="1:14">
      <c r="A4819" s="9" t="s">
        <v>327</v>
      </c>
      <c r="B4819" s="9" t="s">
        <v>326</v>
      </c>
      <c r="C4819" s="10">
        <v>45873</v>
      </c>
      <c r="D4819" s="15">
        <v>0.9989</v>
      </c>
      <c r="E4819" s="15">
        <v>1.7924</v>
      </c>
      <c r="F4819" s="15">
        <v>2.1317</v>
      </c>
      <c r="G4819" s="11">
        <v>-0.0001</v>
      </c>
      <c r="H4819" s="9">
        <f>MAX($F$3239:F4819)</f>
        <v>2.1361</v>
      </c>
      <c r="I4819" s="11">
        <f t="shared" si="112"/>
        <v>0.00205982865970689</v>
      </c>
      <c r="J4819" s="9"/>
      <c r="K4819" s="11"/>
      <c r="L4819" s="9">
        <f>MAX($F$4357:F4819)</f>
        <v>2.1361</v>
      </c>
      <c r="M4819" s="11">
        <f t="shared" si="113"/>
        <v>0.00205982865970689</v>
      </c>
      <c r="N4819" s="9" t="s">
        <v>809</v>
      </c>
    </row>
    <row r="4820" ht="25" customHeight="1" spans="1:14">
      <c r="A4820" s="9" t="s">
        <v>327</v>
      </c>
      <c r="B4820" s="9" t="s">
        <v>326</v>
      </c>
      <c r="C4820" s="10">
        <v>45874</v>
      </c>
      <c r="D4820" s="15">
        <v>0.9988</v>
      </c>
      <c r="E4820" s="15">
        <v>1.7923</v>
      </c>
      <c r="F4820" s="15">
        <v>2.1314</v>
      </c>
      <c r="G4820" s="11">
        <v>-0.0001</v>
      </c>
      <c r="H4820" s="9">
        <f>MAX($F$3239:F4820)</f>
        <v>2.1361</v>
      </c>
      <c r="I4820" s="11">
        <f t="shared" si="112"/>
        <v>0.00220027152286861</v>
      </c>
      <c r="J4820" s="9"/>
      <c r="K4820" s="11"/>
      <c r="L4820" s="9">
        <f>MAX($F$4357:F4820)</f>
        <v>2.1361</v>
      </c>
      <c r="M4820" s="11">
        <f t="shared" si="113"/>
        <v>0.00220027152286861</v>
      </c>
      <c r="N4820" s="9" t="s">
        <v>809</v>
      </c>
    </row>
    <row r="4821" ht="25" customHeight="1" spans="1:14">
      <c r="A4821" s="9" t="s">
        <v>327</v>
      </c>
      <c r="B4821" s="9" t="s">
        <v>326</v>
      </c>
      <c r="C4821" s="10">
        <v>45875</v>
      </c>
      <c r="D4821" s="15">
        <v>0.9986</v>
      </c>
      <c r="E4821" s="15">
        <v>1.7921</v>
      </c>
      <c r="F4821" s="15">
        <v>2.131</v>
      </c>
      <c r="G4821" s="11">
        <v>-0.0002</v>
      </c>
      <c r="H4821" s="9">
        <f>MAX($F$3239:F4821)</f>
        <v>2.1361</v>
      </c>
      <c r="I4821" s="11">
        <f t="shared" si="112"/>
        <v>0.00238752867375125</v>
      </c>
      <c r="J4821" s="9"/>
      <c r="K4821" s="11"/>
      <c r="L4821" s="9">
        <f>MAX($F$4357:F4821)</f>
        <v>2.1361</v>
      </c>
      <c r="M4821" s="11">
        <f t="shared" si="113"/>
        <v>0.00238752867375125</v>
      </c>
      <c r="N4821" s="9" t="s">
        <v>809</v>
      </c>
    </row>
    <row r="4822" ht="25" customHeight="1" spans="1:14">
      <c r="A4822" s="9" t="s">
        <v>327</v>
      </c>
      <c r="B4822" s="9" t="s">
        <v>326</v>
      </c>
      <c r="C4822" s="10">
        <v>45876</v>
      </c>
      <c r="D4822" s="15">
        <v>0.9988</v>
      </c>
      <c r="E4822" s="15">
        <v>1.7923</v>
      </c>
      <c r="F4822" s="15">
        <v>2.1314</v>
      </c>
      <c r="G4822" s="11">
        <v>0.0002</v>
      </c>
      <c r="H4822" s="9">
        <f>MAX($F$3239:F4822)</f>
        <v>2.1361</v>
      </c>
      <c r="I4822" s="11">
        <f t="shared" si="112"/>
        <v>0.00220027152286861</v>
      </c>
      <c r="J4822" s="9"/>
      <c r="K4822" s="11"/>
      <c r="L4822" s="9">
        <f>MAX($F$4357:F4822)</f>
        <v>2.1361</v>
      </c>
      <c r="M4822" s="11">
        <f t="shared" si="113"/>
        <v>0.00220027152286861</v>
      </c>
      <c r="N4822" s="9" t="s">
        <v>809</v>
      </c>
    </row>
    <row r="4823" ht="25" customHeight="1" spans="1:14">
      <c r="A4823" s="9" t="s">
        <v>327</v>
      </c>
      <c r="B4823" s="9" t="s">
        <v>326</v>
      </c>
      <c r="C4823" s="10">
        <v>45877</v>
      </c>
      <c r="D4823" s="15">
        <v>0.9987</v>
      </c>
      <c r="E4823" s="15">
        <v>1.7922</v>
      </c>
      <c r="F4823" s="15">
        <v>2.1312</v>
      </c>
      <c r="G4823" s="11">
        <v>-0.0001</v>
      </c>
      <c r="H4823" s="9">
        <f>MAX($F$3239:F4823)</f>
        <v>2.1361</v>
      </c>
      <c r="I4823" s="11">
        <f t="shared" si="112"/>
        <v>0.00229390009830988</v>
      </c>
      <c r="J4823" s="9"/>
      <c r="K4823" s="11"/>
      <c r="L4823" s="9">
        <f>MAX($F$4357:F4823)</f>
        <v>2.1361</v>
      </c>
      <c r="M4823" s="11">
        <f t="shared" si="113"/>
        <v>0.00229390009830988</v>
      </c>
      <c r="N4823" s="9" t="s">
        <v>809</v>
      </c>
    </row>
    <row r="4824" ht="25" customHeight="1" spans="1:14">
      <c r="A4824" s="9" t="s">
        <v>327</v>
      </c>
      <c r="B4824" s="9" t="s">
        <v>326</v>
      </c>
      <c r="C4824" s="10">
        <v>45880</v>
      </c>
      <c r="D4824" s="15">
        <v>0.9989</v>
      </c>
      <c r="E4824" s="15">
        <v>1.7924</v>
      </c>
      <c r="F4824" s="15">
        <v>2.1317</v>
      </c>
      <c r="G4824" s="11">
        <v>0.0002</v>
      </c>
      <c r="H4824" s="9">
        <f>MAX($F$3239:F4824)</f>
        <v>2.1361</v>
      </c>
      <c r="I4824" s="11">
        <f t="shared" si="112"/>
        <v>0.00205982865970689</v>
      </c>
      <c r="J4824" s="9"/>
      <c r="K4824" s="11"/>
      <c r="L4824" s="9">
        <f>MAX($F$4357:F4824)</f>
        <v>2.1361</v>
      </c>
      <c r="M4824" s="11">
        <f t="shared" si="113"/>
        <v>0.00205982865970689</v>
      </c>
      <c r="N4824" s="9" t="s">
        <v>809</v>
      </c>
    </row>
    <row r="4825" ht="25" customHeight="1" spans="1:14">
      <c r="A4825" s="9" t="s">
        <v>327</v>
      </c>
      <c r="B4825" s="9" t="s">
        <v>326</v>
      </c>
      <c r="C4825" s="10">
        <v>45881</v>
      </c>
      <c r="D4825" s="15">
        <v>0.9988</v>
      </c>
      <c r="E4825" s="15">
        <v>1.7923</v>
      </c>
      <c r="F4825" s="15">
        <v>2.1314</v>
      </c>
      <c r="G4825" s="11">
        <v>-0.0001</v>
      </c>
      <c r="H4825" s="9">
        <f>MAX($F$3239:F4825)</f>
        <v>2.1361</v>
      </c>
      <c r="I4825" s="11">
        <f t="shared" si="112"/>
        <v>0.00220027152286861</v>
      </c>
      <c r="J4825" s="9"/>
      <c r="K4825" s="11"/>
      <c r="L4825" s="9">
        <f>MAX($F$4357:F4825)</f>
        <v>2.1361</v>
      </c>
      <c r="M4825" s="11">
        <f t="shared" si="113"/>
        <v>0.00220027152286861</v>
      </c>
      <c r="N4825" s="9" t="s">
        <v>809</v>
      </c>
    </row>
    <row r="4826" ht="25" customHeight="1" spans="1:14">
      <c r="A4826" s="9" t="s">
        <v>327</v>
      </c>
      <c r="B4826" s="9" t="s">
        <v>326</v>
      </c>
      <c r="C4826" s="10">
        <v>45882</v>
      </c>
      <c r="D4826" s="15">
        <v>0.9992</v>
      </c>
      <c r="E4826" s="15">
        <v>1.7927</v>
      </c>
      <c r="F4826" s="15">
        <v>2.1323</v>
      </c>
      <c r="G4826" s="11">
        <v>0.0004</v>
      </c>
      <c r="H4826" s="9">
        <f>MAX($F$3239:F4826)</f>
        <v>2.1361</v>
      </c>
      <c r="I4826" s="11">
        <f t="shared" si="112"/>
        <v>0.00177894293338332</v>
      </c>
      <c r="J4826" s="9"/>
      <c r="K4826" s="11"/>
      <c r="L4826" s="9">
        <f>MAX($F$4357:F4826)</f>
        <v>2.1361</v>
      </c>
      <c r="M4826" s="11">
        <f t="shared" si="113"/>
        <v>0.00177894293338332</v>
      </c>
      <c r="N4826" s="9" t="s">
        <v>809</v>
      </c>
    </row>
    <row r="4827" ht="25" customHeight="1" spans="1:14">
      <c r="A4827" s="9" t="s">
        <v>327</v>
      </c>
      <c r="B4827" s="9" t="s">
        <v>326</v>
      </c>
      <c r="C4827" s="10">
        <v>45883</v>
      </c>
      <c r="D4827" s="15">
        <v>0.9982</v>
      </c>
      <c r="E4827" s="15">
        <v>1.7917</v>
      </c>
      <c r="F4827" s="15">
        <v>2.1302</v>
      </c>
      <c r="G4827" s="11">
        <v>-0.001</v>
      </c>
      <c r="H4827" s="9">
        <f>MAX($F$3239:F4827)</f>
        <v>2.1361</v>
      </c>
      <c r="I4827" s="11">
        <f t="shared" si="112"/>
        <v>0.00276204297551619</v>
      </c>
      <c r="J4827" s="9"/>
      <c r="K4827" s="11"/>
      <c r="L4827" s="9">
        <f>MAX($F$4357:F4827)</f>
        <v>2.1361</v>
      </c>
      <c r="M4827" s="11">
        <f t="shared" si="113"/>
        <v>0.00276204297551619</v>
      </c>
      <c r="N4827" s="9" t="s">
        <v>809</v>
      </c>
    </row>
    <row r="4828" ht="25" customHeight="1" spans="1:14">
      <c r="A4828" s="9" t="s">
        <v>327</v>
      </c>
      <c r="B4828" s="9" t="s">
        <v>326</v>
      </c>
      <c r="C4828" s="10">
        <v>45884</v>
      </c>
      <c r="D4828" s="15">
        <v>0.9979</v>
      </c>
      <c r="E4828" s="15">
        <v>1.7914</v>
      </c>
      <c r="F4828" s="15">
        <v>2.1295</v>
      </c>
      <c r="G4828" s="11">
        <v>-0.0003</v>
      </c>
      <c r="H4828" s="9">
        <f>MAX($F$3239:F4828)</f>
        <v>2.1361</v>
      </c>
      <c r="I4828" s="11">
        <f t="shared" si="112"/>
        <v>0.00308974298956033</v>
      </c>
      <c r="J4828" s="9"/>
      <c r="K4828" s="11"/>
      <c r="L4828" s="9">
        <f>MAX($F$4357:F4828)</f>
        <v>2.1361</v>
      </c>
      <c r="M4828" s="11">
        <f t="shared" si="113"/>
        <v>0.00308974298956033</v>
      </c>
      <c r="N4828" s="9" t="s">
        <v>809</v>
      </c>
    </row>
    <row r="4829" ht="25" customHeight="1" spans="1:14">
      <c r="A4829" s="9" t="s">
        <v>327</v>
      </c>
      <c r="B4829" s="9" t="s">
        <v>326</v>
      </c>
      <c r="C4829" s="10">
        <v>45887</v>
      </c>
      <c r="D4829" s="15">
        <v>0.9975</v>
      </c>
      <c r="E4829" s="15">
        <v>1.791</v>
      </c>
      <c r="F4829" s="15">
        <v>2.1287</v>
      </c>
      <c r="G4829" s="11">
        <v>-0.0004</v>
      </c>
      <c r="H4829" s="9">
        <f>MAX($F$3239:F4829)</f>
        <v>2.1361</v>
      </c>
      <c r="I4829" s="11">
        <f t="shared" si="112"/>
        <v>0.00346425729132538</v>
      </c>
      <c r="J4829" s="9"/>
      <c r="K4829" s="11"/>
      <c r="L4829" s="9">
        <f>MAX($F$4357:F4829)</f>
        <v>2.1361</v>
      </c>
      <c r="M4829" s="11">
        <f t="shared" si="113"/>
        <v>0.00346425729132538</v>
      </c>
      <c r="N4829" s="9" t="s">
        <v>809</v>
      </c>
    </row>
    <row r="4830" ht="25" customHeight="1" spans="1:14">
      <c r="A4830" s="9" t="s">
        <v>327</v>
      </c>
      <c r="B4830" s="9" t="s">
        <v>326</v>
      </c>
      <c r="C4830" s="10">
        <v>45888</v>
      </c>
      <c r="D4830" s="15">
        <v>0.9983</v>
      </c>
      <c r="E4830" s="15">
        <v>1.7918</v>
      </c>
      <c r="F4830" s="15">
        <v>2.1304</v>
      </c>
      <c r="G4830" s="11">
        <v>0.0008</v>
      </c>
      <c r="H4830" s="9">
        <f>MAX($F$3239:F4830)</f>
        <v>2.1361</v>
      </c>
      <c r="I4830" s="11">
        <f t="shared" si="112"/>
        <v>0.00266841440007493</v>
      </c>
      <c r="J4830" s="9"/>
      <c r="K4830" s="11"/>
      <c r="L4830" s="9">
        <f>MAX($F$4357:F4830)</f>
        <v>2.1361</v>
      </c>
      <c r="M4830" s="11">
        <f t="shared" si="113"/>
        <v>0.00266841440007493</v>
      </c>
      <c r="N4830" s="9" t="s">
        <v>809</v>
      </c>
    </row>
    <row r="4831" ht="25" customHeight="1" spans="1:14">
      <c r="A4831" s="9" t="s">
        <v>327</v>
      </c>
      <c r="B4831" s="9" t="s">
        <v>326</v>
      </c>
      <c r="C4831" s="10">
        <v>45889</v>
      </c>
      <c r="D4831" s="15">
        <v>0.9995</v>
      </c>
      <c r="E4831" s="15">
        <v>1.793</v>
      </c>
      <c r="F4831" s="15">
        <v>2.1329</v>
      </c>
      <c r="G4831" s="11">
        <v>0.0012</v>
      </c>
      <c r="H4831" s="9">
        <f>MAX($F$3239:F4831)</f>
        <v>2.1361</v>
      </c>
      <c r="I4831" s="11">
        <f t="shared" si="112"/>
        <v>0.00149805720705964</v>
      </c>
      <c r="J4831" s="9"/>
      <c r="K4831" s="11"/>
      <c r="L4831" s="9">
        <f>MAX($F$4357:F4831)</f>
        <v>2.1361</v>
      </c>
      <c r="M4831" s="11">
        <f t="shared" si="113"/>
        <v>0.00149805720705964</v>
      </c>
      <c r="N4831" s="9" t="s">
        <v>809</v>
      </c>
    </row>
    <row r="4832" ht="25" customHeight="1" spans="1:14">
      <c r="A4832" s="9" t="s">
        <v>327</v>
      </c>
      <c r="B4832" s="9" t="s">
        <v>326</v>
      </c>
      <c r="C4832" s="10">
        <v>45890</v>
      </c>
      <c r="D4832" s="15">
        <v>1.0006</v>
      </c>
      <c r="E4832" s="15">
        <v>1.7941</v>
      </c>
      <c r="F4832" s="15">
        <v>2.1353</v>
      </c>
      <c r="G4832" s="11">
        <v>0.0011</v>
      </c>
      <c r="H4832" s="9">
        <f>MAX($F$3239:F4832)</f>
        <v>2.1361</v>
      </c>
      <c r="I4832" s="11">
        <f t="shared" si="112"/>
        <v>0.000374514301764828</v>
      </c>
      <c r="J4832" s="9"/>
      <c r="K4832" s="11"/>
      <c r="L4832" s="9">
        <f>MAX($F$4357:F4832)</f>
        <v>2.1361</v>
      </c>
      <c r="M4832" s="11">
        <f t="shared" si="113"/>
        <v>0.000374514301764828</v>
      </c>
      <c r="N4832" s="9" t="s">
        <v>809</v>
      </c>
    </row>
    <row r="4833" ht="25" customHeight="1" spans="1:14">
      <c r="A4833" s="9" t="s">
        <v>327</v>
      </c>
      <c r="B4833" s="9" t="s">
        <v>326</v>
      </c>
      <c r="C4833" s="10">
        <v>45891</v>
      </c>
      <c r="D4833" s="15">
        <v>1.0011</v>
      </c>
      <c r="E4833" s="15">
        <v>1.7946</v>
      </c>
      <c r="F4833" s="15">
        <v>2.1364</v>
      </c>
      <c r="G4833" s="11">
        <v>0.0005</v>
      </c>
      <c r="H4833" s="9">
        <f>MAX($F$3239:F4833)</f>
        <v>2.1364</v>
      </c>
      <c r="I4833" s="11">
        <f t="shared" si="112"/>
        <v>0</v>
      </c>
      <c r="J4833" s="9"/>
      <c r="K4833" s="11"/>
      <c r="L4833" s="9">
        <f>MAX($F$4357:F4833)</f>
        <v>2.1364</v>
      </c>
      <c r="M4833" s="11">
        <f t="shared" si="113"/>
        <v>0</v>
      </c>
      <c r="N4833" s="9" t="s">
        <v>809</v>
      </c>
    </row>
    <row r="4834" ht="25" customHeight="1" spans="1:14">
      <c r="A4834" s="9" t="s">
        <v>327</v>
      </c>
      <c r="B4834" s="9" t="s">
        <v>326</v>
      </c>
      <c r="C4834" s="10">
        <v>45894</v>
      </c>
      <c r="D4834" s="15">
        <v>1.002</v>
      </c>
      <c r="E4834" s="15">
        <v>1.7955</v>
      </c>
      <c r="F4834" s="15">
        <v>2.1383</v>
      </c>
      <c r="G4834" s="11">
        <v>0.0009</v>
      </c>
      <c r="H4834" s="9">
        <f>MAX($F$3239:F4834)</f>
        <v>2.1383</v>
      </c>
      <c r="I4834" s="11">
        <f t="shared" si="112"/>
        <v>0</v>
      </c>
      <c r="J4834" s="9"/>
      <c r="K4834" s="11"/>
      <c r="L4834" s="9">
        <f>MAX($F$4357:F4834)</f>
        <v>2.1383</v>
      </c>
      <c r="M4834" s="11">
        <f t="shared" si="113"/>
        <v>0</v>
      </c>
      <c r="N4834" s="9" t="s">
        <v>809</v>
      </c>
    </row>
    <row r="4835" ht="25" customHeight="1" spans="1:14">
      <c r="A4835" s="9" t="s">
        <v>327</v>
      </c>
      <c r="B4835" s="9" t="s">
        <v>326</v>
      </c>
      <c r="C4835" s="10">
        <v>45895</v>
      </c>
      <c r="D4835" s="15">
        <v>1.0019</v>
      </c>
      <c r="E4835" s="15">
        <v>1.7954</v>
      </c>
      <c r="F4835" s="15">
        <v>2.1381</v>
      </c>
      <c r="G4835" s="11">
        <v>-0.0001</v>
      </c>
      <c r="H4835" s="9">
        <f>MAX($F$3239:F4835)</f>
        <v>2.1383</v>
      </c>
      <c r="I4835" s="11">
        <f t="shared" si="112"/>
        <v>9.35322452415566e-5</v>
      </c>
      <c r="J4835" s="9"/>
      <c r="K4835" s="11"/>
      <c r="L4835" s="9">
        <f>MAX($F$4357:F4835)</f>
        <v>2.1383</v>
      </c>
      <c r="M4835" s="11">
        <f t="shared" si="113"/>
        <v>9.35322452415566e-5</v>
      </c>
      <c r="N4835" s="9" t="s">
        <v>809</v>
      </c>
    </row>
    <row r="4836" ht="25" customHeight="1" spans="1:14">
      <c r="A4836" s="9" t="s">
        <v>327</v>
      </c>
      <c r="B4836" s="9" t="s">
        <v>326</v>
      </c>
      <c r="C4836" s="10">
        <v>45896</v>
      </c>
      <c r="D4836" s="15">
        <v>1.0036</v>
      </c>
      <c r="E4836" s="15">
        <v>1.7971</v>
      </c>
      <c r="F4836" s="15">
        <v>2.1417</v>
      </c>
      <c r="G4836" s="11">
        <v>0.0017</v>
      </c>
      <c r="H4836" s="9">
        <f>MAX($F$3239:F4836)</f>
        <v>2.1417</v>
      </c>
      <c r="I4836" s="11">
        <f t="shared" si="112"/>
        <v>0</v>
      </c>
      <c r="J4836" s="9"/>
      <c r="K4836" s="11"/>
      <c r="L4836" s="9">
        <f>MAX($F$4357:F4836)</f>
        <v>2.1417</v>
      </c>
      <c r="M4836" s="11">
        <f t="shared" si="113"/>
        <v>0</v>
      </c>
      <c r="N4836" s="9" t="s">
        <v>809</v>
      </c>
    </row>
    <row r="4837" ht="25" customHeight="1" spans="1:14">
      <c r="A4837" s="9" t="s">
        <v>327</v>
      </c>
      <c r="B4837" s="9" t="s">
        <v>326</v>
      </c>
      <c r="C4837" s="10">
        <v>45897</v>
      </c>
      <c r="D4837" s="15">
        <v>1.0055</v>
      </c>
      <c r="E4837" s="15">
        <v>1.799</v>
      </c>
      <c r="F4837" s="15">
        <v>2.1457</v>
      </c>
      <c r="G4837" s="11">
        <v>0.0019</v>
      </c>
      <c r="H4837" s="9">
        <f>MAX($F$3239:F4837)</f>
        <v>2.1457</v>
      </c>
      <c r="I4837" s="11">
        <f t="shared" si="112"/>
        <v>0</v>
      </c>
      <c r="J4837" s="9"/>
      <c r="K4837" s="11"/>
      <c r="L4837" s="9">
        <f>MAX($F$4357:F4837)</f>
        <v>2.1457</v>
      </c>
      <c r="M4837" s="11">
        <f t="shared" si="113"/>
        <v>0</v>
      </c>
      <c r="N4837" s="9" t="s">
        <v>809</v>
      </c>
    </row>
    <row r="4838" ht="25" customHeight="1" spans="1:14">
      <c r="A4838" s="9" t="s">
        <v>327</v>
      </c>
      <c r="B4838" s="9" t="s">
        <v>326</v>
      </c>
      <c r="C4838" s="10">
        <v>45898</v>
      </c>
      <c r="D4838" s="15">
        <v>1.0056</v>
      </c>
      <c r="E4838" s="15">
        <v>1.7991</v>
      </c>
      <c r="F4838" s="15">
        <v>2.146</v>
      </c>
      <c r="G4838" s="11">
        <v>0.0001</v>
      </c>
      <c r="H4838" s="9">
        <f>MAX($F$3239:F4838)</f>
        <v>2.146</v>
      </c>
      <c r="I4838" s="11">
        <f t="shared" si="112"/>
        <v>0</v>
      </c>
      <c r="J4838" s="9"/>
      <c r="K4838" s="11"/>
      <c r="L4838" s="9">
        <f>MAX($F$4357:F4838)</f>
        <v>2.146</v>
      </c>
      <c r="M4838" s="11">
        <f t="shared" si="113"/>
        <v>0</v>
      </c>
      <c r="N4838" s="9" t="s">
        <v>809</v>
      </c>
    </row>
    <row r="4839" ht="25" customHeight="1" spans="1:14">
      <c r="A4839" s="9" t="s">
        <v>327</v>
      </c>
      <c r="B4839" s="9" t="s">
        <v>326</v>
      </c>
      <c r="C4839" s="10">
        <v>45901</v>
      </c>
      <c r="D4839" s="15">
        <v>1.0055</v>
      </c>
      <c r="E4839" s="15">
        <v>1.799</v>
      </c>
      <c r="F4839" s="15">
        <v>2.1457</v>
      </c>
      <c r="G4839" s="11">
        <v>-0.0001</v>
      </c>
      <c r="H4839" s="9">
        <f>MAX($F$3239:F4839)</f>
        <v>2.146</v>
      </c>
      <c r="I4839" s="11">
        <f t="shared" si="112"/>
        <v>0.000139794967381035</v>
      </c>
      <c r="J4839" s="9"/>
      <c r="K4839" s="11"/>
      <c r="L4839" s="9">
        <f>MAX($F$4357:F4839)</f>
        <v>2.146</v>
      </c>
      <c r="M4839" s="11">
        <f t="shared" si="113"/>
        <v>0.000139794967381035</v>
      </c>
      <c r="N4839" s="9" t="s">
        <v>809</v>
      </c>
    </row>
    <row r="4840" ht="25" customHeight="1" spans="1:14">
      <c r="A4840" s="9" t="s">
        <v>327</v>
      </c>
      <c r="B4840" s="9" t="s">
        <v>326</v>
      </c>
      <c r="C4840" s="10">
        <v>45902</v>
      </c>
      <c r="D4840" s="15">
        <v>1.0055</v>
      </c>
      <c r="E4840" s="15">
        <v>1.799</v>
      </c>
      <c r="F4840" s="15">
        <v>2.1457</v>
      </c>
      <c r="G4840" s="11">
        <v>0</v>
      </c>
      <c r="H4840" s="9">
        <f>MAX($F$3239:F4840)</f>
        <v>2.146</v>
      </c>
      <c r="I4840" s="11">
        <f t="shared" si="112"/>
        <v>0.000139794967381035</v>
      </c>
      <c r="J4840" s="9"/>
      <c r="K4840" s="11"/>
      <c r="L4840" s="9">
        <f>MAX($F$4357:F4840)</f>
        <v>2.146</v>
      </c>
      <c r="M4840" s="11">
        <f t="shared" si="113"/>
        <v>0.000139794967381035</v>
      </c>
      <c r="N4840" s="9" t="s">
        <v>809</v>
      </c>
    </row>
    <row r="4841" ht="25" customHeight="1" spans="1:14">
      <c r="A4841" s="9" t="s">
        <v>327</v>
      </c>
      <c r="B4841" s="9" t="s">
        <v>326</v>
      </c>
      <c r="C4841" s="10">
        <v>45903</v>
      </c>
      <c r="D4841" s="15">
        <v>1.0066</v>
      </c>
      <c r="E4841" s="15">
        <v>1.8001</v>
      </c>
      <c r="F4841" s="15">
        <v>2.1481</v>
      </c>
      <c r="G4841" s="11">
        <v>0.0011</v>
      </c>
      <c r="H4841" s="9">
        <f>MAX($F$3239:F4841)</f>
        <v>2.1481</v>
      </c>
      <c r="I4841" s="11">
        <f t="shared" si="112"/>
        <v>0</v>
      </c>
      <c r="J4841" s="9"/>
      <c r="K4841" s="11"/>
      <c r="L4841" s="9">
        <f>MAX($F$4357:F4841)</f>
        <v>2.1481</v>
      </c>
      <c r="M4841" s="11">
        <f t="shared" si="113"/>
        <v>0</v>
      </c>
      <c r="N4841" s="9" t="s">
        <v>809</v>
      </c>
    </row>
    <row r="4842" ht="25" customHeight="1" spans="1:14">
      <c r="A4842" s="9" t="s">
        <v>327</v>
      </c>
      <c r="B4842" s="9" t="s">
        <v>326</v>
      </c>
      <c r="C4842" s="10">
        <v>45904</v>
      </c>
      <c r="D4842" s="15">
        <v>1.0075</v>
      </c>
      <c r="E4842" s="15">
        <v>1.801</v>
      </c>
      <c r="F4842" s="15">
        <v>2.15</v>
      </c>
      <c r="G4842" s="11">
        <v>0.0009</v>
      </c>
      <c r="H4842" s="9">
        <f>MAX($F$3239:F4842)</f>
        <v>2.15</v>
      </c>
      <c r="I4842" s="11">
        <f t="shared" si="112"/>
        <v>0</v>
      </c>
      <c r="J4842" s="9">
        <f>MAX($F$4842:F4842)</f>
        <v>2.15</v>
      </c>
      <c r="K4842" s="11">
        <f t="shared" ref="K4842:K4905" si="114">1-F4842/J4842</f>
        <v>0</v>
      </c>
      <c r="L4842" s="9">
        <f>MAX($F$4357:F4842)</f>
        <v>2.15</v>
      </c>
      <c r="M4842" s="11">
        <f t="shared" si="113"/>
        <v>0</v>
      </c>
      <c r="N4842" s="9" t="s">
        <v>809</v>
      </c>
    </row>
    <row r="4843" ht="25" customHeight="1" spans="1:14">
      <c r="A4843" s="9" t="s">
        <v>327</v>
      </c>
      <c r="B4843" s="9" t="s">
        <v>326</v>
      </c>
      <c r="C4843" s="10">
        <v>45905</v>
      </c>
      <c r="D4843" s="15">
        <v>1.0069</v>
      </c>
      <c r="E4843" s="15">
        <v>1.8004</v>
      </c>
      <c r="F4843" s="15">
        <v>2.1487</v>
      </c>
      <c r="G4843" s="11">
        <v>-0.0006</v>
      </c>
      <c r="H4843" s="9">
        <f>MAX($F$3239:F4843)</f>
        <v>2.15</v>
      </c>
      <c r="I4843" s="11">
        <f t="shared" si="112"/>
        <v>0.000604651162790737</v>
      </c>
      <c r="J4843" s="9">
        <f>MAX($F$4842:F4843)</f>
        <v>2.15</v>
      </c>
      <c r="K4843" s="11">
        <f t="shared" si="114"/>
        <v>0.000604651162790737</v>
      </c>
      <c r="L4843" s="9">
        <f>MAX($F$4357:F4843)</f>
        <v>2.15</v>
      </c>
      <c r="M4843" s="11">
        <f t="shared" si="113"/>
        <v>0.000604651162790737</v>
      </c>
      <c r="N4843" s="9" t="s">
        <v>809</v>
      </c>
    </row>
    <row r="4844" ht="25" customHeight="1" spans="1:14">
      <c r="A4844" s="9" t="s">
        <v>327</v>
      </c>
      <c r="B4844" s="9" t="s">
        <v>326</v>
      </c>
      <c r="C4844" s="10">
        <v>45908</v>
      </c>
      <c r="D4844" s="15">
        <v>1.0074</v>
      </c>
      <c r="E4844" s="15">
        <v>1.8009</v>
      </c>
      <c r="F4844" s="15">
        <v>2.1498</v>
      </c>
      <c r="G4844" s="11">
        <v>0.0005</v>
      </c>
      <c r="H4844" s="9">
        <f>MAX($F$3239:F4844)</f>
        <v>2.15</v>
      </c>
      <c r="I4844" s="11">
        <f t="shared" si="112"/>
        <v>9.3023255813951e-5</v>
      </c>
      <c r="J4844" s="9">
        <f>MAX($F$4842:F4844)</f>
        <v>2.15</v>
      </c>
      <c r="K4844" s="11">
        <f t="shared" si="114"/>
        <v>9.3023255813951e-5</v>
      </c>
      <c r="L4844" s="9">
        <f>MAX($F$4357:F4844)</f>
        <v>2.15</v>
      </c>
      <c r="M4844" s="11">
        <f t="shared" si="113"/>
        <v>9.3023255813951e-5</v>
      </c>
      <c r="N4844" s="9" t="s">
        <v>809</v>
      </c>
    </row>
    <row r="4845" ht="25" customHeight="1" spans="1:14">
      <c r="A4845" s="9" t="s">
        <v>327</v>
      </c>
      <c r="B4845" s="9" t="s">
        <v>326</v>
      </c>
      <c r="C4845" s="10">
        <v>45909</v>
      </c>
      <c r="D4845" s="15">
        <v>1.0076</v>
      </c>
      <c r="E4845" s="15">
        <v>1.8011</v>
      </c>
      <c r="F4845" s="15">
        <v>2.1502</v>
      </c>
      <c r="G4845" s="11">
        <v>0.0002</v>
      </c>
      <c r="H4845" s="9">
        <f>MAX($F$3239:F4845)</f>
        <v>2.1502</v>
      </c>
      <c r="I4845" s="11">
        <f t="shared" si="112"/>
        <v>0</v>
      </c>
      <c r="J4845" s="9">
        <f>MAX($F$4842:F4845)</f>
        <v>2.1502</v>
      </c>
      <c r="K4845" s="11">
        <f t="shared" si="114"/>
        <v>0</v>
      </c>
      <c r="L4845" s="9">
        <f>MAX($F$4357:F4845)</f>
        <v>2.1502</v>
      </c>
      <c r="M4845" s="11">
        <f t="shared" si="113"/>
        <v>0</v>
      </c>
      <c r="N4845" s="9" t="s">
        <v>809</v>
      </c>
    </row>
    <row r="4846" ht="25" customHeight="1" spans="1:14">
      <c r="A4846" s="9" t="s">
        <v>327</v>
      </c>
      <c r="B4846" s="9" t="s">
        <v>326</v>
      </c>
      <c r="C4846" s="10">
        <v>45910</v>
      </c>
      <c r="D4846" s="15">
        <v>1.0077</v>
      </c>
      <c r="E4846" s="15">
        <v>1.8012</v>
      </c>
      <c r="F4846" s="15">
        <v>2.1504</v>
      </c>
      <c r="G4846" s="11">
        <v>0.0001</v>
      </c>
      <c r="H4846" s="9">
        <f>MAX($F$3239:F4846)</f>
        <v>2.1504</v>
      </c>
      <c r="I4846" s="11">
        <f t="shared" si="112"/>
        <v>0</v>
      </c>
      <c r="J4846" s="9">
        <f>MAX($F$4842:F4846)</f>
        <v>2.1504</v>
      </c>
      <c r="K4846" s="11">
        <f t="shared" si="114"/>
        <v>0</v>
      </c>
      <c r="L4846" s="9">
        <f>MAX($F$4357:F4846)</f>
        <v>2.1504</v>
      </c>
      <c r="M4846" s="11">
        <f t="shared" si="113"/>
        <v>0</v>
      </c>
      <c r="N4846" s="9" t="s">
        <v>809</v>
      </c>
    </row>
    <row r="4847" ht="25" customHeight="1" spans="1:14">
      <c r="A4847" s="9" t="s">
        <v>327</v>
      </c>
      <c r="B4847" s="9" t="s">
        <v>326</v>
      </c>
      <c r="C4847" s="10">
        <v>45911</v>
      </c>
      <c r="D4847" s="15">
        <v>1.0083</v>
      </c>
      <c r="E4847" s="15">
        <v>1.8018</v>
      </c>
      <c r="F4847" s="15">
        <v>2.1517</v>
      </c>
      <c r="G4847" s="11">
        <v>0.0006</v>
      </c>
      <c r="H4847" s="9">
        <f>MAX($F$3239:F4847)</f>
        <v>2.1517</v>
      </c>
      <c r="I4847" s="11">
        <f t="shared" si="112"/>
        <v>0</v>
      </c>
      <c r="J4847" s="9">
        <f>MAX($F$4842:F4847)</f>
        <v>2.1517</v>
      </c>
      <c r="K4847" s="11">
        <f t="shared" si="114"/>
        <v>0</v>
      </c>
      <c r="L4847" s="9">
        <f>MAX($F$4357:F4847)</f>
        <v>2.1517</v>
      </c>
      <c r="M4847" s="11">
        <f t="shared" si="113"/>
        <v>0</v>
      </c>
      <c r="N4847" s="9" t="s">
        <v>809</v>
      </c>
    </row>
    <row r="4848" ht="25" customHeight="1" spans="1:14">
      <c r="A4848" s="9" t="s">
        <v>327</v>
      </c>
      <c r="B4848" s="9" t="s">
        <v>326</v>
      </c>
      <c r="C4848" s="10">
        <v>45912</v>
      </c>
      <c r="D4848" s="15">
        <v>1.0075</v>
      </c>
      <c r="E4848" s="15">
        <v>1.801</v>
      </c>
      <c r="F4848" s="15">
        <v>2.15</v>
      </c>
      <c r="G4848" s="11">
        <v>-0.0008</v>
      </c>
      <c r="H4848" s="9">
        <f>MAX($F$3239:F4848)</f>
        <v>2.1517</v>
      </c>
      <c r="I4848" s="11">
        <f t="shared" si="112"/>
        <v>0.000790072965562105</v>
      </c>
      <c r="J4848" s="9">
        <f>MAX($F$4842:F4848)</f>
        <v>2.1517</v>
      </c>
      <c r="K4848" s="11">
        <f t="shared" si="114"/>
        <v>0.000790072965562105</v>
      </c>
      <c r="L4848" s="9">
        <f>MAX($F$4357:F4848)</f>
        <v>2.1517</v>
      </c>
      <c r="M4848" s="11">
        <f t="shared" si="113"/>
        <v>0.000790072965562105</v>
      </c>
      <c r="N4848" s="9" t="s">
        <v>809</v>
      </c>
    </row>
    <row r="4849" ht="25" customHeight="1" spans="1:14">
      <c r="A4849" s="9" t="s">
        <v>327</v>
      </c>
      <c r="B4849" s="9" t="s">
        <v>326</v>
      </c>
      <c r="C4849" s="10">
        <v>45915</v>
      </c>
      <c r="D4849" s="15">
        <v>1.0073</v>
      </c>
      <c r="E4849" s="15">
        <v>1.8008</v>
      </c>
      <c r="F4849" s="15">
        <v>2.1496</v>
      </c>
      <c r="G4849" s="11">
        <v>-0.0002</v>
      </c>
      <c r="H4849" s="9">
        <f>MAX($F$3239:F4849)</f>
        <v>2.1517</v>
      </c>
      <c r="I4849" s="11">
        <f t="shared" si="112"/>
        <v>0.000975972486870869</v>
      </c>
      <c r="J4849" s="9">
        <f>MAX($F$4842:F4849)</f>
        <v>2.1517</v>
      </c>
      <c r="K4849" s="11">
        <f t="shared" si="114"/>
        <v>0.000975972486870869</v>
      </c>
      <c r="L4849" s="9">
        <f>MAX($F$4357:F4849)</f>
        <v>2.1517</v>
      </c>
      <c r="M4849" s="11">
        <f t="shared" si="113"/>
        <v>0.000975972486870869</v>
      </c>
      <c r="N4849" s="9" t="s">
        <v>809</v>
      </c>
    </row>
    <row r="4850" ht="25" customHeight="1" spans="1:14">
      <c r="A4850" s="9" t="s">
        <v>327</v>
      </c>
      <c r="B4850" s="9" t="s">
        <v>326</v>
      </c>
      <c r="C4850" s="10">
        <v>45916</v>
      </c>
      <c r="D4850" s="15">
        <v>1.008</v>
      </c>
      <c r="E4850" s="15">
        <v>1.8015</v>
      </c>
      <c r="F4850" s="15">
        <v>2.1511</v>
      </c>
      <c r="G4850" s="11">
        <v>0.0007</v>
      </c>
      <c r="H4850" s="9">
        <f>MAX($F$3239:F4850)</f>
        <v>2.1517</v>
      </c>
      <c r="I4850" s="11">
        <f t="shared" si="112"/>
        <v>0.000278849281963089</v>
      </c>
      <c r="J4850" s="9">
        <f>MAX($F$4842:F4850)</f>
        <v>2.1517</v>
      </c>
      <c r="K4850" s="11">
        <f t="shared" si="114"/>
        <v>0.000278849281963089</v>
      </c>
      <c r="L4850" s="9">
        <f>MAX($F$4357:F4850)</f>
        <v>2.1517</v>
      </c>
      <c r="M4850" s="11">
        <f t="shared" si="113"/>
        <v>0.000278849281963089</v>
      </c>
      <c r="N4850" s="9" t="s">
        <v>809</v>
      </c>
    </row>
    <row r="4851" ht="25" customHeight="1" spans="1:14">
      <c r="A4851" s="9" t="s">
        <v>327</v>
      </c>
      <c r="B4851" s="9" t="s">
        <v>326</v>
      </c>
      <c r="C4851" s="10">
        <v>45917</v>
      </c>
      <c r="D4851" s="15">
        <v>1.0082</v>
      </c>
      <c r="E4851" s="15">
        <v>1.8017</v>
      </c>
      <c r="F4851" s="15">
        <v>2.1515</v>
      </c>
      <c r="G4851" s="11">
        <v>0.0002</v>
      </c>
      <c r="H4851" s="9">
        <f>MAX($F$3239:F4851)</f>
        <v>2.1517</v>
      </c>
      <c r="I4851" s="11">
        <f t="shared" si="112"/>
        <v>9.29497606543261e-5</v>
      </c>
      <c r="J4851" s="9">
        <f>MAX($F$4842:F4851)</f>
        <v>2.1517</v>
      </c>
      <c r="K4851" s="11">
        <f t="shared" si="114"/>
        <v>9.29497606543261e-5</v>
      </c>
      <c r="L4851" s="9">
        <f>MAX($F$4357:F4851)</f>
        <v>2.1517</v>
      </c>
      <c r="M4851" s="11">
        <f t="shared" si="113"/>
        <v>9.29497606543261e-5</v>
      </c>
      <c r="N4851" s="9" t="s">
        <v>809</v>
      </c>
    </row>
    <row r="4852" ht="25" customHeight="1" spans="1:14">
      <c r="A4852" s="9" t="s">
        <v>327</v>
      </c>
      <c r="B4852" s="9" t="s">
        <v>326</v>
      </c>
      <c r="C4852" s="10">
        <v>45918</v>
      </c>
      <c r="D4852" s="15">
        <v>1.0108</v>
      </c>
      <c r="E4852" s="15">
        <v>1.8043</v>
      </c>
      <c r="F4852" s="15">
        <v>2.1571</v>
      </c>
      <c r="G4852" s="11">
        <v>0.0026</v>
      </c>
      <c r="H4852" s="9">
        <f>MAX($F$3239:F4852)</f>
        <v>2.1571</v>
      </c>
      <c r="I4852" s="11">
        <f t="shared" si="112"/>
        <v>0</v>
      </c>
      <c r="J4852" s="9">
        <f>MAX($F$4842:F4852)</f>
        <v>2.1571</v>
      </c>
      <c r="K4852" s="11">
        <f t="shared" si="114"/>
        <v>0</v>
      </c>
      <c r="L4852" s="9">
        <f>MAX($F$4357:F4852)</f>
        <v>2.1571</v>
      </c>
      <c r="M4852" s="11">
        <f t="shared" si="113"/>
        <v>0</v>
      </c>
      <c r="N4852" s="9" t="s">
        <v>809</v>
      </c>
    </row>
    <row r="4853" ht="25" customHeight="1" spans="1:14">
      <c r="A4853" s="9" t="s">
        <v>327</v>
      </c>
      <c r="B4853" s="9" t="s">
        <v>326</v>
      </c>
      <c r="C4853" s="10">
        <v>45919</v>
      </c>
      <c r="D4853" s="15">
        <v>1.0111</v>
      </c>
      <c r="E4853" s="15">
        <v>1.8046</v>
      </c>
      <c r="F4853" s="15">
        <v>2.1577</v>
      </c>
      <c r="G4853" s="11">
        <v>0.0003</v>
      </c>
      <c r="H4853" s="9">
        <f>MAX($F$3239:F4853)</f>
        <v>2.1577</v>
      </c>
      <c r="I4853" s="11">
        <f t="shared" si="112"/>
        <v>0</v>
      </c>
      <c r="J4853" s="9">
        <f>MAX($F$4842:F4853)</f>
        <v>2.1577</v>
      </c>
      <c r="K4853" s="11">
        <f t="shared" si="114"/>
        <v>0</v>
      </c>
      <c r="L4853" s="9">
        <f>MAX($F$4357:F4853)</f>
        <v>2.1577</v>
      </c>
      <c r="M4853" s="11">
        <f t="shared" si="113"/>
        <v>0</v>
      </c>
      <c r="N4853" s="9" t="s">
        <v>809</v>
      </c>
    </row>
    <row r="4854" ht="25" customHeight="1" spans="1:14">
      <c r="A4854" s="9" t="s">
        <v>327</v>
      </c>
      <c r="B4854" s="9" t="s">
        <v>326</v>
      </c>
      <c r="C4854" s="10">
        <v>45922</v>
      </c>
      <c r="D4854" s="15">
        <v>1.0133</v>
      </c>
      <c r="E4854" s="15">
        <v>1.8068</v>
      </c>
      <c r="F4854" s="15">
        <v>2.1624</v>
      </c>
      <c r="G4854" s="11">
        <v>0.0022</v>
      </c>
      <c r="H4854" s="9">
        <f>MAX($F$3239:F4854)</f>
        <v>2.1624</v>
      </c>
      <c r="I4854" s="11">
        <f t="shared" si="112"/>
        <v>0</v>
      </c>
      <c r="J4854" s="9">
        <f>MAX($F$4842:F4854)</f>
        <v>2.1624</v>
      </c>
      <c r="K4854" s="11">
        <f t="shared" si="114"/>
        <v>0</v>
      </c>
      <c r="L4854" s="9">
        <f>MAX($F$4357:F4854)</f>
        <v>2.1624</v>
      </c>
      <c r="M4854" s="11">
        <f t="shared" si="113"/>
        <v>0</v>
      </c>
      <c r="N4854" s="9" t="s">
        <v>809</v>
      </c>
    </row>
    <row r="4855" ht="25" customHeight="1" spans="1:14">
      <c r="A4855" s="9" t="s">
        <v>327</v>
      </c>
      <c r="B4855" s="9" t="s">
        <v>326</v>
      </c>
      <c r="C4855" s="10">
        <v>45923</v>
      </c>
      <c r="D4855" s="15">
        <v>1.0145</v>
      </c>
      <c r="E4855" s="15">
        <v>1.808</v>
      </c>
      <c r="F4855" s="15">
        <v>2.165</v>
      </c>
      <c r="G4855" s="11">
        <v>0.0012</v>
      </c>
      <c r="H4855" s="9">
        <f>MAX($F$3239:F4855)</f>
        <v>2.165</v>
      </c>
      <c r="I4855" s="11">
        <f t="shared" si="112"/>
        <v>0</v>
      </c>
      <c r="J4855" s="9">
        <f>MAX($F$4842:F4855)</f>
        <v>2.165</v>
      </c>
      <c r="K4855" s="11">
        <f t="shared" si="114"/>
        <v>0</v>
      </c>
      <c r="L4855" s="9">
        <f>MAX($F$4357:F4855)</f>
        <v>2.165</v>
      </c>
      <c r="M4855" s="11">
        <f t="shared" si="113"/>
        <v>0</v>
      </c>
      <c r="N4855" s="9" t="s">
        <v>809</v>
      </c>
    </row>
    <row r="4856" ht="25" customHeight="1" spans="1:14">
      <c r="A4856" s="9" t="s">
        <v>327</v>
      </c>
      <c r="B4856" s="9" t="s">
        <v>326</v>
      </c>
      <c r="C4856" s="10">
        <v>45924</v>
      </c>
      <c r="D4856" s="15">
        <v>1.0141</v>
      </c>
      <c r="E4856" s="15">
        <v>1.8076</v>
      </c>
      <c r="F4856" s="15">
        <v>2.1641</v>
      </c>
      <c r="G4856" s="11">
        <v>-0.0004</v>
      </c>
      <c r="H4856" s="9">
        <f>MAX($F$3239:F4856)</f>
        <v>2.165</v>
      </c>
      <c r="I4856" s="11">
        <f t="shared" si="112"/>
        <v>0.000415704387990767</v>
      </c>
      <c r="J4856" s="9">
        <f>MAX($F$4842:F4856)</f>
        <v>2.165</v>
      </c>
      <c r="K4856" s="11">
        <f t="shared" si="114"/>
        <v>0.000415704387990767</v>
      </c>
      <c r="L4856" s="9">
        <f>MAX($F$4357:F4856)</f>
        <v>2.165</v>
      </c>
      <c r="M4856" s="11">
        <f t="shared" si="113"/>
        <v>0.000415704387990767</v>
      </c>
      <c r="N4856" s="9" t="s">
        <v>809</v>
      </c>
    </row>
    <row r="4857" ht="25" customHeight="1" spans="1:14">
      <c r="A4857" s="9" t="s">
        <v>327</v>
      </c>
      <c r="B4857" s="9" t="s">
        <v>326</v>
      </c>
      <c r="C4857" s="10">
        <v>45925</v>
      </c>
      <c r="D4857" s="15">
        <v>1.0141</v>
      </c>
      <c r="E4857" s="15">
        <v>1.8076</v>
      </c>
      <c r="F4857" s="15">
        <v>2.1641</v>
      </c>
      <c r="G4857" s="11">
        <v>0</v>
      </c>
      <c r="H4857" s="9">
        <f>MAX($F$3239:F4857)</f>
        <v>2.165</v>
      </c>
      <c r="I4857" s="11">
        <f t="shared" si="112"/>
        <v>0.000415704387990767</v>
      </c>
      <c r="J4857" s="9">
        <f>MAX($F$4842:F4857)</f>
        <v>2.165</v>
      </c>
      <c r="K4857" s="11">
        <f t="shared" si="114"/>
        <v>0.000415704387990767</v>
      </c>
      <c r="L4857" s="9">
        <f>MAX($F$4357:F4857)</f>
        <v>2.165</v>
      </c>
      <c r="M4857" s="11">
        <f t="shared" si="113"/>
        <v>0.000415704387990767</v>
      </c>
      <c r="N4857" s="9" t="s">
        <v>809</v>
      </c>
    </row>
    <row r="4858" ht="25" customHeight="1" spans="1:14">
      <c r="A4858" s="9" t="s">
        <v>327</v>
      </c>
      <c r="B4858" s="9" t="s">
        <v>326</v>
      </c>
      <c r="C4858" s="10">
        <v>45926</v>
      </c>
      <c r="D4858" s="15">
        <v>1.0149</v>
      </c>
      <c r="E4858" s="15">
        <v>1.8084</v>
      </c>
      <c r="F4858" s="15">
        <v>2.1658</v>
      </c>
      <c r="G4858" s="11">
        <v>0.0008</v>
      </c>
      <c r="H4858" s="9">
        <f>MAX($F$3239:F4858)</f>
        <v>2.1658</v>
      </c>
      <c r="I4858" s="11">
        <f t="shared" si="112"/>
        <v>0</v>
      </c>
      <c r="J4858" s="9">
        <f>MAX($F$4842:F4858)</f>
        <v>2.1658</v>
      </c>
      <c r="K4858" s="11">
        <f t="shared" si="114"/>
        <v>0</v>
      </c>
      <c r="L4858" s="9">
        <f>MAX($F$4357:F4858)</f>
        <v>2.1658</v>
      </c>
      <c r="M4858" s="11">
        <f t="shared" si="113"/>
        <v>0</v>
      </c>
      <c r="N4858" s="9" t="s">
        <v>809</v>
      </c>
    </row>
    <row r="4859" ht="25" customHeight="1" spans="1:14">
      <c r="A4859" s="9" t="s">
        <v>327</v>
      </c>
      <c r="B4859" s="9" t="s">
        <v>326</v>
      </c>
      <c r="C4859" s="10">
        <v>45929</v>
      </c>
      <c r="D4859" s="15">
        <v>1.0154</v>
      </c>
      <c r="E4859" s="15">
        <v>1.8089</v>
      </c>
      <c r="F4859" s="15">
        <v>2.1669</v>
      </c>
      <c r="G4859" s="11">
        <v>0.0005</v>
      </c>
      <c r="H4859" s="9">
        <f>MAX($F$3239:F4859)</f>
        <v>2.1669</v>
      </c>
      <c r="I4859" s="11">
        <f t="shared" si="112"/>
        <v>0</v>
      </c>
      <c r="J4859" s="9">
        <f>MAX($F$4842:F4859)</f>
        <v>2.1669</v>
      </c>
      <c r="K4859" s="11">
        <f t="shared" si="114"/>
        <v>0</v>
      </c>
      <c r="L4859" s="9">
        <f>MAX($F$4357:F4859)</f>
        <v>2.1669</v>
      </c>
      <c r="M4859" s="11">
        <f t="shared" si="113"/>
        <v>0</v>
      </c>
      <c r="N4859" s="9" t="s">
        <v>809</v>
      </c>
    </row>
    <row r="4860" ht="25" customHeight="1" spans="1:14">
      <c r="A4860" s="9" t="s">
        <v>327</v>
      </c>
      <c r="B4860" s="9" t="s">
        <v>326</v>
      </c>
      <c r="C4860" s="10">
        <v>45930</v>
      </c>
      <c r="D4860" s="15">
        <v>1.0152</v>
      </c>
      <c r="E4860" s="15">
        <v>1.8087</v>
      </c>
      <c r="F4860" s="15">
        <v>2.1664</v>
      </c>
      <c r="G4860" s="11">
        <v>-0.0002</v>
      </c>
      <c r="H4860" s="9">
        <f>MAX($F$3239:F4860)</f>
        <v>2.1669</v>
      </c>
      <c r="I4860" s="11">
        <f t="shared" si="112"/>
        <v>0.000230744381374381</v>
      </c>
      <c r="J4860" s="9">
        <f>MAX($F$4842:F4860)</f>
        <v>2.1669</v>
      </c>
      <c r="K4860" s="11">
        <f t="shared" si="114"/>
        <v>0.000230744381374381</v>
      </c>
      <c r="L4860" s="9">
        <f>MAX($F$4357:F4860)</f>
        <v>2.1669</v>
      </c>
      <c r="M4860" s="11">
        <f t="shared" si="113"/>
        <v>0.000230744381374381</v>
      </c>
      <c r="N4860" s="9" t="s">
        <v>809</v>
      </c>
    </row>
    <row r="4861" ht="25" customHeight="1" spans="1:14">
      <c r="A4861" s="9" t="s">
        <v>327</v>
      </c>
      <c r="B4861" s="9" t="s">
        <v>326</v>
      </c>
      <c r="C4861" s="10">
        <v>45939</v>
      </c>
      <c r="D4861" s="15">
        <v>1.0154</v>
      </c>
      <c r="E4861" s="15">
        <v>1.8089</v>
      </c>
      <c r="F4861" s="15">
        <v>2.1669</v>
      </c>
      <c r="G4861" s="11">
        <v>0.0002</v>
      </c>
      <c r="H4861" s="9">
        <f>MAX($F$3239:F4861)</f>
        <v>2.1669</v>
      </c>
      <c r="I4861" s="11">
        <f t="shared" si="112"/>
        <v>0</v>
      </c>
      <c r="J4861" s="9">
        <f>MAX($F$4842:F4861)</f>
        <v>2.1669</v>
      </c>
      <c r="K4861" s="11">
        <f t="shared" si="114"/>
        <v>0</v>
      </c>
      <c r="L4861" s="9">
        <f>MAX($F$4357:F4861)</f>
        <v>2.1669</v>
      </c>
      <c r="M4861" s="11">
        <f t="shared" si="113"/>
        <v>0</v>
      </c>
      <c r="N4861" s="9" t="s">
        <v>809</v>
      </c>
    </row>
    <row r="4862" ht="25" customHeight="1" spans="1:14">
      <c r="A4862" s="9" t="s">
        <v>327</v>
      </c>
      <c r="B4862" s="9" t="s">
        <v>326</v>
      </c>
      <c r="C4862" s="10">
        <v>45940</v>
      </c>
      <c r="D4862" s="15">
        <v>1.0147</v>
      </c>
      <c r="E4862" s="15">
        <v>1.8082</v>
      </c>
      <c r="F4862" s="15">
        <v>2.1654</v>
      </c>
      <c r="G4862" s="11">
        <v>-0.0007</v>
      </c>
      <c r="H4862" s="9">
        <f>MAX($F$3239:F4862)</f>
        <v>2.1669</v>
      </c>
      <c r="I4862" s="11">
        <f t="shared" si="112"/>
        <v>0.000692233144122922</v>
      </c>
      <c r="J4862" s="9">
        <f>MAX($F$4842:F4862)</f>
        <v>2.1669</v>
      </c>
      <c r="K4862" s="11">
        <f t="shared" si="114"/>
        <v>0.000692233144122922</v>
      </c>
      <c r="L4862" s="9">
        <f>MAX($F$4357:F4862)</f>
        <v>2.1669</v>
      </c>
      <c r="M4862" s="11">
        <f t="shared" si="113"/>
        <v>0.000692233144122922</v>
      </c>
      <c r="N4862" s="9" t="s">
        <v>809</v>
      </c>
    </row>
    <row r="4863" ht="25" customHeight="1" spans="1:14">
      <c r="A4863" s="9" t="s">
        <v>327</v>
      </c>
      <c r="B4863" s="9" t="s">
        <v>326</v>
      </c>
      <c r="C4863" s="10">
        <v>45943</v>
      </c>
      <c r="D4863" s="15">
        <v>1.0157</v>
      </c>
      <c r="E4863" s="15">
        <v>1.8092</v>
      </c>
      <c r="F4863" s="15">
        <v>2.1675</v>
      </c>
      <c r="G4863" s="11">
        <v>0.001</v>
      </c>
      <c r="H4863" s="9">
        <f>MAX($F$3239:F4863)</f>
        <v>2.1675</v>
      </c>
      <c r="I4863" s="11">
        <f t="shared" si="112"/>
        <v>0</v>
      </c>
      <c r="J4863" s="9">
        <f>MAX($F$4842:F4863)</f>
        <v>2.1675</v>
      </c>
      <c r="K4863" s="11">
        <f t="shared" si="114"/>
        <v>0</v>
      </c>
      <c r="L4863" s="9">
        <f>MAX($F$4357:F4863)</f>
        <v>2.1675</v>
      </c>
      <c r="M4863" s="11">
        <f t="shared" si="113"/>
        <v>0</v>
      </c>
      <c r="N4863" s="9" t="s">
        <v>809</v>
      </c>
    </row>
    <row r="4864" ht="25" customHeight="1" spans="1:14">
      <c r="A4864" s="9" t="s">
        <v>327</v>
      </c>
      <c r="B4864" s="9" t="s">
        <v>326</v>
      </c>
      <c r="C4864" s="10">
        <v>45944</v>
      </c>
      <c r="D4864" s="15">
        <v>1.0172</v>
      </c>
      <c r="E4864" s="15">
        <v>1.8107</v>
      </c>
      <c r="F4864" s="15">
        <v>2.1707</v>
      </c>
      <c r="G4864" s="11">
        <v>0.0015</v>
      </c>
      <c r="H4864" s="9">
        <f>MAX($F$3239:F4864)</f>
        <v>2.1707</v>
      </c>
      <c r="I4864" s="11">
        <f t="shared" si="112"/>
        <v>0</v>
      </c>
      <c r="J4864" s="9">
        <f>MAX($F$4842:F4864)</f>
        <v>2.1707</v>
      </c>
      <c r="K4864" s="11">
        <f t="shared" si="114"/>
        <v>0</v>
      </c>
      <c r="L4864" s="9">
        <f>MAX($F$4357:F4864)</f>
        <v>2.1707</v>
      </c>
      <c r="M4864" s="11">
        <f t="shared" si="113"/>
        <v>0</v>
      </c>
      <c r="N4864" s="9" t="s">
        <v>809</v>
      </c>
    </row>
    <row r="4865" ht="25" customHeight="1" spans="1:14">
      <c r="A4865" s="9" t="s">
        <v>327</v>
      </c>
      <c r="B4865" s="9" t="s">
        <v>326</v>
      </c>
      <c r="C4865" s="10">
        <v>45945</v>
      </c>
      <c r="D4865" s="15">
        <v>1.0173</v>
      </c>
      <c r="E4865" s="15">
        <v>1.8108</v>
      </c>
      <c r="F4865" s="15">
        <v>2.1709</v>
      </c>
      <c r="G4865" s="11">
        <v>0.0001</v>
      </c>
      <c r="H4865" s="9">
        <f>MAX($F$3239:F4865)</f>
        <v>2.1709</v>
      </c>
      <c r="I4865" s="11">
        <f t="shared" si="112"/>
        <v>0</v>
      </c>
      <c r="J4865" s="9">
        <f>MAX($F$4842:F4865)</f>
        <v>2.1709</v>
      </c>
      <c r="K4865" s="11">
        <f t="shared" si="114"/>
        <v>0</v>
      </c>
      <c r="L4865" s="9">
        <f>MAX($F$4357:F4865)</f>
        <v>2.1709</v>
      </c>
      <c r="M4865" s="11">
        <f t="shared" si="113"/>
        <v>0</v>
      </c>
      <c r="N4865" s="9" t="s">
        <v>809</v>
      </c>
    </row>
    <row r="4866" ht="25" customHeight="1" spans="1:14">
      <c r="A4866" s="9" t="s">
        <v>327</v>
      </c>
      <c r="B4866" s="9" t="s">
        <v>326</v>
      </c>
      <c r="C4866" s="10">
        <v>45946</v>
      </c>
      <c r="D4866" s="15">
        <v>1.017</v>
      </c>
      <c r="E4866" s="15">
        <v>1.8105</v>
      </c>
      <c r="F4866" s="15">
        <v>2.1703</v>
      </c>
      <c r="G4866" s="11">
        <v>-0.0003</v>
      </c>
      <c r="H4866" s="9">
        <f>MAX($F$3239:F4866)</f>
        <v>2.1709</v>
      </c>
      <c r="I4866" s="11">
        <f t="shared" ref="I4866:I4929" si="115">1-F4866/H4866</f>
        <v>0.000276383066930785</v>
      </c>
      <c r="J4866" s="9">
        <f>MAX($F$4842:F4866)</f>
        <v>2.1709</v>
      </c>
      <c r="K4866" s="11">
        <f t="shared" si="114"/>
        <v>0.000276383066930785</v>
      </c>
      <c r="L4866" s="9">
        <f>MAX($F$4357:F4866)</f>
        <v>2.1709</v>
      </c>
      <c r="M4866" s="11">
        <f t="shared" si="113"/>
        <v>0.000276383066930785</v>
      </c>
      <c r="N4866" s="9" t="s">
        <v>809</v>
      </c>
    </row>
    <row r="4867" ht="25" customHeight="1" spans="1:14">
      <c r="A4867" s="9" t="s">
        <v>327</v>
      </c>
      <c r="B4867" s="9" t="s">
        <v>326</v>
      </c>
      <c r="C4867" s="10">
        <v>45947</v>
      </c>
      <c r="D4867" s="15">
        <v>1.0167</v>
      </c>
      <c r="E4867" s="15">
        <v>1.8102</v>
      </c>
      <c r="F4867" s="15">
        <v>2.1696</v>
      </c>
      <c r="G4867" s="11">
        <v>-0.0003</v>
      </c>
      <c r="H4867" s="9">
        <f>MAX($F$3239:F4867)</f>
        <v>2.1709</v>
      </c>
      <c r="I4867" s="11">
        <f t="shared" si="115"/>
        <v>0.000598829978350035</v>
      </c>
      <c r="J4867" s="9">
        <f>MAX($F$4842:F4867)</f>
        <v>2.1709</v>
      </c>
      <c r="K4867" s="11">
        <f t="shared" si="114"/>
        <v>0.000598829978350035</v>
      </c>
      <c r="L4867" s="9">
        <f>MAX($F$4357:F4867)</f>
        <v>2.1709</v>
      </c>
      <c r="M4867" s="11">
        <f t="shared" si="113"/>
        <v>0.000598829978350035</v>
      </c>
      <c r="N4867" s="9" t="s">
        <v>809</v>
      </c>
    </row>
    <row r="4868" ht="25" customHeight="1" spans="1:14">
      <c r="A4868" s="9" t="s">
        <v>327</v>
      </c>
      <c r="B4868" s="9" t="s">
        <v>326</v>
      </c>
      <c r="C4868" s="10">
        <v>45950</v>
      </c>
      <c r="D4868" s="15">
        <v>1.0165</v>
      </c>
      <c r="E4868" s="15">
        <v>1.81</v>
      </c>
      <c r="F4868" s="15">
        <v>2.1692</v>
      </c>
      <c r="G4868" s="11">
        <v>-0.0002</v>
      </c>
      <c r="H4868" s="9">
        <f>MAX($F$3239:F4868)</f>
        <v>2.1709</v>
      </c>
      <c r="I4868" s="11">
        <f t="shared" si="115"/>
        <v>0.000783085356303892</v>
      </c>
      <c r="J4868" s="9">
        <f>MAX($F$4842:F4868)</f>
        <v>2.1709</v>
      </c>
      <c r="K4868" s="11">
        <f t="shared" si="114"/>
        <v>0.000783085356303892</v>
      </c>
      <c r="L4868" s="9">
        <f>MAX($F$4357:F4868)</f>
        <v>2.1709</v>
      </c>
      <c r="M4868" s="11">
        <f t="shared" si="113"/>
        <v>0.000783085356303892</v>
      </c>
      <c r="N4868" s="9" t="s">
        <v>809</v>
      </c>
    </row>
    <row r="4869" ht="25" customHeight="1" spans="1:14">
      <c r="A4869" s="9" t="s">
        <v>327</v>
      </c>
      <c r="B4869" s="9" t="s">
        <v>326</v>
      </c>
      <c r="C4869" s="10">
        <v>45951</v>
      </c>
      <c r="D4869" s="15">
        <v>1.0162</v>
      </c>
      <c r="E4869" s="15">
        <v>1.8097</v>
      </c>
      <c r="F4869" s="15">
        <v>2.1686</v>
      </c>
      <c r="G4869" s="11">
        <v>-0.0003</v>
      </c>
      <c r="H4869" s="9">
        <f>MAX($F$3239:F4869)</f>
        <v>2.1709</v>
      </c>
      <c r="I4869" s="11">
        <f t="shared" si="115"/>
        <v>0.00105946842323457</v>
      </c>
      <c r="J4869" s="9">
        <f>MAX($F$4842:F4869)</f>
        <v>2.1709</v>
      </c>
      <c r="K4869" s="11">
        <f t="shared" si="114"/>
        <v>0.00105946842323457</v>
      </c>
      <c r="L4869" s="9">
        <f>MAX($F$4357:F4869)</f>
        <v>2.1709</v>
      </c>
      <c r="M4869" s="11">
        <f t="shared" ref="M4869:M4932" si="116">1-F4869/L4869</f>
        <v>0.00105946842323457</v>
      </c>
      <c r="N4869" s="9" t="s">
        <v>809</v>
      </c>
    </row>
    <row r="4870" ht="25" customHeight="1" spans="1:14">
      <c r="A4870" s="9" t="s">
        <v>327</v>
      </c>
      <c r="B4870" s="9" t="s">
        <v>326</v>
      </c>
      <c r="C4870" s="10">
        <v>45952</v>
      </c>
      <c r="D4870" s="15">
        <v>1.0163</v>
      </c>
      <c r="E4870" s="15">
        <v>1.8098</v>
      </c>
      <c r="F4870" s="15">
        <v>2.1688</v>
      </c>
      <c r="G4870" s="11">
        <v>0.0001</v>
      </c>
      <c r="H4870" s="9">
        <f>MAX($F$3239:F4870)</f>
        <v>2.1709</v>
      </c>
      <c r="I4870" s="11">
        <f t="shared" si="115"/>
        <v>0.000967340734257638</v>
      </c>
      <c r="J4870" s="9">
        <f>MAX($F$4842:F4870)</f>
        <v>2.1709</v>
      </c>
      <c r="K4870" s="11">
        <f t="shared" si="114"/>
        <v>0.000967340734257638</v>
      </c>
      <c r="L4870" s="9">
        <f>MAX($F$4357:F4870)</f>
        <v>2.1709</v>
      </c>
      <c r="M4870" s="11">
        <f t="shared" si="116"/>
        <v>0.000967340734257638</v>
      </c>
      <c r="N4870" s="9" t="s">
        <v>809</v>
      </c>
    </row>
    <row r="4871" ht="25" customHeight="1" spans="1:14">
      <c r="A4871" s="9" t="s">
        <v>327</v>
      </c>
      <c r="B4871" s="9" t="s">
        <v>326</v>
      </c>
      <c r="C4871" s="10">
        <v>45953</v>
      </c>
      <c r="D4871" s="15">
        <v>1.0166</v>
      </c>
      <c r="E4871" s="15">
        <v>1.8101</v>
      </c>
      <c r="F4871" s="15">
        <v>2.1694</v>
      </c>
      <c r="G4871" s="11">
        <v>0.0003</v>
      </c>
      <c r="H4871" s="9">
        <f>MAX($F$3239:F4871)</f>
        <v>2.1709</v>
      </c>
      <c r="I4871" s="11">
        <f t="shared" si="115"/>
        <v>0.000690957667326964</v>
      </c>
      <c r="J4871" s="9">
        <f>MAX($F$4842:F4871)</f>
        <v>2.1709</v>
      </c>
      <c r="K4871" s="11">
        <f t="shared" si="114"/>
        <v>0.000690957667326964</v>
      </c>
      <c r="L4871" s="9">
        <f>MAX($F$4357:F4871)</f>
        <v>2.1709</v>
      </c>
      <c r="M4871" s="11">
        <f t="shared" si="116"/>
        <v>0.000690957667326964</v>
      </c>
      <c r="N4871" s="9" t="s">
        <v>809</v>
      </c>
    </row>
    <row r="4872" ht="25" customHeight="1" spans="1:14">
      <c r="A4872" s="9" t="s">
        <v>327</v>
      </c>
      <c r="B4872" s="9" t="s">
        <v>326</v>
      </c>
      <c r="C4872" s="10">
        <v>45954</v>
      </c>
      <c r="D4872" s="15">
        <v>1.0173</v>
      </c>
      <c r="E4872" s="15">
        <v>1.8108</v>
      </c>
      <c r="F4872" s="15">
        <v>2.1709</v>
      </c>
      <c r="G4872" s="11">
        <v>0.0007</v>
      </c>
      <c r="H4872" s="9">
        <f>MAX($F$3239:F4872)</f>
        <v>2.1709</v>
      </c>
      <c r="I4872" s="11">
        <f t="shared" si="115"/>
        <v>0</v>
      </c>
      <c r="J4872" s="9">
        <f>MAX($F$4842:F4872)</f>
        <v>2.1709</v>
      </c>
      <c r="K4872" s="11">
        <f t="shared" si="114"/>
        <v>0</v>
      </c>
      <c r="L4872" s="9">
        <f>MAX($F$4357:F4872)</f>
        <v>2.1709</v>
      </c>
      <c r="M4872" s="11">
        <f t="shared" si="116"/>
        <v>0</v>
      </c>
      <c r="N4872" s="9" t="s">
        <v>809</v>
      </c>
    </row>
    <row r="4873" ht="25" customHeight="1" spans="1:14">
      <c r="A4873" s="9" t="s">
        <v>327</v>
      </c>
      <c r="B4873" s="9" t="s">
        <v>326</v>
      </c>
      <c r="C4873" s="10">
        <v>45957</v>
      </c>
      <c r="D4873" s="15">
        <v>1.0176</v>
      </c>
      <c r="E4873" s="15">
        <v>1.8111</v>
      </c>
      <c r="F4873" s="15">
        <v>2.1716</v>
      </c>
      <c r="G4873" s="11">
        <v>0.0003</v>
      </c>
      <c r="H4873" s="9">
        <f>MAX($F$3239:F4873)</f>
        <v>2.1716</v>
      </c>
      <c r="I4873" s="11">
        <f t="shared" si="115"/>
        <v>0</v>
      </c>
      <c r="J4873" s="9">
        <f>MAX($F$4842:F4873)</f>
        <v>2.1716</v>
      </c>
      <c r="K4873" s="11">
        <f t="shared" si="114"/>
        <v>0</v>
      </c>
      <c r="L4873" s="9">
        <f>MAX($F$4357:F4873)</f>
        <v>2.1716</v>
      </c>
      <c r="M4873" s="11">
        <f t="shared" si="116"/>
        <v>0</v>
      </c>
      <c r="N4873" s="9" t="s">
        <v>809</v>
      </c>
    </row>
    <row r="4874" ht="25" customHeight="1" spans="1:14">
      <c r="A4874" s="9" t="s">
        <v>327</v>
      </c>
      <c r="B4874" s="9" t="s">
        <v>326</v>
      </c>
      <c r="C4874" s="10">
        <v>45958</v>
      </c>
      <c r="D4874" s="15">
        <v>1.0174</v>
      </c>
      <c r="E4874" s="15">
        <v>1.8109</v>
      </c>
      <c r="F4874" s="15">
        <v>2.1711</v>
      </c>
      <c r="G4874" s="11">
        <v>-0.0002</v>
      </c>
      <c r="H4874" s="9">
        <f>MAX($F$3239:F4874)</f>
        <v>2.1716</v>
      </c>
      <c r="I4874" s="11">
        <f t="shared" si="115"/>
        <v>0.000230244980659489</v>
      </c>
      <c r="J4874" s="9">
        <f>MAX($F$4842:F4874)</f>
        <v>2.1716</v>
      </c>
      <c r="K4874" s="11">
        <f t="shared" si="114"/>
        <v>0.000230244980659489</v>
      </c>
      <c r="L4874" s="9">
        <f>MAX($F$4357:F4874)</f>
        <v>2.1716</v>
      </c>
      <c r="M4874" s="11">
        <f t="shared" si="116"/>
        <v>0.000230244980659489</v>
      </c>
      <c r="N4874" s="9" t="s">
        <v>809</v>
      </c>
    </row>
    <row r="4875" ht="25" customHeight="1" spans="1:14">
      <c r="A4875" s="9" t="s">
        <v>327</v>
      </c>
      <c r="B4875" s="9" t="s">
        <v>326</v>
      </c>
      <c r="C4875" s="10">
        <v>45959</v>
      </c>
      <c r="D4875" s="15">
        <v>1.0184</v>
      </c>
      <c r="E4875" s="15">
        <v>1.8119</v>
      </c>
      <c r="F4875" s="15">
        <v>2.1733</v>
      </c>
      <c r="G4875" s="11">
        <v>0.001</v>
      </c>
      <c r="H4875" s="9">
        <f>MAX($F$3239:F4875)</f>
        <v>2.1733</v>
      </c>
      <c r="I4875" s="11">
        <f t="shared" si="115"/>
        <v>0</v>
      </c>
      <c r="J4875" s="9">
        <f>MAX($F$4842:F4875)</f>
        <v>2.1733</v>
      </c>
      <c r="K4875" s="11">
        <f t="shared" si="114"/>
        <v>0</v>
      </c>
      <c r="L4875" s="9">
        <f>MAX($F$4357:F4875)</f>
        <v>2.1733</v>
      </c>
      <c r="M4875" s="11">
        <f t="shared" si="116"/>
        <v>0</v>
      </c>
      <c r="N4875" s="9" t="s">
        <v>809</v>
      </c>
    </row>
    <row r="4876" ht="25" customHeight="1" spans="1:14">
      <c r="A4876" s="9" t="s">
        <v>327</v>
      </c>
      <c r="B4876" s="9" t="s">
        <v>326</v>
      </c>
      <c r="C4876" s="10">
        <v>45960</v>
      </c>
      <c r="D4876" s="15">
        <v>1.0188</v>
      </c>
      <c r="E4876" s="15">
        <v>1.8123</v>
      </c>
      <c r="F4876" s="15">
        <v>2.1741</v>
      </c>
      <c r="G4876" s="11">
        <v>0.0004</v>
      </c>
      <c r="H4876" s="9">
        <f>MAX($F$3239:F4876)</f>
        <v>2.1741</v>
      </c>
      <c r="I4876" s="11">
        <f t="shared" si="115"/>
        <v>0</v>
      </c>
      <c r="J4876" s="9">
        <f>MAX($F$4842:F4876)</f>
        <v>2.1741</v>
      </c>
      <c r="K4876" s="11">
        <f t="shared" si="114"/>
        <v>0</v>
      </c>
      <c r="L4876" s="9">
        <f>MAX($F$4357:F4876)</f>
        <v>2.1741</v>
      </c>
      <c r="M4876" s="11">
        <f t="shared" si="116"/>
        <v>0</v>
      </c>
      <c r="N4876" s="9" t="s">
        <v>809</v>
      </c>
    </row>
    <row r="4877" ht="25" customHeight="1" spans="1:14">
      <c r="A4877" s="9" t="s">
        <v>327</v>
      </c>
      <c r="B4877" s="9" t="s">
        <v>326</v>
      </c>
      <c r="C4877" s="10">
        <v>45961</v>
      </c>
      <c r="D4877" s="15">
        <v>1.019</v>
      </c>
      <c r="E4877" s="15">
        <v>1.8125</v>
      </c>
      <c r="F4877" s="15">
        <v>2.1746</v>
      </c>
      <c r="G4877" s="11">
        <v>0.0002</v>
      </c>
      <c r="H4877" s="9">
        <f>MAX($F$3239:F4877)</f>
        <v>2.1746</v>
      </c>
      <c r="I4877" s="11">
        <f t="shared" si="115"/>
        <v>0</v>
      </c>
      <c r="J4877" s="9">
        <f>MAX($F$4842:F4877)</f>
        <v>2.1746</v>
      </c>
      <c r="K4877" s="11">
        <f t="shared" si="114"/>
        <v>0</v>
      </c>
      <c r="L4877" s="9">
        <f>MAX($F$4357:F4877)</f>
        <v>2.1746</v>
      </c>
      <c r="M4877" s="11">
        <f t="shared" si="116"/>
        <v>0</v>
      </c>
      <c r="N4877" s="9" t="s">
        <v>809</v>
      </c>
    </row>
    <row r="4878" ht="25" customHeight="1" spans="1:14">
      <c r="A4878" s="9" t="s">
        <v>327</v>
      </c>
      <c r="B4878" s="9" t="s">
        <v>326</v>
      </c>
      <c r="C4878" s="10">
        <v>45964</v>
      </c>
      <c r="D4878" s="15">
        <v>1.0187</v>
      </c>
      <c r="E4878" s="15">
        <v>1.8122</v>
      </c>
      <c r="F4878" s="15">
        <v>2.1739</v>
      </c>
      <c r="G4878" s="11">
        <v>-0.0003</v>
      </c>
      <c r="H4878" s="9">
        <f>MAX($F$3239:F4878)</f>
        <v>2.1746</v>
      </c>
      <c r="I4878" s="11">
        <f t="shared" si="115"/>
        <v>0.000321898280143285</v>
      </c>
      <c r="J4878" s="9">
        <f>MAX($F$4842:F4878)</f>
        <v>2.1746</v>
      </c>
      <c r="K4878" s="11">
        <f t="shared" si="114"/>
        <v>0.000321898280143285</v>
      </c>
      <c r="L4878" s="9">
        <f>MAX($F$4357:F4878)</f>
        <v>2.1746</v>
      </c>
      <c r="M4878" s="11">
        <f t="shared" si="116"/>
        <v>0.000321898280143285</v>
      </c>
      <c r="N4878" s="9" t="s">
        <v>809</v>
      </c>
    </row>
    <row r="4879" ht="25" customHeight="1" spans="1:14">
      <c r="A4879" s="9" t="s">
        <v>327</v>
      </c>
      <c r="B4879" s="9" t="s">
        <v>326</v>
      </c>
      <c r="C4879" s="10">
        <v>45965</v>
      </c>
      <c r="D4879" s="15">
        <v>1.0189</v>
      </c>
      <c r="E4879" s="15">
        <v>1.8124</v>
      </c>
      <c r="F4879" s="15">
        <v>2.1743</v>
      </c>
      <c r="G4879" s="11">
        <v>0.0002</v>
      </c>
      <c r="H4879" s="9">
        <f>MAX($F$3239:F4879)</f>
        <v>2.1746</v>
      </c>
      <c r="I4879" s="11">
        <f t="shared" si="115"/>
        <v>0.00013795640577563</v>
      </c>
      <c r="J4879" s="9">
        <f>MAX($F$4842:F4879)</f>
        <v>2.1746</v>
      </c>
      <c r="K4879" s="11">
        <f t="shared" si="114"/>
        <v>0.00013795640577563</v>
      </c>
      <c r="L4879" s="9">
        <f>MAX($F$4357:F4879)</f>
        <v>2.1746</v>
      </c>
      <c r="M4879" s="11">
        <f t="shared" si="116"/>
        <v>0.00013795640577563</v>
      </c>
      <c r="N4879" s="9" t="s">
        <v>809</v>
      </c>
    </row>
    <row r="4880" ht="25" customHeight="1" spans="1:14">
      <c r="A4880" s="9" t="s">
        <v>327</v>
      </c>
      <c r="B4880" s="9" t="s">
        <v>326</v>
      </c>
      <c r="C4880" s="10">
        <v>45966</v>
      </c>
      <c r="D4880" s="15">
        <v>1.019</v>
      </c>
      <c r="E4880" s="15">
        <v>1.8125</v>
      </c>
      <c r="F4880" s="15">
        <v>2.1746</v>
      </c>
      <c r="G4880" s="11">
        <v>0.0001</v>
      </c>
      <c r="H4880" s="9">
        <f>MAX($F$3239:F4880)</f>
        <v>2.1746</v>
      </c>
      <c r="I4880" s="11">
        <f t="shared" si="115"/>
        <v>0</v>
      </c>
      <c r="J4880" s="9">
        <f>MAX($F$4842:F4880)</f>
        <v>2.1746</v>
      </c>
      <c r="K4880" s="11">
        <f t="shared" si="114"/>
        <v>0</v>
      </c>
      <c r="L4880" s="9">
        <f>MAX($F$4357:F4880)</f>
        <v>2.1746</v>
      </c>
      <c r="M4880" s="11">
        <f t="shared" si="116"/>
        <v>0</v>
      </c>
      <c r="N4880" s="9" t="s">
        <v>809</v>
      </c>
    </row>
    <row r="4881" ht="25" customHeight="1" spans="1:14">
      <c r="A4881" s="9" t="s">
        <v>327</v>
      </c>
      <c r="B4881" s="9" t="s">
        <v>326</v>
      </c>
      <c r="C4881" s="10">
        <v>45967</v>
      </c>
      <c r="D4881" s="15">
        <v>1.0195</v>
      </c>
      <c r="E4881" s="15">
        <v>1.813</v>
      </c>
      <c r="F4881" s="15">
        <v>2.1756</v>
      </c>
      <c r="G4881" s="11">
        <v>0.0005</v>
      </c>
      <c r="H4881" s="9">
        <f>MAX($F$3239:F4881)</f>
        <v>2.1756</v>
      </c>
      <c r="I4881" s="11">
        <f t="shared" si="115"/>
        <v>0</v>
      </c>
      <c r="J4881" s="9">
        <f>MAX($F$4842:F4881)</f>
        <v>2.1756</v>
      </c>
      <c r="K4881" s="11">
        <f t="shared" si="114"/>
        <v>0</v>
      </c>
      <c r="L4881" s="9">
        <f>MAX($F$4357:F4881)</f>
        <v>2.1756</v>
      </c>
      <c r="M4881" s="11">
        <f t="shared" si="116"/>
        <v>0</v>
      </c>
      <c r="N4881" s="9" t="s">
        <v>809</v>
      </c>
    </row>
    <row r="4882" ht="25" customHeight="1" spans="1:14">
      <c r="A4882" s="9" t="s">
        <v>327</v>
      </c>
      <c r="B4882" s="9" t="s">
        <v>326</v>
      </c>
      <c r="C4882" s="10">
        <v>45968</v>
      </c>
      <c r="D4882" s="15">
        <v>1.0195</v>
      </c>
      <c r="E4882" s="15">
        <v>1.813</v>
      </c>
      <c r="F4882" s="15">
        <v>2.1756</v>
      </c>
      <c r="G4882" s="11">
        <v>0</v>
      </c>
      <c r="H4882" s="9">
        <f>MAX($F$3239:F4882)</f>
        <v>2.1756</v>
      </c>
      <c r="I4882" s="11">
        <f t="shared" si="115"/>
        <v>0</v>
      </c>
      <c r="J4882" s="9">
        <f>MAX($F$4842:F4882)</f>
        <v>2.1756</v>
      </c>
      <c r="K4882" s="11">
        <f t="shared" si="114"/>
        <v>0</v>
      </c>
      <c r="L4882" s="9">
        <f>MAX($F$4357:F4882)</f>
        <v>2.1756</v>
      </c>
      <c r="M4882" s="11">
        <f t="shared" si="116"/>
        <v>0</v>
      </c>
      <c r="N4882" s="9" t="s">
        <v>809</v>
      </c>
    </row>
    <row r="4883" ht="25" customHeight="1" spans="1:14">
      <c r="A4883" s="9" t="s">
        <v>327</v>
      </c>
      <c r="B4883" s="9" t="s">
        <v>326</v>
      </c>
      <c r="C4883" s="10">
        <v>45971</v>
      </c>
      <c r="D4883" s="15">
        <v>1.0195</v>
      </c>
      <c r="E4883" s="15">
        <v>1.813</v>
      </c>
      <c r="F4883" s="15">
        <v>2.1756</v>
      </c>
      <c r="G4883" s="11">
        <v>0</v>
      </c>
      <c r="H4883" s="9">
        <f>MAX($F$3239:F4883)</f>
        <v>2.1756</v>
      </c>
      <c r="I4883" s="11">
        <f t="shared" si="115"/>
        <v>0</v>
      </c>
      <c r="J4883" s="9">
        <f>MAX($F$4842:F4883)</f>
        <v>2.1756</v>
      </c>
      <c r="K4883" s="11">
        <f t="shared" si="114"/>
        <v>0</v>
      </c>
      <c r="L4883" s="9">
        <f>MAX($F$4357:F4883)</f>
        <v>2.1756</v>
      </c>
      <c r="M4883" s="11">
        <f t="shared" si="116"/>
        <v>0</v>
      </c>
      <c r="N4883" s="9" t="s">
        <v>809</v>
      </c>
    </row>
    <row r="4884" ht="25" customHeight="1" spans="1:14">
      <c r="A4884" s="9" t="s">
        <v>327</v>
      </c>
      <c r="B4884" s="9" t="s">
        <v>326</v>
      </c>
      <c r="C4884" s="10">
        <v>45972</v>
      </c>
      <c r="D4884" s="15">
        <v>1.0199</v>
      </c>
      <c r="E4884" s="15">
        <v>1.8134</v>
      </c>
      <c r="F4884" s="15">
        <v>2.1765</v>
      </c>
      <c r="G4884" s="11">
        <v>0.0004</v>
      </c>
      <c r="H4884" s="9">
        <f>MAX($F$3239:F4884)</f>
        <v>2.1765</v>
      </c>
      <c r="I4884" s="11">
        <f t="shared" si="115"/>
        <v>0</v>
      </c>
      <c r="J4884" s="9">
        <f>MAX($F$4842:F4884)</f>
        <v>2.1765</v>
      </c>
      <c r="K4884" s="11">
        <f t="shared" si="114"/>
        <v>0</v>
      </c>
      <c r="L4884" s="9">
        <f>MAX($F$4357:F4884)</f>
        <v>2.1765</v>
      </c>
      <c r="M4884" s="11">
        <f t="shared" si="116"/>
        <v>0</v>
      </c>
      <c r="N4884" s="9" t="s">
        <v>809</v>
      </c>
    </row>
    <row r="4885" ht="25" customHeight="1" spans="1:14">
      <c r="A4885" s="9" t="s">
        <v>327</v>
      </c>
      <c r="B4885" s="9" t="s">
        <v>326</v>
      </c>
      <c r="C4885" s="10">
        <v>45973</v>
      </c>
      <c r="D4885" s="15">
        <v>1.0197</v>
      </c>
      <c r="E4885" s="15">
        <v>1.8132</v>
      </c>
      <c r="F4885" s="15">
        <v>2.176</v>
      </c>
      <c r="G4885" s="11">
        <v>-0.0002</v>
      </c>
      <c r="H4885" s="9">
        <f>MAX($F$3239:F4885)</f>
        <v>2.1765</v>
      </c>
      <c r="I4885" s="11">
        <f t="shared" si="115"/>
        <v>0.000229726625315729</v>
      </c>
      <c r="J4885" s="9">
        <f>MAX($F$4842:F4885)</f>
        <v>2.1765</v>
      </c>
      <c r="K4885" s="11">
        <f t="shared" si="114"/>
        <v>0.000229726625315729</v>
      </c>
      <c r="L4885" s="9">
        <f>MAX($F$4357:F4885)</f>
        <v>2.1765</v>
      </c>
      <c r="M4885" s="11">
        <f t="shared" si="116"/>
        <v>0.000229726625315729</v>
      </c>
      <c r="N4885" s="9" t="s">
        <v>809</v>
      </c>
    </row>
    <row r="4886" ht="25" customHeight="1" spans="1:14">
      <c r="A4886" s="9" t="s">
        <v>327</v>
      </c>
      <c r="B4886" s="9" t="s">
        <v>326</v>
      </c>
      <c r="C4886" s="10">
        <v>45974</v>
      </c>
      <c r="D4886" s="15">
        <v>1.0196</v>
      </c>
      <c r="E4886" s="15">
        <v>1.8131</v>
      </c>
      <c r="F4886" s="15">
        <v>2.1758</v>
      </c>
      <c r="G4886" s="11">
        <v>-0.0001</v>
      </c>
      <c r="H4886" s="9">
        <f>MAX($F$3239:F4886)</f>
        <v>2.1765</v>
      </c>
      <c r="I4886" s="11">
        <f t="shared" si="115"/>
        <v>0.00032161727544211</v>
      </c>
      <c r="J4886" s="9">
        <f>MAX($F$4842:F4886)</f>
        <v>2.1765</v>
      </c>
      <c r="K4886" s="11">
        <f t="shared" si="114"/>
        <v>0.00032161727544211</v>
      </c>
      <c r="L4886" s="9">
        <f>MAX($F$4357:F4886)</f>
        <v>2.1765</v>
      </c>
      <c r="M4886" s="11">
        <f t="shared" si="116"/>
        <v>0.00032161727544211</v>
      </c>
      <c r="N4886" s="9" t="s">
        <v>809</v>
      </c>
    </row>
    <row r="4887" ht="25" customHeight="1" spans="1:14">
      <c r="A4887" s="9" t="s">
        <v>327</v>
      </c>
      <c r="B4887" s="9" t="s">
        <v>326</v>
      </c>
      <c r="C4887" s="10">
        <v>45975</v>
      </c>
      <c r="D4887" s="15">
        <v>1.0196</v>
      </c>
      <c r="E4887" s="15">
        <v>1.8131</v>
      </c>
      <c r="F4887" s="15">
        <v>2.1758</v>
      </c>
      <c r="G4887" s="11">
        <v>0</v>
      </c>
      <c r="H4887" s="9">
        <f>MAX($F$3239:F4887)</f>
        <v>2.1765</v>
      </c>
      <c r="I4887" s="11">
        <f t="shared" si="115"/>
        <v>0.00032161727544211</v>
      </c>
      <c r="J4887" s="9">
        <f>MAX($F$4842:F4887)</f>
        <v>2.1765</v>
      </c>
      <c r="K4887" s="11">
        <f t="shared" si="114"/>
        <v>0.00032161727544211</v>
      </c>
      <c r="L4887" s="9">
        <f>MAX($F$4357:F4887)</f>
        <v>2.1765</v>
      </c>
      <c r="M4887" s="11">
        <f t="shared" si="116"/>
        <v>0.00032161727544211</v>
      </c>
      <c r="N4887" s="9" t="s">
        <v>809</v>
      </c>
    </row>
    <row r="4888" ht="25" customHeight="1" spans="1:14">
      <c r="A4888" s="9" t="s">
        <v>327</v>
      </c>
      <c r="B4888" s="9" t="s">
        <v>326</v>
      </c>
      <c r="C4888" s="10">
        <v>45978</v>
      </c>
      <c r="D4888" s="15">
        <v>1.0197</v>
      </c>
      <c r="E4888" s="15">
        <v>1.8132</v>
      </c>
      <c r="F4888" s="15">
        <v>2.176</v>
      </c>
      <c r="G4888" s="11">
        <v>0.0001</v>
      </c>
      <c r="H4888" s="9">
        <f>MAX($F$3239:F4888)</f>
        <v>2.1765</v>
      </c>
      <c r="I4888" s="11">
        <f t="shared" si="115"/>
        <v>0.000229726625315729</v>
      </c>
      <c r="J4888" s="9">
        <f>MAX($F$4842:F4888)</f>
        <v>2.1765</v>
      </c>
      <c r="K4888" s="11">
        <f t="shared" si="114"/>
        <v>0.000229726625315729</v>
      </c>
      <c r="L4888" s="9">
        <f>MAX($F$4357:F4888)</f>
        <v>2.1765</v>
      </c>
      <c r="M4888" s="11">
        <f t="shared" si="116"/>
        <v>0.000229726625315729</v>
      </c>
      <c r="N4888" s="9" t="s">
        <v>809</v>
      </c>
    </row>
    <row r="4889" ht="25" customHeight="1" spans="1:14">
      <c r="A4889" s="9" t="s">
        <v>327</v>
      </c>
      <c r="B4889" s="9" t="s">
        <v>326</v>
      </c>
      <c r="C4889" s="10">
        <v>45979</v>
      </c>
      <c r="D4889" s="15">
        <v>1.02</v>
      </c>
      <c r="E4889" s="15">
        <v>1.8135</v>
      </c>
      <c r="F4889" s="15">
        <v>2.1767</v>
      </c>
      <c r="G4889" s="11">
        <v>0.0003</v>
      </c>
      <c r="H4889" s="9">
        <f>MAX($F$3239:F4889)</f>
        <v>2.1767</v>
      </c>
      <c r="I4889" s="11">
        <f t="shared" si="115"/>
        <v>0</v>
      </c>
      <c r="J4889" s="9">
        <f>MAX($F$4842:F4889)</f>
        <v>2.1767</v>
      </c>
      <c r="K4889" s="11">
        <f t="shared" si="114"/>
        <v>0</v>
      </c>
      <c r="L4889" s="9">
        <f>MAX($F$4357:F4889)</f>
        <v>2.1767</v>
      </c>
      <c r="M4889" s="11">
        <f t="shared" si="116"/>
        <v>0</v>
      </c>
      <c r="N4889" s="9" t="s">
        <v>809</v>
      </c>
    </row>
    <row r="4890" ht="25" customHeight="1" spans="1:14">
      <c r="A4890" s="9" t="s">
        <v>327</v>
      </c>
      <c r="B4890" s="9" t="s">
        <v>326</v>
      </c>
      <c r="C4890" s="10">
        <v>45980</v>
      </c>
      <c r="D4890" s="15">
        <v>1.02</v>
      </c>
      <c r="E4890" s="15">
        <v>1.8135</v>
      </c>
      <c r="F4890" s="15">
        <v>2.1767</v>
      </c>
      <c r="G4890" s="11">
        <v>0</v>
      </c>
      <c r="H4890" s="9">
        <f>MAX($F$3239:F4890)</f>
        <v>2.1767</v>
      </c>
      <c r="I4890" s="11">
        <f t="shared" si="115"/>
        <v>0</v>
      </c>
      <c r="J4890" s="9">
        <f>MAX($F$4842:F4890)</f>
        <v>2.1767</v>
      </c>
      <c r="K4890" s="11">
        <f t="shared" si="114"/>
        <v>0</v>
      </c>
      <c r="L4890" s="9">
        <f>MAX($F$4357:F4890)</f>
        <v>2.1767</v>
      </c>
      <c r="M4890" s="11">
        <f t="shared" si="116"/>
        <v>0</v>
      </c>
      <c r="N4890" s="9" t="s">
        <v>809</v>
      </c>
    </row>
    <row r="4891" ht="25" customHeight="1" spans="1:14">
      <c r="A4891" s="9" t="s">
        <v>327</v>
      </c>
      <c r="B4891" s="9" t="s">
        <v>326</v>
      </c>
      <c r="C4891" s="10">
        <v>45981</v>
      </c>
      <c r="D4891" s="15">
        <v>1.0202</v>
      </c>
      <c r="E4891" s="15">
        <v>1.8137</v>
      </c>
      <c r="F4891" s="15">
        <v>2.1771</v>
      </c>
      <c r="G4891" s="11">
        <v>0.0002</v>
      </c>
      <c r="H4891" s="9">
        <f>MAX($F$3239:F4891)</f>
        <v>2.1771</v>
      </c>
      <c r="I4891" s="11">
        <f t="shared" si="115"/>
        <v>0</v>
      </c>
      <c r="J4891" s="9">
        <f>MAX($F$4842:F4891)</f>
        <v>2.1771</v>
      </c>
      <c r="K4891" s="11">
        <f t="shared" si="114"/>
        <v>0</v>
      </c>
      <c r="L4891" s="9">
        <f>MAX($F$4357:F4891)</f>
        <v>2.1771</v>
      </c>
      <c r="M4891" s="11">
        <f t="shared" si="116"/>
        <v>0</v>
      </c>
      <c r="N4891" s="9" t="s">
        <v>809</v>
      </c>
    </row>
    <row r="4892" ht="25" customHeight="1" spans="1:14">
      <c r="A4892" s="9" t="s">
        <v>327</v>
      </c>
      <c r="B4892" s="9" t="s">
        <v>326</v>
      </c>
      <c r="C4892" s="10">
        <v>45982</v>
      </c>
      <c r="D4892" s="15">
        <v>1.0211</v>
      </c>
      <c r="E4892" s="15">
        <v>1.8146</v>
      </c>
      <c r="F4892" s="15">
        <v>2.179</v>
      </c>
      <c r="G4892" s="11">
        <v>0.0009</v>
      </c>
      <c r="H4892" s="9">
        <f>MAX($F$3239:F4892)</f>
        <v>2.179</v>
      </c>
      <c r="I4892" s="11">
        <f t="shared" si="115"/>
        <v>0</v>
      </c>
      <c r="J4892" s="9">
        <f>MAX($F$4842:F4892)</f>
        <v>2.179</v>
      </c>
      <c r="K4892" s="11">
        <f t="shared" si="114"/>
        <v>0</v>
      </c>
      <c r="L4892" s="9">
        <f>MAX($F$4357:F4892)</f>
        <v>2.179</v>
      </c>
      <c r="M4892" s="11">
        <f t="shared" si="116"/>
        <v>0</v>
      </c>
      <c r="N4892" s="9" t="s">
        <v>809</v>
      </c>
    </row>
    <row r="4893" ht="25" customHeight="1" spans="1:14">
      <c r="A4893" s="9" t="s">
        <v>327</v>
      </c>
      <c r="B4893" s="9" t="s">
        <v>326</v>
      </c>
      <c r="C4893" s="10">
        <v>45985</v>
      </c>
      <c r="D4893" s="15">
        <v>1.0211</v>
      </c>
      <c r="E4893" s="15">
        <v>1.8146</v>
      </c>
      <c r="F4893" s="15">
        <v>2.179</v>
      </c>
      <c r="G4893" s="11">
        <v>0</v>
      </c>
      <c r="H4893" s="9">
        <f>MAX($F$3239:F4893)</f>
        <v>2.179</v>
      </c>
      <c r="I4893" s="11">
        <f t="shared" si="115"/>
        <v>0</v>
      </c>
      <c r="J4893" s="9">
        <f>MAX($F$4842:F4893)</f>
        <v>2.179</v>
      </c>
      <c r="K4893" s="11">
        <f t="shared" si="114"/>
        <v>0</v>
      </c>
      <c r="L4893" s="9">
        <f>MAX($F$4357:F4893)</f>
        <v>2.179</v>
      </c>
      <c r="M4893" s="11">
        <f t="shared" si="116"/>
        <v>0</v>
      </c>
      <c r="N4893" s="9" t="s">
        <v>809</v>
      </c>
    </row>
    <row r="4894" ht="25" customHeight="1" spans="1:14">
      <c r="A4894" s="9" t="s">
        <v>327</v>
      </c>
      <c r="B4894" s="9" t="s">
        <v>326</v>
      </c>
      <c r="C4894" s="10">
        <v>45986</v>
      </c>
      <c r="D4894" s="15">
        <v>1.0209</v>
      </c>
      <c r="E4894" s="15">
        <v>1.8144</v>
      </c>
      <c r="F4894" s="15">
        <v>2.1786</v>
      </c>
      <c r="G4894" s="11">
        <v>-0.0002</v>
      </c>
      <c r="H4894" s="9">
        <f>MAX($F$3239:F4894)</f>
        <v>2.179</v>
      </c>
      <c r="I4894" s="11">
        <f t="shared" si="115"/>
        <v>0.000183570445158265</v>
      </c>
      <c r="J4894" s="9">
        <f>MAX($F$4842:F4894)</f>
        <v>2.179</v>
      </c>
      <c r="K4894" s="11">
        <f t="shared" si="114"/>
        <v>0.000183570445158265</v>
      </c>
      <c r="L4894" s="9">
        <f>MAX($F$4357:F4894)</f>
        <v>2.179</v>
      </c>
      <c r="M4894" s="11">
        <f t="shared" si="116"/>
        <v>0.000183570445158265</v>
      </c>
      <c r="N4894" s="9" t="s">
        <v>809</v>
      </c>
    </row>
    <row r="4895" ht="25" customHeight="1" spans="1:14">
      <c r="A4895" s="9" t="s">
        <v>327</v>
      </c>
      <c r="B4895" s="9" t="s">
        <v>326</v>
      </c>
      <c r="C4895" s="10">
        <v>45987</v>
      </c>
      <c r="D4895" s="15">
        <v>1.0216</v>
      </c>
      <c r="E4895" s="15">
        <v>1.8151</v>
      </c>
      <c r="F4895" s="15">
        <v>2.1801</v>
      </c>
      <c r="G4895" s="11">
        <v>0.0007</v>
      </c>
      <c r="H4895" s="9">
        <f>MAX($F$3239:F4895)</f>
        <v>2.1801</v>
      </c>
      <c r="I4895" s="11">
        <f t="shared" si="115"/>
        <v>0</v>
      </c>
      <c r="J4895" s="9">
        <f>MAX($F$4842:F4895)</f>
        <v>2.1801</v>
      </c>
      <c r="K4895" s="11">
        <f t="shared" si="114"/>
        <v>0</v>
      </c>
      <c r="L4895" s="9">
        <f>MAX($F$4357:F4895)</f>
        <v>2.1801</v>
      </c>
      <c r="M4895" s="11">
        <f t="shared" si="116"/>
        <v>0</v>
      </c>
      <c r="N4895" s="9" t="s">
        <v>809</v>
      </c>
    </row>
    <row r="4896" ht="25" customHeight="1" spans="1:14">
      <c r="A4896" s="9" t="s">
        <v>327</v>
      </c>
      <c r="B4896" s="9" t="s">
        <v>326</v>
      </c>
      <c r="C4896" s="10">
        <v>45988</v>
      </c>
      <c r="D4896" s="15">
        <v>1.0215</v>
      </c>
      <c r="E4896" s="15">
        <v>1.815</v>
      </c>
      <c r="F4896" s="15">
        <v>2.1799</v>
      </c>
      <c r="G4896" s="11">
        <v>-0.0001</v>
      </c>
      <c r="H4896" s="9">
        <f>MAX($F$3239:F4896)</f>
        <v>2.1801</v>
      </c>
      <c r="I4896" s="11">
        <f t="shared" si="115"/>
        <v>9.17389110590694e-5</v>
      </c>
      <c r="J4896" s="9">
        <f>MAX($F$4842:F4896)</f>
        <v>2.1801</v>
      </c>
      <c r="K4896" s="11">
        <f t="shared" si="114"/>
        <v>9.17389110590694e-5</v>
      </c>
      <c r="L4896" s="9">
        <f>MAX($F$4357:F4896)</f>
        <v>2.1801</v>
      </c>
      <c r="M4896" s="11">
        <f t="shared" si="116"/>
        <v>9.17389110590694e-5</v>
      </c>
      <c r="N4896" s="9" t="s">
        <v>809</v>
      </c>
    </row>
    <row r="4897" ht="25" customHeight="1" spans="1:14">
      <c r="A4897" s="9" t="s">
        <v>327</v>
      </c>
      <c r="B4897" s="9" t="s">
        <v>326</v>
      </c>
      <c r="C4897" s="10">
        <v>45989</v>
      </c>
      <c r="D4897" s="15">
        <v>1.0214</v>
      </c>
      <c r="E4897" s="15">
        <v>1.8149</v>
      </c>
      <c r="F4897" s="15">
        <v>2.1797</v>
      </c>
      <c r="G4897" s="11">
        <v>-0.0001</v>
      </c>
      <c r="H4897" s="9">
        <f>MAX($F$3239:F4897)</f>
        <v>2.1801</v>
      </c>
      <c r="I4897" s="11">
        <f t="shared" si="115"/>
        <v>0.00018347782211825</v>
      </c>
      <c r="J4897" s="9">
        <f>MAX($F$4842:F4897)</f>
        <v>2.1801</v>
      </c>
      <c r="K4897" s="11">
        <f t="shared" si="114"/>
        <v>0.00018347782211825</v>
      </c>
      <c r="L4897" s="9">
        <f>MAX($F$4357:F4897)</f>
        <v>2.1801</v>
      </c>
      <c r="M4897" s="11">
        <f t="shared" si="116"/>
        <v>0.00018347782211825</v>
      </c>
      <c r="N4897" s="9" t="s">
        <v>809</v>
      </c>
    </row>
    <row r="4898" ht="25" customHeight="1" spans="1:14">
      <c r="A4898" s="9" t="s">
        <v>327</v>
      </c>
      <c r="B4898" s="9" t="s">
        <v>326</v>
      </c>
      <c r="C4898" s="10">
        <v>45992</v>
      </c>
      <c r="D4898" s="15">
        <v>1.0214</v>
      </c>
      <c r="E4898" s="15">
        <v>1.8149</v>
      </c>
      <c r="F4898" s="15">
        <v>2.1797</v>
      </c>
      <c r="G4898" s="11">
        <v>0</v>
      </c>
      <c r="H4898" s="9">
        <f>MAX($F$3239:F4898)</f>
        <v>2.1801</v>
      </c>
      <c r="I4898" s="11">
        <f t="shared" si="115"/>
        <v>0.00018347782211825</v>
      </c>
      <c r="J4898" s="9">
        <f>MAX($F$4842:F4898)</f>
        <v>2.1801</v>
      </c>
      <c r="K4898" s="11">
        <f t="shared" si="114"/>
        <v>0.00018347782211825</v>
      </c>
      <c r="L4898" s="9">
        <f>MAX($F$4357:F4898)</f>
        <v>2.1801</v>
      </c>
      <c r="M4898" s="11">
        <f t="shared" si="116"/>
        <v>0.00018347782211825</v>
      </c>
      <c r="N4898" s="9" t="s">
        <v>809</v>
      </c>
    </row>
    <row r="4899" ht="25" customHeight="1" spans="1:14">
      <c r="A4899" s="9" t="s">
        <v>327</v>
      </c>
      <c r="B4899" s="9" t="s">
        <v>326</v>
      </c>
      <c r="C4899" s="10">
        <v>45993</v>
      </c>
      <c r="D4899" s="15">
        <v>1.0206</v>
      </c>
      <c r="E4899" s="15">
        <v>1.8141</v>
      </c>
      <c r="F4899" s="15">
        <v>2.178</v>
      </c>
      <c r="G4899" s="11">
        <v>-0.0008</v>
      </c>
      <c r="H4899" s="9">
        <f>MAX($F$3239:F4899)</f>
        <v>2.1801</v>
      </c>
      <c r="I4899" s="11">
        <f t="shared" si="115"/>
        <v>0.000963258566120784</v>
      </c>
      <c r="J4899" s="9">
        <f>MAX($F$4842:F4899)</f>
        <v>2.1801</v>
      </c>
      <c r="K4899" s="11">
        <f t="shared" si="114"/>
        <v>0.000963258566120784</v>
      </c>
      <c r="L4899" s="9">
        <f>MAX($F$4357:F4899)</f>
        <v>2.1801</v>
      </c>
      <c r="M4899" s="11">
        <f t="shared" si="116"/>
        <v>0.000963258566120784</v>
      </c>
      <c r="N4899" s="9" t="s">
        <v>809</v>
      </c>
    </row>
    <row r="4900" ht="25" customHeight="1" spans="1:14">
      <c r="A4900" s="9" t="s">
        <v>327</v>
      </c>
      <c r="B4900" s="9" t="s">
        <v>326</v>
      </c>
      <c r="C4900" s="10">
        <v>45994</v>
      </c>
      <c r="D4900" s="15">
        <v>1.0206</v>
      </c>
      <c r="E4900" s="15">
        <v>1.8141</v>
      </c>
      <c r="F4900" s="15">
        <v>2.178</v>
      </c>
      <c r="G4900" s="11">
        <v>0</v>
      </c>
      <c r="H4900" s="9">
        <f>MAX($F$3239:F4900)</f>
        <v>2.1801</v>
      </c>
      <c r="I4900" s="11">
        <f t="shared" si="115"/>
        <v>0.000963258566120784</v>
      </c>
      <c r="J4900" s="9">
        <f>MAX($F$4842:F4900)</f>
        <v>2.1801</v>
      </c>
      <c r="K4900" s="11">
        <f t="shared" si="114"/>
        <v>0.000963258566120784</v>
      </c>
      <c r="L4900" s="9">
        <f>MAX($F$4357:F4900)</f>
        <v>2.1801</v>
      </c>
      <c r="M4900" s="11">
        <f t="shared" si="116"/>
        <v>0.000963258566120784</v>
      </c>
      <c r="N4900" s="9" t="s">
        <v>809</v>
      </c>
    </row>
    <row r="4901" ht="25" customHeight="1" spans="1:14">
      <c r="A4901" s="9" t="s">
        <v>327</v>
      </c>
      <c r="B4901" s="9" t="s">
        <v>326</v>
      </c>
      <c r="C4901" s="10">
        <v>45995</v>
      </c>
      <c r="D4901" s="15">
        <v>1.0206</v>
      </c>
      <c r="E4901" s="15">
        <v>1.8141</v>
      </c>
      <c r="F4901" s="15">
        <v>2.178</v>
      </c>
      <c r="G4901" s="11">
        <v>0</v>
      </c>
      <c r="H4901" s="9">
        <f>MAX($F$3239:F4901)</f>
        <v>2.1801</v>
      </c>
      <c r="I4901" s="11">
        <f t="shared" si="115"/>
        <v>0.000963258566120784</v>
      </c>
      <c r="J4901" s="9">
        <f>MAX($F$4842:F4901)</f>
        <v>2.1801</v>
      </c>
      <c r="K4901" s="11">
        <f t="shared" si="114"/>
        <v>0.000963258566120784</v>
      </c>
      <c r="L4901" s="9">
        <f>MAX($F$4357:F4901)</f>
        <v>2.1801</v>
      </c>
      <c r="M4901" s="11">
        <f t="shared" si="116"/>
        <v>0.000963258566120784</v>
      </c>
      <c r="N4901" s="9" t="s">
        <v>809</v>
      </c>
    </row>
    <row r="4902" ht="25" customHeight="1" spans="1:14">
      <c r="A4902" s="9" t="s">
        <v>327</v>
      </c>
      <c r="B4902" s="9" t="s">
        <v>326</v>
      </c>
      <c r="C4902" s="10">
        <v>45996</v>
      </c>
      <c r="D4902" s="15">
        <v>1.0204</v>
      </c>
      <c r="E4902" s="15">
        <v>1.8139</v>
      </c>
      <c r="F4902" s="15">
        <v>2.1775</v>
      </c>
      <c r="G4902" s="11">
        <v>-0.0002</v>
      </c>
      <c r="H4902" s="9">
        <f>MAX($F$3239:F4902)</f>
        <v>2.1801</v>
      </c>
      <c r="I4902" s="11">
        <f t="shared" si="115"/>
        <v>0.00119260584376846</v>
      </c>
      <c r="J4902" s="9">
        <f>MAX($F$4842:F4902)</f>
        <v>2.1801</v>
      </c>
      <c r="K4902" s="11">
        <f t="shared" si="114"/>
        <v>0.00119260584376846</v>
      </c>
      <c r="L4902" s="9">
        <f>MAX($F$4357:F4902)</f>
        <v>2.1801</v>
      </c>
      <c r="M4902" s="11">
        <f t="shared" si="116"/>
        <v>0.00119260584376846</v>
      </c>
      <c r="N4902" s="9" t="s">
        <v>809</v>
      </c>
    </row>
    <row r="4903" ht="25" customHeight="1" spans="1:14">
      <c r="A4903" s="9" t="s">
        <v>327</v>
      </c>
      <c r="B4903" s="9" t="s">
        <v>326</v>
      </c>
      <c r="C4903" s="10">
        <v>45999</v>
      </c>
      <c r="D4903" s="15">
        <v>1.0203</v>
      </c>
      <c r="E4903" s="15">
        <v>1.8138</v>
      </c>
      <c r="F4903" s="15">
        <v>2.1773</v>
      </c>
      <c r="G4903" s="11">
        <v>-0.0001</v>
      </c>
      <c r="H4903" s="9">
        <f>MAX($F$3239:F4903)</f>
        <v>2.1801</v>
      </c>
      <c r="I4903" s="11">
        <f t="shared" si="115"/>
        <v>0.00128434475482786</v>
      </c>
      <c r="J4903" s="9">
        <f>MAX($F$4842:F4903)</f>
        <v>2.1801</v>
      </c>
      <c r="K4903" s="11">
        <f t="shared" si="114"/>
        <v>0.00128434475482786</v>
      </c>
      <c r="L4903" s="9">
        <f>MAX($F$4357:F4903)</f>
        <v>2.1801</v>
      </c>
      <c r="M4903" s="11">
        <f t="shared" si="116"/>
        <v>0.00128434475482786</v>
      </c>
      <c r="N4903" s="9" t="s">
        <v>809</v>
      </c>
    </row>
    <row r="4904" ht="25" customHeight="1" spans="1:14">
      <c r="A4904" s="9" t="s">
        <v>327</v>
      </c>
      <c r="B4904" s="9" t="s">
        <v>326</v>
      </c>
      <c r="C4904" s="10">
        <v>46000</v>
      </c>
      <c r="D4904" s="15">
        <v>1.0204</v>
      </c>
      <c r="E4904" s="15">
        <v>1.8139</v>
      </c>
      <c r="F4904" s="15">
        <v>2.1775</v>
      </c>
      <c r="G4904" s="11">
        <v>0.0001</v>
      </c>
      <c r="H4904" s="9">
        <f>MAX($F$3239:F4904)</f>
        <v>2.1801</v>
      </c>
      <c r="I4904" s="11">
        <f t="shared" si="115"/>
        <v>0.00119260584376846</v>
      </c>
      <c r="J4904" s="9">
        <f>MAX($F$4842:F4904)</f>
        <v>2.1801</v>
      </c>
      <c r="K4904" s="11">
        <f t="shared" si="114"/>
        <v>0.00119260584376846</v>
      </c>
      <c r="L4904" s="9">
        <f>MAX($F$4357:F4904)</f>
        <v>2.1801</v>
      </c>
      <c r="M4904" s="11">
        <f t="shared" si="116"/>
        <v>0.00119260584376846</v>
      </c>
      <c r="N4904" s="9" t="s">
        <v>809</v>
      </c>
    </row>
    <row r="4905" ht="25" customHeight="1" spans="1:14">
      <c r="A4905" s="9" t="s">
        <v>327</v>
      </c>
      <c r="B4905" s="9" t="s">
        <v>326</v>
      </c>
      <c r="C4905" s="10">
        <v>46001</v>
      </c>
      <c r="D4905" s="15">
        <v>1.02</v>
      </c>
      <c r="E4905" s="15">
        <v>1.8135</v>
      </c>
      <c r="F4905" s="15">
        <v>2.1767</v>
      </c>
      <c r="G4905" s="11">
        <v>-0.0004</v>
      </c>
      <c r="H4905" s="9">
        <f>MAX($F$3239:F4905)</f>
        <v>2.1801</v>
      </c>
      <c r="I4905" s="11">
        <f t="shared" si="115"/>
        <v>0.00155956148800518</v>
      </c>
      <c r="J4905" s="9">
        <f>MAX($F$4842:F4905)</f>
        <v>2.1801</v>
      </c>
      <c r="K4905" s="11">
        <f t="shared" si="114"/>
        <v>0.00155956148800518</v>
      </c>
      <c r="L4905" s="9">
        <f>MAX($F$4357:F4905)</f>
        <v>2.1801</v>
      </c>
      <c r="M4905" s="11">
        <f t="shared" si="116"/>
        <v>0.00155956148800518</v>
      </c>
      <c r="N4905" s="9" t="s">
        <v>809</v>
      </c>
    </row>
    <row r="4906" ht="25" customHeight="1" spans="1:14">
      <c r="A4906" s="9" t="s">
        <v>327</v>
      </c>
      <c r="B4906" s="9" t="s">
        <v>326</v>
      </c>
      <c r="C4906" s="10">
        <v>46002</v>
      </c>
      <c r="D4906" s="15">
        <v>1.0196</v>
      </c>
      <c r="E4906" s="15">
        <v>1.8131</v>
      </c>
      <c r="F4906" s="15">
        <v>2.1758</v>
      </c>
      <c r="G4906" s="11">
        <v>-0.0004</v>
      </c>
      <c r="H4906" s="9">
        <f>MAX($F$3239:F4906)</f>
        <v>2.1801</v>
      </c>
      <c r="I4906" s="11">
        <f t="shared" si="115"/>
        <v>0.0019723865877711</v>
      </c>
      <c r="J4906" s="9">
        <f>MAX($F$4842:F4906)</f>
        <v>2.1801</v>
      </c>
      <c r="K4906" s="11">
        <f t="shared" ref="K4906:K4969" si="117">1-F4906/J4906</f>
        <v>0.0019723865877711</v>
      </c>
      <c r="L4906" s="9">
        <f>MAX($F$4357:F4906)</f>
        <v>2.1801</v>
      </c>
      <c r="M4906" s="11">
        <f t="shared" si="116"/>
        <v>0.0019723865877711</v>
      </c>
      <c r="N4906" s="9" t="s">
        <v>809</v>
      </c>
    </row>
    <row r="4907" ht="25" customHeight="1" spans="1:14">
      <c r="A4907" s="9" t="s">
        <v>327</v>
      </c>
      <c r="B4907" s="9" t="s">
        <v>326</v>
      </c>
      <c r="C4907" s="10">
        <v>46003</v>
      </c>
      <c r="D4907" s="15">
        <v>1.0198</v>
      </c>
      <c r="E4907" s="15">
        <v>1.8133</v>
      </c>
      <c r="F4907" s="15">
        <v>2.1763</v>
      </c>
      <c r="G4907" s="11">
        <v>0.0002</v>
      </c>
      <c r="H4907" s="9">
        <f>MAX($F$3239:F4907)</f>
        <v>2.1801</v>
      </c>
      <c r="I4907" s="11">
        <f t="shared" si="115"/>
        <v>0.00174303931012343</v>
      </c>
      <c r="J4907" s="9">
        <f>MAX($F$4842:F4907)</f>
        <v>2.1801</v>
      </c>
      <c r="K4907" s="11">
        <f t="shared" si="117"/>
        <v>0.00174303931012343</v>
      </c>
      <c r="L4907" s="9">
        <f>MAX($F$4357:F4907)</f>
        <v>2.1801</v>
      </c>
      <c r="M4907" s="11">
        <f t="shared" si="116"/>
        <v>0.00174303931012343</v>
      </c>
      <c r="N4907" s="9" t="s">
        <v>809</v>
      </c>
    </row>
    <row r="4908" ht="25" customHeight="1" spans="1:14">
      <c r="A4908" s="9" t="s">
        <v>327</v>
      </c>
      <c r="B4908" s="9" t="s">
        <v>326</v>
      </c>
      <c r="C4908" s="10">
        <v>46006</v>
      </c>
      <c r="D4908" s="15">
        <v>1.0198</v>
      </c>
      <c r="E4908" s="15">
        <v>1.8133</v>
      </c>
      <c r="F4908" s="15">
        <v>2.1763</v>
      </c>
      <c r="G4908" s="11">
        <v>0</v>
      </c>
      <c r="H4908" s="9">
        <f>MAX($F$3239:F4908)</f>
        <v>2.1801</v>
      </c>
      <c r="I4908" s="11">
        <f t="shared" si="115"/>
        <v>0.00174303931012343</v>
      </c>
      <c r="J4908" s="9">
        <f>MAX($F$4842:F4908)</f>
        <v>2.1801</v>
      </c>
      <c r="K4908" s="11">
        <f t="shared" si="117"/>
        <v>0.00174303931012343</v>
      </c>
      <c r="L4908" s="9">
        <f>MAX($F$4357:F4908)</f>
        <v>2.1801</v>
      </c>
      <c r="M4908" s="11">
        <f t="shared" si="116"/>
        <v>0.00174303931012343</v>
      </c>
      <c r="N4908" s="9" t="s">
        <v>809</v>
      </c>
    </row>
    <row r="4909" ht="25" customHeight="1" spans="1:14">
      <c r="A4909" s="9" t="s">
        <v>327</v>
      </c>
      <c r="B4909" s="9" t="s">
        <v>326</v>
      </c>
      <c r="C4909" s="10">
        <v>46007</v>
      </c>
      <c r="D4909" s="15">
        <v>1.0199</v>
      </c>
      <c r="E4909" s="15">
        <v>1.8134</v>
      </c>
      <c r="F4909" s="15">
        <v>2.1765</v>
      </c>
      <c r="G4909" s="11">
        <v>0.0001</v>
      </c>
      <c r="H4909" s="9">
        <f>MAX($F$3239:F4909)</f>
        <v>2.1801</v>
      </c>
      <c r="I4909" s="11">
        <f t="shared" si="115"/>
        <v>0.00165130039906425</v>
      </c>
      <c r="J4909" s="9">
        <f>MAX($F$4842:F4909)</f>
        <v>2.1801</v>
      </c>
      <c r="K4909" s="11">
        <f t="shared" si="117"/>
        <v>0.00165130039906425</v>
      </c>
      <c r="L4909" s="9">
        <f>MAX($F$4357:F4909)</f>
        <v>2.1801</v>
      </c>
      <c r="M4909" s="11">
        <f t="shared" si="116"/>
        <v>0.00165130039906425</v>
      </c>
      <c r="N4909" s="9" t="s">
        <v>809</v>
      </c>
    </row>
    <row r="4910" ht="25" customHeight="1" spans="1:14">
      <c r="A4910" s="9" t="s">
        <v>327</v>
      </c>
      <c r="B4910" s="9" t="s">
        <v>326</v>
      </c>
      <c r="C4910" s="10">
        <v>46008</v>
      </c>
      <c r="D4910" s="15">
        <v>1.0201</v>
      </c>
      <c r="E4910" s="15">
        <v>1.8136</v>
      </c>
      <c r="F4910" s="15">
        <v>2.1769</v>
      </c>
      <c r="G4910" s="11">
        <v>0.0002</v>
      </c>
      <c r="H4910" s="9">
        <f>MAX($F$3239:F4910)</f>
        <v>2.1801</v>
      </c>
      <c r="I4910" s="11">
        <f t="shared" si="115"/>
        <v>0.001467822576946</v>
      </c>
      <c r="J4910" s="9">
        <f>MAX($F$4842:F4910)</f>
        <v>2.1801</v>
      </c>
      <c r="K4910" s="11">
        <f t="shared" si="117"/>
        <v>0.001467822576946</v>
      </c>
      <c r="L4910" s="9">
        <f>MAX($F$4357:F4910)</f>
        <v>2.1801</v>
      </c>
      <c r="M4910" s="11">
        <f t="shared" si="116"/>
        <v>0.001467822576946</v>
      </c>
      <c r="N4910" s="9" t="s">
        <v>809</v>
      </c>
    </row>
    <row r="4911" ht="25" customHeight="1" spans="1:14">
      <c r="A4911" s="9" t="s">
        <v>327</v>
      </c>
      <c r="B4911" s="9" t="s">
        <v>326</v>
      </c>
      <c r="C4911" s="10">
        <v>46009</v>
      </c>
      <c r="D4911" s="15">
        <v>1.02</v>
      </c>
      <c r="E4911" s="15">
        <v>1.8135</v>
      </c>
      <c r="F4911" s="15">
        <v>2.1767</v>
      </c>
      <c r="G4911" s="11">
        <v>-0.0001</v>
      </c>
      <c r="H4911" s="9">
        <f>MAX($F$3239:F4911)</f>
        <v>2.1801</v>
      </c>
      <c r="I4911" s="11">
        <f t="shared" si="115"/>
        <v>0.00155956148800518</v>
      </c>
      <c r="J4911" s="9">
        <f>MAX($F$4842:F4911)</f>
        <v>2.1801</v>
      </c>
      <c r="K4911" s="11">
        <f t="shared" si="117"/>
        <v>0.00155956148800518</v>
      </c>
      <c r="L4911" s="9">
        <f>MAX($F$4357:F4911)</f>
        <v>2.1801</v>
      </c>
      <c r="M4911" s="11">
        <f t="shared" si="116"/>
        <v>0.00155956148800518</v>
      </c>
      <c r="N4911" s="9" t="s">
        <v>809</v>
      </c>
    </row>
    <row r="4912" ht="25" customHeight="1" spans="1:14">
      <c r="A4912" s="9" t="s">
        <v>327</v>
      </c>
      <c r="B4912" s="9" t="s">
        <v>326</v>
      </c>
      <c r="C4912" s="10">
        <v>46010</v>
      </c>
      <c r="D4912" s="15">
        <v>1.0201</v>
      </c>
      <c r="E4912" s="15">
        <v>1.8136</v>
      </c>
      <c r="F4912" s="15">
        <v>2.1769</v>
      </c>
      <c r="G4912" s="11">
        <v>0.0001</v>
      </c>
      <c r="H4912" s="9">
        <f>MAX($F$3239:F4912)</f>
        <v>2.1801</v>
      </c>
      <c r="I4912" s="11">
        <f t="shared" si="115"/>
        <v>0.001467822576946</v>
      </c>
      <c r="J4912" s="9">
        <f>MAX($F$4842:F4912)</f>
        <v>2.1801</v>
      </c>
      <c r="K4912" s="11">
        <f t="shared" si="117"/>
        <v>0.001467822576946</v>
      </c>
      <c r="L4912" s="9">
        <f>MAX($F$4357:F4912)</f>
        <v>2.1801</v>
      </c>
      <c r="M4912" s="11">
        <f t="shared" si="116"/>
        <v>0.001467822576946</v>
      </c>
      <c r="N4912" s="9" t="s">
        <v>809</v>
      </c>
    </row>
    <row r="4913" ht="25" customHeight="1" spans="1:14">
      <c r="A4913" s="9" t="s">
        <v>327</v>
      </c>
      <c r="B4913" s="9" t="s">
        <v>326</v>
      </c>
      <c r="C4913" s="10">
        <v>46013</v>
      </c>
      <c r="D4913" s="15">
        <v>1.0207</v>
      </c>
      <c r="E4913" s="15">
        <v>1.8142</v>
      </c>
      <c r="F4913" s="15">
        <v>2.1782</v>
      </c>
      <c r="G4913" s="11">
        <v>0.0006</v>
      </c>
      <c r="H4913" s="9">
        <f>MAX($F$3239:F4913)</f>
        <v>2.1801</v>
      </c>
      <c r="I4913" s="11">
        <f t="shared" si="115"/>
        <v>0.000871519655061714</v>
      </c>
      <c r="J4913" s="9">
        <f>MAX($F$4842:F4913)</f>
        <v>2.1801</v>
      </c>
      <c r="K4913" s="11">
        <f t="shared" si="117"/>
        <v>0.000871519655061714</v>
      </c>
      <c r="L4913" s="9">
        <f>MAX($F$4357:F4913)</f>
        <v>2.1801</v>
      </c>
      <c r="M4913" s="11">
        <f t="shared" si="116"/>
        <v>0.000871519655061714</v>
      </c>
      <c r="N4913" s="9" t="s">
        <v>809</v>
      </c>
    </row>
    <row r="4914" ht="25" customHeight="1" spans="1:14">
      <c r="A4914" s="9" t="s">
        <v>327</v>
      </c>
      <c r="B4914" s="9" t="s">
        <v>326</v>
      </c>
      <c r="C4914" s="10">
        <v>46014</v>
      </c>
      <c r="D4914" s="15">
        <v>1.0209</v>
      </c>
      <c r="E4914" s="15">
        <v>1.8144</v>
      </c>
      <c r="F4914" s="15">
        <v>2.1786</v>
      </c>
      <c r="G4914" s="11">
        <v>0.0002</v>
      </c>
      <c r="H4914" s="9">
        <f>MAX($F$3239:F4914)</f>
        <v>2.1801</v>
      </c>
      <c r="I4914" s="11">
        <f t="shared" si="115"/>
        <v>0.000688041832943465</v>
      </c>
      <c r="J4914" s="9">
        <f>MAX($F$4842:F4914)</f>
        <v>2.1801</v>
      </c>
      <c r="K4914" s="11">
        <f t="shared" si="117"/>
        <v>0.000688041832943465</v>
      </c>
      <c r="L4914" s="9">
        <f>MAX($F$4357:F4914)</f>
        <v>2.1801</v>
      </c>
      <c r="M4914" s="11">
        <f t="shared" si="116"/>
        <v>0.000688041832943465</v>
      </c>
      <c r="N4914" s="9" t="s">
        <v>809</v>
      </c>
    </row>
    <row r="4915" ht="25" customHeight="1" spans="1:14">
      <c r="A4915" s="9" t="s">
        <v>327</v>
      </c>
      <c r="B4915" s="9" t="s">
        <v>326</v>
      </c>
      <c r="C4915" s="10">
        <v>46015</v>
      </c>
      <c r="D4915" s="15">
        <v>1.021</v>
      </c>
      <c r="E4915" s="15">
        <v>1.8145</v>
      </c>
      <c r="F4915" s="15">
        <v>2.1788</v>
      </c>
      <c r="G4915" s="11">
        <v>0.0001</v>
      </c>
      <c r="H4915" s="9">
        <f>MAX($F$3239:F4915)</f>
        <v>2.1801</v>
      </c>
      <c r="I4915" s="11">
        <f t="shared" si="115"/>
        <v>0.000596302921884395</v>
      </c>
      <c r="J4915" s="9">
        <f>MAX($F$4842:F4915)</f>
        <v>2.1801</v>
      </c>
      <c r="K4915" s="11">
        <f t="shared" si="117"/>
        <v>0.000596302921884395</v>
      </c>
      <c r="L4915" s="9">
        <f>MAX($F$4357:F4915)</f>
        <v>2.1801</v>
      </c>
      <c r="M4915" s="11">
        <f t="shared" si="116"/>
        <v>0.000596302921884395</v>
      </c>
      <c r="N4915" s="9" t="s">
        <v>809</v>
      </c>
    </row>
    <row r="4916" ht="25" customHeight="1" spans="1:14">
      <c r="A4916" s="9" t="s">
        <v>327</v>
      </c>
      <c r="B4916" s="9" t="s">
        <v>326</v>
      </c>
      <c r="C4916" s="10">
        <v>46016</v>
      </c>
      <c r="D4916" s="15">
        <v>1.0211</v>
      </c>
      <c r="E4916" s="15">
        <v>1.8146</v>
      </c>
      <c r="F4916" s="15">
        <v>2.179</v>
      </c>
      <c r="G4916" s="11">
        <v>0.0001</v>
      </c>
      <c r="H4916" s="9">
        <f>MAX($F$3239:F4916)</f>
        <v>2.1801</v>
      </c>
      <c r="I4916" s="11">
        <f t="shared" si="115"/>
        <v>0.000504564010825215</v>
      </c>
      <c r="J4916" s="9">
        <f>MAX($F$4842:F4916)</f>
        <v>2.1801</v>
      </c>
      <c r="K4916" s="11">
        <f t="shared" si="117"/>
        <v>0.000504564010825215</v>
      </c>
      <c r="L4916" s="9">
        <f>MAX($F$4357:F4916)</f>
        <v>2.1801</v>
      </c>
      <c r="M4916" s="11">
        <f t="shared" si="116"/>
        <v>0.000504564010825215</v>
      </c>
      <c r="N4916" s="9" t="s">
        <v>809</v>
      </c>
    </row>
    <row r="4917" ht="25" customHeight="1" spans="1:14">
      <c r="A4917" s="9" t="s">
        <v>327</v>
      </c>
      <c r="B4917" s="9" t="s">
        <v>326</v>
      </c>
      <c r="C4917" s="10">
        <v>46017</v>
      </c>
      <c r="D4917" s="15">
        <v>1.021</v>
      </c>
      <c r="E4917" s="15">
        <v>1.8145</v>
      </c>
      <c r="F4917" s="15">
        <v>2.1788</v>
      </c>
      <c r="G4917" s="11">
        <v>-0.0001</v>
      </c>
      <c r="H4917" s="9">
        <f>MAX($F$3239:F4917)</f>
        <v>2.1801</v>
      </c>
      <c r="I4917" s="11">
        <f t="shared" si="115"/>
        <v>0.000596302921884395</v>
      </c>
      <c r="J4917" s="9">
        <f>MAX($F$4842:F4917)</f>
        <v>2.1801</v>
      </c>
      <c r="K4917" s="11">
        <f t="shared" si="117"/>
        <v>0.000596302921884395</v>
      </c>
      <c r="L4917" s="9">
        <f>MAX($F$4357:F4917)</f>
        <v>2.1801</v>
      </c>
      <c r="M4917" s="11">
        <f t="shared" si="116"/>
        <v>0.000596302921884395</v>
      </c>
      <c r="N4917" s="9" t="s">
        <v>809</v>
      </c>
    </row>
    <row r="4918" ht="25" customHeight="1" spans="1:14">
      <c r="A4918" s="9" t="s">
        <v>327</v>
      </c>
      <c r="B4918" s="9" t="s">
        <v>326</v>
      </c>
      <c r="C4918" s="10">
        <v>46020</v>
      </c>
      <c r="D4918" s="15">
        <v>1.0234</v>
      </c>
      <c r="E4918" s="15">
        <v>1.8169</v>
      </c>
      <c r="F4918" s="15">
        <v>2.1839</v>
      </c>
      <c r="G4918" s="11">
        <v>0.0024</v>
      </c>
      <c r="H4918" s="9">
        <f>MAX($F$3239:F4918)</f>
        <v>2.1839</v>
      </c>
      <c r="I4918" s="11">
        <f t="shared" si="115"/>
        <v>0</v>
      </c>
      <c r="J4918" s="9">
        <f>MAX($F$4842:F4918)</f>
        <v>2.1839</v>
      </c>
      <c r="K4918" s="11">
        <f t="shared" si="117"/>
        <v>0</v>
      </c>
      <c r="L4918" s="9">
        <f>MAX($F$4357:F4918)</f>
        <v>2.1839</v>
      </c>
      <c r="M4918" s="11">
        <f t="shared" si="116"/>
        <v>0</v>
      </c>
      <c r="N4918" s="9" t="s">
        <v>809</v>
      </c>
    </row>
    <row r="4919" ht="25" customHeight="1" spans="1:14">
      <c r="A4919" s="9" t="s">
        <v>327</v>
      </c>
      <c r="B4919" s="9" t="s">
        <v>326</v>
      </c>
      <c r="C4919" s="10">
        <v>46021</v>
      </c>
      <c r="D4919" s="15">
        <v>1.025</v>
      </c>
      <c r="E4919" s="15">
        <v>1.8185</v>
      </c>
      <c r="F4919" s="15">
        <v>2.1874</v>
      </c>
      <c r="G4919" s="11">
        <v>0.0016</v>
      </c>
      <c r="H4919" s="9">
        <f>MAX($F$3239:F4919)</f>
        <v>2.1874</v>
      </c>
      <c r="I4919" s="11">
        <f t="shared" si="115"/>
        <v>0</v>
      </c>
      <c r="J4919" s="9">
        <f>MAX($F$4842:F4919)</f>
        <v>2.1874</v>
      </c>
      <c r="K4919" s="11">
        <f t="shared" si="117"/>
        <v>0</v>
      </c>
      <c r="L4919" s="9">
        <f>MAX($F$4357:F4919)</f>
        <v>2.1874</v>
      </c>
      <c r="M4919" s="11">
        <f t="shared" si="116"/>
        <v>0</v>
      </c>
      <c r="N4919" s="9" t="s">
        <v>809</v>
      </c>
    </row>
    <row r="4920" ht="25" customHeight="1" spans="1:14">
      <c r="A4920" s="9" t="s">
        <v>327</v>
      </c>
      <c r="B4920" s="9" t="s">
        <v>326</v>
      </c>
      <c r="C4920" s="10">
        <v>46022</v>
      </c>
      <c r="D4920" s="15">
        <v>1.025</v>
      </c>
      <c r="E4920" s="15">
        <v>1.8185</v>
      </c>
      <c r="F4920" s="15">
        <v>2.1874</v>
      </c>
      <c r="G4920" s="11">
        <v>0</v>
      </c>
      <c r="H4920" s="9">
        <f>MAX($F$3239:F4920)</f>
        <v>2.1874</v>
      </c>
      <c r="I4920" s="11">
        <f t="shared" si="115"/>
        <v>0</v>
      </c>
      <c r="J4920" s="9">
        <f>MAX($F$4842:F4920)</f>
        <v>2.1874</v>
      </c>
      <c r="K4920" s="11">
        <f t="shared" si="117"/>
        <v>0</v>
      </c>
      <c r="L4920" s="9">
        <f>MAX($F$4357:F4920)</f>
        <v>2.1874</v>
      </c>
      <c r="M4920" s="11">
        <f t="shared" si="116"/>
        <v>0</v>
      </c>
      <c r="N4920" s="9" t="s">
        <v>809</v>
      </c>
    </row>
    <row r="4921" ht="25" customHeight="1" spans="1:14">
      <c r="A4921" s="9" t="s">
        <v>327</v>
      </c>
      <c r="B4921" s="9" t="s">
        <v>326</v>
      </c>
      <c r="C4921" s="10">
        <v>46027</v>
      </c>
      <c r="D4921" s="15">
        <v>1</v>
      </c>
      <c r="E4921" s="15">
        <v>1.8173</v>
      </c>
      <c r="F4921" s="15">
        <v>2.1848</v>
      </c>
      <c r="G4921" s="11">
        <v>-0.0012</v>
      </c>
      <c r="H4921" s="9">
        <f>MAX($F$3239:F4921)</f>
        <v>2.1874</v>
      </c>
      <c r="I4921" s="11">
        <f t="shared" si="115"/>
        <v>0.00118862576574918</v>
      </c>
      <c r="J4921" s="9">
        <f>MAX($F$4842:F4921)</f>
        <v>2.1874</v>
      </c>
      <c r="K4921" s="11">
        <f t="shared" si="117"/>
        <v>0.00118862576574918</v>
      </c>
      <c r="L4921" s="9">
        <f>MAX($F$4357:F4921)</f>
        <v>2.1874</v>
      </c>
      <c r="M4921" s="11">
        <f t="shared" si="116"/>
        <v>0.00118862576574918</v>
      </c>
      <c r="N4921" s="9" t="s">
        <v>809</v>
      </c>
    </row>
    <row r="4922" ht="25" customHeight="1" spans="1:14">
      <c r="A4922" s="9" t="s">
        <v>327</v>
      </c>
      <c r="B4922" s="9" t="s">
        <v>326</v>
      </c>
      <c r="C4922" s="10">
        <v>46028</v>
      </c>
      <c r="D4922" s="15">
        <v>1.0018</v>
      </c>
      <c r="E4922" s="15">
        <v>1.8191</v>
      </c>
      <c r="F4922" s="15">
        <v>2.1887</v>
      </c>
      <c r="G4922" s="11">
        <v>0.0018</v>
      </c>
      <c r="H4922" s="9">
        <f>MAX($F$3239:F4922)</f>
        <v>2.1887</v>
      </c>
      <c r="I4922" s="11">
        <f t="shared" si="115"/>
        <v>0</v>
      </c>
      <c r="J4922" s="9">
        <f>MAX($F$4842:F4922)</f>
        <v>2.1887</v>
      </c>
      <c r="K4922" s="11">
        <f t="shared" si="117"/>
        <v>0</v>
      </c>
      <c r="L4922" s="9">
        <f>MAX($F$4357:F4922)</f>
        <v>2.1887</v>
      </c>
      <c r="M4922" s="11">
        <f t="shared" si="116"/>
        <v>0</v>
      </c>
      <c r="N4922" s="9" t="s">
        <v>809</v>
      </c>
    </row>
    <row r="4923" ht="25" customHeight="1" spans="1:14">
      <c r="A4923" s="9" t="s">
        <v>327</v>
      </c>
      <c r="B4923" s="9" t="s">
        <v>326</v>
      </c>
      <c r="C4923" s="10">
        <v>46029</v>
      </c>
      <c r="D4923" s="15">
        <v>1.0013</v>
      </c>
      <c r="E4923" s="15">
        <v>1.8186</v>
      </c>
      <c r="F4923" s="15">
        <v>2.1876</v>
      </c>
      <c r="G4923" s="11">
        <v>-0.0005</v>
      </c>
      <c r="H4923" s="9">
        <f>MAX($F$3239:F4923)</f>
        <v>2.1887</v>
      </c>
      <c r="I4923" s="11">
        <f t="shared" si="115"/>
        <v>0.000502581441037875</v>
      </c>
      <c r="J4923" s="9">
        <f>MAX($F$4842:F4923)</f>
        <v>2.1887</v>
      </c>
      <c r="K4923" s="11">
        <f t="shared" si="117"/>
        <v>0.000502581441037875</v>
      </c>
      <c r="L4923" s="9">
        <f>MAX($F$4357:F4923)</f>
        <v>2.1887</v>
      </c>
      <c r="M4923" s="11">
        <f t="shared" si="116"/>
        <v>0.000502581441037875</v>
      </c>
      <c r="N4923" s="9" t="s">
        <v>809</v>
      </c>
    </row>
    <row r="4924" ht="25" customHeight="1" spans="1:14">
      <c r="A4924" s="9" t="s">
        <v>327</v>
      </c>
      <c r="B4924" s="9" t="s">
        <v>326</v>
      </c>
      <c r="C4924" s="10">
        <v>46030</v>
      </c>
      <c r="D4924" s="15">
        <v>1.002</v>
      </c>
      <c r="E4924" s="15">
        <v>1.8193</v>
      </c>
      <c r="F4924" s="15">
        <v>2.1892</v>
      </c>
      <c r="G4924" s="11">
        <v>0.0007</v>
      </c>
      <c r="H4924" s="9">
        <f>MAX($F$3239:F4924)</f>
        <v>2.1892</v>
      </c>
      <c r="I4924" s="11">
        <f t="shared" si="115"/>
        <v>0</v>
      </c>
      <c r="J4924" s="9">
        <f>MAX($F$4842:F4924)</f>
        <v>2.1892</v>
      </c>
      <c r="K4924" s="11">
        <f t="shared" si="117"/>
        <v>0</v>
      </c>
      <c r="L4924" s="9">
        <f>MAX($F$4357:F4924)</f>
        <v>2.1892</v>
      </c>
      <c r="M4924" s="11">
        <f t="shared" si="116"/>
        <v>0</v>
      </c>
      <c r="N4924" s="9" t="s">
        <v>809</v>
      </c>
    </row>
    <row r="4925" ht="25" customHeight="1" spans="1:14">
      <c r="A4925" s="9" t="s">
        <v>327</v>
      </c>
      <c r="B4925" s="9" t="s">
        <v>326</v>
      </c>
      <c r="C4925" s="10">
        <v>46031</v>
      </c>
      <c r="D4925" s="15">
        <v>1.003</v>
      </c>
      <c r="E4925" s="15">
        <v>1.8203</v>
      </c>
      <c r="F4925" s="15">
        <v>2.1914</v>
      </c>
      <c r="G4925" s="11">
        <v>0.001</v>
      </c>
      <c r="H4925" s="9">
        <f>MAX($F$3239:F4925)</f>
        <v>2.1914</v>
      </c>
      <c r="I4925" s="11">
        <f t="shared" si="115"/>
        <v>0</v>
      </c>
      <c r="J4925" s="9">
        <f>MAX($F$4842:F4925)</f>
        <v>2.1914</v>
      </c>
      <c r="K4925" s="11">
        <f t="shared" si="117"/>
        <v>0</v>
      </c>
      <c r="L4925" s="9">
        <f>MAX($F$4357:F4925)</f>
        <v>2.1914</v>
      </c>
      <c r="M4925" s="11">
        <f t="shared" si="116"/>
        <v>0</v>
      </c>
      <c r="N4925" s="9" t="s">
        <v>809</v>
      </c>
    </row>
    <row r="4926" ht="25" customHeight="1" spans="1:14">
      <c r="A4926" s="9" t="s">
        <v>327</v>
      </c>
      <c r="B4926" s="9" t="s">
        <v>326</v>
      </c>
      <c r="C4926" s="10">
        <v>46034</v>
      </c>
      <c r="D4926" s="15">
        <v>1.0045</v>
      </c>
      <c r="E4926" s="15">
        <v>1.8218</v>
      </c>
      <c r="F4926" s="15">
        <v>2.1946</v>
      </c>
      <c r="G4926" s="11">
        <v>0.0015</v>
      </c>
      <c r="H4926" s="9">
        <f>MAX($F$3239:F4926)</f>
        <v>2.1946</v>
      </c>
      <c r="I4926" s="11">
        <f t="shared" si="115"/>
        <v>0</v>
      </c>
      <c r="J4926" s="9">
        <f>MAX($F$4842:F4926)</f>
        <v>2.1946</v>
      </c>
      <c r="K4926" s="11">
        <f t="shared" si="117"/>
        <v>0</v>
      </c>
      <c r="L4926" s="9">
        <f>MAX($F$4357:F4926)</f>
        <v>2.1946</v>
      </c>
      <c r="M4926" s="11">
        <f t="shared" si="116"/>
        <v>0</v>
      </c>
      <c r="N4926" s="9" t="s">
        <v>809</v>
      </c>
    </row>
    <row r="4927" ht="25" customHeight="1" spans="1:14">
      <c r="A4927" s="9" t="s">
        <v>327</v>
      </c>
      <c r="B4927" s="9" t="s">
        <v>326</v>
      </c>
      <c r="C4927" s="10">
        <v>46035</v>
      </c>
      <c r="D4927" s="15">
        <v>1.0055</v>
      </c>
      <c r="E4927" s="15">
        <v>1.8228</v>
      </c>
      <c r="F4927" s="15">
        <v>2.1968</v>
      </c>
      <c r="G4927" s="11">
        <v>0.001</v>
      </c>
      <c r="H4927" s="9">
        <f>MAX($F$3239:F4927)</f>
        <v>2.1968</v>
      </c>
      <c r="I4927" s="11">
        <f t="shared" si="115"/>
        <v>0</v>
      </c>
      <c r="J4927" s="9">
        <f>MAX($F$4842:F4927)</f>
        <v>2.1968</v>
      </c>
      <c r="K4927" s="11">
        <f t="shared" si="117"/>
        <v>0</v>
      </c>
      <c r="L4927" s="9">
        <f>MAX($F$4357:F4927)</f>
        <v>2.1968</v>
      </c>
      <c r="M4927" s="11">
        <f t="shared" si="116"/>
        <v>0</v>
      </c>
      <c r="N4927" s="9" t="s">
        <v>809</v>
      </c>
    </row>
    <row r="4928" ht="25" customHeight="1" spans="1:14">
      <c r="A4928" s="9" t="s">
        <v>327</v>
      </c>
      <c r="B4928" s="9" t="s">
        <v>326</v>
      </c>
      <c r="C4928" s="10">
        <v>46036</v>
      </c>
      <c r="D4928" s="15">
        <v>1.0051</v>
      </c>
      <c r="E4928" s="15">
        <v>1.8224</v>
      </c>
      <c r="F4928" s="15">
        <v>2.1959</v>
      </c>
      <c r="G4928" s="11">
        <v>-0.0004</v>
      </c>
      <c r="H4928" s="9">
        <f>MAX($F$3239:F4928)</f>
        <v>2.1968</v>
      </c>
      <c r="I4928" s="11">
        <f t="shared" si="115"/>
        <v>0.00040968681718867</v>
      </c>
      <c r="J4928" s="9">
        <f>MAX($F$4842:F4928)</f>
        <v>2.1968</v>
      </c>
      <c r="K4928" s="11">
        <f t="shared" si="117"/>
        <v>0.00040968681718867</v>
      </c>
      <c r="L4928" s="9">
        <f>MAX($F$4357:F4928)</f>
        <v>2.1968</v>
      </c>
      <c r="M4928" s="11">
        <f t="shared" si="116"/>
        <v>0.00040968681718867</v>
      </c>
      <c r="N4928" s="9" t="s">
        <v>809</v>
      </c>
    </row>
    <row r="4929" ht="25" customHeight="1" spans="1:14">
      <c r="A4929" s="9" t="s">
        <v>327</v>
      </c>
      <c r="B4929" s="9" t="s">
        <v>326</v>
      </c>
      <c r="C4929" s="10">
        <v>46037</v>
      </c>
      <c r="D4929" s="15">
        <v>1.0063</v>
      </c>
      <c r="E4929" s="15">
        <v>1.8236</v>
      </c>
      <c r="F4929" s="15">
        <v>2.1986</v>
      </c>
      <c r="G4929" s="11">
        <v>0.0012</v>
      </c>
      <c r="H4929" s="9">
        <f>MAX($F$3239:F4929)</f>
        <v>2.1986</v>
      </c>
      <c r="I4929" s="11">
        <f t="shared" si="115"/>
        <v>0</v>
      </c>
      <c r="J4929" s="9">
        <f>MAX($F$4842:F4929)</f>
        <v>2.1986</v>
      </c>
      <c r="K4929" s="11">
        <f t="shared" si="117"/>
        <v>0</v>
      </c>
      <c r="L4929" s="9">
        <f>MAX($F$4357:F4929)</f>
        <v>2.1986</v>
      </c>
      <c r="M4929" s="11">
        <f t="shared" si="116"/>
        <v>0</v>
      </c>
      <c r="N4929" s="9" t="s">
        <v>809</v>
      </c>
    </row>
    <row r="4930" ht="25" customHeight="1" spans="1:14">
      <c r="A4930" s="9" t="s">
        <v>327</v>
      </c>
      <c r="B4930" s="9" t="s">
        <v>326</v>
      </c>
      <c r="C4930" s="10">
        <v>46038</v>
      </c>
      <c r="D4930" s="15">
        <v>1.0076</v>
      </c>
      <c r="E4930" s="15">
        <v>1.8249</v>
      </c>
      <c r="F4930" s="15">
        <v>2.2014</v>
      </c>
      <c r="G4930" s="11">
        <v>0.0013</v>
      </c>
      <c r="H4930" s="9">
        <f>MAX($F$3239:F4930)</f>
        <v>2.2014</v>
      </c>
      <c r="I4930" s="11">
        <f t="shared" ref="I4930:I4993" si="118">1-F4930/H4930</f>
        <v>0</v>
      </c>
      <c r="J4930" s="9">
        <f>MAX($F$4842:F4930)</f>
        <v>2.2014</v>
      </c>
      <c r="K4930" s="11">
        <f t="shared" si="117"/>
        <v>0</v>
      </c>
      <c r="L4930" s="9">
        <f>MAX($F$4357:F4930)</f>
        <v>2.2014</v>
      </c>
      <c r="M4930" s="11">
        <f t="shared" si="116"/>
        <v>0</v>
      </c>
      <c r="N4930" s="9" t="s">
        <v>809</v>
      </c>
    </row>
    <row r="4931" ht="25" customHeight="1" spans="1:14">
      <c r="A4931" s="9" t="s">
        <v>327</v>
      </c>
      <c r="B4931" s="9" t="s">
        <v>326</v>
      </c>
      <c r="C4931" s="10">
        <v>46041</v>
      </c>
      <c r="D4931" s="15">
        <v>1.0074</v>
      </c>
      <c r="E4931" s="15">
        <v>1.8247</v>
      </c>
      <c r="F4931" s="15">
        <v>2.201</v>
      </c>
      <c r="G4931" s="11">
        <v>-0.0002</v>
      </c>
      <c r="H4931" s="9">
        <f>MAX($F$3239:F4931)</f>
        <v>2.2014</v>
      </c>
      <c r="I4931" s="11">
        <f t="shared" si="118"/>
        <v>0.000181702552920826</v>
      </c>
      <c r="J4931" s="9">
        <f>MAX($F$4842:F4931)</f>
        <v>2.2014</v>
      </c>
      <c r="K4931" s="11">
        <f t="shared" si="117"/>
        <v>0.000181702552920826</v>
      </c>
      <c r="L4931" s="9">
        <f>MAX($F$4357:F4931)</f>
        <v>2.2014</v>
      </c>
      <c r="M4931" s="11">
        <f t="shared" si="116"/>
        <v>0.000181702552920826</v>
      </c>
      <c r="N4931" s="9" t="s">
        <v>809</v>
      </c>
    </row>
    <row r="4932" ht="25" customHeight="1" spans="1:14">
      <c r="A4932" s="9" t="s">
        <v>327</v>
      </c>
      <c r="B4932" s="9" t="s">
        <v>326</v>
      </c>
      <c r="C4932" s="10">
        <v>46042</v>
      </c>
      <c r="D4932" s="15">
        <v>1.0096</v>
      </c>
      <c r="E4932" s="15">
        <v>1.8269</v>
      </c>
      <c r="F4932" s="15">
        <v>2.2058</v>
      </c>
      <c r="G4932" s="11">
        <v>0.0022</v>
      </c>
      <c r="H4932" s="9">
        <f>MAX($F$3239:F4932)</f>
        <v>2.2058</v>
      </c>
      <c r="I4932" s="11">
        <f t="shared" si="118"/>
        <v>0</v>
      </c>
      <c r="J4932" s="9">
        <f>MAX($F$4842:F4932)</f>
        <v>2.2058</v>
      </c>
      <c r="K4932" s="11">
        <f t="shared" si="117"/>
        <v>0</v>
      </c>
      <c r="L4932" s="9">
        <f>MAX($F$4357:F4932)</f>
        <v>2.2058</v>
      </c>
      <c r="M4932" s="11">
        <f t="shared" si="116"/>
        <v>0</v>
      </c>
      <c r="N4932" s="9" t="s">
        <v>809</v>
      </c>
    </row>
    <row r="4933" ht="25" customHeight="1" spans="1:14">
      <c r="A4933" s="9" t="s">
        <v>327</v>
      </c>
      <c r="B4933" s="9" t="s">
        <v>326</v>
      </c>
      <c r="C4933" s="10">
        <v>46043</v>
      </c>
      <c r="D4933" s="15">
        <v>1.0107</v>
      </c>
      <c r="E4933" s="15">
        <v>1.828</v>
      </c>
      <c r="F4933" s="15">
        <v>2.2082</v>
      </c>
      <c r="G4933" s="11">
        <v>0.0011</v>
      </c>
      <c r="H4933" s="9">
        <f>MAX($F$3239:F4933)</f>
        <v>2.2082</v>
      </c>
      <c r="I4933" s="11">
        <f t="shared" si="118"/>
        <v>0</v>
      </c>
      <c r="J4933" s="9">
        <f>MAX($F$4842:F4933)</f>
        <v>2.2082</v>
      </c>
      <c r="K4933" s="11">
        <f t="shared" si="117"/>
        <v>0</v>
      </c>
      <c r="L4933" s="9">
        <f>MAX($F$4357:F4933)</f>
        <v>2.2082</v>
      </c>
      <c r="M4933" s="11">
        <f t="shared" ref="M4933:M4996" si="119">1-F4933/L4933</f>
        <v>0</v>
      </c>
      <c r="N4933" s="9" t="s">
        <v>809</v>
      </c>
    </row>
    <row r="4934" ht="25" customHeight="1" spans="1:14">
      <c r="A4934" s="9" t="s">
        <v>327</v>
      </c>
      <c r="B4934" s="9" t="s">
        <v>326</v>
      </c>
      <c r="C4934" s="10">
        <v>46044</v>
      </c>
      <c r="D4934" s="15">
        <v>1.0112</v>
      </c>
      <c r="E4934" s="15">
        <v>1.8285</v>
      </c>
      <c r="F4934" s="15">
        <v>2.2093</v>
      </c>
      <c r="G4934" s="11">
        <v>0.0005</v>
      </c>
      <c r="H4934" s="9">
        <f>MAX($F$3239:F4934)</f>
        <v>2.2093</v>
      </c>
      <c r="I4934" s="11">
        <f t="shared" si="118"/>
        <v>0</v>
      </c>
      <c r="J4934" s="9">
        <f>MAX($F$4842:F4934)</f>
        <v>2.2093</v>
      </c>
      <c r="K4934" s="11">
        <f t="shared" si="117"/>
        <v>0</v>
      </c>
      <c r="L4934" s="9">
        <f>MAX($F$4357:F4934)</f>
        <v>2.2093</v>
      </c>
      <c r="M4934" s="11">
        <f t="shared" si="119"/>
        <v>0</v>
      </c>
      <c r="N4934" s="9" t="s">
        <v>809</v>
      </c>
    </row>
    <row r="4935" ht="25" customHeight="1" spans="1:14">
      <c r="A4935" s="9" t="s">
        <v>327</v>
      </c>
      <c r="B4935" s="9" t="s">
        <v>326</v>
      </c>
      <c r="C4935" s="10">
        <v>46045</v>
      </c>
      <c r="D4935" s="15">
        <v>1.0121</v>
      </c>
      <c r="E4935" s="15">
        <v>1.8294</v>
      </c>
      <c r="F4935" s="15">
        <v>2.2112</v>
      </c>
      <c r="G4935" s="11">
        <v>0.0009</v>
      </c>
      <c r="H4935" s="9">
        <f>MAX($F$3239:F4935)</f>
        <v>2.2112</v>
      </c>
      <c r="I4935" s="11">
        <f t="shared" si="118"/>
        <v>0</v>
      </c>
      <c r="J4935" s="9">
        <f>MAX($F$4842:F4935)</f>
        <v>2.2112</v>
      </c>
      <c r="K4935" s="11">
        <f t="shared" si="117"/>
        <v>0</v>
      </c>
      <c r="L4935" s="9">
        <f>MAX($F$4357:F4935)</f>
        <v>2.2112</v>
      </c>
      <c r="M4935" s="11">
        <f t="shared" si="119"/>
        <v>0</v>
      </c>
      <c r="N4935" s="9" t="s">
        <v>809</v>
      </c>
    </row>
    <row r="4936" ht="25" customHeight="1" spans="1:14">
      <c r="A4936" s="9" t="s">
        <v>327</v>
      </c>
      <c r="B4936" s="9" t="s">
        <v>326</v>
      </c>
      <c r="C4936" s="10">
        <v>46048</v>
      </c>
      <c r="D4936" s="15">
        <v>1.0135</v>
      </c>
      <c r="E4936" s="15">
        <v>1.8308</v>
      </c>
      <c r="F4936" s="15">
        <v>2.2143</v>
      </c>
      <c r="G4936" s="11">
        <v>0.0014</v>
      </c>
      <c r="H4936" s="9">
        <f>MAX($F$3239:F4936)</f>
        <v>2.2143</v>
      </c>
      <c r="I4936" s="11">
        <f t="shared" si="118"/>
        <v>0</v>
      </c>
      <c r="J4936" s="9">
        <f>MAX($F$4842:F4936)</f>
        <v>2.2143</v>
      </c>
      <c r="K4936" s="11">
        <f t="shared" si="117"/>
        <v>0</v>
      </c>
      <c r="L4936" s="9">
        <f>MAX($F$4357:F4936)</f>
        <v>2.2143</v>
      </c>
      <c r="M4936" s="11">
        <f t="shared" si="119"/>
        <v>0</v>
      </c>
      <c r="N4936" s="9" t="s">
        <v>809</v>
      </c>
    </row>
    <row r="4937" ht="25" customHeight="1" spans="1:14">
      <c r="A4937" s="9" t="s">
        <v>327</v>
      </c>
      <c r="B4937" s="9" t="s">
        <v>326</v>
      </c>
      <c r="C4937" s="10">
        <v>46049</v>
      </c>
      <c r="D4937" s="15">
        <v>1.0172</v>
      </c>
      <c r="E4937" s="15">
        <v>1.8345</v>
      </c>
      <c r="F4937" s="15">
        <v>2.2224</v>
      </c>
      <c r="G4937" s="11">
        <v>0.0037</v>
      </c>
      <c r="H4937" s="9">
        <f>MAX($F$3239:F4937)</f>
        <v>2.2224</v>
      </c>
      <c r="I4937" s="11">
        <f t="shared" si="118"/>
        <v>0</v>
      </c>
      <c r="J4937" s="9">
        <f>MAX($F$4842:F4937)</f>
        <v>2.2224</v>
      </c>
      <c r="K4937" s="11">
        <f t="shared" si="117"/>
        <v>0</v>
      </c>
      <c r="L4937" s="9">
        <f>MAX($F$4357:F4937)</f>
        <v>2.2224</v>
      </c>
      <c r="M4937" s="11">
        <f t="shared" si="119"/>
        <v>0</v>
      </c>
      <c r="N4937" s="9" t="s">
        <v>809</v>
      </c>
    </row>
    <row r="4938" ht="25" customHeight="1" spans="1:14">
      <c r="A4938" s="9" t="s">
        <v>327</v>
      </c>
      <c r="B4938" s="9" t="s">
        <v>326</v>
      </c>
      <c r="C4938" s="10">
        <v>46050</v>
      </c>
      <c r="D4938" s="15">
        <v>1.0212</v>
      </c>
      <c r="E4938" s="15">
        <v>1.8385</v>
      </c>
      <c r="F4938" s="15">
        <v>2.2311</v>
      </c>
      <c r="G4938" s="11">
        <v>0.0039</v>
      </c>
      <c r="H4938" s="9">
        <f>MAX($F$3239:F4938)</f>
        <v>2.2311</v>
      </c>
      <c r="I4938" s="11">
        <f t="shared" si="118"/>
        <v>0</v>
      </c>
      <c r="J4938" s="9">
        <f>MAX($F$4842:F4938)</f>
        <v>2.2311</v>
      </c>
      <c r="K4938" s="11">
        <f t="shared" si="117"/>
        <v>0</v>
      </c>
      <c r="L4938" s="9">
        <f>MAX($F$4357:F4938)</f>
        <v>2.2311</v>
      </c>
      <c r="M4938" s="11">
        <f t="shared" si="119"/>
        <v>0</v>
      </c>
      <c r="N4938" s="9" t="s">
        <v>809</v>
      </c>
    </row>
    <row r="4939" ht="25" customHeight="1" spans="1:14">
      <c r="A4939" s="9" t="s">
        <v>327</v>
      </c>
      <c r="B4939" s="9" t="s">
        <v>326</v>
      </c>
      <c r="C4939" s="10">
        <v>46051</v>
      </c>
      <c r="D4939" s="15">
        <v>1.0198</v>
      </c>
      <c r="E4939" s="15">
        <v>1.8371</v>
      </c>
      <c r="F4939" s="15">
        <v>2.2281</v>
      </c>
      <c r="G4939" s="11">
        <v>-0.0014</v>
      </c>
      <c r="H4939" s="9">
        <f>MAX($F$3239:F4939)</f>
        <v>2.2311</v>
      </c>
      <c r="I4939" s="11">
        <f t="shared" si="118"/>
        <v>0.0013446282102999</v>
      </c>
      <c r="J4939" s="9">
        <f>MAX($F$4842:F4939)</f>
        <v>2.2311</v>
      </c>
      <c r="K4939" s="11">
        <f t="shared" si="117"/>
        <v>0.0013446282102999</v>
      </c>
      <c r="L4939" s="9">
        <f>MAX($F$4357:F4939)</f>
        <v>2.2311</v>
      </c>
      <c r="M4939" s="11">
        <f t="shared" si="119"/>
        <v>0.0013446282102999</v>
      </c>
      <c r="N4939" s="9" t="s">
        <v>809</v>
      </c>
    </row>
    <row r="4940" ht="25" customHeight="1" spans="1:14">
      <c r="A4940" s="9" t="s">
        <v>327</v>
      </c>
      <c r="B4940" s="9" t="s">
        <v>326</v>
      </c>
      <c r="C4940" s="10">
        <v>46052</v>
      </c>
      <c r="D4940" s="15">
        <v>1.0462</v>
      </c>
      <c r="E4940" s="15">
        <v>1.8635</v>
      </c>
      <c r="F4940" s="15">
        <v>2.2857</v>
      </c>
      <c r="G4940" s="11">
        <v>0.0259</v>
      </c>
      <c r="H4940" s="9">
        <f>MAX($F$3239:F4940)</f>
        <v>2.2857</v>
      </c>
      <c r="I4940" s="11">
        <f t="shared" si="118"/>
        <v>0</v>
      </c>
      <c r="J4940" s="9">
        <f>MAX($F$4842:F4940)</f>
        <v>2.2857</v>
      </c>
      <c r="K4940" s="11">
        <f t="shared" si="117"/>
        <v>0</v>
      </c>
      <c r="L4940" s="9">
        <f>MAX($F$4357:F4940)</f>
        <v>2.2857</v>
      </c>
      <c r="M4940" s="11">
        <f t="shared" si="119"/>
        <v>0</v>
      </c>
      <c r="N4940" s="9" t="s">
        <v>809</v>
      </c>
    </row>
    <row r="4941" ht="25" customHeight="1" spans="1:14">
      <c r="A4941" s="9" t="s">
        <v>327</v>
      </c>
      <c r="B4941" s="9" t="s">
        <v>326</v>
      </c>
      <c r="C4941" s="10">
        <v>46055</v>
      </c>
      <c r="D4941" s="15">
        <v>1.0485</v>
      </c>
      <c r="E4941" s="15">
        <v>1.8658</v>
      </c>
      <c r="F4941" s="15">
        <v>2.2908</v>
      </c>
      <c r="G4941" s="11">
        <v>0.0022</v>
      </c>
      <c r="H4941" s="9">
        <f>MAX($F$3239:F4941)</f>
        <v>2.2908</v>
      </c>
      <c r="I4941" s="11">
        <f t="shared" si="118"/>
        <v>0</v>
      </c>
      <c r="J4941" s="9">
        <f>MAX($F$4842:F4941)</f>
        <v>2.2908</v>
      </c>
      <c r="K4941" s="11">
        <f t="shared" si="117"/>
        <v>0</v>
      </c>
      <c r="L4941" s="9">
        <f>MAX($F$4357:F4941)</f>
        <v>2.2908</v>
      </c>
      <c r="M4941" s="11">
        <f t="shared" si="119"/>
        <v>0</v>
      </c>
      <c r="N4941" s="9" t="s">
        <v>809</v>
      </c>
    </row>
    <row r="4942" ht="25" customHeight="1" spans="1:14">
      <c r="A4942" s="9" t="s">
        <v>327</v>
      </c>
      <c r="B4942" s="9" t="s">
        <v>326</v>
      </c>
      <c r="C4942" s="10">
        <v>46056</v>
      </c>
      <c r="D4942" s="15">
        <v>1.053</v>
      </c>
      <c r="E4942" s="15">
        <v>1.8703</v>
      </c>
      <c r="F4942" s="15">
        <v>2.3006</v>
      </c>
      <c r="G4942" s="11">
        <v>0.0043</v>
      </c>
      <c r="H4942" s="9">
        <f>MAX($F$3239:F4942)</f>
        <v>2.3006</v>
      </c>
      <c r="I4942" s="11">
        <f t="shared" si="118"/>
        <v>0</v>
      </c>
      <c r="J4942" s="9">
        <f>MAX($F$4842:F4942)</f>
        <v>2.3006</v>
      </c>
      <c r="K4942" s="11">
        <f t="shared" si="117"/>
        <v>0</v>
      </c>
      <c r="L4942" s="9">
        <f>MAX($F$4357:F4942)</f>
        <v>2.3006</v>
      </c>
      <c r="M4942" s="11">
        <f t="shared" si="119"/>
        <v>0</v>
      </c>
      <c r="N4942" s="9" t="s">
        <v>809</v>
      </c>
    </row>
    <row r="4943" ht="25" customHeight="1" spans="1:14">
      <c r="A4943" s="9" t="s">
        <v>327</v>
      </c>
      <c r="B4943" s="9" t="s">
        <v>326</v>
      </c>
      <c r="C4943" s="10">
        <v>46057</v>
      </c>
      <c r="D4943" s="15">
        <v>1.0568</v>
      </c>
      <c r="E4943" s="15">
        <v>1.8741</v>
      </c>
      <c r="F4943" s="15">
        <v>2.3089</v>
      </c>
      <c r="G4943" s="11">
        <v>0.0036</v>
      </c>
      <c r="H4943" s="9">
        <f>MAX($F$3239:F4943)</f>
        <v>2.3089</v>
      </c>
      <c r="I4943" s="11">
        <f t="shared" si="118"/>
        <v>0</v>
      </c>
      <c r="J4943" s="9">
        <f>MAX($F$4842:F4943)</f>
        <v>2.3089</v>
      </c>
      <c r="K4943" s="11">
        <f t="shared" si="117"/>
        <v>0</v>
      </c>
      <c r="L4943" s="9">
        <f>MAX($F$4357:F4943)</f>
        <v>2.3089</v>
      </c>
      <c r="M4943" s="11">
        <f t="shared" si="119"/>
        <v>0</v>
      </c>
      <c r="N4943" s="9" t="s">
        <v>809</v>
      </c>
    </row>
    <row r="4944" ht="25" customHeight="1" spans="1:14">
      <c r="A4944" s="9" t="s">
        <v>327</v>
      </c>
      <c r="B4944" s="9" t="s">
        <v>326</v>
      </c>
      <c r="C4944" s="10">
        <v>46058</v>
      </c>
      <c r="D4944" s="15">
        <v>1.0678</v>
      </c>
      <c r="E4944" s="15">
        <v>1.8851</v>
      </c>
      <c r="F4944" s="15">
        <v>2.3329</v>
      </c>
      <c r="G4944" s="11">
        <v>0.0104</v>
      </c>
      <c r="H4944" s="9">
        <f>MAX($F$3239:F4944)</f>
        <v>2.3329</v>
      </c>
      <c r="I4944" s="11">
        <f t="shared" si="118"/>
        <v>0</v>
      </c>
      <c r="J4944" s="9">
        <f>MAX($F$4842:F4944)</f>
        <v>2.3329</v>
      </c>
      <c r="K4944" s="11">
        <f t="shared" si="117"/>
        <v>0</v>
      </c>
      <c r="L4944" s="9">
        <f>MAX($F$4357:F4944)</f>
        <v>2.3329</v>
      </c>
      <c r="M4944" s="11">
        <f t="shared" si="119"/>
        <v>0</v>
      </c>
      <c r="N4944" s="9" t="s">
        <v>809</v>
      </c>
    </row>
    <row r="4945" ht="25" customHeight="1" spans="1:14">
      <c r="A4945" s="9" t="s">
        <v>327</v>
      </c>
      <c r="B4945" s="9" t="s">
        <v>326</v>
      </c>
      <c r="C4945" s="10">
        <v>46059</v>
      </c>
      <c r="D4945" s="15">
        <v>1.0699</v>
      </c>
      <c r="E4945" s="15">
        <v>1.8872</v>
      </c>
      <c r="F4945" s="15">
        <v>2.3375</v>
      </c>
      <c r="G4945" s="11">
        <v>0.002</v>
      </c>
      <c r="H4945" s="9">
        <f>MAX($F$3239:F4945)</f>
        <v>2.3375</v>
      </c>
      <c r="I4945" s="11">
        <f t="shared" si="118"/>
        <v>0</v>
      </c>
      <c r="J4945" s="9">
        <f>MAX($F$4842:F4945)</f>
        <v>2.3375</v>
      </c>
      <c r="K4945" s="11">
        <f t="shared" si="117"/>
        <v>0</v>
      </c>
      <c r="L4945" s="9">
        <f>MAX($F$4357:F4945)</f>
        <v>2.3375</v>
      </c>
      <c r="M4945" s="11">
        <f t="shared" si="119"/>
        <v>0</v>
      </c>
      <c r="N4945" s="9" t="s">
        <v>809</v>
      </c>
    </row>
    <row r="4946" ht="25" customHeight="1" spans="1:14">
      <c r="A4946" s="9" t="s">
        <v>327</v>
      </c>
      <c r="B4946" s="9" t="s">
        <v>326</v>
      </c>
      <c r="C4946" s="10">
        <v>46062</v>
      </c>
      <c r="D4946" s="15">
        <v>1.0724</v>
      </c>
      <c r="E4946" s="15">
        <v>1.8897</v>
      </c>
      <c r="F4946" s="15">
        <v>2.343</v>
      </c>
      <c r="G4946" s="11">
        <v>0.0023</v>
      </c>
      <c r="H4946" s="9">
        <f>MAX($F$3239:F4946)</f>
        <v>2.343</v>
      </c>
      <c r="I4946" s="11">
        <f t="shared" si="118"/>
        <v>0</v>
      </c>
      <c r="J4946" s="9">
        <f>MAX($F$4842:F4946)</f>
        <v>2.343</v>
      </c>
      <c r="K4946" s="11">
        <f t="shared" si="117"/>
        <v>0</v>
      </c>
      <c r="L4946" s="9">
        <f>MAX($F$4357:F4946)</f>
        <v>2.343</v>
      </c>
      <c r="M4946" s="11">
        <f t="shared" si="119"/>
        <v>0</v>
      </c>
      <c r="N4946" s="9" t="s">
        <v>809</v>
      </c>
    </row>
    <row r="4947" ht="25" customHeight="1" spans="1:14">
      <c r="A4947" s="9" t="s">
        <v>327</v>
      </c>
      <c r="B4947" s="9" t="s">
        <v>326</v>
      </c>
      <c r="C4947" s="10">
        <v>46063</v>
      </c>
      <c r="D4947" s="15">
        <v>1.0725</v>
      </c>
      <c r="E4947" s="15">
        <v>1.8898</v>
      </c>
      <c r="F4947" s="15">
        <v>2.3432</v>
      </c>
      <c r="G4947" s="11">
        <v>0.0001</v>
      </c>
      <c r="H4947" s="9">
        <f>MAX($F$3239:F4947)</f>
        <v>2.3432</v>
      </c>
      <c r="I4947" s="11">
        <f t="shared" si="118"/>
        <v>0</v>
      </c>
      <c r="J4947" s="9">
        <f>MAX($F$4842:F4947)</f>
        <v>2.3432</v>
      </c>
      <c r="K4947" s="11">
        <f t="shared" si="117"/>
        <v>0</v>
      </c>
      <c r="L4947" s="9">
        <f>MAX($F$4357:F4947)</f>
        <v>2.3432</v>
      </c>
      <c r="M4947" s="11">
        <f t="shared" si="119"/>
        <v>0</v>
      </c>
      <c r="N4947" s="9" t="s">
        <v>809</v>
      </c>
    </row>
    <row r="4948" ht="25" customHeight="1" spans="1:14">
      <c r="A4948" s="9" t="s">
        <v>327</v>
      </c>
      <c r="B4948" s="9" t="s">
        <v>326</v>
      </c>
      <c r="C4948" s="10">
        <v>46064</v>
      </c>
      <c r="D4948" s="15">
        <v>1.0727</v>
      </c>
      <c r="E4948" s="15">
        <v>1.89</v>
      </c>
      <c r="F4948" s="15">
        <v>2.3436</v>
      </c>
      <c r="G4948" s="11">
        <v>0.0002</v>
      </c>
      <c r="H4948" s="9">
        <f>MAX($F$3239:F4948)</f>
        <v>2.3436</v>
      </c>
      <c r="I4948" s="11">
        <f t="shared" si="118"/>
        <v>0</v>
      </c>
      <c r="J4948" s="9">
        <f>MAX($F$4842:F4948)</f>
        <v>2.3436</v>
      </c>
      <c r="K4948" s="11">
        <f t="shared" si="117"/>
        <v>0</v>
      </c>
      <c r="L4948" s="9">
        <f>MAX($F$4357:F4948)</f>
        <v>2.3436</v>
      </c>
      <c r="M4948" s="11">
        <f t="shared" si="119"/>
        <v>0</v>
      </c>
      <c r="N4948" s="9" t="s">
        <v>809</v>
      </c>
    </row>
    <row r="4949" ht="25" customHeight="1" spans="1:14">
      <c r="A4949" s="9" t="s">
        <v>327</v>
      </c>
      <c r="B4949" s="9" t="s">
        <v>326</v>
      </c>
      <c r="C4949" s="10">
        <v>46065</v>
      </c>
      <c r="D4949" s="15">
        <v>1.073</v>
      </c>
      <c r="E4949" s="15">
        <v>1.8903</v>
      </c>
      <c r="F4949" s="15">
        <v>2.3443</v>
      </c>
      <c r="G4949" s="11">
        <v>0.0003</v>
      </c>
      <c r="H4949" s="9">
        <f>MAX($F$3239:F4949)</f>
        <v>2.3443</v>
      </c>
      <c r="I4949" s="11">
        <f t="shared" si="118"/>
        <v>0</v>
      </c>
      <c r="J4949" s="9">
        <f>MAX($F$4842:F4949)</f>
        <v>2.3443</v>
      </c>
      <c r="K4949" s="11">
        <f t="shared" si="117"/>
        <v>0</v>
      </c>
      <c r="L4949" s="9">
        <f>MAX($F$4357:F4949)</f>
        <v>2.3443</v>
      </c>
      <c r="M4949" s="11">
        <f t="shared" si="119"/>
        <v>0</v>
      </c>
      <c r="N4949" s="9" t="s">
        <v>809</v>
      </c>
    </row>
    <row r="4950" ht="25" customHeight="1" spans="1:14">
      <c r="A4950" s="9" t="s">
        <v>327</v>
      </c>
      <c r="B4950" s="9" t="s">
        <v>326</v>
      </c>
      <c r="C4950" s="10">
        <v>46066</v>
      </c>
      <c r="D4950" s="15">
        <v>1.0805</v>
      </c>
      <c r="E4950" s="15">
        <v>1.8978</v>
      </c>
      <c r="F4950" s="15">
        <v>2.3607</v>
      </c>
      <c r="G4950" s="11">
        <v>0.007</v>
      </c>
      <c r="H4950" s="9">
        <f>MAX($F$3239:F4950)</f>
        <v>2.3607</v>
      </c>
      <c r="I4950" s="11">
        <f t="shared" si="118"/>
        <v>0</v>
      </c>
      <c r="J4950" s="9">
        <f>MAX($F$4842:F4950)</f>
        <v>2.3607</v>
      </c>
      <c r="K4950" s="11">
        <f t="shared" si="117"/>
        <v>0</v>
      </c>
      <c r="L4950" s="9">
        <f>MAX($F$4357:F4950)</f>
        <v>2.3607</v>
      </c>
      <c r="M4950" s="11">
        <f t="shared" si="119"/>
        <v>0</v>
      </c>
      <c r="N4950" s="9" t="s">
        <v>809</v>
      </c>
    </row>
    <row r="4951" ht="25" customHeight="1" spans="1:14">
      <c r="A4951" s="9" t="s">
        <v>327</v>
      </c>
      <c r="B4951" s="9" t="s">
        <v>326</v>
      </c>
      <c r="C4951" s="10">
        <v>46077</v>
      </c>
      <c r="D4951" s="15">
        <v>1.0804</v>
      </c>
      <c r="E4951" s="15">
        <v>1.8977</v>
      </c>
      <c r="F4951" s="15">
        <v>2.3605</v>
      </c>
      <c r="G4951" s="11">
        <v>-0.0001</v>
      </c>
      <c r="H4951" s="9">
        <f>MAX($F$3239:F4951)</f>
        <v>2.3607</v>
      </c>
      <c r="I4951" s="11">
        <f t="shared" si="118"/>
        <v>8.47206337103446e-5</v>
      </c>
      <c r="J4951" s="9">
        <f>MAX($F$4842:F4951)</f>
        <v>2.3607</v>
      </c>
      <c r="K4951" s="11">
        <f t="shared" si="117"/>
        <v>8.47206337103446e-5</v>
      </c>
      <c r="L4951" s="9">
        <f>MAX($F$4357:F4951)</f>
        <v>2.3607</v>
      </c>
      <c r="M4951" s="11">
        <f t="shared" si="119"/>
        <v>8.47206337103446e-5</v>
      </c>
      <c r="N4951" s="9" t="s">
        <v>809</v>
      </c>
    </row>
    <row r="4952" ht="25" customHeight="1" spans="1:14">
      <c r="A4952" s="9" t="s">
        <v>327</v>
      </c>
      <c r="B4952" s="9" t="s">
        <v>326</v>
      </c>
      <c r="C4952" s="10">
        <v>46078</v>
      </c>
      <c r="D4952" s="15">
        <v>1.0804</v>
      </c>
      <c r="E4952" s="15">
        <v>1.8977</v>
      </c>
      <c r="F4952" s="15">
        <v>2.3605</v>
      </c>
      <c r="G4952" s="11">
        <v>0</v>
      </c>
      <c r="H4952" s="9">
        <f>MAX($F$3239:F4952)</f>
        <v>2.3607</v>
      </c>
      <c r="I4952" s="11">
        <f t="shared" si="118"/>
        <v>8.47206337103446e-5</v>
      </c>
      <c r="J4952" s="9">
        <f>MAX($F$4842:F4952)</f>
        <v>2.3607</v>
      </c>
      <c r="K4952" s="11">
        <f t="shared" si="117"/>
        <v>8.47206337103446e-5</v>
      </c>
      <c r="L4952" s="9">
        <f>MAX($F$4357:F4952)</f>
        <v>2.3607</v>
      </c>
      <c r="M4952" s="11">
        <f t="shared" si="119"/>
        <v>8.47206337103446e-5</v>
      </c>
      <c r="N4952" s="9" t="s">
        <v>809</v>
      </c>
    </row>
    <row r="4953" ht="25" customHeight="1" spans="1:14">
      <c r="A4953" s="9" t="s">
        <v>327</v>
      </c>
      <c r="B4953" s="9" t="s">
        <v>326</v>
      </c>
      <c r="C4953" s="10">
        <v>46079</v>
      </c>
      <c r="D4953" s="15">
        <v>1.0806</v>
      </c>
      <c r="E4953" s="15">
        <v>1.8979</v>
      </c>
      <c r="F4953" s="15">
        <v>2.3609</v>
      </c>
      <c r="G4953" s="11">
        <v>0.0002</v>
      </c>
      <c r="H4953" s="9">
        <f>MAX($F$3239:F4953)</f>
        <v>2.3609</v>
      </c>
      <c r="I4953" s="11">
        <f t="shared" si="118"/>
        <v>0</v>
      </c>
      <c r="J4953" s="9">
        <f>MAX($F$4842:F4953)</f>
        <v>2.3609</v>
      </c>
      <c r="K4953" s="11">
        <f t="shared" si="117"/>
        <v>0</v>
      </c>
      <c r="L4953" s="9">
        <f>MAX($F$4357:F4953)</f>
        <v>2.3609</v>
      </c>
      <c r="M4953" s="11">
        <f t="shared" si="119"/>
        <v>0</v>
      </c>
      <c r="N4953" s="9" t="s">
        <v>809</v>
      </c>
    </row>
    <row r="4954" ht="25" customHeight="1" spans="1:14">
      <c r="A4954" s="9" t="s">
        <v>327</v>
      </c>
      <c r="B4954" s="9" t="s">
        <v>326</v>
      </c>
      <c r="C4954" s="10">
        <v>46080</v>
      </c>
      <c r="D4954" s="15">
        <v>1.0817</v>
      </c>
      <c r="E4954" s="15">
        <v>1.899</v>
      </c>
      <c r="F4954" s="15">
        <v>2.3633</v>
      </c>
      <c r="G4954" s="11">
        <v>0.001</v>
      </c>
      <c r="H4954" s="9">
        <f>MAX($F$3239:F4954)</f>
        <v>2.3633</v>
      </c>
      <c r="I4954" s="11">
        <f t="shared" si="118"/>
        <v>0</v>
      </c>
      <c r="J4954" s="9">
        <f>MAX($F$4842:F4954)</f>
        <v>2.3633</v>
      </c>
      <c r="K4954" s="11">
        <f t="shared" si="117"/>
        <v>0</v>
      </c>
      <c r="L4954" s="9">
        <f>MAX($F$4357:F4954)</f>
        <v>2.3633</v>
      </c>
      <c r="M4954" s="11">
        <f t="shared" si="119"/>
        <v>0</v>
      </c>
      <c r="N4954" s="9" t="s">
        <v>809</v>
      </c>
    </row>
    <row r="4955" ht="25" customHeight="1" spans="1:14">
      <c r="A4955" s="9" t="s">
        <v>327</v>
      </c>
      <c r="B4955" s="9" t="s">
        <v>326</v>
      </c>
      <c r="C4955" s="10">
        <v>46083</v>
      </c>
      <c r="D4955" s="15">
        <v>1.0823</v>
      </c>
      <c r="E4955" s="15">
        <v>1.8996</v>
      </c>
      <c r="F4955" s="15">
        <v>2.3646</v>
      </c>
      <c r="G4955" s="11">
        <v>0.0006</v>
      </c>
      <c r="H4955" s="9">
        <f>MAX($F$3239:F4955)</f>
        <v>2.3646</v>
      </c>
      <c r="I4955" s="11">
        <f t="shared" si="118"/>
        <v>0</v>
      </c>
      <c r="J4955" s="9">
        <f>MAX($F$4842:F4955)</f>
        <v>2.3646</v>
      </c>
      <c r="K4955" s="11">
        <f t="shared" si="117"/>
        <v>0</v>
      </c>
      <c r="L4955" s="9">
        <f>MAX($F$4357:F4955)</f>
        <v>2.3646</v>
      </c>
      <c r="M4955" s="11">
        <f t="shared" si="119"/>
        <v>0</v>
      </c>
      <c r="N4955" s="9" t="s">
        <v>809</v>
      </c>
    </row>
    <row r="4956" ht="25" customHeight="1" spans="1:14">
      <c r="A4956" s="9" t="s">
        <v>327</v>
      </c>
      <c r="B4956" s="9" t="s">
        <v>326</v>
      </c>
      <c r="C4956" s="10">
        <v>46084</v>
      </c>
      <c r="D4956" s="15">
        <v>1.0829</v>
      </c>
      <c r="E4956" s="15">
        <v>1.9002</v>
      </c>
      <c r="F4956" s="15">
        <v>2.3659</v>
      </c>
      <c r="G4956" s="11">
        <v>0.0006</v>
      </c>
      <c r="H4956" s="9">
        <f>MAX($F$3239:F4956)</f>
        <v>2.3659</v>
      </c>
      <c r="I4956" s="11">
        <f t="shared" si="118"/>
        <v>0</v>
      </c>
      <c r="J4956" s="9">
        <f>MAX($F$4842:F4956)</f>
        <v>2.3659</v>
      </c>
      <c r="K4956" s="11">
        <f t="shared" si="117"/>
        <v>0</v>
      </c>
      <c r="L4956" s="9">
        <f>MAX($F$4357:F4956)</f>
        <v>2.3659</v>
      </c>
      <c r="M4956" s="11">
        <f t="shared" si="119"/>
        <v>0</v>
      </c>
      <c r="N4956" s="9" t="s">
        <v>809</v>
      </c>
    </row>
    <row r="4957" ht="25" customHeight="1" spans="1:14">
      <c r="A4957" s="9" t="s">
        <v>327</v>
      </c>
      <c r="B4957" s="9" t="s">
        <v>326</v>
      </c>
      <c r="C4957" s="10">
        <v>46085</v>
      </c>
      <c r="D4957" s="15">
        <v>1.0843</v>
      </c>
      <c r="E4957" s="15">
        <v>1.9016</v>
      </c>
      <c r="F4957" s="15">
        <v>2.369</v>
      </c>
      <c r="G4957" s="11">
        <v>0.0013</v>
      </c>
      <c r="H4957" s="9">
        <f>MAX($F$3239:F4957)</f>
        <v>2.369</v>
      </c>
      <c r="I4957" s="11">
        <f t="shared" si="118"/>
        <v>0</v>
      </c>
      <c r="J4957" s="9">
        <f>MAX($F$4842:F4957)</f>
        <v>2.369</v>
      </c>
      <c r="K4957" s="11">
        <f t="shared" si="117"/>
        <v>0</v>
      </c>
      <c r="L4957" s="9">
        <f>MAX($F$4357:F4957)</f>
        <v>2.369</v>
      </c>
      <c r="M4957" s="11">
        <f t="shared" si="119"/>
        <v>0</v>
      </c>
      <c r="N4957" s="9" t="s">
        <v>809</v>
      </c>
    </row>
    <row r="4958" ht="25" customHeight="1" spans="1:14">
      <c r="A4958" s="9" t="s">
        <v>327</v>
      </c>
      <c r="B4958" s="9" t="s">
        <v>326</v>
      </c>
      <c r="C4958" s="10">
        <v>46086</v>
      </c>
      <c r="D4958" s="15">
        <v>1.0834</v>
      </c>
      <c r="E4958" s="15">
        <v>1.9007</v>
      </c>
      <c r="F4958" s="15">
        <v>2.367</v>
      </c>
      <c r="G4958" s="11">
        <v>-0.0008</v>
      </c>
      <c r="H4958" s="9">
        <f>MAX($F$3239:F4958)</f>
        <v>2.369</v>
      </c>
      <c r="I4958" s="11">
        <f t="shared" si="118"/>
        <v>0.000844238075137338</v>
      </c>
      <c r="J4958" s="9">
        <f>MAX($F$4842:F4958)</f>
        <v>2.369</v>
      </c>
      <c r="K4958" s="11">
        <f t="shared" si="117"/>
        <v>0.000844238075137338</v>
      </c>
      <c r="L4958" s="9">
        <f>MAX($F$4357:F4958)</f>
        <v>2.369</v>
      </c>
      <c r="M4958" s="11">
        <f t="shared" si="119"/>
        <v>0.000844238075137338</v>
      </c>
      <c r="N4958" s="9" t="s">
        <v>809</v>
      </c>
    </row>
    <row r="4959" ht="25" customHeight="1" spans="1:14">
      <c r="A4959" s="9" t="s">
        <v>327</v>
      </c>
      <c r="B4959" s="9" t="s">
        <v>326</v>
      </c>
      <c r="C4959" s="10">
        <v>46087</v>
      </c>
      <c r="D4959" s="15">
        <v>1.0839</v>
      </c>
      <c r="E4959" s="15">
        <v>1.9012</v>
      </c>
      <c r="F4959" s="15">
        <v>2.3681</v>
      </c>
      <c r="G4959" s="11">
        <v>0.0005</v>
      </c>
      <c r="H4959" s="9">
        <f>MAX($F$3239:F4959)</f>
        <v>2.369</v>
      </c>
      <c r="I4959" s="11">
        <f t="shared" si="118"/>
        <v>0.000379907133811752</v>
      </c>
      <c r="J4959" s="9">
        <f>MAX($F$4842:F4959)</f>
        <v>2.369</v>
      </c>
      <c r="K4959" s="11">
        <f t="shared" si="117"/>
        <v>0.000379907133811752</v>
      </c>
      <c r="L4959" s="9">
        <f>MAX($F$4357:F4959)</f>
        <v>2.369</v>
      </c>
      <c r="M4959" s="11">
        <f t="shared" si="119"/>
        <v>0.000379907133811752</v>
      </c>
      <c r="N4959" s="9" t="s">
        <v>809</v>
      </c>
    </row>
    <row r="4960" ht="25" customHeight="1" spans="1:14">
      <c r="A4960" s="9" t="s">
        <v>327</v>
      </c>
      <c r="B4960" s="9" t="s">
        <v>326</v>
      </c>
      <c r="C4960" s="10">
        <v>46090</v>
      </c>
      <c r="D4960" s="15">
        <v>1.0885</v>
      </c>
      <c r="E4960" s="15">
        <v>1.9058</v>
      </c>
      <c r="F4960" s="15">
        <v>2.3782</v>
      </c>
      <c r="G4960" s="11">
        <v>0.0042</v>
      </c>
      <c r="H4960" s="9">
        <f>MAX($F$3239:F4960)</f>
        <v>2.3782</v>
      </c>
      <c r="I4960" s="11">
        <f t="shared" si="118"/>
        <v>0</v>
      </c>
      <c r="J4960" s="9">
        <f>MAX($F$4842:F4960)</f>
        <v>2.3782</v>
      </c>
      <c r="K4960" s="11">
        <f t="shared" si="117"/>
        <v>0</v>
      </c>
      <c r="L4960" s="9">
        <f>MAX($F$4357:F4960)</f>
        <v>2.3782</v>
      </c>
      <c r="M4960" s="11">
        <f t="shared" si="119"/>
        <v>0</v>
      </c>
      <c r="N4960" s="9" t="s">
        <v>809</v>
      </c>
    </row>
    <row r="4961" ht="25" customHeight="1" spans="1:14">
      <c r="A4961" s="9" t="s">
        <v>327</v>
      </c>
      <c r="B4961" s="9" t="s">
        <v>326</v>
      </c>
      <c r="C4961" s="10">
        <v>46091</v>
      </c>
      <c r="D4961" s="15">
        <v>1.0893</v>
      </c>
      <c r="E4961" s="15">
        <v>1.9066</v>
      </c>
      <c r="F4961" s="15">
        <v>2.3799</v>
      </c>
      <c r="G4961" s="11">
        <v>0.0007</v>
      </c>
      <c r="H4961" s="9">
        <f>MAX($F$3239:F4961)</f>
        <v>2.3799</v>
      </c>
      <c r="I4961" s="11">
        <f t="shared" si="118"/>
        <v>0</v>
      </c>
      <c r="J4961" s="9">
        <f>MAX($F$4842:F4961)</f>
        <v>2.3799</v>
      </c>
      <c r="K4961" s="11">
        <f t="shared" si="117"/>
        <v>0</v>
      </c>
      <c r="L4961" s="9">
        <f>MAX($F$4357:F4961)</f>
        <v>2.3799</v>
      </c>
      <c r="M4961" s="11">
        <f t="shared" si="119"/>
        <v>0</v>
      </c>
      <c r="N4961" s="9" t="s">
        <v>809</v>
      </c>
    </row>
    <row r="4962" ht="25" customHeight="1" spans="1:14">
      <c r="A4962" s="9" t="s">
        <v>327</v>
      </c>
      <c r="B4962" s="9" t="s">
        <v>326</v>
      </c>
      <c r="C4962" s="10">
        <v>46092</v>
      </c>
      <c r="D4962" s="15">
        <v>1.0888</v>
      </c>
      <c r="E4962" s="15">
        <v>1.9061</v>
      </c>
      <c r="F4962" s="15">
        <v>2.3788</v>
      </c>
      <c r="G4962" s="11">
        <v>-0.0005</v>
      </c>
      <c r="H4962" s="9">
        <f>MAX($F$3239:F4962)</f>
        <v>2.3799</v>
      </c>
      <c r="I4962" s="11">
        <f t="shared" si="118"/>
        <v>0.000462204294298107</v>
      </c>
      <c r="J4962" s="9">
        <f>MAX($F$4842:F4962)</f>
        <v>2.3799</v>
      </c>
      <c r="K4962" s="11">
        <f t="shared" si="117"/>
        <v>0.000462204294298107</v>
      </c>
      <c r="L4962" s="9">
        <f>MAX($F$4357:F4962)</f>
        <v>2.3799</v>
      </c>
      <c r="M4962" s="11">
        <f t="shared" si="119"/>
        <v>0.000462204294298107</v>
      </c>
      <c r="N4962" s="9" t="s">
        <v>809</v>
      </c>
    </row>
    <row r="4963" ht="25" customHeight="1" spans="1:14">
      <c r="A4963" s="9" t="s">
        <v>327</v>
      </c>
      <c r="B4963" s="9" t="s">
        <v>326</v>
      </c>
      <c r="C4963" s="10">
        <v>46093</v>
      </c>
      <c r="D4963" s="15">
        <v>1.0912</v>
      </c>
      <c r="E4963" s="15">
        <v>1.9085</v>
      </c>
      <c r="F4963" s="15">
        <v>2.384</v>
      </c>
      <c r="G4963" s="11">
        <v>0.0022</v>
      </c>
      <c r="H4963" s="9">
        <f>MAX($F$3239:F4963)</f>
        <v>2.384</v>
      </c>
      <c r="I4963" s="11">
        <f t="shared" si="118"/>
        <v>0</v>
      </c>
      <c r="J4963" s="9">
        <f>MAX($F$4842:F4963)</f>
        <v>2.384</v>
      </c>
      <c r="K4963" s="11">
        <f t="shared" si="117"/>
        <v>0</v>
      </c>
      <c r="L4963" s="9">
        <f>MAX($F$4357:F4963)</f>
        <v>2.384</v>
      </c>
      <c r="M4963" s="11">
        <f t="shared" si="119"/>
        <v>0</v>
      </c>
      <c r="N4963" s="9" t="s">
        <v>809</v>
      </c>
    </row>
    <row r="4964" ht="25" customHeight="1" spans="1:14">
      <c r="A4964" s="9" t="s">
        <v>327</v>
      </c>
      <c r="B4964" s="9" t="s">
        <v>326</v>
      </c>
      <c r="C4964" s="10">
        <v>46094</v>
      </c>
      <c r="D4964" s="15">
        <v>1.0915</v>
      </c>
      <c r="E4964" s="15">
        <v>1.9088</v>
      </c>
      <c r="F4964" s="15">
        <v>2.3847</v>
      </c>
      <c r="G4964" s="11">
        <v>0.0003</v>
      </c>
      <c r="H4964" s="9">
        <f>MAX($F$3239:F4964)</f>
        <v>2.3847</v>
      </c>
      <c r="I4964" s="11">
        <f t="shared" si="118"/>
        <v>0</v>
      </c>
      <c r="J4964" s="9">
        <f>MAX($F$4842:F4964)</f>
        <v>2.3847</v>
      </c>
      <c r="K4964" s="11">
        <f t="shared" si="117"/>
        <v>0</v>
      </c>
      <c r="L4964" s="9">
        <f>MAX($F$4357:F4964)</f>
        <v>2.3847</v>
      </c>
      <c r="M4964" s="11">
        <f t="shared" si="119"/>
        <v>0</v>
      </c>
      <c r="N4964" s="9" t="s">
        <v>809</v>
      </c>
    </row>
    <row r="4965" ht="25" customHeight="1" spans="1:14">
      <c r="A4965" s="9" t="s">
        <v>327</v>
      </c>
      <c r="B4965" s="9" t="s">
        <v>326</v>
      </c>
      <c r="C4965" s="10">
        <v>46097</v>
      </c>
      <c r="D4965" s="15">
        <v>1.0931</v>
      </c>
      <c r="E4965" s="15">
        <v>1.9104</v>
      </c>
      <c r="F4965" s="15">
        <v>2.3882</v>
      </c>
      <c r="G4965" s="11">
        <v>0.0015</v>
      </c>
      <c r="H4965" s="9">
        <f>MAX($F$3239:F4965)</f>
        <v>2.3882</v>
      </c>
      <c r="I4965" s="11">
        <f t="shared" si="118"/>
        <v>0</v>
      </c>
      <c r="J4965" s="9">
        <f>MAX($F$4842:F4965)</f>
        <v>2.3882</v>
      </c>
      <c r="K4965" s="11">
        <f t="shared" si="117"/>
        <v>0</v>
      </c>
      <c r="L4965" s="9">
        <f>MAX($F$4357:F4965)</f>
        <v>2.3882</v>
      </c>
      <c r="M4965" s="11">
        <f t="shared" si="119"/>
        <v>0</v>
      </c>
      <c r="N4965" s="9" t="s">
        <v>809</v>
      </c>
    </row>
    <row r="4966" ht="25" customHeight="1" spans="1:14">
      <c r="A4966" s="9" t="s">
        <v>327</v>
      </c>
      <c r="B4966" s="9" t="s">
        <v>326</v>
      </c>
      <c r="C4966" s="10">
        <v>46098</v>
      </c>
      <c r="D4966" s="15">
        <v>1.0934</v>
      </c>
      <c r="E4966" s="15">
        <v>1.9107</v>
      </c>
      <c r="F4966" s="15">
        <v>2.3889</v>
      </c>
      <c r="G4966" s="11">
        <v>0.0003</v>
      </c>
      <c r="H4966" s="9">
        <f>MAX($F$3239:F4966)</f>
        <v>2.3889</v>
      </c>
      <c r="I4966" s="11">
        <f t="shared" si="118"/>
        <v>0</v>
      </c>
      <c r="J4966" s="9">
        <f>MAX($F$4842:F4966)</f>
        <v>2.3889</v>
      </c>
      <c r="K4966" s="11">
        <f t="shared" si="117"/>
        <v>0</v>
      </c>
      <c r="L4966" s="9">
        <f>MAX($F$4357:F4966)</f>
        <v>2.3889</v>
      </c>
      <c r="M4966" s="11">
        <f t="shared" si="119"/>
        <v>0</v>
      </c>
      <c r="N4966" s="9" t="s">
        <v>809</v>
      </c>
    </row>
    <row r="4967" ht="25" customHeight="1" spans="1:14">
      <c r="A4967" s="9" t="s">
        <v>327</v>
      </c>
      <c r="B4967" s="9" t="s">
        <v>326</v>
      </c>
      <c r="C4967" s="10">
        <v>46099</v>
      </c>
      <c r="D4967" s="15">
        <v>1.0947</v>
      </c>
      <c r="E4967" s="15">
        <v>1.912</v>
      </c>
      <c r="F4967" s="15">
        <v>2.3917</v>
      </c>
      <c r="G4967" s="11">
        <v>0.0012</v>
      </c>
      <c r="H4967" s="9">
        <f>MAX($F$3239:F4967)</f>
        <v>2.3917</v>
      </c>
      <c r="I4967" s="11">
        <f t="shared" si="118"/>
        <v>0</v>
      </c>
      <c r="J4967" s="9">
        <f>MAX($F$4842:F4967)</f>
        <v>2.3917</v>
      </c>
      <c r="K4967" s="11">
        <f t="shared" si="117"/>
        <v>0</v>
      </c>
      <c r="L4967" s="9">
        <f>MAX($F$4357:F4967)</f>
        <v>2.3917</v>
      </c>
      <c r="M4967" s="11">
        <f t="shared" si="119"/>
        <v>0</v>
      </c>
      <c r="N4967" s="9" t="s">
        <v>809</v>
      </c>
    </row>
    <row r="4968" ht="25" customHeight="1" spans="1:14">
      <c r="A4968" s="9" t="s">
        <v>327</v>
      </c>
      <c r="B4968" s="9" t="s">
        <v>326</v>
      </c>
      <c r="C4968" s="10">
        <v>46100</v>
      </c>
      <c r="D4968" s="15">
        <v>1.1004</v>
      </c>
      <c r="E4968" s="15">
        <v>1.9177</v>
      </c>
      <c r="F4968" s="15">
        <v>2.4042</v>
      </c>
      <c r="G4968" s="11">
        <v>0.0052</v>
      </c>
      <c r="H4968" s="9">
        <f>MAX($F$3239:F4968)</f>
        <v>2.4042</v>
      </c>
      <c r="I4968" s="11">
        <f t="shared" si="118"/>
        <v>0</v>
      </c>
      <c r="J4968" s="9">
        <f>MAX($F$4842:F4968)</f>
        <v>2.4042</v>
      </c>
      <c r="K4968" s="11">
        <f t="shared" si="117"/>
        <v>0</v>
      </c>
      <c r="L4968" s="9">
        <f>MAX($F$4357:F4968)</f>
        <v>2.4042</v>
      </c>
      <c r="M4968" s="11">
        <f t="shared" si="119"/>
        <v>0</v>
      </c>
      <c r="N4968" s="9" t="s">
        <v>809</v>
      </c>
    </row>
    <row r="4969" ht="25" customHeight="1" spans="1:14">
      <c r="A4969" s="9" t="s">
        <v>327</v>
      </c>
      <c r="B4969" s="9" t="s">
        <v>326</v>
      </c>
      <c r="C4969" s="10">
        <v>46101</v>
      </c>
      <c r="D4969" s="15">
        <v>1.1027</v>
      </c>
      <c r="E4969" s="15">
        <v>1.92</v>
      </c>
      <c r="F4969" s="15">
        <v>2.4092</v>
      </c>
      <c r="G4969" s="11">
        <v>0.0021</v>
      </c>
      <c r="H4969" s="9">
        <f>MAX($F$3239:F4969)</f>
        <v>2.4092</v>
      </c>
      <c r="I4969" s="11">
        <f t="shared" si="118"/>
        <v>0</v>
      </c>
      <c r="J4969" s="9">
        <f>MAX($F$4842:F4969)</f>
        <v>2.4092</v>
      </c>
      <c r="K4969" s="11">
        <f t="shared" si="117"/>
        <v>0</v>
      </c>
      <c r="L4969" s="9">
        <f>MAX($F$4357:F4969)</f>
        <v>2.4092</v>
      </c>
      <c r="M4969" s="11">
        <f t="shared" si="119"/>
        <v>0</v>
      </c>
      <c r="N4969" s="9" t="s">
        <v>809</v>
      </c>
    </row>
    <row r="4970" ht="25" customHeight="1" spans="1:14">
      <c r="A4970" s="9" t="s">
        <v>327</v>
      </c>
      <c r="B4970" s="9" t="s">
        <v>326</v>
      </c>
      <c r="C4970" s="10">
        <v>46104</v>
      </c>
      <c r="D4970" s="15">
        <v>1.1067</v>
      </c>
      <c r="E4970" s="15">
        <v>1.924</v>
      </c>
      <c r="F4970" s="15">
        <v>2.4179</v>
      </c>
      <c r="G4970" s="11">
        <v>0.0036</v>
      </c>
      <c r="H4970" s="9">
        <f>MAX($F$3239:F4970)</f>
        <v>2.4179</v>
      </c>
      <c r="I4970" s="11">
        <f t="shared" si="118"/>
        <v>0</v>
      </c>
      <c r="J4970" s="9">
        <f>MAX($F$4842:F4970)</f>
        <v>2.4179</v>
      </c>
      <c r="K4970" s="11">
        <f t="shared" ref="K4970:K5033" si="120">1-F4970/J4970</f>
        <v>0</v>
      </c>
      <c r="L4970" s="9">
        <f>MAX($F$4357:F4970)</f>
        <v>2.4179</v>
      </c>
      <c r="M4970" s="11">
        <f t="shared" si="119"/>
        <v>0</v>
      </c>
      <c r="N4970" s="9" t="s">
        <v>809</v>
      </c>
    </row>
    <row r="4971" ht="25" customHeight="1" spans="1:14">
      <c r="A4971" s="9" t="s">
        <v>327</v>
      </c>
      <c r="B4971" s="9" t="s">
        <v>326</v>
      </c>
      <c r="C4971" s="10">
        <v>46105</v>
      </c>
      <c r="D4971" s="15">
        <v>1.1078</v>
      </c>
      <c r="E4971" s="15">
        <v>1.9251</v>
      </c>
      <c r="F4971" s="15">
        <v>2.4203</v>
      </c>
      <c r="G4971" s="11">
        <v>0.001</v>
      </c>
      <c r="H4971" s="9">
        <f>MAX($F$3239:F4971)</f>
        <v>2.4203</v>
      </c>
      <c r="I4971" s="11">
        <f t="shared" si="118"/>
        <v>0</v>
      </c>
      <c r="J4971" s="9">
        <f>MAX($F$4842:F4971)</f>
        <v>2.4203</v>
      </c>
      <c r="K4971" s="11">
        <f t="shared" si="120"/>
        <v>0</v>
      </c>
      <c r="L4971" s="9">
        <f>MAX($F$4357:F4971)</f>
        <v>2.4203</v>
      </c>
      <c r="M4971" s="11">
        <f t="shared" si="119"/>
        <v>0</v>
      </c>
      <c r="N4971" s="9" t="s">
        <v>809</v>
      </c>
    </row>
    <row r="4972" ht="25" customHeight="1" spans="1:14">
      <c r="A4972" s="9" t="s">
        <v>327</v>
      </c>
      <c r="B4972" s="9" t="s">
        <v>326</v>
      </c>
      <c r="C4972" s="10">
        <v>46106</v>
      </c>
      <c r="D4972" s="15">
        <v>1.1077</v>
      </c>
      <c r="E4972" s="15">
        <v>1.925</v>
      </c>
      <c r="F4972" s="15">
        <v>2.4201</v>
      </c>
      <c r="G4972" s="11">
        <v>-0.0001</v>
      </c>
      <c r="H4972" s="9">
        <f>MAX($F$3239:F4972)</f>
        <v>2.4203</v>
      </c>
      <c r="I4972" s="11">
        <f t="shared" si="118"/>
        <v>8.26343841672239e-5</v>
      </c>
      <c r="J4972" s="9">
        <f>MAX($F$4842:F4972)</f>
        <v>2.4203</v>
      </c>
      <c r="K4972" s="11">
        <f t="shared" si="120"/>
        <v>8.26343841672239e-5</v>
      </c>
      <c r="L4972" s="9">
        <f>MAX($F$4357:F4972)</f>
        <v>2.4203</v>
      </c>
      <c r="M4972" s="11">
        <f t="shared" si="119"/>
        <v>8.26343841672239e-5</v>
      </c>
      <c r="N4972" s="9" t="s">
        <v>809</v>
      </c>
    </row>
    <row r="4973" ht="25" customHeight="1" spans="1:14">
      <c r="A4973" s="9" t="s">
        <v>327</v>
      </c>
      <c r="B4973" s="9" t="s">
        <v>326</v>
      </c>
      <c r="C4973" s="10">
        <v>46107</v>
      </c>
      <c r="D4973" s="15">
        <v>1.1081</v>
      </c>
      <c r="E4973" s="15">
        <v>1.9254</v>
      </c>
      <c r="F4973" s="15">
        <v>2.421</v>
      </c>
      <c r="G4973" s="11">
        <v>0.0004</v>
      </c>
      <c r="H4973" s="9">
        <f>MAX($F$3239:F4973)</f>
        <v>2.421</v>
      </c>
      <c r="I4973" s="11">
        <f t="shared" si="118"/>
        <v>0</v>
      </c>
      <c r="J4973" s="9">
        <f>MAX($F$4842:F4973)</f>
        <v>2.421</v>
      </c>
      <c r="K4973" s="11">
        <f t="shared" si="120"/>
        <v>0</v>
      </c>
      <c r="L4973" s="9">
        <f>MAX($F$4357:F4973)</f>
        <v>2.421</v>
      </c>
      <c r="M4973" s="11">
        <f t="shared" si="119"/>
        <v>0</v>
      </c>
      <c r="N4973" s="9" t="s">
        <v>809</v>
      </c>
    </row>
    <row r="4974" ht="25" customHeight="1" spans="1:14">
      <c r="A4974" s="9" t="s">
        <v>327</v>
      </c>
      <c r="B4974" s="9" t="s">
        <v>326</v>
      </c>
      <c r="C4974" s="10">
        <v>46108</v>
      </c>
      <c r="D4974" s="15">
        <v>1.1085</v>
      </c>
      <c r="E4974" s="15">
        <v>1.9258</v>
      </c>
      <c r="F4974" s="15">
        <v>2.4218</v>
      </c>
      <c r="G4974" s="11">
        <v>0.0004</v>
      </c>
      <c r="H4974" s="9">
        <f>MAX($F$3239:F4974)</f>
        <v>2.4218</v>
      </c>
      <c r="I4974" s="11">
        <f t="shared" si="118"/>
        <v>0</v>
      </c>
      <c r="J4974" s="9">
        <f>MAX($F$4842:F4974)</f>
        <v>2.4218</v>
      </c>
      <c r="K4974" s="11">
        <f t="shared" si="120"/>
        <v>0</v>
      </c>
      <c r="L4974" s="9">
        <f>MAX($F$4357:F4974)</f>
        <v>2.4218</v>
      </c>
      <c r="M4974" s="11">
        <f t="shared" si="119"/>
        <v>0</v>
      </c>
      <c r="N4974" s="9" t="s">
        <v>809</v>
      </c>
    </row>
    <row r="4975" ht="25" customHeight="1" spans="1:14">
      <c r="A4975" s="9" t="s">
        <v>327</v>
      </c>
      <c r="B4975" s="9" t="s">
        <v>326</v>
      </c>
      <c r="C4975" s="10">
        <v>46111</v>
      </c>
      <c r="D4975" s="15">
        <v>1.1084</v>
      </c>
      <c r="E4975" s="15">
        <v>1.9257</v>
      </c>
      <c r="F4975" s="15">
        <v>2.4216</v>
      </c>
      <c r="G4975" s="11">
        <v>-0.0001</v>
      </c>
      <c r="H4975" s="9">
        <f>MAX($F$3239:F4975)</f>
        <v>2.4218</v>
      </c>
      <c r="I4975" s="11">
        <f t="shared" si="118"/>
        <v>8.25832025765916e-5</v>
      </c>
      <c r="J4975" s="9">
        <f>MAX($F$4842:F4975)</f>
        <v>2.4218</v>
      </c>
      <c r="K4975" s="11">
        <f t="shared" si="120"/>
        <v>8.25832025765916e-5</v>
      </c>
      <c r="L4975" s="9">
        <f>MAX($F$4357:F4975)</f>
        <v>2.4218</v>
      </c>
      <c r="M4975" s="11">
        <f t="shared" si="119"/>
        <v>8.25832025765916e-5</v>
      </c>
      <c r="N4975" s="9" t="s">
        <v>809</v>
      </c>
    </row>
    <row r="4976" ht="25" customHeight="1" spans="1:14">
      <c r="A4976" s="9" t="s">
        <v>327</v>
      </c>
      <c r="B4976" s="9" t="s">
        <v>326</v>
      </c>
      <c r="C4976" s="10">
        <v>46112</v>
      </c>
      <c r="D4976" s="15">
        <v>1.11</v>
      </c>
      <c r="E4976" s="15">
        <v>1.9273</v>
      </c>
      <c r="F4976" s="15">
        <v>2.4251</v>
      </c>
      <c r="G4976" s="11">
        <v>0.0014</v>
      </c>
      <c r="H4976" s="9">
        <f>MAX($F$3239:F4976)</f>
        <v>2.4251</v>
      </c>
      <c r="I4976" s="11">
        <f t="shared" si="118"/>
        <v>0</v>
      </c>
      <c r="J4976" s="9">
        <f>MAX($F$4842:F4976)</f>
        <v>2.4251</v>
      </c>
      <c r="K4976" s="11">
        <f t="shared" si="120"/>
        <v>0</v>
      </c>
      <c r="L4976" s="9">
        <f>MAX($F$4357:F4976)</f>
        <v>2.4251</v>
      </c>
      <c r="M4976" s="11">
        <f t="shared" si="119"/>
        <v>0</v>
      </c>
      <c r="N4976" s="9" t="s">
        <v>809</v>
      </c>
    </row>
    <row r="4977" ht="25" customHeight="1" spans="1:14">
      <c r="A4977" s="9" t="s">
        <v>327</v>
      </c>
      <c r="B4977" s="9" t="s">
        <v>326</v>
      </c>
      <c r="C4977" s="10">
        <v>46113</v>
      </c>
      <c r="D4977" s="15">
        <v>1.1106</v>
      </c>
      <c r="E4977" s="15">
        <v>1.9279</v>
      </c>
      <c r="F4977" s="15">
        <v>2.4264</v>
      </c>
      <c r="G4977" s="11">
        <v>0.0005</v>
      </c>
      <c r="H4977" s="9">
        <f>MAX($F$3239:F4977)</f>
        <v>2.4264</v>
      </c>
      <c r="I4977" s="11">
        <f t="shared" si="118"/>
        <v>0</v>
      </c>
      <c r="J4977" s="9">
        <f>MAX($F$4842:F4977)</f>
        <v>2.4264</v>
      </c>
      <c r="K4977" s="11">
        <f t="shared" si="120"/>
        <v>0</v>
      </c>
      <c r="L4977" s="9">
        <f>MAX($F$4357:F4977)</f>
        <v>2.4264</v>
      </c>
      <c r="M4977" s="11">
        <f t="shared" si="119"/>
        <v>0</v>
      </c>
      <c r="N4977" s="9" t="s">
        <v>809</v>
      </c>
    </row>
    <row r="4978" ht="25" customHeight="1" spans="1:14">
      <c r="A4978" s="9" t="s">
        <v>327</v>
      </c>
      <c r="B4978" s="9" t="s">
        <v>326</v>
      </c>
      <c r="C4978" s="10">
        <v>46114</v>
      </c>
      <c r="D4978" s="15">
        <v>1.1089</v>
      </c>
      <c r="E4978" s="15">
        <v>1.9262</v>
      </c>
      <c r="F4978" s="15">
        <v>2.4227</v>
      </c>
      <c r="G4978" s="11">
        <v>-0.0015</v>
      </c>
      <c r="H4978" s="9">
        <f>MAX($F$3239:F4978)</f>
        <v>2.4264</v>
      </c>
      <c r="I4978" s="11">
        <f t="shared" si="118"/>
        <v>0.00152489284536772</v>
      </c>
      <c r="J4978" s="9">
        <f>MAX($F$4842:F4978)</f>
        <v>2.4264</v>
      </c>
      <c r="K4978" s="11">
        <f t="shared" si="120"/>
        <v>0.00152489284536772</v>
      </c>
      <c r="L4978" s="9">
        <f>MAX($F$4357:F4978)</f>
        <v>2.4264</v>
      </c>
      <c r="M4978" s="11">
        <f t="shared" si="119"/>
        <v>0.00152489284536772</v>
      </c>
      <c r="N4978" s="9" t="s">
        <v>809</v>
      </c>
    </row>
    <row r="4979" ht="25" customHeight="1" spans="1:14">
      <c r="A4979" s="9" t="s">
        <v>327</v>
      </c>
      <c r="B4979" s="9" t="s">
        <v>326</v>
      </c>
      <c r="C4979" s="10">
        <v>46115</v>
      </c>
      <c r="D4979" s="15">
        <v>1.1088</v>
      </c>
      <c r="E4979" s="15">
        <v>1.9261</v>
      </c>
      <c r="F4979" s="15">
        <v>2.4225</v>
      </c>
      <c r="G4979" s="11">
        <v>-0.0001</v>
      </c>
      <c r="H4979" s="9">
        <f>MAX($F$3239:F4979)</f>
        <v>2.4264</v>
      </c>
      <c r="I4979" s="11">
        <f t="shared" si="118"/>
        <v>0.00160731948565784</v>
      </c>
      <c r="J4979" s="9">
        <f>MAX($F$4842:F4979)</f>
        <v>2.4264</v>
      </c>
      <c r="K4979" s="11">
        <f t="shared" si="120"/>
        <v>0.00160731948565784</v>
      </c>
      <c r="L4979" s="9">
        <f>MAX($F$4357:F4979)</f>
        <v>2.4264</v>
      </c>
      <c r="M4979" s="11">
        <f t="shared" si="119"/>
        <v>0.00160731948565784</v>
      </c>
      <c r="N4979" s="9" t="s">
        <v>809</v>
      </c>
    </row>
    <row r="4980" ht="25" customHeight="1" spans="1:14">
      <c r="A4980" s="9" t="s">
        <v>327</v>
      </c>
      <c r="B4980" s="9" t="s">
        <v>326</v>
      </c>
      <c r="C4980" s="10">
        <v>46119</v>
      </c>
      <c r="D4980" s="15">
        <v>1.1084</v>
      </c>
      <c r="E4980" s="15">
        <v>1.9257</v>
      </c>
      <c r="F4980" s="15">
        <v>2.4216</v>
      </c>
      <c r="G4980" s="11">
        <v>-0.0004</v>
      </c>
      <c r="H4980" s="9">
        <f>MAX($F$3239:F4980)</f>
        <v>2.4264</v>
      </c>
      <c r="I4980" s="11">
        <f t="shared" si="118"/>
        <v>0.0019782393669634</v>
      </c>
      <c r="J4980" s="9">
        <f>MAX($F$4842:F4980)</f>
        <v>2.4264</v>
      </c>
      <c r="K4980" s="11">
        <f t="shared" si="120"/>
        <v>0.0019782393669634</v>
      </c>
      <c r="L4980" s="9">
        <f>MAX($F$4357:F4980)</f>
        <v>2.4264</v>
      </c>
      <c r="M4980" s="11">
        <f t="shared" si="119"/>
        <v>0.0019782393669634</v>
      </c>
      <c r="N4980" s="9" t="s">
        <v>809</v>
      </c>
    </row>
    <row r="4981" ht="25" customHeight="1" spans="1:14">
      <c r="A4981" s="9" t="s">
        <v>327</v>
      </c>
      <c r="B4981" s="9" t="s">
        <v>326</v>
      </c>
      <c r="C4981" s="10">
        <v>46120</v>
      </c>
      <c r="D4981" s="15">
        <v>1.1092</v>
      </c>
      <c r="E4981" s="15">
        <v>1.9265</v>
      </c>
      <c r="F4981" s="15">
        <v>2.4234</v>
      </c>
      <c r="G4981" s="11">
        <v>0.0007</v>
      </c>
      <c r="H4981" s="9">
        <f>MAX($F$3239:F4981)</f>
        <v>2.4264</v>
      </c>
      <c r="I4981" s="11">
        <f t="shared" si="118"/>
        <v>0.00123639960435218</v>
      </c>
      <c r="J4981" s="9">
        <f>MAX($F$4842:F4981)</f>
        <v>2.4264</v>
      </c>
      <c r="K4981" s="11">
        <f t="shared" si="120"/>
        <v>0.00123639960435218</v>
      </c>
      <c r="L4981" s="9">
        <f>MAX($F$4357:F4981)</f>
        <v>2.4264</v>
      </c>
      <c r="M4981" s="11">
        <f t="shared" si="119"/>
        <v>0.00123639960435218</v>
      </c>
      <c r="N4981" s="9" t="s">
        <v>809</v>
      </c>
    </row>
    <row r="4982" ht="25" customHeight="1" spans="1:14">
      <c r="A4982" s="9" t="s">
        <v>327</v>
      </c>
      <c r="B4982" s="9" t="s">
        <v>326</v>
      </c>
      <c r="C4982" s="10">
        <v>46121</v>
      </c>
      <c r="D4982" s="15">
        <v>1.1084</v>
      </c>
      <c r="E4982" s="15">
        <v>1.9257</v>
      </c>
      <c r="F4982" s="15">
        <v>2.4216</v>
      </c>
      <c r="G4982" s="11">
        <v>-0.0007</v>
      </c>
      <c r="H4982" s="9">
        <f>MAX($F$3239:F4982)</f>
        <v>2.4264</v>
      </c>
      <c r="I4982" s="11">
        <f t="shared" si="118"/>
        <v>0.0019782393669634</v>
      </c>
      <c r="J4982" s="9">
        <f>MAX($F$4842:F4982)</f>
        <v>2.4264</v>
      </c>
      <c r="K4982" s="11">
        <f t="shared" si="120"/>
        <v>0.0019782393669634</v>
      </c>
      <c r="L4982" s="9">
        <f>MAX($F$4357:F4982)</f>
        <v>2.4264</v>
      </c>
      <c r="M4982" s="11">
        <f t="shared" si="119"/>
        <v>0.0019782393669634</v>
      </c>
      <c r="N4982" s="9" t="s">
        <v>809</v>
      </c>
    </row>
    <row r="4983" ht="25" customHeight="1" spans="1:14">
      <c r="A4983" s="9" t="s">
        <v>327</v>
      </c>
      <c r="B4983" s="9" t="s">
        <v>326</v>
      </c>
      <c r="C4983" s="10">
        <v>46122</v>
      </c>
      <c r="D4983" s="15">
        <v>1.1087</v>
      </c>
      <c r="E4983" s="15">
        <v>1.926</v>
      </c>
      <c r="F4983" s="15">
        <v>2.4223</v>
      </c>
      <c r="G4983" s="11">
        <v>0.0003</v>
      </c>
      <c r="H4983" s="9">
        <f>MAX($F$3239:F4983)</f>
        <v>2.4264</v>
      </c>
      <c r="I4983" s="11">
        <f t="shared" si="118"/>
        <v>0.00168974612594797</v>
      </c>
      <c r="J4983" s="9">
        <f>MAX($F$4842:F4983)</f>
        <v>2.4264</v>
      </c>
      <c r="K4983" s="11">
        <f t="shared" si="120"/>
        <v>0.00168974612594797</v>
      </c>
      <c r="L4983" s="9">
        <f>MAX($F$4357:F4983)</f>
        <v>2.4264</v>
      </c>
      <c r="M4983" s="11">
        <f t="shared" si="119"/>
        <v>0.00168974612594797</v>
      </c>
      <c r="N4983" s="9" t="s">
        <v>809</v>
      </c>
    </row>
    <row r="4984" ht="25" customHeight="1" spans="1:14">
      <c r="A4984" s="9" t="s">
        <v>327</v>
      </c>
      <c r="B4984" s="9" t="s">
        <v>326</v>
      </c>
      <c r="C4984" s="10">
        <v>46125</v>
      </c>
      <c r="D4984" s="15">
        <v>1.1087</v>
      </c>
      <c r="E4984" s="15">
        <v>1.926</v>
      </c>
      <c r="F4984" s="15">
        <v>2.4223</v>
      </c>
      <c r="G4984" s="11">
        <v>0</v>
      </c>
      <c r="H4984" s="9">
        <f>MAX($F$3239:F4984)</f>
        <v>2.4264</v>
      </c>
      <c r="I4984" s="11">
        <f t="shared" si="118"/>
        <v>0.00168974612594797</v>
      </c>
      <c r="J4984" s="9">
        <f>MAX($F$4842:F4984)</f>
        <v>2.4264</v>
      </c>
      <c r="K4984" s="11">
        <f t="shared" si="120"/>
        <v>0.00168974612594797</v>
      </c>
      <c r="L4984" s="9">
        <f>MAX($F$4357:F4984)</f>
        <v>2.4264</v>
      </c>
      <c r="M4984" s="11">
        <f t="shared" si="119"/>
        <v>0.00168974612594797</v>
      </c>
      <c r="N4984" s="9" t="s">
        <v>809</v>
      </c>
    </row>
    <row r="4985" ht="25" customHeight="1" spans="1:14">
      <c r="A4985" s="9" t="s">
        <v>327</v>
      </c>
      <c r="B4985" s="9" t="s">
        <v>326</v>
      </c>
      <c r="C4985" s="10">
        <v>46126</v>
      </c>
      <c r="D4985" s="15">
        <v>1.1086</v>
      </c>
      <c r="E4985" s="15">
        <v>1.9259</v>
      </c>
      <c r="F4985" s="15">
        <v>2.4221</v>
      </c>
      <c r="G4985" s="11">
        <v>-0.0001</v>
      </c>
      <c r="H4985" s="9">
        <f>MAX($F$3239:F4985)</f>
        <v>2.4264</v>
      </c>
      <c r="I4985" s="11">
        <f t="shared" si="118"/>
        <v>0.00177217276623809</v>
      </c>
      <c r="J4985" s="9">
        <f>MAX($F$4842:F4985)</f>
        <v>2.4264</v>
      </c>
      <c r="K4985" s="11">
        <f t="shared" si="120"/>
        <v>0.00177217276623809</v>
      </c>
      <c r="L4985" s="9">
        <f>MAX($F$4357:F4985)</f>
        <v>2.4264</v>
      </c>
      <c r="M4985" s="11">
        <f t="shared" si="119"/>
        <v>0.00177217276623809</v>
      </c>
      <c r="N4985" s="9" t="s">
        <v>809</v>
      </c>
    </row>
    <row r="4986" ht="25" customHeight="1" spans="1:14">
      <c r="A4986" s="9" t="s">
        <v>327</v>
      </c>
      <c r="B4986" s="9" t="s">
        <v>326</v>
      </c>
      <c r="C4986" s="10">
        <v>46127</v>
      </c>
      <c r="D4986" s="15">
        <v>1.1086</v>
      </c>
      <c r="E4986" s="15">
        <v>1.9259</v>
      </c>
      <c r="F4986" s="15">
        <v>2.4221</v>
      </c>
      <c r="G4986" s="11">
        <v>0</v>
      </c>
      <c r="H4986" s="9">
        <f>MAX($F$3239:F4986)</f>
        <v>2.4264</v>
      </c>
      <c r="I4986" s="11">
        <f t="shared" si="118"/>
        <v>0.00177217276623809</v>
      </c>
      <c r="J4986" s="9">
        <f>MAX($F$4842:F4986)</f>
        <v>2.4264</v>
      </c>
      <c r="K4986" s="11">
        <f t="shared" si="120"/>
        <v>0.00177217276623809</v>
      </c>
      <c r="L4986" s="9">
        <f>MAX($F$4357:F4986)</f>
        <v>2.4264</v>
      </c>
      <c r="M4986" s="11">
        <f t="shared" si="119"/>
        <v>0.00177217276623809</v>
      </c>
      <c r="N4986" s="9" t="s">
        <v>809</v>
      </c>
    </row>
    <row r="4987" ht="25" customHeight="1" spans="1:14">
      <c r="A4987" s="9" t="s">
        <v>327</v>
      </c>
      <c r="B4987" s="9" t="s">
        <v>326</v>
      </c>
      <c r="C4987" s="10">
        <v>46128</v>
      </c>
      <c r="D4987" s="15">
        <v>1.1088</v>
      </c>
      <c r="E4987" s="15">
        <v>1.9261</v>
      </c>
      <c r="F4987" s="15">
        <v>2.4225</v>
      </c>
      <c r="G4987" s="11">
        <v>0.0002</v>
      </c>
      <c r="H4987" s="9">
        <f>MAX($F$3239:F4987)</f>
        <v>2.4264</v>
      </c>
      <c r="I4987" s="11">
        <f t="shared" si="118"/>
        <v>0.00160731948565784</v>
      </c>
      <c r="J4987" s="9">
        <f>MAX($F$4842:F4987)</f>
        <v>2.4264</v>
      </c>
      <c r="K4987" s="11">
        <f t="shared" si="120"/>
        <v>0.00160731948565784</v>
      </c>
      <c r="L4987" s="9">
        <f>MAX($F$4357:F4987)</f>
        <v>2.4264</v>
      </c>
      <c r="M4987" s="11">
        <f t="shared" si="119"/>
        <v>0.00160731948565784</v>
      </c>
      <c r="N4987" s="9" t="s">
        <v>809</v>
      </c>
    </row>
    <row r="4988" ht="25" customHeight="1" spans="1:14">
      <c r="A4988" s="9" t="s">
        <v>327</v>
      </c>
      <c r="B4988" s="9" t="s">
        <v>326</v>
      </c>
      <c r="C4988" s="10">
        <v>46129</v>
      </c>
      <c r="D4988" s="15">
        <v>1.1085</v>
      </c>
      <c r="E4988" s="15">
        <v>1.9258</v>
      </c>
      <c r="F4988" s="15">
        <v>2.4218</v>
      </c>
      <c r="G4988" s="11">
        <v>-0.0003</v>
      </c>
      <c r="H4988" s="9">
        <f>MAX($F$3239:F4988)</f>
        <v>2.4264</v>
      </c>
      <c r="I4988" s="11">
        <f t="shared" si="118"/>
        <v>0.00189581272667327</v>
      </c>
      <c r="J4988" s="9">
        <f>MAX($F$4842:F4988)</f>
        <v>2.4264</v>
      </c>
      <c r="K4988" s="11">
        <f t="shared" si="120"/>
        <v>0.00189581272667327</v>
      </c>
      <c r="L4988" s="9">
        <f>MAX($F$4357:F4988)</f>
        <v>2.4264</v>
      </c>
      <c r="M4988" s="11">
        <f t="shared" si="119"/>
        <v>0.00189581272667327</v>
      </c>
      <c r="N4988" s="9" t="s">
        <v>809</v>
      </c>
    </row>
    <row r="4989" ht="25" customHeight="1" spans="1:14">
      <c r="A4989" s="9" t="s">
        <v>327</v>
      </c>
      <c r="B4989" s="9" t="s">
        <v>326</v>
      </c>
      <c r="C4989" s="10">
        <v>46132</v>
      </c>
      <c r="D4989" s="15">
        <v>1.108</v>
      </c>
      <c r="E4989" s="15">
        <v>1.9253</v>
      </c>
      <c r="F4989" s="15">
        <v>2.4208</v>
      </c>
      <c r="G4989" s="11">
        <v>-0.0005</v>
      </c>
      <c r="H4989" s="9">
        <f>MAX($F$3239:F4989)</f>
        <v>2.4264</v>
      </c>
      <c r="I4989" s="11">
        <f t="shared" si="118"/>
        <v>0.00230794592812411</v>
      </c>
      <c r="J4989" s="9">
        <f>MAX($F$4842:F4989)</f>
        <v>2.4264</v>
      </c>
      <c r="K4989" s="11">
        <f t="shared" si="120"/>
        <v>0.00230794592812411</v>
      </c>
      <c r="L4989" s="9">
        <f>MAX($F$4357:F4989)</f>
        <v>2.4264</v>
      </c>
      <c r="M4989" s="11">
        <f t="shared" si="119"/>
        <v>0.00230794592812411</v>
      </c>
      <c r="N4989" s="9" t="s">
        <v>809</v>
      </c>
    </row>
    <row r="4990" ht="25" customHeight="1" spans="1:14">
      <c r="A4990" s="9" t="s">
        <v>327</v>
      </c>
      <c r="B4990" s="9" t="s">
        <v>326</v>
      </c>
      <c r="C4990" s="10">
        <v>46133</v>
      </c>
      <c r="D4990" s="15">
        <v>1.1088</v>
      </c>
      <c r="E4990" s="15">
        <v>1.9261</v>
      </c>
      <c r="F4990" s="15">
        <v>2.4225</v>
      </c>
      <c r="G4990" s="11">
        <v>0.0007</v>
      </c>
      <c r="H4990" s="9">
        <f>MAX($F$3239:F4990)</f>
        <v>2.4264</v>
      </c>
      <c r="I4990" s="11">
        <f t="shared" si="118"/>
        <v>0.00160731948565784</v>
      </c>
      <c r="J4990" s="9">
        <f>MAX($F$4842:F4990)</f>
        <v>2.4264</v>
      </c>
      <c r="K4990" s="11">
        <f t="shared" si="120"/>
        <v>0.00160731948565784</v>
      </c>
      <c r="L4990" s="9">
        <f>MAX($F$4357:F4990)</f>
        <v>2.4264</v>
      </c>
      <c r="M4990" s="11">
        <f t="shared" si="119"/>
        <v>0.00160731948565784</v>
      </c>
      <c r="N4990" s="9" t="s">
        <v>809</v>
      </c>
    </row>
    <row r="4991" ht="25" customHeight="1" spans="1:14">
      <c r="A4991" s="9" t="s">
        <v>327</v>
      </c>
      <c r="B4991" s="9" t="s">
        <v>326</v>
      </c>
      <c r="C4991" s="10">
        <v>46134</v>
      </c>
      <c r="D4991" s="15">
        <v>1.1089</v>
      </c>
      <c r="E4991" s="15">
        <v>1.9262</v>
      </c>
      <c r="F4991" s="15">
        <v>2.4227</v>
      </c>
      <c r="G4991" s="11">
        <v>0.0001</v>
      </c>
      <c r="H4991" s="9">
        <f>MAX($F$3239:F4991)</f>
        <v>2.4264</v>
      </c>
      <c r="I4991" s="11">
        <f t="shared" si="118"/>
        <v>0.00152489284536772</v>
      </c>
      <c r="J4991" s="9">
        <f>MAX($F$4842:F4991)</f>
        <v>2.4264</v>
      </c>
      <c r="K4991" s="11">
        <f t="shared" si="120"/>
        <v>0.00152489284536772</v>
      </c>
      <c r="L4991" s="9">
        <f>MAX($F$4357:F4991)</f>
        <v>2.4264</v>
      </c>
      <c r="M4991" s="11">
        <f t="shared" si="119"/>
        <v>0.00152489284536772</v>
      </c>
      <c r="N4991" s="9" t="s">
        <v>809</v>
      </c>
    </row>
    <row r="4992" ht="25" customHeight="1" spans="1:14">
      <c r="A4992" s="9" t="s">
        <v>327</v>
      </c>
      <c r="B4992" s="9" t="s">
        <v>326</v>
      </c>
      <c r="C4992" s="10">
        <v>46135</v>
      </c>
      <c r="D4992" s="15">
        <v>1.109</v>
      </c>
      <c r="E4992" s="15">
        <v>1.9263</v>
      </c>
      <c r="F4992" s="15">
        <v>2.4229</v>
      </c>
      <c r="G4992" s="11">
        <v>0.0001</v>
      </c>
      <c r="H4992" s="9">
        <f>MAX($F$3239:F4992)</f>
        <v>2.4264</v>
      </c>
      <c r="I4992" s="11">
        <f t="shared" si="118"/>
        <v>0.0014424662050776</v>
      </c>
      <c r="J4992" s="9">
        <f>MAX($F$4842:F4992)</f>
        <v>2.4264</v>
      </c>
      <c r="K4992" s="11">
        <f t="shared" si="120"/>
        <v>0.0014424662050776</v>
      </c>
      <c r="L4992" s="9">
        <f>MAX($F$4357:F4992)</f>
        <v>2.4264</v>
      </c>
      <c r="M4992" s="11">
        <f t="shared" si="119"/>
        <v>0.0014424662050776</v>
      </c>
      <c r="N4992" s="9" t="s">
        <v>809</v>
      </c>
    </row>
    <row r="4993" ht="25" customHeight="1" spans="1:14">
      <c r="A4993" s="9" t="s">
        <v>327</v>
      </c>
      <c r="B4993" s="9" t="s">
        <v>326</v>
      </c>
      <c r="C4993" s="10">
        <v>46136</v>
      </c>
      <c r="D4993" s="15">
        <v>1.1094</v>
      </c>
      <c r="E4993" s="15">
        <v>1.9267</v>
      </c>
      <c r="F4993" s="15">
        <v>2.4238</v>
      </c>
      <c r="G4993" s="11">
        <v>0.0004</v>
      </c>
      <c r="H4993" s="9">
        <f>MAX($F$3239:F4993)</f>
        <v>2.4264</v>
      </c>
      <c r="I4993" s="11">
        <f t="shared" si="118"/>
        <v>0.00107154632377193</v>
      </c>
      <c r="J4993" s="9">
        <f>MAX($F$4842:F4993)</f>
        <v>2.4264</v>
      </c>
      <c r="K4993" s="11">
        <f t="shared" si="120"/>
        <v>0.00107154632377193</v>
      </c>
      <c r="L4993" s="9">
        <f>MAX($F$4357:F4993)</f>
        <v>2.4264</v>
      </c>
      <c r="M4993" s="11">
        <f t="shared" si="119"/>
        <v>0.00107154632377193</v>
      </c>
      <c r="N4993" s="9" t="s">
        <v>809</v>
      </c>
    </row>
    <row r="4994" ht="25" customHeight="1" spans="1:14">
      <c r="A4994" s="9" t="s">
        <v>327</v>
      </c>
      <c r="B4994" s="9" t="s">
        <v>326</v>
      </c>
      <c r="C4994" s="10">
        <v>46139</v>
      </c>
      <c r="D4994" s="15">
        <v>1.1091</v>
      </c>
      <c r="E4994" s="15">
        <v>1.9264</v>
      </c>
      <c r="F4994" s="15">
        <v>2.4232</v>
      </c>
      <c r="G4994" s="11">
        <v>-0.0003</v>
      </c>
      <c r="H4994" s="9">
        <f>MAX($F$3239:F4994)</f>
        <v>2.4264</v>
      </c>
      <c r="I4994" s="11">
        <f t="shared" ref="I4994:I5057" si="121">1-F4994/H4994</f>
        <v>0.0013188262446423</v>
      </c>
      <c r="J4994" s="9">
        <f>MAX($F$4842:F4994)</f>
        <v>2.4264</v>
      </c>
      <c r="K4994" s="11">
        <f t="shared" si="120"/>
        <v>0.0013188262446423</v>
      </c>
      <c r="L4994" s="9">
        <f>MAX($F$4357:F4994)</f>
        <v>2.4264</v>
      </c>
      <c r="M4994" s="11">
        <f t="shared" si="119"/>
        <v>0.0013188262446423</v>
      </c>
      <c r="N4994" s="9" t="s">
        <v>809</v>
      </c>
    </row>
    <row r="4995" ht="25" customHeight="1" spans="1:14">
      <c r="A4995" s="9" t="s">
        <v>327</v>
      </c>
      <c r="B4995" s="9" t="s">
        <v>326</v>
      </c>
      <c r="C4995" s="10">
        <v>46140</v>
      </c>
      <c r="D4995" s="15">
        <v>1.109</v>
      </c>
      <c r="E4995" s="15">
        <v>1.9263</v>
      </c>
      <c r="F4995" s="15">
        <v>2.4229</v>
      </c>
      <c r="G4995" s="11">
        <v>-0.0001</v>
      </c>
      <c r="H4995" s="9">
        <f>MAX($F$3239:F4995)</f>
        <v>2.4264</v>
      </c>
      <c r="I4995" s="11">
        <f t="shared" si="121"/>
        <v>0.0014424662050776</v>
      </c>
      <c r="J4995" s="9">
        <f>MAX($F$4842:F4995)</f>
        <v>2.4264</v>
      </c>
      <c r="K4995" s="11">
        <f t="shared" si="120"/>
        <v>0.0014424662050776</v>
      </c>
      <c r="L4995" s="9">
        <f>MAX($F$4357:F4995)</f>
        <v>2.4264</v>
      </c>
      <c r="M4995" s="11">
        <f t="shared" si="119"/>
        <v>0.0014424662050776</v>
      </c>
      <c r="N4995" s="9" t="s">
        <v>809</v>
      </c>
    </row>
    <row r="4996" ht="25" customHeight="1" spans="1:14">
      <c r="A4996" s="9" t="s">
        <v>327</v>
      </c>
      <c r="B4996" s="9" t="s">
        <v>326</v>
      </c>
      <c r="C4996" s="10">
        <v>46141</v>
      </c>
      <c r="D4996" s="15">
        <v>1.1086</v>
      </c>
      <c r="E4996" s="15">
        <v>1.9259</v>
      </c>
      <c r="F4996" s="15">
        <v>2.4221</v>
      </c>
      <c r="G4996" s="11">
        <v>-0.0004</v>
      </c>
      <c r="H4996" s="9">
        <f>MAX($F$3239:F4996)</f>
        <v>2.4264</v>
      </c>
      <c r="I4996" s="11">
        <f t="shared" si="121"/>
        <v>0.00177217276623809</v>
      </c>
      <c r="J4996" s="9">
        <f>MAX($F$4842:F4996)</f>
        <v>2.4264</v>
      </c>
      <c r="K4996" s="11">
        <f t="shared" si="120"/>
        <v>0.00177217276623809</v>
      </c>
      <c r="L4996" s="9">
        <f>MAX($F$4357:F4996)</f>
        <v>2.4264</v>
      </c>
      <c r="M4996" s="11">
        <f t="shared" si="119"/>
        <v>0.00177217276623809</v>
      </c>
      <c r="N4996" s="9" t="s">
        <v>809</v>
      </c>
    </row>
    <row r="4997" ht="25" customHeight="1" spans="1:14">
      <c r="A4997" s="9" t="s">
        <v>327</v>
      </c>
      <c r="B4997" s="9" t="s">
        <v>326</v>
      </c>
      <c r="C4997" s="10">
        <v>46142</v>
      </c>
      <c r="D4997" s="15">
        <v>1.1086</v>
      </c>
      <c r="E4997" s="15">
        <v>1.9259</v>
      </c>
      <c r="F4997" s="15">
        <v>2.4221</v>
      </c>
      <c r="G4997" s="11">
        <v>0</v>
      </c>
      <c r="H4997" s="9">
        <f>MAX($F$3239:F4997)</f>
        <v>2.4264</v>
      </c>
      <c r="I4997" s="11">
        <f t="shared" si="121"/>
        <v>0.00177217276623809</v>
      </c>
      <c r="J4997" s="9">
        <f>MAX($F$4842:F4997)</f>
        <v>2.4264</v>
      </c>
      <c r="K4997" s="11">
        <f t="shared" si="120"/>
        <v>0.00177217276623809</v>
      </c>
      <c r="L4997" s="9">
        <f>MAX($F$4357:F4997)</f>
        <v>2.4264</v>
      </c>
      <c r="M4997" s="11">
        <f t="shared" ref="M4997:M5060" si="122">1-F4997/L4997</f>
        <v>0.00177217276623809</v>
      </c>
      <c r="N4997" s="9" t="s">
        <v>809</v>
      </c>
    </row>
    <row r="4998" ht="25" customHeight="1" spans="1:14">
      <c r="A4998" s="9" t="s">
        <v>327</v>
      </c>
      <c r="B4998" s="9" t="s">
        <v>326</v>
      </c>
      <c r="C4998" s="10">
        <v>46148</v>
      </c>
      <c r="D4998" s="15">
        <v>1.1064</v>
      </c>
      <c r="E4998" s="15">
        <v>1.9237</v>
      </c>
      <c r="F4998" s="15">
        <v>2.4173</v>
      </c>
      <c r="G4998" s="11">
        <v>-0.002</v>
      </c>
      <c r="H4998" s="9">
        <f>MAX($F$3239:F4998)</f>
        <v>2.4264</v>
      </c>
      <c r="I4998" s="11">
        <f t="shared" si="121"/>
        <v>0.00375041213320149</v>
      </c>
      <c r="J4998" s="9">
        <f>MAX($F$4842:F4998)</f>
        <v>2.4264</v>
      </c>
      <c r="K4998" s="11">
        <f t="shared" si="120"/>
        <v>0.00375041213320149</v>
      </c>
      <c r="L4998" s="9">
        <f>MAX($F$4357:F4998)</f>
        <v>2.4264</v>
      </c>
      <c r="M4998" s="11">
        <f t="shared" si="122"/>
        <v>0.00375041213320149</v>
      </c>
      <c r="N4998" s="9" t="s">
        <v>809</v>
      </c>
    </row>
    <row r="4999" ht="25" customHeight="1" spans="1:14">
      <c r="A4999" s="9" t="s">
        <v>327</v>
      </c>
      <c r="B4999" s="9" t="s">
        <v>326</v>
      </c>
      <c r="C4999" s="10">
        <v>46149</v>
      </c>
      <c r="D4999" s="15">
        <v>1.1064</v>
      </c>
      <c r="E4999" s="15">
        <v>1.9237</v>
      </c>
      <c r="F4999" s="15">
        <v>2.4173</v>
      </c>
      <c r="G4999" s="11">
        <v>0</v>
      </c>
      <c r="H4999" s="9">
        <f>MAX($F$3239:F4999)</f>
        <v>2.4264</v>
      </c>
      <c r="I4999" s="11">
        <f t="shared" si="121"/>
        <v>0.00375041213320149</v>
      </c>
      <c r="J4999" s="9">
        <f>MAX($F$4842:F4999)</f>
        <v>2.4264</v>
      </c>
      <c r="K4999" s="11">
        <f t="shared" si="120"/>
        <v>0.00375041213320149</v>
      </c>
      <c r="L4999" s="9">
        <f>MAX($F$4357:F4999)</f>
        <v>2.4264</v>
      </c>
      <c r="M4999" s="11">
        <f t="shared" si="122"/>
        <v>0.00375041213320149</v>
      </c>
      <c r="N4999" s="9" t="s">
        <v>809</v>
      </c>
    </row>
    <row r="5000" ht="25" customHeight="1" spans="1:14">
      <c r="A5000" s="9" t="s">
        <v>327</v>
      </c>
      <c r="B5000" s="9" t="s">
        <v>326</v>
      </c>
      <c r="C5000" s="10">
        <v>46150</v>
      </c>
      <c r="D5000" s="15">
        <v>1.1063</v>
      </c>
      <c r="E5000" s="15">
        <v>1.9236</v>
      </c>
      <c r="F5000" s="15">
        <v>2.417</v>
      </c>
      <c r="G5000" s="11">
        <v>-0.0001</v>
      </c>
      <c r="H5000" s="9">
        <f>MAX($F$3239:F5000)</f>
        <v>2.4264</v>
      </c>
      <c r="I5000" s="11">
        <f t="shared" si="121"/>
        <v>0.00387405209363678</v>
      </c>
      <c r="J5000" s="9">
        <f>MAX($F$4842:F5000)</f>
        <v>2.4264</v>
      </c>
      <c r="K5000" s="11">
        <f t="shared" si="120"/>
        <v>0.00387405209363678</v>
      </c>
      <c r="L5000" s="9">
        <f>MAX($F$4357:F5000)</f>
        <v>2.4264</v>
      </c>
      <c r="M5000" s="11">
        <f t="shared" si="122"/>
        <v>0.00387405209363678</v>
      </c>
      <c r="N5000" s="9" t="s">
        <v>809</v>
      </c>
    </row>
    <row r="5001" ht="25" customHeight="1" spans="1:14">
      <c r="A5001" s="9" t="s">
        <v>327</v>
      </c>
      <c r="B5001" s="9" t="s">
        <v>326</v>
      </c>
      <c r="C5001" s="10">
        <v>46153</v>
      </c>
      <c r="D5001" s="15">
        <v>1.1063</v>
      </c>
      <c r="E5001" s="15">
        <v>1.9236</v>
      </c>
      <c r="F5001" s="15">
        <v>2.417</v>
      </c>
      <c r="G5001" s="11">
        <v>0</v>
      </c>
      <c r="H5001" s="9">
        <f>MAX($F$3239:F5001)</f>
        <v>2.4264</v>
      </c>
      <c r="I5001" s="11">
        <f t="shared" si="121"/>
        <v>0.00387405209363678</v>
      </c>
      <c r="J5001" s="9">
        <f>MAX($F$4842:F5001)</f>
        <v>2.4264</v>
      </c>
      <c r="K5001" s="11">
        <f t="shared" si="120"/>
        <v>0.00387405209363678</v>
      </c>
      <c r="L5001" s="9">
        <f>MAX($F$4357:F5001)</f>
        <v>2.4264</v>
      </c>
      <c r="M5001" s="11">
        <f t="shared" si="122"/>
        <v>0.00387405209363678</v>
      </c>
      <c r="N5001" s="9" t="s">
        <v>809</v>
      </c>
    </row>
    <row r="5002" ht="25" customHeight="1" spans="1:14">
      <c r="A5002" s="9" t="s">
        <v>327</v>
      </c>
      <c r="B5002" s="9" t="s">
        <v>326</v>
      </c>
      <c r="C5002" s="10">
        <v>46154</v>
      </c>
      <c r="D5002" s="15">
        <v>1.1058</v>
      </c>
      <c r="E5002" s="15">
        <v>1.9231</v>
      </c>
      <c r="F5002" s="15">
        <v>2.4159</v>
      </c>
      <c r="G5002" s="11">
        <v>-0.0005</v>
      </c>
      <c r="H5002" s="9">
        <f>MAX($F$3239:F5002)</f>
        <v>2.4264</v>
      </c>
      <c r="I5002" s="11">
        <f t="shared" si="121"/>
        <v>0.00432739861523246</v>
      </c>
      <c r="J5002" s="9">
        <f>MAX($F$4842:F5002)</f>
        <v>2.4264</v>
      </c>
      <c r="K5002" s="11">
        <f t="shared" si="120"/>
        <v>0.00432739861523246</v>
      </c>
      <c r="L5002" s="9">
        <f>MAX($F$4357:F5002)</f>
        <v>2.4264</v>
      </c>
      <c r="M5002" s="11">
        <f t="shared" si="122"/>
        <v>0.00432739861523246</v>
      </c>
      <c r="N5002" s="9" t="s">
        <v>809</v>
      </c>
    </row>
    <row r="5003" ht="25" customHeight="1" spans="1:14">
      <c r="A5003" s="9" t="s">
        <v>327</v>
      </c>
      <c r="B5003" s="9" t="s">
        <v>326</v>
      </c>
      <c r="C5003" s="10">
        <v>46155</v>
      </c>
      <c r="D5003" s="15">
        <v>1.1052</v>
      </c>
      <c r="E5003" s="15">
        <v>1.9225</v>
      </c>
      <c r="F5003" s="15">
        <v>2.4146</v>
      </c>
      <c r="G5003" s="11">
        <v>-0.0005</v>
      </c>
      <c r="H5003" s="9">
        <f>MAX($F$3239:F5003)</f>
        <v>2.4264</v>
      </c>
      <c r="I5003" s="11">
        <f t="shared" si="121"/>
        <v>0.00486317177711837</v>
      </c>
      <c r="J5003" s="9">
        <f>MAX($F$4842:F5003)</f>
        <v>2.4264</v>
      </c>
      <c r="K5003" s="11">
        <f t="shared" si="120"/>
        <v>0.00486317177711837</v>
      </c>
      <c r="L5003" s="9">
        <f>MAX($F$4357:F5003)</f>
        <v>2.4264</v>
      </c>
      <c r="M5003" s="11">
        <f t="shared" si="122"/>
        <v>0.00486317177711837</v>
      </c>
      <c r="N5003" s="9" t="s">
        <v>809</v>
      </c>
    </row>
    <row r="5004" ht="25" customHeight="1" spans="1:14">
      <c r="A5004" s="9" t="s">
        <v>327</v>
      </c>
      <c r="B5004" s="9" t="s">
        <v>326</v>
      </c>
      <c r="C5004" s="10">
        <v>46156</v>
      </c>
      <c r="D5004" s="15">
        <v>1.1055</v>
      </c>
      <c r="E5004" s="15">
        <v>1.9228</v>
      </c>
      <c r="F5004" s="15">
        <v>2.4153</v>
      </c>
      <c r="G5004" s="11">
        <v>0.0003</v>
      </c>
      <c r="H5004" s="9">
        <f>MAX($F$3239:F5004)</f>
        <v>2.4264</v>
      </c>
      <c r="I5004" s="11">
        <f t="shared" si="121"/>
        <v>0.00457467853610305</v>
      </c>
      <c r="J5004" s="9">
        <f>MAX($F$4842:F5004)</f>
        <v>2.4264</v>
      </c>
      <c r="K5004" s="11">
        <f t="shared" si="120"/>
        <v>0.00457467853610305</v>
      </c>
      <c r="L5004" s="9">
        <f>MAX($F$4357:F5004)</f>
        <v>2.4264</v>
      </c>
      <c r="M5004" s="11">
        <f t="shared" si="122"/>
        <v>0.00457467853610305</v>
      </c>
      <c r="N5004" s="9" t="s">
        <v>809</v>
      </c>
    </row>
    <row r="5005" ht="25" customHeight="1" spans="1:14">
      <c r="A5005" s="9" t="s">
        <v>327</v>
      </c>
      <c r="B5005" s="9" t="s">
        <v>326</v>
      </c>
      <c r="C5005" s="10">
        <v>46157</v>
      </c>
      <c r="D5005" s="15">
        <v>1.107</v>
      </c>
      <c r="E5005" s="15">
        <v>1.9243</v>
      </c>
      <c r="F5005" s="15">
        <v>2.4186</v>
      </c>
      <c r="G5005" s="11">
        <v>0.0014</v>
      </c>
      <c r="H5005" s="9">
        <f>MAX($F$3239:F5005)</f>
        <v>2.4264</v>
      </c>
      <c r="I5005" s="11">
        <f t="shared" si="121"/>
        <v>0.00321463897131558</v>
      </c>
      <c r="J5005" s="9">
        <f>MAX($F$4842:F5005)</f>
        <v>2.4264</v>
      </c>
      <c r="K5005" s="11">
        <f t="shared" si="120"/>
        <v>0.00321463897131558</v>
      </c>
      <c r="L5005" s="9">
        <f>MAX($F$4357:F5005)</f>
        <v>2.4264</v>
      </c>
      <c r="M5005" s="11">
        <f t="shared" si="122"/>
        <v>0.00321463897131558</v>
      </c>
      <c r="N5005" s="9" t="s">
        <v>809</v>
      </c>
    </row>
    <row r="5006" ht="25" customHeight="1" spans="1:14">
      <c r="A5006" s="9" t="s">
        <v>327</v>
      </c>
      <c r="B5006" s="9" t="s">
        <v>326</v>
      </c>
      <c r="C5006" s="10">
        <v>46160</v>
      </c>
      <c r="D5006" s="15">
        <v>1.1065</v>
      </c>
      <c r="E5006" s="15">
        <v>1.9238</v>
      </c>
      <c r="F5006" s="15">
        <v>2.4175</v>
      </c>
      <c r="G5006" s="11">
        <v>-0.0005</v>
      </c>
      <c r="H5006" s="9">
        <f>MAX($F$3239:F5006)</f>
        <v>2.4264</v>
      </c>
      <c r="I5006" s="11">
        <f t="shared" si="121"/>
        <v>0.00366798549291136</v>
      </c>
      <c r="J5006" s="9">
        <f>MAX($F$4842:F5006)</f>
        <v>2.4264</v>
      </c>
      <c r="K5006" s="11">
        <f t="shared" si="120"/>
        <v>0.00366798549291136</v>
      </c>
      <c r="L5006" s="9">
        <f>MAX($F$4357:F5006)</f>
        <v>2.4264</v>
      </c>
      <c r="M5006" s="11">
        <f t="shared" si="122"/>
        <v>0.00366798549291136</v>
      </c>
      <c r="N5006" s="9" t="s">
        <v>809</v>
      </c>
    </row>
    <row r="5007" ht="25" customHeight="1" spans="1:14">
      <c r="A5007" s="9" t="s">
        <v>327</v>
      </c>
      <c r="B5007" s="9" t="s">
        <v>326</v>
      </c>
      <c r="C5007" s="10">
        <v>46161</v>
      </c>
      <c r="D5007" s="15">
        <v>1.1072</v>
      </c>
      <c r="E5007" s="15">
        <v>1.9245</v>
      </c>
      <c r="F5007" s="15">
        <v>2.419</v>
      </c>
      <c r="G5007" s="11">
        <v>0.0006</v>
      </c>
      <c r="H5007" s="9">
        <f>MAX($F$3239:F5007)</f>
        <v>2.4264</v>
      </c>
      <c r="I5007" s="11">
        <f t="shared" si="121"/>
        <v>0.00304978569073533</v>
      </c>
      <c r="J5007" s="9">
        <f>MAX($F$4842:F5007)</f>
        <v>2.4264</v>
      </c>
      <c r="K5007" s="11">
        <f t="shared" si="120"/>
        <v>0.00304978569073533</v>
      </c>
      <c r="L5007" s="9">
        <f>MAX($F$4357:F5007)</f>
        <v>2.4264</v>
      </c>
      <c r="M5007" s="11">
        <f t="shared" si="122"/>
        <v>0.00304978569073533</v>
      </c>
      <c r="N5007" s="9" t="s">
        <v>809</v>
      </c>
    </row>
    <row r="5008" ht="25" customHeight="1" spans="1:14">
      <c r="A5008" s="9" t="s">
        <v>327</v>
      </c>
      <c r="B5008" s="9" t="s">
        <v>326</v>
      </c>
      <c r="C5008" s="10">
        <v>46162</v>
      </c>
      <c r="D5008" s="15">
        <v>1.1073</v>
      </c>
      <c r="E5008" s="15">
        <v>1.9246</v>
      </c>
      <c r="F5008" s="15">
        <v>2.4192</v>
      </c>
      <c r="G5008" s="11">
        <v>0.0001</v>
      </c>
      <c r="H5008" s="9">
        <f>MAX($F$3239:F5008)</f>
        <v>2.4264</v>
      </c>
      <c r="I5008" s="11">
        <f t="shared" si="121"/>
        <v>0.0029673590504451</v>
      </c>
      <c r="J5008" s="9">
        <f>MAX($F$4842:F5008)</f>
        <v>2.4264</v>
      </c>
      <c r="K5008" s="11">
        <f t="shared" si="120"/>
        <v>0.0029673590504451</v>
      </c>
      <c r="L5008" s="9">
        <f>MAX($F$4357:F5008)</f>
        <v>2.4264</v>
      </c>
      <c r="M5008" s="11">
        <f t="shared" si="122"/>
        <v>0.0029673590504451</v>
      </c>
      <c r="N5008" s="9" t="s">
        <v>809</v>
      </c>
    </row>
    <row r="5009" ht="25" customHeight="1" spans="1:14">
      <c r="A5009" s="9" t="s">
        <v>327</v>
      </c>
      <c r="B5009" s="9" t="s">
        <v>326</v>
      </c>
      <c r="C5009" s="10">
        <v>46163</v>
      </c>
      <c r="D5009" s="15">
        <v>1.108</v>
      </c>
      <c r="E5009" s="15">
        <v>1.9253</v>
      </c>
      <c r="F5009" s="15">
        <v>2.4208</v>
      </c>
      <c r="G5009" s="11">
        <v>0.0006</v>
      </c>
      <c r="H5009" s="9">
        <f>MAX($F$3239:F5009)</f>
        <v>2.4264</v>
      </c>
      <c r="I5009" s="11">
        <f t="shared" si="121"/>
        <v>0.00230794592812411</v>
      </c>
      <c r="J5009" s="9">
        <f>MAX($F$4842:F5009)</f>
        <v>2.4264</v>
      </c>
      <c r="K5009" s="11">
        <f t="shared" si="120"/>
        <v>0.00230794592812411</v>
      </c>
      <c r="L5009" s="9">
        <f>MAX($F$4357:F5009)</f>
        <v>2.4264</v>
      </c>
      <c r="M5009" s="11">
        <f t="shared" si="122"/>
        <v>0.00230794592812411</v>
      </c>
      <c r="N5009" s="9" t="s">
        <v>809</v>
      </c>
    </row>
    <row r="5010" ht="25" customHeight="1" spans="1:14">
      <c r="A5010" s="9" t="s">
        <v>327</v>
      </c>
      <c r="B5010" s="9" t="s">
        <v>326</v>
      </c>
      <c r="C5010" s="10">
        <v>46164</v>
      </c>
      <c r="D5010" s="15">
        <v>1.1079</v>
      </c>
      <c r="E5010" s="15">
        <v>1.9252</v>
      </c>
      <c r="F5010" s="15">
        <v>2.4205</v>
      </c>
      <c r="G5010" s="11">
        <v>-0.0001</v>
      </c>
      <c r="H5010" s="9">
        <f>MAX($F$3239:F5010)</f>
        <v>2.4264</v>
      </c>
      <c r="I5010" s="11">
        <f t="shared" si="121"/>
        <v>0.00243158588855918</v>
      </c>
      <c r="J5010" s="9">
        <f>MAX($F$4842:F5010)</f>
        <v>2.4264</v>
      </c>
      <c r="K5010" s="11">
        <f t="shared" si="120"/>
        <v>0.00243158588855918</v>
      </c>
      <c r="L5010" s="9">
        <f>MAX($F$4357:F5010)</f>
        <v>2.4264</v>
      </c>
      <c r="M5010" s="11">
        <f t="shared" si="122"/>
        <v>0.00243158588855918</v>
      </c>
      <c r="N5010" s="9" t="s">
        <v>809</v>
      </c>
    </row>
    <row r="5011" ht="25" customHeight="1" spans="1:14">
      <c r="A5011" s="9" t="s">
        <v>327</v>
      </c>
      <c r="B5011" s="9" t="s">
        <v>326</v>
      </c>
      <c r="C5011" s="10">
        <v>46167</v>
      </c>
      <c r="D5011" s="15">
        <v>1.108</v>
      </c>
      <c r="E5011" s="15">
        <v>1.9253</v>
      </c>
      <c r="F5011" s="15">
        <v>2.4208</v>
      </c>
      <c r="G5011" s="11">
        <v>0.0001</v>
      </c>
      <c r="H5011" s="9">
        <f>MAX($F$3239:F5011)</f>
        <v>2.4264</v>
      </c>
      <c r="I5011" s="11">
        <f t="shared" si="121"/>
        <v>0.00230794592812411</v>
      </c>
      <c r="J5011" s="9">
        <f>MAX($F$4842:F5011)</f>
        <v>2.4264</v>
      </c>
      <c r="K5011" s="11">
        <f t="shared" si="120"/>
        <v>0.00230794592812411</v>
      </c>
      <c r="L5011" s="9">
        <f>MAX($F$4357:F5011)</f>
        <v>2.4264</v>
      </c>
      <c r="M5011" s="11">
        <f t="shared" si="122"/>
        <v>0.00230794592812411</v>
      </c>
      <c r="N5011" s="9" t="s">
        <v>809</v>
      </c>
    </row>
    <row r="5012" ht="25" customHeight="1" spans="1:14">
      <c r="A5012" s="9" t="s">
        <v>327</v>
      </c>
      <c r="B5012" s="9" t="s">
        <v>326</v>
      </c>
      <c r="C5012" s="10">
        <v>46168</v>
      </c>
      <c r="D5012" s="15">
        <v>1.1082</v>
      </c>
      <c r="E5012" s="15">
        <v>1.9255</v>
      </c>
      <c r="F5012" s="15">
        <v>2.4212</v>
      </c>
      <c r="G5012" s="11">
        <v>0.0002</v>
      </c>
      <c r="H5012" s="9">
        <f>MAX($F$3239:F5012)</f>
        <v>2.4264</v>
      </c>
      <c r="I5012" s="11">
        <f t="shared" si="121"/>
        <v>0.00214309264754386</v>
      </c>
      <c r="J5012" s="9">
        <f>MAX($F$4842:F5012)</f>
        <v>2.4264</v>
      </c>
      <c r="K5012" s="11">
        <f t="shared" si="120"/>
        <v>0.00214309264754386</v>
      </c>
      <c r="L5012" s="9">
        <f>MAX($F$4357:F5012)</f>
        <v>2.4264</v>
      </c>
      <c r="M5012" s="11">
        <f t="shared" si="122"/>
        <v>0.00214309264754386</v>
      </c>
      <c r="N5012" s="9" t="s">
        <v>809</v>
      </c>
    </row>
    <row r="5013" ht="25" customHeight="1" spans="1:14">
      <c r="A5013" s="9" t="s">
        <v>327</v>
      </c>
      <c r="B5013" s="9" t="s">
        <v>326</v>
      </c>
      <c r="C5013" s="10">
        <v>46169</v>
      </c>
      <c r="D5013" s="15">
        <v>1.1091</v>
      </c>
      <c r="E5013" s="15">
        <v>1.9264</v>
      </c>
      <c r="F5013" s="15">
        <v>2.4232</v>
      </c>
      <c r="G5013" s="11">
        <v>0.0008</v>
      </c>
      <c r="H5013" s="9">
        <f>MAX($F$3239:F5013)</f>
        <v>2.4264</v>
      </c>
      <c r="I5013" s="11">
        <f t="shared" si="121"/>
        <v>0.0013188262446423</v>
      </c>
      <c r="J5013" s="9">
        <f>MAX($F$4842:F5013)</f>
        <v>2.4264</v>
      </c>
      <c r="K5013" s="11">
        <f t="shared" si="120"/>
        <v>0.0013188262446423</v>
      </c>
      <c r="L5013" s="9">
        <f>MAX($F$4357:F5013)</f>
        <v>2.4264</v>
      </c>
      <c r="M5013" s="11">
        <f t="shared" si="122"/>
        <v>0.0013188262446423</v>
      </c>
      <c r="N5013" s="9" t="s">
        <v>809</v>
      </c>
    </row>
    <row r="5014" ht="25" customHeight="1" spans="1:14">
      <c r="A5014" s="9" t="s">
        <v>327</v>
      </c>
      <c r="B5014" s="9" t="s">
        <v>326</v>
      </c>
      <c r="C5014" s="10">
        <v>46170</v>
      </c>
      <c r="D5014" s="15">
        <v>1.109</v>
      </c>
      <c r="E5014" s="15">
        <v>1.9263</v>
      </c>
      <c r="F5014" s="15">
        <v>2.4229</v>
      </c>
      <c r="G5014" s="11">
        <v>-0.0001</v>
      </c>
      <c r="H5014" s="9">
        <f>MAX($F$3239:F5014)</f>
        <v>2.4264</v>
      </c>
      <c r="I5014" s="11">
        <f t="shared" si="121"/>
        <v>0.0014424662050776</v>
      </c>
      <c r="J5014" s="9">
        <f>MAX($F$4842:F5014)</f>
        <v>2.4264</v>
      </c>
      <c r="K5014" s="11">
        <f t="shared" si="120"/>
        <v>0.0014424662050776</v>
      </c>
      <c r="L5014" s="9">
        <f>MAX($F$4357:F5014)</f>
        <v>2.4264</v>
      </c>
      <c r="M5014" s="11">
        <f t="shared" si="122"/>
        <v>0.0014424662050776</v>
      </c>
      <c r="N5014" s="9" t="s">
        <v>809</v>
      </c>
    </row>
    <row r="5015" ht="25" customHeight="1" spans="1:14">
      <c r="A5015" s="9" t="s">
        <v>327</v>
      </c>
      <c r="B5015" s="9" t="s">
        <v>326</v>
      </c>
      <c r="C5015" s="10">
        <v>46171</v>
      </c>
      <c r="D5015" s="15">
        <v>1.1095</v>
      </c>
      <c r="E5015" s="15">
        <v>1.9268</v>
      </c>
      <c r="F5015" s="15">
        <v>2.424</v>
      </c>
      <c r="G5015" s="11">
        <v>0.0005</v>
      </c>
      <c r="H5015" s="9">
        <f>MAX($F$3239:F5015)</f>
        <v>2.4264</v>
      </c>
      <c r="I5015" s="11">
        <f t="shared" si="121"/>
        <v>0.000989119683481809</v>
      </c>
      <c r="J5015" s="9">
        <f>MAX($F$4842:F5015)</f>
        <v>2.4264</v>
      </c>
      <c r="K5015" s="11">
        <f t="shared" si="120"/>
        <v>0.000989119683481809</v>
      </c>
      <c r="L5015" s="9">
        <f>MAX($F$4357:F5015)</f>
        <v>2.4264</v>
      </c>
      <c r="M5015" s="11">
        <f t="shared" si="122"/>
        <v>0.000989119683481809</v>
      </c>
      <c r="N5015" s="9" t="s">
        <v>809</v>
      </c>
    </row>
    <row r="5016" ht="25" customHeight="1" spans="1:14">
      <c r="A5016" s="9" t="s">
        <v>327</v>
      </c>
      <c r="B5016" s="9" t="s">
        <v>326</v>
      </c>
      <c r="C5016" s="10">
        <v>46174</v>
      </c>
      <c r="D5016" s="15">
        <v>1.1093</v>
      </c>
      <c r="E5016" s="15">
        <v>1.9266</v>
      </c>
      <c r="F5016" s="15">
        <v>2.4236</v>
      </c>
      <c r="G5016" s="11">
        <v>-0.0002</v>
      </c>
      <c r="H5016" s="9">
        <f>MAX($F$3239:F5016)</f>
        <v>2.4264</v>
      </c>
      <c r="I5016" s="11">
        <f t="shared" si="121"/>
        <v>0.00115397296406206</v>
      </c>
      <c r="J5016" s="9">
        <f>MAX($F$4842:F5016)</f>
        <v>2.4264</v>
      </c>
      <c r="K5016" s="11">
        <f t="shared" si="120"/>
        <v>0.00115397296406206</v>
      </c>
      <c r="L5016" s="9">
        <f>MAX($F$4357:F5016)</f>
        <v>2.4264</v>
      </c>
      <c r="M5016" s="11">
        <f t="shared" si="122"/>
        <v>0.00115397296406206</v>
      </c>
      <c r="N5016" s="9" t="s">
        <v>809</v>
      </c>
    </row>
    <row r="5017" ht="25" customHeight="1" spans="1:14">
      <c r="A5017" s="9" t="s">
        <v>327</v>
      </c>
      <c r="B5017" s="9" t="s">
        <v>326</v>
      </c>
      <c r="C5017" s="10">
        <v>46175</v>
      </c>
      <c r="D5017" s="15">
        <v>1.1095</v>
      </c>
      <c r="E5017" s="15">
        <v>1.9268</v>
      </c>
      <c r="F5017" s="15">
        <v>2.424</v>
      </c>
      <c r="G5017" s="11">
        <v>0.0002</v>
      </c>
      <c r="H5017" s="9">
        <f>MAX($F$3239:F5017)</f>
        <v>2.4264</v>
      </c>
      <c r="I5017" s="11">
        <f t="shared" si="121"/>
        <v>0.000989119683481809</v>
      </c>
      <c r="J5017" s="9">
        <f>MAX($F$4842:F5017)</f>
        <v>2.4264</v>
      </c>
      <c r="K5017" s="11">
        <f t="shared" si="120"/>
        <v>0.000989119683481809</v>
      </c>
      <c r="L5017" s="9">
        <f>MAX($F$4357:F5017)</f>
        <v>2.4264</v>
      </c>
      <c r="M5017" s="11">
        <f t="shared" si="122"/>
        <v>0.000989119683481809</v>
      </c>
      <c r="N5017" s="9" t="s">
        <v>809</v>
      </c>
    </row>
    <row r="5018" ht="25" customHeight="1" spans="1:14">
      <c r="A5018" s="9" t="s">
        <v>327</v>
      </c>
      <c r="B5018" s="9" t="s">
        <v>326</v>
      </c>
      <c r="C5018" s="10">
        <v>46176</v>
      </c>
      <c r="D5018" s="15">
        <v>1.11</v>
      </c>
      <c r="E5018" s="15">
        <v>1.9273</v>
      </c>
      <c r="F5018" s="15">
        <v>2.4251</v>
      </c>
      <c r="G5018" s="11">
        <v>0.0005</v>
      </c>
      <c r="H5018" s="9">
        <f>MAX($F$3239:F5018)</f>
        <v>2.4264</v>
      </c>
      <c r="I5018" s="11">
        <f t="shared" si="121"/>
        <v>0.000535773161885911</v>
      </c>
      <c r="J5018" s="9">
        <f>MAX($F$4842:F5018)</f>
        <v>2.4264</v>
      </c>
      <c r="K5018" s="11">
        <f t="shared" si="120"/>
        <v>0.000535773161885911</v>
      </c>
      <c r="L5018" s="9">
        <f>MAX($F$4357:F5018)</f>
        <v>2.4264</v>
      </c>
      <c r="M5018" s="11">
        <f t="shared" si="122"/>
        <v>0.000535773161885911</v>
      </c>
      <c r="N5018" s="9" t="s">
        <v>809</v>
      </c>
    </row>
    <row r="5019" ht="25" customHeight="1" spans="1:14">
      <c r="A5019" s="9" t="s">
        <v>327</v>
      </c>
      <c r="B5019" s="9" t="s">
        <v>326</v>
      </c>
      <c r="C5019" s="10">
        <v>46177</v>
      </c>
      <c r="D5019" s="15">
        <v>1.1099</v>
      </c>
      <c r="E5019" s="15">
        <v>1.9272</v>
      </c>
      <c r="F5019" s="15">
        <v>2.4249</v>
      </c>
      <c r="G5019" s="11">
        <v>-0.0001</v>
      </c>
      <c r="H5019" s="9">
        <f>MAX($F$3239:F5019)</f>
        <v>2.4264</v>
      </c>
      <c r="I5019" s="11">
        <f t="shared" si="121"/>
        <v>0.000618199802176034</v>
      </c>
      <c r="J5019" s="9">
        <f>MAX($F$4842:F5019)</f>
        <v>2.4264</v>
      </c>
      <c r="K5019" s="11">
        <f t="shared" si="120"/>
        <v>0.000618199802176034</v>
      </c>
      <c r="L5019" s="9">
        <f>MAX($F$4357:F5019)</f>
        <v>2.4264</v>
      </c>
      <c r="M5019" s="11">
        <f t="shared" si="122"/>
        <v>0.000618199802176034</v>
      </c>
      <c r="N5019" s="9" t="s">
        <v>809</v>
      </c>
    </row>
    <row r="5020" ht="25" customHeight="1" spans="1:14">
      <c r="A5020" s="9" t="s">
        <v>327</v>
      </c>
      <c r="B5020" s="9" t="s">
        <v>326</v>
      </c>
      <c r="C5020" s="10">
        <v>46178</v>
      </c>
      <c r="D5020" s="15">
        <v>1.1103</v>
      </c>
      <c r="E5020" s="15">
        <v>1.9276</v>
      </c>
      <c r="F5020" s="15">
        <v>2.4258</v>
      </c>
      <c r="G5020" s="11">
        <v>0.0004</v>
      </c>
      <c r="H5020" s="9">
        <f>MAX($F$3239:F5020)</f>
        <v>2.4264</v>
      </c>
      <c r="I5020" s="11">
        <f t="shared" si="121"/>
        <v>0.000247279920870369</v>
      </c>
      <c r="J5020" s="9">
        <f>MAX($F$4842:F5020)</f>
        <v>2.4264</v>
      </c>
      <c r="K5020" s="11">
        <f t="shared" si="120"/>
        <v>0.000247279920870369</v>
      </c>
      <c r="L5020" s="9">
        <f>MAX($F$4357:F5020)</f>
        <v>2.4264</v>
      </c>
      <c r="M5020" s="11">
        <f t="shared" si="122"/>
        <v>0.000247279920870369</v>
      </c>
      <c r="N5020" s="9" t="s">
        <v>809</v>
      </c>
    </row>
    <row r="5021" ht="25" customHeight="1" spans="1:14">
      <c r="A5021" s="9" t="s">
        <v>327</v>
      </c>
      <c r="B5021" s="9" t="s">
        <v>326</v>
      </c>
      <c r="C5021" s="10">
        <v>46181</v>
      </c>
      <c r="D5021" s="15">
        <v>1.1107</v>
      </c>
      <c r="E5021" s="15">
        <v>1.928</v>
      </c>
      <c r="F5021" s="15">
        <v>2.4267</v>
      </c>
      <c r="G5021" s="11">
        <v>0.0004</v>
      </c>
      <c r="H5021" s="9">
        <f>MAX($F$3239:F5021)</f>
        <v>2.4267</v>
      </c>
      <c r="I5021" s="11">
        <f t="shared" si="121"/>
        <v>0</v>
      </c>
      <c r="J5021" s="9">
        <f>MAX($F$4842:F5021)</f>
        <v>2.4267</v>
      </c>
      <c r="K5021" s="11">
        <f t="shared" si="120"/>
        <v>0</v>
      </c>
      <c r="L5021" s="9">
        <f>MAX($F$4357:F5021)</f>
        <v>2.4267</v>
      </c>
      <c r="M5021" s="11">
        <f t="shared" si="122"/>
        <v>0</v>
      </c>
      <c r="N5021" s="9" t="s">
        <v>809</v>
      </c>
    </row>
    <row r="5022" ht="25" customHeight="1" spans="1:14">
      <c r="A5022" s="9" t="s">
        <v>327</v>
      </c>
      <c r="B5022" s="9" t="s">
        <v>326</v>
      </c>
      <c r="C5022" s="10">
        <v>46182</v>
      </c>
      <c r="D5022" s="15">
        <v>1.1108</v>
      </c>
      <c r="E5022" s="15">
        <v>1.9281</v>
      </c>
      <c r="F5022" s="15">
        <v>2.4269</v>
      </c>
      <c r="G5022" s="11">
        <v>0.0001</v>
      </c>
      <c r="H5022" s="9">
        <f>MAX($F$3239:F5022)</f>
        <v>2.4269</v>
      </c>
      <c r="I5022" s="11">
        <f t="shared" si="121"/>
        <v>0</v>
      </c>
      <c r="J5022" s="9">
        <f>MAX($F$4842:F5022)</f>
        <v>2.4269</v>
      </c>
      <c r="K5022" s="11">
        <f t="shared" si="120"/>
        <v>0</v>
      </c>
      <c r="L5022" s="9">
        <f>MAX($F$4357:F5022)</f>
        <v>2.4269</v>
      </c>
      <c r="M5022" s="11">
        <f t="shared" si="122"/>
        <v>0</v>
      </c>
      <c r="N5022" s="9" t="s">
        <v>809</v>
      </c>
    </row>
    <row r="5023" ht="25" customHeight="1" spans="1:14">
      <c r="A5023" s="9" t="s">
        <v>327</v>
      </c>
      <c r="B5023" s="9" t="s">
        <v>326</v>
      </c>
      <c r="C5023" s="10">
        <v>46183</v>
      </c>
      <c r="D5023" s="15">
        <v>1.1106</v>
      </c>
      <c r="E5023" s="15">
        <v>1.9279</v>
      </c>
      <c r="F5023" s="15">
        <v>2.4264</v>
      </c>
      <c r="G5023" s="11">
        <v>-0.0002</v>
      </c>
      <c r="H5023" s="9">
        <f>MAX($F$3239:F5023)</f>
        <v>2.4269</v>
      </c>
      <c r="I5023" s="11">
        <f t="shared" si="121"/>
        <v>0.000206024146029771</v>
      </c>
      <c r="J5023" s="9">
        <f>MAX($F$4842:F5023)</f>
        <v>2.4269</v>
      </c>
      <c r="K5023" s="11">
        <f t="shared" si="120"/>
        <v>0.000206024146029771</v>
      </c>
      <c r="L5023" s="9">
        <f>MAX($F$4357:F5023)</f>
        <v>2.4269</v>
      </c>
      <c r="M5023" s="11">
        <f t="shared" si="122"/>
        <v>0.000206024146029771</v>
      </c>
      <c r="N5023" s="9" t="s">
        <v>809</v>
      </c>
    </row>
    <row r="5024" ht="25" customHeight="1" spans="1:14">
      <c r="A5024" s="9" t="s">
        <v>327</v>
      </c>
      <c r="B5024" s="9" t="s">
        <v>326</v>
      </c>
      <c r="C5024" s="10">
        <v>46184</v>
      </c>
      <c r="D5024" s="15">
        <v>1.1112</v>
      </c>
      <c r="E5024" s="15">
        <v>1.9285</v>
      </c>
      <c r="F5024" s="15">
        <v>2.4277</v>
      </c>
      <c r="G5024" s="11">
        <v>0.0005</v>
      </c>
      <c r="H5024" s="9">
        <f>MAX($F$3239:F5024)</f>
        <v>2.4277</v>
      </c>
      <c r="I5024" s="11">
        <f t="shared" si="121"/>
        <v>0</v>
      </c>
      <c r="J5024" s="9">
        <f>MAX($F$4842:F5024)</f>
        <v>2.4277</v>
      </c>
      <c r="K5024" s="11">
        <f t="shared" si="120"/>
        <v>0</v>
      </c>
      <c r="L5024" s="9">
        <f>MAX($F$4357:F5024)</f>
        <v>2.4277</v>
      </c>
      <c r="M5024" s="11">
        <f t="shared" si="122"/>
        <v>0</v>
      </c>
      <c r="N5024" s="9" t="s">
        <v>809</v>
      </c>
    </row>
    <row r="5025" ht="25" customHeight="1" spans="1:14">
      <c r="A5025" s="9" t="s">
        <v>327</v>
      </c>
      <c r="B5025" s="9" t="s">
        <v>326</v>
      </c>
      <c r="C5025" s="10">
        <v>46185</v>
      </c>
      <c r="D5025" s="15">
        <v>1.1118</v>
      </c>
      <c r="E5025" s="15">
        <v>1.9291</v>
      </c>
      <c r="F5025" s="15">
        <v>2.4291</v>
      </c>
      <c r="G5025" s="11">
        <v>0.0005</v>
      </c>
      <c r="H5025" s="9">
        <f>MAX($F$3239:F5025)</f>
        <v>2.4291</v>
      </c>
      <c r="I5025" s="11">
        <f t="shared" si="121"/>
        <v>0</v>
      </c>
      <c r="J5025" s="9">
        <f>MAX($F$4842:F5025)</f>
        <v>2.4291</v>
      </c>
      <c r="K5025" s="11">
        <f t="shared" si="120"/>
        <v>0</v>
      </c>
      <c r="L5025" s="9">
        <f>MAX($F$4357:F5025)</f>
        <v>2.4291</v>
      </c>
      <c r="M5025" s="11">
        <f t="shared" si="122"/>
        <v>0</v>
      </c>
      <c r="N5025" s="9" t="s">
        <v>809</v>
      </c>
    </row>
    <row r="5026" ht="25" customHeight="1" spans="1:14">
      <c r="A5026" s="9" t="s">
        <v>327</v>
      </c>
      <c r="B5026" s="9" t="s">
        <v>326</v>
      </c>
      <c r="C5026" s="10">
        <v>46188</v>
      </c>
      <c r="D5026" s="15">
        <v>1.1123</v>
      </c>
      <c r="E5026" s="15">
        <v>1.9296</v>
      </c>
      <c r="F5026" s="15">
        <v>2.4301</v>
      </c>
      <c r="G5026" s="11">
        <v>0.0004</v>
      </c>
      <c r="H5026" s="9">
        <f>MAX($F$3239:F5026)</f>
        <v>2.4301</v>
      </c>
      <c r="I5026" s="11">
        <f t="shared" si="121"/>
        <v>0</v>
      </c>
      <c r="J5026" s="9">
        <f>MAX($F$4842:F5026)</f>
        <v>2.4301</v>
      </c>
      <c r="K5026" s="11">
        <f t="shared" si="120"/>
        <v>0</v>
      </c>
      <c r="L5026" s="9">
        <f>MAX($F$4357:F5026)</f>
        <v>2.4301</v>
      </c>
      <c r="M5026" s="11">
        <f t="shared" si="122"/>
        <v>0</v>
      </c>
      <c r="N5026" s="9" t="s">
        <v>809</v>
      </c>
    </row>
    <row r="5027" ht="25" customHeight="1" spans="1:14">
      <c r="A5027" s="9" t="s">
        <v>327</v>
      </c>
      <c r="B5027" s="9" t="s">
        <v>326</v>
      </c>
      <c r="C5027" s="10">
        <v>46189</v>
      </c>
      <c r="D5027" s="15">
        <v>1.1135</v>
      </c>
      <c r="E5027" s="15">
        <v>1.9308</v>
      </c>
      <c r="F5027" s="15">
        <v>2.4328</v>
      </c>
      <c r="G5027" s="11">
        <v>0.0011</v>
      </c>
      <c r="H5027" s="9">
        <f>MAX($F$3239:F5027)</f>
        <v>2.4328</v>
      </c>
      <c r="I5027" s="11">
        <f t="shared" si="121"/>
        <v>0</v>
      </c>
      <c r="J5027" s="9">
        <f>MAX($F$4842:F5027)</f>
        <v>2.4328</v>
      </c>
      <c r="K5027" s="11">
        <f t="shared" si="120"/>
        <v>0</v>
      </c>
      <c r="L5027" s="9">
        <f>MAX($F$4357:F5027)</f>
        <v>2.4328</v>
      </c>
      <c r="M5027" s="11">
        <f t="shared" si="122"/>
        <v>0</v>
      </c>
      <c r="N5027" s="9" t="s">
        <v>809</v>
      </c>
    </row>
    <row r="5028" ht="25" customHeight="1" spans="1:14">
      <c r="A5028" s="9" t="s">
        <v>327</v>
      </c>
      <c r="B5028" s="9" t="s">
        <v>326</v>
      </c>
      <c r="C5028" s="10">
        <v>46190</v>
      </c>
      <c r="D5028" s="15">
        <v>1.1134</v>
      </c>
      <c r="E5028" s="15">
        <v>1.9307</v>
      </c>
      <c r="F5028" s="15">
        <v>2.4326</v>
      </c>
      <c r="G5028" s="11">
        <v>-0.0001</v>
      </c>
      <c r="H5028" s="9">
        <f>MAX($F$3239:F5028)</f>
        <v>2.4328</v>
      </c>
      <c r="I5028" s="11">
        <f t="shared" si="121"/>
        <v>8.2209799408095e-5</v>
      </c>
      <c r="J5028" s="9">
        <f>MAX($F$4842:F5028)</f>
        <v>2.4328</v>
      </c>
      <c r="K5028" s="11">
        <f t="shared" si="120"/>
        <v>8.2209799408095e-5</v>
      </c>
      <c r="L5028" s="9">
        <f>MAX($F$4357:F5028)</f>
        <v>2.4328</v>
      </c>
      <c r="M5028" s="11">
        <f t="shared" si="122"/>
        <v>8.2209799408095e-5</v>
      </c>
      <c r="N5028" s="9" t="s">
        <v>809</v>
      </c>
    </row>
    <row r="5029" ht="25" customHeight="1" spans="1:14">
      <c r="A5029" s="9" t="s">
        <v>327</v>
      </c>
      <c r="B5029" s="9" t="s">
        <v>326</v>
      </c>
      <c r="C5029" s="10">
        <v>46191</v>
      </c>
      <c r="D5029" s="15">
        <v>1.1132</v>
      </c>
      <c r="E5029" s="15">
        <v>1.9305</v>
      </c>
      <c r="F5029" s="15">
        <v>2.4321</v>
      </c>
      <c r="G5029" s="11">
        <v>-0.0002</v>
      </c>
      <c r="H5029" s="9">
        <f>MAX($F$3239:F5029)</f>
        <v>2.4328</v>
      </c>
      <c r="I5029" s="11">
        <f t="shared" si="121"/>
        <v>0.000287734297928166</v>
      </c>
      <c r="J5029" s="9">
        <f>MAX($F$4842:F5029)</f>
        <v>2.4328</v>
      </c>
      <c r="K5029" s="11">
        <f t="shared" si="120"/>
        <v>0.000287734297928166</v>
      </c>
      <c r="L5029" s="9">
        <f>MAX($F$4357:F5029)</f>
        <v>2.4328</v>
      </c>
      <c r="M5029" s="11">
        <f t="shared" si="122"/>
        <v>0.000287734297928166</v>
      </c>
      <c r="N5029" s="9" t="s">
        <v>809</v>
      </c>
    </row>
    <row r="5030" ht="25" customHeight="1" spans="1:14">
      <c r="A5030" s="9" t="s">
        <v>327</v>
      </c>
      <c r="B5030" s="9" t="s">
        <v>326</v>
      </c>
      <c r="C5030" s="10">
        <v>46195</v>
      </c>
      <c r="D5030" s="15">
        <v>1.1124</v>
      </c>
      <c r="E5030" s="15">
        <v>1.9297</v>
      </c>
      <c r="F5030" s="15">
        <v>2.4304</v>
      </c>
      <c r="G5030" s="11">
        <v>-0.0007</v>
      </c>
      <c r="H5030" s="9">
        <f>MAX($F$3239:F5030)</f>
        <v>2.4328</v>
      </c>
      <c r="I5030" s="11">
        <f t="shared" si="121"/>
        <v>0.000986517592896918</v>
      </c>
      <c r="J5030" s="9">
        <f>MAX($F$4842:F5030)</f>
        <v>2.4328</v>
      </c>
      <c r="K5030" s="11">
        <f t="shared" si="120"/>
        <v>0.000986517592896918</v>
      </c>
      <c r="L5030" s="9">
        <f>MAX($F$4357:F5030)</f>
        <v>2.4328</v>
      </c>
      <c r="M5030" s="11">
        <f t="shared" si="122"/>
        <v>0.000986517592896918</v>
      </c>
      <c r="N5030" s="9" t="s">
        <v>809</v>
      </c>
    </row>
    <row r="5031" ht="25" customHeight="1" spans="1:14">
      <c r="A5031" s="9" t="s">
        <v>327</v>
      </c>
      <c r="B5031" s="9" t="s">
        <v>326</v>
      </c>
      <c r="C5031" s="10">
        <v>46196</v>
      </c>
      <c r="D5031" s="15">
        <v>1.1127</v>
      </c>
      <c r="E5031" s="15">
        <v>1.93</v>
      </c>
      <c r="F5031" s="15">
        <v>2.431</v>
      </c>
      <c r="G5031" s="11">
        <v>0.0003</v>
      </c>
      <c r="H5031" s="9">
        <f>MAX($F$3239:F5031)</f>
        <v>2.4328</v>
      </c>
      <c r="I5031" s="11">
        <f t="shared" si="121"/>
        <v>0.000739888194672744</v>
      </c>
      <c r="J5031" s="9">
        <f>MAX($F$4842:F5031)</f>
        <v>2.4328</v>
      </c>
      <c r="K5031" s="11">
        <f t="shared" si="120"/>
        <v>0.000739888194672744</v>
      </c>
      <c r="L5031" s="9">
        <f>MAX($F$4357:F5031)</f>
        <v>2.4328</v>
      </c>
      <c r="M5031" s="11">
        <f t="shared" si="122"/>
        <v>0.000739888194672744</v>
      </c>
      <c r="N5031" s="9" t="s">
        <v>809</v>
      </c>
    </row>
    <row r="5032" ht="25" customHeight="1" spans="1:14">
      <c r="A5032" s="9" t="s">
        <v>327</v>
      </c>
      <c r="B5032" s="9" t="s">
        <v>326</v>
      </c>
      <c r="C5032" s="10">
        <v>46197</v>
      </c>
      <c r="D5032" s="15">
        <v>1.1133</v>
      </c>
      <c r="E5032" s="15">
        <v>1.9306</v>
      </c>
      <c r="F5032" s="15">
        <v>2.4323</v>
      </c>
      <c r="G5032" s="11">
        <v>0.0005</v>
      </c>
      <c r="H5032" s="9">
        <f>MAX($F$3239:F5032)</f>
        <v>2.4328</v>
      </c>
      <c r="I5032" s="11">
        <f t="shared" si="121"/>
        <v>0.000205524498520071</v>
      </c>
      <c r="J5032" s="9">
        <f>MAX($F$4842:F5032)</f>
        <v>2.4328</v>
      </c>
      <c r="K5032" s="11">
        <f t="shared" si="120"/>
        <v>0.000205524498520071</v>
      </c>
      <c r="L5032" s="9">
        <f>MAX($F$4357:F5032)</f>
        <v>2.4328</v>
      </c>
      <c r="M5032" s="11">
        <f t="shared" si="122"/>
        <v>0.000205524498520071</v>
      </c>
      <c r="N5032" s="9" t="s">
        <v>809</v>
      </c>
    </row>
    <row r="5033" ht="25" customHeight="1" spans="1:14">
      <c r="A5033" s="9" t="s">
        <v>327</v>
      </c>
      <c r="B5033" s="9" t="s">
        <v>326</v>
      </c>
      <c r="C5033" s="10">
        <v>46198</v>
      </c>
      <c r="D5033" s="15">
        <v>1.114</v>
      </c>
      <c r="E5033" s="15">
        <v>1.9313</v>
      </c>
      <c r="F5033" s="15">
        <v>2.4339</v>
      </c>
      <c r="G5033" s="11">
        <v>0.0006</v>
      </c>
      <c r="H5033" s="9">
        <f>MAX($F$3239:F5033)</f>
        <v>2.4339</v>
      </c>
      <c r="I5033" s="11">
        <f t="shared" si="121"/>
        <v>0</v>
      </c>
      <c r="J5033" s="9">
        <f>MAX($F$4842:F5033)</f>
        <v>2.4339</v>
      </c>
      <c r="K5033" s="11">
        <f t="shared" si="120"/>
        <v>0</v>
      </c>
      <c r="L5033" s="9">
        <f>MAX($F$4357:F5033)</f>
        <v>2.4339</v>
      </c>
      <c r="M5033" s="11">
        <f t="shared" si="122"/>
        <v>0</v>
      </c>
      <c r="N5033" s="9" t="s">
        <v>809</v>
      </c>
    </row>
    <row r="5034" ht="25" customHeight="1" spans="1:14">
      <c r="A5034" s="9" t="s">
        <v>327</v>
      </c>
      <c r="B5034" s="9" t="s">
        <v>326</v>
      </c>
      <c r="C5034" s="10">
        <v>46199</v>
      </c>
      <c r="D5034" s="15">
        <v>1</v>
      </c>
      <c r="E5034" s="15">
        <v>1.9322</v>
      </c>
      <c r="F5034" s="15">
        <v>2.4358</v>
      </c>
      <c r="G5034" s="11">
        <v>0.0008</v>
      </c>
      <c r="H5034" s="9">
        <f>MAX($F$3239:F5034)</f>
        <v>2.4358</v>
      </c>
      <c r="I5034" s="11">
        <f t="shared" si="121"/>
        <v>0</v>
      </c>
      <c r="J5034" s="9">
        <f>MAX($F$4842:F5034)</f>
        <v>2.4358</v>
      </c>
      <c r="K5034" s="11">
        <f t="shared" ref="K5034:K5084" si="123">1-F5034/J5034</f>
        <v>0</v>
      </c>
      <c r="L5034" s="9">
        <f>MAX($F$4357:F5034)</f>
        <v>2.4358</v>
      </c>
      <c r="M5034" s="11">
        <f t="shared" si="122"/>
        <v>0</v>
      </c>
      <c r="N5034" s="9" t="s">
        <v>809</v>
      </c>
    </row>
    <row r="5035" ht="25" customHeight="1" spans="1:14">
      <c r="A5035" s="9" t="s">
        <v>327</v>
      </c>
      <c r="B5035" s="9" t="s">
        <v>326</v>
      </c>
      <c r="C5035" s="10">
        <v>46202</v>
      </c>
      <c r="D5035" s="15">
        <v>0.9996</v>
      </c>
      <c r="E5035" s="15">
        <v>1.9318</v>
      </c>
      <c r="F5035" s="15">
        <v>2.4349</v>
      </c>
      <c r="G5035" s="11">
        <v>-0.0004</v>
      </c>
      <c r="H5035" s="9">
        <f>MAX($F$3239:F5035)</f>
        <v>2.4358</v>
      </c>
      <c r="I5035" s="11">
        <f t="shared" si="121"/>
        <v>0.000369488463749179</v>
      </c>
      <c r="J5035" s="9">
        <f>MAX($F$4842:F5035)</f>
        <v>2.4358</v>
      </c>
      <c r="K5035" s="11">
        <f t="shared" si="123"/>
        <v>0.000369488463749179</v>
      </c>
      <c r="L5035" s="9">
        <f>MAX($F$4357:F5035)</f>
        <v>2.4358</v>
      </c>
      <c r="M5035" s="11">
        <f t="shared" si="122"/>
        <v>0.000369488463749179</v>
      </c>
      <c r="N5035" s="9" t="s">
        <v>809</v>
      </c>
    </row>
    <row r="5036" ht="25" customHeight="1" spans="1:14">
      <c r="A5036" s="9" t="s">
        <v>327</v>
      </c>
      <c r="B5036" s="9" t="s">
        <v>326</v>
      </c>
      <c r="C5036" s="10">
        <v>46203</v>
      </c>
      <c r="D5036" s="15">
        <v>1.0003</v>
      </c>
      <c r="E5036" s="15">
        <v>1.9325</v>
      </c>
      <c r="F5036" s="15">
        <v>2.4366</v>
      </c>
      <c r="G5036" s="11">
        <v>0.0007</v>
      </c>
      <c r="H5036" s="9">
        <f>MAX($F$3239:F5036)</f>
        <v>2.4366</v>
      </c>
      <c r="I5036" s="11">
        <f t="shared" si="121"/>
        <v>0</v>
      </c>
      <c r="J5036" s="9">
        <f>MAX($F$4842:F5036)</f>
        <v>2.4366</v>
      </c>
      <c r="K5036" s="11">
        <f t="shared" si="123"/>
        <v>0</v>
      </c>
      <c r="L5036" s="9">
        <f>MAX($F$4357:F5036)</f>
        <v>2.4366</v>
      </c>
      <c r="M5036" s="11">
        <f t="shared" si="122"/>
        <v>0</v>
      </c>
      <c r="N5036" s="9" t="s">
        <v>809</v>
      </c>
    </row>
    <row r="5037" ht="25" customHeight="1" spans="1:14">
      <c r="A5037" s="9" t="s">
        <v>327</v>
      </c>
      <c r="B5037" s="9" t="s">
        <v>326</v>
      </c>
      <c r="C5037" s="10">
        <v>46204</v>
      </c>
      <c r="D5037" s="15">
        <v>1.0001</v>
      </c>
      <c r="E5037" s="15">
        <v>1.9323</v>
      </c>
      <c r="F5037" s="15">
        <v>2.4361</v>
      </c>
      <c r="G5037" s="11">
        <v>-0.0002</v>
      </c>
      <c r="H5037" s="9">
        <f>MAX($F$3239:F5037)</f>
        <v>2.4366</v>
      </c>
      <c r="I5037" s="11">
        <f t="shared" si="121"/>
        <v>0.000205203972748813</v>
      </c>
      <c r="J5037" s="9">
        <f>MAX($F$4842:F5037)</f>
        <v>2.4366</v>
      </c>
      <c r="K5037" s="11">
        <f t="shared" si="123"/>
        <v>0.000205203972748813</v>
      </c>
      <c r="L5037" s="9">
        <f>MAX($F$4357:F5037)</f>
        <v>2.4366</v>
      </c>
      <c r="M5037" s="11">
        <f t="shared" si="122"/>
        <v>0.000205203972748813</v>
      </c>
      <c r="N5037" s="9" t="s">
        <v>809</v>
      </c>
    </row>
    <row r="5038" ht="25" customHeight="1" spans="1:14">
      <c r="A5038" s="9" t="s">
        <v>327</v>
      </c>
      <c r="B5038" s="9" t="s">
        <v>326</v>
      </c>
      <c r="C5038" s="10">
        <v>46205</v>
      </c>
      <c r="D5038" s="15">
        <v>1.0001</v>
      </c>
      <c r="E5038" s="15">
        <v>1.9323</v>
      </c>
      <c r="F5038" s="15">
        <v>2.4361</v>
      </c>
      <c r="G5038" s="11">
        <v>0</v>
      </c>
      <c r="H5038" s="9">
        <f>MAX($F$3239:F5038)</f>
        <v>2.4366</v>
      </c>
      <c r="I5038" s="11">
        <f t="shared" si="121"/>
        <v>0.000205203972748813</v>
      </c>
      <c r="J5038" s="9">
        <f>MAX($F$4842:F5038)</f>
        <v>2.4366</v>
      </c>
      <c r="K5038" s="11">
        <f t="shared" si="123"/>
        <v>0.000205203972748813</v>
      </c>
      <c r="L5038" s="9">
        <f>MAX($F$4357:F5038)</f>
        <v>2.4366</v>
      </c>
      <c r="M5038" s="11">
        <f t="shared" si="122"/>
        <v>0.000205203972748813</v>
      </c>
      <c r="N5038" s="9" t="s">
        <v>809</v>
      </c>
    </row>
    <row r="5039" ht="25" customHeight="1" spans="1:14">
      <c r="A5039" s="9" t="s">
        <v>327</v>
      </c>
      <c r="B5039" s="9" t="s">
        <v>326</v>
      </c>
      <c r="C5039" s="10">
        <v>46206</v>
      </c>
      <c r="D5039" s="15">
        <v>1.0007</v>
      </c>
      <c r="E5039" s="15">
        <v>1.9329</v>
      </c>
      <c r="F5039" s="15">
        <v>2.4375</v>
      </c>
      <c r="G5039" s="11">
        <v>0.0006</v>
      </c>
      <c r="H5039" s="9">
        <f>MAX($F$3239:F5039)</f>
        <v>2.4375</v>
      </c>
      <c r="I5039" s="11">
        <f t="shared" si="121"/>
        <v>0</v>
      </c>
      <c r="J5039" s="9">
        <f>MAX($F$4842:F5039)</f>
        <v>2.4375</v>
      </c>
      <c r="K5039" s="11">
        <f t="shared" si="123"/>
        <v>0</v>
      </c>
      <c r="L5039" s="9">
        <f>MAX($F$4357:F5039)</f>
        <v>2.4375</v>
      </c>
      <c r="M5039" s="11">
        <f t="shared" si="122"/>
        <v>0</v>
      </c>
      <c r="N5039" s="9" t="s">
        <v>809</v>
      </c>
    </row>
    <row r="5040" ht="25" customHeight="1" spans="1:14">
      <c r="A5040" s="9" t="s">
        <v>327</v>
      </c>
      <c r="B5040" s="9" t="s">
        <v>326</v>
      </c>
      <c r="C5040" s="10">
        <v>46209</v>
      </c>
      <c r="D5040" s="15">
        <v>1.0001</v>
      </c>
      <c r="E5040" s="15">
        <v>1.9323</v>
      </c>
      <c r="F5040" s="15">
        <v>2.4361</v>
      </c>
      <c r="G5040" s="11">
        <v>-0.0006</v>
      </c>
      <c r="H5040" s="9">
        <f>MAX($F$3239:F5040)</f>
        <v>2.4375</v>
      </c>
      <c r="I5040" s="11">
        <f t="shared" si="121"/>
        <v>0.000574358974358868</v>
      </c>
      <c r="J5040" s="9">
        <f>MAX($F$4842:F5040)</f>
        <v>2.4375</v>
      </c>
      <c r="K5040" s="11">
        <f t="shared" si="123"/>
        <v>0.000574358974358868</v>
      </c>
      <c r="L5040" s="9">
        <f>MAX($F$4357:F5040)</f>
        <v>2.4375</v>
      </c>
      <c r="M5040" s="11">
        <f t="shared" si="122"/>
        <v>0.000574358974358868</v>
      </c>
      <c r="N5040" s="9" t="s">
        <v>809</v>
      </c>
    </row>
    <row r="5041" ht="25" customHeight="1" spans="1:14">
      <c r="A5041" s="9" t="s">
        <v>327</v>
      </c>
      <c r="B5041" s="9" t="s">
        <v>326</v>
      </c>
      <c r="C5041" s="10">
        <v>46210</v>
      </c>
      <c r="D5041" s="15">
        <v>1.0005</v>
      </c>
      <c r="E5041" s="15">
        <v>1.9327</v>
      </c>
      <c r="F5041" s="15">
        <v>2.437</v>
      </c>
      <c r="G5041" s="11">
        <v>0.0004</v>
      </c>
      <c r="H5041" s="9">
        <f>MAX($F$3239:F5041)</f>
        <v>2.4375</v>
      </c>
      <c r="I5041" s="11">
        <f t="shared" si="121"/>
        <v>0.000205128205128302</v>
      </c>
      <c r="J5041" s="9">
        <f>MAX($F$4842:F5041)</f>
        <v>2.4375</v>
      </c>
      <c r="K5041" s="11">
        <f t="shared" si="123"/>
        <v>0.000205128205128302</v>
      </c>
      <c r="L5041" s="9">
        <f>MAX($F$4357:F5041)</f>
        <v>2.4375</v>
      </c>
      <c r="M5041" s="11">
        <f t="shared" si="122"/>
        <v>0.000205128205128302</v>
      </c>
      <c r="N5041" s="9" t="s">
        <v>809</v>
      </c>
    </row>
    <row r="5042" ht="25" customHeight="1" spans="1:14">
      <c r="A5042" s="9" t="s">
        <v>327</v>
      </c>
      <c r="B5042" s="9" t="s">
        <v>326</v>
      </c>
      <c r="C5042" s="10">
        <v>46211</v>
      </c>
      <c r="D5042" s="15">
        <v>1.0004</v>
      </c>
      <c r="E5042" s="15">
        <v>1.9326</v>
      </c>
      <c r="F5042" s="15">
        <v>2.4368</v>
      </c>
      <c r="G5042" s="11">
        <v>-0.0001</v>
      </c>
      <c r="H5042" s="9">
        <f>MAX($F$3239:F5042)</f>
        <v>2.4375</v>
      </c>
      <c r="I5042" s="11">
        <f t="shared" si="121"/>
        <v>0.000287179487179601</v>
      </c>
      <c r="J5042" s="9">
        <f>MAX($F$4842:F5042)</f>
        <v>2.4375</v>
      </c>
      <c r="K5042" s="11">
        <f t="shared" si="123"/>
        <v>0.000287179487179601</v>
      </c>
      <c r="L5042" s="9">
        <f>MAX($F$4357:F5042)</f>
        <v>2.4375</v>
      </c>
      <c r="M5042" s="11">
        <f t="shared" si="122"/>
        <v>0.000287179487179601</v>
      </c>
      <c r="N5042" s="9" t="s">
        <v>809</v>
      </c>
    </row>
    <row r="5043" ht="25" customHeight="1" spans="1:14">
      <c r="A5043" s="9" t="s">
        <v>327</v>
      </c>
      <c r="B5043" s="9" t="s">
        <v>326</v>
      </c>
      <c r="C5043" s="10">
        <v>46212</v>
      </c>
      <c r="D5043" s="15">
        <v>1.0015</v>
      </c>
      <c r="E5043" s="15">
        <v>1.9337</v>
      </c>
      <c r="F5043" s="15">
        <v>2.4395</v>
      </c>
      <c r="G5043" s="11">
        <v>0.0011</v>
      </c>
      <c r="H5043" s="9">
        <f>MAX($F$3239:F5043)</f>
        <v>2.4395</v>
      </c>
      <c r="I5043" s="11">
        <f t="shared" si="121"/>
        <v>0</v>
      </c>
      <c r="J5043" s="9">
        <f>MAX($F$4842:F5043)</f>
        <v>2.4395</v>
      </c>
      <c r="K5043" s="11">
        <f t="shared" si="123"/>
        <v>0</v>
      </c>
      <c r="L5043" s="9">
        <f>MAX($F$4357:F5043)</f>
        <v>2.4395</v>
      </c>
      <c r="M5043" s="11">
        <f t="shared" si="122"/>
        <v>0</v>
      </c>
      <c r="N5043" s="9" t="s">
        <v>809</v>
      </c>
    </row>
    <row r="5044" ht="25" customHeight="1" spans="1:14">
      <c r="A5044" s="9" t="s">
        <v>327</v>
      </c>
      <c r="B5044" s="9" t="s">
        <v>326</v>
      </c>
      <c r="C5044" s="10">
        <v>46213</v>
      </c>
      <c r="D5044" s="15">
        <v>1.0023</v>
      </c>
      <c r="E5044" s="15">
        <v>1.9345</v>
      </c>
      <c r="F5044" s="15">
        <v>2.4414</v>
      </c>
      <c r="G5044" s="11">
        <v>0.0008</v>
      </c>
      <c r="H5044" s="9">
        <f>MAX($F$3239:F5044)</f>
        <v>2.4414</v>
      </c>
      <c r="I5044" s="11">
        <f t="shared" si="121"/>
        <v>0</v>
      </c>
      <c r="J5044" s="9">
        <f>MAX($F$4842:F5044)</f>
        <v>2.4414</v>
      </c>
      <c r="K5044" s="11">
        <f t="shared" si="123"/>
        <v>0</v>
      </c>
      <c r="L5044" s="9">
        <f>MAX($F$4357:F5044)</f>
        <v>2.4414</v>
      </c>
      <c r="M5044" s="11">
        <f t="shared" si="122"/>
        <v>0</v>
      </c>
      <c r="N5044" s="9" t="s">
        <v>809</v>
      </c>
    </row>
    <row r="5045" ht="25" customHeight="1" spans="1:14">
      <c r="A5045" s="9" t="s">
        <v>327</v>
      </c>
      <c r="B5045" s="9" t="s">
        <v>326</v>
      </c>
      <c r="C5045" s="10">
        <v>46216</v>
      </c>
      <c r="D5045" s="15">
        <v>1.0032</v>
      </c>
      <c r="E5045" s="15">
        <v>1.9354</v>
      </c>
      <c r="F5045" s="15">
        <v>2.4436</v>
      </c>
      <c r="G5045" s="11">
        <v>0.0009</v>
      </c>
      <c r="H5045" s="9">
        <f>MAX($F$3239:F5045)</f>
        <v>2.4436</v>
      </c>
      <c r="I5045" s="11">
        <f t="shared" si="121"/>
        <v>0</v>
      </c>
      <c r="J5045" s="9">
        <f>MAX($F$4842:F5045)</f>
        <v>2.4436</v>
      </c>
      <c r="K5045" s="11">
        <f t="shared" si="123"/>
        <v>0</v>
      </c>
      <c r="L5045" s="9">
        <f>MAX($F$4357:F5045)</f>
        <v>2.4436</v>
      </c>
      <c r="M5045" s="11">
        <f t="shared" si="122"/>
        <v>0</v>
      </c>
      <c r="N5045" s="9" t="s">
        <v>809</v>
      </c>
    </row>
    <row r="5046" ht="25" customHeight="1" spans="1:14">
      <c r="A5046" s="9" t="s">
        <v>327</v>
      </c>
      <c r="B5046" s="9" t="s">
        <v>326</v>
      </c>
      <c r="C5046" s="10">
        <v>46217</v>
      </c>
      <c r="D5046" s="15">
        <v>1.0038</v>
      </c>
      <c r="E5046" s="15">
        <v>1.936</v>
      </c>
      <c r="F5046" s="15">
        <v>2.4451</v>
      </c>
      <c r="G5046" s="11">
        <v>0.0006</v>
      </c>
      <c r="H5046" s="9">
        <f>MAX($F$3239:F5046)</f>
        <v>2.4451</v>
      </c>
      <c r="I5046" s="11">
        <f t="shared" si="121"/>
        <v>0</v>
      </c>
      <c r="J5046" s="9">
        <f>MAX($F$4842:F5046)</f>
        <v>2.4451</v>
      </c>
      <c r="K5046" s="11">
        <f t="shared" si="123"/>
        <v>0</v>
      </c>
      <c r="L5046" s="9">
        <f>MAX($F$4357:F5046)</f>
        <v>2.4451</v>
      </c>
      <c r="M5046" s="11">
        <f t="shared" si="122"/>
        <v>0</v>
      </c>
      <c r="N5046" s="9" t="s">
        <v>809</v>
      </c>
    </row>
    <row r="5047" ht="25" customHeight="1" spans="1:14">
      <c r="A5047" s="9" t="s">
        <v>327</v>
      </c>
      <c r="B5047" s="9" t="s">
        <v>326</v>
      </c>
      <c r="C5047" s="10">
        <v>46218</v>
      </c>
      <c r="D5047" s="15">
        <v>1.004</v>
      </c>
      <c r="E5047" s="15">
        <v>1.9362</v>
      </c>
      <c r="F5047" s="15">
        <v>2.4456</v>
      </c>
      <c r="G5047" s="11">
        <v>0.0002</v>
      </c>
      <c r="H5047" s="9">
        <f>MAX($F$3239:F5047)</f>
        <v>2.4456</v>
      </c>
      <c r="I5047" s="11">
        <f t="shared" si="121"/>
        <v>0</v>
      </c>
      <c r="J5047" s="9">
        <f>MAX($F$4842:F5047)</f>
        <v>2.4456</v>
      </c>
      <c r="K5047" s="11">
        <f t="shared" si="123"/>
        <v>0</v>
      </c>
      <c r="L5047" s="9">
        <f>MAX($F$4357:F5047)</f>
        <v>2.4456</v>
      </c>
      <c r="M5047" s="11">
        <f t="shared" si="122"/>
        <v>0</v>
      </c>
      <c r="N5047" s="9" t="s">
        <v>809</v>
      </c>
    </row>
    <row r="5048" ht="25" customHeight="1" spans="1:14">
      <c r="A5048" s="9" t="s">
        <v>327</v>
      </c>
      <c r="B5048" s="9" t="s">
        <v>326</v>
      </c>
      <c r="C5048" s="10">
        <v>46219</v>
      </c>
      <c r="D5048" s="15">
        <v>1.0037</v>
      </c>
      <c r="E5048" s="15">
        <v>1.9359</v>
      </c>
      <c r="F5048" s="15">
        <v>2.4448</v>
      </c>
      <c r="G5048" s="11">
        <v>-0.0003</v>
      </c>
      <c r="H5048" s="9">
        <f>MAX($F$3239:F5048)</f>
        <v>2.4456</v>
      </c>
      <c r="I5048" s="11">
        <f t="shared" si="121"/>
        <v>0.000327118089630485</v>
      </c>
      <c r="J5048" s="9">
        <f>MAX($F$4842:F5048)</f>
        <v>2.4456</v>
      </c>
      <c r="K5048" s="11">
        <f t="shared" si="123"/>
        <v>0.000327118089630485</v>
      </c>
      <c r="L5048" s="9">
        <f>MAX($F$4357:F5048)</f>
        <v>2.4456</v>
      </c>
      <c r="M5048" s="11">
        <f t="shared" si="122"/>
        <v>0.000327118089630485</v>
      </c>
      <c r="N5048" s="9" t="s">
        <v>809</v>
      </c>
    </row>
    <row r="5049" ht="25" customHeight="1" spans="1:14">
      <c r="A5049" s="9" t="s">
        <v>327</v>
      </c>
      <c r="B5049" s="9" t="s">
        <v>326</v>
      </c>
      <c r="C5049" s="10">
        <v>46220</v>
      </c>
      <c r="D5049" s="15">
        <v>1.0048</v>
      </c>
      <c r="E5049" s="15">
        <v>1.937</v>
      </c>
      <c r="F5049" s="15">
        <v>2.4475</v>
      </c>
      <c r="G5049" s="11">
        <v>0.0011</v>
      </c>
      <c r="H5049" s="9">
        <f>MAX($F$3239:F5049)</f>
        <v>2.4475</v>
      </c>
      <c r="I5049" s="11">
        <f t="shared" si="121"/>
        <v>0</v>
      </c>
      <c r="J5049" s="9">
        <f>MAX($F$4842:F5049)</f>
        <v>2.4475</v>
      </c>
      <c r="K5049" s="11">
        <f t="shared" si="123"/>
        <v>0</v>
      </c>
      <c r="L5049" s="9">
        <f>MAX($F$4357:F5049)</f>
        <v>2.4475</v>
      </c>
      <c r="M5049" s="11">
        <f t="shared" si="122"/>
        <v>0</v>
      </c>
      <c r="N5049" s="9" t="s">
        <v>809</v>
      </c>
    </row>
    <row r="5050" ht="25" customHeight="1" spans="1:14">
      <c r="A5050" s="9" t="s">
        <v>327</v>
      </c>
      <c r="B5050" s="9" t="s">
        <v>326</v>
      </c>
      <c r="C5050" s="10">
        <v>46223</v>
      </c>
      <c r="D5050" s="15">
        <v>1.0053</v>
      </c>
      <c r="E5050" s="15">
        <v>1.9375</v>
      </c>
      <c r="F5050" s="15">
        <v>2.4487</v>
      </c>
      <c r="G5050" s="11">
        <v>0.0005</v>
      </c>
      <c r="H5050" s="9">
        <f>MAX($F$3239:F5050)</f>
        <v>2.4487</v>
      </c>
      <c r="I5050" s="11">
        <f t="shared" si="121"/>
        <v>0</v>
      </c>
      <c r="J5050" s="9">
        <f>MAX($F$4842:F5050)</f>
        <v>2.4487</v>
      </c>
      <c r="K5050" s="11">
        <f t="shared" si="123"/>
        <v>0</v>
      </c>
      <c r="L5050" s="9">
        <f>MAX($F$4357:F5050)</f>
        <v>2.4487</v>
      </c>
      <c r="M5050" s="11">
        <f t="shared" si="122"/>
        <v>0</v>
      </c>
      <c r="N5050" s="9" t="s">
        <v>809</v>
      </c>
    </row>
    <row r="5051" ht="25" customHeight="1" spans="1:14">
      <c r="A5051" s="9" t="s">
        <v>327</v>
      </c>
      <c r="B5051" s="9" t="s">
        <v>326</v>
      </c>
      <c r="C5051" s="10">
        <v>46224</v>
      </c>
      <c r="D5051" s="15">
        <v>1.0056</v>
      </c>
      <c r="E5051" s="15">
        <v>1.9378</v>
      </c>
      <c r="F5051" s="15">
        <v>2.4495</v>
      </c>
      <c r="G5051" s="11">
        <v>0.0003</v>
      </c>
      <c r="H5051" s="9">
        <f>MAX($F$3239:F5051)</f>
        <v>2.4495</v>
      </c>
      <c r="I5051" s="11">
        <f t="shared" si="121"/>
        <v>0</v>
      </c>
      <c r="J5051" s="9">
        <f>MAX($F$4842:F5051)</f>
        <v>2.4495</v>
      </c>
      <c r="K5051" s="11">
        <f t="shared" si="123"/>
        <v>0</v>
      </c>
      <c r="L5051" s="9">
        <f>MAX($F$4357:F5051)</f>
        <v>2.4495</v>
      </c>
      <c r="M5051" s="11">
        <f t="shared" si="122"/>
        <v>0</v>
      </c>
      <c r="N5051" s="9" t="s">
        <v>809</v>
      </c>
    </row>
    <row r="5052" ht="25" customHeight="1" spans="1:14">
      <c r="A5052" s="9" t="s">
        <v>327</v>
      </c>
      <c r="B5052" s="9" t="s">
        <v>326</v>
      </c>
      <c r="C5052" s="10">
        <v>46225</v>
      </c>
      <c r="D5052" s="15">
        <v>1.0056</v>
      </c>
      <c r="E5052" s="15">
        <v>1.9378</v>
      </c>
      <c r="F5052" s="15">
        <v>2.4495</v>
      </c>
      <c r="G5052" s="11">
        <v>0</v>
      </c>
      <c r="H5052" s="9">
        <f>MAX($F$3239:F5052)</f>
        <v>2.4495</v>
      </c>
      <c r="I5052" s="11">
        <f t="shared" si="121"/>
        <v>0</v>
      </c>
      <c r="J5052" s="9">
        <f>MAX($F$4842:F5052)</f>
        <v>2.4495</v>
      </c>
      <c r="K5052" s="11">
        <f t="shared" si="123"/>
        <v>0</v>
      </c>
      <c r="L5052" s="9">
        <f>MAX($F$4357:F5052)</f>
        <v>2.4495</v>
      </c>
      <c r="M5052" s="11">
        <f t="shared" si="122"/>
        <v>0</v>
      </c>
      <c r="N5052" s="9" t="s">
        <v>809</v>
      </c>
    </row>
    <row r="5053" ht="25" customHeight="1" spans="1:14">
      <c r="A5053" s="9" t="s">
        <v>327</v>
      </c>
      <c r="B5053" s="9" t="s">
        <v>326</v>
      </c>
      <c r="C5053" s="10">
        <v>46226</v>
      </c>
      <c r="D5053" s="15">
        <v>1.0056</v>
      </c>
      <c r="E5053" s="15">
        <v>1.9378</v>
      </c>
      <c r="F5053" s="15">
        <v>2.4495</v>
      </c>
      <c r="G5053" s="11">
        <v>0</v>
      </c>
      <c r="H5053" s="9">
        <f>MAX($F$3239:F5053)</f>
        <v>2.4495</v>
      </c>
      <c r="I5053" s="11">
        <f t="shared" si="121"/>
        <v>0</v>
      </c>
      <c r="J5053" s="9">
        <f>MAX($F$4842:F5053)</f>
        <v>2.4495</v>
      </c>
      <c r="K5053" s="11">
        <f t="shared" si="123"/>
        <v>0</v>
      </c>
      <c r="L5053" s="9">
        <f>MAX($F$4357:F5053)</f>
        <v>2.4495</v>
      </c>
      <c r="M5053" s="11">
        <f t="shared" si="122"/>
        <v>0</v>
      </c>
      <c r="N5053" s="9" t="s">
        <v>809</v>
      </c>
    </row>
    <row r="5054" ht="25" customHeight="1" spans="1:14">
      <c r="A5054" s="9" t="s">
        <v>327</v>
      </c>
      <c r="B5054" s="9" t="s">
        <v>326</v>
      </c>
      <c r="C5054" s="10">
        <v>46227</v>
      </c>
      <c r="D5054" s="15">
        <v>1.0064</v>
      </c>
      <c r="E5054" s="15">
        <v>1.9386</v>
      </c>
      <c r="F5054" s="15">
        <v>2.4514</v>
      </c>
      <c r="G5054" s="11">
        <v>0.0008</v>
      </c>
      <c r="H5054" s="9">
        <f>MAX($F$3239:F5054)</f>
        <v>2.4514</v>
      </c>
      <c r="I5054" s="11">
        <f t="shared" si="121"/>
        <v>0</v>
      </c>
      <c r="J5054" s="9">
        <f>MAX($F$4842:F5054)</f>
        <v>2.4514</v>
      </c>
      <c r="K5054" s="11">
        <f t="shared" si="123"/>
        <v>0</v>
      </c>
      <c r="L5054" s="9">
        <f>MAX($F$4357:F5054)</f>
        <v>2.4514</v>
      </c>
      <c r="M5054" s="11">
        <f t="shared" si="122"/>
        <v>0</v>
      </c>
      <c r="N5054" s="9" t="s">
        <v>809</v>
      </c>
    </row>
    <row r="5055" ht="25" customHeight="1" spans="1:14">
      <c r="A5055" s="9" t="s">
        <v>327</v>
      </c>
      <c r="B5055" s="9" t="s">
        <v>326</v>
      </c>
      <c r="C5055" s="10">
        <v>46230</v>
      </c>
      <c r="D5055" s="15">
        <v>1.0061</v>
      </c>
      <c r="E5055" s="15">
        <v>1.9383</v>
      </c>
      <c r="F5055" s="15">
        <v>2.4507</v>
      </c>
      <c r="G5055" s="11">
        <v>-0.0003</v>
      </c>
      <c r="H5055" s="9">
        <f>MAX($F$3239:F5055)</f>
        <v>2.4514</v>
      </c>
      <c r="I5055" s="11">
        <f t="shared" si="121"/>
        <v>0.000285551113649363</v>
      </c>
      <c r="J5055" s="9">
        <f>MAX($F$4842:F5055)</f>
        <v>2.4514</v>
      </c>
      <c r="K5055" s="11">
        <f t="shared" si="123"/>
        <v>0.000285551113649363</v>
      </c>
      <c r="L5055" s="9">
        <f>MAX($F$4357:F5055)</f>
        <v>2.4514</v>
      </c>
      <c r="M5055" s="11">
        <f t="shared" si="122"/>
        <v>0.000285551113649363</v>
      </c>
      <c r="N5055" s="9" t="s">
        <v>809</v>
      </c>
    </row>
    <row r="5056" ht="25" customHeight="1" spans="1:14">
      <c r="A5056" s="9" t="s">
        <v>327</v>
      </c>
      <c r="B5056" s="9" t="s">
        <v>326</v>
      </c>
      <c r="C5056" s="10">
        <v>46231</v>
      </c>
      <c r="D5056" s="15">
        <v>1.0063</v>
      </c>
      <c r="E5056" s="15">
        <v>1.9385</v>
      </c>
      <c r="F5056" s="15">
        <v>2.4512</v>
      </c>
      <c r="G5056" s="11">
        <v>0.0002</v>
      </c>
      <c r="H5056" s="9">
        <f>MAX($F$3239:F5056)</f>
        <v>2.4514</v>
      </c>
      <c r="I5056" s="11">
        <f t="shared" si="121"/>
        <v>8.15860324712148e-5</v>
      </c>
      <c r="J5056" s="9">
        <f>MAX($F$4842:F5056)</f>
        <v>2.4514</v>
      </c>
      <c r="K5056" s="11">
        <f t="shared" si="123"/>
        <v>8.15860324712148e-5</v>
      </c>
      <c r="L5056" s="9">
        <f>MAX($F$4357:F5056)</f>
        <v>2.4514</v>
      </c>
      <c r="M5056" s="11">
        <f t="shared" si="122"/>
        <v>8.15860324712148e-5</v>
      </c>
      <c r="N5056" s="9" t="s">
        <v>809</v>
      </c>
    </row>
    <row r="5057" ht="25" customHeight="1" spans="1:14">
      <c r="A5057" s="9" t="s">
        <v>327</v>
      </c>
      <c r="B5057" s="9" t="s">
        <v>326</v>
      </c>
      <c r="C5057" s="10">
        <v>46232</v>
      </c>
      <c r="D5057" s="15">
        <v>1.0069</v>
      </c>
      <c r="E5057" s="15">
        <v>1.9391</v>
      </c>
      <c r="F5057" s="15">
        <v>2.4526</v>
      </c>
      <c r="G5057" s="11">
        <v>0.0006</v>
      </c>
      <c r="H5057" s="9">
        <f>MAX($F$3239:F5057)</f>
        <v>2.4526</v>
      </c>
      <c r="I5057" s="11">
        <f t="shared" si="121"/>
        <v>0</v>
      </c>
      <c r="J5057" s="9">
        <f>MAX($F$4842:F5057)</f>
        <v>2.4526</v>
      </c>
      <c r="K5057" s="11">
        <f t="shared" si="123"/>
        <v>0</v>
      </c>
      <c r="L5057" s="9">
        <f>MAX($F$4357:F5057)</f>
        <v>2.4526</v>
      </c>
      <c r="M5057" s="11">
        <f t="shared" si="122"/>
        <v>0</v>
      </c>
      <c r="N5057" s="9" t="s">
        <v>809</v>
      </c>
    </row>
    <row r="5058" ht="25" customHeight="1" spans="1:14">
      <c r="A5058" s="9" t="s">
        <v>327</v>
      </c>
      <c r="B5058" s="9" t="s">
        <v>326</v>
      </c>
      <c r="C5058" s="10">
        <v>46233</v>
      </c>
      <c r="D5058" s="15">
        <v>1.006</v>
      </c>
      <c r="E5058" s="15">
        <v>1.9382</v>
      </c>
      <c r="F5058" s="15">
        <v>2.4504</v>
      </c>
      <c r="G5058" s="11">
        <v>-0.0009</v>
      </c>
      <c r="H5058" s="9">
        <f>MAX($F$3239:F5058)</f>
        <v>2.4526</v>
      </c>
      <c r="I5058" s="11">
        <f t="shared" ref="I5058:I5121" si="124">1-F5058/H5058</f>
        <v>0.00089700725760411</v>
      </c>
      <c r="J5058" s="9">
        <f>MAX($F$4842:F5058)</f>
        <v>2.4526</v>
      </c>
      <c r="K5058" s="11">
        <f t="shared" si="123"/>
        <v>0.00089700725760411</v>
      </c>
      <c r="L5058" s="9">
        <f>MAX($F$4357:F5058)</f>
        <v>2.4526</v>
      </c>
      <c r="M5058" s="11">
        <f t="shared" si="122"/>
        <v>0.00089700725760411</v>
      </c>
      <c r="N5058" s="9" t="s">
        <v>809</v>
      </c>
    </row>
    <row r="5059" ht="25" customHeight="1" spans="1:14">
      <c r="A5059" s="9" t="s">
        <v>327</v>
      </c>
      <c r="B5059" s="9" t="s">
        <v>326</v>
      </c>
      <c r="C5059" s="10">
        <v>46234</v>
      </c>
      <c r="D5059" s="15">
        <v>1.0071</v>
      </c>
      <c r="E5059" s="15">
        <v>1.9393</v>
      </c>
      <c r="F5059" s="15">
        <v>2.4531</v>
      </c>
      <c r="G5059" s="11">
        <v>0.0011</v>
      </c>
      <c r="H5059" s="9">
        <f>MAX($F$3239:F5059)</f>
        <v>2.4531</v>
      </c>
      <c r="I5059" s="11">
        <f t="shared" si="124"/>
        <v>0</v>
      </c>
      <c r="J5059" s="9">
        <f>MAX($F$4842:F5059)</f>
        <v>2.4531</v>
      </c>
      <c r="K5059" s="11">
        <f t="shared" si="123"/>
        <v>0</v>
      </c>
      <c r="L5059" s="9">
        <f>MAX($F$4357:F5059)</f>
        <v>2.4531</v>
      </c>
      <c r="M5059" s="11">
        <f t="shared" si="122"/>
        <v>0</v>
      </c>
      <c r="N5059" s="9" t="s">
        <v>809</v>
      </c>
    </row>
    <row r="5060" ht="25" customHeight="1" spans="1:14">
      <c r="A5060" s="9" t="s">
        <v>327</v>
      </c>
      <c r="B5060" s="9" t="s">
        <v>326</v>
      </c>
      <c r="C5060" s="10">
        <v>46237</v>
      </c>
      <c r="D5060" s="15">
        <v>1.0071</v>
      </c>
      <c r="E5060" s="15">
        <v>1.9393</v>
      </c>
      <c r="F5060" s="15">
        <v>2.4531</v>
      </c>
      <c r="G5060" s="11">
        <v>0</v>
      </c>
      <c r="H5060" s="9">
        <f>MAX($F$3239:F5060)</f>
        <v>2.4531</v>
      </c>
      <c r="I5060" s="11">
        <f t="shared" si="124"/>
        <v>0</v>
      </c>
      <c r="J5060" s="9">
        <f>MAX($F$4842:F5060)</f>
        <v>2.4531</v>
      </c>
      <c r="K5060" s="11">
        <f t="shared" si="123"/>
        <v>0</v>
      </c>
      <c r="L5060" s="9">
        <f>MAX($F$4357:F5060)</f>
        <v>2.4531</v>
      </c>
      <c r="M5060" s="11">
        <f t="shared" si="122"/>
        <v>0</v>
      </c>
      <c r="N5060" s="9" t="s">
        <v>809</v>
      </c>
    </row>
    <row r="5061" ht="25" customHeight="1" spans="1:14">
      <c r="A5061" s="9" t="s">
        <v>327</v>
      </c>
      <c r="B5061" s="9" t="s">
        <v>326</v>
      </c>
      <c r="C5061" s="10">
        <v>46238</v>
      </c>
      <c r="D5061" s="15">
        <v>1.0071</v>
      </c>
      <c r="E5061" s="15">
        <v>1.9393</v>
      </c>
      <c r="F5061" s="15">
        <v>2.4531</v>
      </c>
      <c r="G5061" s="11">
        <v>0</v>
      </c>
      <c r="H5061" s="9">
        <f>MAX($F$3239:F5061)</f>
        <v>2.4531</v>
      </c>
      <c r="I5061" s="11">
        <f t="shared" si="124"/>
        <v>0</v>
      </c>
      <c r="J5061" s="9">
        <f>MAX($F$4842:F5061)</f>
        <v>2.4531</v>
      </c>
      <c r="K5061" s="11">
        <f t="shared" si="123"/>
        <v>0</v>
      </c>
      <c r="L5061" s="9">
        <f>MAX($F$4357:F5061)</f>
        <v>2.4531</v>
      </c>
      <c r="M5061" s="11">
        <f t="shared" ref="M5061:M5084" si="125">1-F5061/L5061</f>
        <v>0</v>
      </c>
      <c r="N5061" s="9" t="s">
        <v>809</v>
      </c>
    </row>
    <row r="5062" ht="25" customHeight="1" spans="1:14">
      <c r="A5062" s="9" t="s">
        <v>327</v>
      </c>
      <c r="B5062" s="9" t="s">
        <v>326</v>
      </c>
      <c r="C5062" s="10">
        <v>46239</v>
      </c>
      <c r="D5062" s="15">
        <v>1.0069</v>
      </c>
      <c r="E5062" s="15">
        <v>1.9391</v>
      </c>
      <c r="F5062" s="15">
        <v>2.4526</v>
      </c>
      <c r="G5062" s="11">
        <v>-0.0002</v>
      </c>
      <c r="H5062" s="9">
        <f>MAX($F$3239:F5062)</f>
        <v>2.4531</v>
      </c>
      <c r="I5062" s="11">
        <f t="shared" si="124"/>
        <v>0.000203823733235575</v>
      </c>
      <c r="J5062" s="9">
        <f>MAX($F$4842:F5062)</f>
        <v>2.4531</v>
      </c>
      <c r="K5062" s="11">
        <f t="shared" si="123"/>
        <v>0.000203823733235575</v>
      </c>
      <c r="L5062" s="9">
        <f>MAX($F$4357:F5062)</f>
        <v>2.4531</v>
      </c>
      <c r="M5062" s="11">
        <f t="shared" si="125"/>
        <v>0.000203823733235575</v>
      </c>
      <c r="N5062" s="9" t="s">
        <v>809</v>
      </c>
    </row>
    <row r="5063" ht="25" customHeight="1" spans="1:14">
      <c r="A5063" s="9" t="s">
        <v>327</v>
      </c>
      <c r="B5063" s="9" t="s">
        <v>326</v>
      </c>
      <c r="C5063" s="10">
        <v>46240</v>
      </c>
      <c r="D5063" s="15">
        <v>1.0072</v>
      </c>
      <c r="E5063" s="15">
        <v>1.9394</v>
      </c>
      <c r="F5063" s="15">
        <v>2.4534</v>
      </c>
      <c r="G5063" s="11">
        <v>0.0003</v>
      </c>
      <c r="H5063" s="9">
        <f>MAX($F$3239:F5063)</f>
        <v>2.4534</v>
      </c>
      <c r="I5063" s="11">
        <f t="shared" si="124"/>
        <v>0</v>
      </c>
      <c r="J5063" s="9">
        <f>MAX($F$4842:F5063)</f>
        <v>2.4534</v>
      </c>
      <c r="K5063" s="11">
        <f t="shared" si="123"/>
        <v>0</v>
      </c>
      <c r="L5063" s="9">
        <f>MAX($F$4357:F5063)</f>
        <v>2.4534</v>
      </c>
      <c r="M5063" s="11">
        <f t="shared" si="125"/>
        <v>0</v>
      </c>
      <c r="N5063" s="9" t="s">
        <v>809</v>
      </c>
    </row>
    <row r="5064" ht="25" customHeight="1" spans="1:14">
      <c r="A5064" s="9" t="s">
        <v>327</v>
      </c>
      <c r="B5064" s="9" t="s">
        <v>326</v>
      </c>
      <c r="C5064" s="10">
        <v>46241</v>
      </c>
      <c r="D5064" s="15">
        <v>1.0068</v>
      </c>
      <c r="E5064" s="15">
        <v>1.939</v>
      </c>
      <c r="F5064" s="15">
        <v>2.4524</v>
      </c>
      <c r="G5064" s="11">
        <v>-0.0004</v>
      </c>
      <c r="H5064" s="9">
        <f>MAX($F$3239:F5064)</f>
        <v>2.4534</v>
      </c>
      <c r="I5064" s="11">
        <f t="shared" si="124"/>
        <v>0.000407597619629829</v>
      </c>
      <c r="J5064" s="9">
        <f>MAX($F$4842:F5064)</f>
        <v>2.4534</v>
      </c>
      <c r="K5064" s="11">
        <f t="shared" si="123"/>
        <v>0.000407597619629829</v>
      </c>
      <c r="L5064" s="9">
        <f>MAX($F$4357:F5064)</f>
        <v>2.4534</v>
      </c>
      <c r="M5064" s="11">
        <f t="shared" si="125"/>
        <v>0.000407597619629829</v>
      </c>
      <c r="N5064" s="9" t="s">
        <v>809</v>
      </c>
    </row>
    <row r="5065" ht="25" customHeight="1" spans="1:14">
      <c r="A5065" s="9" t="s">
        <v>327</v>
      </c>
      <c r="B5065" s="9" t="s">
        <v>326</v>
      </c>
      <c r="C5065" s="10">
        <v>46244</v>
      </c>
      <c r="D5065" s="15">
        <v>1.0065</v>
      </c>
      <c r="E5065" s="15">
        <v>1.9387</v>
      </c>
      <c r="F5065" s="15">
        <v>2.4517</v>
      </c>
      <c r="G5065" s="11">
        <v>-0.0003</v>
      </c>
      <c r="H5065" s="9">
        <f>MAX($F$3239:F5065)</f>
        <v>2.4534</v>
      </c>
      <c r="I5065" s="11">
        <f t="shared" si="124"/>
        <v>0.000692915953370621</v>
      </c>
      <c r="J5065" s="9">
        <f>MAX($F$4842:F5065)</f>
        <v>2.4534</v>
      </c>
      <c r="K5065" s="11">
        <f t="shared" si="123"/>
        <v>0.000692915953370621</v>
      </c>
      <c r="L5065" s="9">
        <f>MAX($F$4357:F5065)</f>
        <v>2.4534</v>
      </c>
      <c r="M5065" s="11">
        <f t="shared" si="125"/>
        <v>0.000692915953370621</v>
      </c>
      <c r="N5065" s="9" t="s">
        <v>809</v>
      </c>
    </row>
    <row r="5066" ht="25" customHeight="1" spans="1:14">
      <c r="A5066" s="9" t="s">
        <v>327</v>
      </c>
      <c r="B5066" s="9" t="s">
        <v>326</v>
      </c>
      <c r="C5066" s="10">
        <v>46245</v>
      </c>
      <c r="D5066" s="15">
        <v>1.0063</v>
      </c>
      <c r="E5066" s="15">
        <v>1.9385</v>
      </c>
      <c r="F5066" s="15">
        <v>2.4512</v>
      </c>
      <c r="G5066" s="11">
        <v>-0.0002</v>
      </c>
      <c r="H5066" s="9">
        <f>MAX($F$3239:F5066)</f>
        <v>2.4534</v>
      </c>
      <c r="I5066" s="11">
        <f t="shared" si="124"/>
        <v>0.000896714763185646</v>
      </c>
      <c r="J5066" s="9">
        <f>MAX($F$4842:F5066)</f>
        <v>2.4534</v>
      </c>
      <c r="K5066" s="11">
        <f t="shared" si="123"/>
        <v>0.000896714763185646</v>
      </c>
      <c r="L5066" s="9">
        <f>MAX($F$4357:F5066)</f>
        <v>2.4534</v>
      </c>
      <c r="M5066" s="11">
        <f t="shared" si="125"/>
        <v>0.000896714763185646</v>
      </c>
      <c r="N5066" s="9" t="s">
        <v>809</v>
      </c>
    </row>
    <row r="5067" ht="25" customHeight="1" spans="1:14">
      <c r="A5067" s="9" t="s">
        <v>327</v>
      </c>
      <c r="B5067" s="9" t="s">
        <v>326</v>
      </c>
      <c r="C5067" s="10">
        <v>46246</v>
      </c>
      <c r="D5067" s="15">
        <v>1.0061</v>
      </c>
      <c r="E5067" s="15">
        <v>1.9383</v>
      </c>
      <c r="F5067" s="15">
        <v>2.4507</v>
      </c>
      <c r="G5067" s="11">
        <v>-0.0002</v>
      </c>
      <c r="H5067" s="9">
        <f>MAX($F$3239:F5067)</f>
        <v>2.4534</v>
      </c>
      <c r="I5067" s="11">
        <f t="shared" si="124"/>
        <v>0.00110051357300067</v>
      </c>
      <c r="J5067" s="9">
        <f>MAX($F$4842:F5067)</f>
        <v>2.4534</v>
      </c>
      <c r="K5067" s="11">
        <f t="shared" si="123"/>
        <v>0.00110051357300067</v>
      </c>
      <c r="L5067" s="9">
        <f>MAX($F$4357:F5067)</f>
        <v>2.4534</v>
      </c>
      <c r="M5067" s="11">
        <f t="shared" si="125"/>
        <v>0.00110051357300067</v>
      </c>
      <c r="N5067" s="9" t="s">
        <v>809</v>
      </c>
    </row>
    <row r="5068" ht="25" customHeight="1" spans="1:14">
      <c r="A5068" s="9" t="s">
        <v>327</v>
      </c>
      <c r="B5068" s="9" t="s">
        <v>326</v>
      </c>
      <c r="C5068" s="10">
        <v>46247</v>
      </c>
      <c r="D5068" s="15">
        <v>1.0062</v>
      </c>
      <c r="E5068" s="15">
        <v>1.9384</v>
      </c>
      <c r="F5068" s="15">
        <v>2.4509</v>
      </c>
      <c r="G5068" s="11">
        <v>0.0001</v>
      </c>
      <c r="H5068" s="9">
        <f>MAX($F$3239:F5068)</f>
        <v>2.4534</v>
      </c>
      <c r="I5068" s="11">
        <f t="shared" si="124"/>
        <v>0.00101899404907468</v>
      </c>
      <c r="J5068" s="9">
        <f>MAX($F$4842:F5068)</f>
        <v>2.4534</v>
      </c>
      <c r="K5068" s="11">
        <f t="shared" si="123"/>
        <v>0.00101899404907468</v>
      </c>
      <c r="L5068" s="9">
        <f>MAX($F$4357:F5068)</f>
        <v>2.4534</v>
      </c>
      <c r="M5068" s="11">
        <f t="shared" si="125"/>
        <v>0.00101899404907468</v>
      </c>
      <c r="N5068" s="9" t="s">
        <v>809</v>
      </c>
    </row>
    <row r="5069" ht="25" customHeight="1" spans="1:14">
      <c r="A5069" s="9" t="s">
        <v>327</v>
      </c>
      <c r="B5069" s="9" t="s">
        <v>326</v>
      </c>
      <c r="C5069" s="10">
        <v>46248</v>
      </c>
      <c r="D5069" s="15">
        <v>1.0064</v>
      </c>
      <c r="E5069" s="15">
        <v>1.9386</v>
      </c>
      <c r="F5069" s="15">
        <v>2.4514</v>
      </c>
      <c r="G5069" s="11">
        <v>0.0002</v>
      </c>
      <c r="H5069" s="9">
        <f>MAX($F$3239:F5069)</f>
        <v>2.4534</v>
      </c>
      <c r="I5069" s="11">
        <f t="shared" si="124"/>
        <v>0.000815195239259658</v>
      </c>
      <c r="J5069" s="9">
        <f>MAX($F$4842:F5069)</f>
        <v>2.4534</v>
      </c>
      <c r="K5069" s="11">
        <f t="shared" si="123"/>
        <v>0.000815195239259658</v>
      </c>
      <c r="L5069" s="9">
        <f>MAX($F$4357:F5069)</f>
        <v>2.4534</v>
      </c>
      <c r="M5069" s="11">
        <f t="shared" si="125"/>
        <v>0.000815195239259658</v>
      </c>
      <c r="N5069" s="9" t="s">
        <v>809</v>
      </c>
    </row>
    <row r="5070" ht="25" customHeight="1" spans="1:14">
      <c r="A5070" s="9" t="s">
        <v>327</v>
      </c>
      <c r="B5070" s="9" t="s">
        <v>326</v>
      </c>
      <c r="C5070" s="10">
        <v>46251</v>
      </c>
      <c r="D5070" s="15">
        <v>1.0059</v>
      </c>
      <c r="E5070" s="15">
        <v>1.9381</v>
      </c>
      <c r="F5070" s="15">
        <v>2.4502</v>
      </c>
      <c r="G5070" s="11">
        <v>-0.0005</v>
      </c>
      <c r="H5070" s="9">
        <f>MAX($F$3239:F5070)</f>
        <v>2.4534</v>
      </c>
      <c r="I5070" s="11">
        <f t="shared" si="124"/>
        <v>0.00130431238281559</v>
      </c>
      <c r="J5070" s="9">
        <f>MAX($F$4842:F5070)</f>
        <v>2.4534</v>
      </c>
      <c r="K5070" s="11">
        <f t="shared" si="123"/>
        <v>0.00130431238281559</v>
      </c>
      <c r="L5070" s="9">
        <f>MAX($F$4357:F5070)</f>
        <v>2.4534</v>
      </c>
      <c r="M5070" s="11">
        <f t="shared" si="125"/>
        <v>0.00130431238281559</v>
      </c>
      <c r="N5070" s="9" t="s">
        <v>809</v>
      </c>
    </row>
    <row r="5071" ht="25" customHeight="1" spans="1:14">
      <c r="A5071" s="9" t="s">
        <v>327</v>
      </c>
      <c r="B5071" s="9" t="s">
        <v>326</v>
      </c>
      <c r="C5071" s="10">
        <v>46252</v>
      </c>
      <c r="D5071" s="15">
        <v>1.0057</v>
      </c>
      <c r="E5071" s="15">
        <v>1.9379</v>
      </c>
      <c r="F5071" s="15">
        <v>2.4497</v>
      </c>
      <c r="G5071" s="11">
        <v>-0.0002</v>
      </c>
      <c r="H5071" s="9">
        <f>MAX($F$3239:F5071)</f>
        <v>2.4534</v>
      </c>
      <c r="I5071" s="11">
        <f t="shared" si="124"/>
        <v>0.00150811119263061</v>
      </c>
      <c r="J5071" s="9">
        <f>MAX($F$4842:F5071)</f>
        <v>2.4534</v>
      </c>
      <c r="K5071" s="11">
        <f t="shared" si="123"/>
        <v>0.00150811119263061</v>
      </c>
      <c r="L5071" s="9">
        <f>MAX($F$4357:F5071)</f>
        <v>2.4534</v>
      </c>
      <c r="M5071" s="11">
        <f t="shared" si="125"/>
        <v>0.00150811119263061</v>
      </c>
      <c r="N5071" s="9" t="s">
        <v>809</v>
      </c>
    </row>
    <row r="5072" ht="25" customHeight="1" spans="1:14">
      <c r="A5072" s="9" t="s">
        <v>327</v>
      </c>
      <c r="B5072" s="9" t="s">
        <v>326</v>
      </c>
      <c r="C5072" s="10">
        <v>46253</v>
      </c>
      <c r="D5072" s="15">
        <v>1.0057</v>
      </c>
      <c r="E5072" s="15">
        <v>1.9379</v>
      </c>
      <c r="F5072" s="15">
        <v>2.4497</v>
      </c>
      <c r="G5072" s="11">
        <v>0</v>
      </c>
      <c r="H5072" s="9">
        <f>MAX($F$3239:F5072)</f>
        <v>2.4534</v>
      </c>
      <c r="I5072" s="11">
        <f t="shared" si="124"/>
        <v>0.00150811119263061</v>
      </c>
      <c r="J5072" s="9">
        <f>MAX($F$4842:F5072)</f>
        <v>2.4534</v>
      </c>
      <c r="K5072" s="11">
        <f t="shared" si="123"/>
        <v>0.00150811119263061</v>
      </c>
      <c r="L5072" s="9">
        <f>MAX($F$4357:F5072)</f>
        <v>2.4534</v>
      </c>
      <c r="M5072" s="11">
        <f t="shared" si="125"/>
        <v>0.00150811119263061</v>
      </c>
      <c r="N5072" s="9" t="s">
        <v>809</v>
      </c>
    </row>
    <row r="5073" ht="25" customHeight="1" spans="1:14">
      <c r="A5073" s="9" t="s">
        <v>327</v>
      </c>
      <c r="B5073" s="9" t="s">
        <v>326</v>
      </c>
      <c r="C5073" s="10">
        <v>46254</v>
      </c>
      <c r="D5073" s="15">
        <v>1.0055</v>
      </c>
      <c r="E5073" s="15">
        <v>1.9377</v>
      </c>
      <c r="F5073" s="15">
        <v>2.4492</v>
      </c>
      <c r="G5073" s="11">
        <v>-0.0002</v>
      </c>
      <c r="H5073" s="9">
        <f>MAX($F$3239:F5073)</f>
        <v>2.4534</v>
      </c>
      <c r="I5073" s="11">
        <f t="shared" si="124"/>
        <v>0.00171191000244553</v>
      </c>
      <c r="J5073" s="9">
        <f>MAX($F$4842:F5073)</f>
        <v>2.4534</v>
      </c>
      <c r="K5073" s="11">
        <f t="shared" si="123"/>
        <v>0.00171191000244553</v>
      </c>
      <c r="L5073" s="9">
        <f>MAX($F$4357:F5073)</f>
        <v>2.4534</v>
      </c>
      <c r="M5073" s="11">
        <f t="shared" si="125"/>
        <v>0.00171191000244553</v>
      </c>
      <c r="N5073" s="9" t="s">
        <v>809</v>
      </c>
    </row>
    <row r="5074" ht="25" customHeight="1" spans="1:14">
      <c r="A5074" s="9" t="s">
        <v>327</v>
      </c>
      <c r="B5074" s="9" t="s">
        <v>326</v>
      </c>
      <c r="C5074" s="10">
        <v>46255</v>
      </c>
      <c r="D5074" s="15">
        <v>1.0055</v>
      </c>
      <c r="E5074" s="15">
        <v>1.9377</v>
      </c>
      <c r="F5074" s="15">
        <v>2.4492</v>
      </c>
      <c r="G5074" s="11">
        <v>0</v>
      </c>
      <c r="H5074" s="9">
        <f>MAX($F$3239:F5074)</f>
        <v>2.4534</v>
      </c>
      <c r="I5074" s="11">
        <f t="shared" si="124"/>
        <v>0.00171191000244553</v>
      </c>
      <c r="J5074" s="9">
        <f>MAX($F$4842:F5074)</f>
        <v>2.4534</v>
      </c>
      <c r="K5074" s="11">
        <f t="shared" si="123"/>
        <v>0.00171191000244553</v>
      </c>
      <c r="L5074" s="9">
        <f>MAX($F$4357:F5074)</f>
        <v>2.4534</v>
      </c>
      <c r="M5074" s="11">
        <f t="shared" si="125"/>
        <v>0.00171191000244553</v>
      </c>
      <c r="N5074" s="9" t="s">
        <v>809</v>
      </c>
    </row>
    <row r="5075" ht="25" customHeight="1" spans="1:14">
      <c r="A5075" s="9" t="s">
        <v>327</v>
      </c>
      <c r="B5075" s="9" t="s">
        <v>326</v>
      </c>
      <c r="C5075" s="10">
        <v>46258</v>
      </c>
      <c r="D5075" s="15">
        <v>1.0058</v>
      </c>
      <c r="E5075" s="15">
        <v>1.938</v>
      </c>
      <c r="F5075" s="15">
        <v>2.45</v>
      </c>
      <c r="G5075" s="11">
        <v>0.0003</v>
      </c>
      <c r="H5075" s="9">
        <f>MAX($F$3239:F5075)</f>
        <v>2.4534</v>
      </c>
      <c r="I5075" s="11">
        <f t="shared" si="124"/>
        <v>0.00138583190674146</v>
      </c>
      <c r="J5075" s="9">
        <f>MAX($F$4842:F5075)</f>
        <v>2.4534</v>
      </c>
      <c r="K5075" s="11">
        <f t="shared" si="123"/>
        <v>0.00138583190674146</v>
      </c>
      <c r="L5075" s="9">
        <f>MAX($F$4357:F5075)</f>
        <v>2.4534</v>
      </c>
      <c r="M5075" s="11">
        <f t="shared" si="125"/>
        <v>0.00138583190674146</v>
      </c>
      <c r="N5075" s="9" t="s">
        <v>809</v>
      </c>
    </row>
    <row r="5076" ht="25" customHeight="1" spans="1:14">
      <c r="A5076" s="9" t="s">
        <v>327</v>
      </c>
      <c r="B5076" s="9" t="s">
        <v>326</v>
      </c>
      <c r="C5076" s="10">
        <v>46259</v>
      </c>
      <c r="D5076" s="15">
        <v>1.0052</v>
      </c>
      <c r="E5076" s="15">
        <v>1.9374</v>
      </c>
      <c r="F5076" s="15">
        <v>2.4485</v>
      </c>
      <c r="G5076" s="11">
        <v>-0.0006</v>
      </c>
      <c r="H5076" s="9">
        <f>MAX($F$3239:F5076)</f>
        <v>2.4534</v>
      </c>
      <c r="I5076" s="11">
        <f t="shared" si="124"/>
        <v>0.00199722833618643</v>
      </c>
      <c r="J5076" s="9">
        <f>MAX($F$4842:F5076)</f>
        <v>2.4534</v>
      </c>
      <c r="K5076" s="11">
        <f t="shared" si="123"/>
        <v>0.00199722833618643</v>
      </c>
      <c r="L5076" s="9">
        <f>MAX($F$4357:F5076)</f>
        <v>2.4534</v>
      </c>
      <c r="M5076" s="11">
        <f t="shared" si="125"/>
        <v>0.00199722833618643</v>
      </c>
      <c r="N5076" s="9" t="s">
        <v>809</v>
      </c>
    </row>
    <row r="5077" ht="25" customHeight="1" spans="1:14">
      <c r="A5077" s="9" t="s">
        <v>327</v>
      </c>
      <c r="B5077" s="9" t="s">
        <v>326</v>
      </c>
      <c r="C5077" s="10">
        <v>46260</v>
      </c>
      <c r="D5077" s="15">
        <v>1.0053</v>
      </c>
      <c r="E5077" s="15">
        <v>1.9375</v>
      </c>
      <c r="F5077" s="15">
        <v>2.4487</v>
      </c>
      <c r="G5077" s="11">
        <v>0.0001</v>
      </c>
      <c r="H5077" s="9">
        <f>MAX($F$3239:F5077)</f>
        <v>2.4534</v>
      </c>
      <c r="I5077" s="11">
        <f t="shared" si="124"/>
        <v>0.00191570881226044</v>
      </c>
      <c r="J5077" s="9">
        <f>MAX($F$4842:F5077)</f>
        <v>2.4534</v>
      </c>
      <c r="K5077" s="11">
        <f t="shared" si="123"/>
        <v>0.00191570881226044</v>
      </c>
      <c r="L5077" s="9">
        <f>MAX($F$4357:F5077)</f>
        <v>2.4534</v>
      </c>
      <c r="M5077" s="11">
        <f t="shared" si="125"/>
        <v>0.00191570881226044</v>
      </c>
      <c r="N5077" s="9" t="s">
        <v>809</v>
      </c>
    </row>
    <row r="5078" ht="25" customHeight="1" spans="1:14">
      <c r="A5078" s="9" t="s">
        <v>327</v>
      </c>
      <c r="B5078" s="9" t="s">
        <v>326</v>
      </c>
      <c r="C5078" s="10">
        <v>46261</v>
      </c>
      <c r="D5078" s="15">
        <v>1.006</v>
      </c>
      <c r="E5078" s="15">
        <v>1.9382</v>
      </c>
      <c r="F5078" s="15">
        <v>2.4504</v>
      </c>
      <c r="G5078" s="11">
        <v>0.0007</v>
      </c>
      <c r="H5078" s="9">
        <f>MAX($F$3239:F5078)</f>
        <v>2.4534</v>
      </c>
      <c r="I5078" s="11">
        <f t="shared" si="124"/>
        <v>0.0012227928588896</v>
      </c>
      <c r="J5078" s="9">
        <f>MAX($F$4842:F5078)</f>
        <v>2.4534</v>
      </c>
      <c r="K5078" s="11">
        <f t="shared" si="123"/>
        <v>0.0012227928588896</v>
      </c>
      <c r="L5078" s="9">
        <f>MAX($F$4357:F5078)</f>
        <v>2.4534</v>
      </c>
      <c r="M5078" s="11">
        <f t="shared" si="125"/>
        <v>0.0012227928588896</v>
      </c>
      <c r="N5078" s="9" t="s">
        <v>809</v>
      </c>
    </row>
    <row r="5079" ht="25" customHeight="1" spans="1:14">
      <c r="A5079" s="9" t="s">
        <v>327</v>
      </c>
      <c r="B5079" s="9" t="s">
        <v>326</v>
      </c>
      <c r="C5079" s="10">
        <v>46262</v>
      </c>
      <c r="D5079" s="15">
        <v>1.0056</v>
      </c>
      <c r="E5079" s="15">
        <v>1.9378</v>
      </c>
      <c r="F5079" s="15">
        <v>2.4495</v>
      </c>
      <c r="G5079" s="11">
        <v>-0.0004</v>
      </c>
      <c r="H5079" s="9">
        <f>MAX($F$3239:F5079)</f>
        <v>2.4534</v>
      </c>
      <c r="I5079" s="11">
        <f t="shared" si="124"/>
        <v>0.00158963071655649</v>
      </c>
      <c r="J5079" s="9">
        <f>MAX($F$4842:F5079)</f>
        <v>2.4534</v>
      </c>
      <c r="K5079" s="11">
        <f t="shared" si="123"/>
        <v>0.00158963071655649</v>
      </c>
      <c r="L5079" s="9">
        <f>MAX($F$4357:F5079)</f>
        <v>2.4534</v>
      </c>
      <c r="M5079" s="11">
        <f t="shared" si="125"/>
        <v>0.00158963071655649</v>
      </c>
      <c r="N5079" s="9" t="s">
        <v>809</v>
      </c>
    </row>
    <row r="5080" ht="25" customHeight="1" spans="1:14">
      <c r="A5080" s="9" t="s">
        <v>327</v>
      </c>
      <c r="B5080" s="9" t="s">
        <v>326</v>
      </c>
      <c r="C5080" s="10">
        <v>46265</v>
      </c>
      <c r="D5080" s="15">
        <v>1.005</v>
      </c>
      <c r="E5080" s="15">
        <v>1.9372</v>
      </c>
      <c r="F5080" s="15">
        <v>2.448</v>
      </c>
      <c r="G5080" s="11">
        <v>-0.0006</v>
      </c>
      <c r="H5080" s="9">
        <f>MAX($F$3239:F5080)</f>
        <v>2.4534</v>
      </c>
      <c r="I5080" s="11">
        <f t="shared" si="124"/>
        <v>0.00220102714600146</v>
      </c>
      <c r="J5080" s="9">
        <f>MAX($F$4842:F5080)</f>
        <v>2.4534</v>
      </c>
      <c r="K5080" s="11">
        <f t="shared" si="123"/>
        <v>0.00220102714600146</v>
      </c>
      <c r="L5080" s="9">
        <f>MAX($F$4357:F5080)</f>
        <v>2.4534</v>
      </c>
      <c r="M5080" s="11">
        <f t="shared" si="125"/>
        <v>0.00220102714600146</v>
      </c>
      <c r="N5080" s="9" t="s">
        <v>809</v>
      </c>
    </row>
    <row r="5081" ht="25" customHeight="1" spans="1:14">
      <c r="A5081" s="9" t="s">
        <v>327</v>
      </c>
      <c r="B5081" s="9" t="s">
        <v>326</v>
      </c>
      <c r="C5081" s="10">
        <v>46266</v>
      </c>
      <c r="D5081" s="15">
        <v>1.0051</v>
      </c>
      <c r="E5081" s="15">
        <v>1.9373</v>
      </c>
      <c r="F5081" s="15">
        <v>2.4483</v>
      </c>
      <c r="G5081" s="11">
        <v>0.0001</v>
      </c>
      <c r="H5081" s="9">
        <f>MAX($F$3239:F5081)</f>
        <v>2.4534</v>
      </c>
      <c r="I5081" s="11">
        <f t="shared" si="124"/>
        <v>0.00207874786011231</v>
      </c>
      <c r="J5081" s="9">
        <f>MAX($F$4842:F5081)</f>
        <v>2.4534</v>
      </c>
      <c r="K5081" s="11">
        <f t="shared" si="123"/>
        <v>0.00207874786011231</v>
      </c>
      <c r="L5081" s="9">
        <f>MAX($F$4357:F5081)</f>
        <v>2.4534</v>
      </c>
      <c r="M5081" s="11">
        <f t="shared" si="125"/>
        <v>0.00207874786011231</v>
      </c>
      <c r="N5081" s="9" t="s">
        <v>809</v>
      </c>
    </row>
    <row r="5082" ht="25" customHeight="1" spans="1:14">
      <c r="A5082" s="9" t="s">
        <v>327</v>
      </c>
      <c r="B5082" s="9" t="s">
        <v>326</v>
      </c>
      <c r="C5082" s="10">
        <v>46267</v>
      </c>
      <c r="D5082" s="15">
        <v>1.005</v>
      </c>
      <c r="E5082" s="15">
        <v>1.9372</v>
      </c>
      <c r="F5082" s="15">
        <v>2.448</v>
      </c>
      <c r="G5082" s="11">
        <v>-0.0001</v>
      </c>
      <c r="H5082" s="9">
        <f>MAX($F$3239:F5082)</f>
        <v>2.4534</v>
      </c>
      <c r="I5082" s="11">
        <f t="shared" si="124"/>
        <v>0.00220102714600146</v>
      </c>
      <c r="J5082" s="9">
        <f>MAX($F$4842:F5082)</f>
        <v>2.4534</v>
      </c>
      <c r="K5082" s="11">
        <f t="shared" si="123"/>
        <v>0.00220102714600146</v>
      </c>
      <c r="L5082" s="9">
        <f>MAX($F$4357:F5082)</f>
        <v>2.4534</v>
      </c>
      <c r="M5082" s="11">
        <f t="shared" si="125"/>
        <v>0.00220102714600146</v>
      </c>
      <c r="N5082" s="9" t="s">
        <v>809</v>
      </c>
    </row>
    <row r="5083" ht="25" customHeight="1" spans="1:14">
      <c r="A5083" s="9" t="s">
        <v>327</v>
      </c>
      <c r="B5083" s="9" t="s">
        <v>326</v>
      </c>
      <c r="C5083" s="10">
        <v>46268</v>
      </c>
      <c r="D5083" s="15">
        <v>1.0047</v>
      </c>
      <c r="E5083" s="15">
        <v>1.9369</v>
      </c>
      <c r="F5083" s="15">
        <v>2.4473</v>
      </c>
      <c r="G5083" s="11">
        <v>-0.0003</v>
      </c>
      <c r="H5083" s="9">
        <f>MAX($F$3239:F5083)</f>
        <v>2.4534</v>
      </c>
      <c r="I5083" s="11">
        <f t="shared" si="124"/>
        <v>0.00248634547974236</v>
      </c>
      <c r="J5083" s="9">
        <f>MAX($F$4842:F5083)</f>
        <v>2.4534</v>
      </c>
      <c r="K5083" s="11">
        <f t="shared" si="123"/>
        <v>0.00248634547974236</v>
      </c>
      <c r="L5083" s="9">
        <f>MAX($F$4357:F5083)</f>
        <v>2.4534</v>
      </c>
      <c r="M5083" s="11">
        <f t="shared" si="125"/>
        <v>0.00248634547974236</v>
      </c>
      <c r="N5083" s="9" t="s">
        <v>809</v>
      </c>
    </row>
    <row r="5084" ht="25" customHeight="1" spans="1:14">
      <c r="A5084" s="9" t="s">
        <v>327</v>
      </c>
      <c r="B5084" s="9" t="s">
        <v>326</v>
      </c>
      <c r="C5084" s="10">
        <v>46269</v>
      </c>
      <c r="D5084" s="15">
        <v>1.0048</v>
      </c>
      <c r="E5084" s="15">
        <v>1.937</v>
      </c>
      <c r="F5084" s="15">
        <v>2.4475</v>
      </c>
      <c r="G5084" s="11">
        <v>0.0001</v>
      </c>
      <c r="H5084" s="9">
        <f>MAX($F$3239:F5084)</f>
        <v>2.4534</v>
      </c>
      <c r="I5084" s="11">
        <f t="shared" si="124"/>
        <v>0.00240482595581637</v>
      </c>
      <c r="J5084" s="9">
        <f>MAX($F$4842:F5084)</f>
        <v>2.4534</v>
      </c>
      <c r="K5084" s="11">
        <f t="shared" si="123"/>
        <v>0.00240482595581637</v>
      </c>
      <c r="L5084" s="9">
        <f>MAX($F$4357:F5084)</f>
        <v>2.4534</v>
      </c>
      <c r="M5084" s="11">
        <f t="shared" si="125"/>
        <v>0.00240482595581637</v>
      </c>
      <c r="N5084" s="9" t="s">
        <v>809</v>
      </c>
    </row>
    <row r="5085" ht="25" customHeight="1" spans="1:14">
      <c r="A5085" s="9" t="s">
        <v>327</v>
      </c>
      <c r="B5085" s="9" t="s">
        <v>326</v>
      </c>
      <c r="C5085" s="10">
        <v>46272</v>
      </c>
      <c r="D5085" s="15">
        <v>1.0052</v>
      </c>
      <c r="E5085" s="15">
        <v>1.9374</v>
      </c>
      <c r="F5085" s="15">
        <v>2.4485</v>
      </c>
      <c r="G5085" s="11">
        <v>0.0004</v>
      </c>
      <c r="H5085" s="9">
        <f>MAX($F$3239:F5085)</f>
        <v>2.4534</v>
      </c>
      <c r="I5085" s="11">
        <f t="shared" si="124"/>
        <v>0.00199722833618643</v>
      </c>
      <c r="J5085" s="9"/>
      <c r="K5085" s="11"/>
      <c r="L5085" s="9"/>
      <c r="M5085" s="11"/>
      <c r="N5085" s="9" t="s">
        <v>809</v>
      </c>
    </row>
    <row r="5086" ht="25" customHeight="1" spans="1:14">
      <c r="A5086" s="9" t="s">
        <v>327</v>
      </c>
      <c r="B5086" s="9" t="s">
        <v>326</v>
      </c>
      <c r="C5086" s="10">
        <v>46273</v>
      </c>
      <c r="D5086" s="15">
        <v>1.0052</v>
      </c>
      <c r="E5086" s="15">
        <v>1.9374</v>
      </c>
      <c r="F5086" s="15">
        <v>2.4485</v>
      </c>
      <c r="G5086" s="11">
        <v>0</v>
      </c>
      <c r="H5086" s="9">
        <f>MAX($F$3239:F5086)</f>
        <v>2.4534</v>
      </c>
      <c r="I5086" s="11">
        <f t="shared" si="124"/>
        <v>0.00199722833618643</v>
      </c>
      <c r="J5086" s="9"/>
      <c r="K5086" s="11"/>
      <c r="L5086" s="9"/>
      <c r="M5086" s="11"/>
      <c r="N5086" s="9" t="s">
        <v>809</v>
      </c>
    </row>
    <row r="5087" ht="25" customHeight="1" spans="1:14">
      <c r="A5087" s="9" t="s">
        <v>327</v>
      </c>
      <c r="B5087" s="9" t="s">
        <v>326</v>
      </c>
      <c r="C5087" s="10">
        <v>46274</v>
      </c>
      <c r="D5087" s="15">
        <v>1.0045</v>
      </c>
      <c r="E5087" s="15">
        <v>1.9367</v>
      </c>
      <c r="F5087" s="15">
        <v>2.4468</v>
      </c>
      <c r="G5087" s="11">
        <v>-0.0007</v>
      </c>
      <c r="H5087" s="9">
        <f>MAX($F$3239:F5087)</f>
        <v>2.4534</v>
      </c>
      <c r="I5087" s="11">
        <f t="shared" si="124"/>
        <v>0.00269014428955727</v>
      </c>
      <c r="J5087" s="9"/>
      <c r="K5087" s="11"/>
      <c r="L5087" s="9"/>
      <c r="M5087" s="11"/>
      <c r="N5087" s="9" t="s">
        <v>809</v>
      </c>
    </row>
    <row r="5088" ht="25" customHeight="1" spans="1:14">
      <c r="A5088" s="9" t="s">
        <v>327</v>
      </c>
      <c r="B5088" s="9" t="s">
        <v>326</v>
      </c>
      <c r="C5088" s="10">
        <v>46275</v>
      </c>
      <c r="D5088" s="15">
        <v>1.0048</v>
      </c>
      <c r="E5088" s="15">
        <v>1.937</v>
      </c>
      <c r="F5088" s="15">
        <v>2.4475</v>
      </c>
      <c r="G5088" s="11">
        <v>0.0003</v>
      </c>
      <c r="H5088" s="9">
        <f>MAX($F$3239:F5088)</f>
        <v>2.4534</v>
      </c>
      <c r="I5088" s="11">
        <f t="shared" si="124"/>
        <v>0.00240482595581637</v>
      </c>
      <c r="J5088" s="9"/>
      <c r="K5088" s="11"/>
      <c r="L5088" s="9"/>
      <c r="M5088" s="11"/>
      <c r="N5088" s="9" t="s">
        <v>809</v>
      </c>
    </row>
    <row r="5089" ht="25" customHeight="1" spans="1:14">
      <c r="A5089" s="9" t="s">
        <v>422</v>
      </c>
      <c r="B5089" s="9" t="s">
        <v>421</v>
      </c>
      <c r="C5089" s="10">
        <v>44883</v>
      </c>
      <c r="D5089" s="15">
        <v>0.9999</v>
      </c>
      <c r="E5089" s="15">
        <v>0.9999</v>
      </c>
      <c r="F5089" s="15">
        <v>0.9999</v>
      </c>
      <c r="G5089" s="11"/>
      <c r="H5089" s="9">
        <f>MAX($F$5089:F5089)</f>
        <v>0.9999</v>
      </c>
      <c r="I5089" s="11">
        <f t="shared" si="124"/>
        <v>0</v>
      </c>
      <c r="J5089" s="9"/>
      <c r="K5089" s="11"/>
      <c r="L5089" s="9"/>
      <c r="M5089" s="11"/>
      <c r="N5089" s="9" t="s">
        <v>814</v>
      </c>
    </row>
    <row r="5090" ht="25" customHeight="1" spans="1:14">
      <c r="A5090" s="9" t="s">
        <v>422</v>
      </c>
      <c r="B5090" s="9" t="s">
        <v>421</v>
      </c>
      <c r="C5090" s="10">
        <v>44890</v>
      </c>
      <c r="D5090" s="15">
        <v>0.9997</v>
      </c>
      <c r="E5090" s="15">
        <v>0.9997</v>
      </c>
      <c r="F5090" s="15">
        <v>0.9997</v>
      </c>
      <c r="G5090" s="11">
        <v>-0.0002</v>
      </c>
      <c r="H5090" s="9">
        <f>MAX($F$5089:F5090)</f>
        <v>0.9999</v>
      </c>
      <c r="I5090" s="11">
        <f t="shared" si="124"/>
        <v>0.000200020002000145</v>
      </c>
      <c r="J5090" s="9"/>
      <c r="K5090" s="11"/>
      <c r="L5090" s="9"/>
      <c r="M5090" s="11"/>
      <c r="N5090" s="9" t="s">
        <v>814</v>
      </c>
    </row>
    <row r="5091" ht="25" customHeight="1" spans="1:14">
      <c r="A5091" s="9" t="s">
        <v>422</v>
      </c>
      <c r="B5091" s="9" t="s">
        <v>421</v>
      </c>
      <c r="C5091" s="10">
        <v>44897</v>
      </c>
      <c r="D5091" s="15">
        <v>0.9995</v>
      </c>
      <c r="E5091" s="15">
        <v>0.9995</v>
      </c>
      <c r="F5091" s="15">
        <v>0.9995</v>
      </c>
      <c r="G5091" s="11">
        <v>-0.0002</v>
      </c>
      <c r="H5091" s="9">
        <f>MAX($F$5089:F5091)</f>
        <v>0.9999</v>
      </c>
      <c r="I5091" s="11">
        <f t="shared" si="124"/>
        <v>0.000400040004000402</v>
      </c>
      <c r="J5091" s="9"/>
      <c r="K5091" s="11"/>
      <c r="L5091" s="9"/>
      <c r="M5091" s="11"/>
      <c r="N5091" s="9" t="s">
        <v>814</v>
      </c>
    </row>
    <row r="5092" ht="25" customHeight="1" spans="1:14">
      <c r="A5092" s="9" t="s">
        <v>422</v>
      </c>
      <c r="B5092" s="9" t="s">
        <v>421</v>
      </c>
      <c r="C5092" s="10">
        <v>44904</v>
      </c>
      <c r="D5092" s="15">
        <v>0.9975</v>
      </c>
      <c r="E5092" s="15">
        <v>0.9975</v>
      </c>
      <c r="F5092" s="15">
        <v>0.9975</v>
      </c>
      <c r="G5092" s="11">
        <v>-0.002</v>
      </c>
      <c r="H5092" s="9">
        <f>MAX($F$5089:F5092)</f>
        <v>0.9999</v>
      </c>
      <c r="I5092" s="11">
        <f t="shared" si="124"/>
        <v>0.00240024002400241</v>
      </c>
      <c r="J5092" s="9"/>
      <c r="K5092" s="11"/>
      <c r="L5092" s="9"/>
      <c r="M5092" s="11"/>
      <c r="N5092" s="9" t="s">
        <v>814</v>
      </c>
    </row>
    <row r="5093" ht="25" customHeight="1" spans="1:14">
      <c r="A5093" s="9" t="s">
        <v>422</v>
      </c>
      <c r="B5093" s="9" t="s">
        <v>421</v>
      </c>
      <c r="C5093" s="10">
        <v>44911</v>
      </c>
      <c r="D5093" s="15">
        <v>0.9952</v>
      </c>
      <c r="E5093" s="15">
        <v>0.9952</v>
      </c>
      <c r="F5093" s="15">
        <v>0.9952</v>
      </c>
      <c r="G5093" s="11">
        <v>-0.0023</v>
      </c>
      <c r="H5093" s="9">
        <f>MAX($F$5089:F5093)</f>
        <v>0.9999</v>
      </c>
      <c r="I5093" s="11">
        <f t="shared" si="124"/>
        <v>0.00470047004700469</v>
      </c>
      <c r="J5093" s="9"/>
      <c r="K5093" s="11"/>
      <c r="L5093" s="9"/>
      <c r="M5093" s="11"/>
      <c r="N5093" s="9" t="s">
        <v>814</v>
      </c>
    </row>
    <row r="5094" ht="25" customHeight="1" spans="1:14">
      <c r="A5094" s="9" t="s">
        <v>422</v>
      </c>
      <c r="B5094" s="9" t="s">
        <v>421</v>
      </c>
      <c r="C5094" s="10">
        <v>44918</v>
      </c>
      <c r="D5094" s="15">
        <v>0.9948</v>
      </c>
      <c r="E5094" s="15">
        <v>0.9948</v>
      </c>
      <c r="F5094" s="15">
        <v>0.9948</v>
      </c>
      <c r="G5094" s="11">
        <v>-0.0004</v>
      </c>
      <c r="H5094" s="9">
        <f>MAX($F$5089:F5094)</f>
        <v>0.9999</v>
      </c>
      <c r="I5094" s="11">
        <f t="shared" si="124"/>
        <v>0.00510051005100509</v>
      </c>
      <c r="J5094" s="9"/>
      <c r="K5094" s="11"/>
      <c r="L5094" s="9"/>
      <c r="M5094" s="11"/>
      <c r="N5094" s="9" t="s">
        <v>814</v>
      </c>
    </row>
    <row r="5095" ht="25" customHeight="1" spans="1:14">
      <c r="A5095" s="9" t="s">
        <v>422</v>
      </c>
      <c r="B5095" s="9" t="s">
        <v>421</v>
      </c>
      <c r="C5095" s="10">
        <v>44925</v>
      </c>
      <c r="D5095" s="15">
        <v>0.9931</v>
      </c>
      <c r="E5095" s="15">
        <v>0.9931</v>
      </c>
      <c r="F5095" s="15">
        <v>0.9931</v>
      </c>
      <c r="G5095" s="11">
        <v>-0.0017</v>
      </c>
      <c r="H5095" s="9">
        <f>MAX($F$5089:F5095)</f>
        <v>0.9999</v>
      </c>
      <c r="I5095" s="11">
        <f t="shared" si="124"/>
        <v>0.00680068006800683</v>
      </c>
      <c r="J5095" s="9"/>
      <c r="K5095" s="11"/>
      <c r="L5095" s="9"/>
      <c r="M5095" s="11"/>
      <c r="N5095" s="9" t="s">
        <v>814</v>
      </c>
    </row>
    <row r="5096" ht="25" customHeight="1" spans="1:14">
      <c r="A5096" s="9" t="s">
        <v>422</v>
      </c>
      <c r="B5096" s="9" t="s">
        <v>421</v>
      </c>
      <c r="C5096" s="10">
        <v>44932</v>
      </c>
      <c r="D5096" s="15">
        <v>0.9959</v>
      </c>
      <c r="E5096" s="15">
        <v>0.9959</v>
      </c>
      <c r="F5096" s="15">
        <v>0.9959</v>
      </c>
      <c r="G5096" s="11">
        <v>0.0028</v>
      </c>
      <c r="H5096" s="9">
        <f>MAX($F$5089:F5096)</f>
        <v>0.9999</v>
      </c>
      <c r="I5096" s="11">
        <f t="shared" si="124"/>
        <v>0.00400040004000402</v>
      </c>
      <c r="J5096" s="9"/>
      <c r="K5096" s="11"/>
      <c r="L5096" s="9"/>
      <c r="M5096" s="11"/>
      <c r="N5096" s="9" t="s">
        <v>814</v>
      </c>
    </row>
    <row r="5097" ht="25" customHeight="1" spans="1:14">
      <c r="A5097" s="9" t="s">
        <v>422</v>
      </c>
      <c r="B5097" s="9" t="s">
        <v>421</v>
      </c>
      <c r="C5097" s="10">
        <v>44939</v>
      </c>
      <c r="D5097" s="15">
        <v>0.9987</v>
      </c>
      <c r="E5097" s="15">
        <v>0.9987</v>
      </c>
      <c r="F5097" s="15">
        <v>0.9987</v>
      </c>
      <c r="G5097" s="11">
        <v>0.0028</v>
      </c>
      <c r="H5097" s="9">
        <f>MAX($F$5089:F5097)</f>
        <v>0.9999</v>
      </c>
      <c r="I5097" s="11">
        <f t="shared" si="124"/>
        <v>0.0012001200120012</v>
      </c>
      <c r="J5097" s="9"/>
      <c r="K5097" s="11"/>
      <c r="L5097" s="9"/>
      <c r="M5097" s="11"/>
      <c r="N5097" s="9" t="s">
        <v>814</v>
      </c>
    </row>
    <row r="5098" ht="25" customHeight="1" spans="1:14">
      <c r="A5098" s="9" t="s">
        <v>422</v>
      </c>
      <c r="B5098" s="9" t="s">
        <v>421</v>
      </c>
      <c r="C5098" s="10">
        <v>44946</v>
      </c>
      <c r="D5098" s="15">
        <v>1.003</v>
      </c>
      <c r="E5098" s="15">
        <v>1.003</v>
      </c>
      <c r="F5098" s="15">
        <v>1.003</v>
      </c>
      <c r="G5098" s="11">
        <v>0.0043</v>
      </c>
      <c r="H5098" s="9">
        <f>MAX($F$5089:F5098)</f>
        <v>1.003</v>
      </c>
      <c r="I5098" s="11">
        <f t="shared" si="124"/>
        <v>0</v>
      </c>
      <c r="J5098" s="9"/>
      <c r="K5098" s="11"/>
      <c r="L5098" s="9"/>
      <c r="M5098" s="11"/>
      <c r="N5098" s="9" t="s">
        <v>814</v>
      </c>
    </row>
    <row r="5099" ht="25" customHeight="1" spans="1:14">
      <c r="A5099" s="9" t="s">
        <v>422</v>
      </c>
      <c r="B5099" s="9" t="s">
        <v>421</v>
      </c>
      <c r="C5099" s="10">
        <v>44960</v>
      </c>
      <c r="D5099" s="15">
        <v>1.0091</v>
      </c>
      <c r="E5099" s="15">
        <v>1.0091</v>
      </c>
      <c r="F5099" s="15">
        <v>1.0091</v>
      </c>
      <c r="G5099" s="11">
        <v>0.0061</v>
      </c>
      <c r="H5099" s="9">
        <f>MAX($F$5089:F5099)</f>
        <v>1.0091</v>
      </c>
      <c r="I5099" s="11">
        <f t="shared" si="124"/>
        <v>0</v>
      </c>
      <c r="J5099" s="9"/>
      <c r="K5099" s="11"/>
      <c r="L5099" s="9"/>
      <c r="M5099" s="11"/>
      <c r="N5099" s="9" t="s">
        <v>814</v>
      </c>
    </row>
    <row r="5100" ht="25" customHeight="1" spans="1:14">
      <c r="A5100" s="9" t="s">
        <v>422</v>
      </c>
      <c r="B5100" s="9" t="s">
        <v>421</v>
      </c>
      <c r="C5100" s="10">
        <v>44967</v>
      </c>
      <c r="D5100" s="15">
        <v>1.0119</v>
      </c>
      <c r="E5100" s="15">
        <v>1.0119</v>
      </c>
      <c r="F5100" s="15">
        <v>1.0119</v>
      </c>
      <c r="G5100" s="11">
        <v>0.0028</v>
      </c>
      <c r="H5100" s="9">
        <f>MAX($F$5089:F5100)</f>
        <v>1.0119</v>
      </c>
      <c r="I5100" s="11">
        <f t="shared" si="124"/>
        <v>0</v>
      </c>
      <c r="J5100" s="9"/>
      <c r="K5100" s="11"/>
      <c r="L5100" s="9"/>
      <c r="M5100" s="11"/>
      <c r="N5100" s="9" t="s">
        <v>814</v>
      </c>
    </row>
    <row r="5101" ht="25" customHeight="1" spans="1:14">
      <c r="A5101" s="9" t="s">
        <v>422</v>
      </c>
      <c r="B5101" s="9" t="s">
        <v>421</v>
      </c>
      <c r="C5101" s="10">
        <v>44974</v>
      </c>
      <c r="D5101" s="15">
        <v>1.0151</v>
      </c>
      <c r="E5101" s="15">
        <v>1.0151</v>
      </c>
      <c r="F5101" s="15">
        <v>1.0151</v>
      </c>
      <c r="G5101" s="11">
        <v>0.0032</v>
      </c>
      <c r="H5101" s="9">
        <f>MAX($F$5089:F5101)</f>
        <v>1.0151</v>
      </c>
      <c r="I5101" s="11">
        <f t="shared" si="124"/>
        <v>0</v>
      </c>
      <c r="J5101" s="9"/>
      <c r="K5101" s="11"/>
      <c r="L5101" s="9"/>
      <c r="M5101" s="11"/>
      <c r="N5101" s="9" t="s">
        <v>814</v>
      </c>
    </row>
    <row r="5102" ht="25" customHeight="1" spans="1:14">
      <c r="A5102" s="9" t="s">
        <v>422</v>
      </c>
      <c r="B5102" s="9" t="s">
        <v>421</v>
      </c>
      <c r="C5102" s="10">
        <v>44981</v>
      </c>
      <c r="D5102" s="15">
        <v>1.0144</v>
      </c>
      <c r="E5102" s="15">
        <v>1.0144</v>
      </c>
      <c r="F5102" s="15">
        <v>1.0144</v>
      </c>
      <c r="G5102" s="11">
        <v>-0.0007</v>
      </c>
      <c r="H5102" s="9">
        <f>MAX($F$5089:F5102)</f>
        <v>1.0151</v>
      </c>
      <c r="I5102" s="11">
        <f t="shared" si="124"/>
        <v>0.000689587232784894</v>
      </c>
      <c r="J5102" s="9"/>
      <c r="K5102" s="11"/>
      <c r="L5102" s="9"/>
      <c r="M5102" s="11"/>
      <c r="N5102" s="9" t="s">
        <v>814</v>
      </c>
    </row>
    <row r="5103" ht="25" customHeight="1" spans="1:14">
      <c r="A5103" s="9" t="s">
        <v>422</v>
      </c>
      <c r="B5103" s="9" t="s">
        <v>421</v>
      </c>
      <c r="C5103" s="10">
        <v>44988</v>
      </c>
      <c r="D5103" s="15">
        <v>1.0149</v>
      </c>
      <c r="E5103" s="15">
        <v>1.0149</v>
      </c>
      <c r="F5103" s="15">
        <v>1.0149</v>
      </c>
      <c r="G5103" s="11">
        <v>0.0005</v>
      </c>
      <c r="H5103" s="9">
        <f>MAX($F$5089:F5103)</f>
        <v>1.0151</v>
      </c>
      <c r="I5103" s="11">
        <f t="shared" si="124"/>
        <v>0.000197024923652811</v>
      </c>
      <c r="J5103" s="9"/>
      <c r="K5103" s="11"/>
      <c r="L5103" s="9"/>
      <c r="M5103" s="11"/>
      <c r="N5103" s="9" t="s">
        <v>814</v>
      </c>
    </row>
    <row r="5104" ht="25" customHeight="1" spans="1:14">
      <c r="A5104" s="9" t="s">
        <v>422</v>
      </c>
      <c r="B5104" s="9" t="s">
        <v>421</v>
      </c>
      <c r="C5104" s="10">
        <v>44995</v>
      </c>
      <c r="D5104" s="15">
        <v>1.0138</v>
      </c>
      <c r="E5104" s="15">
        <v>1.0138</v>
      </c>
      <c r="F5104" s="15">
        <v>1.0138</v>
      </c>
      <c r="G5104" s="11">
        <v>-0.0011</v>
      </c>
      <c r="H5104" s="9">
        <f>MAX($F$5089:F5104)</f>
        <v>1.0151</v>
      </c>
      <c r="I5104" s="11">
        <f t="shared" si="124"/>
        <v>0.00128066200374333</v>
      </c>
      <c r="J5104" s="9"/>
      <c r="K5104" s="11"/>
      <c r="L5104" s="9"/>
      <c r="M5104" s="11"/>
      <c r="N5104" s="9" t="s">
        <v>814</v>
      </c>
    </row>
    <row r="5105" ht="25" customHeight="1" spans="1:14">
      <c r="A5105" s="9" t="s">
        <v>422</v>
      </c>
      <c r="B5105" s="9" t="s">
        <v>421</v>
      </c>
      <c r="C5105" s="10">
        <v>45002</v>
      </c>
      <c r="D5105" s="15">
        <v>1.0125</v>
      </c>
      <c r="E5105" s="15">
        <v>1.0125</v>
      </c>
      <c r="F5105" s="15">
        <v>1.0125</v>
      </c>
      <c r="G5105" s="11">
        <v>-0.0013</v>
      </c>
      <c r="H5105" s="9">
        <f>MAX($F$5089:F5105)</f>
        <v>1.0151</v>
      </c>
      <c r="I5105" s="11">
        <f t="shared" si="124"/>
        <v>0.00256132400748688</v>
      </c>
      <c r="J5105" s="9"/>
      <c r="K5105" s="11"/>
      <c r="L5105" s="9"/>
      <c r="M5105" s="11"/>
      <c r="N5105" s="9" t="s">
        <v>814</v>
      </c>
    </row>
    <row r="5106" ht="25" customHeight="1" spans="1:14">
      <c r="A5106" s="9" t="s">
        <v>422</v>
      </c>
      <c r="B5106" s="9" t="s">
        <v>421</v>
      </c>
      <c r="C5106" s="10">
        <v>45009</v>
      </c>
      <c r="D5106" s="15">
        <v>1.0168</v>
      </c>
      <c r="E5106" s="15">
        <v>1.0168</v>
      </c>
      <c r="F5106" s="15">
        <v>1.0168</v>
      </c>
      <c r="G5106" s="11">
        <v>0.0042</v>
      </c>
      <c r="H5106" s="9">
        <f>MAX($F$5089:F5106)</f>
        <v>1.0168</v>
      </c>
      <c r="I5106" s="11">
        <f t="shared" si="124"/>
        <v>0</v>
      </c>
      <c r="J5106" s="9"/>
      <c r="K5106" s="11"/>
      <c r="L5106" s="9"/>
      <c r="M5106" s="11"/>
      <c r="N5106" s="9" t="s">
        <v>814</v>
      </c>
    </row>
    <row r="5107" ht="25" customHeight="1" spans="1:14">
      <c r="A5107" s="9" t="s">
        <v>422</v>
      </c>
      <c r="B5107" s="9" t="s">
        <v>421</v>
      </c>
      <c r="C5107" s="10">
        <v>45016</v>
      </c>
      <c r="D5107" s="15">
        <v>1.0195</v>
      </c>
      <c r="E5107" s="15">
        <v>1.0195</v>
      </c>
      <c r="F5107" s="15">
        <v>1.0195</v>
      </c>
      <c r="G5107" s="11">
        <v>0.0027</v>
      </c>
      <c r="H5107" s="9">
        <f>MAX($F$5089:F5107)</f>
        <v>1.0195</v>
      </c>
      <c r="I5107" s="11">
        <f t="shared" si="124"/>
        <v>0</v>
      </c>
      <c r="J5107" s="9"/>
      <c r="K5107" s="11"/>
      <c r="L5107" s="9"/>
      <c r="M5107" s="11"/>
      <c r="N5107" s="9" t="s">
        <v>814</v>
      </c>
    </row>
    <row r="5108" ht="25" customHeight="1" spans="1:14">
      <c r="A5108" s="9" t="s">
        <v>422</v>
      </c>
      <c r="B5108" s="9" t="s">
        <v>421</v>
      </c>
      <c r="C5108" s="10">
        <v>45023</v>
      </c>
      <c r="D5108" s="15">
        <v>1.0248</v>
      </c>
      <c r="E5108" s="15">
        <v>1.0248</v>
      </c>
      <c r="F5108" s="15">
        <v>1.0248</v>
      </c>
      <c r="G5108" s="11">
        <v>0.0052</v>
      </c>
      <c r="H5108" s="9">
        <f>MAX($F$5089:F5108)</f>
        <v>1.0248</v>
      </c>
      <c r="I5108" s="11">
        <f t="shared" si="124"/>
        <v>0</v>
      </c>
      <c r="J5108" s="9"/>
      <c r="K5108" s="11"/>
      <c r="L5108" s="9"/>
      <c r="M5108" s="11"/>
      <c r="N5108" s="9" t="s">
        <v>814</v>
      </c>
    </row>
    <row r="5109" ht="25" customHeight="1" spans="1:14">
      <c r="A5109" s="9" t="s">
        <v>422</v>
      </c>
      <c r="B5109" s="9" t="s">
        <v>421</v>
      </c>
      <c r="C5109" s="10">
        <v>45030</v>
      </c>
      <c r="D5109" s="15">
        <v>1.0282</v>
      </c>
      <c r="E5109" s="15">
        <v>1.0282</v>
      </c>
      <c r="F5109" s="15">
        <v>1.0282</v>
      </c>
      <c r="G5109" s="11">
        <v>0.0033</v>
      </c>
      <c r="H5109" s="9">
        <f>MAX($F$5089:F5109)</f>
        <v>1.0282</v>
      </c>
      <c r="I5109" s="11">
        <f t="shared" si="124"/>
        <v>0</v>
      </c>
      <c r="J5109" s="9"/>
      <c r="K5109" s="11"/>
      <c r="L5109" s="9"/>
      <c r="M5109" s="11"/>
      <c r="N5109" s="9" t="s">
        <v>814</v>
      </c>
    </row>
    <row r="5110" ht="25" customHeight="1" spans="1:14">
      <c r="A5110" s="9" t="s">
        <v>422</v>
      </c>
      <c r="B5110" s="9" t="s">
        <v>421</v>
      </c>
      <c r="C5110" s="10">
        <v>45037</v>
      </c>
      <c r="D5110" s="15">
        <v>1.0278</v>
      </c>
      <c r="E5110" s="15">
        <v>1.0278</v>
      </c>
      <c r="F5110" s="15">
        <v>1.0278</v>
      </c>
      <c r="G5110" s="11">
        <v>-0.0004</v>
      </c>
      <c r="H5110" s="9">
        <f>MAX($F$5089:F5110)</f>
        <v>1.0282</v>
      </c>
      <c r="I5110" s="11">
        <f t="shared" si="124"/>
        <v>0.000389029371717475</v>
      </c>
      <c r="J5110" s="9"/>
      <c r="K5110" s="11"/>
      <c r="L5110" s="9"/>
      <c r="M5110" s="11"/>
      <c r="N5110" s="9" t="s">
        <v>814</v>
      </c>
    </row>
    <row r="5111" ht="25" customHeight="1" spans="1:14">
      <c r="A5111" s="9" t="s">
        <v>422</v>
      </c>
      <c r="B5111" s="9" t="s">
        <v>421</v>
      </c>
      <c r="C5111" s="10">
        <v>45044</v>
      </c>
      <c r="D5111" s="15">
        <v>1.0253</v>
      </c>
      <c r="E5111" s="15">
        <v>1.0253</v>
      </c>
      <c r="F5111" s="15">
        <v>1.0253</v>
      </c>
      <c r="G5111" s="11">
        <v>-0.0024</v>
      </c>
      <c r="H5111" s="9">
        <f>MAX($F$5089:F5111)</f>
        <v>1.0282</v>
      </c>
      <c r="I5111" s="11">
        <f t="shared" si="124"/>
        <v>0.0028204629449522</v>
      </c>
      <c r="J5111" s="9"/>
      <c r="K5111" s="11"/>
      <c r="L5111" s="9"/>
      <c r="M5111" s="11"/>
      <c r="N5111" s="9" t="s">
        <v>814</v>
      </c>
    </row>
    <row r="5112" ht="25" customHeight="1" spans="1:14">
      <c r="A5112" s="9" t="s">
        <v>422</v>
      </c>
      <c r="B5112" s="9" t="s">
        <v>421</v>
      </c>
      <c r="C5112" s="10">
        <v>45051</v>
      </c>
      <c r="D5112" s="15">
        <v>1.0288</v>
      </c>
      <c r="E5112" s="15">
        <v>1.0288</v>
      </c>
      <c r="F5112" s="15">
        <v>1.0288</v>
      </c>
      <c r="G5112" s="11">
        <v>0.0034</v>
      </c>
      <c r="H5112" s="9">
        <f>MAX($F$5089:F5112)</f>
        <v>1.0288</v>
      </c>
      <c r="I5112" s="11">
        <f t="shared" si="124"/>
        <v>0</v>
      </c>
      <c r="J5112" s="9"/>
      <c r="K5112" s="11"/>
      <c r="L5112" s="9"/>
      <c r="M5112" s="11"/>
      <c r="N5112" s="9" t="s">
        <v>814</v>
      </c>
    </row>
    <row r="5113" ht="25" customHeight="1" spans="1:14">
      <c r="A5113" s="9" t="s">
        <v>422</v>
      </c>
      <c r="B5113" s="9" t="s">
        <v>421</v>
      </c>
      <c r="C5113" s="10">
        <v>45058</v>
      </c>
      <c r="D5113" s="15">
        <v>1.0301</v>
      </c>
      <c r="E5113" s="15">
        <v>1.0301</v>
      </c>
      <c r="F5113" s="15">
        <v>1.0301</v>
      </c>
      <c r="G5113" s="11">
        <v>0.0013</v>
      </c>
      <c r="H5113" s="9">
        <f>MAX($F$5089:F5113)</f>
        <v>1.0301</v>
      </c>
      <c r="I5113" s="11">
        <f t="shared" si="124"/>
        <v>0</v>
      </c>
      <c r="J5113" s="9"/>
      <c r="K5113" s="11"/>
      <c r="L5113" s="9"/>
      <c r="M5113" s="11"/>
      <c r="N5113" s="9" t="s">
        <v>814</v>
      </c>
    </row>
    <row r="5114" ht="25" customHeight="1" spans="1:14">
      <c r="A5114" s="9" t="s">
        <v>422</v>
      </c>
      <c r="B5114" s="9" t="s">
        <v>421</v>
      </c>
      <c r="C5114" s="10">
        <v>45065</v>
      </c>
      <c r="D5114" s="15">
        <v>1.0258</v>
      </c>
      <c r="E5114" s="15">
        <v>1.0258</v>
      </c>
      <c r="F5114" s="15">
        <v>1.0258</v>
      </c>
      <c r="G5114" s="11">
        <v>-0.0042</v>
      </c>
      <c r="H5114" s="9">
        <f>MAX($F$5089:F5114)</f>
        <v>1.0301</v>
      </c>
      <c r="I5114" s="11">
        <f t="shared" si="124"/>
        <v>0.00417435200465976</v>
      </c>
      <c r="J5114" s="9"/>
      <c r="K5114" s="11"/>
      <c r="L5114" s="9"/>
      <c r="M5114" s="11"/>
      <c r="N5114" s="9" t="s">
        <v>814</v>
      </c>
    </row>
    <row r="5115" ht="25" customHeight="1" spans="1:14">
      <c r="A5115" s="9" t="s">
        <v>422</v>
      </c>
      <c r="B5115" s="9" t="s">
        <v>421</v>
      </c>
      <c r="C5115" s="10">
        <v>45072</v>
      </c>
      <c r="D5115" s="15">
        <v>1.0265</v>
      </c>
      <c r="E5115" s="15">
        <v>1.0265</v>
      </c>
      <c r="F5115" s="15">
        <v>1.0265</v>
      </c>
      <c r="G5115" s="11">
        <v>0.0007</v>
      </c>
      <c r="H5115" s="9">
        <f>MAX($F$5089:F5115)</f>
        <v>1.0301</v>
      </c>
      <c r="I5115" s="11">
        <f t="shared" si="124"/>
        <v>0.00349480632948262</v>
      </c>
      <c r="J5115" s="9"/>
      <c r="K5115" s="11"/>
      <c r="L5115" s="9"/>
      <c r="M5115" s="11"/>
      <c r="N5115" s="9" t="s">
        <v>814</v>
      </c>
    </row>
    <row r="5116" ht="25" customHeight="1" spans="1:14">
      <c r="A5116" s="9" t="s">
        <v>422</v>
      </c>
      <c r="B5116" s="9" t="s">
        <v>421</v>
      </c>
      <c r="C5116" s="10">
        <v>45079</v>
      </c>
      <c r="D5116" s="15">
        <v>1.0287</v>
      </c>
      <c r="E5116" s="15">
        <v>1.0287</v>
      </c>
      <c r="F5116" s="15">
        <v>1.0287</v>
      </c>
      <c r="G5116" s="11">
        <v>0.0021</v>
      </c>
      <c r="H5116" s="9">
        <f>MAX($F$5089:F5116)</f>
        <v>1.0301</v>
      </c>
      <c r="I5116" s="11">
        <f t="shared" si="124"/>
        <v>0.00135909135035439</v>
      </c>
      <c r="J5116" s="9"/>
      <c r="K5116" s="11"/>
      <c r="L5116" s="9"/>
      <c r="M5116" s="11"/>
      <c r="N5116" s="9" t="s">
        <v>814</v>
      </c>
    </row>
    <row r="5117" ht="25" customHeight="1" spans="1:14">
      <c r="A5117" s="9" t="s">
        <v>422</v>
      </c>
      <c r="B5117" s="9" t="s">
        <v>421</v>
      </c>
      <c r="C5117" s="10">
        <v>45086</v>
      </c>
      <c r="D5117" s="15">
        <v>1.027</v>
      </c>
      <c r="E5117" s="15">
        <v>1.027</v>
      </c>
      <c r="F5117" s="15">
        <v>1.027</v>
      </c>
      <c r="G5117" s="11">
        <v>-0.0017</v>
      </c>
      <c r="H5117" s="9">
        <f>MAX($F$5089:F5117)</f>
        <v>1.0301</v>
      </c>
      <c r="I5117" s="11">
        <f t="shared" si="124"/>
        <v>0.003009416561499</v>
      </c>
      <c r="J5117" s="9"/>
      <c r="K5117" s="11"/>
      <c r="L5117" s="9"/>
      <c r="M5117" s="11"/>
      <c r="N5117" s="9" t="s">
        <v>814</v>
      </c>
    </row>
    <row r="5118" ht="25" customHeight="1" spans="1:14">
      <c r="A5118" s="9" t="s">
        <v>422</v>
      </c>
      <c r="B5118" s="9" t="s">
        <v>421</v>
      </c>
      <c r="C5118" s="10">
        <v>45093</v>
      </c>
      <c r="D5118" s="15">
        <v>1.0244</v>
      </c>
      <c r="E5118" s="15">
        <v>1.0244</v>
      </c>
      <c r="F5118" s="15">
        <v>1.0244</v>
      </c>
      <c r="G5118" s="11">
        <v>-0.0025</v>
      </c>
      <c r="H5118" s="9">
        <f>MAX($F$5089:F5118)</f>
        <v>1.0301</v>
      </c>
      <c r="I5118" s="11">
        <f t="shared" si="124"/>
        <v>0.00553344335501416</v>
      </c>
      <c r="J5118" s="9"/>
      <c r="K5118" s="11"/>
      <c r="L5118" s="9"/>
      <c r="M5118" s="11"/>
      <c r="N5118" s="9" t="s">
        <v>814</v>
      </c>
    </row>
    <row r="5119" ht="25" customHeight="1" spans="1:14">
      <c r="A5119" s="9" t="s">
        <v>422</v>
      </c>
      <c r="B5119" s="9" t="s">
        <v>421</v>
      </c>
      <c r="C5119" s="10">
        <v>45098</v>
      </c>
      <c r="D5119" s="15">
        <v>1.0263</v>
      </c>
      <c r="E5119" s="15">
        <v>1.0263</v>
      </c>
      <c r="F5119" s="15">
        <v>1.0263</v>
      </c>
      <c r="G5119" s="11">
        <v>0.0019</v>
      </c>
      <c r="H5119" s="9">
        <f>MAX($F$5089:F5119)</f>
        <v>1.0301</v>
      </c>
      <c r="I5119" s="11">
        <f t="shared" si="124"/>
        <v>0.00368896223667603</v>
      </c>
      <c r="J5119" s="9"/>
      <c r="K5119" s="11"/>
      <c r="L5119" s="9"/>
      <c r="M5119" s="11"/>
      <c r="N5119" s="9" t="s">
        <v>814</v>
      </c>
    </row>
    <row r="5120" ht="25" customHeight="1" spans="1:14">
      <c r="A5120" s="9" t="s">
        <v>422</v>
      </c>
      <c r="B5120" s="9" t="s">
        <v>421</v>
      </c>
      <c r="C5120" s="10">
        <v>45107</v>
      </c>
      <c r="D5120" s="15">
        <v>1.0219</v>
      </c>
      <c r="E5120" s="15">
        <v>1.0219</v>
      </c>
      <c r="F5120" s="15">
        <v>1.0219</v>
      </c>
      <c r="G5120" s="11">
        <v>-0.0043</v>
      </c>
      <c r="H5120" s="9">
        <f>MAX($F$5089:F5120)</f>
        <v>1.0301</v>
      </c>
      <c r="I5120" s="11">
        <f t="shared" si="124"/>
        <v>0.0079603921949325</v>
      </c>
      <c r="J5120" s="9"/>
      <c r="K5120" s="11"/>
      <c r="L5120" s="9"/>
      <c r="M5120" s="11"/>
      <c r="N5120" s="9" t="s">
        <v>814</v>
      </c>
    </row>
    <row r="5121" ht="25" customHeight="1" spans="1:14">
      <c r="A5121" s="9" t="s">
        <v>422</v>
      </c>
      <c r="B5121" s="9" t="s">
        <v>421</v>
      </c>
      <c r="C5121" s="10">
        <v>45114</v>
      </c>
      <c r="D5121" s="15">
        <v>1.0262</v>
      </c>
      <c r="E5121" s="15">
        <v>1.0262</v>
      </c>
      <c r="F5121" s="15">
        <v>1.0262</v>
      </c>
      <c r="G5121" s="11">
        <v>0.0042</v>
      </c>
      <c r="H5121" s="9">
        <f>MAX($F$5089:F5121)</f>
        <v>1.0301</v>
      </c>
      <c r="I5121" s="11">
        <f t="shared" si="124"/>
        <v>0.00378604019027284</v>
      </c>
      <c r="J5121" s="9"/>
      <c r="K5121" s="11"/>
      <c r="L5121" s="9"/>
      <c r="M5121" s="11"/>
      <c r="N5121" s="9" t="s">
        <v>814</v>
      </c>
    </row>
    <row r="5122" ht="25" customHeight="1" spans="1:14">
      <c r="A5122" s="9" t="s">
        <v>422</v>
      </c>
      <c r="B5122" s="9" t="s">
        <v>421</v>
      </c>
      <c r="C5122" s="10">
        <v>45121</v>
      </c>
      <c r="D5122" s="15">
        <v>1.0263</v>
      </c>
      <c r="E5122" s="15">
        <v>1.0263</v>
      </c>
      <c r="F5122" s="15">
        <v>1.0263</v>
      </c>
      <c r="G5122" s="11">
        <v>0.0001</v>
      </c>
      <c r="H5122" s="9">
        <f>MAX($F$5089:F5122)</f>
        <v>1.0301</v>
      </c>
      <c r="I5122" s="11">
        <f t="shared" ref="I5122:I5185" si="126">1-F5122/H5122</f>
        <v>0.00368896223667603</v>
      </c>
      <c r="J5122" s="9"/>
      <c r="K5122" s="11"/>
      <c r="L5122" s="9"/>
      <c r="M5122" s="11"/>
      <c r="N5122" s="9" t="s">
        <v>814</v>
      </c>
    </row>
    <row r="5123" ht="25" customHeight="1" spans="1:14">
      <c r="A5123" s="9" t="s">
        <v>422</v>
      </c>
      <c r="B5123" s="9" t="s">
        <v>421</v>
      </c>
      <c r="C5123" s="10">
        <v>45128</v>
      </c>
      <c r="D5123" s="15">
        <v>1.0193</v>
      </c>
      <c r="E5123" s="15">
        <v>1.0193</v>
      </c>
      <c r="F5123" s="15">
        <v>1.0193</v>
      </c>
      <c r="G5123" s="11">
        <v>-0.0068</v>
      </c>
      <c r="H5123" s="9">
        <f>MAX($F$5089:F5123)</f>
        <v>1.0301</v>
      </c>
      <c r="I5123" s="11">
        <f t="shared" si="126"/>
        <v>0.0104844189884477</v>
      </c>
      <c r="J5123" s="9"/>
      <c r="K5123" s="11"/>
      <c r="L5123" s="9"/>
      <c r="M5123" s="11"/>
      <c r="N5123" s="9" t="s">
        <v>814</v>
      </c>
    </row>
    <row r="5124" ht="25" customHeight="1" spans="1:14">
      <c r="A5124" s="9" t="s">
        <v>422</v>
      </c>
      <c r="B5124" s="9" t="s">
        <v>421</v>
      </c>
      <c r="C5124" s="10">
        <v>45135</v>
      </c>
      <c r="D5124" s="15">
        <v>1.0255</v>
      </c>
      <c r="E5124" s="15">
        <v>1.0255</v>
      </c>
      <c r="F5124" s="15">
        <v>1.0255</v>
      </c>
      <c r="G5124" s="11">
        <v>0.0061</v>
      </c>
      <c r="H5124" s="9">
        <f>MAX($F$5089:F5124)</f>
        <v>1.0301</v>
      </c>
      <c r="I5124" s="11">
        <f t="shared" si="126"/>
        <v>0.00446558586544987</v>
      </c>
      <c r="J5124" s="9"/>
      <c r="K5124" s="11"/>
      <c r="L5124" s="9"/>
      <c r="M5124" s="11"/>
      <c r="N5124" s="9" t="s">
        <v>814</v>
      </c>
    </row>
    <row r="5125" ht="25" customHeight="1" spans="1:14">
      <c r="A5125" s="9" t="s">
        <v>422</v>
      </c>
      <c r="B5125" s="9" t="s">
        <v>421</v>
      </c>
      <c r="C5125" s="10">
        <v>45142</v>
      </c>
      <c r="D5125" s="15">
        <v>1.0129</v>
      </c>
      <c r="E5125" s="15">
        <v>1.0129</v>
      </c>
      <c r="F5125" s="15">
        <v>1.0129</v>
      </c>
      <c r="G5125" s="11">
        <v>-0.0123</v>
      </c>
      <c r="H5125" s="9">
        <f>MAX($F$5089:F5125)</f>
        <v>1.0301</v>
      </c>
      <c r="I5125" s="11">
        <f t="shared" si="126"/>
        <v>0.0166974080186391</v>
      </c>
      <c r="J5125" s="9"/>
      <c r="K5125" s="11"/>
      <c r="L5125" s="9"/>
      <c r="M5125" s="11"/>
      <c r="N5125" s="9" t="s">
        <v>814</v>
      </c>
    </row>
    <row r="5126" ht="25" customHeight="1" spans="1:14">
      <c r="A5126" s="9" t="s">
        <v>422</v>
      </c>
      <c r="B5126" s="9" t="s">
        <v>421</v>
      </c>
      <c r="C5126" s="10">
        <v>45149</v>
      </c>
      <c r="D5126" s="15">
        <v>1.0113</v>
      </c>
      <c r="E5126" s="15">
        <v>1.0113</v>
      </c>
      <c r="F5126" s="15">
        <v>1.0113</v>
      </c>
      <c r="G5126" s="11">
        <v>-0.0016</v>
      </c>
      <c r="H5126" s="9">
        <f>MAX($F$5089:F5126)</f>
        <v>1.0301</v>
      </c>
      <c r="I5126" s="11">
        <f t="shared" si="126"/>
        <v>0.0182506552761867</v>
      </c>
      <c r="J5126" s="9"/>
      <c r="K5126" s="11"/>
      <c r="L5126" s="9"/>
      <c r="M5126" s="11"/>
      <c r="N5126" s="9" t="s">
        <v>814</v>
      </c>
    </row>
    <row r="5127" ht="25" customHeight="1" spans="1:14">
      <c r="A5127" s="9" t="s">
        <v>422</v>
      </c>
      <c r="B5127" s="9" t="s">
        <v>421</v>
      </c>
      <c r="C5127" s="10">
        <v>45156</v>
      </c>
      <c r="D5127" s="15">
        <v>1.0152</v>
      </c>
      <c r="E5127" s="15">
        <v>1.0152</v>
      </c>
      <c r="F5127" s="15">
        <v>1.0152</v>
      </c>
      <c r="G5127" s="11">
        <v>0.0039</v>
      </c>
      <c r="H5127" s="9">
        <f>MAX($F$5089:F5127)</f>
        <v>1.0301</v>
      </c>
      <c r="I5127" s="11">
        <f t="shared" si="126"/>
        <v>0.0144646150859139</v>
      </c>
      <c r="J5127" s="9"/>
      <c r="K5127" s="11"/>
      <c r="L5127" s="9"/>
      <c r="M5127" s="11"/>
      <c r="N5127" s="9" t="s">
        <v>814</v>
      </c>
    </row>
    <row r="5128" ht="25" customHeight="1" spans="1:14">
      <c r="A5128" s="9" t="s">
        <v>422</v>
      </c>
      <c r="B5128" s="9" t="s">
        <v>421</v>
      </c>
      <c r="C5128" s="10">
        <v>45163</v>
      </c>
      <c r="D5128" s="15">
        <v>1.0144</v>
      </c>
      <c r="E5128" s="15">
        <v>1.0144</v>
      </c>
      <c r="F5128" s="15">
        <v>1.0144</v>
      </c>
      <c r="G5128" s="11">
        <v>-0.0008</v>
      </c>
      <c r="H5128" s="9">
        <f>MAX($F$5089:F5128)</f>
        <v>1.0301</v>
      </c>
      <c r="I5128" s="11">
        <f t="shared" si="126"/>
        <v>0.015241238714688</v>
      </c>
      <c r="J5128" s="9"/>
      <c r="K5128" s="11"/>
      <c r="L5128" s="9"/>
      <c r="M5128" s="11"/>
      <c r="N5128" s="9" t="s">
        <v>814</v>
      </c>
    </row>
    <row r="5129" ht="25" customHeight="1" spans="1:14">
      <c r="A5129" s="9" t="s">
        <v>422</v>
      </c>
      <c r="B5129" s="9" t="s">
        <v>421</v>
      </c>
      <c r="C5129" s="10">
        <v>45170</v>
      </c>
      <c r="D5129" s="15">
        <v>1.0117</v>
      </c>
      <c r="E5129" s="15">
        <v>1.0117</v>
      </c>
      <c r="F5129" s="15">
        <v>1.0117</v>
      </c>
      <c r="G5129" s="11">
        <v>-0.0027</v>
      </c>
      <c r="H5129" s="9">
        <f>MAX($F$5089:F5129)</f>
        <v>1.0301</v>
      </c>
      <c r="I5129" s="11">
        <f t="shared" si="126"/>
        <v>0.0178623434617998</v>
      </c>
      <c r="J5129" s="9"/>
      <c r="K5129" s="11"/>
      <c r="L5129" s="9">
        <f>MAX($F$5129:F5129)</f>
        <v>1.0117</v>
      </c>
      <c r="M5129" s="11">
        <f t="shared" ref="M5129:M5192" si="127">1-F5129/L5129</f>
        <v>0</v>
      </c>
      <c r="N5129" s="9" t="s">
        <v>814</v>
      </c>
    </row>
    <row r="5130" ht="25" customHeight="1" spans="1:14">
      <c r="A5130" s="9" t="s">
        <v>422</v>
      </c>
      <c r="B5130" s="9" t="s">
        <v>421</v>
      </c>
      <c r="C5130" s="10">
        <v>45177</v>
      </c>
      <c r="D5130" s="15">
        <v>1.0138</v>
      </c>
      <c r="E5130" s="15">
        <v>1.0138</v>
      </c>
      <c r="F5130" s="15">
        <v>1.0138</v>
      </c>
      <c r="G5130" s="11">
        <v>0.0021</v>
      </c>
      <c r="H5130" s="9">
        <f>MAX($F$5089:F5130)</f>
        <v>1.0301</v>
      </c>
      <c r="I5130" s="11">
        <f t="shared" si="126"/>
        <v>0.0158237064362683</v>
      </c>
      <c r="J5130" s="9"/>
      <c r="K5130" s="11"/>
      <c r="L5130" s="9">
        <f>MAX($F$5129:F5130)</f>
        <v>1.0138</v>
      </c>
      <c r="M5130" s="11">
        <f t="shared" si="127"/>
        <v>0</v>
      </c>
      <c r="N5130" s="9" t="s">
        <v>814</v>
      </c>
    </row>
    <row r="5131" ht="25" customHeight="1" spans="1:14">
      <c r="A5131" s="9" t="s">
        <v>422</v>
      </c>
      <c r="B5131" s="9" t="s">
        <v>421</v>
      </c>
      <c r="C5131" s="10">
        <v>45184</v>
      </c>
      <c r="D5131" s="15">
        <v>1.0162</v>
      </c>
      <c r="E5131" s="15">
        <v>1.0162</v>
      </c>
      <c r="F5131" s="15">
        <v>1.0162</v>
      </c>
      <c r="G5131" s="11">
        <v>0.0024</v>
      </c>
      <c r="H5131" s="9">
        <f>MAX($F$5089:F5131)</f>
        <v>1.0301</v>
      </c>
      <c r="I5131" s="11">
        <f t="shared" si="126"/>
        <v>0.0134938355499467</v>
      </c>
      <c r="J5131" s="9"/>
      <c r="K5131" s="11"/>
      <c r="L5131" s="9">
        <f>MAX($F$5129:F5131)</f>
        <v>1.0162</v>
      </c>
      <c r="M5131" s="11">
        <f t="shared" si="127"/>
        <v>0</v>
      </c>
      <c r="N5131" s="9" t="s">
        <v>814</v>
      </c>
    </row>
    <row r="5132" ht="25" customHeight="1" spans="1:14">
      <c r="A5132" s="9" t="s">
        <v>422</v>
      </c>
      <c r="B5132" s="9" t="s">
        <v>421</v>
      </c>
      <c r="C5132" s="10">
        <v>45191</v>
      </c>
      <c r="D5132" s="15">
        <v>1.0265</v>
      </c>
      <c r="E5132" s="15">
        <v>1.0265</v>
      </c>
      <c r="F5132" s="15">
        <v>1.0265</v>
      </c>
      <c r="G5132" s="11">
        <v>0.0101</v>
      </c>
      <c r="H5132" s="9">
        <f>MAX($F$5089:F5132)</f>
        <v>1.0301</v>
      </c>
      <c r="I5132" s="11">
        <f t="shared" si="126"/>
        <v>0.00349480632948262</v>
      </c>
      <c r="J5132" s="9"/>
      <c r="K5132" s="11"/>
      <c r="L5132" s="9">
        <f>MAX($F$5129:F5132)</f>
        <v>1.0265</v>
      </c>
      <c r="M5132" s="11">
        <f t="shared" si="127"/>
        <v>0</v>
      </c>
      <c r="N5132" s="9" t="s">
        <v>814</v>
      </c>
    </row>
    <row r="5133" ht="25" customHeight="1" spans="1:14">
      <c r="A5133" s="9" t="s">
        <v>422</v>
      </c>
      <c r="B5133" s="9" t="s">
        <v>421</v>
      </c>
      <c r="C5133" s="10">
        <v>45197</v>
      </c>
      <c r="D5133" s="15">
        <v>1.0275</v>
      </c>
      <c r="E5133" s="15">
        <v>1.0275</v>
      </c>
      <c r="F5133" s="15">
        <v>1.0275</v>
      </c>
      <c r="G5133" s="11">
        <v>0.001</v>
      </c>
      <c r="H5133" s="9">
        <f>MAX($F$5089:F5133)</f>
        <v>1.0301</v>
      </c>
      <c r="I5133" s="11">
        <f t="shared" si="126"/>
        <v>0.00252402679351516</v>
      </c>
      <c r="J5133" s="9"/>
      <c r="K5133" s="11"/>
      <c r="L5133" s="9">
        <f>MAX($F$5129:F5133)</f>
        <v>1.0275</v>
      </c>
      <c r="M5133" s="11">
        <f t="shared" si="127"/>
        <v>0</v>
      </c>
      <c r="N5133" s="9" t="s">
        <v>814</v>
      </c>
    </row>
    <row r="5134" ht="25" customHeight="1" spans="1:14">
      <c r="A5134" s="9" t="s">
        <v>422</v>
      </c>
      <c r="B5134" s="9" t="s">
        <v>421</v>
      </c>
      <c r="C5134" s="10">
        <v>45212</v>
      </c>
      <c r="D5134" s="15">
        <v>1.0319</v>
      </c>
      <c r="E5134" s="15">
        <v>1.0319</v>
      </c>
      <c r="F5134" s="15">
        <v>1.0319</v>
      </c>
      <c r="G5134" s="11">
        <v>0.0043</v>
      </c>
      <c r="H5134" s="9">
        <f>MAX($F$5089:F5134)</f>
        <v>1.0319</v>
      </c>
      <c r="I5134" s="11">
        <f t="shared" si="126"/>
        <v>0</v>
      </c>
      <c r="J5134" s="9"/>
      <c r="K5134" s="11"/>
      <c r="L5134" s="9">
        <f>MAX($F$5129:F5134)</f>
        <v>1.0319</v>
      </c>
      <c r="M5134" s="11">
        <f t="shared" si="127"/>
        <v>0</v>
      </c>
      <c r="N5134" s="9" t="s">
        <v>814</v>
      </c>
    </row>
    <row r="5135" ht="25" customHeight="1" spans="1:14">
      <c r="A5135" s="9" t="s">
        <v>422</v>
      </c>
      <c r="B5135" s="9" t="s">
        <v>421</v>
      </c>
      <c r="C5135" s="10">
        <v>45219</v>
      </c>
      <c r="D5135" s="15">
        <v>1.0423</v>
      </c>
      <c r="E5135" s="15">
        <v>1.0423</v>
      </c>
      <c r="F5135" s="15">
        <v>1.0423</v>
      </c>
      <c r="G5135" s="11">
        <v>0.0101</v>
      </c>
      <c r="H5135" s="9">
        <f>MAX($F$5089:F5135)</f>
        <v>1.0423</v>
      </c>
      <c r="I5135" s="11">
        <f t="shared" si="126"/>
        <v>0</v>
      </c>
      <c r="J5135" s="9"/>
      <c r="K5135" s="11"/>
      <c r="L5135" s="9">
        <f>MAX($F$5129:F5135)</f>
        <v>1.0423</v>
      </c>
      <c r="M5135" s="11">
        <f t="shared" si="127"/>
        <v>0</v>
      </c>
      <c r="N5135" s="9" t="s">
        <v>814</v>
      </c>
    </row>
    <row r="5136" ht="25" customHeight="1" spans="1:14">
      <c r="A5136" s="9" t="s">
        <v>422</v>
      </c>
      <c r="B5136" s="9" t="s">
        <v>421</v>
      </c>
      <c r="C5136" s="10">
        <v>45226</v>
      </c>
      <c r="D5136" s="15">
        <v>1.0384</v>
      </c>
      <c r="E5136" s="15">
        <v>1.0384</v>
      </c>
      <c r="F5136" s="15">
        <v>1.0384</v>
      </c>
      <c r="G5136" s="11">
        <v>-0.0037</v>
      </c>
      <c r="H5136" s="9">
        <f>MAX($F$5089:F5136)</f>
        <v>1.0423</v>
      </c>
      <c r="I5136" s="11">
        <f t="shared" si="126"/>
        <v>0.00374172503118109</v>
      </c>
      <c r="J5136" s="9"/>
      <c r="K5136" s="11"/>
      <c r="L5136" s="9">
        <f>MAX($F$5129:F5136)</f>
        <v>1.0423</v>
      </c>
      <c r="M5136" s="11">
        <f t="shared" si="127"/>
        <v>0.00374172503118109</v>
      </c>
      <c r="N5136" s="9" t="s">
        <v>814</v>
      </c>
    </row>
    <row r="5137" ht="25" customHeight="1" spans="1:14">
      <c r="A5137" s="9" t="s">
        <v>422</v>
      </c>
      <c r="B5137" s="9" t="s">
        <v>421</v>
      </c>
      <c r="C5137" s="10">
        <v>45233</v>
      </c>
      <c r="D5137" s="15">
        <v>1.0313</v>
      </c>
      <c r="E5137" s="15">
        <v>1.0313</v>
      </c>
      <c r="F5137" s="15">
        <v>1.0313</v>
      </c>
      <c r="G5137" s="11">
        <v>-0.0068</v>
      </c>
      <c r="H5137" s="9">
        <f>MAX($F$5089:F5137)</f>
        <v>1.0423</v>
      </c>
      <c r="I5137" s="11">
        <f t="shared" si="126"/>
        <v>0.0105535834212798</v>
      </c>
      <c r="J5137" s="9"/>
      <c r="K5137" s="11"/>
      <c r="L5137" s="9">
        <f>MAX($F$5129:F5137)</f>
        <v>1.0423</v>
      </c>
      <c r="M5137" s="11">
        <f t="shared" si="127"/>
        <v>0.0105535834212798</v>
      </c>
      <c r="N5137" s="9" t="s">
        <v>814</v>
      </c>
    </row>
    <row r="5138" ht="25" customHeight="1" spans="1:14">
      <c r="A5138" s="9" t="s">
        <v>422</v>
      </c>
      <c r="B5138" s="9" t="s">
        <v>421</v>
      </c>
      <c r="C5138" s="10">
        <v>45240</v>
      </c>
      <c r="D5138" s="15">
        <v>1.0453</v>
      </c>
      <c r="E5138" s="15">
        <v>1.0453</v>
      </c>
      <c r="F5138" s="15">
        <v>1.0453</v>
      </c>
      <c r="G5138" s="11">
        <v>0.0136</v>
      </c>
      <c r="H5138" s="9">
        <f>MAX($F$5089:F5138)</f>
        <v>1.0453</v>
      </c>
      <c r="I5138" s="11">
        <f t="shared" si="126"/>
        <v>0</v>
      </c>
      <c r="J5138" s="9"/>
      <c r="K5138" s="11"/>
      <c r="L5138" s="9">
        <f>MAX($F$5129:F5138)</f>
        <v>1.0453</v>
      </c>
      <c r="M5138" s="11">
        <f t="shared" si="127"/>
        <v>0</v>
      </c>
      <c r="N5138" s="9" t="s">
        <v>814</v>
      </c>
    </row>
    <row r="5139" ht="25" customHeight="1" spans="1:14">
      <c r="A5139" s="9" t="s">
        <v>422</v>
      </c>
      <c r="B5139" s="9" t="s">
        <v>421</v>
      </c>
      <c r="C5139" s="10">
        <v>45247</v>
      </c>
      <c r="D5139" s="15">
        <v>1.0519</v>
      </c>
      <c r="E5139" s="15">
        <v>1.0519</v>
      </c>
      <c r="F5139" s="15">
        <v>1.0519</v>
      </c>
      <c r="G5139" s="11">
        <v>0.0063</v>
      </c>
      <c r="H5139" s="9">
        <f>MAX($F$5089:F5139)</f>
        <v>1.0519</v>
      </c>
      <c r="I5139" s="11">
        <f t="shared" si="126"/>
        <v>0</v>
      </c>
      <c r="J5139" s="9"/>
      <c r="K5139" s="11"/>
      <c r="L5139" s="9">
        <f>MAX($F$5129:F5139)</f>
        <v>1.0519</v>
      </c>
      <c r="M5139" s="11">
        <f t="shared" si="127"/>
        <v>0</v>
      </c>
      <c r="N5139" s="9" t="s">
        <v>814</v>
      </c>
    </row>
    <row r="5140" ht="25" customHeight="1" spans="1:14">
      <c r="A5140" s="9" t="s">
        <v>422</v>
      </c>
      <c r="B5140" s="9" t="s">
        <v>421</v>
      </c>
      <c r="C5140" s="10">
        <v>45254</v>
      </c>
      <c r="D5140" s="15">
        <v>1.0557</v>
      </c>
      <c r="E5140" s="15">
        <v>1.0557</v>
      </c>
      <c r="F5140" s="15">
        <v>1.0557</v>
      </c>
      <c r="G5140" s="11">
        <v>0.0036</v>
      </c>
      <c r="H5140" s="9">
        <f>MAX($F$5089:F5140)</f>
        <v>1.0557</v>
      </c>
      <c r="I5140" s="11">
        <f t="shared" si="126"/>
        <v>0</v>
      </c>
      <c r="J5140" s="9"/>
      <c r="K5140" s="11"/>
      <c r="L5140" s="9">
        <f>MAX($F$5129:F5140)</f>
        <v>1.0557</v>
      </c>
      <c r="M5140" s="11">
        <f t="shared" si="127"/>
        <v>0</v>
      </c>
      <c r="N5140" s="9" t="s">
        <v>814</v>
      </c>
    </row>
    <row r="5141" ht="25" customHeight="1" spans="1:14">
      <c r="A5141" s="9" t="s">
        <v>422</v>
      </c>
      <c r="B5141" s="9" t="s">
        <v>421</v>
      </c>
      <c r="C5141" s="10">
        <v>45261</v>
      </c>
      <c r="D5141" s="15">
        <v>1.0435</v>
      </c>
      <c r="E5141" s="15">
        <v>1.0435</v>
      </c>
      <c r="F5141" s="15">
        <v>1.0435</v>
      </c>
      <c r="G5141" s="11">
        <v>-0.0116</v>
      </c>
      <c r="H5141" s="9">
        <f>MAX($F$5089:F5141)</f>
        <v>1.0557</v>
      </c>
      <c r="I5141" s="11">
        <f t="shared" si="126"/>
        <v>0.0115563133465947</v>
      </c>
      <c r="J5141" s="9"/>
      <c r="K5141" s="11"/>
      <c r="L5141" s="9">
        <f>MAX($F$5129:F5141)</f>
        <v>1.0557</v>
      </c>
      <c r="M5141" s="11">
        <f t="shared" si="127"/>
        <v>0.0115563133465947</v>
      </c>
      <c r="N5141" s="9" t="s">
        <v>814</v>
      </c>
    </row>
    <row r="5142" ht="25" customHeight="1" spans="1:14">
      <c r="A5142" s="9" t="s">
        <v>422</v>
      </c>
      <c r="B5142" s="9" t="s">
        <v>421</v>
      </c>
      <c r="C5142" s="10">
        <v>45268</v>
      </c>
      <c r="D5142" s="15">
        <v>1.0515</v>
      </c>
      <c r="E5142" s="15">
        <v>1.0515</v>
      </c>
      <c r="F5142" s="15">
        <v>1.0515</v>
      </c>
      <c r="G5142" s="11">
        <v>0.0077</v>
      </c>
      <c r="H5142" s="9">
        <f>MAX($F$5089:F5142)</f>
        <v>1.0557</v>
      </c>
      <c r="I5142" s="11">
        <f t="shared" si="126"/>
        <v>0.00397840295538499</v>
      </c>
      <c r="J5142" s="9"/>
      <c r="K5142" s="11"/>
      <c r="L5142" s="9">
        <f>MAX($F$5129:F5142)</f>
        <v>1.0557</v>
      </c>
      <c r="M5142" s="11">
        <f t="shared" si="127"/>
        <v>0.00397840295538499</v>
      </c>
      <c r="N5142" s="9" t="s">
        <v>814</v>
      </c>
    </row>
    <row r="5143" ht="25" customHeight="1" spans="1:14">
      <c r="A5143" s="9" t="s">
        <v>422</v>
      </c>
      <c r="B5143" s="9" t="s">
        <v>421</v>
      </c>
      <c r="C5143" s="10">
        <v>45275</v>
      </c>
      <c r="D5143" s="15">
        <v>1.1078</v>
      </c>
      <c r="E5143" s="15">
        <v>1.1078</v>
      </c>
      <c r="F5143" s="15">
        <v>1.1078</v>
      </c>
      <c r="G5143" s="11">
        <v>0.0535</v>
      </c>
      <c r="H5143" s="9">
        <f>MAX($F$5089:F5143)</f>
        <v>1.1078</v>
      </c>
      <c r="I5143" s="11">
        <f t="shared" si="126"/>
        <v>0</v>
      </c>
      <c r="J5143" s="9"/>
      <c r="K5143" s="11"/>
      <c r="L5143" s="9">
        <f>MAX($F$5129:F5143)</f>
        <v>1.1078</v>
      </c>
      <c r="M5143" s="11">
        <f t="shared" si="127"/>
        <v>0</v>
      </c>
      <c r="N5143" s="9" t="s">
        <v>814</v>
      </c>
    </row>
    <row r="5144" ht="25" customHeight="1" spans="1:14">
      <c r="A5144" s="9" t="s">
        <v>422</v>
      </c>
      <c r="B5144" s="9" t="s">
        <v>421</v>
      </c>
      <c r="C5144" s="10">
        <v>45282</v>
      </c>
      <c r="D5144" s="15">
        <v>1.1018</v>
      </c>
      <c r="E5144" s="15">
        <v>1.1018</v>
      </c>
      <c r="F5144" s="15">
        <v>1.1018</v>
      </c>
      <c r="G5144" s="11">
        <v>-0.0054</v>
      </c>
      <c r="H5144" s="9">
        <f>MAX($F$5089:F5144)</f>
        <v>1.1078</v>
      </c>
      <c r="I5144" s="11">
        <f t="shared" si="126"/>
        <v>0.00541614009749047</v>
      </c>
      <c r="J5144" s="9"/>
      <c r="K5144" s="11"/>
      <c r="L5144" s="9">
        <f>MAX($F$5129:F5144)</f>
        <v>1.1078</v>
      </c>
      <c r="M5144" s="11">
        <f t="shared" si="127"/>
        <v>0.00541614009749047</v>
      </c>
      <c r="N5144" s="9" t="s">
        <v>814</v>
      </c>
    </row>
    <row r="5145" ht="25" customHeight="1" spans="1:14">
      <c r="A5145" s="9" t="s">
        <v>422</v>
      </c>
      <c r="B5145" s="9" t="s">
        <v>421</v>
      </c>
      <c r="C5145" s="10">
        <v>45289</v>
      </c>
      <c r="D5145" s="15">
        <v>1.0855</v>
      </c>
      <c r="E5145" s="15">
        <v>1.0855</v>
      </c>
      <c r="F5145" s="15">
        <v>1.0855</v>
      </c>
      <c r="G5145" s="11">
        <v>-0.0148</v>
      </c>
      <c r="H5145" s="9">
        <f>MAX($F$5089:F5145)</f>
        <v>1.1078</v>
      </c>
      <c r="I5145" s="11">
        <f t="shared" si="126"/>
        <v>0.0201299873623397</v>
      </c>
      <c r="J5145" s="9"/>
      <c r="K5145" s="11"/>
      <c r="L5145" s="9">
        <f>MAX($F$5129:F5145)</f>
        <v>1.1078</v>
      </c>
      <c r="M5145" s="11">
        <f t="shared" si="127"/>
        <v>0.0201299873623397</v>
      </c>
      <c r="N5145" s="9" t="s">
        <v>814</v>
      </c>
    </row>
    <row r="5146" ht="25" customHeight="1" spans="1:14">
      <c r="A5146" s="9" t="s">
        <v>422</v>
      </c>
      <c r="B5146" s="9" t="s">
        <v>421</v>
      </c>
      <c r="C5146" s="10">
        <v>45296</v>
      </c>
      <c r="D5146" s="15">
        <v>1.0927</v>
      </c>
      <c r="E5146" s="15">
        <v>1.0927</v>
      </c>
      <c r="F5146" s="15">
        <v>1.0927</v>
      </c>
      <c r="G5146" s="11">
        <v>0.0066</v>
      </c>
      <c r="H5146" s="9">
        <f>MAX($F$5089:F5146)</f>
        <v>1.1078</v>
      </c>
      <c r="I5146" s="11">
        <f t="shared" si="126"/>
        <v>0.013630619245351</v>
      </c>
      <c r="J5146" s="9"/>
      <c r="K5146" s="11"/>
      <c r="L5146" s="9">
        <f>MAX($F$5129:F5146)</f>
        <v>1.1078</v>
      </c>
      <c r="M5146" s="11">
        <f t="shared" si="127"/>
        <v>0.013630619245351</v>
      </c>
      <c r="N5146" s="9" t="s">
        <v>814</v>
      </c>
    </row>
    <row r="5147" ht="25" customHeight="1" spans="1:14">
      <c r="A5147" s="9" t="s">
        <v>422</v>
      </c>
      <c r="B5147" s="9" t="s">
        <v>421</v>
      </c>
      <c r="C5147" s="10">
        <v>45303</v>
      </c>
      <c r="D5147" s="15">
        <v>1.1027</v>
      </c>
      <c r="E5147" s="15">
        <v>1.1027</v>
      </c>
      <c r="F5147" s="15">
        <v>1.1027</v>
      </c>
      <c r="G5147" s="11">
        <v>0.0092</v>
      </c>
      <c r="H5147" s="9">
        <f>MAX($F$5089:F5147)</f>
        <v>1.1078</v>
      </c>
      <c r="I5147" s="11">
        <f t="shared" si="126"/>
        <v>0.00460371908286683</v>
      </c>
      <c r="J5147" s="9"/>
      <c r="K5147" s="11"/>
      <c r="L5147" s="9">
        <f>MAX($F$5129:F5147)</f>
        <v>1.1078</v>
      </c>
      <c r="M5147" s="11">
        <f t="shared" si="127"/>
        <v>0.00460371908286683</v>
      </c>
      <c r="N5147" s="9" t="s">
        <v>814</v>
      </c>
    </row>
    <row r="5148" ht="25" customHeight="1" spans="1:14">
      <c r="A5148" s="9" t="s">
        <v>422</v>
      </c>
      <c r="B5148" s="9" t="s">
        <v>421</v>
      </c>
      <c r="C5148" s="10">
        <v>45310</v>
      </c>
      <c r="D5148" s="15">
        <v>1.0977</v>
      </c>
      <c r="E5148" s="15">
        <v>1.0977</v>
      </c>
      <c r="F5148" s="15">
        <v>1.0977</v>
      </c>
      <c r="G5148" s="11">
        <v>-0.0045</v>
      </c>
      <c r="H5148" s="9">
        <f>MAX($F$5089:F5148)</f>
        <v>1.1078</v>
      </c>
      <c r="I5148" s="11">
        <f t="shared" si="126"/>
        <v>0.0091171691641091</v>
      </c>
      <c r="J5148" s="9"/>
      <c r="K5148" s="11"/>
      <c r="L5148" s="9">
        <f>MAX($F$5129:F5148)</f>
        <v>1.1078</v>
      </c>
      <c r="M5148" s="11">
        <f t="shared" si="127"/>
        <v>0.0091171691641091</v>
      </c>
      <c r="N5148" s="9" t="s">
        <v>814</v>
      </c>
    </row>
    <row r="5149" ht="25" customHeight="1" spans="1:14">
      <c r="A5149" s="9" t="s">
        <v>422</v>
      </c>
      <c r="B5149" s="9" t="s">
        <v>421</v>
      </c>
      <c r="C5149" s="10">
        <v>45317</v>
      </c>
      <c r="D5149" s="15">
        <v>1.0986</v>
      </c>
      <c r="E5149" s="15">
        <v>1.0986</v>
      </c>
      <c r="F5149" s="15">
        <v>1.0986</v>
      </c>
      <c r="G5149" s="11">
        <v>0.0008</v>
      </c>
      <c r="H5149" s="9">
        <f>MAX($F$5089:F5149)</f>
        <v>1.1078</v>
      </c>
      <c r="I5149" s="11">
        <f t="shared" si="126"/>
        <v>0.00830474814948534</v>
      </c>
      <c r="J5149" s="9"/>
      <c r="K5149" s="11"/>
      <c r="L5149" s="9">
        <f>MAX($F$5129:F5149)</f>
        <v>1.1078</v>
      </c>
      <c r="M5149" s="11">
        <f t="shared" si="127"/>
        <v>0.00830474814948534</v>
      </c>
      <c r="N5149" s="9" t="s">
        <v>814</v>
      </c>
    </row>
    <row r="5150" ht="25" customHeight="1" spans="1:14">
      <c r="A5150" s="9" t="s">
        <v>422</v>
      </c>
      <c r="B5150" s="9" t="s">
        <v>421</v>
      </c>
      <c r="C5150" s="10">
        <v>45324</v>
      </c>
      <c r="D5150" s="15">
        <v>1.1055</v>
      </c>
      <c r="E5150" s="15">
        <v>1.1055</v>
      </c>
      <c r="F5150" s="15">
        <v>1.1055</v>
      </c>
      <c r="G5150" s="11">
        <v>0.0063</v>
      </c>
      <c r="H5150" s="9">
        <f>MAX($F$5089:F5150)</f>
        <v>1.1078</v>
      </c>
      <c r="I5150" s="11">
        <f t="shared" si="126"/>
        <v>0.00207618703737134</v>
      </c>
      <c r="J5150" s="9"/>
      <c r="K5150" s="11"/>
      <c r="L5150" s="9">
        <f>MAX($F$5129:F5150)</f>
        <v>1.1078</v>
      </c>
      <c r="M5150" s="11">
        <f t="shared" si="127"/>
        <v>0.00207618703737134</v>
      </c>
      <c r="N5150" s="9" t="s">
        <v>814</v>
      </c>
    </row>
    <row r="5151" ht="25" customHeight="1" spans="1:14">
      <c r="A5151" s="9" t="s">
        <v>422</v>
      </c>
      <c r="B5151" s="9" t="s">
        <v>421</v>
      </c>
      <c r="C5151" s="10">
        <v>45330</v>
      </c>
      <c r="D5151" s="15">
        <v>1.0945</v>
      </c>
      <c r="E5151" s="15">
        <v>1.0945</v>
      </c>
      <c r="F5151" s="15">
        <v>1.0945</v>
      </c>
      <c r="G5151" s="11">
        <v>-0.01</v>
      </c>
      <c r="H5151" s="9">
        <f>MAX($F$5089:F5151)</f>
        <v>1.1078</v>
      </c>
      <c r="I5151" s="11">
        <f t="shared" si="126"/>
        <v>0.0120057772161039</v>
      </c>
      <c r="J5151" s="9"/>
      <c r="K5151" s="11"/>
      <c r="L5151" s="9">
        <f>MAX($F$5129:F5151)</f>
        <v>1.1078</v>
      </c>
      <c r="M5151" s="11">
        <f t="shared" si="127"/>
        <v>0.0120057772161039</v>
      </c>
      <c r="N5151" s="9" t="s">
        <v>814</v>
      </c>
    </row>
    <row r="5152" ht="25" customHeight="1" spans="1:14">
      <c r="A5152" s="9" t="s">
        <v>422</v>
      </c>
      <c r="B5152" s="9" t="s">
        <v>421</v>
      </c>
      <c r="C5152" s="10">
        <v>45345</v>
      </c>
      <c r="D5152" s="15">
        <v>1.0973</v>
      </c>
      <c r="E5152" s="15">
        <v>1.0973</v>
      </c>
      <c r="F5152" s="15">
        <v>1.0973</v>
      </c>
      <c r="G5152" s="11">
        <v>0.0026</v>
      </c>
      <c r="H5152" s="9">
        <f>MAX($F$5089:F5152)</f>
        <v>1.1078</v>
      </c>
      <c r="I5152" s="11">
        <f t="shared" si="126"/>
        <v>0.00947824517060836</v>
      </c>
      <c r="J5152" s="9"/>
      <c r="K5152" s="11"/>
      <c r="L5152" s="9">
        <f>MAX($F$5129:F5152)</f>
        <v>1.1078</v>
      </c>
      <c r="M5152" s="11">
        <f t="shared" si="127"/>
        <v>0.00947824517060836</v>
      </c>
      <c r="N5152" s="9" t="s">
        <v>814</v>
      </c>
    </row>
    <row r="5153" ht="25" customHeight="1" spans="1:14">
      <c r="A5153" s="9" t="s">
        <v>422</v>
      </c>
      <c r="B5153" s="9" t="s">
        <v>421</v>
      </c>
      <c r="C5153" s="10">
        <v>45352</v>
      </c>
      <c r="D5153" s="15">
        <v>1.1116</v>
      </c>
      <c r="E5153" s="15">
        <v>1.1116</v>
      </c>
      <c r="F5153" s="15">
        <v>1.1116</v>
      </c>
      <c r="G5153" s="11">
        <v>0.013</v>
      </c>
      <c r="H5153" s="9">
        <f>MAX($F$5089:F5153)</f>
        <v>1.1116</v>
      </c>
      <c r="I5153" s="11">
        <f t="shared" si="126"/>
        <v>0</v>
      </c>
      <c r="J5153" s="9"/>
      <c r="K5153" s="11"/>
      <c r="L5153" s="9">
        <f>MAX($F$5129:F5153)</f>
        <v>1.1116</v>
      </c>
      <c r="M5153" s="11">
        <f t="shared" si="127"/>
        <v>0</v>
      </c>
      <c r="N5153" s="9" t="s">
        <v>814</v>
      </c>
    </row>
    <row r="5154" ht="25" customHeight="1" spans="1:14">
      <c r="A5154" s="9" t="s">
        <v>422</v>
      </c>
      <c r="B5154" s="9" t="s">
        <v>421</v>
      </c>
      <c r="C5154" s="10">
        <v>45359</v>
      </c>
      <c r="D5154" s="15">
        <v>1.1068</v>
      </c>
      <c r="E5154" s="15">
        <v>1.1068</v>
      </c>
      <c r="F5154" s="15">
        <v>1.1068</v>
      </c>
      <c r="G5154" s="11">
        <v>-0.0043</v>
      </c>
      <c r="H5154" s="9">
        <f>MAX($F$5089:F5154)</f>
        <v>1.1116</v>
      </c>
      <c r="I5154" s="11">
        <f t="shared" si="126"/>
        <v>0.0043181000359841</v>
      </c>
      <c r="J5154" s="9"/>
      <c r="K5154" s="11"/>
      <c r="L5154" s="9">
        <f>MAX($F$5129:F5154)</f>
        <v>1.1116</v>
      </c>
      <c r="M5154" s="11">
        <f t="shared" si="127"/>
        <v>0.0043181000359841</v>
      </c>
      <c r="N5154" s="9" t="s">
        <v>814</v>
      </c>
    </row>
    <row r="5155" ht="25" customHeight="1" spans="1:14">
      <c r="A5155" s="9" t="s">
        <v>422</v>
      </c>
      <c r="B5155" s="9" t="s">
        <v>421</v>
      </c>
      <c r="C5155" s="10">
        <v>45366</v>
      </c>
      <c r="D5155" s="15">
        <v>1.1021</v>
      </c>
      <c r="E5155" s="15">
        <v>1.1021</v>
      </c>
      <c r="F5155" s="15">
        <v>1.1021</v>
      </c>
      <c r="G5155" s="11">
        <v>-0.0042</v>
      </c>
      <c r="H5155" s="9">
        <f>MAX($F$5089:F5155)</f>
        <v>1.1116</v>
      </c>
      <c r="I5155" s="11">
        <f t="shared" si="126"/>
        <v>0.00854623965455181</v>
      </c>
      <c r="J5155" s="9"/>
      <c r="K5155" s="11"/>
      <c r="L5155" s="9">
        <f>MAX($F$5129:F5155)</f>
        <v>1.1116</v>
      </c>
      <c r="M5155" s="11">
        <f t="shared" si="127"/>
        <v>0.00854623965455181</v>
      </c>
      <c r="N5155" s="9" t="s">
        <v>814</v>
      </c>
    </row>
    <row r="5156" ht="25" customHeight="1" spans="1:14">
      <c r="A5156" s="9" t="s">
        <v>422</v>
      </c>
      <c r="B5156" s="9" t="s">
        <v>421</v>
      </c>
      <c r="C5156" s="10">
        <v>45373</v>
      </c>
      <c r="D5156" s="15">
        <v>1.1076</v>
      </c>
      <c r="E5156" s="15">
        <v>1.1076</v>
      </c>
      <c r="F5156" s="15">
        <v>1.1076</v>
      </c>
      <c r="G5156" s="11">
        <v>0.005</v>
      </c>
      <c r="H5156" s="9">
        <f>MAX($F$5089:F5156)</f>
        <v>1.1116</v>
      </c>
      <c r="I5156" s="11">
        <f t="shared" si="126"/>
        <v>0.00359841669665351</v>
      </c>
      <c r="J5156" s="9"/>
      <c r="K5156" s="11"/>
      <c r="L5156" s="9">
        <f>MAX($F$5129:F5156)</f>
        <v>1.1116</v>
      </c>
      <c r="M5156" s="11">
        <f t="shared" si="127"/>
        <v>0.00359841669665351</v>
      </c>
      <c r="N5156" s="9" t="s">
        <v>814</v>
      </c>
    </row>
    <row r="5157" ht="25" customHeight="1" spans="1:14">
      <c r="A5157" s="9" t="s">
        <v>422</v>
      </c>
      <c r="B5157" s="9" t="s">
        <v>421</v>
      </c>
      <c r="C5157" s="10">
        <v>45380</v>
      </c>
      <c r="D5157" s="15">
        <v>1.0887</v>
      </c>
      <c r="E5157" s="15">
        <v>1.0887</v>
      </c>
      <c r="F5157" s="15">
        <v>1.0887</v>
      </c>
      <c r="G5157" s="11">
        <v>-0.0171</v>
      </c>
      <c r="H5157" s="9">
        <f>MAX($F$5089:F5157)</f>
        <v>1.1116</v>
      </c>
      <c r="I5157" s="11">
        <f t="shared" si="126"/>
        <v>0.0206009355883411</v>
      </c>
      <c r="J5157" s="9"/>
      <c r="K5157" s="11"/>
      <c r="L5157" s="9">
        <f>MAX($F$5129:F5157)</f>
        <v>1.1116</v>
      </c>
      <c r="M5157" s="11">
        <f t="shared" si="127"/>
        <v>0.0206009355883411</v>
      </c>
      <c r="N5157" s="9" t="s">
        <v>814</v>
      </c>
    </row>
    <row r="5158" ht="25" customHeight="1" spans="1:14">
      <c r="A5158" s="9" t="s">
        <v>422</v>
      </c>
      <c r="B5158" s="9" t="s">
        <v>421</v>
      </c>
      <c r="C5158" s="10">
        <v>45385</v>
      </c>
      <c r="D5158" s="15">
        <v>1.087</v>
      </c>
      <c r="E5158" s="15">
        <v>1.087</v>
      </c>
      <c r="F5158" s="15">
        <v>1.087</v>
      </c>
      <c r="G5158" s="11">
        <v>-0.0016</v>
      </c>
      <c r="H5158" s="9">
        <f>MAX($F$5089:F5158)</f>
        <v>1.1116</v>
      </c>
      <c r="I5158" s="11">
        <f t="shared" si="126"/>
        <v>0.0221302626844189</v>
      </c>
      <c r="J5158" s="9"/>
      <c r="K5158" s="11"/>
      <c r="L5158" s="9">
        <f>MAX($F$5129:F5158)</f>
        <v>1.1116</v>
      </c>
      <c r="M5158" s="11">
        <f t="shared" si="127"/>
        <v>0.0221302626844189</v>
      </c>
      <c r="N5158" s="9" t="s">
        <v>814</v>
      </c>
    </row>
    <row r="5159" ht="25" customHeight="1" spans="1:14">
      <c r="A5159" s="9" t="s">
        <v>422</v>
      </c>
      <c r="B5159" s="9" t="s">
        <v>421</v>
      </c>
      <c r="C5159" s="10">
        <v>45394</v>
      </c>
      <c r="D5159" s="15">
        <v>1.0822</v>
      </c>
      <c r="E5159" s="15">
        <v>1.0822</v>
      </c>
      <c r="F5159" s="15">
        <v>1.0822</v>
      </c>
      <c r="G5159" s="11">
        <v>-0.0044</v>
      </c>
      <c r="H5159" s="9">
        <f>MAX($F$5089:F5159)</f>
        <v>1.1116</v>
      </c>
      <c r="I5159" s="11">
        <f t="shared" si="126"/>
        <v>0.026448362720403</v>
      </c>
      <c r="J5159" s="9"/>
      <c r="K5159" s="11"/>
      <c r="L5159" s="9">
        <f>MAX($F$5129:F5159)</f>
        <v>1.1116</v>
      </c>
      <c r="M5159" s="11">
        <f t="shared" si="127"/>
        <v>0.026448362720403</v>
      </c>
      <c r="N5159" s="9" t="s">
        <v>814</v>
      </c>
    </row>
    <row r="5160" ht="25" customHeight="1" spans="1:14">
      <c r="A5160" s="9" t="s">
        <v>422</v>
      </c>
      <c r="B5160" s="9" t="s">
        <v>421</v>
      </c>
      <c r="C5160" s="10">
        <v>45401</v>
      </c>
      <c r="D5160" s="15">
        <v>1.0787</v>
      </c>
      <c r="E5160" s="15">
        <v>1.0787</v>
      </c>
      <c r="F5160" s="15">
        <v>1.0787</v>
      </c>
      <c r="G5160" s="11">
        <v>-0.0032</v>
      </c>
      <c r="H5160" s="9">
        <f>MAX($F$5089:F5160)</f>
        <v>1.1116</v>
      </c>
      <c r="I5160" s="11">
        <f t="shared" si="126"/>
        <v>0.0295969773299748</v>
      </c>
      <c r="J5160" s="9"/>
      <c r="K5160" s="11"/>
      <c r="L5160" s="9">
        <f>MAX($F$5129:F5160)</f>
        <v>1.1116</v>
      </c>
      <c r="M5160" s="11">
        <f t="shared" si="127"/>
        <v>0.0295969773299748</v>
      </c>
      <c r="N5160" s="9" t="s">
        <v>814</v>
      </c>
    </row>
    <row r="5161" ht="25" customHeight="1" spans="1:14">
      <c r="A5161" s="9" t="s">
        <v>422</v>
      </c>
      <c r="B5161" s="9" t="s">
        <v>421</v>
      </c>
      <c r="C5161" s="10">
        <v>45408</v>
      </c>
      <c r="D5161" s="15">
        <v>1.0797</v>
      </c>
      <c r="E5161" s="15">
        <v>1.0797</v>
      </c>
      <c r="F5161" s="15">
        <v>1.0797</v>
      </c>
      <c r="G5161" s="11">
        <v>0.0009</v>
      </c>
      <c r="H5161" s="9">
        <f>MAX($F$5089:F5161)</f>
        <v>1.1116</v>
      </c>
      <c r="I5161" s="11">
        <f t="shared" si="126"/>
        <v>0.0286973731558113</v>
      </c>
      <c r="J5161" s="9"/>
      <c r="K5161" s="11"/>
      <c r="L5161" s="9">
        <f>MAX($F$5129:F5161)</f>
        <v>1.1116</v>
      </c>
      <c r="M5161" s="11">
        <f t="shared" si="127"/>
        <v>0.0286973731558113</v>
      </c>
      <c r="N5161" s="9" t="s">
        <v>814</v>
      </c>
    </row>
    <row r="5162" ht="25" customHeight="1" spans="1:14">
      <c r="A5162" s="9" t="s">
        <v>422</v>
      </c>
      <c r="B5162" s="9" t="s">
        <v>421</v>
      </c>
      <c r="C5162" s="10">
        <v>45412</v>
      </c>
      <c r="D5162" s="15">
        <v>1.0871</v>
      </c>
      <c r="E5162" s="15">
        <v>1.0871</v>
      </c>
      <c r="F5162" s="15">
        <v>1.0871</v>
      </c>
      <c r="G5162" s="11">
        <v>0.0069</v>
      </c>
      <c r="H5162" s="9">
        <f>MAX($F$5089:F5162)</f>
        <v>1.1116</v>
      </c>
      <c r="I5162" s="11">
        <f t="shared" si="126"/>
        <v>0.0220403022670025</v>
      </c>
      <c r="J5162" s="9"/>
      <c r="K5162" s="11"/>
      <c r="L5162" s="9">
        <f>MAX($F$5129:F5162)</f>
        <v>1.1116</v>
      </c>
      <c r="M5162" s="11">
        <f t="shared" si="127"/>
        <v>0.0220403022670025</v>
      </c>
      <c r="N5162" s="9" t="s">
        <v>814</v>
      </c>
    </row>
    <row r="5163" ht="25" customHeight="1" spans="1:14">
      <c r="A5163" s="9" t="s">
        <v>422</v>
      </c>
      <c r="B5163" s="9" t="s">
        <v>421</v>
      </c>
      <c r="C5163" s="10">
        <v>45422</v>
      </c>
      <c r="D5163" s="15">
        <v>1.0861</v>
      </c>
      <c r="E5163" s="15">
        <v>1.0861</v>
      </c>
      <c r="F5163" s="15">
        <v>1.0861</v>
      </c>
      <c r="G5163" s="11">
        <v>-0.0009</v>
      </c>
      <c r="H5163" s="9">
        <f>MAX($F$5089:F5163)</f>
        <v>1.1116</v>
      </c>
      <c r="I5163" s="11">
        <f t="shared" si="126"/>
        <v>0.0229399064411657</v>
      </c>
      <c r="J5163" s="9"/>
      <c r="K5163" s="11"/>
      <c r="L5163" s="9">
        <f>MAX($F$5129:F5163)</f>
        <v>1.1116</v>
      </c>
      <c r="M5163" s="11">
        <f t="shared" si="127"/>
        <v>0.0229399064411657</v>
      </c>
      <c r="N5163" s="9" t="s">
        <v>814</v>
      </c>
    </row>
    <row r="5164" ht="25" customHeight="1" spans="1:14">
      <c r="A5164" s="9" t="s">
        <v>422</v>
      </c>
      <c r="B5164" s="9" t="s">
        <v>421</v>
      </c>
      <c r="C5164" s="10">
        <v>45429</v>
      </c>
      <c r="D5164" s="15">
        <v>1.0716</v>
      </c>
      <c r="E5164" s="15">
        <v>1.0716</v>
      </c>
      <c r="F5164" s="15">
        <v>1.0716</v>
      </c>
      <c r="G5164" s="11">
        <v>-0.0134</v>
      </c>
      <c r="H5164" s="9">
        <f>MAX($F$5089:F5164)</f>
        <v>1.1116</v>
      </c>
      <c r="I5164" s="11">
        <f t="shared" si="126"/>
        <v>0.0359841669665346</v>
      </c>
      <c r="J5164" s="9"/>
      <c r="K5164" s="11"/>
      <c r="L5164" s="9">
        <f>MAX($F$5129:F5164)</f>
        <v>1.1116</v>
      </c>
      <c r="M5164" s="11">
        <f t="shared" si="127"/>
        <v>0.0359841669665346</v>
      </c>
      <c r="N5164" s="9" t="s">
        <v>814</v>
      </c>
    </row>
    <row r="5165" ht="25" customHeight="1" spans="1:14">
      <c r="A5165" s="9" t="s">
        <v>422</v>
      </c>
      <c r="B5165" s="9" t="s">
        <v>421</v>
      </c>
      <c r="C5165" s="10">
        <v>45436</v>
      </c>
      <c r="D5165" s="15">
        <v>1.0672</v>
      </c>
      <c r="E5165" s="15">
        <v>1.0672</v>
      </c>
      <c r="F5165" s="15">
        <v>1.0672</v>
      </c>
      <c r="G5165" s="11">
        <v>-0.0041</v>
      </c>
      <c r="H5165" s="9">
        <f>MAX($F$5089:F5165)</f>
        <v>1.1116</v>
      </c>
      <c r="I5165" s="11">
        <f t="shared" si="126"/>
        <v>0.0399424253328535</v>
      </c>
      <c r="J5165" s="9"/>
      <c r="K5165" s="11"/>
      <c r="L5165" s="9">
        <f>MAX($F$5129:F5165)</f>
        <v>1.1116</v>
      </c>
      <c r="M5165" s="11">
        <f t="shared" si="127"/>
        <v>0.0399424253328535</v>
      </c>
      <c r="N5165" s="9" t="s">
        <v>814</v>
      </c>
    </row>
    <row r="5166" ht="25" customHeight="1" spans="1:14">
      <c r="A5166" s="9" t="s">
        <v>422</v>
      </c>
      <c r="B5166" s="9" t="s">
        <v>421</v>
      </c>
      <c r="C5166" s="10">
        <v>45443</v>
      </c>
      <c r="D5166" s="15">
        <v>1.069</v>
      </c>
      <c r="E5166" s="15">
        <v>1.069</v>
      </c>
      <c r="F5166" s="15">
        <v>1.069</v>
      </c>
      <c r="G5166" s="11">
        <v>0.0017</v>
      </c>
      <c r="H5166" s="9">
        <f>MAX($F$5089:F5166)</f>
        <v>1.1116</v>
      </c>
      <c r="I5166" s="11">
        <f t="shared" si="126"/>
        <v>0.0383231378193595</v>
      </c>
      <c r="J5166" s="9"/>
      <c r="K5166" s="11"/>
      <c r="L5166" s="9">
        <f>MAX($F$5129:F5166)</f>
        <v>1.1116</v>
      </c>
      <c r="M5166" s="11">
        <f t="shared" si="127"/>
        <v>0.0383231378193595</v>
      </c>
      <c r="N5166" s="9" t="s">
        <v>814</v>
      </c>
    </row>
    <row r="5167" ht="25" customHeight="1" spans="1:14">
      <c r="A5167" s="9" t="s">
        <v>422</v>
      </c>
      <c r="B5167" s="9" t="s">
        <v>421</v>
      </c>
      <c r="C5167" s="10">
        <v>45450</v>
      </c>
      <c r="D5167" s="15">
        <v>1.079</v>
      </c>
      <c r="E5167" s="15">
        <v>1.079</v>
      </c>
      <c r="F5167" s="15">
        <v>1.079</v>
      </c>
      <c r="G5167" s="11">
        <v>0.0094</v>
      </c>
      <c r="H5167" s="9">
        <f>MAX($F$5089:F5167)</f>
        <v>1.1116</v>
      </c>
      <c r="I5167" s="11">
        <f t="shared" si="126"/>
        <v>0.0293270960777258</v>
      </c>
      <c r="J5167" s="9"/>
      <c r="K5167" s="11"/>
      <c r="L5167" s="9">
        <f>MAX($F$5129:F5167)</f>
        <v>1.1116</v>
      </c>
      <c r="M5167" s="11">
        <f t="shared" si="127"/>
        <v>0.0293270960777258</v>
      </c>
      <c r="N5167" s="9" t="s">
        <v>814</v>
      </c>
    </row>
    <row r="5168" ht="25" customHeight="1" spans="1:14">
      <c r="A5168" s="9" t="s">
        <v>422</v>
      </c>
      <c r="B5168" s="9" t="s">
        <v>421</v>
      </c>
      <c r="C5168" s="10">
        <v>45457</v>
      </c>
      <c r="D5168" s="15">
        <v>1.0801</v>
      </c>
      <c r="E5168" s="15">
        <v>1.0801</v>
      </c>
      <c r="F5168" s="15">
        <v>1.0801</v>
      </c>
      <c r="G5168" s="11">
        <v>0.001</v>
      </c>
      <c r="H5168" s="9">
        <f>MAX($F$5089:F5168)</f>
        <v>1.1116</v>
      </c>
      <c r="I5168" s="11">
        <f t="shared" si="126"/>
        <v>0.0283375314861459</v>
      </c>
      <c r="J5168" s="9"/>
      <c r="K5168" s="11"/>
      <c r="L5168" s="9">
        <f>MAX($F$5129:F5168)</f>
        <v>1.1116</v>
      </c>
      <c r="M5168" s="11">
        <f t="shared" si="127"/>
        <v>0.0283375314861459</v>
      </c>
      <c r="N5168" s="9" t="s">
        <v>814</v>
      </c>
    </row>
    <row r="5169" ht="25" customHeight="1" spans="1:14">
      <c r="A5169" s="9" t="s">
        <v>422</v>
      </c>
      <c r="B5169" s="9" t="s">
        <v>421</v>
      </c>
      <c r="C5169" s="10">
        <v>45464</v>
      </c>
      <c r="D5169" s="15">
        <v>1.0867</v>
      </c>
      <c r="E5169" s="15">
        <v>1.0867</v>
      </c>
      <c r="F5169" s="15">
        <v>1.0867</v>
      </c>
      <c r="G5169" s="11">
        <v>0.0061</v>
      </c>
      <c r="H5169" s="9">
        <f>MAX($F$5089:F5169)</f>
        <v>1.1116</v>
      </c>
      <c r="I5169" s="11">
        <f t="shared" si="126"/>
        <v>0.0224001439366678</v>
      </c>
      <c r="J5169" s="9"/>
      <c r="K5169" s="11"/>
      <c r="L5169" s="9">
        <f>MAX($F$5129:F5169)</f>
        <v>1.1116</v>
      </c>
      <c r="M5169" s="11">
        <f t="shared" si="127"/>
        <v>0.0224001439366678</v>
      </c>
      <c r="N5169" s="9" t="s">
        <v>814</v>
      </c>
    </row>
    <row r="5170" ht="25" customHeight="1" spans="1:14">
      <c r="A5170" s="9" t="s">
        <v>422</v>
      </c>
      <c r="B5170" s="9" t="s">
        <v>421</v>
      </c>
      <c r="C5170" s="10">
        <v>45471</v>
      </c>
      <c r="D5170" s="15">
        <v>1.0927</v>
      </c>
      <c r="E5170" s="15">
        <v>1.0927</v>
      </c>
      <c r="F5170" s="15">
        <v>1.0927</v>
      </c>
      <c r="G5170" s="11">
        <v>0.0055</v>
      </c>
      <c r="H5170" s="9">
        <f>MAX($F$5089:F5170)</f>
        <v>1.1116</v>
      </c>
      <c r="I5170" s="11">
        <f t="shared" si="126"/>
        <v>0.0170025188916876</v>
      </c>
      <c r="J5170" s="9"/>
      <c r="K5170" s="11"/>
      <c r="L5170" s="9">
        <f>MAX($F$5129:F5170)</f>
        <v>1.1116</v>
      </c>
      <c r="M5170" s="11">
        <f t="shared" si="127"/>
        <v>0.0170025188916876</v>
      </c>
      <c r="N5170" s="9" t="s">
        <v>814</v>
      </c>
    </row>
    <row r="5171" ht="25" customHeight="1" spans="1:14">
      <c r="A5171" s="9" t="s">
        <v>422</v>
      </c>
      <c r="B5171" s="9" t="s">
        <v>421</v>
      </c>
      <c r="C5171" s="10">
        <v>45478</v>
      </c>
      <c r="D5171" s="15">
        <v>1.0934</v>
      </c>
      <c r="E5171" s="15">
        <v>1.0934</v>
      </c>
      <c r="F5171" s="15">
        <v>1.0934</v>
      </c>
      <c r="G5171" s="11">
        <v>0.0006</v>
      </c>
      <c r="H5171" s="9">
        <f>MAX($F$5089:F5171)</f>
        <v>1.1116</v>
      </c>
      <c r="I5171" s="11">
        <f t="shared" si="126"/>
        <v>0.0163727959697733</v>
      </c>
      <c r="J5171" s="9"/>
      <c r="K5171" s="11"/>
      <c r="L5171" s="9">
        <f>MAX($F$5129:F5171)</f>
        <v>1.1116</v>
      </c>
      <c r="M5171" s="11">
        <f t="shared" si="127"/>
        <v>0.0163727959697733</v>
      </c>
      <c r="N5171" s="9" t="s">
        <v>814</v>
      </c>
    </row>
    <row r="5172" ht="25" customHeight="1" spans="1:14">
      <c r="A5172" s="9" t="s">
        <v>422</v>
      </c>
      <c r="B5172" s="9" t="s">
        <v>421</v>
      </c>
      <c r="C5172" s="10">
        <v>45485</v>
      </c>
      <c r="D5172" s="15">
        <v>1.1067</v>
      </c>
      <c r="E5172" s="15">
        <v>1.1067</v>
      </c>
      <c r="F5172" s="15">
        <v>1.1067</v>
      </c>
      <c r="G5172" s="11">
        <v>0.0122</v>
      </c>
      <c r="H5172" s="9">
        <f>MAX($F$5089:F5172)</f>
        <v>1.1116</v>
      </c>
      <c r="I5172" s="11">
        <f t="shared" si="126"/>
        <v>0.00440806045340036</v>
      </c>
      <c r="J5172" s="9"/>
      <c r="K5172" s="11"/>
      <c r="L5172" s="9">
        <f>MAX($F$5129:F5172)</f>
        <v>1.1116</v>
      </c>
      <c r="M5172" s="11">
        <f t="shared" si="127"/>
        <v>0.00440806045340036</v>
      </c>
      <c r="N5172" s="9" t="s">
        <v>814</v>
      </c>
    </row>
    <row r="5173" ht="25" customHeight="1" spans="1:14">
      <c r="A5173" s="9" t="s">
        <v>422</v>
      </c>
      <c r="B5173" s="9" t="s">
        <v>421</v>
      </c>
      <c r="C5173" s="10">
        <v>45492</v>
      </c>
      <c r="D5173" s="15">
        <v>1.1115</v>
      </c>
      <c r="E5173" s="15">
        <v>1.1115</v>
      </c>
      <c r="F5173" s="15">
        <v>1.1115</v>
      </c>
      <c r="G5173" s="11">
        <v>0.0043</v>
      </c>
      <c r="H5173" s="9">
        <f>MAX($F$5089:F5173)</f>
        <v>1.1116</v>
      </c>
      <c r="I5173" s="11">
        <f t="shared" si="126"/>
        <v>8.99604174163793e-5</v>
      </c>
      <c r="J5173" s="9"/>
      <c r="K5173" s="11"/>
      <c r="L5173" s="9">
        <f>MAX($F$5129:F5173)</f>
        <v>1.1116</v>
      </c>
      <c r="M5173" s="11">
        <f t="shared" si="127"/>
        <v>8.99604174163793e-5</v>
      </c>
      <c r="N5173" s="9" t="s">
        <v>814</v>
      </c>
    </row>
    <row r="5174" ht="25" customHeight="1" spans="1:14">
      <c r="A5174" s="9" t="s">
        <v>422</v>
      </c>
      <c r="B5174" s="9" t="s">
        <v>421</v>
      </c>
      <c r="C5174" s="10">
        <v>45499</v>
      </c>
      <c r="D5174" s="15">
        <v>1.1222</v>
      </c>
      <c r="E5174" s="15">
        <v>1.1222</v>
      </c>
      <c r="F5174" s="15">
        <v>1.1222</v>
      </c>
      <c r="G5174" s="11">
        <v>0.0096</v>
      </c>
      <c r="H5174" s="9">
        <f>MAX($F$5089:F5174)</f>
        <v>1.1222</v>
      </c>
      <c r="I5174" s="11">
        <f t="shared" si="126"/>
        <v>0</v>
      </c>
      <c r="J5174" s="9"/>
      <c r="K5174" s="11"/>
      <c r="L5174" s="9">
        <f>MAX($F$5129:F5174)</f>
        <v>1.1222</v>
      </c>
      <c r="M5174" s="11">
        <f t="shared" si="127"/>
        <v>0</v>
      </c>
      <c r="N5174" s="9" t="s">
        <v>814</v>
      </c>
    </row>
    <row r="5175" ht="25" customHeight="1" spans="1:14">
      <c r="A5175" s="9" t="s">
        <v>422</v>
      </c>
      <c r="B5175" s="9" t="s">
        <v>421</v>
      </c>
      <c r="C5175" s="10">
        <v>45506</v>
      </c>
      <c r="D5175" s="15">
        <v>1.1256</v>
      </c>
      <c r="E5175" s="15">
        <v>1.1256</v>
      </c>
      <c r="F5175" s="15">
        <v>1.1256</v>
      </c>
      <c r="G5175" s="11">
        <v>0.003</v>
      </c>
      <c r="H5175" s="9">
        <f>MAX($F$5089:F5175)</f>
        <v>1.1256</v>
      </c>
      <c r="I5175" s="11">
        <f t="shared" si="126"/>
        <v>0</v>
      </c>
      <c r="J5175" s="9"/>
      <c r="K5175" s="11"/>
      <c r="L5175" s="9">
        <f>MAX($F$5129:F5175)</f>
        <v>1.1256</v>
      </c>
      <c r="M5175" s="11">
        <f t="shared" si="127"/>
        <v>0</v>
      </c>
      <c r="N5175" s="9" t="s">
        <v>814</v>
      </c>
    </row>
    <row r="5176" ht="25" customHeight="1" spans="1:14">
      <c r="A5176" s="9" t="s">
        <v>422</v>
      </c>
      <c r="B5176" s="9" t="s">
        <v>421</v>
      </c>
      <c r="C5176" s="10">
        <v>45513</v>
      </c>
      <c r="D5176" s="15">
        <v>1.1311</v>
      </c>
      <c r="E5176" s="15">
        <v>1.1311</v>
      </c>
      <c r="F5176" s="15">
        <v>1.1311</v>
      </c>
      <c r="G5176" s="11">
        <v>0.0049</v>
      </c>
      <c r="H5176" s="9">
        <f>MAX($F$5089:F5176)</f>
        <v>1.1311</v>
      </c>
      <c r="I5176" s="11">
        <f t="shared" si="126"/>
        <v>0</v>
      </c>
      <c r="J5176" s="9"/>
      <c r="K5176" s="11"/>
      <c r="L5176" s="9">
        <f>MAX($F$5129:F5176)</f>
        <v>1.1311</v>
      </c>
      <c r="M5176" s="11">
        <f t="shared" si="127"/>
        <v>0</v>
      </c>
      <c r="N5176" s="9" t="s">
        <v>814</v>
      </c>
    </row>
    <row r="5177" ht="25" customHeight="1" spans="1:14">
      <c r="A5177" s="9" t="s">
        <v>422</v>
      </c>
      <c r="B5177" s="9" t="s">
        <v>421</v>
      </c>
      <c r="C5177" s="10">
        <v>45520</v>
      </c>
      <c r="D5177" s="15">
        <v>1.1476</v>
      </c>
      <c r="E5177" s="15">
        <v>1.1476</v>
      </c>
      <c r="F5177" s="15">
        <v>1.1476</v>
      </c>
      <c r="G5177" s="11">
        <v>0.0146</v>
      </c>
      <c r="H5177" s="9">
        <f>MAX($F$5089:F5177)</f>
        <v>1.1476</v>
      </c>
      <c r="I5177" s="11">
        <f t="shared" si="126"/>
        <v>0</v>
      </c>
      <c r="J5177" s="9"/>
      <c r="K5177" s="11"/>
      <c r="L5177" s="9">
        <f>MAX($F$5129:F5177)</f>
        <v>1.1476</v>
      </c>
      <c r="M5177" s="11">
        <f t="shared" si="127"/>
        <v>0</v>
      </c>
      <c r="N5177" s="9" t="s">
        <v>814</v>
      </c>
    </row>
    <row r="5178" ht="25" customHeight="1" spans="1:14">
      <c r="A5178" s="9" t="s">
        <v>422</v>
      </c>
      <c r="B5178" s="9" t="s">
        <v>421</v>
      </c>
      <c r="C5178" s="10">
        <v>45527</v>
      </c>
      <c r="D5178" s="15">
        <v>1.1343</v>
      </c>
      <c r="E5178" s="15">
        <v>1.1343</v>
      </c>
      <c r="F5178" s="15">
        <v>1.1343</v>
      </c>
      <c r="G5178" s="11">
        <v>-0.0116</v>
      </c>
      <c r="H5178" s="9">
        <f>MAX($F$5089:F5178)</f>
        <v>1.1476</v>
      </c>
      <c r="I5178" s="11">
        <f t="shared" si="126"/>
        <v>0.0115894039735098</v>
      </c>
      <c r="J5178" s="9"/>
      <c r="K5178" s="11"/>
      <c r="L5178" s="9">
        <f>MAX($F$5129:F5178)</f>
        <v>1.1476</v>
      </c>
      <c r="M5178" s="11">
        <f t="shared" si="127"/>
        <v>0.0115894039735098</v>
      </c>
      <c r="N5178" s="9" t="s">
        <v>814</v>
      </c>
    </row>
    <row r="5179" ht="25" customHeight="1" spans="1:14">
      <c r="A5179" s="9" t="s">
        <v>422</v>
      </c>
      <c r="B5179" s="9" t="s">
        <v>421</v>
      </c>
      <c r="C5179" s="10">
        <v>45534</v>
      </c>
      <c r="D5179" s="15">
        <v>1.1346</v>
      </c>
      <c r="E5179" s="15">
        <v>1.1346</v>
      </c>
      <c r="F5179" s="15">
        <v>1.1346</v>
      </c>
      <c r="G5179" s="11">
        <v>0.0003</v>
      </c>
      <c r="H5179" s="9">
        <f>MAX($F$5089:F5179)</f>
        <v>1.1476</v>
      </c>
      <c r="I5179" s="11">
        <f t="shared" si="126"/>
        <v>0.0113279888462878</v>
      </c>
      <c r="J5179" s="9"/>
      <c r="K5179" s="11"/>
      <c r="L5179" s="9">
        <f>MAX($F$5129:F5179)</f>
        <v>1.1476</v>
      </c>
      <c r="M5179" s="11">
        <f t="shared" si="127"/>
        <v>0.0113279888462878</v>
      </c>
      <c r="N5179" s="9" t="s">
        <v>814</v>
      </c>
    </row>
    <row r="5180" ht="25" customHeight="1" spans="1:14">
      <c r="A5180" s="9" t="s">
        <v>422</v>
      </c>
      <c r="B5180" s="9" t="s">
        <v>421</v>
      </c>
      <c r="C5180" s="10">
        <v>45541</v>
      </c>
      <c r="D5180" s="15">
        <v>1.1458</v>
      </c>
      <c r="E5180" s="15">
        <v>1.1458</v>
      </c>
      <c r="F5180" s="15">
        <v>1.1458</v>
      </c>
      <c r="G5180" s="11">
        <v>0.0099</v>
      </c>
      <c r="H5180" s="9">
        <f>MAX($F$5089:F5180)</f>
        <v>1.1476</v>
      </c>
      <c r="I5180" s="11">
        <f t="shared" si="126"/>
        <v>0.00156849076333221</v>
      </c>
      <c r="J5180" s="9"/>
      <c r="K5180" s="11"/>
      <c r="L5180" s="9">
        <f>MAX($F$5129:F5180)</f>
        <v>1.1476</v>
      </c>
      <c r="M5180" s="11">
        <f t="shared" si="127"/>
        <v>0.00156849076333221</v>
      </c>
      <c r="N5180" s="9" t="s">
        <v>814</v>
      </c>
    </row>
    <row r="5181" ht="25" customHeight="1" spans="1:14">
      <c r="A5181" s="9" t="s">
        <v>422</v>
      </c>
      <c r="B5181" s="9" t="s">
        <v>421</v>
      </c>
      <c r="C5181" s="10">
        <v>45548</v>
      </c>
      <c r="D5181" s="15">
        <v>1.1502</v>
      </c>
      <c r="E5181" s="15">
        <v>1.1502</v>
      </c>
      <c r="F5181" s="15">
        <v>1.1502</v>
      </c>
      <c r="G5181" s="11">
        <v>0.0038</v>
      </c>
      <c r="H5181" s="9">
        <f>MAX($F$5089:F5181)</f>
        <v>1.1502</v>
      </c>
      <c r="I5181" s="11">
        <f t="shared" si="126"/>
        <v>0</v>
      </c>
      <c r="J5181" s="9"/>
      <c r="K5181" s="11"/>
      <c r="L5181" s="9">
        <f>MAX($F$5129:F5181)</f>
        <v>1.1502</v>
      </c>
      <c r="M5181" s="11">
        <f t="shared" si="127"/>
        <v>0</v>
      </c>
      <c r="N5181" s="9" t="s">
        <v>814</v>
      </c>
    </row>
    <row r="5182" ht="25" customHeight="1" spans="1:14">
      <c r="A5182" s="9" t="s">
        <v>422</v>
      </c>
      <c r="B5182" s="9" t="s">
        <v>421</v>
      </c>
      <c r="C5182" s="10">
        <v>45555</v>
      </c>
      <c r="D5182" s="15">
        <v>1.1504</v>
      </c>
      <c r="E5182" s="15">
        <v>1.1504</v>
      </c>
      <c r="F5182" s="15">
        <v>1.1504</v>
      </c>
      <c r="G5182" s="11">
        <v>0.0002</v>
      </c>
      <c r="H5182" s="9">
        <f>MAX($F$5089:F5182)</f>
        <v>1.1504</v>
      </c>
      <c r="I5182" s="11">
        <f t="shared" si="126"/>
        <v>0</v>
      </c>
      <c r="J5182" s="9"/>
      <c r="K5182" s="11"/>
      <c r="L5182" s="9">
        <f>MAX($F$5129:F5182)</f>
        <v>1.1504</v>
      </c>
      <c r="M5182" s="11">
        <f t="shared" si="127"/>
        <v>0</v>
      </c>
      <c r="N5182" s="9" t="s">
        <v>814</v>
      </c>
    </row>
    <row r="5183" ht="25" customHeight="1" spans="1:14">
      <c r="A5183" s="9" t="s">
        <v>422</v>
      </c>
      <c r="B5183" s="9" t="s">
        <v>421</v>
      </c>
      <c r="C5183" s="10">
        <v>45562</v>
      </c>
      <c r="D5183" s="15">
        <v>1.1366</v>
      </c>
      <c r="E5183" s="15">
        <v>1.1366</v>
      </c>
      <c r="F5183" s="15">
        <v>1.1366</v>
      </c>
      <c r="G5183" s="11">
        <v>-0.012</v>
      </c>
      <c r="H5183" s="9">
        <f>MAX($F$5089:F5183)</f>
        <v>1.1504</v>
      </c>
      <c r="I5183" s="11">
        <f t="shared" si="126"/>
        <v>0.0119958275382476</v>
      </c>
      <c r="J5183" s="9"/>
      <c r="K5183" s="11"/>
      <c r="L5183" s="9">
        <f>MAX($F$5129:F5183)</f>
        <v>1.1504</v>
      </c>
      <c r="M5183" s="11">
        <f t="shared" si="127"/>
        <v>0.0119958275382476</v>
      </c>
      <c r="N5183" s="9" t="s">
        <v>814</v>
      </c>
    </row>
    <row r="5184" ht="25" customHeight="1" spans="1:14">
      <c r="A5184" s="9" t="s">
        <v>422</v>
      </c>
      <c r="B5184" s="9" t="s">
        <v>421</v>
      </c>
      <c r="C5184" s="10">
        <v>45565</v>
      </c>
      <c r="D5184" s="15">
        <v>1.1354</v>
      </c>
      <c r="E5184" s="15">
        <v>1.1354</v>
      </c>
      <c r="F5184" s="15">
        <v>1.1354</v>
      </c>
      <c r="G5184" s="11">
        <v>-0.0011</v>
      </c>
      <c r="H5184" s="9">
        <f>MAX($F$5089:F5184)</f>
        <v>1.1504</v>
      </c>
      <c r="I5184" s="11">
        <f t="shared" si="126"/>
        <v>0.0130389429763561</v>
      </c>
      <c r="J5184" s="9"/>
      <c r="K5184" s="11"/>
      <c r="L5184" s="9">
        <f>MAX($F$5129:F5184)</f>
        <v>1.1504</v>
      </c>
      <c r="M5184" s="11">
        <f t="shared" si="127"/>
        <v>0.0130389429763561</v>
      </c>
      <c r="N5184" s="9" t="s">
        <v>814</v>
      </c>
    </row>
    <row r="5185" ht="25" customHeight="1" spans="1:14">
      <c r="A5185" s="9" t="s">
        <v>422</v>
      </c>
      <c r="B5185" s="9" t="s">
        <v>421</v>
      </c>
      <c r="C5185" s="10">
        <v>45576</v>
      </c>
      <c r="D5185" s="15">
        <v>1.1531</v>
      </c>
      <c r="E5185" s="15">
        <v>1.1531</v>
      </c>
      <c r="F5185" s="15">
        <v>1.1531</v>
      </c>
      <c r="G5185" s="11">
        <v>0.0156</v>
      </c>
      <c r="H5185" s="9">
        <f>MAX($F$5089:F5185)</f>
        <v>1.1531</v>
      </c>
      <c r="I5185" s="11">
        <f t="shared" si="126"/>
        <v>0</v>
      </c>
      <c r="J5185" s="9"/>
      <c r="K5185" s="11"/>
      <c r="L5185" s="9">
        <f>MAX($F$5129:F5185)</f>
        <v>1.1531</v>
      </c>
      <c r="M5185" s="11">
        <f t="shared" si="127"/>
        <v>0</v>
      </c>
      <c r="N5185" s="9" t="s">
        <v>814</v>
      </c>
    </row>
    <row r="5186" ht="25" customHeight="1" spans="1:14">
      <c r="A5186" s="9" t="s">
        <v>422</v>
      </c>
      <c r="B5186" s="9" t="s">
        <v>421</v>
      </c>
      <c r="C5186" s="10">
        <v>45583</v>
      </c>
      <c r="D5186" s="15">
        <v>1.1459</v>
      </c>
      <c r="E5186" s="15">
        <v>1.1459</v>
      </c>
      <c r="F5186" s="15">
        <v>1.1459</v>
      </c>
      <c r="G5186" s="11">
        <v>-0.0062</v>
      </c>
      <c r="H5186" s="9">
        <f>MAX($F$5089:F5186)</f>
        <v>1.1531</v>
      </c>
      <c r="I5186" s="11">
        <f t="shared" ref="I5186:I5249" si="128">1-F5186/H5186</f>
        <v>0.00624403781111793</v>
      </c>
      <c r="J5186" s="9"/>
      <c r="K5186" s="11"/>
      <c r="L5186" s="9">
        <f>MAX($F$5129:F5186)</f>
        <v>1.1531</v>
      </c>
      <c r="M5186" s="11">
        <f t="shared" si="127"/>
        <v>0.00624403781111793</v>
      </c>
      <c r="N5186" s="9" t="s">
        <v>814</v>
      </c>
    </row>
    <row r="5187" ht="25" customHeight="1" spans="1:14">
      <c r="A5187" s="9" t="s">
        <v>422</v>
      </c>
      <c r="B5187" s="9" t="s">
        <v>421</v>
      </c>
      <c r="C5187" s="10">
        <v>45590</v>
      </c>
      <c r="D5187" s="15">
        <v>1.1544</v>
      </c>
      <c r="E5187" s="15">
        <v>1.1544</v>
      </c>
      <c r="F5187" s="15">
        <v>1.1544</v>
      </c>
      <c r="G5187" s="11">
        <v>0.0074</v>
      </c>
      <c r="H5187" s="9">
        <f>MAX($F$5089:F5187)</f>
        <v>1.1544</v>
      </c>
      <c r="I5187" s="11">
        <f t="shared" si="128"/>
        <v>0</v>
      </c>
      <c r="J5187" s="9"/>
      <c r="K5187" s="11"/>
      <c r="L5187" s="9">
        <f>MAX($F$5129:F5187)</f>
        <v>1.1544</v>
      </c>
      <c r="M5187" s="11">
        <f t="shared" si="127"/>
        <v>0</v>
      </c>
      <c r="N5187" s="9" t="s">
        <v>814</v>
      </c>
    </row>
    <row r="5188" ht="25" customHeight="1" spans="1:14">
      <c r="A5188" s="9" t="s">
        <v>422</v>
      </c>
      <c r="B5188" s="9" t="s">
        <v>421</v>
      </c>
      <c r="C5188" s="10">
        <v>45597</v>
      </c>
      <c r="D5188" s="15">
        <v>1.1634</v>
      </c>
      <c r="E5188" s="15">
        <v>1.1634</v>
      </c>
      <c r="F5188" s="15">
        <v>1.1634</v>
      </c>
      <c r="G5188" s="11">
        <v>0.0078</v>
      </c>
      <c r="H5188" s="9">
        <f>MAX($F$5089:F5188)</f>
        <v>1.1634</v>
      </c>
      <c r="I5188" s="11">
        <f t="shared" si="128"/>
        <v>0</v>
      </c>
      <c r="J5188" s="9"/>
      <c r="K5188" s="11"/>
      <c r="L5188" s="9">
        <f>MAX($F$5129:F5188)</f>
        <v>1.1634</v>
      </c>
      <c r="M5188" s="11">
        <f t="shared" si="127"/>
        <v>0</v>
      </c>
      <c r="N5188" s="9" t="s">
        <v>814</v>
      </c>
    </row>
    <row r="5189" ht="25" customHeight="1" spans="1:14">
      <c r="A5189" s="9" t="s">
        <v>422</v>
      </c>
      <c r="B5189" s="9" t="s">
        <v>421</v>
      </c>
      <c r="C5189" s="10">
        <v>45604</v>
      </c>
      <c r="D5189" s="15">
        <v>1.1731</v>
      </c>
      <c r="E5189" s="15">
        <v>1.1731</v>
      </c>
      <c r="F5189" s="15">
        <v>1.1731</v>
      </c>
      <c r="G5189" s="11">
        <v>0.0083</v>
      </c>
      <c r="H5189" s="9">
        <f>MAX($F$5089:F5189)</f>
        <v>1.1731</v>
      </c>
      <c r="I5189" s="11">
        <f t="shared" si="128"/>
        <v>0</v>
      </c>
      <c r="J5189" s="9"/>
      <c r="K5189" s="11"/>
      <c r="L5189" s="9">
        <f>MAX($F$5129:F5189)</f>
        <v>1.1731</v>
      </c>
      <c r="M5189" s="11">
        <f t="shared" si="127"/>
        <v>0</v>
      </c>
      <c r="N5189" s="9" t="s">
        <v>814</v>
      </c>
    </row>
    <row r="5190" ht="25" customHeight="1" spans="1:14">
      <c r="A5190" s="9" t="s">
        <v>422</v>
      </c>
      <c r="B5190" s="9" t="s">
        <v>421</v>
      </c>
      <c r="C5190" s="10">
        <v>45611</v>
      </c>
      <c r="D5190" s="15">
        <v>1.1749</v>
      </c>
      <c r="E5190" s="15">
        <v>1.1749</v>
      </c>
      <c r="F5190" s="15">
        <v>1.1749</v>
      </c>
      <c r="G5190" s="11">
        <v>0.0015</v>
      </c>
      <c r="H5190" s="9">
        <f>MAX($F$5089:F5190)</f>
        <v>1.1749</v>
      </c>
      <c r="I5190" s="11">
        <f t="shared" si="128"/>
        <v>0</v>
      </c>
      <c r="J5190" s="9"/>
      <c r="K5190" s="11"/>
      <c r="L5190" s="9">
        <f>MAX($F$5129:F5190)</f>
        <v>1.1749</v>
      </c>
      <c r="M5190" s="11">
        <f t="shared" si="127"/>
        <v>0</v>
      </c>
      <c r="N5190" s="9" t="s">
        <v>814</v>
      </c>
    </row>
    <row r="5191" ht="25" customHeight="1" spans="1:14">
      <c r="A5191" s="9" t="s">
        <v>422</v>
      </c>
      <c r="B5191" s="9" t="s">
        <v>421</v>
      </c>
      <c r="C5191" s="10">
        <v>45618</v>
      </c>
      <c r="D5191" s="15">
        <v>1.1809</v>
      </c>
      <c r="E5191" s="15">
        <v>1.1809</v>
      </c>
      <c r="F5191" s="15">
        <v>1.1809</v>
      </c>
      <c r="G5191" s="11">
        <v>0.0051</v>
      </c>
      <c r="H5191" s="9">
        <f>MAX($F$5089:F5191)</f>
        <v>1.1809</v>
      </c>
      <c r="I5191" s="11">
        <f t="shared" si="128"/>
        <v>0</v>
      </c>
      <c r="J5191" s="9"/>
      <c r="K5191" s="11"/>
      <c r="L5191" s="9">
        <f>MAX($F$5129:F5191)</f>
        <v>1.1809</v>
      </c>
      <c r="M5191" s="11">
        <f t="shared" si="127"/>
        <v>0</v>
      </c>
      <c r="N5191" s="9" t="s">
        <v>814</v>
      </c>
    </row>
    <row r="5192" ht="25" customHeight="1" spans="1:14">
      <c r="A5192" s="9" t="s">
        <v>422</v>
      </c>
      <c r="B5192" s="9" t="s">
        <v>421</v>
      </c>
      <c r="C5192" s="10">
        <v>45625</v>
      </c>
      <c r="D5192" s="15">
        <v>1.1844</v>
      </c>
      <c r="E5192" s="15">
        <v>1.1844</v>
      </c>
      <c r="F5192" s="15">
        <v>1.1844</v>
      </c>
      <c r="G5192" s="11">
        <v>0.003</v>
      </c>
      <c r="H5192" s="9">
        <f>MAX($F$5089:F5192)</f>
        <v>1.1844</v>
      </c>
      <c r="I5192" s="11">
        <f t="shared" si="128"/>
        <v>0</v>
      </c>
      <c r="J5192" s="9"/>
      <c r="K5192" s="11"/>
      <c r="L5192" s="9">
        <f>MAX($F$5129:F5192)</f>
        <v>1.1844</v>
      </c>
      <c r="M5192" s="11">
        <f t="shared" si="127"/>
        <v>0</v>
      </c>
      <c r="N5192" s="9" t="s">
        <v>814</v>
      </c>
    </row>
    <row r="5193" ht="25" customHeight="1" spans="1:14">
      <c r="A5193" s="9" t="s">
        <v>422</v>
      </c>
      <c r="B5193" s="9" t="s">
        <v>421</v>
      </c>
      <c r="C5193" s="10">
        <v>45632</v>
      </c>
      <c r="D5193" s="15">
        <v>1.1844</v>
      </c>
      <c r="E5193" s="15">
        <v>1.1844</v>
      </c>
      <c r="F5193" s="15">
        <v>1.1844</v>
      </c>
      <c r="G5193" s="11">
        <v>0</v>
      </c>
      <c r="H5193" s="9">
        <f>MAX($F$5089:F5193)</f>
        <v>1.1844</v>
      </c>
      <c r="I5193" s="11">
        <f t="shared" si="128"/>
        <v>0</v>
      </c>
      <c r="J5193" s="9"/>
      <c r="K5193" s="11"/>
      <c r="L5193" s="9">
        <f>MAX($F$5129:F5193)</f>
        <v>1.1844</v>
      </c>
      <c r="M5193" s="11">
        <f t="shared" ref="M5193:M5256" si="129">1-F5193/L5193</f>
        <v>0</v>
      </c>
      <c r="N5193" s="9" t="s">
        <v>814</v>
      </c>
    </row>
    <row r="5194" ht="25" customHeight="1" spans="1:14">
      <c r="A5194" s="9" t="s">
        <v>422</v>
      </c>
      <c r="B5194" s="9" t="s">
        <v>421</v>
      </c>
      <c r="C5194" s="10">
        <v>45639</v>
      </c>
      <c r="D5194" s="15">
        <v>1.1853</v>
      </c>
      <c r="E5194" s="15">
        <v>1.1853</v>
      </c>
      <c r="F5194" s="15">
        <v>1.1853</v>
      </c>
      <c r="G5194" s="11">
        <v>0.0008</v>
      </c>
      <c r="H5194" s="9">
        <f>MAX($F$5089:F5194)</f>
        <v>1.1853</v>
      </c>
      <c r="I5194" s="11">
        <f t="shared" si="128"/>
        <v>0</v>
      </c>
      <c r="J5194" s="9"/>
      <c r="K5194" s="11"/>
      <c r="L5194" s="9">
        <f>MAX($F$5129:F5194)</f>
        <v>1.1853</v>
      </c>
      <c r="M5194" s="11">
        <f t="shared" si="129"/>
        <v>0</v>
      </c>
      <c r="N5194" s="9" t="s">
        <v>814</v>
      </c>
    </row>
    <row r="5195" ht="25" customHeight="1" spans="1:14">
      <c r="A5195" s="9" t="s">
        <v>422</v>
      </c>
      <c r="B5195" s="9" t="s">
        <v>421</v>
      </c>
      <c r="C5195" s="10">
        <v>45646</v>
      </c>
      <c r="D5195" s="15">
        <v>1.1934</v>
      </c>
      <c r="E5195" s="15">
        <v>1.1934</v>
      </c>
      <c r="F5195" s="15">
        <v>1.1934</v>
      </c>
      <c r="G5195" s="11">
        <v>0.0068</v>
      </c>
      <c r="H5195" s="9">
        <f>MAX($F$5089:F5195)</f>
        <v>1.1934</v>
      </c>
      <c r="I5195" s="11">
        <f t="shared" si="128"/>
        <v>0</v>
      </c>
      <c r="J5195" s="9"/>
      <c r="K5195" s="11"/>
      <c r="L5195" s="9">
        <f>MAX($F$5129:F5195)</f>
        <v>1.1934</v>
      </c>
      <c r="M5195" s="11">
        <f t="shared" si="129"/>
        <v>0</v>
      </c>
      <c r="N5195" s="9" t="s">
        <v>814</v>
      </c>
    </row>
    <row r="5196" ht="25" customHeight="1" spans="1:14">
      <c r="A5196" s="9" t="s">
        <v>422</v>
      </c>
      <c r="B5196" s="9" t="s">
        <v>421</v>
      </c>
      <c r="C5196" s="10">
        <v>45653</v>
      </c>
      <c r="D5196" s="15">
        <v>1.2</v>
      </c>
      <c r="E5196" s="15">
        <v>1.2</v>
      </c>
      <c r="F5196" s="15">
        <v>1.2</v>
      </c>
      <c r="G5196" s="11">
        <v>0.0055</v>
      </c>
      <c r="H5196" s="9">
        <f>MAX($F$5089:F5196)</f>
        <v>1.2</v>
      </c>
      <c r="I5196" s="11">
        <f t="shared" si="128"/>
        <v>0</v>
      </c>
      <c r="J5196" s="9"/>
      <c r="K5196" s="11"/>
      <c r="L5196" s="9">
        <f>MAX($F$5129:F5196)</f>
        <v>1.2</v>
      </c>
      <c r="M5196" s="11">
        <f t="shared" si="129"/>
        <v>0</v>
      </c>
      <c r="N5196" s="9" t="s">
        <v>814</v>
      </c>
    </row>
    <row r="5197" ht="25" customHeight="1" spans="1:14">
      <c r="A5197" s="9" t="s">
        <v>422</v>
      </c>
      <c r="B5197" s="9" t="s">
        <v>421</v>
      </c>
      <c r="C5197" s="10">
        <v>45660</v>
      </c>
      <c r="D5197" s="15">
        <v>1.1874</v>
      </c>
      <c r="E5197" s="15">
        <v>1.1874</v>
      </c>
      <c r="F5197" s="15">
        <v>1.1874</v>
      </c>
      <c r="G5197" s="11">
        <v>-0.0105</v>
      </c>
      <c r="H5197" s="9">
        <f>MAX($F$5089:F5197)</f>
        <v>1.2</v>
      </c>
      <c r="I5197" s="11">
        <f t="shared" si="128"/>
        <v>0.0105</v>
      </c>
      <c r="J5197" s="9"/>
      <c r="K5197" s="11"/>
      <c r="L5197" s="9">
        <f>MAX($F$5129:F5197)</f>
        <v>1.2</v>
      </c>
      <c r="M5197" s="11">
        <f t="shared" si="129"/>
        <v>0.0105</v>
      </c>
      <c r="N5197" s="9" t="s">
        <v>814</v>
      </c>
    </row>
    <row r="5198" ht="25" customHeight="1" spans="1:14">
      <c r="A5198" s="9" t="s">
        <v>422</v>
      </c>
      <c r="B5198" s="9" t="s">
        <v>421</v>
      </c>
      <c r="C5198" s="10">
        <v>45667</v>
      </c>
      <c r="D5198" s="15">
        <v>1.2004</v>
      </c>
      <c r="E5198" s="15">
        <v>1.2004</v>
      </c>
      <c r="F5198" s="15">
        <v>1.2004</v>
      </c>
      <c r="G5198" s="11">
        <v>0.0109</v>
      </c>
      <c r="H5198" s="9">
        <f>MAX($F$5089:F5198)</f>
        <v>1.2004</v>
      </c>
      <c r="I5198" s="11">
        <f t="shared" si="128"/>
        <v>0</v>
      </c>
      <c r="J5198" s="9"/>
      <c r="K5198" s="11"/>
      <c r="L5198" s="9">
        <f>MAX($F$5129:F5198)</f>
        <v>1.2004</v>
      </c>
      <c r="M5198" s="11">
        <f t="shared" si="129"/>
        <v>0</v>
      </c>
      <c r="N5198" s="9" t="s">
        <v>814</v>
      </c>
    </row>
    <row r="5199" ht="25" customHeight="1" spans="1:14">
      <c r="A5199" s="9" t="s">
        <v>422</v>
      </c>
      <c r="B5199" s="9" t="s">
        <v>421</v>
      </c>
      <c r="C5199" s="10">
        <v>45674</v>
      </c>
      <c r="D5199" s="15">
        <v>1.2232</v>
      </c>
      <c r="E5199" s="15">
        <v>1.2232</v>
      </c>
      <c r="F5199" s="15">
        <v>1.2232</v>
      </c>
      <c r="G5199" s="11">
        <v>0.019</v>
      </c>
      <c r="H5199" s="9">
        <f>MAX($F$5089:F5199)</f>
        <v>1.2232</v>
      </c>
      <c r="I5199" s="11">
        <f t="shared" si="128"/>
        <v>0</v>
      </c>
      <c r="J5199" s="9"/>
      <c r="K5199" s="11"/>
      <c r="L5199" s="9">
        <f>MAX($F$5129:F5199)</f>
        <v>1.2232</v>
      </c>
      <c r="M5199" s="11">
        <f t="shared" si="129"/>
        <v>0</v>
      </c>
      <c r="N5199" s="9" t="s">
        <v>814</v>
      </c>
    </row>
    <row r="5200" ht="25" customHeight="1" spans="1:14">
      <c r="A5200" s="9" t="s">
        <v>422</v>
      </c>
      <c r="B5200" s="9" t="s">
        <v>421</v>
      </c>
      <c r="C5200" s="10">
        <v>45681</v>
      </c>
      <c r="D5200" s="15">
        <v>1.2341</v>
      </c>
      <c r="E5200" s="15">
        <v>1.2341</v>
      </c>
      <c r="F5200" s="15">
        <v>1.2341</v>
      </c>
      <c r="G5200" s="11">
        <v>0.0089</v>
      </c>
      <c r="H5200" s="9">
        <f>MAX($F$5089:F5200)</f>
        <v>1.2341</v>
      </c>
      <c r="I5200" s="11">
        <f t="shared" si="128"/>
        <v>0</v>
      </c>
      <c r="J5200" s="9"/>
      <c r="K5200" s="11"/>
      <c r="L5200" s="9">
        <f>MAX($F$5129:F5200)</f>
        <v>1.2341</v>
      </c>
      <c r="M5200" s="11">
        <f t="shared" si="129"/>
        <v>0</v>
      </c>
      <c r="N5200" s="9" t="s">
        <v>814</v>
      </c>
    </row>
    <row r="5201" ht="25" customHeight="1" spans="1:14">
      <c r="A5201" s="9" t="s">
        <v>422</v>
      </c>
      <c r="B5201" s="9" t="s">
        <v>421</v>
      </c>
      <c r="C5201" s="10">
        <v>45684</v>
      </c>
      <c r="D5201" s="15">
        <v>1.2346</v>
      </c>
      <c r="E5201" s="15">
        <v>1.2346</v>
      </c>
      <c r="F5201" s="15">
        <v>1.2346</v>
      </c>
      <c r="G5201" s="11">
        <v>0.0004</v>
      </c>
      <c r="H5201" s="9">
        <f>MAX($F$5089:F5201)</f>
        <v>1.2346</v>
      </c>
      <c r="I5201" s="11">
        <f t="shared" si="128"/>
        <v>0</v>
      </c>
      <c r="J5201" s="9"/>
      <c r="K5201" s="11"/>
      <c r="L5201" s="9">
        <f>MAX($F$5129:F5201)</f>
        <v>1.2346</v>
      </c>
      <c r="M5201" s="11">
        <f t="shared" si="129"/>
        <v>0</v>
      </c>
      <c r="N5201" s="9" t="s">
        <v>814</v>
      </c>
    </row>
    <row r="5202" ht="25" customHeight="1" spans="1:14">
      <c r="A5202" s="9" t="s">
        <v>422</v>
      </c>
      <c r="B5202" s="9" t="s">
        <v>421</v>
      </c>
      <c r="C5202" s="10">
        <v>45695</v>
      </c>
      <c r="D5202" s="15">
        <v>1.2333</v>
      </c>
      <c r="E5202" s="15">
        <v>1.2333</v>
      </c>
      <c r="F5202" s="15">
        <v>1.2333</v>
      </c>
      <c r="G5202" s="11">
        <v>-0.0011</v>
      </c>
      <c r="H5202" s="9">
        <f>MAX($F$5089:F5202)</f>
        <v>1.2346</v>
      </c>
      <c r="I5202" s="11">
        <f t="shared" si="128"/>
        <v>0.00105297262271165</v>
      </c>
      <c r="J5202" s="9"/>
      <c r="K5202" s="11"/>
      <c r="L5202" s="9">
        <f>MAX($F$5129:F5202)</f>
        <v>1.2346</v>
      </c>
      <c r="M5202" s="11">
        <f t="shared" si="129"/>
        <v>0.00105297262271165</v>
      </c>
      <c r="N5202" s="9" t="s">
        <v>814</v>
      </c>
    </row>
    <row r="5203" ht="25" customHeight="1" spans="1:14">
      <c r="A5203" s="9" t="s">
        <v>422</v>
      </c>
      <c r="B5203" s="9" t="s">
        <v>421</v>
      </c>
      <c r="C5203" s="10">
        <v>45702</v>
      </c>
      <c r="D5203" s="15">
        <v>1.2249</v>
      </c>
      <c r="E5203" s="15">
        <v>1.2249</v>
      </c>
      <c r="F5203" s="15">
        <v>1.2249</v>
      </c>
      <c r="G5203" s="11">
        <v>-0.0068</v>
      </c>
      <c r="H5203" s="9">
        <f>MAX($F$5089:F5203)</f>
        <v>1.2346</v>
      </c>
      <c r="I5203" s="11">
        <f t="shared" si="128"/>
        <v>0.00785679572331099</v>
      </c>
      <c r="J5203" s="9"/>
      <c r="K5203" s="11"/>
      <c r="L5203" s="9">
        <f>MAX($F$5129:F5203)</f>
        <v>1.2346</v>
      </c>
      <c r="M5203" s="11">
        <f t="shared" si="129"/>
        <v>0.00785679572331099</v>
      </c>
      <c r="N5203" s="9" t="s">
        <v>814</v>
      </c>
    </row>
    <row r="5204" ht="25" customHeight="1" spans="1:14">
      <c r="A5204" s="9" t="s">
        <v>422</v>
      </c>
      <c r="B5204" s="9" t="s">
        <v>421</v>
      </c>
      <c r="C5204" s="10">
        <v>45709</v>
      </c>
      <c r="D5204" s="15">
        <v>1.224</v>
      </c>
      <c r="E5204" s="15">
        <v>1.224</v>
      </c>
      <c r="F5204" s="15">
        <v>1.224</v>
      </c>
      <c r="G5204" s="11">
        <v>-0.0007</v>
      </c>
      <c r="H5204" s="9">
        <f>MAX($F$5089:F5204)</f>
        <v>1.2346</v>
      </c>
      <c r="I5204" s="11">
        <f t="shared" si="128"/>
        <v>0.00858577676980399</v>
      </c>
      <c r="J5204" s="9"/>
      <c r="K5204" s="11"/>
      <c r="L5204" s="9">
        <f>MAX($F$5129:F5204)</f>
        <v>1.2346</v>
      </c>
      <c r="M5204" s="11">
        <f t="shared" si="129"/>
        <v>0.00858577676980399</v>
      </c>
      <c r="N5204" s="9" t="s">
        <v>814</v>
      </c>
    </row>
    <row r="5205" ht="25" customHeight="1" spans="1:14">
      <c r="A5205" s="9" t="s">
        <v>422</v>
      </c>
      <c r="B5205" s="9" t="s">
        <v>421</v>
      </c>
      <c r="C5205" s="10">
        <v>45716</v>
      </c>
      <c r="D5205" s="15">
        <v>1.219</v>
      </c>
      <c r="E5205" s="15">
        <v>1.219</v>
      </c>
      <c r="F5205" s="15">
        <v>1.219</v>
      </c>
      <c r="G5205" s="11">
        <v>-0.0041</v>
      </c>
      <c r="H5205" s="9">
        <f>MAX($F$5089:F5205)</f>
        <v>1.2346</v>
      </c>
      <c r="I5205" s="11">
        <f t="shared" si="128"/>
        <v>0.0126356714725416</v>
      </c>
      <c r="J5205" s="9"/>
      <c r="K5205" s="11"/>
      <c r="L5205" s="9">
        <f>MAX($F$5129:F5205)</f>
        <v>1.2346</v>
      </c>
      <c r="M5205" s="11">
        <f t="shared" si="129"/>
        <v>0.0126356714725416</v>
      </c>
      <c r="N5205" s="9" t="s">
        <v>814</v>
      </c>
    </row>
    <row r="5206" ht="25" customHeight="1" spans="1:14">
      <c r="A5206" s="9" t="s">
        <v>422</v>
      </c>
      <c r="B5206" s="9" t="s">
        <v>421</v>
      </c>
      <c r="C5206" s="10">
        <v>45723</v>
      </c>
      <c r="D5206" s="15">
        <v>1.2212</v>
      </c>
      <c r="E5206" s="15">
        <v>1.2212</v>
      </c>
      <c r="F5206" s="15">
        <v>1.2212</v>
      </c>
      <c r="G5206" s="11">
        <v>0.0018</v>
      </c>
      <c r="H5206" s="9">
        <f>MAX($F$5089:F5206)</f>
        <v>1.2346</v>
      </c>
      <c r="I5206" s="11">
        <f t="shared" si="128"/>
        <v>0.010853717803337</v>
      </c>
      <c r="J5206" s="9"/>
      <c r="K5206" s="11"/>
      <c r="L5206" s="9">
        <f>MAX($F$5129:F5206)</f>
        <v>1.2346</v>
      </c>
      <c r="M5206" s="11">
        <f t="shared" si="129"/>
        <v>0.010853717803337</v>
      </c>
      <c r="N5206" s="9" t="s">
        <v>814</v>
      </c>
    </row>
    <row r="5207" ht="25" customHeight="1" spans="1:14">
      <c r="A5207" s="9" t="s">
        <v>422</v>
      </c>
      <c r="B5207" s="9" t="s">
        <v>421</v>
      </c>
      <c r="C5207" s="10">
        <v>45730</v>
      </c>
      <c r="D5207" s="15">
        <v>1.2295</v>
      </c>
      <c r="E5207" s="15">
        <v>1.2295</v>
      </c>
      <c r="F5207" s="15">
        <v>1.2295</v>
      </c>
      <c r="G5207" s="11">
        <v>0.0068</v>
      </c>
      <c r="H5207" s="9">
        <f>MAX($F$5089:F5207)</f>
        <v>1.2346</v>
      </c>
      <c r="I5207" s="11">
        <f t="shared" si="128"/>
        <v>0.00413089259679233</v>
      </c>
      <c r="J5207" s="9"/>
      <c r="K5207" s="11"/>
      <c r="L5207" s="9">
        <f>MAX($F$5129:F5207)</f>
        <v>1.2346</v>
      </c>
      <c r="M5207" s="11">
        <f t="shared" si="129"/>
        <v>0.00413089259679233</v>
      </c>
      <c r="N5207" s="9" t="s">
        <v>814</v>
      </c>
    </row>
    <row r="5208" ht="25" customHeight="1" spans="1:14">
      <c r="A5208" s="9" t="s">
        <v>422</v>
      </c>
      <c r="B5208" s="9" t="s">
        <v>421</v>
      </c>
      <c r="C5208" s="10">
        <v>45737</v>
      </c>
      <c r="D5208" s="15">
        <v>1.2325</v>
      </c>
      <c r="E5208" s="15">
        <v>1.2325</v>
      </c>
      <c r="F5208" s="15">
        <v>1.2325</v>
      </c>
      <c r="G5208" s="11">
        <v>0.0024</v>
      </c>
      <c r="H5208" s="9">
        <f>MAX($F$5089:F5208)</f>
        <v>1.2346</v>
      </c>
      <c r="I5208" s="11">
        <f t="shared" si="128"/>
        <v>0.00170095577514984</v>
      </c>
      <c r="J5208" s="9"/>
      <c r="K5208" s="11"/>
      <c r="L5208" s="9">
        <f>MAX($F$5129:F5208)</f>
        <v>1.2346</v>
      </c>
      <c r="M5208" s="11">
        <f t="shared" si="129"/>
        <v>0.00170095577514984</v>
      </c>
      <c r="N5208" s="9" t="s">
        <v>814</v>
      </c>
    </row>
    <row r="5209" ht="25" customHeight="1" spans="1:14">
      <c r="A5209" s="9" t="s">
        <v>422</v>
      </c>
      <c r="B5209" s="9" t="s">
        <v>421</v>
      </c>
      <c r="C5209" s="10">
        <v>45744</v>
      </c>
      <c r="D5209" s="15">
        <v>1.2211</v>
      </c>
      <c r="E5209" s="15">
        <v>1.2211</v>
      </c>
      <c r="F5209" s="15">
        <v>1.2211</v>
      </c>
      <c r="G5209" s="11">
        <v>-0.0092</v>
      </c>
      <c r="H5209" s="9">
        <f>MAX($F$5089:F5209)</f>
        <v>1.2346</v>
      </c>
      <c r="I5209" s="11">
        <f t="shared" si="128"/>
        <v>0.0109347156973918</v>
      </c>
      <c r="J5209" s="9"/>
      <c r="K5209" s="11"/>
      <c r="L5209" s="9">
        <f>MAX($F$5129:F5209)</f>
        <v>1.2346</v>
      </c>
      <c r="M5209" s="11">
        <f t="shared" si="129"/>
        <v>0.0109347156973918</v>
      </c>
      <c r="N5209" s="9" t="s">
        <v>814</v>
      </c>
    </row>
    <row r="5210" ht="25" customHeight="1" spans="1:14">
      <c r="A5210" s="9" t="s">
        <v>422</v>
      </c>
      <c r="B5210" s="9" t="s">
        <v>421</v>
      </c>
      <c r="C5210" s="10">
        <v>45750</v>
      </c>
      <c r="D5210" s="15">
        <v>1.2316</v>
      </c>
      <c r="E5210" s="15">
        <v>1.2316</v>
      </c>
      <c r="F5210" s="15">
        <v>1.2316</v>
      </c>
      <c r="G5210" s="11">
        <v>0.0086</v>
      </c>
      <c r="H5210" s="9">
        <f>MAX($F$5089:F5210)</f>
        <v>1.2346</v>
      </c>
      <c r="I5210" s="11">
        <f t="shared" si="128"/>
        <v>0.0024299368216425</v>
      </c>
      <c r="J5210" s="9"/>
      <c r="K5210" s="11"/>
      <c r="L5210" s="9">
        <f>MAX($F$5129:F5210)</f>
        <v>1.2346</v>
      </c>
      <c r="M5210" s="11">
        <f t="shared" si="129"/>
        <v>0.0024299368216425</v>
      </c>
      <c r="N5210" s="9" t="s">
        <v>814</v>
      </c>
    </row>
    <row r="5211" ht="25" customHeight="1" spans="1:14">
      <c r="A5211" s="9" t="s">
        <v>422</v>
      </c>
      <c r="B5211" s="9" t="s">
        <v>421</v>
      </c>
      <c r="C5211" s="10">
        <v>45758</v>
      </c>
      <c r="D5211" s="15">
        <v>1.2406</v>
      </c>
      <c r="E5211" s="15">
        <v>1.2406</v>
      </c>
      <c r="F5211" s="15">
        <v>1.2406</v>
      </c>
      <c r="G5211" s="11">
        <v>0.0073</v>
      </c>
      <c r="H5211" s="9">
        <f>MAX($F$5089:F5211)</f>
        <v>1.2406</v>
      </c>
      <c r="I5211" s="11">
        <f t="shared" si="128"/>
        <v>0</v>
      </c>
      <c r="J5211" s="9"/>
      <c r="K5211" s="11"/>
      <c r="L5211" s="9">
        <f>MAX($F$5129:F5211)</f>
        <v>1.2406</v>
      </c>
      <c r="M5211" s="11">
        <f t="shared" si="129"/>
        <v>0</v>
      </c>
      <c r="N5211" s="9" t="s">
        <v>814</v>
      </c>
    </row>
    <row r="5212" ht="25" customHeight="1" spans="1:14">
      <c r="A5212" s="9" t="s">
        <v>422</v>
      </c>
      <c r="B5212" s="9" t="s">
        <v>421</v>
      </c>
      <c r="C5212" s="10">
        <v>45765</v>
      </c>
      <c r="D5212" s="15">
        <v>1.2537</v>
      </c>
      <c r="E5212" s="15">
        <v>1.2537</v>
      </c>
      <c r="F5212" s="15">
        <v>1.2537</v>
      </c>
      <c r="G5212" s="11">
        <v>0.0106</v>
      </c>
      <c r="H5212" s="9">
        <f>MAX($F$5089:F5212)</f>
        <v>1.2537</v>
      </c>
      <c r="I5212" s="11">
        <f t="shared" si="128"/>
        <v>0</v>
      </c>
      <c r="J5212" s="9"/>
      <c r="K5212" s="11"/>
      <c r="L5212" s="9">
        <f>MAX($F$5129:F5212)</f>
        <v>1.2537</v>
      </c>
      <c r="M5212" s="11">
        <f t="shared" si="129"/>
        <v>0</v>
      </c>
      <c r="N5212" s="9" t="s">
        <v>814</v>
      </c>
    </row>
    <row r="5213" ht="25" customHeight="1" spans="1:14">
      <c r="A5213" s="9" t="s">
        <v>422</v>
      </c>
      <c r="B5213" s="9" t="s">
        <v>421</v>
      </c>
      <c r="C5213" s="10">
        <v>45772</v>
      </c>
      <c r="D5213" s="15">
        <v>1.2602</v>
      </c>
      <c r="E5213" s="15">
        <v>1.2602</v>
      </c>
      <c r="F5213" s="15">
        <v>1.2602</v>
      </c>
      <c r="G5213" s="11">
        <v>0.0052</v>
      </c>
      <c r="H5213" s="9">
        <f>MAX($F$5089:F5213)</f>
        <v>1.2602</v>
      </c>
      <c r="I5213" s="11">
        <f t="shared" si="128"/>
        <v>0</v>
      </c>
      <c r="J5213" s="9"/>
      <c r="K5213" s="11"/>
      <c r="L5213" s="9">
        <f>MAX($F$5129:F5213)</f>
        <v>1.2602</v>
      </c>
      <c r="M5213" s="11">
        <f t="shared" si="129"/>
        <v>0</v>
      </c>
      <c r="N5213" s="9" t="s">
        <v>814</v>
      </c>
    </row>
    <row r="5214" ht="25" customHeight="1" spans="1:14">
      <c r="A5214" s="9" t="s">
        <v>422</v>
      </c>
      <c r="B5214" s="9" t="s">
        <v>421</v>
      </c>
      <c r="C5214" s="10">
        <v>45777</v>
      </c>
      <c r="D5214" s="15">
        <v>1.2712</v>
      </c>
      <c r="E5214" s="15">
        <v>1.2712</v>
      </c>
      <c r="F5214" s="15">
        <v>1.2712</v>
      </c>
      <c r="G5214" s="11">
        <v>0.0087</v>
      </c>
      <c r="H5214" s="9">
        <f>MAX($F$5089:F5214)</f>
        <v>1.2712</v>
      </c>
      <c r="I5214" s="11">
        <f t="shared" si="128"/>
        <v>0</v>
      </c>
      <c r="J5214" s="9"/>
      <c r="K5214" s="11"/>
      <c r="L5214" s="9">
        <f>MAX($F$5129:F5214)</f>
        <v>1.2712</v>
      </c>
      <c r="M5214" s="11">
        <f t="shared" si="129"/>
        <v>0</v>
      </c>
      <c r="N5214" s="9" t="s">
        <v>814</v>
      </c>
    </row>
    <row r="5215" ht="25" customHeight="1" spans="1:14">
      <c r="A5215" s="9" t="s">
        <v>422</v>
      </c>
      <c r="B5215" s="9" t="s">
        <v>421</v>
      </c>
      <c r="C5215" s="10">
        <v>45786</v>
      </c>
      <c r="D5215" s="15">
        <v>1.2763</v>
      </c>
      <c r="E5215" s="15">
        <v>1.2763</v>
      </c>
      <c r="F5215" s="15">
        <v>1.2763</v>
      </c>
      <c r="G5215" s="11">
        <v>0.004</v>
      </c>
      <c r="H5215" s="9">
        <f>MAX($F$5089:F5215)</f>
        <v>1.2763</v>
      </c>
      <c r="I5215" s="11">
        <f t="shared" si="128"/>
        <v>0</v>
      </c>
      <c r="J5215" s="9"/>
      <c r="K5215" s="11"/>
      <c r="L5215" s="9">
        <f>MAX($F$5129:F5215)</f>
        <v>1.2763</v>
      </c>
      <c r="M5215" s="11">
        <f t="shared" si="129"/>
        <v>0</v>
      </c>
      <c r="N5215" s="9" t="s">
        <v>814</v>
      </c>
    </row>
    <row r="5216" ht="25" customHeight="1" spans="1:14">
      <c r="A5216" s="9" t="s">
        <v>422</v>
      </c>
      <c r="B5216" s="9" t="s">
        <v>421</v>
      </c>
      <c r="C5216" s="10">
        <v>45793</v>
      </c>
      <c r="D5216" s="15">
        <v>1.2934</v>
      </c>
      <c r="E5216" s="15">
        <v>1.2934</v>
      </c>
      <c r="F5216" s="15">
        <v>1.2934</v>
      </c>
      <c r="G5216" s="11">
        <v>0.0134</v>
      </c>
      <c r="H5216" s="9">
        <f>MAX($F$5089:F5216)</f>
        <v>1.2934</v>
      </c>
      <c r="I5216" s="11">
        <f t="shared" si="128"/>
        <v>0</v>
      </c>
      <c r="J5216" s="9"/>
      <c r="K5216" s="11"/>
      <c r="L5216" s="9">
        <f>MAX($F$5129:F5216)</f>
        <v>1.2934</v>
      </c>
      <c r="M5216" s="11">
        <f t="shared" si="129"/>
        <v>0</v>
      </c>
      <c r="N5216" s="9" t="s">
        <v>814</v>
      </c>
    </row>
    <row r="5217" ht="25" customHeight="1" spans="1:14">
      <c r="A5217" s="9" t="s">
        <v>422</v>
      </c>
      <c r="B5217" s="9" t="s">
        <v>421</v>
      </c>
      <c r="C5217" s="10">
        <v>45800</v>
      </c>
      <c r="D5217" s="15">
        <v>1.2863</v>
      </c>
      <c r="E5217" s="15">
        <v>1.2863</v>
      </c>
      <c r="F5217" s="15">
        <v>1.2863</v>
      </c>
      <c r="G5217" s="11">
        <v>-0.0055</v>
      </c>
      <c r="H5217" s="9">
        <f>MAX($F$5089:F5217)</f>
        <v>1.2934</v>
      </c>
      <c r="I5217" s="11">
        <f t="shared" si="128"/>
        <v>0.00548940776248652</v>
      </c>
      <c r="J5217" s="9"/>
      <c r="K5217" s="11"/>
      <c r="L5217" s="9">
        <f>MAX($F$5129:F5217)</f>
        <v>1.2934</v>
      </c>
      <c r="M5217" s="11">
        <f t="shared" si="129"/>
        <v>0.00548940776248652</v>
      </c>
      <c r="N5217" s="9" t="s">
        <v>814</v>
      </c>
    </row>
    <row r="5218" ht="25" customHeight="1" spans="1:14">
      <c r="A5218" s="9" t="s">
        <v>422</v>
      </c>
      <c r="B5218" s="9" t="s">
        <v>421</v>
      </c>
      <c r="C5218" s="10">
        <v>45807</v>
      </c>
      <c r="D5218" s="15">
        <v>1.2957</v>
      </c>
      <c r="E5218" s="15">
        <v>1.2957</v>
      </c>
      <c r="F5218" s="15">
        <v>1.2957</v>
      </c>
      <c r="G5218" s="11">
        <v>0.0073</v>
      </c>
      <c r="H5218" s="9">
        <f>MAX($F$5089:F5218)</f>
        <v>1.2957</v>
      </c>
      <c r="I5218" s="11">
        <f t="shared" si="128"/>
        <v>0</v>
      </c>
      <c r="J5218" s="9"/>
      <c r="K5218" s="11"/>
      <c r="L5218" s="9">
        <f>MAX($F$5129:F5218)</f>
        <v>1.2957</v>
      </c>
      <c r="M5218" s="11">
        <f t="shared" si="129"/>
        <v>0</v>
      </c>
      <c r="N5218" s="9" t="s">
        <v>814</v>
      </c>
    </row>
    <row r="5219" ht="25" customHeight="1" spans="1:14">
      <c r="A5219" s="9" t="s">
        <v>422</v>
      </c>
      <c r="B5219" s="9" t="s">
        <v>421</v>
      </c>
      <c r="C5219" s="10">
        <v>45814</v>
      </c>
      <c r="D5219" s="15">
        <v>1.291</v>
      </c>
      <c r="E5219" s="15">
        <v>1.291</v>
      </c>
      <c r="F5219" s="15">
        <v>1.291</v>
      </c>
      <c r="G5219" s="11">
        <v>-0.0036</v>
      </c>
      <c r="H5219" s="9">
        <f>MAX($F$5089:F5219)</f>
        <v>1.2957</v>
      </c>
      <c r="I5219" s="11">
        <f t="shared" si="128"/>
        <v>0.00362738288184006</v>
      </c>
      <c r="J5219" s="9"/>
      <c r="K5219" s="11"/>
      <c r="L5219" s="9">
        <f>MAX($F$5129:F5219)</f>
        <v>1.2957</v>
      </c>
      <c r="M5219" s="11">
        <f t="shared" si="129"/>
        <v>0.00362738288184006</v>
      </c>
      <c r="N5219" s="9" t="s">
        <v>814</v>
      </c>
    </row>
    <row r="5220" ht="25" customHeight="1" spans="1:14">
      <c r="A5220" s="9" t="s">
        <v>422</v>
      </c>
      <c r="B5220" s="9" t="s">
        <v>421</v>
      </c>
      <c r="C5220" s="10">
        <v>45821</v>
      </c>
      <c r="D5220" s="15">
        <v>1.2947</v>
      </c>
      <c r="E5220" s="15">
        <v>1.2947</v>
      </c>
      <c r="F5220" s="15">
        <v>1.2947</v>
      </c>
      <c r="G5220" s="11">
        <v>0.0029</v>
      </c>
      <c r="H5220" s="9">
        <f>MAX($F$5089:F5220)</f>
        <v>1.2957</v>
      </c>
      <c r="I5220" s="11">
        <f t="shared" si="128"/>
        <v>0.000771783591880904</v>
      </c>
      <c r="J5220" s="9"/>
      <c r="K5220" s="11"/>
      <c r="L5220" s="9">
        <f>MAX($F$5129:F5220)</f>
        <v>1.2957</v>
      </c>
      <c r="M5220" s="11">
        <f t="shared" si="129"/>
        <v>0.000771783591880904</v>
      </c>
      <c r="N5220" s="9" t="s">
        <v>814</v>
      </c>
    </row>
    <row r="5221" ht="25" customHeight="1" spans="1:14">
      <c r="A5221" s="9" t="s">
        <v>422</v>
      </c>
      <c r="B5221" s="9" t="s">
        <v>421</v>
      </c>
      <c r="C5221" s="10">
        <v>45828</v>
      </c>
      <c r="D5221" s="15">
        <v>1.3101</v>
      </c>
      <c r="E5221" s="15">
        <v>1.3101</v>
      </c>
      <c r="F5221" s="15">
        <v>1.3101</v>
      </c>
      <c r="G5221" s="11">
        <v>0.0119</v>
      </c>
      <c r="H5221" s="9">
        <f>MAX($F$5089:F5221)</f>
        <v>1.3101</v>
      </c>
      <c r="I5221" s="11">
        <f t="shared" si="128"/>
        <v>0</v>
      </c>
      <c r="J5221" s="9"/>
      <c r="K5221" s="11"/>
      <c r="L5221" s="9">
        <f>MAX($F$5129:F5221)</f>
        <v>1.3101</v>
      </c>
      <c r="M5221" s="11">
        <f t="shared" si="129"/>
        <v>0</v>
      </c>
      <c r="N5221" s="9" t="s">
        <v>814</v>
      </c>
    </row>
    <row r="5222" ht="25" customHeight="1" spans="1:14">
      <c r="A5222" s="9" t="s">
        <v>422</v>
      </c>
      <c r="B5222" s="9" t="s">
        <v>421</v>
      </c>
      <c r="C5222" s="10">
        <v>45835</v>
      </c>
      <c r="D5222" s="15">
        <v>1.3014</v>
      </c>
      <c r="E5222" s="15">
        <v>1.3014</v>
      </c>
      <c r="F5222" s="15">
        <v>1.3014</v>
      </c>
      <c r="G5222" s="11">
        <v>-0.0066</v>
      </c>
      <c r="H5222" s="9">
        <f>MAX($F$5089:F5222)</f>
        <v>1.3101</v>
      </c>
      <c r="I5222" s="11">
        <f t="shared" si="128"/>
        <v>0.00664071444927883</v>
      </c>
      <c r="J5222" s="9"/>
      <c r="K5222" s="11"/>
      <c r="L5222" s="9">
        <f>MAX($F$5129:F5222)</f>
        <v>1.3101</v>
      </c>
      <c r="M5222" s="11">
        <f t="shared" si="129"/>
        <v>0.00664071444927883</v>
      </c>
      <c r="N5222" s="9" t="s">
        <v>814</v>
      </c>
    </row>
    <row r="5223" ht="25" customHeight="1" spans="1:14">
      <c r="A5223" s="9" t="s">
        <v>422</v>
      </c>
      <c r="B5223" s="9" t="s">
        <v>421</v>
      </c>
      <c r="C5223" s="10">
        <v>45842</v>
      </c>
      <c r="D5223" s="15">
        <v>1.2979</v>
      </c>
      <c r="E5223" s="15">
        <v>1.2979</v>
      </c>
      <c r="F5223" s="15">
        <v>1.2979</v>
      </c>
      <c r="G5223" s="11">
        <v>-0.0027</v>
      </c>
      <c r="H5223" s="9">
        <f>MAX($F$5089:F5223)</f>
        <v>1.3101</v>
      </c>
      <c r="I5223" s="11">
        <f t="shared" si="128"/>
        <v>0.00931226623921833</v>
      </c>
      <c r="J5223" s="9"/>
      <c r="K5223" s="11"/>
      <c r="L5223" s="9">
        <f>MAX($F$5129:F5223)</f>
        <v>1.3101</v>
      </c>
      <c r="M5223" s="11">
        <f t="shared" si="129"/>
        <v>0.00931226623921833</v>
      </c>
      <c r="N5223" s="9" t="s">
        <v>814</v>
      </c>
    </row>
    <row r="5224" ht="25" customHeight="1" spans="1:14">
      <c r="A5224" s="9" t="s">
        <v>422</v>
      </c>
      <c r="B5224" s="9" t="s">
        <v>421</v>
      </c>
      <c r="C5224" s="10">
        <v>45849</v>
      </c>
      <c r="D5224" s="15">
        <v>1.3013</v>
      </c>
      <c r="E5224" s="15">
        <v>1.3013</v>
      </c>
      <c r="F5224" s="15">
        <v>1.3013</v>
      </c>
      <c r="G5224" s="11">
        <v>0.0026</v>
      </c>
      <c r="H5224" s="9">
        <f>MAX($F$5089:F5224)</f>
        <v>1.3101</v>
      </c>
      <c r="I5224" s="11">
        <f t="shared" si="128"/>
        <v>0.00671704450041988</v>
      </c>
      <c r="J5224" s="9"/>
      <c r="K5224" s="11"/>
      <c r="L5224" s="9">
        <f>MAX($F$5129:F5224)</f>
        <v>1.3101</v>
      </c>
      <c r="M5224" s="11">
        <f t="shared" si="129"/>
        <v>0.00671704450041988</v>
      </c>
      <c r="N5224" s="9" t="s">
        <v>814</v>
      </c>
    </row>
    <row r="5225" ht="25" customHeight="1" spans="1:14">
      <c r="A5225" s="9" t="s">
        <v>422</v>
      </c>
      <c r="B5225" s="9" t="s">
        <v>421</v>
      </c>
      <c r="C5225" s="10">
        <v>45856</v>
      </c>
      <c r="D5225" s="15">
        <v>1.3042</v>
      </c>
      <c r="E5225" s="15">
        <v>1.3042</v>
      </c>
      <c r="F5225" s="15">
        <v>1.3042</v>
      </c>
      <c r="G5225" s="11">
        <v>0.0022</v>
      </c>
      <c r="H5225" s="9">
        <f>MAX($F$5089:F5225)</f>
        <v>1.3101</v>
      </c>
      <c r="I5225" s="11">
        <f t="shared" si="128"/>
        <v>0.0045034730173269</v>
      </c>
      <c r="J5225" s="9"/>
      <c r="K5225" s="11"/>
      <c r="L5225" s="9">
        <f>MAX($F$5129:F5225)</f>
        <v>1.3101</v>
      </c>
      <c r="M5225" s="11">
        <f t="shared" si="129"/>
        <v>0.0045034730173269</v>
      </c>
      <c r="N5225" s="9" t="s">
        <v>814</v>
      </c>
    </row>
    <row r="5226" ht="25" customHeight="1" spans="1:14">
      <c r="A5226" s="9" t="s">
        <v>422</v>
      </c>
      <c r="B5226" s="9" t="s">
        <v>421</v>
      </c>
      <c r="C5226" s="10">
        <v>45863</v>
      </c>
      <c r="D5226" s="15">
        <v>1.3172</v>
      </c>
      <c r="E5226" s="15">
        <v>1.3172</v>
      </c>
      <c r="F5226" s="15">
        <v>1.3172</v>
      </c>
      <c r="G5226" s="11">
        <v>0.01</v>
      </c>
      <c r="H5226" s="9">
        <f>MAX($F$5089:F5226)</f>
        <v>1.3172</v>
      </c>
      <c r="I5226" s="11">
        <f t="shared" si="128"/>
        <v>0</v>
      </c>
      <c r="J5226" s="9"/>
      <c r="K5226" s="11"/>
      <c r="L5226" s="9">
        <f>MAX($F$5129:F5226)</f>
        <v>1.3172</v>
      </c>
      <c r="M5226" s="11">
        <f t="shared" si="129"/>
        <v>0</v>
      </c>
      <c r="N5226" s="9" t="s">
        <v>814</v>
      </c>
    </row>
    <row r="5227" ht="25" customHeight="1" spans="1:14">
      <c r="A5227" s="9" t="s">
        <v>422</v>
      </c>
      <c r="B5227" s="9" t="s">
        <v>421</v>
      </c>
      <c r="C5227" s="10">
        <v>45870</v>
      </c>
      <c r="D5227" s="15">
        <v>1.2965</v>
      </c>
      <c r="E5227" s="15">
        <v>1.2965</v>
      </c>
      <c r="F5227" s="15">
        <v>1.2965</v>
      </c>
      <c r="G5227" s="11">
        <v>-0.0157</v>
      </c>
      <c r="H5227" s="9">
        <f>MAX($F$5089:F5227)</f>
        <v>1.3172</v>
      </c>
      <c r="I5227" s="11">
        <f t="shared" si="128"/>
        <v>0.0157151533556027</v>
      </c>
      <c r="J5227" s="9"/>
      <c r="K5227" s="11"/>
      <c r="L5227" s="9">
        <f>MAX($F$5129:F5227)</f>
        <v>1.3172</v>
      </c>
      <c r="M5227" s="11">
        <f t="shared" si="129"/>
        <v>0.0157151533556027</v>
      </c>
      <c r="N5227" s="9" t="s">
        <v>814</v>
      </c>
    </row>
    <row r="5228" ht="25" customHeight="1" spans="1:14">
      <c r="A5228" s="9" t="s">
        <v>422</v>
      </c>
      <c r="B5228" s="9" t="s">
        <v>421</v>
      </c>
      <c r="C5228" s="10">
        <v>45877</v>
      </c>
      <c r="D5228" s="15">
        <v>1.2958</v>
      </c>
      <c r="E5228" s="15">
        <v>1.2958</v>
      </c>
      <c r="F5228" s="15">
        <v>1.2958</v>
      </c>
      <c r="G5228" s="11">
        <v>-0.0005</v>
      </c>
      <c r="H5228" s="9">
        <f>MAX($F$5089:F5228)</f>
        <v>1.3172</v>
      </c>
      <c r="I5228" s="11">
        <f t="shared" si="128"/>
        <v>0.0162465836623139</v>
      </c>
      <c r="J5228" s="9"/>
      <c r="K5228" s="11"/>
      <c r="L5228" s="9">
        <f>MAX($F$5129:F5228)</f>
        <v>1.3172</v>
      </c>
      <c r="M5228" s="11">
        <f t="shared" si="129"/>
        <v>0.0162465836623139</v>
      </c>
      <c r="N5228" s="9" t="s">
        <v>814</v>
      </c>
    </row>
    <row r="5229" ht="25" customHeight="1" spans="1:14">
      <c r="A5229" s="9" t="s">
        <v>422</v>
      </c>
      <c r="B5229" s="9" t="s">
        <v>421</v>
      </c>
      <c r="C5229" s="10">
        <v>45884</v>
      </c>
      <c r="D5229" s="15">
        <v>1.3138</v>
      </c>
      <c r="E5229" s="15">
        <v>1.3138</v>
      </c>
      <c r="F5229" s="15">
        <v>1.3138</v>
      </c>
      <c r="G5229" s="11">
        <v>0.0139</v>
      </c>
      <c r="H5229" s="9">
        <f>MAX($F$5089:F5229)</f>
        <v>1.3172</v>
      </c>
      <c r="I5229" s="11">
        <f t="shared" si="128"/>
        <v>0.00258123291831147</v>
      </c>
      <c r="J5229" s="9"/>
      <c r="K5229" s="11"/>
      <c r="L5229" s="9">
        <f>MAX($F$5129:F5229)</f>
        <v>1.3172</v>
      </c>
      <c r="M5229" s="11">
        <f t="shared" si="129"/>
        <v>0.00258123291831147</v>
      </c>
      <c r="N5229" s="9" t="s">
        <v>814</v>
      </c>
    </row>
    <row r="5230" ht="25" customHeight="1" spans="1:14">
      <c r="A5230" s="9" t="s">
        <v>422</v>
      </c>
      <c r="B5230" s="9" t="s">
        <v>421</v>
      </c>
      <c r="C5230" s="10">
        <v>45891</v>
      </c>
      <c r="D5230" s="15">
        <v>1.3163</v>
      </c>
      <c r="E5230" s="15">
        <v>1.3163</v>
      </c>
      <c r="F5230" s="15">
        <v>1.3163</v>
      </c>
      <c r="G5230" s="11">
        <v>0.0019</v>
      </c>
      <c r="H5230" s="9">
        <f>MAX($F$5089:F5230)</f>
        <v>1.3172</v>
      </c>
      <c r="I5230" s="11">
        <f t="shared" si="128"/>
        <v>0.00068326753720005</v>
      </c>
      <c r="J5230" s="9"/>
      <c r="K5230" s="11"/>
      <c r="L5230" s="9">
        <f>MAX($F$5129:F5230)</f>
        <v>1.3172</v>
      </c>
      <c r="M5230" s="11">
        <f t="shared" si="129"/>
        <v>0.00068326753720005</v>
      </c>
      <c r="N5230" s="9" t="s">
        <v>814</v>
      </c>
    </row>
    <row r="5231" ht="25" customHeight="1" spans="1:14">
      <c r="A5231" s="9" t="s">
        <v>422</v>
      </c>
      <c r="B5231" s="9" t="s">
        <v>421</v>
      </c>
      <c r="C5231" s="10">
        <v>45898</v>
      </c>
      <c r="D5231" s="15">
        <v>1.3123</v>
      </c>
      <c r="E5231" s="15">
        <v>1.3123</v>
      </c>
      <c r="F5231" s="15">
        <v>1.3123</v>
      </c>
      <c r="G5231" s="11">
        <v>-0.003</v>
      </c>
      <c r="H5231" s="9">
        <f>MAX($F$5089:F5231)</f>
        <v>1.3172</v>
      </c>
      <c r="I5231" s="11">
        <f t="shared" si="128"/>
        <v>0.00372001214697837</v>
      </c>
      <c r="J5231" s="9">
        <f>MAX($F$5231:F5231)</f>
        <v>1.3123</v>
      </c>
      <c r="K5231" s="11">
        <f t="shared" ref="K5231:K5283" si="130">1-F5231/J5231</f>
        <v>0</v>
      </c>
      <c r="L5231" s="9">
        <f>MAX($F$5129:F5231)</f>
        <v>1.3172</v>
      </c>
      <c r="M5231" s="11">
        <f t="shared" si="129"/>
        <v>0.00372001214697837</v>
      </c>
      <c r="N5231" s="9" t="s">
        <v>814</v>
      </c>
    </row>
    <row r="5232" ht="25" customHeight="1" spans="1:14">
      <c r="A5232" s="9" t="s">
        <v>422</v>
      </c>
      <c r="B5232" s="9" t="s">
        <v>421</v>
      </c>
      <c r="C5232" s="10">
        <v>45905</v>
      </c>
      <c r="D5232" s="15">
        <v>1.317</v>
      </c>
      <c r="E5232" s="15">
        <v>1.317</v>
      </c>
      <c r="F5232" s="15">
        <v>1.317</v>
      </c>
      <c r="G5232" s="11">
        <v>0.0036</v>
      </c>
      <c r="H5232" s="9">
        <f>MAX($F$5089:F5232)</f>
        <v>1.3172</v>
      </c>
      <c r="I5232" s="11">
        <f t="shared" si="128"/>
        <v>0.000151837230488949</v>
      </c>
      <c r="J5232" s="9">
        <f>MAX($F$5231:F5232)</f>
        <v>1.317</v>
      </c>
      <c r="K5232" s="11">
        <f t="shared" si="130"/>
        <v>0</v>
      </c>
      <c r="L5232" s="9">
        <f>MAX($F$5129:F5232)</f>
        <v>1.3172</v>
      </c>
      <c r="M5232" s="11">
        <f t="shared" si="129"/>
        <v>0.000151837230488949</v>
      </c>
      <c r="N5232" s="9" t="s">
        <v>814</v>
      </c>
    </row>
    <row r="5233" ht="25" customHeight="1" spans="1:14">
      <c r="A5233" s="9" t="s">
        <v>422</v>
      </c>
      <c r="B5233" s="9" t="s">
        <v>421</v>
      </c>
      <c r="C5233" s="10">
        <v>45912</v>
      </c>
      <c r="D5233" s="15">
        <v>1.302</v>
      </c>
      <c r="E5233" s="15">
        <v>1.302</v>
      </c>
      <c r="F5233" s="15">
        <v>1.302</v>
      </c>
      <c r="G5233" s="11">
        <v>-0.0114</v>
      </c>
      <c r="H5233" s="9">
        <f>MAX($F$5089:F5233)</f>
        <v>1.3172</v>
      </c>
      <c r="I5233" s="11">
        <f t="shared" si="128"/>
        <v>0.0115396295171575</v>
      </c>
      <c r="J5233" s="9">
        <f>MAX($F$5231:F5233)</f>
        <v>1.317</v>
      </c>
      <c r="K5233" s="11">
        <f t="shared" si="130"/>
        <v>0.011389521640091</v>
      </c>
      <c r="L5233" s="9">
        <f>MAX($F$5129:F5233)</f>
        <v>1.3172</v>
      </c>
      <c r="M5233" s="11">
        <f t="shared" si="129"/>
        <v>0.0115396295171575</v>
      </c>
      <c r="N5233" s="9" t="s">
        <v>814</v>
      </c>
    </row>
    <row r="5234" ht="25" customHeight="1" spans="1:14">
      <c r="A5234" s="9" t="s">
        <v>422</v>
      </c>
      <c r="B5234" s="9" t="s">
        <v>421</v>
      </c>
      <c r="C5234" s="10">
        <v>45919</v>
      </c>
      <c r="D5234" s="15">
        <v>1.304</v>
      </c>
      <c r="E5234" s="15">
        <v>1.304</v>
      </c>
      <c r="F5234" s="15">
        <v>1.304</v>
      </c>
      <c r="G5234" s="11">
        <v>0.0015</v>
      </c>
      <c r="H5234" s="9">
        <f>MAX($F$5089:F5234)</f>
        <v>1.3172</v>
      </c>
      <c r="I5234" s="11">
        <f t="shared" si="128"/>
        <v>0.0100212572122683</v>
      </c>
      <c r="J5234" s="9">
        <f>MAX($F$5231:F5234)</f>
        <v>1.317</v>
      </c>
      <c r="K5234" s="11">
        <f t="shared" si="130"/>
        <v>0.00987091875474555</v>
      </c>
      <c r="L5234" s="9">
        <f>MAX($F$5129:F5234)</f>
        <v>1.3172</v>
      </c>
      <c r="M5234" s="11">
        <f t="shared" si="129"/>
        <v>0.0100212572122683</v>
      </c>
      <c r="N5234" s="9" t="s">
        <v>814</v>
      </c>
    </row>
    <row r="5235" ht="25" customHeight="1" spans="1:14">
      <c r="A5235" s="9" t="s">
        <v>422</v>
      </c>
      <c r="B5235" s="9" t="s">
        <v>421</v>
      </c>
      <c r="C5235" s="10">
        <v>45926</v>
      </c>
      <c r="D5235" s="15">
        <v>1.3103</v>
      </c>
      <c r="E5235" s="15">
        <v>1.3103</v>
      </c>
      <c r="F5235" s="15">
        <v>1.3103</v>
      </c>
      <c r="G5235" s="11">
        <v>0.0048</v>
      </c>
      <c r="H5235" s="9">
        <f>MAX($F$5089:F5235)</f>
        <v>1.3172</v>
      </c>
      <c r="I5235" s="11">
        <f t="shared" si="128"/>
        <v>0.00523838445186753</v>
      </c>
      <c r="J5235" s="9">
        <f>MAX($F$5231:F5235)</f>
        <v>1.317</v>
      </c>
      <c r="K5235" s="11">
        <f t="shared" si="130"/>
        <v>0.00508731966590736</v>
      </c>
      <c r="L5235" s="9">
        <f>MAX($F$5129:F5235)</f>
        <v>1.3172</v>
      </c>
      <c r="M5235" s="11">
        <f t="shared" si="129"/>
        <v>0.00523838445186753</v>
      </c>
      <c r="N5235" s="9" t="s">
        <v>814</v>
      </c>
    </row>
    <row r="5236" ht="25" customHeight="1" spans="1:14">
      <c r="A5236" s="9" t="s">
        <v>422</v>
      </c>
      <c r="B5236" s="9" t="s">
        <v>421</v>
      </c>
      <c r="C5236" s="10">
        <v>45930</v>
      </c>
      <c r="D5236" s="15">
        <v>1.3148</v>
      </c>
      <c r="E5236" s="15">
        <v>1.3148</v>
      </c>
      <c r="F5236" s="15">
        <v>1.3148</v>
      </c>
      <c r="G5236" s="11">
        <v>0.0034</v>
      </c>
      <c r="H5236" s="9">
        <f>MAX($F$5089:F5236)</f>
        <v>1.3172</v>
      </c>
      <c r="I5236" s="11">
        <f t="shared" si="128"/>
        <v>0.00182204676586695</v>
      </c>
      <c r="J5236" s="9">
        <f>MAX($F$5231:F5236)</f>
        <v>1.317</v>
      </c>
      <c r="K5236" s="11">
        <f t="shared" si="130"/>
        <v>0.00167046317387998</v>
      </c>
      <c r="L5236" s="9">
        <f>MAX($F$5129:F5236)</f>
        <v>1.3172</v>
      </c>
      <c r="M5236" s="11">
        <f t="shared" si="129"/>
        <v>0.00182204676586695</v>
      </c>
      <c r="N5236" s="9" t="s">
        <v>814</v>
      </c>
    </row>
    <row r="5237" ht="25" customHeight="1" spans="1:14">
      <c r="A5237" s="9" t="s">
        <v>422</v>
      </c>
      <c r="B5237" s="9" t="s">
        <v>421</v>
      </c>
      <c r="C5237" s="10">
        <v>45940</v>
      </c>
      <c r="D5237" s="15">
        <v>1.3029</v>
      </c>
      <c r="E5237" s="15">
        <v>1.3029</v>
      </c>
      <c r="F5237" s="15">
        <v>1.3029</v>
      </c>
      <c r="G5237" s="11">
        <v>-0.0091</v>
      </c>
      <c r="H5237" s="9">
        <f>MAX($F$5089:F5237)</f>
        <v>1.3172</v>
      </c>
      <c r="I5237" s="11">
        <f t="shared" si="128"/>
        <v>0.0108563619799574</v>
      </c>
      <c r="J5237" s="9">
        <f>MAX($F$5231:F5237)</f>
        <v>1.317</v>
      </c>
      <c r="K5237" s="11">
        <f t="shared" si="130"/>
        <v>0.0107061503416856</v>
      </c>
      <c r="L5237" s="9">
        <f>MAX($F$5129:F5237)</f>
        <v>1.3172</v>
      </c>
      <c r="M5237" s="11">
        <f t="shared" si="129"/>
        <v>0.0108563619799574</v>
      </c>
      <c r="N5237" s="9" t="s">
        <v>814</v>
      </c>
    </row>
    <row r="5238" ht="25" customHeight="1" spans="1:14">
      <c r="A5238" s="9" t="s">
        <v>422</v>
      </c>
      <c r="B5238" s="9" t="s">
        <v>421</v>
      </c>
      <c r="C5238" s="10">
        <v>45947</v>
      </c>
      <c r="D5238" s="15">
        <v>1.3117</v>
      </c>
      <c r="E5238" s="15">
        <v>1.3117</v>
      </c>
      <c r="F5238" s="15">
        <v>1.3117</v>
      </c>
      <c r="G5238" s="11">
        <v>0.0068</v>
      </c>
      <c r="H5238" s="9">
        <f>MAX($F$5089:F5238)</f>
        <v>1.3172</v>
      </c>
      <c r="I5238" s="11">
        <f t="shared" si="128"/>
        <v>0.00417552383844511</v>
      </c>
      <c r="J5238" s="9">
        <f>MAX($F$5231:F5238)</f>
        <v>1.317</v>
      </c>
      <c r="K5238" s="11">
        <f t="shared" si="130"/>
        <v>0.00402429764616541</v>
      </c>
      <c r="L5238" s="9">
        <f>MAX($F$5129:F5238)</f>
        <v>1.3172</v>
      </c>
      <c r="M5238" s="11">
        <f t="shared" si="129"/>
        <v>0.00417552383844511</v>
      </c>
      <c r="N5238" s="9" t="s">
        <v>814</v>
      </c>
    </row>
    <row r="5239" ht="25" customHeight="1" spans="1:14">
      <c r="A5239" s="9" t="s">
        <v>422</v>
      </c>
      <c r="B5239" s="9" t="s">
        <v>421</v>
      </c>
      <c r="C5239" s="10">
        <v>45954</v>
      </c>
      <c r="D5239" s="15">
        <v>1.3095</v>
      </c>
      <c r="E5239" s="15">
        <v>1.3095</v>
      </c>
      <c r="F5239" s="15">
        <v>1.3095</v>
      </c>
      <c r="G5239" s="11">
        <v>-0.0017</v>
      </c>
      <c r="H5239" s="9">
        <f>MAX($F$5089:F5239)</f>
        <v>1.3172</v>
      </c>
      <c r="I5239" s="11">
        <f t="shared" si="128"/>
        <v>0.0058457333738231</v>
      </c>
      <c r="J5239" s="9">
        <f>MAX($F$5231:F5239)</f>
        <v>1.317</v>
      </c>
      <c r="K5239" s="11">
        <f t="shared" si="130"/>
        <v>0.00569476082004539</v>
      </c>
      <c r="L5239" s="9">
        <f>MAX($F$5129:F5239)</f>
        <v>1.3172</v>
      </c>
      <c r="M5239" s="11">
        <f t="shared" si="129"/>
        <v>0.0058457333738231</v>
      </c>
      <c r="N5239" s="9" t="s">
        <v>814</v>
      </c>
    </row>
    <row r="5240" ht="25" customHeight="1" spans="1:14">
      <c r="A5240" s="9" t="s">
        <v>422</v>
      </c>
      <c r="B5240" s="9" t="s">
        <v>421</v>
      </c>
      <c r="C5240" s="10">
        <v>45961</v>
      </c>
      <c r="D5240" s="15">
        <v>1.3043</v>
      </c>
      <c r="E5240" s="15">
        <v>1.3043</v>
      </c>
      <c r="F5240" s="15">
        <v>1.3043</v>
      </c>
      <c r="G5240" s="11">
        <v>-0.004</v>
      </c>
      <c r="H5240" s="9">
        <f>MAX($F$5089:F5240)</f>
        <v>1.3172</v>
      </c>
      <c r="I5240" s="11">
        <f t="shared" si="128"/>
        <v>0.00979350136653501</v>
      </c>
      <c r="J5240" s="9">
        <f>MAX($F$5231:F5240)</f>
        <v>1.317</v>
      </c>
      <c r="K5240" s="11">
        <f t="shared" si="130"/>
        <v>0.00964312832194381</v>
      </c>
      <c r="L5240" s="9">
        <f>MAX($F$5129:F5240)</f>
        <v>1.3172</v>
      </c>
      <c r="M5240" s="11">
        <f t="shared" si="129"/>
        <v>0.00979350136653501</v>
      </c>
      <c r="N5240" s="9" t="s">
        <v>814</v>
      </c>
    </row>
    <row r="5241" ht="25" customHeight="1" spans="1:14">
      <c r="A5241" s="9" t="s">
        <v>422</v>
      </c>
      <c r="B5241" s="9" t="s">
        <v>421</v>
      </c>
      <c r="C5241" s="10">
        <v>45968</v>
      </c>
      <c r="D5241" s="15">
        <v>1.3037</v>
      </c>
      <c r="E5241" s="15">
        <v>1.3037</v>
      </c>
      <c r="F5241" s="15">
        <v>1.3037</v>
      </c>
      <c r="G5241" s="11">
        <v>-0.0005</v>
      </c>
      <c r="H5241" s="9">
        <f>MAX($F$5089:F5241)</f>
        <v>1.3172</v>
      </c>
      <c r="I5241" s="11">
        <f t="shared" si="128"/>
        <v>0.0102490130580017</v>
      </c>
      <c r="J5241" s="9">
        <f>MAX($F$5231:F5241)</f>
        <v>1.317</v>
      </c>
      <c r="K5241" s="11">
        <f t="shared" si="130"/>
        <v>0.0100987091875474</v>
      </c>
      <c r="L5241" s="9">
        <f>MAX($F$5129:F5241)</f>
        <v>1.3172</v>
      </c>
      <c r="M5241" s="11">
        <f t="shared" si="129"/>
        <v>0.0102490130580017</v>
      </c>
      <c r="N5241" s="9" t="s">
        <v>814</v>
      </c>
    </row>
    <row r="5242" ht="25" customHeight="1" spans="1:14">
      <c r="A5242" s="9" t="s">
        <v>422</v>
      </c>
      <c r="B5242" s="9" t="s">
        <v>421</v>
      </c>
      <c r="C5242" s="10">
        <v>45975</v>
      </c>
      <c r="D5242" s="15">
        <v>1.3043</v>
      </c>
      <c r="E5242" s="15">
        <v>1.3043</v>
      </c>
      <c r="F5242" s="15">
        <v>1.3043</v>
      </c>
      <c r="G5242" s="11">
        <v>0.0005</v>
      </c>
      <c r="H5242" s="9">
        <f>MAX($F$5089:F5242)</f>
        <v>1.3172</v>
      </c>
      <c r="I5242" s="11">
        <f t="shared" si="128"/>
        <v>0.00979350136653501</v>
      </c>
      <c r="J5242" s="9">
        <f>MAX($F$5231:F5242)</f>
        <v>1.317</v>
      </c>
      <c r="K5242" s="11">
        <f t="shared" si="130"/>
        <v>0.00964312832194381</v>
      </c>
      <c r="L5242" s="9">
        <f>MAX($F$5129:F5242)</f>
        <v>1.3172</v>
      </c>
      <c r="M5242" s="11">
        <f t="shared" si="129"/>
        <v>0.00979350136653501</v>
      </c>
      <c r="N5242" s="9" t="s">
        <v>814</v>
      </c>
    </row>
    <row r="5243" ht="25" customHeight="1" spans="1:14">
      <c r="A5243" s="9" t="s">
        <v>422</v>
      </c>
      <c r="B5243" s="9" t="s">
        <v>421</v>
      </c>
      <c r="C5243" s="10">
        <v>45982</v>
      </c>
      <c r="D5243" s="15">
        <v>1.3091</v>
      </c>
      <c r="E5243" s="15">
        <v>1.3091</v>
      </c>
      <c r="F5243" s="15">
        <v>1.3091</v>
      </c>
      <c r="G5243" s="11">
        <v>0.0037</v>
      </c>
      <c r="H5243" s="9">
        <f>MAX($F$5089:F5243)</f>
        <v>1.3172</v>
      </c>
      <c r="I5243" s="11">
        <f t="shared" si="128"/>
        <v>0.00614940783480111</v>
      </c>
      <c r="J5243" s="9">
        <f>MAX($F$5231:F5243)</f>
        <v>1.317</v>
      </c>
      <c r="K5243" s="11">
        <f t="shared" si="130"/>
        <v>0.00599848139711467</v>
      </c>
      <c r="L5243" s="9">
        <f>MAX($F$5129:F5243)</f>
        <v>1.3172</v>
      </c>
      <c r="M5243" s="11">
        <f t="shared" si="129"/>
        <v>0.00614940783480111</v>
      </c>
      <c r="N5243" s="9" t="s">
        <v>814</v>
      </c>
    </row>
    <row r="5244" ht="25" customHeight="1" spans="1:14">
      <c r="A5244" s="9" t="s">
        <v>422</v>
      </c>
      <c r="B5244" s="9" t="s">
        <v>421</v>
      </c>
      <c r="C5244" s="10">
        <v>45989</v>
      </c>
      <c r="D5244" s="15">
        <v>1.2896</v>
      </c>
      <c r="E5244" s="15">
        <v>1.2896</v>
      </c>
      <c r="F5244" s="15">
        <v>1.2896</v>
      </c>
      <c r="G5244" s="11">
        <v>-0.0149</v>
      </c>
      <c r="H5244" s="9">
        <f>MAX($F$5089:F5244)</f>
        <v>1.3172</v>
      </c>
      <c r="I5244" s="11">
        <f t="shared" si="128"/>
        <v>0.0209535378074702</v>
      </c>
      <c r="J5244" s="9">
        <f>MAX($F$5231:F5244)</f>
        <v>1.317</v>
      </c>
      <c r="K5244" s="11">
        <f t="shared" si="130"/>
        <v>0.0208048595292331</v>
      </c>
      <c r="L5244" s="9">
        <f>MAX($F$5129:F5244)</f>
        <v>1.3172</v>
      </c>
      <c r="M5244" s="11">
        <f t="shared" si="129"/>
        <v>0.0209535378074702</v>
      </c>
      <c r="N5244" s="9" t="s">
        <v>814</v>
      </c>
    </row>
    <row r="5245" ht="25" customHeight="1" spans="1:14">
      <c r="A5245" s="9" t="s">
        <v>422</v>
      </c>
      <c r="B5245" s="9" t="s">
        <v>421</v>
      </c>
      <c r="C5245" s="10">
        <v>45996</v>
      </c>
      <c r="D5245" s="15">
        <v>1.2893</v>
      </c>
      <c r="E5245" s="15">
        <v>1.2893</v>
      </c>
      <c r="F5245" s="15">
        <v>1.2893</v>
      </c>
      <c r="G5245" s="11">
        <v>-0.0002</v>
      </c>
      <c r="H5245" s="9">
        <f>MAX($F$5089:F5245)</f>
        <v>1.3172</v>
      </c>
      <c r="I5245" s="11">
        <f t="shared" si="128"/>
        <v>0.0211812936532038</v>
      </c>
      <c r="J5245" s="9">
        <f>MAX($F$5231:F5245)</f>
        <v>1.317</v>
      </c>
      <c r="K5245" s="11">
        <f t="shared" si="130"/>
        <v>0.021032649962035</v>
      </c>
      <c r="L5245" s="9">
        <f>MAX($F$5129:F5245)</f>
        <v>1.3172</v>
      </c>
      <c r="M5245" s="11">
        <f t="shared" si="129"/>
        <v>0.0211812936532038</v>
      </c>
      <c r="N5245" s="9" t="s">
        <v>814</v>
      </c>
    </row>
    <row r="5246" ht="25" customHeight="1" spans="1:14">
      <c r="A5246" s="9" t="s">
        <v>422</v>
      </c>
      <c r="B5246" s="9" t="s">
        <v>421</v>
      </c>
      <c r="C5246" s="10">
        <v>46003</v>
      </c>
      <c r="D5246" s="15">
        <v>1.2817</v>
      </c>
      <c r="E5246" s="15">
        <v>1.2817</v>
      </c>
      <c r="F5246" s="15">
        <v>1.2817</v>
      </c>
      <c r="G5246" s="11">
        <v>-0.0059</v>
      </c>
      <c r="H5246" s="9">
        <f>MAX($F$5089:F5246)</f>
        <v>1.3172</v>
      </c>
      <c r="I5246" s="11">
        <f t="shared" si="128"/>
        <v>0.0269511084117825</v>
      </c>
      <c r="J5246" s="9">
        <f>MAX($F$5231:F5246)</f>
        <v>1.317</v>
      </c>
      <c r="K5246" s="11">
        <f t="shared" si="130"/>
        <v>0.0268033409263477</v>
      </c>
      <c r="L5246" s="9">
        <f>MAX($F$5129:F5246)</f>
        <v>1.3172</v>
      </c>
      <c r="M5246" s="11">
        <f t="shared" si="129"/>
        <v>0.0269511084117825</v>
      </c>
      <c r="N5246" s="9" t="s">
        <v>814</v>
      </c>
    </row>
    <row r="5247" ht="25" customHeight="1" spans="1:14">
      <c r="A5247" s="9" t="s">
        <v>422</v>
      </c>
      <c r="B5247" s="9" t="s">
        <v>421</v>
      </c>
      <c r="C5247" s="10">
        <v>46010</v>
      </c>
      <c r="D5247" s="15">
        <v>1.2753</v>
      </c>
      <c r="E5247" s="15">
        <v>1.2753</v>
      </c>
      <c r="F5247" s="15">
        <v>1.2753</v>
      </c>
      <c r="G5247" s="11">
        <v>-0.005</v>
      </c>
      <c r="H5247" s="9">
        <f>MAX($F$5089:F5247)</f>
        <v>1.3172</v>
      </c>
      <c r="I5247" s="11">
        <f t="shared" si="128"/>
        <v>0.0318098997874278</v>
      </c>
      <c r="J5247" s="9">
        <f>MAX($F$5231:F5247)</f>
        <v>1.317</v>
      </c>
      <c r="K5247" s="11">
        <f t="shared" si="130"/>
        <v>0.0316628701594532</v>
      </c>
      <c r="L5247" s="9">
        <f>MAX($F$5129:F5247)</f>
        <v>1.3172</v>
      </c>
      <c r="M5247" s="11">
        <f t="shared" si="129"/>
        <v>0.0318098997874278</v>
      </c>
      <c r="N5247" s="9" t="s">
        <v>814</v>
      </c>
    </row>
    <row r="5248" ht="25" customHeight="1" spans="1:14">
      <c r="A5248" s="9" t="s">
        <v>422</v>
      </c>
      <c r="B5248" s="9" t="s">
        <v>421</v>
      </c>
      <c r="C5248" s="10">
        <v>46017</v>
      </c>
      <c r="D5248" s="15">
        <v>1.2718</v>
      </c>
      <c r="E5248" s="15">
        <v>1.2718</v>
      </c>
      <c r="F5248" s="15">
        <v>1.2718</v>
      </c>
      <c r="G5248" s="11">
        <v>-0.0027</v>
      </c>
      <c r="H5248" s="9">
        <f>MAX($F$5089:F5248)</f>
        <v>1.3172</v>
      </c>
      <c r="I5248" s="11">
        <f t="shared" si="128"/>
        <v>0.0344670513209838</v>
      </c>
      <c r="J5248" s="9">
        <f>MAX($F$5231:F5248)</f>
        <v>1.317</v>
      </c>
      <c r="K5248" s="11">
        <f t="shared" si="130"/>
        <v>0.0343204252088078</v>
      </c>
      <c r="L5248" s="9">
        <f>MAX($F$5129:F5248)</f>
        <v>1.3172</v>
      </c>
      <c r="M5248" s="11">
        <f t="shared" si="129"/>
        <v>0.0344670513209838</v>
      </c>
      <c r="N5248" s="9" t="s">
        <v>814</v>
      </c>
    </row>
    <row r="5249" ht="25" customHeight="1" spans="1:14">
      <c r="A5249" s="9" t="s">
        <v>422</v>
      </c>
      <c r="B5249" s="9" t="s">
        <v>421</v>
      </c>
      <c r="C5249" s="10">
        <v>46022</v>
      </c>
      <c r="D5249" s="15">
        <v>1.2823</v>
      </c>
      <c r="E5249" s="15">
        <v>1.2823</v>
      </c>
      <c r="F5249" s="15">
        <v>1.2823</v>
      </c>
      <c r="G5249" s="11">
        <v>0.0083</v>
      </c>
      <c r="H5249" s="9">
        <f>MAX($F$5089:F5249)</f>
        <v>1.3172</v>
      </c>
      <c r="I5249" s="11">
        <f t="shared" si="128"/>
        <v>0.0264955967203158</v>
      </c>
      <c r="J5249" s="9">
        <f>MAX($F$5231:F5249)</f>
        <v>1.317</v>
      </c>
      <c r="K5249" s="11">
        <f t="shared" si="130"/>
        <v>0.0263477600607441</v>
      </c>
      <c r="L5249" s="9">
        <f>MAX($F$5129:F5249)</f>
        <v>1.3172</v>
      </c>
      <c r="M5249" s="11">
        <f t="shared" si="129"/>
        <v>0.0264955967203158</v>
      </c>
      <c r="N5249" s="9" t="s">
        <v>814</v>
      </c>
    </row>
    <row r="5250" ht="25" customHeight="1" spans="1:14">
      <c r="A5250" s="9" t="s">
        <v>422</v>
      </c>
      <c r="B5250" s="9" t="s">
        <v>421</v>
      </c>
      <c r="C5250" s="10">
        <v>46031</v>
      </c>
      <c r="D5250" s="15">
        <v>1.2803</v>
      </c>
      <c r="E5250" s="15">
        <v>1.2803</v>
      </c>
      <c r="F5250" s="15">
        <v>1.2803</v>
      </c>
      <c r="G5250" s="11">
        <v>-0.0016</v>
      </c>
      <c r="H5250" s="9">
        <f>MAX($F$5089:F5250)</f>
        <v>1.3172</v>
      </c>
      <c r="I5250" s="11">
        <f t="shared" ref="I5250:I5313" si="131">1-F5250/H5250</f>
        <v>0.0280139690252049</v>
      </c>
      <c r="J5250" s="9">
        <f>MAX($F$5231:F5250)</f>
        <v>1.317</v>
      </c>
      <c r="K5250" s="11">
        <f t="shared" si="130"/>
        <v>0.0278663629460896</v>
      </c>
      <c r="L5250" s="9">
        <f>MAX($F$5129:F5250)</f>
        <v>1.3172</v>
      </c>
      <c r="M5250" s="11">
        <f t="shared" si="129"/>
        <v>0.0280139690252049</v>
      </c>
      <c r="N5250" s="9" t="s">
        <v>814</v>
      </c>
    </row>
    <row r="5251" ht="25" customHeight="1" spans="1:14">
      <c r="A5251" s="9" t="s">
        <v>422</v>
      </c>
      <c r="B5251" s="9" t="s">
        <v>421</v>
      </c>
      <c r="C5251" s="10">
        <v>46038</v>
      </c>
      <c r="D5251" s="15">
        <v>1.2782</v>
      </c>
      <c r="E5251" s="15">
        <v>1.2782</v>
      </c>
      <c r="F5251" s="15">
        <v>1.2782</v>
      </c>
      <c r="G5251" s="11">
        <v>-0.0016</v>
      </c>
      <c r="H5251" s="9">
        <f>MAX($F$5089:F5251)</f>
        <v>1.3172</v>
      </c>
      <c r="I5251" s="11">
        <f t="shared" si="131"/>
        <v>0.0296082599453386</v>
      </c>
      <c r="J5251" s="9">
        <f>MAX($F$5231:F5251)</f>
        <v>1.317</v>
      </c>
      <c r="K5251" s="11">
        <f t="shared" si="130"/>
        <v>0.0294608959757023</v>
      </c>
      <c r="L5251" s="9">
        <f>MAX($F$5129:F5251)</f>
        <v>1.3172</v>
      </c>
      <c r="M5251" s="11">
        <f t="shared" si="129"/>
        <v>0.0296082599453386</v>
      </c>
      <c r="N5251" s="9" t="s">
        <v>814</v>
      </c>
    </row>
    <row r="5252" ht="25" customHeight="1" spans="1:14">
      <c r="A5252" s="9" t="s">
        <v>422</v>
      </c>
      <c r="B5252" s="9" t="s">
        <v>421</v>
      </c>
      <c r="C5252" s="10">
        <v>46045</v>
      </c>
      <c r="D5252" s="15">
        <v>1.2766</v>
      </c>
      <c r="E5252" s="15">
        <v>1.2766</v>
      </c>
      <c r="F5252" s="15">
        <v>1.2766</v>
      </c>
      <c r="G5252" s="11">
        <v>-0.0013</v>
      </c>
      <c r="H5252" s="9">
        <f>MAX($F$5089:F5252)</f>
        <v>1.3172</v>
      </c>
      <c r="I5252" s="11">
        <f t="shared" si="131"/>
        <v>0.0308229577892499</v>
      </c>
      <c r="J5252" s="9">
        <f>MAX($F$5231:F5252)</f>
        <v>1.317</v>
      </c>
      <c r="K5252" s="11">
        <f t="shared" si="130"/>
        <v>0.0306757782839787</v>
      </c>
      <c r="L5252" s="9">
        <f>MAX($F$5129:F5252)</f>
        <v>1.3172</v>
      </c>
      <c r="M5252" s="11">
        <f t="shared" si="129"/>
        <v>0.0308229577892499</v>
      </c>
      <c r="N5252" s="9" t="s">
        <v>814</v>
      </c>
    </row>
    <row r="5253" ht="25" customHeight="1" spans="1:14">
      <c r="A5253" s="9" t="s">
        <v>422</v>
      </c>
      <c r="B5253" s="9" t="s">
        <v>421</v>
      </c>
      <c r="C5253" s="10">
        <v>46052</v>
      </c>
      <c r="D5253" s="15">
        <v>1.3333</v>
      </c>
      <c r="E5253" s="15">
        <v>1.3333</v>
      </c>
      <c r="F5253" s="15">
        <v>1.3333</v>
      </c>
      <c r="G5253" s="11">
        <v>0.0444</v>
      </c>
      <c r="H5253" s="9">
        <f>MAX($F$5089:F5253)</f>
        <v>1.3333</v>
      </c>
      <c r="I5253" s="11">
        <f t="shared" si="131"/>
        <v>0</v>
      </c>
      <c r="J5253" s="9">
        <f>MAX($F$5231:F5253)</f>
        <v>1.3333</v>
      </c>
      <c r="K5253" s="11">
        <f t="shared" si="130"/>
        <v>0</v>
      </c>
      <c r="L5253" s="9">
        <f>MAX($F$5129:F5253)</f>
        <v>1.3333</v>
      </c>
      <c r="M5253" s="11">
        <f t="shared" si="129"/>
        <v>0</v>
      </c>
      <c r="N5253" s="9" t="s">
        <v>814</v>
      </c>
    </row>
    <row r="5254" ht="25" customHeight="1" spans="1:14">
      <c r="A5254" s="9" t="s">
        <v>422</v>
      </c>
      <c r="B5254" s="9" t="s">
        <v>421</v>
      </c>
      <c r="C5254" s="10">
        <v>46059</v>
      </c>
      <c r="D5254" s="15">
        <v>1.3318</v>
      </c>
      <c r="E5254" s="15">
        <v>1.3318</v>
      </c>
      <c r="F5254" s="15">
        <v>1.3318</v>
      </c>
      <c r="G5254" s="11">
        <v>-0.0011</v>
      </c>
      <c r="H5254" s="9">
        <f>MAX($F$5089:F5254)</f>
        <v>1.3333</v>
      </c>
      <c r="I5254" s="11">
        <f t="shared" si="131"/>
        <v>0.00112502812570303</v>
      </c>
      <c r="J5254" s="9">
        <f>MAX($F$5231:F5254)</f>
        <v>1.3333</v>
      </c>
      <c r="K5254" s="11">
        <f t="shared" si="130"/>
        <v>0.00112502812570303</v>
      </c>
      <c r="L5254" s="9">
        <f>MAX($F$5129:F5254)</f>
        <v>1.3333</v>
      </c>
      <c r="M5254" s="11">
        <f t="shared" si="129"/>
        <v>0.00112502812570303</v>
      </c>
      <c r="N5254" s="9" t="s">
        <v>814</v>
      </c>
    </row>
    <row r="5255" ht="25" customHeight="1" spans="1:14">
      <c r="A5255" s="9" t="s">
        <v>422</v>
      </c>
      <c r="B5255" s="9" t="s">
        <v>421</v>
      </c>
      <c r="C5255" s="10">
        <v>46066</v>
      </c>
      <c r="D5255" s="15">
        <v>1.3357</v>
      </c>
      <c r="E5255" s="15">
        <v>1.3357</v>
      </c>
      <c r="F5255" s="15">
        <v>1.3357</v>
      </c>
      <c r="G5255" s="11">
        <v>0.0029</v>
      </c>
      <c r="H5255" s="9">
        <f>MAX($F$5089:F5255)</f>
        <v>1.3357</v>
      </c>
      <c r="I5255" s="11">
        <f t="shared" si="131"/>
        <v>0</v>
      </c>
      <c r="J5255" s="9">
        <f>MAX($F$5231:F5255)</f>
        <v>1.3357</v>
      </c>
      <c r="K5255" s="11">
        <f t="shared" si="130"/>
        <v>0</v>
      </c>
      <c r="L5255" s="9">
        <f>MAX($F$5129:F5255)</f>
        <v>1.3357</v>
      </c>
      <c r="M5255" s="11">
        <f t="shared" si="129"/>
        <v>0</v>
      </c>
      <c r="N5255" s="9" t="s">
        <v>814</v>
      </c>
    </row>
    <row r="5256" ht="25" customHeight="1" spans="1:14">
      <c r="A5256" s="9" t="s">
        <v>422</v>
      </c>
      <c r="B5256" s="9" t="s">
        <v>421</v>
      </c>
      <c r="C5256" s="10">
        <v>46080</v>
      </c>
      <c r="D5256" s="15">
        <v>1.3342</v>
      </c>
      <c r="E5256" s="15">
        <v>1.3342</v>
      </c>
      <c r="F5256" s="15">
        <v>1.3342</v>
      </c>
      <c r="G5256" s="11">
        <v>-0.0011</v>
      </c>
      <c r="H5256" s="9">
        <f>MAX($F$5089:F5256)</f>
        <v>1.3357</v>
      </c>
      <c r="I5256" s="11">
        <f t="shared" si="131"/>
        <v>0.00112300666317289</v>
      </c>
      <c r="J5256" s="9">
        <f>MAX($F$5231:F5256)</f>
        <v>1.3357</v>
      </c>
      <c r="K5256" s="11">
        <f t="shared" si="130"/>
        <v>0.00112300666317289</v>
      </c>
      <c r="L5256" s="9">
        <f>MAX($F$5129:F5256)</f>
        <v>1.3357</v>
      </c>
      <c r="M5256" s="11">
        <f t="shared" si="129"/>
        <v>0.00112300666317289</v>
      </c>
      <c r="N5256" s="9" t="s">
        <v>814</v>
      </c>
    </row>
    <row r="5257" ht="25" customHeight="1" spans="1:14">
      <c r="A5257" s="9" t="s">
        <v>422</v>
      </c>
      <c r="B5257" s="9" t="s">
        <v>421</v>
      </c>
      <c r="C5257" s="10">
        <v>46087</v>
      </c>
      <c r="D5257" s="15">
        <v>1.3425</v>
      </c>
      <c r="E5257" s="15">
        <v>1.3425</v>
      </c>
      <c r="F5257" s="15">
        <v>1.3425</v>
      </c>
      <c r="G5257" s="11">
        <v>0.0062</v>
      </c>
      <c r="H5257" s="9">
        <f>MAX($F$5089:F5257)</f>
        <v>1.3425</v>
      </c>
      <c r="I5257" s="11">
        <f t="shared" si="131"/>
        <v>0</v>
      </c>
      <c r="J5257" s="9">
        <f>MAX($F$5231:F5257)</f>
        <v>1.3425</v>
      </c>
      <c r="K5257" s="11">
        <f t="shared" si="130"/>
        <v>0</v>
      </c>
      <c r="L5257" s="9">
        <f>MAX($F$5129:F5257)</f>
        <v>1.3425</v>
      </c>
      <c r="M5257" s="11">
        <f t="shared" ref="M5257:M5283" si="132">1-F5257/L5257</f>
        <v>0</v>
      </c>
      <c r="N5257" s="9" t="s">
        <v>814</v>
      </c>
    </row>
    <row r="5258" ht="25" customHeight="1" spans="1:14">
      <c r="A5258" s="9" t="s">
        <v>422</v>
      </c>
      <c r="B5258" s="9" t="s">
        <v>421</v>
      </c>
      <c r="C5258" s="10">
        <v>46094</v>
      </c>
      <c r="D5258" s="15">
        <v>1.3522</v>
      </c>
      <c r="E5258" s="15">
        <v>1.3522</v>
      </c>
      <c r="F5258" s="15">
        <v>1.3522</v>
      </c>
      <c r="G5258" s="11">
        <v>0.0072</v>
      </c>
      <c r="H5258" s="9">
        <f>MAX($F$5089:F5258)</f>
        <v>1.3522</v>
      </c>
      <c r="I5258" s="11">
        <f t="shared" si="131"/>
        <v>0</v>
      </c>
      <c r="J5258" s="9">
        <f>MAX($F$5231:F5258)</f>
        <v>1.3522</v>
      </c>
      <c r="K5258" s="11">
        <f t="shared" si="130"/>
        <v>0</v>
      </c>
      <c r="L5258" s="9">
        <f>MAX($F$5129:F5258)</f>
        <v>1.3522</v>
      </c>
      <c r="M5258" s="11">
        <f t="shared" si="132"/>
        <v>0</v>
      </c>
      <c r="N5258" s="9" t="s">
        <v>814</v>
      </c>
    </row>
    <row r="5259" ht="25" customHeight="1" spans="1:14">
      <c r="A5259" s="9" t="s">
        <v>422</v>
      </c>
      <c r="B5259" s="9" t="s">
        <v>421</v>
      </c>
      <c r="C5259" s="10">
        <v>46101</v>
      </c>
      <c r="D5259" s="15">
        <v>1.3337</v>
      </c>
      <c r="E5259" s="15">
        <v>1.3337</v>
      </c>
      <c r="F5259" s="15">
        <v>1.3337</v>
      </c>
      <c r="G5259" s="11">
        <v>-0.0137</v>
      </c>
      <c r="H5259" s="9">
        <f>MAX($F$5089:F5259)</f>
        <v>1.3522</v>
      </c>
      <c r="I5259" s="11">
        <f t="shared" si="131"/>
        <v>0.0136814080757284</v>
      </c>
      <c r="J5259" s="9">
        <f>MAX($F$5231:F5259)</f>
        <v>1.3522</v>
      </c>
      <c r="K5259" s="11">
        <f t="shared" si="130"/>
        <v>0.0136814080757284</v>
      </c>
      <c r="L5259" s="9">
        <f>MAX($F$5129:F5259)</f>
        <v>1.3522</v>
      </c>
      <c r="M5259" s="11">
        <f t="shared" si="132"/>
        <v>0.0136814080757284</v>
      </c>
      <c r="N5259" s="9" t="s">
        <v>814</v>
      </c>
    </row>
    <row r="5260" ht="25" customHeight="1" spans="1:14">
      <c r="A5260" s="9" t="s">
        <v>422</v>
      </c>
      <c r="B5260" s="9" t="s">
        <v>421</v>
      </c>
      <c r="C5260" s="10">
        <v>46108</v>
      </c>
      <c r="D5260" s="15">
        <v>1.323</v>
      </c>
      <c r="E5260" s="15">
        <v>1.323</v>
      </c>
      <c r="F5260" s="15">
        <v>1.323</v>
      </c>
      <c r="G5260" s="11">
        <v>-0.008</v>
      </c>
      <c r="H5260" s="9">
        <f>MAX($F$5089:F5260)</f>
        <v>1.3522</v>
      </c>
      <c r="I5260" s="11">
        <f t="shared" si="131"/>
        <v>0.0215944386925012</v>
      </c>
      <c r="J5260" s="9">
        <f>MAX($F$5231:F5260)</f>
        <v>1.3522</v>
      </c>
      <c r="K5260" s="11">
        <f t="shared" si="130"/>
        <v>0.0215944386925012</v>
      </c>
      <c r="L5260" s="9">
        <f>MAX($F$5129:F5260)</f>
        <v>1.3522</v>
      </c>
      <c r="M5260" s="11">
        <f t="shared" si="132"/>
        <v>0.0215944386925012</v>
      </c>
      <c r="N5260" s="9" t="s">
        <v>814</v>
      </c>
    </row>
    <row r="5261" ht="25" customHeight="1" spans="1:14">
      <c r="A5261" s="9" t="s">
        <v>422</v>
      </c>
      <c r="B5261" s="9" t="s">
        <v>421</v>
      </c>
      <c r="C5261" s="10">
        <v>46115</v>
      </c>
      <c r="D5261" s="15">
        <v>1.3221</v>
      </c>
      <c r="E5261" s="15">
        <v>1.3221</v>
      </c>
      <c r="F5261" s="15">
        <v>1.3221</v>
      </c>
      <c r="G5261" s="11">
        <v>-0.0007</v>
      </c>
      <c r="H5261" s="9">
        <f>MAX($F$5089:F5261)</f>
        <v>1.3522</v>
      </c>
      <c r="I5261" s="11">
        <f t="shared" si="131"/>
        <v>0.0222600207069961</v>
      </c>
      <c r="J5261" s="9">
        <f>MAX($F$5231:F5261)</f>
        <v>1.3522</v>
      </c>
      <c r="K5261" s="11">
        <f t="shared" si="130"/>
        <v>0.0222600207069961</v>
      </c>
      <c r="L5261" s="9">
        <f>MAX($F$5129:F5261)</f>
        <v>1.3522</v>
      </c>
      <c r="M5261" s="11">
        <f t="shared" si="132"/>
        <v>0.0222600207069961</v>
      </c>
      <c r="N5261" s="9" t="s">
        <v>814</v>
      </c>
    </row>
    <row r="5262" ht="25" customHeight="1" spans="1:14">
      <c r="A5262" s="9" t="s">
        <v>422</v>
      </c>
      <c r="B5262" s="9" t="s">
        <v>421</v>
      </c>
      <c r="C5262" s="10">
        <v>46122</v>
      </c>
      <c r="D5262" s="15">
        <v>1.3223</v>
      </c>
      <c r="E5262" s="15">
        <v>1.3223</v>
      </c>
      <c r="F5262" s="15">
        <v>1.3223</v>
      </c>
      <c r="G5262" s="11">
        <v>0.0002</v>
      </c>
      <c r="H5262" s="9">
        <f>MAX($F$5089:F5262)</f>
        <v>1.3522</v>
      </c>
      <c r="I5262" s="11">
        <f t="shared" si="131"/>
        <v>0.0221121135926639</v>
      </c>
      <c r="J5262" s="9">
        <f>MAX($F$5231:F5262)</f>
        <v>1.3522</v>
      </c>
      <c r="K5262" s="11">
        <f t="shared" si="130"/>
        <v>0.0221121135926639</v>
      </c>
      <c r="L5262" s="9">
        <f>MAX($F$5129:F5262)</f>
        <v>1.3522</v>
      </c>
      <c r="M5262" s="11">
        <f t="shared" si="132"/>
        <v>0.0221121135926639</v>
      </c>
      <c r="N5262" s="9" t="s">
        <v>814</v>
      </c>
    </row>
    <row r="5263" ht="25" customHeight="1" spans="1:14">
      <c r="A5263" s="9" t="s">
        <v>422</v>
      </c>
      <c r="B5263" s="9" t="s">
        <v>421</v>
      </c>
      <c r="C5263" s="10">
        <v>46129</v>
      </c>
      <c r="D5263" s="15">
        <v>1.3212</v>
      </c>
      <c r="E5263" s="15">
        <v>1.3212</v>
      </c>
      <c r="F5263" s="15">
        <v>1.3212</v>
      </c>
      <c r="G5263" s="11">
        <v>-0.0008</v>
      </c>
      <c r="H5263" s="9">
        <f>MAX($F$5089:F5263)</f>
        <v>1.3522</v>
      </c>
      <c r="I5263" s="11">
        <f t="shared" si="131"/>
        <v>0.022925602721491</v>
      </c>
      <c r="J5263" s="9">
        <f>MAX($F$5231:F5263)</f>
        <v>1.3522</v>
      </c>
      <c r="K5263" s="11">
        <f t="shared" si="130"/>
        <v>0.022925602721491</v>
      </c>
      <c r="L5263" s="9">
        <f>MAX($F$5129:F5263)</f>
        <v>1.3522</v>
      </c>
      <c r="M5263" s="11">
        <f t="shared" si="132"/>
        <v>0.022925602721491</v>
      </c>
      <c r="N5263" s="9" t="s">
        <v>814</v>
      </c>
    </row>
    <row r="5264" ht="25" customHeight="1" spans="1:14">
      <c r="A5264" s="9" t="s">
        <v>422</v>
      </c>
      <c r="B5264" s="9" t="s">
        <v>421</v>
      </c>
      <c r="C5264" s="10">
        <v>46136</v>
      </c>
      <c r="D5264" s="15">
        <v>1.3237</v>
      </c>
      <c r="E5264" s="15">
        <v>1.3237</v>
      </c>
      <c r="F5264" s="15">
        <v>1.3237</v>
      </c>
      <c r="G5264" s="11">
        <v>0.0019</v>
      </c>
      <c r="H5264" s="9">
        <f>MAX($F$5089:F5264)</f>
        <v>1.3522</v>
      </c>
      <c r="I5264" s="11">
        <f t="shared" si="131"/>
        <v>0.0210767637923384</v>
      </c>
      <c r="J5264" s="9">
        <f>MAX($F$5231:F5264)</f>
        <v>1.3522</v>
      </c>
      <c r="K5264" s="11">
        <f t="shared" si="130"/>
        <v>0.0210767637923384</v>
      </c>
      <c r="L5264" s="9">
        <f>MAX($F$5129:F5264)</f>
        <v>1.3522</v>
      </c>
      <c r="M5264" s="11">
        <f t="shared" si="132"/>
        <v>0.0210767637923384</v>
      </c>
      <c r="N5264" s="9" t="s">
        <v>814</v>
      </c>
    </row>
    <row r="5265" ht="25" customHeight="1" spans="1:14">
      <c r="A5265" s="9" t="s">
        <v>422</v>
      </c>
      <c r="B5265" s="9" t="s">
        <v>421</v>
      </c>
      <c r="C5265" s="10">
        <v>46142</v>
      </c>
      <c r="D5265" s="15">
        <v>1.3271</v>
      </c>
      <c r="E5265" s="15">
        <v>1.3271</v>
      </c>
      <c r="F5265" s="15">
        <v>1.3271</v>
      </c>
      <c r="G5265" s="11">
        <v>0.0026</v>
      </c>
      <c r="H5265" s="9">
        <f>MAX($F$5089:F5265)</f>
        <v>1.3522</v>
      </c>
      <c r="I5265" s="11">
        <f t="shared" si="131"/>
        <v>0.0185623428486911</v>
      </c>
      <c r="J5265" s="9">
        <f>MAX($F$5231:F5265)</f>
        <v>1.3522</v>
      </c>
      <c r="K5265" s="11">
        <f t="shared" si="130"/>
        <v>0.0185623428486911</v>
      </c>
      <c r="L5265" s="9">
        <f>MAX($F$5129:F5265)</f>
        <v>1.3522</v>
      </c>
      <c r="M5265" s="11">
        <f t="shared" si="132"/>
        <v>0.0185623428486911</v>
      </c>
      <c r="N5265" s="9" t="s">
        <v>814</v>
      </c>
    </row>
    <row r="5266" ht="25" customHeight="1" spans="1:14">
      <c r="A5266" s="9" t="s">
        <v>422</v>
      </c>
      <c r="B5266" s="9" t="s">
        <v>421</v>
      </c>
      <c r="C5266" s="10">
        <v>46150</v>
      </c>
      <c r="D5266" s="15">
        <v>1.3251</v>
      </c>
      <c r="E5266" s="15">
        <v>1.3251</v>
      </c>
      <c r="F5266" s="15">
        <v>1.3251</v>
      </c>
      <c r="G5266" s="11">
        <v>-0.0015</v>
      </c>
      <c r="H5266" s="9">
        <f>MAX($F$5089:F5266)</f>
        <v>1.3522</v>
      </c>
      <c r="I5266" s="11">
        <f t="shared" si="131"/>
        <v>0.0200414139920131</v>
      </c>
      <c r="J5266" s="9">
        <f>MAX($F$5231:F5266)</f>
        <v>1.3522</v>
      </c>
      <c r="K5266" s="11">
        <f t="shared" si="130"/>
        <v>0.0200414139920131</v>
      </c>
      <c r="L5266" s="9">
        <f>MAX($F$5129:F5266)</f>
        <v>1.3522</v>
      </c>
      <c r="M5266" s="11">
        <f t="shared" si="132"/>
        <v>0.0200414139920131</v>
      </c>
      <c r="N5266" s="9" t="s">
        <v>814</v>
      </c>
    </row>
    <row r="5267" ht="25" customHeight="1" spans="1:14">
      <c r="A5267" s="9" t="s">
        <v>422</v>
      </c>
      <c r="B5267" s="9" t="s">
        <v>421</v>
      </c>
      <c r="C5267" s="10">
        <v>46157</v>
      </c>
      <c r="D5267" s="15">
        <v>1.3226</v>
      </c>
      <c r="E5267" s="15">
        <v>1.3226</v>
      </c>
      <c r="F5267" s="15">
        <v>1.3226</v>
      </c>
      <c r="G5267" s="11">
        <v>-0.0019</v>
      </c>
      <c r="H5267" s="9">
        <f>MAX($F$5089:F5267)</f>
        <v>1.3522</v>
      </c>
      <c r="I5267" s="11">
        <f t="shared" si="131"/>
        <v>0.0218902529211655</v>
      </c>
      <c r="J5267" s="9">
        <f>MAX($F$5231:F5267)</f>
        <v>1.3522</v>
      </c>
      <c r="K5267" s="11">
        <f t="shared" si="130"/>
        <v>0.0218902529211655</v>
      </c>
      <c r="L5267" s="9">
        <f>MAX($F$5129:F5267)</f>
        <v>1.3522</v>
      </c>
      <c r="M5267" s="11">
        <f t="shared" si="132"/>
        <v>0.0218902529211655</v>
      </c>
      <c r="N5267" s="9" t="s">
        <v>814</v>
      </c>
    </row>
    <row r="5268" ht="25" customHeight="1" spans="1:14">
      <c r="A5268" s="9" t="s">
        <v>422</v>
      </c>
      <c r="B5268" s="9" t="s">
        <v>421</v>
      </c>
      <c r="C5268" s="10">
        <v>46164</v>
      </c>
      <c r="D5268" s="15">
        <v>1.3107</v>
      </c>
      <c r="E5268" s="15">
        <v>1.3107</v>
      </c>
      <c r="F5268" s="15">
        <v>1.3107</v>
      </c>
      <c r="G5268" s="11">
        <v>-0.009</v>
      </c>
      <c r="H5268" s="9">
        <f>MAX($F$5089:F5268)</f>
        <v>1.3522</v>
      </c>
      <c r="I5268" s="11">
        <f t="shared" si="131"/>
        <v>0.0306907262239314</v>
      </c>
      <c r="J5268" s="9">
        <f>MAX($F$5231:F5268)</f>
        <v>1.3522</v>
      </c>
      <c r="K5268" s="11">
        <f t="shared" si="130"/>
        <v>0.0306907262239314</v>
      </c>
      <c r="L5268" s="9">
        <f>MAX($F$5129:F5268)</f>
        <v>1.3522</v>
      </c>
      <c r="M5268" s="11">
        <f t="shared" si="132"/>
        <v>0.0306907262239314</v>
      </c>
      <c r="N5268" s="9" t="s">
        <v>814</v>
      </c>
    </row>
    <row r="5269" ht="25" customHeight="1" spans="1:14">
      <c r="A5269" s="9" t="s">
        <v>422</v>
      </c>
      <c r="B5269" s="9" t="s">
        <v>421</v>
      </c>
      <c r="C5269" s="10">
        <v>46171</v>
      </c>
      <c r="D5269" s="15">
        <v>1.3155</v>
      </c>
      <c r="E5269" s="15">
        <v>1.3155</v>
      </c>
      <c r="F5269" s="15">
        <v>1.3155</v>
      </c>
      <c r="G5269" s="11">
        <v>0.0037</v>
      </c>
      <c r="H5269" s="9">
        <f>MAX($F$5089:F5269)</f>
        <v>1.3522</v>
      </c>
      <c r="I5269" s="11">
        <f t="shared" si="131"/>
        <v>0.0271409554799588</v>
      </c>
      <c r="J5269" s="9">
        <f>MAX($F$5231:F5269)</f>
        <v>1.3522</v>
      </c>
      <c r="K5269" s="11">
        <f t="shared" si="130"/>
        <v>0.0271409554799588</v>
      </c>
      <c r="L5269" s="9">
        <f>MAX($F$5129:F5269)</f>
        <v>1.3522</v>
      </c>
      <c r="M5269" s="11">
        <f t="shared" si="132"/>
        <v>0.0271409554799588</v>
      </c>
      <c r="N5269" s="9" t="s">
        <v>814</v>
      </c>
    </row>
    <row r="5270" ht="25" customHeight="1" spans="1:14">
      <c r="A5270" s="9" t="s">
        <v>422</v>
      </c>
      <c r="B5270" s="9" t="s">
        <v>421</v>
      </c>
      <c r="C5270" s="10">
        <v>46178</v>
      </c>
      <c r="D5270" s="15">
        <v>1.3161</v>
      </c>
      <c r="E5270" s="15">
        <v>1.3161</v>
      </c>
      <c r="F5270" s="15">
        <v>1.3161</v>
      </c>
      <c r="G5270" s="11">
        <v>0.0005</v>
      </c>
      <c r="H5270" s="9">
        <f>MAX($F$5089:F5270)</f>
        <v>1.3522</v>
      </c>
      <c r="I5270" s="11">
        <f t="shared" si="131"/>
        <v>0.026697234136962</v>
      </c>
      <c r="J5270" s="9">
        <f>MAX($F$5231:F5270)</f>
        <v>1.3522</v>
      </c>
      <c r="K5270" s="11">
        <f t="shared" si="130"/>
        <v>0.026697234136962</v>
      </c>
      <c r="L5270" s="9">
        <f>MAX($F$5129:F5270)</f>
        <v>1.3522</v>
      </c>
      <c r="M5270" s="11">
        <f t="shared" si="132"/>
        <v>0.026697234136962</v>
      </c>
      <c r="N5270" s="9" t="s">
        <v>814</v>
      </c>
    </row>
    <row r="5271" ht="25" customHeight="1" spans="1:14">
      <c r="A5271" s="9" t="s">
        <v>422</v>
      </c>
      <c r="B5271" s="9" t="s">
        <v>421</v>
      </c>
      <c r="C5271" s="10">
        <v>46185</v>
      </c>
      <c r="D5271" s="15">
        <v>1.3105</v>
      </c>
      <c r="E5271" s="15">
        <v>1.3105</v>
      </c>
      <c r="F5271" s="15">
        <v>1.3105</v>
      </c>
      <c r="G5271" s="11">
        <v>-0.0043</v>
      </c>
      <c r="H5271" s="9">
        <f>MAX($F$5089:F5271)</f>
        <v>1.3522</v>
      </c>
      <c r="I5271" s="11">
        <f t="shared" si="131"/>
        <v>0.0308386333382636</v>
      </c>
      <c r="J5271" s="9">
        <f>MAX($F$5231:F5271)</f>
        <v>1.3522</v>
      </c>
      <c r="K5271" s="11">
        <f t="shared" si="130"/>
        <v>0.0308386333382636</v>
      </c>
      <c r="L5271" s="9">
        <f>MAX($F$5129:F5271)</f>
        <v>1.3522</v>
      </c>
      <c r="M5271" s="11">
        <f t="shared" si="132"/>
        <v>0.0308386333382636</v>
      </c>
      <c r="N5271" s="9" t="s">
        <v>814</v>
      </c>
    </row>
    <row r="5272" ht="25" customHeight="1" spans="1:14">
      <c r="A5272" s="9" t="s">
        <v>422</v>
      </c>
      <c r="B5272" s="9" t="s">
        <v>421</v>
      </c>
      <c r="C5272" s="10">
        <v>46191</v>
      </c>
      <c r="D5272" s="15">
        <v>1.3132</v>
      </c>
      <c r="E5272" s="15">
        <v>1.3132</v>
      </c>
      <c r="F5272" s="15">
        <v>1.3132</v>
      </c>
      <c r="G5272" s="11">
        <v>0.0021</v>
      </c>
      <c r="H5272" s="9">
        <f>MAX($F$5089:F5272)</f>
        <v>1.3522</v>
      </c>
      <c r="I5272" s="11">
        <f t="shared" si="131"/>
        <v>0.028841887294779</v>
      </c>
      <c r="J5272" s="9">
        <f>MAX($F$5231:F5272)</f>
        <v>1.3522</v>
      </c>
      <c r="K5272" s="11">
        <f t="shared" si="130"/>
        <v>0.028841887294779</v>
      </c>
      <c r="L5272" s="9">
        <f>MAX($F$5129:F5272)</f>
        <v>1.3522</v>
      </c>
      <c r="M5272" s="11">
        <f t="shared" si="132"/>
        <v>0.028841887294779</v>
      </c>
      <c r="N5272" s="9" t="s">
        <v>814</v>
      </c>
    </row>
    <row r="5273" ht="25" customHeight="1" spans="1:14">
      <c r="A5273" s="9" t="s">
        <v>422</v>
      </c>
      <c r="B5273" s="9" t="s">
        <v>421</v>
      </c>
      <c r="C5273" s="10">
        <v>46199</v>
      </c>
      <c r="D5273" s="15">
        <v>1.307</v>
      </c>
      <c r="E5273" s="15">
        <v>1.307</v>
      </c>
      <c r="F5273" s="15">
        <v>1.307</v>
      </c>
      <c r="G5273" s="11">
        <v>-0.0047</v>
      </c>
      <c r="H5273" s="9">
        <f>MAX($F$5089:F5273)</f>
        <v>1.3522</v>
      </c>
      <c r="I5273" s="11">
        <f t="shared" si="131"/>
        <v>0.0334270078390771</v>
      </c>
      <c r="J5273" s="9">
        <f>MAX($F$5231:F5273)</f>
        <v>1.3522</v>
      </c>
      <c r="K5273" s="11">
        <f t="shared" si="130"/>
        <v>0.0334270078390771</v>
      </c>
      <c r="L5273" s="9">
        <f>MAX($F$5129:F5273)</f>
        <v>1.3522</v>
      </c>
      <c r="M5273" s="11">
        <f t="shared" si="132"/>
        <v>0.0334270078390771</v>
      </c>
      <c r="N5273" s="9" t="s">
        <v>814</v>
      </c>
    </row>
    <row r="5274" ht="25" customHeight="1" spans="1:14">
      <c r="A5274" s="9" t="s">
        <v>422</v>
      </c>
      <c r="B5274" s="9" t="s">
        <v>421</v>
      </c>
      <c r="C5274" s="10">
        <v>46206</v>
      </c>
      <c r="D5274" s="15">
        <v>1.2939</v>
      </c>
      <c r="E5274" s="15">
        <v>1.2939</v>
      </c>
      <c r="F5274" s="15">
        <v>1.2939</v>
      </c>
      <c r="G5274" s="11">
        <v>-0.01</v>
      </c>
      <c r="H5274" s="9">
        <f>MAX($F$5089:F5274)</f>
        <v>1.3522</v>
      </c>
      <c r="I5274" s="11">
        <f t="shared" si="131"/>
        <v>0.0431149238278361</v>
      </c>
      <c r="J5274" s="9">
        <f>MAX($F$5231:F5274)</f>
        <v>1.3522</v>
      </c>
      <c r="K5274" s="11">
        <f t="shared" si="130"/>
        <v>0.0431149238278361</v>
      </c>
      <c r="L5274" s="9">
        <f>MAX($F$5129:F5274)</f>
        <v>1.3522</v>
      </c>
      <c r="M5274" s="11">
        <f t="shared" si="132"/>
        <v>0.0431149238278361</v>
      </c>
      <c r="N5274" s="9" t="s">
        <v>814</v>
      </c>
    </row>
    <row r="5275" ht="25" customHeight="1" spans="1:14">
      <c r="A5275" s="9" t="s">
        <v>422</v>
      </c>
      <c r="B5275" s="9" t="s">
        <v>421</v>
      </c>
      <c r="C5275" s="10">
        <v>46213</v>
      </c>
      <c r="D5275" s="15">
        <v>1.3021</v>
      </c>
      <c r="E5275" s="15">
        <v>1.3021</v>
      </c>
      <c r="F5275" s="15">
        <v>1.3021</v>
      </c>
      <c r="G5275" s="11">
        <v>0.0063</v>
      </c>
      <c r="H5275" s="9">
        <f>MAX($F$5089:F5275)</f>
        <v>1.3522</v>
      </c>
      <c r="I5275" s="11">
        <f t="shared" si="131"/>
        <v>0.0370507321402159</v>
      </c>
      <c r="J5275" s="9">
        <f>MAX($F$5231:F5275)</f>
        <v>1.3522</v>
      </c>
      <c r="K5275" s="11">
        <f t="shared" si="130"/>
        <v>0.0370507321402159</v>
      </c>
      <c r="L5275" s="9">
        <f>MAX($F$5129:F5275)</f>
        <v>1.3522</v>
      </c>
      <c r="M5275" s="11">
        <f t="shared" si="132"/>
        <v>0.0370507321402159</v>
      </c>
      <c r="N5275" s="9" t="s">
        <v>814</v>
      </c>
    </row>
    <row r="5276" ht="25" customHeight="1" spans="1:14">
      <c r="A5276" s="9" t="s">
        <v>422</v>
      </c>
      <c r="B5276" s="9" t="s">
        <v>421</v>
      </c>
      <c r="C5276" s="10">
        <v>46220</v>
      </c>
      <c r="D5276" s="15">
        <v>1.3153</v>
      </c>
      <c r="E5276" s="15">
        <v>1.3153</v>
      </c>
      <c r="F5276" s="15">
        <v>1.3153</v>
      </c>
      <c r="G5276" s="11">
        <v>0.0101</v>
      </c>
      <c r="H5276" s="9">
        <f>MAX($F$5089:F5276)</f>
        <v>1.3522</v>
      </c>
      <c r="I5276" s="11">
        <f t="shared" si="131"/>
        <v>0.0272888625942909</v>
      </c>
      <c r="J5276" s="9">
        <f>MAX($F$5231:F5276)</f>
        <v>1.3522</v>
      </c>
      <c r="K5276" s="11">
        <f t="shared" si="130"/>
        <v>0.0272888625942909</v>
      </c>
      <c r="L5276" s="9">
        <f>MAX($F$5129:F5276)</f>
        <v>1.3522</v>
      </c>
      <c r="M5276" s="11">
        <f t="shared" si="132"/>
        <v>0.0272888625942909</v>
      </c>
      <c r="N5276" s="9" t="s">
        <v>814</v>
      </c>
    </row>
    <row r="5277" ht="25" customHeight="1" spans="1:14">
      <c r="A5277" s="9" t="s">
        <v>422</v>
      </c>
      <c r="B5277" s="9" t="s">
        <v>421</v>
      </c>
      <c r="C5277" s="10">
        <v>46227</v>
      </c>
      <c r="D5277" s="15">
        <v>1.324</v>
      </c>
      <c r="E5277" s="15">
        <v>1.324</v>
      </c>
      <c r="F5277" s="15">
        <v>1.324</v>
      </c>
      <c r="G5277" s="11">
        <v>0.0066</v>
      </c>
      <c r="H5277" s="9">
        <f>MAX($F$5089:F5277)</f>
        <v>1.3522</v>
      </c>
      <c r="I5277" s="11">
        <f t="shared" si="131"/>
        <v>0.0208549031208402</v>
      </c>
      <c r="J5277" s="9">
        <f>MAX($F$5231:F5277)</f>
        <v>1.3522</v>
      </c>
      <c r="K5277" s="11">
        <f t="shared" si="130"/>
        <v>0.0208549031208402</v>
      </c>
      <c r="L5277" s="9">
        <f>MAX($F$5129:F5277)</f>
        <v>1.3522</v>
      </c>
      <c r="M5277" s="11">
        <f t="shared" si="132"/>
        <v>0.0208549031208402</v>
      </c>
      <c r="N5277" s="9" t="s">
        <v>814</v>
      </c>
    </row>
    <row r="5278" ht="25" customHeight="1" spans="1:14">
      <c r="A5278" s="9" t="s">
        <v>422</v>
      </c>
      <c r="B5278" s="9" t="s">
        <v>421</v>
      </c>
      <c r="C5278" s="10">
        <v>46234</v>
      </c>
      <c r="D5278" s="15">
        <v>1.323</v>
      </c>
      <c r="E5278" s="15">
        <v>1.323</v>
      </c>
      <c r="F5278" s="15">
        <v>1.323</v>
      </c>
      <c r="G5278" s="11">
        <v>-0.0008</v>
      </c>
      <c r="H5278" s="9">
        <f>MAX($F$5089:F5278)</f>
        <v>1.3522</v>
      </c>
      <c r="I5278" s="11">
        <f t="shared" si="131"/>
        <v>0.0215944386925012</v>
      </c>
      <c r="J5278" s="9">
        <f>MAX($F$5231:F5278)</f>
        <v>1.3522</v>
      </c>
      <c r="K5278" s="11">
        <f t="shared" si="130"/>
        <v>0.0215944386925012</v>
      </c>
      <c r="L5278" s="9">
        <f>MAX($F$5129:F5278)</f>
        <v>1.3522</v>
      </c>
      <c r="M5278" s="11">
        <f t="shared" si="132"/>
        <v>0.0215944386925012</v>
      </c>
      <c r="N5278" s="9" t="s">
        <v>814</v>
      </c>
    </row>
    <row r="5279" ht="25" customHeight="1" spans="1:14">
      <c r="A5279" s="9" t="s">
        <v>422</v>
      </c>
      <c r="B5279" s="9" t="s">
        <v>421</v>
      </c>
      <c r="C5279" s="10">
        <v>46241</v>
      </c>
      <c r="D5279" s="15">
        <v>1.3234</v>
      </c>
      <c r="E5279" s="15">
        <v>1.3234</v>
      </c>
      <c r="F5279" s="15">
        <v>1.3234</v>
      </c>
      <c r="G5279" s="11">
        <v>0.0003</v>
      </c>
      <c r="H5279" s="9">
        <f>MAX($F$5089:F5279)</f>
        <v>1.3522</v>
      </c>
      <c r="I5279" s="11">
        <f t="shared" si="131"/>
        <v>0.0212986244638368</v>
      </c>
      <c r="J5279" s="9">
        <f>MAX($F$5231:F5279)</f>
        <v>1.3522</v>
      </c>
      <c r="K5279" s="11">
        <f t="shared" si="130"/>
        <v>0.0212986244638368</v>
      </c>
      <c r="L5279" s="9">
        <f>MAX($F$5129:F5279)</f>
        <v>1.3522</v>
      </c>
      <c r="M5279" s="11">
        <f t="shared" si="132"/>
        <v>0.0212986244638368</v>
      </c>
      <c r="N5279" s="9" t="s">
        <v>814</v>
      </c>
    </row>
    <row r="5280" ht="25" customHeight="1" spans="1:14">
      <c r="A5280" s="9" t="s">
        <v>422</v>
      </c>
      <c r="B5280" s="9" t="s">
        <v>421</v>
      </c>
      <c r="C5280" s="10">
        <v>46248</v>
      </c>
      <c r="D5280" s="15">
        <v>1.3224</v>
      </c>
      <c r="E5280" s="15">
        <v>1.3224</v>
      </c>
      <c r="F5280" s="15">
        <v>1.3224</v>
      </c>
      <c r="G5280" s="11">
        <v>-0.0008</v>
      </c>
      <c r="H5280" s="9">
        <f>MAX($F$5089:F5280)</f>
        <v>1.3522</v>
      </c>
      <c r="I5280" s="11">
        <f t="shared" si="131"/>
        <v>0.0220381600354977</v>
      </c>
      <c r="J5280" s="9">
        <f>MAX($F$5231:F5280)</f>
        <v>1.3522</v>
      </c>
      <c r="K5280" s="11">
        <f t="shared" si="130"/>
        <v>0.0220381600354977</v>
      </c>
      <c r="L5280" s="9">
        <f>MAX($F$5129:F5280)</f>
        <v>1.3522</v>
      </c>
      <c r="M5280" s="11">
        <f t="shared" si="132"/>
        <v>0.0220381600354977</v>
      </c>
      <c r="N5280" s="9" t="s">
        <v>814</v>
      </c>
    </row>
    <row r="5281" ht="25" customHeight="1" spans="1:14">
      <c r="A5281" s="9" t="s">
        <v>422</v>
      </c>
      <c r="B5281" s="9" t="s">
        <v>421</v>
      </c>
      <c r="C5281" s="10">
        <v>46255</v>
      </c>
      <c r="D5281" s="15">
        <v>1.321</v>
      </c>
      <c r="E5281" s="15">
        <v>1.321</v>
      </c>
      <c r="F5281" s="15">
        <v>1.321</v>
      </c>
      <c r="G5281" s="11">
        <v>-0.0011</v>
      </c>
      <c r="H5281" s="9">
        <f>MAX($F$5089:F5281)</f>
        <v>1.3522</v>
      </c>
      <c r="I5281" s="11">
        <f t="shared" si="131"/>
        <v>0.0230735098358232</v>
      </c>
      <c r="J5281" s="9">
        <f>MAX($F$5231:F5281)</f>
        <v>1.3522</v>
      </c>
      <c r="K5281" s="11">
        <f t="shared" si="130"/>
        <v>0.0230735098358232</v>
      </c>
      <c r="L5281" s="9">
        <f>MAX($F$5129:F5281)</f>
        <v>1.3522</v>
      </c>
      <c r="M5281" s="11">
        <f t="shared" si="132"/>
        <v>0.0230735098358232</v>
      </c>
      <c r="N5281" s="9" t="s">
        <v>814</v>
      </c>
    </row>
    <row r="5282" ht="25" customHeight="1" spans="1:14">
      <c r="A5282" s="9" t="s">
        <v>422</v>
      </c>
      <c r="B5282" s="9" t="s">
        <v>421</v>
      </c>
      <c r="C5282" s="10">
        <v>46262</v>
      </c>
      <c r="D5282" s="15">
        <v>1.3197</v>
      </c>
      <c r="E5282" s="15">
        <v>1.3197</v>
      </c>
      <c r="F5282" s="15">
        <v>1.3197</v>
      </c>
      <c r="G5282" s="11">
        <v>-0.001</v>
      </c>
      <c r="H5282" s="9">
        <f>MAX($F$5089:F5282)</f>
        <v>1.3522</v>
      </c>
      <c r="I5282" s="11">
        <f t="shared" si="131"/>
        <v>0.0240349060789824</v>
      </c>
      <c r="J5282" s="9">
        <f>MAX($F$5231:F5282)</f>
        <v>1.3522</v>
      </c>
      <c r="K5282" s="11">
        <f t="shared" si="130"/>
        <v>0.0240349060789824</v>
      </c>
      <c r="L5282" s="9">
        <f>MAX($F$5129:F5282)</f>
        <v>1.3522</v>
      </c>
      <c r="M5282" s="11">
        <f t="shared" si="132"/>
        <v>0.0240349060789824</v>
      </c>
      <c r="N5282" s="9" t="s">
        <v>814</v>
      </c>
    </row>
    <row r="5283" ht="25" customHeight="1" spans="1:14">
      <c r="A5283" s="9" t="s">
        <v>422</v>
      </c>
      <c r="B5283" s="9" t="s">
        <v>421</v>
      </c>
      <c r="C5283" s="10">
        <v>46269</v>
      </c>
      <c r="D5283" s="15">
        <v>1.321</v>
      </c>
      <c r="E5283" s="15">
        <v>1.321</v>
      </c>
      <c r="F5283" s="15">
        <v>1.321</v>
      </c>
      <c r="G5283" s="11">
        <v>0.001</v>
      </c>
      <c r="H5283" s="9">
        <f>MAX($F$5089:F5283)</f>
        <v>1.3522</v>
      </c>
      <c r="I5283" s="11">
        <f t="shared" si="131"/>
        <v>0.0230735098358232</v>
      </c>
      <c r="J5283" s="9">
        <f>MAX($F$5231:F5283)</f>
        <v>1.3522</v>
      </c>
      <c r="K5283" s="11">
        <f t="shared" si="130"/>
        <v>0.0230735098358232</v>
      </c>
      <c r="L5283" s="9">
        <f>MAX($F$5129:F5283)</f>
        <v>1.3522</v>
      </c>
      <c r="M5283" s="11">
        <f t="shared" si="132"/>
        <v>0.0230735098358232</v>
      </c>
      <c r="N5283" s="9" t="s">
        <v>814</v>
      </c>
    </row>
    <row r="5284" ht="25" customHeight="1" spans="1:14">
      <c r="A5284" s="9" t="s">
        <v>225</v>
      </c>
      <c r="B5284" s="9" t="s">
        <v>224</v>
      </c>
      <c r="C5284" s="10">
        <v>45608</v>
      </c>
      <c r="D5284" s="15">
        <v>1.794</v>
      </c>
      <c r="E5284" s="15">
        <v>1.794</v>
      </c>
      <c r="F5284" s="15">
        <v>1.794</v>
      </c>
      <c r="G5284" s="11"/>
      <c r="H5284" s="9">
        <f>MAX($F$5284:F5284)</f>
        <v>1.794</v>
      </c>
      <c r="I5284" s="11">
        <f t="shared" si="131"/>
        <v>0</v>
      </c>
      <c r="J5284" s="9"/>
      <c r="K5284" s="11"/>
      <c r="L5284" s="9"/>
      <c r="M5284" s="11"/>
      <c r="N5284" s="9" t="s">
        <v>1013</v>
      </c>
    </row>
    <row r="5285" ht="25" customHeight="1" spans="1:14">
      <c r="A5285" s="9" t="s">
        <v>225</v>
      </c>
      <c r="B5285" s="9" t="s">
        <v>224</v>
      </c>
      <c r="C5285" s="10">
        <v>45611</v>
      </c>
      <c r="D5285" s="15">
        <v>1.788</v>
      </c>
      <c r="E5285" s="15">
        <v>1.788</v>
      </c>
      <c r="F5285" s="15">
        <v>1.788</v>
      </c>
      <c r="G5285" s="11">
        <v>-0.0033</v>
      </c>
      <c r="H5285" s="9">
        <f>MAX($F$5284:F5285)</f>
        <v>1.794</v>
      </c>
      <c r="I5285" s="11">
        <f t="shared" si="131"/>
        <v>0.00334448160535117</v>
      </c>
      <c r="J5285" s="9"/>
      <c r="K5285" s="11"/>
      <c r="L5285" s="9"/>
      <c r="M5285" s="11"/>
      <c r="N5285" s="9" t="s">
        <v>1013</v>
      </c>
    </row>
    <row r="5286" ht="25" customHeight="1" spans="1:14">
      <c r="A5286" s="9" t="s">
        <v>225</v>
      </c>
      <c r="B5286" s="9" t="s">
        <v>224</v>
      </c>
      <c r="C5286" s="10">
        <v>45618</v>
      </c>
      <c r="D5286" s="15">
        <v>1.746</v>
      </c>
      <c r="E5286" s="15">
        <v>1.746</v>
      </c>
      <c r="F5286" s="15">
        <v>1.746</v>
      </c>
      <c r="G5286" s="11">
        <v>-0.0235</v>
      </c>
      <c r="H5286" s="9">
        <f>MAX($F$5284:F5286)</f>
        <v>1.794</v>
      </c>
      <c r="I5286" s="11">
        <f t="shared" si="131"/>
        <v>0.0267558528428093</v>
      </c>
      <c r="J5286" s="9"/>
      <c r="K5286" s="11"/>
      <c r="L5286" s="9"/>
      <c r="M5286" s="11"/>
      <c r="N5286" s="9" t="s">
        <v>1013</v>
      </c>
    </row>
    <row r="5287" ht="25" customHeight="1" spans="1:14">
      <c r="A5287" s="9" t="s">
        <v>225</v>
      </c>
      <c r="B5287" s="9" t="s">
        <v>224</v>
      </c>
      <c r="C5287" s="10">
        <v>45625</v>
      </c>
      <c r="D5287" s="15">
        <v>1.798</v>
      </c>
      <c r="E5287" s="15">
        <v>1.798</v>
      </c>
      <c r="F5287" s="15">
        <v>1.798</v>
      </c>
      <c r="G5287" s="11">
        <v>0.0298</v>
      </c>
      <c r="H5287" s="9">
        <f>MAX($F$5284:F5287)</f>
        <v>1.798</v>
      </c>
      <c r="I5287" s="11">
        <f t="shared" si="131"/>
        <v>0</v>
      </c>
      <c r="J5287" s="9"/>
      <c r="K5287" s="11"/>
      <c r="L5287" s="9"/>
      <c r="M5287" s="11"/>
      <c r="N5287" s="9" t="s">
        <v>1013</v>
      </c>
    </row>
    <row r="5288" ht="25" customHeight="1" spans="1:14">
      <c r="A5288" s="9" t="s">
        <v>225</v>
      </c>
      <c r="B5288" s="9" t="s">
        <v>224</v>
      </c>
      <c r="C5288" s="10">
        <v>45632</v>
      </c>
      <c r="D5288" s="15">
        <v>1.807</v>
      </c>
      <c r="E5288" s="15">
        <v>1.807</v>
      </c>
      <c r="F5288" s="15">
        <v>1.807</v>
      </c>
      <c r="G5288" s="11">
        <v>0.005</v>
      </c>
      <c r="H5288" s="9">
        <f>MAX($F$5284:F5288)</f>
        <v>1.807</v>
      </c>
      <c r="I5288" s="11">
        <f t="shared" si="131"/>
        <v>0</v>
      </c>
      <c r="J5288" s="9"/>
      <c r="K5288" s="11"/>
      <c r="L5288" s="9"/>
      <c r="M5288" s="11"/>
      <c r="N5288" s="9" t="s">
        <v>1013</v>
      </c>
    </row>
    <row r="5289" ht="25" customHeight="1" spans="1:14">
      <c r="A5289" s="9" t="s">
        <v>225</v>
      </c>
      <c r="B5289" s="9" t="s">
        <v>224</v>
      </c>
      <c r="C5289" s="10">
        <v>45639</v>
      </c>
      <c r="D5289" s="15">
        <v>1.813</v>
      </c>
      <c r="E5289" s="15">
        <v>1.813</v>
      </c>
      <c r="F5289" s="15">
        <v>1.813</v>
      </c>
      <c r="G5289" s="11">
        <v>0.0033</v>
      </c>
      <c r="H5289" s="9">
        <f>MAX($F$5284:F5289)</f>
        <v>1.813</v>
      </c>
      <c r="I5289" s="11">
        <f t="shared" si="131"/>
        <v>0</v>
      </c>
      <c r="J5289" s="9"/>
      <c r="K5289" s="11"/>
      <c r="L5289" s="9"/>
      <c r="M5289" s="11"/>
      <c r="N5289" s="9" t="s">
        <v>1013</v>
      </c>
    </row>
    <row r="5290" ht="25" customHeight="1" spans="1:14">
      <c r="A5290" s="9" t="s">
        <v>225</v>
      </c>
      <c r="B5290" s="9" t="s">
        <v>224</v>
      </c>
      <c r="C5290" s="10">
        <v>45646</v>
      </c>
      <c r="D5290" s="15">
        <v>1.792</v>
      </c>
      <c r="E5290" s="15">
        <v>1.792</v>
      </c>
      <c r="F5290" s="15">
        <v>1.792</v>
      </c>
      <c r="G5290" s="11">
        <v>-0.0116</v>
      </c>
      <c r="H5290" s="9">
        <f>MAX($F$5284:F5290)</f>
        <v>1.813</v>
      </c>
      <c r="I5290" s="11">
        <f t="shared" si="131"/>
        <v>0.0115830115830116</v>
      </c>
      <c r="J5290" s="9"/>
      <c r="K5290" s="11"/>
      <c r="L5290" s="9"/>
      <c r="M5290" s="11"/>
      <c r="N5290" s="9" t="s">
        <v>1013</v>
      </c>
    </row>
    <row r="5291" ht="25" customHeight="1" spans="1:14">
      <c r="A5291" s="9" t="s">
        <v>225</v>
      </c>
      <c r="B5291" s="9" t="s">
        <v>224</v>
      </c>
      <c r="C5291" s="10">
        <v>45653</v>
      </c>
      <c r="D5291" s="15">
        <v>1.798</v>
      </c>
      <c r="E5291" s="15">
        <v>1.798</v>
      </c>
      <c r="F5291" s="15">
        <v>1.798</v>
      </c>
      <c r="G5291" s="11">
        <v>0.0033</v>
      </c>
      <c r="H5291" s="9">
        <f>MAX($F$5284:F5291)</f>
        <v>1.813</v>
      </c>
      <c r="I5291" s="11">
        <f t="shared" si="131"/>
        <v>0.00827357970215103</v>
      </c>
      <c r="J5291" s="9"/>
      <c r="K5291" s="11"/>
      <c r="L5291" s="9"/>
      <c r="M5291" s="11"/>
      <c r="N5291" s="9" t="s">
        <v>1013</v>
      </c>
    </row>
    <row r="5292" ht="25" customHeight="1" spans="1:14">
      <c r="A5292" s="9" t="s">
        <v>225</v>
      </c>
      <c r="B5292" s="9" t="s">
        <v>224</v>
      </c>
      <c r="C5292" s="10">
        <v>45657</v>
      </c>
      <c r="D5292" s="15">
        <v>1.786</v>
      </c>
      <c r="E5292" s="15">
        <v>1.786</v>
      </c>
      <c r="F5292" s="15">
        <v>1.786</v>
      </c>
      <c r="G5292" s="11">
        <v>-0.0067</v>
      </c>
      <c r="H5292" s="9">
        <f>MAX($F$5284:F5292)</f>
        <v>1.813</v>
      </c>
      <c r="I5292" s="11">
        <f t="shared" si="131"/>
        <v>0.014892443463872</v>
      </c>
      <c r="J5292" s="9"/>
      <c r="K5292" s="11"/>
      <c r="L5292" s="9"/>
      <c r="M5292" s="11"/>
      <c r="N5292" s="9" t="s">
        <v>1013</v>
      </c>
    </row>
    <row r="5293" ht="25" customHeight="1" spans="1:14">
      <c r="A5293" s="9" t="s">
        <v>225</v>
      </c>
      <c r="B5293" s="9" t="s">
        <v>224</v>
      </c>
      <c r="C5293" s="10">
        <v>45660</v>
      </c>
      <c r="D5293" s="15">
        <v>1.719</v>
      </c>
      <c r="E5293" s="15">
        <v>1.719</v>
      </c>
      <c r="F5293" s="15">
        <v>1.719</v>
      </c>
      <c r="G5293" s="11">
        <v>-0.0375</v>
      </c>
      <c r="H5293" s="9">
        <f>MAX($F$5284:F5293)</f>
        <v>1.813</v>
      </c>
      <c r="I5293" s="11">
        <f t="shared" si="131"/>
        <v>0.0518477661334803</v>
      </c>
      <c r="J5293" s="9"/>
      <c r="K5293" s="11"/>
      <c r="L5293" s="9"/>
      <c r="M5293" s="11"/>
      <c r="N5293" s="9" t="s">
        <v>1013</v>
      </c>
    </row>
    <row r="5294" ht="25" customHeight="1" spans="1:14">
      <c r="A5294" s="9" t="s">
        <v>225</v>
      </c>
      <c r="B5294" s="9" t="s">
        <v>224</v>
      </c>
      <c r="C5294" s="10">
        <v>45667</v>
      </c>
      <c r="D5294" s="15">
        <v>1.71</v>
      </c>
      <c r="E5294" s="15">
        <v>1.71</v>
      </c>
      <c r="F5294" s="15">
        <v>1.71</v>
      </c>
      <c r="G5294" s="11">
        <v>-0.0052</v>
      </c>
      <c r="H5294" s="9">
        <f>MAX($F$5284:F5294)</f>
        <v>1.813</v>
      </c>
      <c r="I5294" s="11">
        <f t="shared" si="131"/>
        <v>0.0568119139547711</v>
      </c>
      <c r="J5294" s="9"/>
      <c r="K5294" s="11"/>
      <c r="L5294" s="9"/>
      <c r="M5294" s="11"/>
      <c r="N5294" s="9" t="s">
        <v>1013</v>
      </c>
    </row>
    <row r="5295" ht="25" customHeight="1" spans="1:14">
      <c r="A5295" s="9" t="s">
        <v>225</v>
      </c>
      <c r="B5295" s="9" t="s">
        <v>224</v>
      </c>
      <c r="C5295" s="10">
        <v>45674</v>
      </c>
      <c r="D5295" s="15">
        <v>1.768</v>
      </c>
      <c r="E5295" s="15">
        <v>1.768</v>
      </c>
      <c r="F5295" s="15">
        <v>1.768</v>
      </c>
      <c r="G5295" s="11">
        <v>0.0339</v>
      </c>
      <c r="H5295" s="9">
        <f>MAX($F$5284:F5295)</f>
        <v>1.813</v>
      </c>
      <c r="I5295" s="11">
        <f t="shared" si="131"/>
        <v>0.0248207391064533</v>
      </c>
      <c r="J5295" s="9"/>
      <c r="K5295" s="11"/>
      <c r="L5295" s="9"/>
      <c r="M5295" s="11"/>
      <c r="N5295" s="9" t="s">
        <v>1013</v>
      </c>
    </row>
    <row r="5296" ht="25" customHeight="1" spans="1:14">
      <c r="A5296" s="9" t="s">
        <v>225</v>
      </c>
      <c r="B5296" s="9" t="s">
        <v>224</v>
      </c>
      <c r="C5296" s="10">
        <v>45681</v>
      </c>
      <c r="D5296" s="15">
        <v>1.802</v>
      </c>
      <c r="E5296" s="15">
        <v>1.802</v>
      </c>
      <c r="F5296" s="15">
        <v>1.802</v>
      </c>
      <c r="G5296" s="11">
        <v>0.0192</v>
      </c>
      <c r="H5296" s="9">
        <f>MAX($F$5284:F5296)</f>
        <v>1.813</v>
      </c>
      <c r="I5296" s="11">
        <f t="shared" si="131"/>
        <v>0.00606729178157739</v>
      </c>
      <c r="J5296" s="9"/>
      <c r="K5296" s="11"/>
      <c r="L5296" s="9"/>
      <c r="M5296" s="11"/>
      <c r="N5296" s="9" t="s">
        <v>1013</v>
      </c>
    </row>
    <row r="5297" ht="25" customHeight="1" spans="1:14">
      <c r="A5297" s="9" t="s">
        <v>225</v>
      </c>
      <c r="B5297" s="9" t="s">
        <v>224</v>
      </c>
      <c r="C5297" s="10">
        <v>45684</v>
      </c>
      <c r="D5297" s="15">
        <v>1.793</v>
      </c>
      <c r="E5297" s="15">
        <v>1.793</v>
      </c>
      <c r="F5297" s="15">
        <v>1.793</v>
      </c>
      <c r="G5297" s="11">
        <v>-0.005</v>
      </c>
      <c r="H5297" s="9">
        <f>MAX($F$5284:F5297)</f>
        <v>1.813</v>
      </c>
      <c r="I5297" s="11">
        <f t="shared" si="131"/>
        <v>0.0110314396028682</v>
      </c>
      <c r="J5297" s="9"/>
      <c r="K5297" s="11"/>
      <c r="L5297" s="9"/>
      <c r="M5297" s="11"/>
      <c r="N5297" s="9" t="s">
        <v>1013</v>
      </c>
    </row>
    <row r="5298" ht="25" customHeight="1" spans="1:14">
      <c r="A5298" s="9" t="s">
        <v>225</v>
      </c>
      <c r="B5298" s="9" t="s">
        <v>224</v>
      </c>
      <c r="C5298" s="10">
        <v>45695</v>
      </c>
      <c r="D5298" s="15">
        <v>1.833</v>
      </c>
      <c r="E5298" s="15">
        <v>1.833</v>
      </c>
      <c r="F5298" s="15">
        <v>1.833</v>
      </c>
      <c r="G5298" s="11">
        <v>0.0223</v>
      </c>
      <c r="H5298" s="9">
        <f>MAX($F$5284:F5298)</f>
        <v>1.833</v>
      </c>
      <c r="I5298" s="11">
        <f t="shared" si="131"/>
        <v>0</v>
      </c>
      <c r="J5298" s="9"/>
      <c r="K5298" s="11"/>
      <c r="L5298" s="9"/>
      <c r="M5298" s="11"/>
      <c r="N5298" s="9" t="s">
        <v>1013</v>
      </c>
    </row>
    <row r="5299" ht="25" customHeight="1" spans="1:14">
      <c r="A5299" s="9" t="s">
        <v>225</v>
      </c>
      <c r="B5299" s="9" t="s">
        <v>224</v>
      </c>
      <c r="C5299" s="10">
        <v>45702</v>
      </c>
      <c r="D5299" s="15">
        <v>1.862</v>
      </c>
      <c r="E5299" s="15">
        <v>1.862</v>
      </c>
      <c r="F5299" s="15">
        <v>1.862</v>
      </c>
      <c r="G5299" s="11">
        <v>0.0158</v>
      </c>
      <c r="H5299" s="9">
        <f>MAX($F$5284:F5299)</f>
        <v>1.862</v>
      </c>
      <c r="I5299" s="11">
        <f t="shared" si="131"/>
        <v>0</v>
      </c>
      <c r="J5299" s="9"/>
      <c r="K5299" s="11"/>
      <c r="L5299" s="9"/>
      <c r="M5299" s="11"/>
      <c r="N5299" s="9" t="s">
        <v>1013</v>
      </c>
    </row>
    <row r="5300" ht="25" customHeight="1" spans="1:14">
      <c r="A5300" s="9" t="s">
        <v>225</v>
      </c>
      <c r="B5300" s="9" t="s">
        <v>224</v>
      </c>
      <c r="C5300" s="10">
        <v>45709</v>
      </c>
      <c r="D5300" s="15">
        <v>1.879</v>
      </c>
      <c r="E5300" s="15">
        <v>1.879</v>
      </c>
      <c r="F5300" s="15">
        <v>1.879</v>
      </c>
      <c r="G5300" s="11">
        <v>0.0091</v>
      </c>
      <c r="H5300" s="9">
        <f>MAX($F$5284:F5300)</f>
        <v>1.879</v>
      </c>
      <c r="I5300" s="11">
        <f t="shared" si="131"/>
        <v>0</v>
      </c>
      <c r="J5300" s="9"/>
      <c r="K5300" s="11"/>
      <c r="L5300" s="9"/>
      <c r="M5300" s="11"/>
      <c r="N5300" s="9" t="s">
        <v>1013</v>
      </c>
    </row>
    <row r="5301" ht="25" customHeight="1" spans="1:14">
      <c r="A5301" s="9" t="s">
        <v>225</v>
      </c>
      <c r="B5301" s="9" t="s">
        <v>224</v>
      </c>
      <c r="C5301" s="10">
        <v>45716</v>
      </c>
      <c r="D5301" s="15">
        <v>1.853</v>
      </c>
      <c r="E5301" s="15">
        <v>1.853</v>
      </c>
      <c r="F5301" s="15">
        <v>1.853</v>
      </c>
      <c r="G5301" s="11">
        <v>-0.0138</v>
      </c>
      <c r="H5301" s="9">
        <f>MAX($F$5284:F5301)</f>
        <v>1.879</v>
      </c>
      <c r="I5301" s="11">
        <f t="shared" si="131"/>
        <v>0.0138371474188398</v>
      </c>
      <c r="J5301" s="9"/>
      <c r="K5301" s="11"/>
      <c r="L5301" s="9"/>
      <c r="M5301" s="11"/>
      <c r="N5301" s="9" t="s">
        <v>1013</v>
      </c>
    </row>
    <row r="5302" ht="25" customHeight="1" spans="1:14">
      <c r="A5302" s="9" t="s">
        <v>225</v>
      </c>
      <c r="B5302" s="9" t="s">
        <v>224</v>
      </c>
      <c r="C5302" s="10">
        <v>45723</v>
      </c>
      <c r="D5302" s="15">
        <v>1.879</v>
      </c>
      <c r="E5302" s="15">
        <v>1.879</v>
      </c>
      <c r="F5302" s="15">
        <v>1.879</v>
      </c>
      <c r="G5302" s="11">
        <v>0.014</v>
      </c>
      <c r="H5302" s="9">
        <f>MAX($F$5284:F5302)</f>
        <v>1.879</v>
      </c>
      <c r="I5302" s="11">
        <f t="shared" si="131"/>
        <v>0</v>
      </c>
      <c r="J5302" s="9"/>
      <c r="K5302" s="11"/>
      <c r="L5302" s="9"/>
      <c r="M5302" s="11"/>
      <c r="N5302" s="9" t="s">
        <v>1013</v>
      </c>
    </row>
    <row r="5303" ht="25" customHeight="1" spans="1:14">
      <c r="A5303" s="9" t="s">
        <v>225</v>
      </c>
      <c r="B5303" s="9" t="s">
        <v>224</v>
      </c>
      <c r="C5303" s="10">
        <v>45730</v>
      </c>
      <c r="D5303" s="15">
        <v>1.903</v>
      </c>
      <c r="E5303" s="15">
        <v>1.903</v>
      </c>
      <c r="F5303" s="15">
        <v>1.903</v>
      </c>
      <c r="G5303" s="11">
        <v>0.0128</v>
      </c>
      <c r="H5303" s="9">
        <f>MAX($F$5284:F5303)</f>
        <v>1.903</v>
      </c>
      <c r="I5303" s="11">
        <f t="shared" si="131"/>
        <v>0</v>
      </c>
      <c r="J5303" s="9"/>
      <c r="K5303" s="11"/>
      <c r="L5303" s="9"/>
      <c r="M5303" s="11"/>
      <c r="N5303" s="9" t="s">
        <v>1013</v>
      </c>
    </row>
    <row r="5304" ht="25" customHeight="1" spans="1:14">
      <c r="A5304" s="9" t="s">
        <v>225</v>
      </c>
      <c r="B5304" s="9" t="s">
        <v>224</v>
      </c>
      <c r="C5304" s="10">
        <v>45737</v>
      </c>
      <c r="D5304" s="15">
        <v>1.867</v>
      </c>
      <c r="E5304" s="15">
        <v>1.867</v>
      </c>
      <c r="F5304" s="15">
        <v>1.867</v>
      </c>
      <c r="G5304" s="11">
        <v>-0.0189</v>
      </c>
      <c r="H5304" s="9">
        <f>MAX($F$5284:F5304)</f>
        <v>1.903</v>
      </c>
      <c r="I5304" s="11">
        <f t="shared" si="131"/>
        <v>0.0189174986862848</v>
      </c>
      <c r="J5304" s="9"/>
      <c r="K5304" s="11"/>
      <c r="L5304" s="9"/>
      <c r="M5304" s="11"/>
      <c r="N5304" s="9" t="s">
        <v>1013</v>
      </c>
    </row>
    <row r="5305" ht="25" customHeight="1" spans="1:14">
      <c r="A5305" s="9" t="s">
        <v>225</v>
      </c>
      <c r="B5305" s="9" t="s">
        <v>224</v>
      </c>
      <c r="C5305" s="10">
        <v>45744</v>
      </c>
      <c r="D5305" s="15">
        <v>1.875</v>
      </c>
      <c r="E5305" s="15">
        <v>1.875</v>
      </c>
      <c r="F5305" s="15">
        <v>1.875</v>
      </c>
      <c r="G5305" s="11">
        <v>0.0043</v>
      </c>
      <c r="H5305" s="9">
        <f>MAX($F$5284:F5305)</f>
        <v>1.903</v>
      </c>
      <c r="I5305" s="11">
        <f t="shared" si="131"/>
        <v>0.0147136100893327</v>
      </c>
      <c r="J5305" s="9"/>
      <c r="K5305" s="11"/>
      <c r="L5305" s="9"/>
      <c r="M5305" s="11"/>
      <c r="N5305" s="9" t="s">
        <v>1013</v>
      </c>
    </row>
    <row r="5306" ht="25" customHeight="1" spans="1:14">
      <c r="A5306" s="9" t="s">
        <v>225</v>
      </c>
      <c r="B5306" s="9" t="s">
        <v>224</v>
      </c>
      <c r="C5306" s="10">
        <v>45747</v>
      </c>
      <c r="D5306" s="15">
        <v>1.859</v>
      </c>
      <c r="E5306" s="15">
        <v>1.859</v>
      </c>
      <c r="F5306" s="15">
        <v>1.859</v>
      </c>
      <c r="G5306" s="11">
        <v>-0.0085</v>
      </c>
      <c r="H5306" s="9">
        <f>MAX($F$5284:F5306)</f>
        <v>1.903</v>
      </c>
      <c r="I5306" s="11">
        <f t="shared" si="131"/>
        <v>0.023121387283237</v>
      </c>
      <c r="J5306" s="9"/>
      <c r="K5306" s="11"/>
      <c r="L5306" s="9"/>
      <c r="M5306" s="11"/>
      <c r="N5306" s="9" t="s">
        <v>1013</v>
      </c>
    </row>
    <row r="5307" ht="25" customHeight="1" spans="1:14">
      <c r="A5307" s="9" t="s">
        <v>225</v>
      </c>
      <c r="B5307" s="9" t="s">
        <v>224</v>
      </c>
      <c r="C5307" s="10">
        <v>45750</v>
      </c>
      <c r="D5307" s="15">
        <v>1.863</v>
      </c>
      <c r="E5307" s="15">
        <v>1.863</v>
      </c>
      <c r="F5307" s="15">
        <v>1.863</v>
      </c>
      <c r="G5307" s="11">
        <v>0.0022</v>
      </c>
      <c r="H5307" s="9">
        <f>MAX($F$5284:F5307)</f>
        <v>1.903</v>
      </c>
      <c r="I5307" s="11">
        <f t="shared" si="131"/>
        <v>0.0210194429847609</v>
      </c>
      <c r="J5307" s="9"/>
      <c r="K5307" s="11"/>
      <c r="L5307" s="9"/>
      <c r="M5307" s="11"/>
      <c r="N5307" s="9" t="s">
        <v>1013</v>
      </c>
    </row>
    <row r="5308" ht="25" customHeight="1" spans="1:14">
      <c r="A5308" s="9" t="s">
        <v>225</v>
      </c>
      <c r="B5308" s="9" t="s">
        <v>224</v>
      </c>
      <c r="C5308" s="10">
        <v>45758</v>
      </c>
      <c r="D5308" s="15">
        <v>1.754</v>
      </c>
      <c r="E5308" s="15">
        <v>1.754</v>
      </c>
      <c r="F5308" s="15">
        <v>1.754</v>
      </c>
      <c r="G5308" s="11">
        <v>-0.0585</v>
      </c>
      <c r="H5308" s="9">
        <f>MAX($F$5284:F5308)</f>
        <v>1.903</v>
      </c>
      <c r="I5308" s="11">
        <f t="shared" si="131"/>
        <v>0.0782974251182343</v>
      </c>
      <c r="J5308" s="9"/>
      <c r="K5308" s="11"/>
      <c r="L5308" s="9"/>
      <c r="M5308" s="11"/>
      <c r="N5308" s="9" t="s">
        <v>1013</v>
      </c>
    </row>
    <row r="5309" ht="25" customHeight="1" spans="1:14">
      <c r="A5309" s="9" t="s">
        <v>225</v>
      </c>
      <c r="B5309" s="9" t="s">
        <v>224</v>
      </c>
      <c r="C5309" s="10">
        <v>45765</v>
      </c>
      <c r="D5309" s="15">
        <v>1.76</v>
      </c>
      <c r="E5309" s="15">
        <v>1.76</v>
      </c>
      <c r="F5309" s="15">
        <v>1.76</v>
      </c>
      <c r="G5309" s="11">
        <v>0.0034</v>
      </c>
      <c r="H5309" s="9">
        <f>MAX($F$5284:F5309)</f>
        <v>1.903</v>
      </c>
      <c r="I5309" s="11">
        <f t="shared" si="131"/>
        <v>0.0751445086705202</v>
      </c>
      <c r="J5309" s="9"/>
      <c r="K5309" s="11"/>
      <c r="L5309" s="9"/>
      <c r="M5309" s="11"/>
      <c r="N5309" s="9" t="s">
        <v>1013</v>
      </c>
    </row>
    <row r="5310" ht="25" customHeight="1" spans="1:14">
      <c r="A5310" s="9" t="s">
        <v>225</v>
      </c>
      <c r="B5310" s="9" t="s">
        <v>224</v>
      </c>
      <c r="C5310" s="10">
        <v>45772</v>
      </c>
      <c r="D5310" s="15">
        <v>1.768</v>
      </c>
      <c r="E5310" s="15">
        <v>1.768</v>
      </c>
      <c r="F5310" s="15">
        <v>1.768</v>
      </c>
      <c r="G5310" s="11">
        <v>0.0045</v>
      </c>
      <c r="H5310" s="9">
        <f>MAX($F$5284:F5310)</f>
        <v>1.903</v>
      </c>
      <c r="I5310" s="11">
        <f t="shared" si="131"/>
        <v>0.0709406200735681</v>
      </c>
      <c r="J5310" s="9"/>
      <c r="K5310" s="11"/>
      <c r="L5310" s="9"/>
      <c r="M5310" s="11"/>
      <c r="N5310" s="9" t="s">
        <v>1013</v>
      </c>
    </row>
    <row r="5311" ht="25" customHeight="1" spans="1:14">
      <c r="A5311" s="9" t="s">
        <v>225</v>
      </c>
      <c r="B5311" s="9" t="s">
        <v>224</v>
      </c>
      <c r="C5311" s="10">
        <v>45777</v>
      </c>
      <c r="D5311" s="15">
        <v>1.759</v>
      </c>
      <c r="E5311" s="15">
        <v>1.759</v>
      </c>
      <c r="F5311" s="15">
        <v>1.759</v>
      </c>
      <c r="G5311" s="11">
        <v>-0.0051</v>
      </c>
      <c r="H5311" s="9">
        <f>MAX($F$5284:F5311)</f>
        <v>1.903</v>
      </c>
      <c r="I5311" s="11">
        <f t="shared" si="131"/>
        <v>0.0756699947451394</v>
      </c>
      <c r="J5311" s="9"/>
      <c r="K5311" s="11"/>
      <c r="L5311" s="9"/>
      <c r="M5311" s="11"/>
      <c r="N5311" s="9" t="s">
        <v>1013</v>
      </c>
    </row>
    <row r="5312" ht="25" customHeight="1" spans="1:14">
      <c r="A5312" s="9" t="s">
        <v>225</v>
      </c>
      <c r="B5312" s="9" t="s">
        <v>224</v>
      </c>
      <c r="C5312" s="10">
        <v>45786</v>
      </c>
      <c r="D5312" s="15">
        <v>1.767</v>
      </c>
      <c r="E5312" s="15">
        <v>1.767</v>
      </c>
      <c r="F5312" s="15">
        <v>1.767</v>
      </c>
      <c r="G5312" s="11">
        <v>0.0045</v>
      </c>
      <c r="H5312" s="9">
        <f>MAX($F$5284:F5312)</f>
        <v>1.903</v>
      </c>
      <c r="I5312" s="11">
        <f t="shared" si="131"/>
        <v>0.0714661061481872</v>
      </c>
      <c r="J5312" s="9"/>
      <c r="K5312" s="11"/>
      <c r="L5312" s="9"/>
      <c r="M5312" s="11"/>
      <c r="N5312" s="9" t="s">
        <v>1013</v>
      </c>
    </row>
    <row r="5313" ht="25" customHeight="1" spans="1:14">
      <c r="A5313" s="9" t="s">
        <v>225</v>
      </c>
      <c r="B5313" s="9" t="s">
        <v>224</v>
      </c>
      <c r="C5313" s="10">
        <v>45793</v>
      </c>
      <c r="D5313" s="15">
        <v>1.778</v>
      </c>
      <c r="E5313" s="15">
        <v>1.778</v>
      </c>
      <c r="F5313" s="15">
        <v>1.778</v>
      </c>
      <c r="G5313" s="11">
        <v>0.0062</v>
      </c>
      <c r="H5313" s="9">
        <f>MAX($F$5284:F5313)</f>
        <v>1.903</v>
      </c>
      <c r="I5313" s="11">
        <f t="shared" si="131"/>
        <v>0.0656857593273779</v>
      </c>
      <c r="J5313" s="9"/>
      <c r="K5313" s="11"/>
      <c r="L5313" s="9"/>
      <c r="M5313" s="11"/>
      <c r="N5313" s="9" t="s">
        <v>1013</v>
      </c>
    </row>
    <row r="5314" ht="25" customHeight="1" spans="1:14">
      <c r="A5314" s="9" t="s">
        <v>225</v>
      </c>
      <c r="B5314" s="9" t="s">
        <v>224</v>
      </c>
      <c r="C5314" s="10">
        <v>45800</v>
      </c>
      <c r="D5314" s="15">
        <v>1.769</v>
      </c>
      <c r="E5314" s="15">
        <v>1.769</v>
      </c>
      <c r="F5314" s="15">
        <v>1.769</v>
      </c>
      <c r="G5314" s="11">
        <v>-0.0051</v>
      </c>
      <c r="H5314" s="9">
        <f>MAX($F$5284:F5314)</f>
        <v>1.903</v>
      </c>
      <c r="I5314" s="11">
        <f t="shared" ref="I5314:I5377" si="133">1-F5314/H5314</f>
        <v>0.0704151339989491</v>
      </c>
      <c r="J5314" s="9"/>
      <c r="K5314" s="11"/>
      <c r="L5314" s="9"/>
      <c r="M5314" s="11"/>
      <c r="N5314" s="9" t="s">
        <v>1013</v>
      </c>
    </row>
    <row r="5315" ht="25" customHeight="1" spans="1:14">
      <c r="A5315" s="9" t="s">
        <v>225</v>
      </c>
      <c r="B5315" s="9" t="s">
        <v>224</v>
      </c>
      <c r="C5315" s="10">
        <v>45807</v>
      </c>
      <c r="D5315" s="15">
        <v>1.781</v>
      </c>
      <c r="E5315" s="15">
        <v>1.781</v>
      </c>
      <c r="F5315" s="15">
        <v>1.781</v>
      </c>
      <c r="G5315" s="11">
        <v>0.0068</v>
      </c>
      <c r="H5315" s="9">
        <f>MAX($F$5284:F5315)</f>
        <v>1.903</v>
      </c>
      <c r="I5315" s="11">
        <f t="shared" si="133"/>
        <v>0.0641093011035209</v>
      </c>
      <c r="J5315" s="9"/>
      <c r="K5315" s="11"/>
      <c r="L5315" s="9"/>
      <c r="M5315" s="11"/>
      <c r="N5315" s="9" t="s">
        <v>1013</v>
      </c>
    </row>
    <row r="5316" ht="25" customHeight="1" spans="1:14">
      <c r="A5316" s="9" t="s">
        <v>225</v>
      </c>
      <c r="B5316" s="9" t="s">
        <v>224</v>
      </c>
      <c r="C5316" s="10">
        <v>45814</v>
      </c>
      <c r="D5316" s="15">
        <v>1.795</v>
      </c>
      <c r="E5316" s="15">
        <v>1.795</v>
      </c>
      <c r="F5316" s="15">
        <v>1.795</v>
      </c>
      <c r="G5316" s="11">
        <v>0.0079</v>
      </c>
      <c r="H5316" s="9">
        <f>MAX($F$5284:F5316)</f>
        <v>1.903</v>
      </c>
      <c r="I5316" s="11">
        <f t="shared" si="133"/>
        <v>0.0567524960588545</v>
      </c>
      <c r="J5316" s="9"/>
      <c r="K5316" s="11"/>
      <c r="L5316" s="9"/>
      <c r="M5316" s="11"/>
      <c r="N5316" s="9" t="s">
        <v>1013</v>
      </c>
    </row>
    <row r="5317" ht="25" customHeight="1" spans="1:14">
      <c r="A5317" s="9" t="s">
        <v>225</v>
      </c>
      <c r="B5317" s="9" t="s">
        <v>224</v>
      </c>
      <c r="C5317" s="10">
        <v>45821</v>
      </c>
      <c r="D5317" s="15">
        <v>1.784</v>
      </c>
      <c r="E5317" s="15">
        <v>1.784</v>
      </c>
      <c r="F5317" s="15">
        <v>1.784</v>
      </c>
      <c r="G5317" s="11">
        <v>-0.0061</v>
      </c>
      <c r="H5317" s="9">
        <f>MAX($F$5284:F5317)</f>
        <v>1.903</v>
      </c>
      <c r="I5317" s="11">
        <f t="shared" si="133"/>
        <v>0.0625328428796637</v>
      </c>
      <c r="J5317" s="9"/>
      <c r="K5317" s="11"/>
      <c r="L5317" s="9"/>
      <c r="M5317" s="11"/>
      <c r="N5317" s="9" t="s">
        <v>1013</v>
      </c>
    </row>
    <row r="5318" ht="25" customHeight="1" spans="1:14">
      <c r="A5318" s="9" t="s">
        <v>225</v>
      </c>
      <c r="B5318" s="9" t="s">
        <v>224</v>
      </c>
      <c r="C5318" s="10">
        <v>45828</v>
      </c>
      <c r="D5318" s="15">
        <v>1.812</v>
      </c>
      <c r="E5318" s="15">
        <v>1.812</v>
      </c>
      <c r="F5318" s="15">
        <v>1.812</v>
      </c>
      <c r="G5318" s="11">
        <v>0.0157</v>
      </c>
      <c r="H5318" s="9">
        <f>MAX($F$5284:F5318)</f>
        <v>1.903</v>
      </c>
      <c r="I5318" s="11">
        <f t="shared" si="133"/>
        <v>0.0478192327903311</v>
      </c>
      <c r="J5318" s="9"/>
      <c r="K5318" s="11"/>
      <c r="L5318" s="9"/>
      <c r="M5318" s="11"/>
      <c r="N5318" s="9" t="s">
        <v>1013</v>
      </c>
    </row>
    <row r="5319" ht="25" customHeight="1" spans="1:14">
      <c r="A5319" s="9" t="s">
        <v>225</v>
      </c>
      <c r="B5319" s="9" t="s">
        <v>224</v>
      </c>
      <c r="C5319" s="10">
        <v>45835</v>
      </c>
      <c r="D5319" s="15">
        <v>1.851</v>
      </c>
      <c r="E5319" s="15">
        <v>1.851</v>
      </c>
      <c r="F5319" s="15">
        <v>1.851</v>
      </c>
      <c r="G5319" s="11">
        <v>0.0215</v>
      </c>
      <c r="H5319" s="9">
        <f>MAX($F$5284:F5319)</f>
        <v>1.903</v>
      </c>
      <c r="I5319" s="11">
        <f t="shared" si="133"/>
        <v>0.0273252758801892</v>
      </c>
      <c r="J5319" s="9"/>
      <c r="K5319" s="11"/>
      <c r="L5319" s="9"/>
      <c r="M5319" s="11"/>
      <c r="N5319" s="9" t="s">
        <v>1013</v>
      </c>
    </row>
    <row r="5320" ht="25" customHeight="1" spans="1:14">
      <c r="A5320" s="9" t="s">
        <v>225</v>
      </c>
      <c r="B5320" s="9" t="s">
        <v>224</v>
      </c>
      <c r="C5320" s="10">
        <v>45838</v>
      </c>
      <c r="D5320" s="15">
        <v>1.866</v>
      </c>
      <c r="E5320" s="15">
        <v>1.866</v>
      </c>
      <c r="F5320" s="15">
        <v>1.866</v>
      </c>
      <c r="G5320" s="11">
        <v>0.0081</v>
      </c>
      <c r="H5320" s="9">
        <f>MAX($F$5284:F5320)</f>
        <v>1.903</v>
      </c>
      <c r="I5320" s="11">
        <f t="shared" si="133"/>
        <v>0.0194429847609038</v>
      </c>
      <c r="J5320" s="9"/>
      <c r="K5320" s="11"/>
      <c r="L5320" s="9"/>
      <c r="M5320" s="11"/>
      <c r="N5320" s="9" t="s">
        <v>1013</v>
      </c>
    </row>
    <row r="5321" ht="25" customHeight="1" spans="1:14">
      <c r="A5321" s="9" t="s">
        <v>225</v>
      </c>
      <c r="B5321" s="9" t="s">
        <v>224</v>
      </c>
      <c r="C5321" s="10">
        <v>45842</v>
      </c>
      <c r="D5321" s="15">
        <v>1.892</v>
      </c>
      <c r="E5321" s="15">
        <v>1.892</v>
      </c>
      <c r="F5321" s="15">
        <v>1.892</v>
      </c>
      <c r="G5321" s="11">
        <v>0.0139</v>
      </c>
      <c r="H5321" s="9">
        <f>MAX($F$5284:F5321)</f>
        <v>1.903</v>
      </c>
      <c r="I5321" s="11">
        <f t="shared" si="133"/>
        <v>0.0057803468208093</v>
      </c>
      <c r="J5321" s="9"/>
      <c r="K5321" s="11"/>
      <c r="L5321" s="9"/>
      <c r="M5321" s="11"/>
      <c r="N5321" s="9" t="s">
        <v>1013</v>
      </c>
    </row>
    <row r="5322" ht="25" customHeight="1" spans="1:14">
      <c r="A5322" s="9" t="s">
        <v>225</v>
      </c>
      <c r="B5322" s="9" t="s">
        <v>224</v>
      </c>
      <c r="C5322" s="10">
        <v>45849</v>
      </c>
      <c r="D5322" s="15">
        <v>1.944</v>
      </c>
      <c r="E5322" s="15">
        <v>1.944</v>
      </c>
      <c r="F5322" s="15">
        <v>1.944</v>
      </c>
      <c r="G5322" s="11">
        <v>0.0275</v>
      </c>
      <c r="H5322" s="9">
        <f>MAX($F$5284:F5322)</f>
        <v>1.944</v>
      </c>
      <c r="I5322" s="11">
        <f t="shared" si="133"/>
        <v>0</v>
      </c>
      <c r="J5322" s="9"/>
      <c r="K5322" s="11"/>
      <c r="L5322" s="9"/>
      <c r="M5322" s="11"/>
      <c r="N5322" s="9" t="s">
        <v>1013</v>
      </c>
    </row>
    <row r="5323" ht="25" customHeight="1" spans="1:14">
      <c r="A5323" s="9" t="s">
        <v>225</v>
      </c>
      <c r="B5323" s="9" t="s">
        <v>224</v>
      </c>
      <c r="C5323" s="10">
        <v>45856</v>
      </c>
      <c r="D5323" s="15">
        <v>1.971</v>
      </c>
      <c r="E5323" s="15">
        <v>1.971</v>
      </c>
      <c r="F5323" s="15">
        <v>1.971</v>
      </c>
      <c r="G5323" s="11">
        <v>0.0139</v>
      </c>
      <c r="H5323" s="9">
        <f>MAX($F$5284:F5323)</f>
        <v>1.971</v>
      </c>
      <c r="I5323" s="11">
        <f t="shared" si="133"/>
        <v>0</v>
      </c>
      <c r="J5323" s="9"/>
      <c r="K5323" s="11"/>
      <c r="L5323" s="9"/>
      <c r="M5323" s="11"/>
      <c r="N5323" s="9" t="s">
        <v>1013</v>
      </c>
    </row>
    <row r="5324" ht="25" customHeight="1" spans="1:14">
      <c r="A5324" s="9" t="s">
        <v>225</v>
      </c>
      <c r="B5324" s="9" t="s">
        <v>224</v>
      </c>
      <c r="C5324" s="10">
        <v>45863</v>
      </c>
      <c r="D5324" s="15">
        <v>2.052</v>
      </c>
      <c r="E5324" s="15">
        <v>2.052</v>
      </c>
      <c r="F5324" s="15">
        <v>2.052</v>
      </c>
      <c r="G5324" s="11">
        <v>0.0411</v>
      </c>
      <c r="H5324" s="9">
        <f>MAX($F$5284:F5324)</f>
        <v>2.052</v>
      </c>
      <c r="I5324" s="11">
        <f t="shared" si="133"/>
        <v>0</v>
      </c>
      <c r="J5324" s="9"/>
      <c r="K5324" s="11"/>
      <c r="L5324" s="9"/>
      <c r="M5324" s="11"/>
      <c r="N5324" s="9" t="s">
        <v>1013</v>
      </c>
    </row>
    <row r="5325" ht="25" customHeight="1" spans="1:14">
      <c r="A5325" s="9" t="s">
        <v>225</v>
      </c>
      <c r="B5325" s="9" t="s">
        <v>224</v>
      </c>
      <c r="C5325" s="10">
        <v>45869</v>
      </c>
      <c r="D5325" s="15">
        <v>2.035</v>
      </c>
      <c r="E5325" s="15">
        <v>2.035</v>
      </c>
      <c r="F5325" s="15">
        <v>2.035</v>
      </c>
      <c r="G5325" s="11">
        <v>-0.0083</v>
      </c>
      <c r="H5325" s="9">
        <f>MAX($F$5284:F5325)</f>
        <v>2.052</v>
      </c>
      <c r="I5325" s="11">
        <f t="shared" si="133"/>
        <v>0.00828460038986345</v>
      </c>
      <c r="J5325" s="9"/>
      <c r="K5325" s="11"/>
      <c r="L5325" s="9"/>
      <c r="M5325" s="11"/>
      <c r="N5325" s="9" t="s">
        <v>1013</v>
      </c>
    </row>
    <row r="5326" ht="25" customHeight="1" spans="1:14">
      <c r="A5326" s="9" t="s">
        <v>225</v>
      </c>
      <c r="B5326" s="9" t="s">
        <v>224</v>
      </c>
      <c r="C5326" s="10">
        <v>45870</v>
      </c>
      <c r="D5326" s="15">
        <v>2.039</v>
      </c>
      <c r="E5326" s="15">
        <v>2.039</v>
      </c>
      <c r="F5326" s="15">
        <v>2.039</v>
      </c>
      <c r="G5326" s="11">
        <v>0.002</v>
      </c>
      <c r="H5326" s="9">
        <f>MAX($F$5284:F5326)</f>
        <v>2.052</v>
      </c>
      <c r="I5326" s="11">
        <f t="shared" si="133"/>
        <v>0.00633528265107208</v>
      </c>
      <c r="J5326" s="9"/>
      <c r="K5326" s="11"/>
      <c r="L5326" s="9"/>
      <c r="M5326" s="11"/>
      <c r="N5326" s="9" t="s">
        <v>1013</v>
      </c>
    </row>
    <row r="5327" ht="25" customHeight="1" spans="1:14">
      <c r="A5327" s="9" t="s">
        <v>225</v>
      </c>
      <c r="B5327" s="9" t="s">
        <v>224</v>
      </c>
      <c r="C5327" s="10">
        <v>45877</v>
      </c>
      <c r="D5327" s="15">
        <v>2.053</v>
      </c>
      <c r="E5327" s="15">
        <v>2.053</v>
      </c>
      <c r="F5327" s="15">
        <v>2.053</v>
      </c>
      <c r="G5327" s="11">
        <v>0.0069</v>
      </c>
      <c r="H5327" s="9">
        <f>MAX($F$5284:F5327)</f>
        <v>2.053</v>
      </c>
      <c r="I5327" s="11">
        <f t="shared" si="133"/>
        <v>0</v>
      </c>
      <c r="J5327" s="9"/>
      <c r="K5327" s="11"/>
      <c r="L5327" s="9"/>
      <c r="M5327" s="11"/>
      <c r="N5327" s="9" t="s">
        <v>1013</v>
      </c>
    </row>
    <row r="5328" ht="25" customHeight="1" spans="1:14">
      <c r="A5328" s="9" t="s">
        <v>225</v>
      </c>
      <c r="B5328" s="9" t="s">
        <v>224</v>
      </c>
      <c r="C5328" s="10">
        <v>45884</v>
      </c>
      <c r="D5328" s="15">
        <v>2.042</v>
      </c>
      <c r="E5328" s="15">
        <v>2.042</v>
      </c>
      <c r="F5328" s="15">
        <v>2.042</v>
      </c>
      <c r="G5328" s="11">
        <v>-0.0054</v>
      </c>
      <c r="H5328" s="9">
        <f>MAX($F$5284:F5328)</f>
        <v>2.053</v>
      </c>
      <c r="I5328" s="11">
        <f t="shared" si="133"/>
        <v>0.00535801266439362</v>
      </c>
      <c r="J5328" s="9"/>
      <c r="K5328" s="11"/>
      <c r="L5328" s="9"/>
      <c r="M5328" s="11"/>
      <c r="N5328" s="9" t="s">
        <v>1013</v>
      </c>
    </row>
    <row r="5329" ht="25" customHeight="1" spans="1:14">
      <c r="A5329" s="9" t="s">
        <v>225</v>
      </c>
      <c r="B5329" s="9" t="s">
        <v>224</v>
      </c>
      <c r="C5329" s="10">
        <v>45891</v>
      </c>
      <c r="D5329" s="15">
        <v>2.044</v>
      </c>
      <c r="E5329" s="15">
        <v>2.044</v>
      </c>
      <c r="F5329" s="15">
        <v>2.044</v>
      </c>
      <c r="G5329" s="11">
        <v>0.001</v>
      </c>
      <c r="H5329" s="9">
        <f>MAX($F$5284:F5329)</f>
        <v>2.053</v>
      </c>
      <c r="I5329" s="11">
        <f t="shared" si="133"/>
        <v>0.00438382854359465</v>
      </c>
      <c r="J5329" s="9"/>
      <c r="K5329" s="11"/>
      <c r="L5329" s="9"/>
      <c r="M5329" s="11"/>
      <c r="N5329" s="9" t="s">
        <v>1013</v>
      </c>
    </row>
    <row r="5330" ht="25" customHeight="1" spans="1:14">
      <c r="A5330" s="9" t="s">
        <v>225</v>
      </c>
      <c r="B5330" s="9" t="s">
        <v>224</v>
      </c>
      <c r="C5330" s="10">
        <v>45898</v>
      </c>
      <c r="D5330" s="15">
        <v>2.041</v>
      </c>
      <c r="E5330" s="15">
        <v>2.041</v>
      </c>
      <c r="F5330" s="15">
        <v>2.041</v>
      </c>
      <c r="G5330" s="11">
        <v>-0.0015</v>
      </c>
      <c r="H5330" s="9">
        <f>MAX($F$5284:F5330)</f>
        <v>2.053</v>
      </c>
      <c r="I5330" s="11">
        <f t="shared" si="133"/>
        <v>0.00584510472479294</v>
      </c>
      <c r="J5330" s="9">
        <f>MAX($F$5330:F5330)</f>
        <v>2.041</v>
      </c>
      <c r="K5330" s="11">
        <f t="shared" ref="K5330:K5386" si="134">1-F5330/J5330</f>
        <v>0</v>
      </c>
      <c r="L5330" s="9"/>
      <c r="M5330" s="11"/>
      <c r="N5330" s="9" t="s">
        <v>1013</v>
      </c>
    </row>
    <row r="5331" ht="25" customHeight="1" spans="1:14">
      <c r="A5331" s="9" t="s">
        <v>225</v>
      </c>
      <c r="B5331" s="9" t="s">
        <v>224</v>
      </c>
      <c r="C5331" s="10">
        <v>45905</v>
      </c>
      <c r="D5331" s="15">
        <v>2.058</v>
      </c>
      <c r="E5331" s="15">
        <v>2.058</v>
      </c>
      <c r="F5331" s="15">
        <v>2.058</v>
      </c>
      <c r="G5331" s="11">
        <v>0.0083</v>
      </c>
      <c r="H5331" s="9">
        <f>MAX($F$5284:F5331)</f>
        <v>2.058</v>
      </c>
      <c r="I5331" s="11">
        <f t="shared" si="133"/>
        <v>0</v>
      </c>
      <c r="J5331" s="9">
        <f>MAX($F$5330:F5331)</f>
        <v>2.058</v>
      </c>
      <c r="K5331" s="11">
        <f t="shared" si="134"/>
        <v>0</v>
      </c>
      <c r="L5331" s="9"/>
      <c r="M5331" s="11"/>
      <c r="N5331" s="9" t="s">
        <v>1013</v>
      </c>
    </row>
    <row r="5332" ht="25" customHeight="1" spans="1:14">
      <c r="A5332" s="9" t="s">
        <v>225</v>
      </c>
      <c r="B5332" s="9" t="s">
        <v>224</v>
      </c>
      <c r="C5332" s="10">
        <v>45912</v>
      </c>
      <c r="D5332" s="15">
        <v>2.034</v>
      </c>
      <c r="E5332" s="15">
        <v>2.034</v>
      </c>
      <c r="F5332" s="15">
        <v>2.034</v>
      </c>
      <c r="G5332" s="11">
        <v>-0.0117</v>
      </c>
      <c r="H5332" s="9">
        <f>MAX($F$5284:F5332)</f>
        <v>2.058</v>
      </c>
      <c r="I5332" s="11">
        <f t="shared" si="133"/>
        <v>0.011661807580175</v>
      </c>
      <c r="J5332" s="9">
        <f>MAX($F$5330:F5332)</f>
        <v>2.058</v>
      </c>
      <c r="K5332" s="11">
        <f t="shared" si="134"/>
        <v>0.011661807580175</v>
      </c>
      <c r="L5332" s="9"/>
      <c r="M5332" s="11"/>
      <c r="N5332" s="9" t="s">
        <v>1013</v>
      </c>
    </row>
    <row r="5333" ht="25" customHeight="1" spans="1:14">
      <c r="A5333" s="9" t="s">
        <v>225</v>
      </c>
      <c r="B5333" s="9" t="s">
        <v>224</v>
      </c>
      <c r="C5333" s="10">
        <v>45919</v>
      </c>
      <c r="D5333" s="15">
        <v>2.051</v>
      </c>
      <c r="E5333" s="15">
        <v>2.051</v>
      </c>
      <c r="F5333" s="15">
        <v>2.051</v>
      </c>
      <c r="G5333" s="11">
        <v>0.0084</v>
      </c>
      <c r="H5333" s="9">
        <f>MAX($F$5284:F5333)</f>
        <v>2.058</v>
      </c>
      <c r="I5333" s="11">
        <f t="shared" si="133"/>
        <v>0.00340136054421758</v>
      </c>
      <c r="J5333" s="9">
        <f>MAX($F$5330:F5333)</f>
        <v>2.058</v>
      </c>
      <c r="K5333" s="11">
        <f t="shared" si="134"/>
        <v>0.00340136054421758</v>
      </c>
      <c r="L5333" s="9"/>
      <c r="M5333" s="11"/>
      <c r="N5333" s="9" t="s">
        <v>1013</v>
      </c>
    </row>
    <row r="5334" ht="25" customHeight="1" spans="1:14">
      <c r="A5334" s="9" t="s">
        <v>225</v>
      </c>
      <c r="B5334" s="9" t="s">
        <v>224</v>
      </c>
      <c r="C5334" s="10">
        <v>45926</v>
      </c>
      <c r="D5334" s="15">
        <v>2.046</v>
      </c>
      <c r="E5334" s="15">
        <v>2.046</v>
      </c>
      <c r="F5334" s="15">
        <v>2.046</v>
      </c>
      <c r="G5334" s="11">
        <v>-0.0024</v>
      </c>
      <c r="H5334" s="9">
        <f>MAX($F$5284:F5334)</f>
        <v>2.058</v>
      </c>
      <c r="I5334" s="11">
        <f t="shared" si="133"/>
        <v>0.00583090379008744</v>
      </c>
      <c r="J5334" s="9">
        <f>MAX($F$5330:F5334)</f>
        <v>2.058</v>
      </c>
      <c r="K5334" s="11">
        <f t="shared" si="134"/>
        <v>0.00583090379008744</v>
      </c>
      <c r="L5334" s="9"/>
      <c r="M5334" s="11"/>
      <c r="N5334" s="9" t="s">
        <v>1013</v>
      </c>
    </row>
    <row r="5335" ht="25" customHeight="1" spans="1:14">
      <c r="A5335" s="9" t="s">
        <v>225</v>
      </c>
      <c r="B5335" s="9" t="s">
        <v>224</v>
      </c>
      <c r="C5335" s="10">
        <v>45930</v>
      </c>
      <c r="D5335" s="15">
        <v>2.035</v>
      </c>
      <c r="E5335" s="15">
        <v>2.035</v>
      </c>
      <c r="F5335" s="15">
        <v>2.035</v>
      </c>
      <c r="G5335" s="11">
        <v>-0.0054</v>
      </c>
      <c r="H5335" s="9">
        <f>MAX($F$5284:F5335)</f>
        <v>2.058</v>
      </c>
      <c r="I5335" s="11">
        <f t="shared" si="133"/>
        <v>0.0111758989310008</v>
      </c>
      <c r="J5335" s="9">
        <f>MAX($F$5330:F5335)</f>
        <v>2.058</v>
      </c>
      <c r="K5335" s="11">
        <f t="shared" si="134"/>
        <v>0.0111758989310008</v>
      </c>
      <c r="L5335" s="9"/>
      <c r="M5335" s="11"/>
      <c r="N5335" s="9" t="s">
        <v>1013</v>
      </c>
    </row>
    <row r="5336" ht="25" customHeight="1" spans="1:14">
      <c r="A5336" s="9" t="s">
        <v>225</v>
      </c>
      <c r="B5336" s="9" t="s">
        <v>224</v>
      </c>
      <c r="C5336" s="10">
        <v>45940</v>
      </c>
      <c r="D5336" s="15">
        <v>2.041</v>
      </c>
      <c r="E5336" s="15">
        <v>2.041</v>
      </c>
      <c r="F5336" s="15">
        <v>2.041</v>
      </c>
      <c r="G5336" s="11">
        <v>0.0029</v>
      </c>
      <c r="H5336" s="9">
        <f>MAX($F$5284:F5336)</f>
        <v>2.058</v>
      </c>
      <c r="I5336" s="11">
        <f t="shared" si="133"/>
        <v>0.00826044703595719</v>
      </c>
      <c r="J5336" s="9">
        <f>MAX($F$5330:F5336)</f>
        <v>2.058</v>
      </c>
      <c r="K5336" s="11">
        <f t="shared" si="134"/>
        <v>0.00826044703595719</v>
      </c>
      <c r="L5336" s="9"/>
      <c r="M5336" s="11"/>
      <c r="N5336" s="9" t="s">
        <v>1013</v>
      </c>
    </row>
    <row r="5337" ht="25" customHeight="1" spans="1:14">
      <c r="A5337" s="9" t="s">
        <v>225</v>
      </c>
      <c r="B5337" s="9" t="s">
        <v>224</v>
      </c>
      <c r="C5337" s="10">
        <v>45947</v>
      </c>
      <c r="D5337" s="15">
        <v>2.042</v>
      </c>
      <c r="E5337" s="15">
        <v>2.042</v>
      </c>
      <c r="F5337" s="15">
        <v>2.042</v>
      </c>
      <c r="G5337" s="11">
        <v>0.0005</v>
      </c>
      <c r="H5337" s="9">
        <f>MAX($F$5284:F5337)</f>
        <v>2.058</v>
      </c>
      <c r="I5337" s="11">
        <f t="shared" si="133"/>
        <v>0.00777453838678333</v>
      </c>
      <c r="J5337" s="9">
        <f>MAX($F$5330:F5337)</f>
        <v>2.058</v>
      </c>
      <c r="K5337" s="11">
        <f t="shared" si="134"/>
        <v>0.00777453838678333</v>
      </c>
      <c r="L5337" s="9"/>
      <c r="M5337" s="11"/>
      <c r="N5337" s="9" t="s">
        <v>1013</v>
      </c>
    </row>
    <row r="5338" ht="25" customHeight="1" spans="1:14">
      <c r="A5338" s="9" t="s">
        <v>225</v>
      </c>
      <c r="B5338" s="9" t="s">
        <v>224</v>
      </c>
      <c r="C5338" s="10">
        <v>45954</v>
      </c>
      <c r="D5338" s="15">
        <v>2.069</v>
      </c>
      <c r="E5338" s="15">
        <v>2.069</v>
      </c>
      <c r="F5338" s="15">
        <v>2.069</v>
      </c>
      <c r="G5338" s="11">
        <v>0.0132</v>
      </c>
      <c r="H5338" s="9">
        <f>MAX($F$5284:F5338)</f>
        <v>2.069</v>
      </c>
      <c r="I5338" s="11">
        <f t="shared" si="133"/>
        <v>0</v>
      </c>
      <c r="J5338" s="9">
        <f>MAX($F$5330:F5338)</f>
        <v>2.069</v>
      </c>
      <c r="K5338" s="11">
        <f t="shared" si="134"/>
        <v>0</v>
      </c>
      <c r="L5338" s="9"/>
      <c r="M5338" s="11"/>
      <c r="N5338" s="9" t="s">
        <v>1013</v>
      </c>
    </row>
    <row r="5339" ht="25" customHeight="1" spans="1:14">
      <c r="A5339" s="9" t="s">
        <v>225</v>
      </c>
      <c r="B5339" s="9" t="s">
        <v>224</v>
      </c>
      <c r="C5339" s="10">
        <v>45961</v>
      </c>
      <c r="D5339" s="15">
        <v>2.073</v>
      </c>
      <c r="E5339" s="15">
        <v>2.073</v>
      </c>
      <c r="F5339" s="15">
        <v>2.073</v>
      </c>
      <c r="G5339" s="11">
        <v>0.0019</v>
      </c>
      <c r="H5339" s="9">
        <f>MAX($F$5284:F5339)</f>
        <v>2.073</v>
      </c>
      <c r="I5339" s="11">
        <f t="shared" si="133"/>
        <v>0</v>
      </c>
      <c r="J5339" s="9">
        <f>MAX($F$5330:F5339)</f>
        <v>2.073</v>
      </c>
      <c r="K5339" s="11">
        <f t="shared" si="134"/>
        <v>0</v>
      </c>
      <c r="L5339" s="9"/>
      <c r="M5339" s="11"/>
      <c r="N5339" s="9" t="s">
        <v>1013</v>
      </c>
    </row>
    <row r="5340" ht="25" customHeight="1" spans="1:14">
      <c r="A5340" s="9" t="s">
        <v>225</v>
      </c>
      <c r="B5340" s="9" t="s">
        <v>224</v>
      </c>
      <c r="C5340" s="10">
        <v>45968</v>
      </c>
      <c r="D5340" s="15">
        <v>2.067</v>
      </c>
      <c r="E5340" s="15">
        <v>2.067</v>
      </c>
      <c r="F5340" s="15">
        <v>2.067</v>
      </c>
      <c r="G5340" s="11">
        <v>-0.0029</v>
      </c>
      <c r="H5340" s="9">
        <f>MAX($F$5284:F5340)</f>
        <v>2.073</v>
      </c>
      <c r="I5340" s="11">
        <f t="shared" si="133"/>
        <v>0.00289435600578858</v>
      </c>
      <c r="J5340" s="9">
        <f>MAX($F$5330:F5340)</f>
        <v>2.073</v>
      </c>
      <c r="K5340" s="11">
        <f t="shared" si="134"/>
        <v>0.00289435600578858</v>
      </c>
      <c r="L5340" s="9"/>
      <c r="M5340" s="11"/>
      <c r="N5340" s="9" t="s">
        <v>1013</v>
      </c>
    </row>
    <row r="5341" ht="25" customHeight="1" spans="1:14">
      <c r="A5341" s="9" t="s">
        <v>225</v>
      </c>
      <c r="B5341" s="9" t="s">
        <v>224</v>
      </c>
      <c r="C5341" s="10">
        <v>45975</v>
      </c>
      <c r="D5341" s="15">
        <v>2.072</v>
      </c>
      <c r="E5341" s="15">
        <v>2.072</v>
      </c>
      <c r="F5341" s="15">
        <v>2.072</v>
      </c>
      <c r="G5341" s="11">
        <v>0.0024</v>
      </c>
      <c r="H5341" s="9">
        <f>MAX($F$5284:F5341)</f>
        <v>2.073</v>
      </c>
      <c r="I5341" s="11">
        <f t="shared" si="133"/>
        <v>0.000482392667631393</v>
      </c>
      <c r="J5341" s="9">
        <f>MAX($F$5330:F5341)</f>
        <v>2.073</v>
      </c>
      <c r="K5341" s="11">
        <f t="shared" si="134"/>
        <v>0.000482392667631393</v>
      </c>
      <c r="L5341" s="9"/>
      <c r="M5341" s="11"/>
      <c r="N5341" s="9" t="s">
        <v>1013</v>
      </c>
    </row>
    <row r="5342" ht="25" customHeight="1" spans="1:14">
      <c r="A5342" s="9" t="s">
        <v>225</v>
      </c>
      <c r="B5342" s="9" t="s">
        <v>224</v>
      </c>
      <c r="C5342" s="10">
        <v>45982</v>
      </c>
      <c r="D5342" s="15">
        <v>2.071</v>
      </c>
      <c r="E5342" s="15">
        <v>2.071</v>
      </c>
      <c r="F5342" s="15">
        <v>2.071</v>
      </c>
      <c r="G5342" s="11">
        <v>-0.0005</v>
      </c>
      <c r="H5342" s="9">
        <f>MAX($F$5284:F5342)</f>
        <v>2.073</v>
      </c>
      <c r="I5342" s="11">
        <f t="shared" si="133"/>
        <v>0.000964785335262786</v>
      </c>
      <c r="J5342" s="9">
        <f>MAX($F$5330:F5342)</f>
        <v>2.073</v>
      </c>
      <c r="K5342" s="11">
        <f t="shared" si="134"/>
        <v>0.000964785335262786</v>
      </c>
      <c r="L5342" s="9"/>
      <c r="M5342" s="11"/>
      <c r="N5342" s="9" t="s">
        <v>1013</v>
      </c>
    </row>
    <row r="5343" ht="25" customHeight="1" spans="1:14">
      <c r="A5343" s="9" t="s">
        <v>225</v>
      </c>
      <c r="B5343" s="9" t="s">
        <v>224</v>
      </c>
      <c r="C5343" s="10">
        <v>45989</v>
      </c>
      <c r="D5343" s="15">
        <v>2.074</v>
      </c>
      <c r="E5343" s="15">
        <v>2.074</v>
      </c>
      <c r="F5343" s="15">
        <v>2.074</v>
      </c>
      <c r="G5343" s="11">
        <v>0.0014</v>
      </c>
      <c r="H5343" s="9">
        <f>MAX($F$5284:F5343)</f>
        <v>2.074</v>
      </c>
      <c r="I5343" s="11">
        <f t="shared" si="133"/>
        <v>0</v>
      </c>
      <c r="J5343" s="9">
        <f>MAX($F$5330:F5343)</f>
        <v>2.074</v>
      </c>
      <c r="K5343" s="11">
        <f t="shared" si="134"/>
        <v>0</v>
      </c>
      <c r="L5343" s="9"/>
      <c r="M5343" s="11"/>
      <c r="N5343" s="9" t="s">
        <v>1013</v>
      </c>
    </row>
    <row r="5344" ht="25" customHeight="1" spans="1:14">
      <c r="A5344" s="9" t="s">
        <v>225</v>
      </c>
      <c r="B5344" s="9" t="s">
        <v>224</v>
      </c>
      <c r="C5344" s="10">
        <v>45996</v>
      </c>
      <c r="D5344" s="15">
        <v>2.081</v>
      </c>
      <c r="E5344" s="15">
        <v>2.081</v>
      </c>
      <c r="F5344" s="15">
        <v>2.081</v>
      </c>
      <c r="G5344" s="11">
        <v>0.0034</v>
      </c>
      <c r="H5344" s="9">
        <f>MAX($F$5284:F5344)</f>
        <v>2.081</v>
      </c>
      <c r="I5344" s="11">
        <f t="shared" si="133"/>
        <v>0</v>
      </c>
      <c r="J5344" s="9">
        <f>MAX($F$5330:F5344)</f>
        <v>2.081</v>
      </c>
      <c r="K5344" s="11">
        <f t="shared" si="134"/>
        <v>0</v>
      </c>
      <c r="L5344" s="9"/>
      <c r="M5344" s="11"/>
      <c r="N5344" s="9" t="s">
        <v>1013</v>
      </c>
    </row>
    <row r="5345" ht="25" customHeight="1" spans="1:14">
      <c r="A5345" s="9" t="s">
        <v>225</v>
      </c>
      <c r="B5345" s="9" t="s">
        <v>224</v>
      </c>
      <c r="C5345" s="10">
        <v>46003</v>
      </c>
      <c r="D5345" s="15">
        <v>2.029</v>
      </c>
      <c r="E5345" s="15">
        <v>2.029</v>
      </c>
      <c r="F5345" s="15">
        <v>2.029</v>
      </c>
      <c r="G5345" s="11">
        <v>-0.025</v>
      </c>
      <c r="H5345" s="9">
        <f>MAX($F$5284:F5345)</f>
        <v>2.081</v>
      </c>
      <c r="I5345" s="11">
        <f t="shared" si="133"/>
        <v>0.0249879865449304</v>
      </c>
      <c r="J5345" s="9">
        <f>MAX($F$5330:F5345)</f>
        <v>2.081</v>
      </c>
      <c r="K5345" s="11">
        <f t="shared" si="134"/>
        <v>0.0249879865449304</v>
      </c>
      <c r="L5345" s="9"/>
      <c r="M5345" s="11"/>
      <c r="N5345" s="9" t="s">
        <v>1013</v>
      </c>
    </row>
    <row r="5346" ht="25" customHeight="1" spans="1:14">
      <c r="A5346" s="9" t="s">
        <v>225</v>
      </c>
      <c r="B5346" s="9" t="s">
        <v>224</v>
      </c>
      <c r="C5346" s="10">
        <v>46010</v>
      </c>
      <c r="D5346" s="15">
        <v>2.063</v>
      </c>
      <c r="E5346" s="15">
        <v>2.063</v>
      </c>
      <c r="F5346" s="15">
        <v>2.063</v>
      </c>
      <c r="G5346" s="11">
        <v>0.0168</v>
      </c>
      <c r="H5346" s="9">
        <f>MAX($F$5284:F5346)</f>
        <v>2.081</v>
      </c>
      <c r="I5346" s="11">
        <f t="shared" si="133"/>
        <v>0.00864968765016805</v>
      </c>
      <c r="J5346" s="9">
        <f>MAX($F$5330:F5346)</f>
        <v>2.081</v>
      </c>
      <c r="K5346" s="11">
        <f t="shared" si="134"/>
        <v>0.00864968765016805</v>
      </c>
      <c r="L5346" s="9"/>
      <c r="M5346" s="11"/>
      <c r="N5346" s="9" t="s">
        <v>1013</v>
      </c>
    </row>
    <row r="5347" ht="25" customHeight="1" spans="1:14">
      <c r="A5347" s="9" t="s">
        <v>225</v>
      </c>
      <c r="B5347" s="9" t="s">
        <v>224</v>
      </c>
      <c r="C5347" s="10">
        <v>46017</v>
      </c>
      <c r="D5347" s="15">
        <v>2.162</v>
      </c>
      <c r="E5347" s="15">
        <v>2.162</v>
      </c>
      <c r="F5347" s="15">
        <v>2.162</v>
      </c>
      <c r="G5347" s="11">
        <v>0.048</v>
      </c>
      <c r="H5347" s="9">
        <f>MAX($F$5284:F5347)</f>
        <v>2.162</v>
      </c>
      <c r="I5347" s="11">
        <f t="shared" si="133"/>
        <v>0</v>
      </c>
      <c r="J5347" s="9">
        <f>MAX($F$5330:F5347)</f>
        <v>2.162</v>
      </c>
      <c r="K5347" s="11">
        <f t="shared" si="134"/>
        <v>0</v>
      </c>
      <c r="L5347" s="9"/>
      <c r="M5347" s="11"/>
      <c r="N5347" s="9" t="s">
        <v>1013</v>
      </c>
    </row>
    <row r="5348" ht="25" customHeight="1" spans="1:14">
      <c r="A5348" s="9" t="s">
        <v>225</v>
      </c>
      <c r="B5348" s="9" t="s">
        <v>224</v>
      </c>
      <c r="C5348" s="10">
        <v>46022</v>
      </c>
      <c r="D5348" s="15">
        <v>2.232</v>
      </c>
      <c r="E5348" s="15">
        <v>2.232</v>
      </c>
      <c r="F5348" s="15">
        <v>2.232</v>
      </c>
      <c r="G5348" s="11">
        <v>0.0324</v>
      </c>
      <c r="H5348" s="9">
        <f>MAX($F$5284:F5348)</f>
        <v>2.232</v>
      </c>
      <c r="I5348" s="11">
        <f t="shared" si="133"/>
        <v>0</v>
      </c>
      <c r="J5348" s="9">
        <f>MAX($F$5330:F5348)</f>
        <v>2.232</v>
      </c>
      <c r="K5348" s="11">
        <f t="shared" si="134"/>
        <v>0</v>
      </c>
      <c r="L5348" s="9"/>
      <c r="M5348" s="11"/>
      <c r="N5348" s="9" t="s">
        <v>1013</v>
      </c>
    </row>
    <row r="5349" ht="25" customHeight="1" spans="1:14">
      <c r="A5349" s="9" t="s">
        <v>225</v>
      </c>
      <c r="B5349" s="9" t="s">
        <v>224</v>
      </c>
      <c r="C5349" s="10">
        <v>46031</v>
      </c>
      <c r="D5349" s="15">
        <v>2.342</v>
      </c>
      <c r="E5349" s="15">
        <v>2.342</v>
      </c>
      <c r="F5349" s="15">
        <v>2.342</v>
      </c>
      <c r="G5349" s="11">
        <v>0.0493</v>
      </c>
      <c r="H5349" s="9">
        <f>MAX($F$5284:F5349)</f>
        <v>2.342</v>
      </c>
      <c r="I5349" s="11">
        <f t="shared" si="133"/>
        <v>0</v>
      </c>
      <c r="J5349" s="9">
        <f>MAX($F$5330:F5349)</f>
        <v>2.342</v>
      </c>
      <c r="K5349" s="11">
        <f t="shared" si="134"/>
        <v>0</v>
      </c>
      <c r="L5349" s="9"/>
      <c r="M5349" s="11"/>
      <c r="N5349" s="9" t="s">
        <v>1013</v>
      </c>
    </row>
    <row r="5350" ht="25" customHeight="1" spans="1:14">
      <c r="A5350" s="9" t="s">
        <v>225</v>
      </c>
      <c r="B5350" s="9" t="s">
        <v>224</v>
      </c>
      <c r="C5350" s="10">
        <v>46038</v>
      </c>
      <c r="D5350" s="15">
        <v>2.357</v>
      </c>
      <c r="E5350" s="15">
        <v>2.357</v>
      </c>
      <c r="F5350" s="15">
        <v>2.357</v>
      </c>
      <c r="G5350" s="11">
        <v>0.0064</v>
      </c>
      <c r="H5350" s="9">
        <f>MAX($F$5284:F5350)</f>
        <v>2.357</v>
      </c>
      <c r="I5350" s="11">
        <f t="shared" si="133"/>
        <v>0</v>
      </c>
      <c r="J5350" s="9">
        <f>MAX($F$5330:F5350)</f>
        <v>2.357</v>
      </c>
      <c r="K5350" s="11">
        <f t="shared" si="134"/>
        <v>0</v>
      </c>
      <c r="L5350" s="9"/>
      <c r="M5350" s="11"/>
      <c r="N5350" s="9" t="s">
        <v>1013</v>
      </c>
    </row>
    <row r="5351" ht="25" customHeight="1" spans="1:14">
      <c r="A5351" s="9" t="s">
        <v>225</v>
      </c>
      <c r="B5351" s="9" t="s">
        <v>224</v>
      </c>
      <c r="C5351" s="10">
        <v>46045</v>
      </c>
      <c r="D5351" s="15">
        <v>2.353</v>
      </c>
      <c r="E5351" s="15">
        <v>2.353</v>
      </c>
      <c r="F5351" s="15">
        <v>2.353</v>
      </c>
      <c r="G5351" s="11">
        <v>-0.0017</v>
      </c>
      <c r="H5351" s="9">
        <f>MAX($F$5284:F5351)</f>
        <v>2.357</v>
      </c>
      <c r="I5351" s="11">
        <f t="shared" si="133"/>
        <v>0.00169707254985152</v>
      </c>
      <c r="J5351" s="9">
        <f>MAX($F$5330:F5351)</f>
        <v>2.357</v>
      </c>
      <c r="K5351" s="11">
        <f t="shared" si="134"/>
        <v>0.00169707254985152</v>
      </c>
      <c r="L5351" s="9"/>
      <c r="M5351" s="11"/>
      <c r="N5351" s="9" t="s">
        <v>1013</v>
      </c>
    </row>
    <row r="5352" ht="25" customHeight="1" spans="1:14">
      <c r="A5352" s="9" t="s">
        <v>225</v>
      </c>
      <c r="B5352" s="9" t="s">
        <v>224</v>
      </c>
      <c r="C5352" s="10">
        <v>46052</v>
      </c>
      <c r="D5352" s="15">
        <v>2.36</v>
      </c>
      <c r="E5352" s="15">
        <v>2.36</v>
      </c>
      <c r="F5352" s="15">
        <v>2.36</v>
      </c>
      <c r="G5352" s="11">
        <v>0.003</v>
      </c>
      <c r="H5352" s="9">
        <f>MAX($F$5284:F5352)</f>
        <v>2.36</v>
      </c>
      <c r="I5352" s="11">
        <f t="shared" si="133"/>
        <v>0</v>
      </c>
      <c r="J5352" s="9">
        <f>MAX($F$5330:F5352)</f>
        <v>2.36</v>
      </c>
      <c r="K5352" s="11">
        <f t="shared" si="134"/>
        <v>0</v>
      </c>
      <c r="L5352" s="9"/>
      <c r="M5352" s="11"/>
      <c r="N5352" s="9" t="s">
        <v>1013</v>
      </c>
    </row>
    <row r="5353" ht="25" customHeight="1" spans="1:14">
      <c r="A5353" s="9" t="s">
        <v>225</v>
      </c>
      <c r="B5353" s="9" t="s">
        <v>224</v>
      </c>
      <c r="C5353" s="10">
        <v>46059</v>
      </c>
      <c r="D5353" s="15">
        <v>2.349</v>
      </c>
      <c r="E5353" s="15">
        <v>2.349</v>
      </c>
      <c r="F5353" s="15">
        <v>2.349</v>
      </c>
      <c r="G5353" s="11">
        <v>-0.0047</v>
      </c>
      <c r="H5353" s="9">
        <f>MAX($F$5284:F5353)</f>
        <v>2.36</v>
      </c>
      <c r="I5353" s="11">
        <f t="shared" si="133"/>
        <v>0.00466101694915244</v>
      </c>
      <c r="J5353" s="9">
        <f>MAX($F$5330:F5353)</f>
        <v>2.36</v>
      </c>
      <c r="K5353" s="11">
        <f t="shared" si="134"/>
        <v>0.00466101694915244</v>
      </c>
      <c r="L5353" s="9"/>
      <c r="M5353" s="11"/>
      <c r="N5353" s="9" t="s">
        <v>1013</v>
      </c>
    </row>
    <row r="5354" ht="25" customHeight="1" spans="1:14">
      <c r="A5354" s="9" t="s">
        <v>225</v>
      </c>
      <c r="B5354" s="9" t="s">
        <v>224</v>
      </c>
      <c r="C5354" s="10">
        <v>46066</v>
      </c>
      <c r="D5354" s="15">
        <v>2.375</v>
      </c>
      <c r="E5354" s="15">
        <v>2.375</v>
      </c>
      <c r="F5354" s="15">
        <v>2.375</v>
      </c>
      <c r="G5354" s="11">
        <v>0.0111</v>
      </c>
      <c r="H5354" s="9">
        <f>MAX($F$5284:F5354)</f>
        <v>2.375</v>
      </c>
      <c r="I5354" s="11">
        <f t="shared" si="133"/>
        <v>0</v>
      </c>
      <c r="J5354" s="9">
        <f>MAX($F$5330:F5354)</f>
        <v>2.375</v>
      </c>
      <c r="K5354" s="11">
        <f t="shared" si="134"/>
        <v>0</v>
      </c>
      <c r="L5354" s="9"/>
      <c r="M5354" s="11"/>
      <c r="N5354" s="9" t="s">
        <v>1013</v>
      </c>
    </row>
    <row r="5355" ht="25" customHeight="1" spans="1:14">
      <c r="A5355" s="9" t="s">
        <v>225</v>
      </c>
      <c r="B5355" s="9" t="s">
        <v>224</v>
      </c>
      <c r="C5355" s="10">
        <v>46080</v>
      </c>
      <c r="D5355" s="15">
        <v>2.388</v>
      </c>
      <c r="E5355" s="15">
        <v>2.388</v>
      </c>
      <c r="F5355" s="15">
        <v>2.388</v>
      </c>
      <c r="G5355" s="11">
        <v>0.0055</v>
      </c>
      <c r="H5355" s="9">
        <f>MAX($F$5284:F5355)</f>
        <v>2.388</v>
      </c>
      <c r="I5355" s="11">
        <f t="shared" si="133"/>
        <v>0</v>
      </c>
      <c r="J5355" s="9">
        <f>MAX($F$5330:F5355)</f>
        <v>2.388</v>
      </c>
      <c r="K5355" s="11">
        <f t="shared" si="134"/>
        <v>0</v>
      </c>
      <c r="L5355" s="9"/>
      <c r="M5355" s="11"/>
      <c r="N5355" s="9" t="s">
        <v>1013</v>
      </c>
    </row>
    <row r="5356" ht="25" customHeight="1" spans="1:14">
      <c r="A5356" s="9" t="s">
        <v>225</v>
      </c>
      <c r="B5356" s="9" t="s">
        <v>224</v>
      </c>
      <c r="C5356" s="10">
        <v>46087</v>
      </c>
      <c r="D5356" s="15">
        <v>2.377</v>
      </c>
      <c r="E5356" s="15">
        <v>2.377</v>
      </c>
      <c r="F5356" s="15">
        <v>2.377</v>
      </c>
      <c r="G5356" s="11">
        <v>-0.0046</v>
      </c>
      <c r="H5356" s="9">
        <f>MAX($F$5284:F5356)</f>
        <v>2.388</v>
      </c>
      <c r="I5356" s="11">
        <f t="shared" si="133"/>
        <v>0.00460636515912904</v>
      </c>
      <c r="J5356" s="9">
        <f>MAX($F$5330:F5356)</f>
        <v>2.388</v>
      </c>
      <c r="K5356" s="11">
        <f t="shared" si="134"/>
        <v>0.00460636515912904</v>
      </c>
      <c r="L5356" s="9"/>
      <c r="M5356" s="11"/>
      <c r="N5356" s="9" t="s">
        <v>1013</v>
      </c>
    </row>
    <row r="5357" ht="25" customHeight="1" spans="1:14">
      <c r="A5357" s="9" t="s">
        <v>225</v>
      </c>
      <c r="B5357" s="9" t="s">
        <v>224</v>
      </c>
      <c r="C5357" s="10">
        <v>46094</v>
      </c>
      <c r="D5357" s="15">
        <v>2.401</v>
      </c>
      <c r="E5357" s="15">
        <v>2.401</v>
      </c>
      <c r="F5357" s="15">
        <v>2.401</v>
      </c>
      <c r="G5357" s="11">
        <v>0.0101</v>
      </c>
      <c r="H5357" s="9">
        <f>MAX($F$5284:F5357)</f>
        <v>2.401</v>
      </c>
      <c r="I5357" s="11">
        <f t="shared" si="133"/>
        <v>0</v>
      </c>
      <c r="J5357" s="9">
        <f>MAX($F$5330:F5357)</f>
        <v>2.401</v>
      </c>
      <c r="K5357" s="11">
        <f t="shared" si="134"/>
        <v>0</v>
      </c>
      <c r="L5357" s="9"/>
      <c r="M5357" s="11"/>
      <c r="N5357" s="9" t="s">
        <v>1013</v>
      </c>
    </row>
    <row r="5358" ht="25" customHeight="1" spans="1:14">
      <c r="A5358" s="9" t="s">
        <v>225</v>
      </c>
      <c r="B5358" s="9" t="s">
        <v>224</v>
      </c>
      <c r="C5358" s="10">
        <v>46101</v>
      </c>
      <c r="D5358" s="15">
        <v>2.451</v>
      </c>
      <c r="E5358" s="15">
        <v>2.451</v>
      </c>
      <c r="F5358" s="15">
        <v>2.451</v>
      </c>
      <c r="G5358" s="11">
        <v>0.0208</v>
      </c>
      <c r="H5358" s="9">
        <f>MAX($F$5284:F5358)</f>
        <v>2.451</v>
      </c>
      <c r="I5358" s="11">
        <f t="shared" si="133"/>
        <v>0</v>
      </c>
      <c r="J5358" s="9">
        <f>MAX($F$5330:F5358)</f>
        <v>2.451</v>
      </c>
      <c r="K5358" s="11">
        <f t="shared" si="134"/>
        <v>0</v>
      </c>
      <c r="L5358" s="9"/>
      <c r="M5358" s="11"/>
      <c r="N5358" s="9" t="s">
        <v>1013</v>
      </c>
    </row>
    <row r="5359" ht="25" customHeight="1" spans="1:14">
      <c r="A5359" s="9" t="s">
        <v>225</v>
      </c>
      <c r="B5359" s="9" t="s">
        <v>224</v>
      </c>
      <c r="C5359" s="10">
        <v>46108</v>
      </c>
      <c r="D5359" s="15">
        <v>2.538</v>
      </c>
      <c r="E5359" s="15">
        <v>2.538</v>
      </c>
      <c r="F5359" s="15">
        <v>2.538</v>
      </c>
      <c r="G5359" s="11">
        <v>0.0355</v>
      </c>
      <c r="H5359" s="9">
        <f>MAX($F$5284:F5359)</f>
        <v>2.538</v>
      </c>
      <c r="I5359" s="11">
        <f t="shared" si="133"/>
        <v>0</v>
      </c>
      <c r="J5359" s="9">
        <f>MAX($F$5330:F5359)</f>
        <v>2.538</v>
      </c>
      <c r="K5359" s="11">
        <f t="shared" si="134"/>
        <v>0</v>
      </c>
      <c r="L5359" s="9"/>
      <c r="M5359" s="11"/>
      <c r="N5359" s="9" t="s">
        <v>1013</v>
      </c>
    </row>
    <row r="5360" ht="25" customHeight="1" spans="1:14">
      <c r="A5360" s="9" t="s">
        <v>225</v>
      </c>
      <c r="B5360" s="9" t="s">
        <v>224</v>
      </c>
      <c r="C5360" s="10">
        <v>46115</v>
      </c>
      <c r="D5360" s="15">
        <v>2.586</v>
      </c>
      <c r="E5360" s="15">
        <v>2.586</v>
      </c>
      <c r="F5360" s="15">
        <v>2.586</v>
      </c>
      <c r="G5360" s="11">
        <v>0.0189</v>
      </c>
      <c r="H5360" s="9">
        <f>MAX($F$5284:F5360)</f>
        <v>2.586</v>
      </c>
      <c r="I5360" s="11">
        <f t="shared" si="133"/>
        <v>0</v>
      </c>
      <c r="J5360" s="9">
        <f>MAX($F$5330:F5360)</f>
        <v>2.586</v>
      </c>
      <c r="K5360" s="11">
        <f t="shared" si="134"/>
        <v>0</v>
      </c>
      <c r="L5360" s="9"/>
      <c r="M5360" s="11"/>
      <c r="N5360" s="9" t="s">
        <v>1013</v>
      </c>
    </row>
    <row r="5361" ht="25" customHeight="1" spans="1:14">
      <c r="A5361" s="9" t="s">
        <v>225</v>
      </c>
      <c r="B5361" s="9" t="s">
        <v>224</v>
      </c>
      <c r="C5361" s="10">
        <v>46122</v>
      </c>
      <c r="D5361" s="15">
        <v>2.636</v>
      </c>
      <c r="E5361" s="15">
        <v>2.636</v>
      </c>
      <c r="F5361" s="15">
        <v>2.636</v>
      </c>
      <c r="G5361" s="11">
        <v>0.0193</v>
      </c>
      <c r="H5361" s="9">
        <f>MAX($F$5284:F5361)</f>
        <v>2.636</v>
      </c>
      <c r="I5361" s="11">
        <f t="shared" si="133"/>
        <v>0</v>
      </c>
      <c r="J5361" s="9">
        <f>MAX($F$5330:F5361)</f>
        <v>2.636</v>
      </c>
      <c r="K5361" s="11">
        <f t="shared" si="134"/>
        <v>0</v>
      </c>
      <c r="L5361" s="9"/>
      <c r="M5361" s="11"/>
      <c r="N5361" s="9" t="s">
        <v>1013</v>
      </c>
    </row>
    <row r="5362" ht="25" customHeight="1" spans="1:14">
      <c r="A5362" s="9" t="s">
        <v>225</v>
      </c>
      <c r="B5362" s="9" t="s">
        <v>224</v>
      </c>
      <c r="C5362" s="10">
        <v>46129</v>
      </c>
      <c r="D5362" s="15">
        <v>2.667</v>
      </c>
      <c r="E5362" s="15">
        <v>2.667</v>
      </c>
      <c r="F5362" s="15">
        <v>2.667</v>
      </c>
      <c r="G5362" s="11">
        <v>0.0118</v>
      </c>
      <c r="H5362" s="9">
        <f>MAX($F$5284:F5362)</f>
        <v>2.667</v>
      </c>
      <c r="I5362" s="11">
        <f t="shared" si="133"/>
        <v>0</v>
      </c>
      <c r="J5362" s="9">
        <f>MAX($F$5330:F5362)</f>
        <v>2.667</v>
      </c>
      <c r="K5362" s="11">
        <f t="shared" si="134"/>
        <v>0</v>
      </c>
      <c r="L5362" s="9"/>
      <c r="M5362" s="11"/>
      <c r="N5362" s="9" t="s">
        <v>1013</v>
      </c>
    </row>
    <row r="5363" ht="25" customHeight="1" spans="1:14">
      <c r="A5363" s="9" t="s">
        <v>225</v>
      </c>
      <c r="B5363" s="9" t="s">
        <v>224</v>
      </c>
      <c r="C5363" s="10">
        <v>46136</v>
      </c>
      <c r="D5363" s="15">
        <v>2.71</v>
      </c>
      <c r="E5363" s="15">
        <v>2.71</v>
      </c>
      <c r="F5363" s="15">
        <v>2.71</v>
      </c>
      <c r="G5363" s="11">
        <v>0.0161</v>
      </c>
      <c r="H5363" s="9">
        <f>MAX($F$5284:F5363)</f>
        <v>2.71</v>
      </c>
      <c r="I5363" s="11">
        <f t="shared" si="133"/>
        <v>0</v>
      </c>
      <c r="J5363" s="9">
        <f>MAX($F$5330:F5363)</f>
        <v>2.71</v>
      </c>
      <c r="K5363" s="11">
        <f t="shared" si="134"/>
        <v>0</v>
      </c>
      <c r="L5363" s="9"/>
      <c r="M5363" s="11"/>
      <c r="N5363" s="9" t="s">
        <v>1013</v>
      </c>
    </row>
    <row r="5364" ht="25" customHeight="1" spans="1:14">
      <c r="A5364" s="9" t="s">
        <v>225</v>
      </c>
      <c r="B5364" s="9" t="s">
        <v>224</v>
      </c>
      <c r="C5364" s="10">
        <v>46142</v>
      </c>
      <c r="D5364" s="15">
        <v>2.727</v>
      </c>
      <c r="E5364" s="15">
        <v>2.727</v>
      </c>
      <c r="F5364" s="15">
        <v>2.727</v>
      </c>
      <c r="G5364" s="11">
        <v>0.0063</v>
      </c>
      <c r="H5364" s="9">
        <f>MAX($F$5284:F5364)</f>
        <v>2.727</v>
      </c>
      <c r="I5364" s="11">
        <f t="shared" si="133"/>
        <v>0</v>
      </c>
      <c r="J5364" s="9">
        <f>MAX($F$5330:F5364)</f>
        <v>2.727</v>
      </c>
      <c r="K5364" s="11">
        <f t="shared" si="134"/>
        <v>0</v>
      </c>
      <c r="L5364" s="9"/>
      <c r="M5364" s="11"/>
      <c r="N5364" s="9" t="s">
        <v>1013</v>
      </c>
    </row>
    <row r="5365" ht="25" customHeight="1" spans="1:14">
      <c r="A5365" s="9" t="s">
        <v>225</v>
      </c>
      <c r="B5365" s="9" t="s">
        <v>224</v>
      </c>
      <c r="C5365" s="10">
        <v>46150</v>
      </c>
      <c r="D5365" s="15">
        <v>2.744</v>
      </c>
      <c r="E5365" s="15">
        <v>2.744</v>
      </c>
      <c r="F5365" s="15">
        <v>2.744</v>
      </c>
      <c r="G5365" s="11">
        <v>0.0062</v>
      </c>
      <c r="H5365" s="9">
        <f>MAX($F$5284:F5365)</f>
        <v>2.744</v>
      </c>
      <c r="I5365" s="11">
        <f t="shared" si="133"/>
        <v>0</v>
      </c>
      <c r="J5365" s="9">
        <f>MAX($F$5330:F5365)</f>
        <v>2.744</v>
      </c>
      <c r="K5365" s="11">
        <f t="shared" si="134"/>
        <v>0</v>
      </c>
      <c r="L5365" s="9"/>
      <c r="M5365" s="11"/>
      <c r="N5365" s="9" t="s">
        <v>1013</v>
      </c>
    </row>
    <row r="5366" ht="25" customHeight="1" spans="1:14">
      <c r="A5366" s="9" t="s">
        <v>225</v>
      </c>
      <c r="B5366" s="9" t="s">
        <v>224</v>
      </c>
      <c r="C5366" s="10">
        <v>46157</v>
      </c>
      <c r="D5366" s="15">
        <v>2.715</v>
      </c>
      <c r="E5366" s="15">
        <v>2.715</v>
      </c>
      <c r="F5366" s="15">
        <v>2.715</v>
      </c>
      <c r="G5366" s="11">
        <v>-0.0106</v>
      </c>
      <c r="H5366" s="9">
        <f>MAX($F$5284:F5366)</f>
        <v>2.744</v>
      </c>
      <c r="I5366" s="11">
        <f t="shared" si="133"/>
        <v>0.0105685131195337</v>
      </c>
      <c r="J5366" s="9">
        <f>MAX($F$5330:F5366)</f>
        <v>2.744</v>
      </c>
      <c r="K5366" s="11">
        <f t="shared" si="134"/>
        <v>0.0105685131195337</v>
      </c>
      <c r="L5366" s="9"/>
      <c r="M5366" s="11"/>
      <c r="N5366" s="9" t="s">
        <v>1013</v>
      </c>
    </row>
    <row r="5367" ht="25" customHeight="1" spans="1:14">
      <c r="A5367" s="9" t="s">
        <v>225</v>
      </c>
      <c r="B5367" s="9" t="s">
        <v>224</v>
      </c>
      <c r="C5367" s="10">
        <v>46164</v>
      </c>
      <c r="D5367" s="15">
        <v>2.731</v>
      </c>
      <c r="E5367" s="15">
        <v>2.731</v>
      </c>
      <c r="F5367" s="15">
        <v>2.731</v>
      </c>
      <c r="G5367" s="11">
        <v>0.0059</v>
      </c>
      <c r="H5367" s="9">
        <f>MAX($F$5284:F5367)</f>
        <v>2.744</v>
      </c>
      <c r="I5367" s="11">
        <f t="shared" si="133"/>
        <v>0.00473760932944622</v>
      </c>
      <c r="J5367" s="9">
        <f>MAX($F$5330:F5367)</f>
        <v>2.744</v>
      </c>
      <c r="K5367" s="11">
        <f t="shared" si="134"/>
        <v>0.00473760932944622</v>
      </c>
      <c r="L5367" s="9"/>
      <c r="M5367" s="11"/>
      <c r="N5367" s="9" t="s">
        <v>1013</v>
      </c>
    </row>
    <row r="5368" ht="25" customHeight="1" spans="1:14">
      <c r="A5368" s="9" t="s">
        <v>225</v>
      </c>
      <c r="B5368" s="9" t="s">
        <v>224</v>
      </c>
      <c r="C5368" s="10">
        <v>46171</v>
      </c>
      <c r="D5368" s="15">
        <v>2.75</v>
      </c>
      <c r="E5368" s="15">
        <v>2.75</v>
      </c>
      <c r="F5368" s="15">
        <v>2.75</v>
      </c>
      <c r="G5368" s="11">
        <v>0.007</v>
      </c>
      <c r="H5368" s="9">
        <f>MAX($F$5284:F5368)</f>
        <v>2.75</v>
      </c>
      <c r="I5368" s="11">
        <f t="shared" si="133"/>
        <v>0</v>
      </c>
      <c r="J5368" s="9">
        <f>MAX($F$5330:F5368)</f>
        <v>2.75</v>
      </c>
      <c r="K5368" s="11">
        <f t="shared" si="134"/>
        <v>0</v>
      </c>
      <c r="L5368" s="9"/>
      <c r="M5368" s="11"/>
      <c r="N5368" s="9" t="s">
        <v>1013</v>
      </c>
    </row>
    <row r="5369" ht="25" customHeight="1" spans="1:14">
      <c r="A5369" s="9" t="s">
        <v>225</v>
      </c>
      <c r="B5369" s="9" t="s">
        <v>224</v>
      </c>
      <c r="C5369" s="10">
        <v>46178</v>
      </c>
      <c r="D5369" s="15">
        <v>2.754</v>
      </c>
      <c r="E5369" s="15">
        <v>2.754</v>
      </c>
      <c r="F5369" s="15">
        <v>2.754</v>
      </c>
      <c r="G5369" s="11">
        <v>0.0015</v>
      </c>
      <c r="H5369" s="9">
        <f>MAX($F$5284:F5369)</f>
        <v>2.754</v>
      </c>
      <c r="I5369" s="11">
        <f t="shared" si="133"/>
        <v>0</v>
      </c>
      <c r="J5369" s="9">
        <f>MAX($F$5330:F5369)</f>
        <v>2.754</v>
      </c>
      <c r="K5369" s="11">
        <f t="shared" si="134"/>
        <v>0</v>
      </c>
      <c r="L5369" s="9"/>
      <c r="M5369" s="11"/>
      <c r="N5369" s="9" t="s">
        <v>1013</v>
      </c>
    </row>
    <row r="5370" ht="25" customHeight="1" spans="1:14">
      <c r="A5370" s="9" t="s">
        <v>225</v>
      </c>
      <c r="B5370" s="9" t="s">
        <v>224</v>
      </c>
      <c r="C5370" s="10">
        <v>46185</v>
      </c>
      <c r="D5370" s="15">
        <v>2.731</v>
      </c>
      <c r="E5370" s="15">
        <v>2.731</v>
      </c>
      <c r="F5370" s="15">
        <v>2.731</v>
      </c>
      <c r="G5370" s="11">
        <v>-0.0084</v>
      </c>
      <c r="H5370" s="9">
        <f>MAX($F$5284:F5370)</f>
        <v>2.754</v>
      </c>
      <c r="I5370" s="11">
        <f t="shared" si="133"/>
        <v>0.00835148874364566</v>
      </c>
      <c r="J5370" s="9">
        <f>MAX($F$5330:F5370)</f>
        <v>2.754</v>
      </c>
      <c r="K5370" s="11">
        <f t="shared" si="134"/>
        <v>0.00835148874364566</v>
      </c>
      <c r="L5370" s="9"/>
      <c r="M5370" s="11"/>
      <c r="N5370" s="9" t="s">
        <v>1013</v>
      </c>
    </row>
    <row r="5371" ht="25" customHeight="1" spans="1:14">
      <c r="A5371" s="9" t="s">
        <v>225</v>
      </c>
      <c r="B5371" s="9" t="s">
        <v>224</v>
      </c>
      <c r="C5371" s="10">
        <v>46191</v>
      </c>
      <c r="D5371" s="15">
        <v>2.769</v>
      </c>
      <c r="E5371" s="15">
        <v>2.769</v>
      </c>
      <c r="F5371" s="15">
        <v>2.769</v>
      </c>
      <c r="G5371" s="11">
        <v>0.0139</v>
      </c>
      <c r="H5371" s="9">
        <f>MAX($F$5284:F5371)</f>
        <v>2.769</v>
      </c>
      <c r="I5371" s="11">
        <f t="shared" si="133"/>
        <v>0</v>
      </c>
      <c r="J5371" s="9">
        <f>MAX($F$5330:F5371)</f>
        <v>2.769</v>
      </c>
      <c r="K5371" s="11">
        <f t="shared" si="134"/>
        <v>0</v>
      </c>
      <c r="L5371" s="9"/>
      <c r="M5371" s="11"/>
      <c r="N5371" s="9" t="s">
        <v>1013</v>
      </c>
    </row>
    <row r="5372" ht="25" customHeight="1" spans="1:14">
      <c r="A5372" s="9" t="s">
        <v>225</v>
      </c>
      <c r="B5372" s="9" t="s">
        <v>224</v>
      </c>
      <c r="C5372" s="10">
        <v>46199</v>
      </c>
      <c r="D5372" s="15">
        <v>2.72</v>
      </c>
      <c r="E5372" s="15">
        <v>2.72</v>
      </c>
      <c r="F5372" s="15">
        <v>2.72</v>
      </c>
      <c r="G5372" s="11">
        <v>-0.0177</v>
      </c>
      <c r="H5372" s="9">
        <f>MAX($F$5284:F5372)</f>
        <v>2.769</v>
      </c>
      <c r="I5372" s="11">
        <f t="shared" si="133"/>
        <v>0.0176959191043697</v>
      </c>
      <c r="J5372" s="9">
        <f>MAX($F$5330:F5372)</f>
        <v>2.769</v>
      </c>
      <c r="K5372" s="11">
        <f t="shared" si="134"/>
        <v>0.0176959191043697</v>
      </c>
      <c r="L5372" s="9"/>
      <c r="M5372" s="11"/>
      <c r="N5372" s="9" t="s">
        <v>1013</v>
      </c>
    </row>
    <row r="5373" ht="25" customHeight="1" spans="1:14">
      <c r="A5373" s="9" t="s">
        <v>225</v>
      </c>
      <c r="B5373" s="9" t="s">
        <v>224</v>
      </c>
      <c r="C5373" s="10">
        <v>46206</v>
      </c>
      <c r="D5373" s="15">
        <v>2.739</v>
      </c>
      <c r="E5373" s="15">
        <v>2.739</v>
      </c>
      <c r="F5373" s="15">
        <v>2.739</v>
      </c>
      <c r="G5373" s="11">
        <v>0.007</v>
      </c>
      <c r="H5373" s="9">
        <f>MAX($F$5284:F5373)</f>
        <v>2.769</v>
      </c>
      <c r="I5373" s="11">
        <f t="shared" si="133"/>
        <v>0.0108342361863489</v>
      </c>
      <c r="J5373" s="9">
        <f>MAX($F$5330:F5373)</f>
        <v>2.769</v>
      </c>
      <c r="K5373" s="11">
        <f t="shared" si="134"/>
        <v>0.0108342361863489</v>
      </c>
      <c r="L5373" s="9"/>
      <c r="M5373" s="11"/>
      <c r="N5373" s="9" t="s">
        <v>1013</v>
      </c>
    </row>
    <row r="5374" ht="25" customHeight="1" spans="1:14">
      <c r="A5374" s="9" t="s">
        <v>225</v>
      </c>
      <c r="B5374" s="9" t="s">
        <v>224</v>
      </c>
      <c r="C5374" s="10">
        <v>46213</v>
      </c>
      <c r="D5374" s="15">
        <v>2.754</v>
      </c>
      <c r="E5374" s="15">
        <v>2.754</v>
      </c>
      <c r="F5374" s="15">
        <v>2.754</v>
      </c>
      <c r="G5374" s="11">
        <v>0.0055</v>
      </c>
      <c r="H5374" s="9">
        <f>MAX($F$5284:F5374)</f>
        <v>2.769</v>
      </c>
      <c r="I5374" s="11">
        <f t="shared" si="133"/>
        <v>0.00541711809317447</v>
      </c>
      <c r="J5374" s="9">
        <f>MAX($F$5330:F5374)</f>
        <v>2.769</v>
      </c>
      <c r="K5374" s="11">
        <f t="shared" si="134"/>
        <v>0.00541711809317447</v>
      </c>
      <c r="L5374" s="9"/>
      <c r="M5374" s="11"/>
      <c r="N5374" s="9" t="s">
        <v>1013</v>
      </c>
    </row>
    <row r="5375" ht="25" customHeight="1" spans="1:14">
      <c r="A5375" s="9" t="s">
        <v>225</v>
      </c>
      <c r="B5375" s="9" t="s">
        <v>224</v>
      </c>
      <c r="C5375" s="10">
        <v>46220</v>
      </c>
      <c r="D5375" s="15">
        <v>2.698</v>
      </c>
      <c r="E5375" s="15">
        <v>2.698</v>
      </c>
      <c r="F5375" s="15">
        <v>2.698</v>
      </c>
      <c r="G5375" s="11">
        <v>-0.0203</v>
      </c>
      <c r="H5375" s="9">
        <f>MAX($F$5284:F5375)</f>
        <v>2.769</v>
      </c>
      <c r="I5375" s="11">
        <f t="shared" si="133"/>
        <v>0.0256410256410257</v>
      </c>
      <c r="J5375" s="9">
        <f>MAX($F$5330:F5375)</f>
        <v>2.769</v>
      </c>
      <c r="K5375" s="11">
        <f t="shared" si="134"/>
        <v>0.0256410256410257</v>
      </c>
      <c r="L5375" s="9"/>
      <c r="M5375" s="11"/>
      <c r="N5375" s="9" t="s">
        <v>1013</v>
      </c>
    </row>
    <row r="5376" ht="25" customHeight="1" spans="1:14">
      <c r="A5376" s="9" t="s">
        <v>225</v>
      </c>
      <c r="B5376" s="9" t="s">
        <v>224</v>
      </c>
      <c r="C5376" s="10">
        <v>46224</v>
      </c>
      <c r="D5376" s="15">
        <v>2.706</v>
      </c>
      <c r="E5376" s="15">
        <v>2.706</v>
      </c>
      <c r="F5376" s="15">
        <v>2.706</v>
      </c>
      <c r="G5376" s="11">
        <v>0.003</v>
      </c>
      <c r="H5376" s="9">
        <f>MAX($F$5284:F5376)</f>
        <v>2.769</v>
      </c>
      <c r="I5376" s="11">
        <f t="shared" si="133"/>
        <v>0.0227518959913326</v>
      </c>
      <c r="J5376" s="9">
        <f>MAX($F$5330:F5376)</f>
        <v>2.769</v>
      </c>
      <c r="K5376" s="11">
        <f t="shared" si="134"/>
        <v>0.0227518959913326</v>
      </c>
      <c r="L5376" s="9"/>
      <c r="M5376" s="11"/>
      <c r="N5376" s="9" t="s">
        <v>1013</v>
      </c>
    </row>
    <row r="5377" ht="25" customHeight="1" spans="1:14">
      <c r="A5377" s="9" t="s">
        <v>225</v>
      </c>
      <c r="B5377" s="9" t="s">
        <v>224</v>
      </c>
      <c r="C5377" s="10">
        <v>46227</v>
      </c>
      <c r="D5377" s="15">
        <v>2.699</v>
      </c>
      <c r="E5377" s="15">
        <v>2.699</v>
      </c>
      <c r="F5377" s="15">
        <v>2.699</v>
      </c>
      <c r="G5377" s="11">
        <v>-0.0026</v>
      </c>
      <c r="H5377" s="9">
        <f>MAX($F$5284:F5377)</f>
        <v>2.769</v>
      </c>
      <c r="I5377" s="11">
        <f t="shared" si="133"/>
        <v>0.0252798844348141</v>
      </c>
      <c r="J5377" s="9">
        <f>MAX($F$5330:F5377)</f>
        <v>2.769</v>
      </c>
      <c r="K5377" s="11">
        <f t="shared" si="134"/>
        <v>0.0252798844348141</v>
      </c>
      <c r="L5377" s="9"/>
      <c r="M5377" s="11"/>
      <c r="N5377" s="9" t="s">
        <v>1013</v>
      </c>
    </row>
    <row r="5378" ht="25" customHeight="1" spans="1:14">
      <c r="A5378" s="9" t="s">
        <v>225</v>
      </c>
      <c r="B5378" s="9" t="s">
        <v>224</v>
      </c>
      <c r="C5378" s="10">
        <v>46231</v>
      </c>
      <c r="D5378" s="15">
        <v>2.726</v>
      </c>
      <c r="E5378" s="15">
        <v>2.726</v>
      </c>
      <c r="F5378" s="15">
        <v>2.726</v>
      </c>
      <c r="G5378" s="11">
        <v>0.01</v>
      </c>
      <c r="H5378" s="9">
        <f>MAX($F$5284:F5378)</f>
        <v>2.769</v>
      </c>
      <c r="I5378" s="11">
        <f t="shared" ref="I5378:I5441" si="135">1-F5378/H5378</f>
        <v>0.0155290718671001</v>
      </c>
      <c r="J5378" s="9">
        <f>MAX($F$5330:F5378)</f>
        <v>2.769</v>
      </c>
      <c r="K5378" s="11">
        <f t="shared" si="134"/>
        <v>0.0155290718671001</v>
      </c>
      <c r="L5378" s="9"/>
      <c r="M5378" s="11"/>
      <c r="N5378" s="9" t="s">
        <v>1013</v>
      </c>
    </row>
    <row r="5379" ht="25" customHeight="1" spans="1:14">
      <c r="A5379" s="9" t="s">
        <v>225</v>
      </c>
      <c r="B5379" s="9" t="s">
        <v>224</v>
      </c>
      <c r="C5379" s="10">
        <v>46234</v>
      </c>
      <c r="D5379" s="15">
        <v>2.745</v>
      </c>
      <c r="E5379" s="15">
        <v>2.745</v>
      </c>
      <c r="F5379" s="15">
        <v>2.745</v>
      </c>
      <c r="G5379" s="11">
        <v>0.007</v>
      </c>
      <c r="H5379" s="9">
        <f>MAX($F$5284:F5379)</f>
        <v>2.769</v>
      </c>
      <c r="I5379" s="11">
        <f t="shared" si="135"/>
        <v>0.00866738894907915</v>
      </c>
      <c r="J5379" s="9">
        <f>MAX($F$5330:F5379)</f>
        <v>2.769</v>
      </c>
      <c r="K5379" s="11">
        <f t="shared" si="134"/>
        <v>0.00866738894907915</v>
      </c>
      <c r="L5379" s="9"/>
      <c r="M5379" s="11"/>
      <c r="N5379" s="9" t="s">
        <v>1013</v>
      </c>
    </row>
    <row r="5380" ht="25" customHeight="1" spans="1:14">
      <c r="A5380" s="9" t="s">
        <v>225</v>
      </c>
      <c r="B5380" s="9" t="s">
        <v>224</v>
      </c>
      <c r="C5380" s="10">
        <v>46238</v>
      </c>
      <c r="D5380" s="15">
        <v>2.738</v>
      </c>
      <c r="E5380" s="15">
        <v>2.738</v>
      </c>
      <c r="F5380" s="15">
        <v>2.738</v>
      </c>
      <c r="G5380" s="11">
        <v>-0.0026</v>
      </c>
      <c r="H5380" s="9">
        <f>MAX($F$5284:F5380)</f>
        <v>2.769</v>
      </c>
      <c r="I5380" s="11">
        <f t="shared" si="135"/>
        <v>0.0111953773925605</v>
      </c>
      <c r="J5380" s="9">
        <f>MAX($F$5330:F5380)</f>
        <v>2.769</v>
      </c>
      <c r="K5380" s="11">
        <f t="shared" si="134"/>
        <v>0.0111953773925605</v>
      </c>
      <c r="L5380" s="9"/>
      <c r="M5380" s="11"/>
      <c r="N5380" s="9" t="s">
        <v>1013</v>
      </c>
    </row>
    <row r="5381" ht="25" customHeight="1" spans="1:14">
      <c r="A5381" s="9" t="s">
        <v>225</v>
      </c>
      <c r="B5381" s="9" t="s">
        <v>224</v>
      </c>
      <c r="C5381" s="10">
        <v>46241</v>
      </c>
      <c r="D5381" s="15">
        <v>2.768</v>
      </c>
      <c r="E5381" s="15">
        <v>2.768</v>
      </c>
      <c r="F5381" s="15">
        <v>2.768</v>
      </c>
      <c r="G5381" s="11">
        <v>0.011</v>
      </c>
      <c r="H5381" s="9">
        <f>MAX($F$5284:F5381)</f>
        <v>2.769</v>
      </c>
      <c r="I5381" s="11">
        <f t="shared" si="135"/>
        <v>0.000361141206211779</v>
      </c>
      <c r="J5381" s="9">
        <f>MAX($F$5330:F5381)</f>
        <v>2.769</v>
      </c>
      <c r="K5381" s="11">
        <f t="shared" si="134"/>
        <v>0.000361141206211779</v>
      </c>
      <c r="L5381" s="9"/>
      <c r="M5381" s="11"/>
      <c r="N5381" s="9" t="s">
        <v>1013</v>
      </c>
    </row>
    <row r="5382" ht="25" customHeight="1" spans="1:14">
      <c r="A5382" s="9" t="s">
        <v>225</v>
      </c>
      <c r="B5382" s="9" t="s">
        <v>224</v>
      </c>
      <c r="C5382" s="10">
        <v>46245</v>
      </c>
      <c r="D5382" s="15">
        <v>2.765</v>
      </c>
      <c r="E5382" s="15">
        <v>2.765</v>
      </c>
      <c r="F5382" s="15">
        <v>2.765</v>
      </c>
      <c r="G5382" s="11">
        <v>-0.0011</v>
      </c>
      <c r="H5382" s="9">
        <f>MAX($F$5284:F5382)</f>
        <v>2.769</v>
      </c>
      <c r="I5382" s="11">
        <f t="shared" si="135"/>
        <v>0.00144456482484656</v>
      </c>
      <c r="J5382" s="9">
        <f>MAX($F$5330:F5382)</f>
        <v>2.769</v>
      </c>
      <c r="K5382" s="11">
        <f t="shared" si="134"/>
        <v>0.00144456482484656</v>
      </c>
      <c r="L5382" s="9"/>
      <c r="M5382" s="11"/>
      <c r="N5382" s="9" t="s">
        <v>1013</v>
      </c>
    </row>
    <row r="5383" ht="25" customHeight="1" spans="1:14">
      <c r="A5383" s="9" t="s">
        <v>225</v>
      </c>
      <c r="B5383" s="9" t="s">
        <v>224</v>
      </c>
      <c r="C5383" s="10">
        <v>46248</v>
      </c>
      <c r="D5383" s="15">
        <v>2.761</v>
      </c>
      <c r="E5383" s="15">
        <v>2.761</v>
      </c>
      <c r="F5383" s="15">
        <v>2.761</v>
      </c>
      <c r="G5383" s="11">
        <v>-0.0014</v>
      </c>
      <c r="H5383" s="9">
        <f>MAX($F$5284:F5383)</f>
        <v>2.769</v>
      </c>
      <c r="I5383" s="11">
        <f t="shared" si="135"/>
        <v>0.00288912964969301</v>
      </c>
      <c r="J5383" s="9">
        <f>MAX($F$5330:F5383)</f>
        <v>2.769</v>
      </c>
      <c r="K5383" s="11">
        <f t="shared" si="134"/>
        <v>0.00288912964969301</v>
      </c>
      <c r="L5383" s="9"/>
      <c r="M5383" s="11"/>
      <c r="N5383" s="9" t="s">
        <v>1013</v>
      </c>
    </row>
    <row r="5384" ht="25" customHeight="1" spans="1:14">
      <c r="A5384" s="9" t="s">
        <v>225</v>
      </c>
      <c r="B5384" s="9" t="s">
        <v>224</v>
      </c>
      <c r="C5384" s="10">
        <v>46255</v>
      </c>
      <c r="D5384" s="15">
        <v>2.792</v>
      </c>
      <c r="E5384" s="15">
        <v>2.792</v>
      </c>
      <c r="F5384" s="15">
        <v>2.792</v>
      </c>
      <c r="G5384" s="11">
        <v>0.0112</v>
      </c>
      <c r="H5384" s="9">
        <f>MAX($F$5284:F5384)</f>
        <v>2.792</v>
      </c>
      <c r="I5384" s="11">
        <f t="shared" si="135"/>
        <v>0</v>
      </c>
      <c r="J5384" s="9">
        <f>MAX($F$5330:F5384)</f>
        <v>2.792</v>
      </c>
      <c r="K5384" s="11">
        <f t="shared" si="134"/>
        <v>0</v>
      </c>
      <c r="L5384" s="9"/>
      <c r="M5384" s="11"/>
      <c r="N5384" s="9" t="s">
        <v>1013</v>
      </c>
    </row>
    <row r="5385" ht="25" customHeight="1" spans="1:14">
      <c r="A5385" s="9" t="s">
        <v>225</v>
      </c>
      <c r="B5385" s="9" t="s">
        <v>224</v>
      </c>
      <c r="C5385" s="10">
        <v>46262</v>
      </c>
      <c r="D5385" s="15">
        <v>2.797</v>
      </c>
      <c r="E5385" s="15">
        <v>2.797</v>
      </c>
      <c r="F5385" s="15">
        <v>2.797</v>
      </c>
      <c r="G5385" s="11">
        <v>0.0018</v>
      </c>
      <c r="H5385" s="9">
        <f>MAX($F$5284:F5385)</f>
        <v>2.797</v>
      </c>
      <c r="I5385" s="11">
        <f t="shared" si="135"/>
        <v>0</v>
      </c>
      <c r="J5385" s="9">
        <f>MAX($F$5330:F5385)</f>
        <v>2.797</v>
      </c>
      <c r="K5385" s="11">
        <f t="shared" si="134"/>
        <v>0</v>
      </c>
      <c r="L5385" s="9"/>
      <c r="M5385" s="11"/>
      <c r="N5385" s="9" t="s">
        <v>1013</v>
      </c>
    </row>
    <row r="5386" ht="25" customHeight="1" spans="1:14">
      <c r="A5386" s="9" t="s">
        <v>225</v>
      </c>
      <c r="B5386" s="9" t="s">
        <v>224</v>
      </c>
      <c r="C5386" s="10">
        <v>46269</v>
      </c>
      <c r="D5386" s="15">
        <v>2.781</v>
      </c>
      <c r="E5386" s="15">
        <v>2.781</v>
      </c>
      <c r="F5386" s="15">
        <v>2.781</v>
      </c>
      <c r="G5386" s="11">
        <v>-0.0057</v>
      </c>
      <c r="H5386" s="9">
        <f>MAX($F$5284:F5386)</f>
        <v>2.797</v>
      </c>
      <c r="I5386" s="11">
        <f t="shared" si="135"/>
        <v>0.0057204147300679</v>
      </c>
      <c r="J5386" s="9">
        <f>MAX($F$5330:F5386)</f>
        <v>2.797</v>
      </c>
      <c r="K5386" s="11">
        <f t="shared" si="134"/>
        <v>0.0057204147300679</v>
      </c>
      <c r="L5386" s="9"/>
      <c r="M5386" s="11"/>
      <c r="N5386" s="9" t="s">
        <v>1013</v>
      </c>
    </row>
    <row r="5387" ht="25" customHeight="1" spans="1:14">
      <c r="A5387" s="9" t="s">
        <v>481</v>
      </c>
      <c r="B5387" s="9" t="s">
        <v>480</v>
      </c>
      <c r="C5387" s="10">
        <v>45929</v>
      </c>
      <c r="D5387" s="15">
        <v>1</v>
      </c>
      <c r="E5387" s="15">
        <v>1</v>
      </c>
      <c r="F5387" s="15">
        <v>1</v>
      </c>
      <c r="G5387" s="11"/>
      <c r="H5387" s="9">
        <f>MAX($F$5387:F5387)</f>
        <v>1</v>
      </c>
      <c r="I5387" s="11">
        <f t="shared" si="135"/>
        <v>0</v>
      </c>
      <c r="J5387" s="9"/>
      <c r="K5387" s="11"/>
      <c r="L5387" s="9"/>
      <c r="M5387" s="11"/>
      <c r="N5387" s="9" t="s">
        <v>1014</v>
      </c>
    </row>
    <row r="5388" ht="25" customHeight="1" spans="1:14">
      <c r="A5388" s="9" t="s">
        <v>481</v>
      </c>
      <c r="B5388" s="9" t="s">
        <v>480</v>
      </c>
      <c r="C5388" s="10">
        <v>45930</v>
      </c>
      <c r="D5388" s="15">
        <v>1</v>
      </c>
      <c r="E5388" s="15">
        <v>1</v>
      </c>
      <c r="F5388" s="15">
        <v>1</v>
      </c>
      <c r="G5388" s="11">
        <v>0</v>
      </c>
      <c r="H5388" s="9">
        <f>MAX($F$5387:F5388)</f>
        <v>1</v>
      </c>
      <c r="I5388" s="11">
        <f t="shared" si="135"/>
        <v>0</v>
      </c>
      <c r="J5388" s="9"/>
      <c r="K5388" s="11"/>
      <c r="L5388" s="9"/>
      <c r="M5388" s="11"/>
      <c r="N5388" s="9" t="s">
        <v>1014</v>
      </c>
    </row>
    <row r="5389" ht="25" customHeight="1" spans="1:14">
      <c r="A5389" s="9" t="s">
        <v>481</v>
      </c>
      <c r="B5389" s="9" t="s">
        <v>480</v>
      </c>
      <c r="C5389" s="10">
        <v>45939</v>
      </c>
      <c r="D5389" s="15">
        <v>1</v>
      </c>
      <c r="E5389" s="15">
        <v>1</v>
      </c>
      <c r="F5389" s="15">
        <v>1</v>
      </c>
      <c r="G5389" s="11">
        <v>0</v>
      </c>
      <c r="H5389" s="9">
        <f>MAX($F$5387:F5389)</f>
        <v>1</v>
      </c>
      <c r="I5389" s="11">
        <f t="shared" si="135"/>
        <v>0</v>
      </c>
      <c r="J5389" s="9"/>
      <c r="K5389" s="11"/>
      <c r="L5389" s="9"/>
      <c r="M5389" s="11"/>
      <c r="N5389" s="9" t="s">
        <v>1014</v>
      </c>
    </row>
    <row r="5390" ht="25" customHeight="1" spans="1:14">
      <c r="A5390" s="9" t="s">
        <v>481</v>
      </c>
      <c r="B5390" s="9" t="s">
        <v>480</v>
      </c>
      <c r="C5390" s="10">
        <v>45940</v>
      </c>
      <c r="D5390" s="15">
        <v>1</v>
      </c>
      <c r="E5390" s="15">
        <v>1</v>
      </c>
      <c r="F5390" s="15">
        <v>1</v>
      </c>
      <c r="G5390" s="11">
        <v>0</v>
      </c>
      <c r="H5390" s="9">
        <f>MAX($F$5387:F5390)</f>
        <v>1</v>
      </c>
      <c r="I5390" s="11">
        <f t="shared" si="135"/>
        <v>0</v>
      </c>
      <c r="J5390" s="9"/>
      <c r="K5390" s="11"/>
      <c r="L5390" s="9"/>
      <c r="M5390" s="11"/>
      <c r="N5390" s="9" t="s">
        <v>1014</v>
      </c>
    </row>
    <row r="5391" ht="25" customHeight="1" spans="1:14">
      <c r="A5391" s="9" t="s">
        <v>481</v>
      </c>
      <c r="B5391" s="9" t="s">
        <v>480</v>
      </c>
      <c r="C5391" s="10">
        <v>45943</v>
      </c>
      <c r="D5391" s="15">
        <v>1</v>
      </c>
      <c r="E5391" s="15">
        <v>1</v>
      </c>
      <c r="F5391" s="15">
        <v>1</v>
      </c>
      <c r="G5391" s="11">
        <v>0</v>
      </c>
      <c r="H5391" s="9">
        <f>MAX($F$5387:F5391)</f>
        <v>1</v>
      </c>
      <c r="I5391" s="11">
        <f t="shared" si="135"/>
        <v>0</v>
      </c>
      <c r="J5391" s="9"/>
      <c r="K5391" s="11"/>
      <c r="L5391" s="9"/>
      <c r="M5391" s="11"/>
      <c r="N5391" s="9" t="s">
        <v>1014</v>
      </c>
    </row>
    <row r="5392" ht="25" customHeight="1" spans="1:14">
      <c r="A5392" s="9" t="s">
        <v>481</v>
      </c>
      <c r="B5392" s="9" t="s">
        <v>480</v>
      </c>
      <c r="C5392" s="10">
        <v>45944</v>
      </c>
      <c r="D5392" s="15">
        <v>1</v>
      </c>
      <c r="E5392" s="15">
        <v>1</v>
      </c>
      <c r="F5392" s="15">
        <v>1</v>
      </c>
      <c r="G5392" s="11">
        <v>0</v>
      </c>
      <c r="H5392" s="9">
        <f>MAX($F$5387:F5392)</f>
        <v>1</v>
      </c>
      <c r="I5392" s="11">
        <f t="shared" si="135"/>
        <v>0</v>
      </c>
      <c r="J5392" s="9"/>
      <c r="K5392" s="11"/>
      <c r="L5392" s="9"/>
      <c r="M5392" s="11"/>
      <c r="N5392" s="9" t="s">
        <v>1014</v>
      </c>
    </row>
    <row r="5393" ht="25" customHeight="1" spans="1:14">
      <c r="A5393" s="9" t="s">
        <v>481</v>
      </c>
      <c r="B5393" s="9" t="s">
        <v>480</v>
      </c>
      <c r="C5393" s="10">
        <v>45945</v>
      </c>
      <c r="D5393" s="15">
        <v>1</v>
      </c>
      <c r="E5393" s="15">
        <v>1</v>
      </c>
      <c r="F5393" s="15">
        <v>1</v>
      </c>
      <c r="G5393" s="11">
        <v>0</v>
      </c>
      <c r="H5393" s="9">
        <f>MAX($F$5387:F5393)</f>
        <v>1</v>
      </c>
      <c r="I5393" s="11">
        <f t="shared" si="135"/>
        <v>0</v>
      </c>
      <c r="J5393" s="9"/>
      <c r="K5393" s="11"/>
      <c r="L5393" s="9"/>
      <c r="M5393" s="11"/>
      <c r="N5393" s="9" t="s">
        <v>1014</v>
      </c>
    </row>
    <row r="5394" ht="25" customHeight="1" spans="1:14">
      <c r="A5394" s="9" t="s">
        <v>481</v>
      </c>
      <c r="B5394" s="9" t="s">
        <v>480</v>
      </c>
      <c r="C5394" s="10">
        <v>45946</v>
      </c>
      <c r="D5394" s="15">
        <v>1</v>
      </c>
      <c r="E5394" s="15">
        <v>1</v>
      </c>
      <c r="F5394" s="15">
        <v>1</v>
      </c>
      <c r="G5394" s="11">
        <v>0</v>
      </c>
      <c r="H5394" s="9">
        <f>MAX($F$5387:F5394)</f>
        <v>1</v>
      </c>
      <c r="I5394" s="11">
        <f t="shared" si="135"/>
        <v>0</v>
      </c>
      <c r="J5394" s="9"/>
      <c r="K5394" s="11"/>
      <c r="L5394" s="9"/>
      <c r="M5394" s="11"/>
      <c r="N5394" s="9" t="s">
        <v>1014</v>
      </c>
    </row>
    <row r="5395" ht="25" customHeight="1" spans="1:14">
      <c r="A5395" s="9" t="s">
        <v>481</v>
      </c>
      <c r="B5395" s="9" t="s">
        <v>480</v>
      </c>
      <c r="C5395" s="10">
        <v>45947</v>
      </c>
      <c r="D5395" s="15">
        <v>1</v>
      </c>
      <c r="E5395" s="15">
        <v>1</v>
      </c>
      <c r="F5395" s="15">
        <v>1</v>
      </c>
      <c r="G5395" s="11">
        <v>0</v>
      </c>
      <c r="H5395" s="9">
        <f>MAX($F$5387:F5395)</f>
        <v>1</v>
      </c>
      <c r="I5395" s="11">
        <f t="shared" si="135"/>
        <v>0</v>
      </c>
      <c r="J5395" s="9"/>
      <c r="K5395" s="11"/>
      <c r="L5395" s="9"/>
      <c r="M5395" s="11"/>
      <c r="N5395" s="9" t="s">
        <v>1014</v>
      </c>
    </row>
    <row r="5396" ht="25" customHeight="1" spans="1:14">
      <c r="A5396" s="9" t="s">
        <v>481</v>
      </c>
      <c r="B5396" s="9" t="s">
        <v>480</v>
      </c>
      <c r="C5396" s="10">
        <v>45950</v>
      </c>
      <c r="D5396" s="15">
        <v>1</v>
      </c>
      <c r="E5396" s="15">
        <v>1</v>
      </c>
      <c r="F5396" s="15">
        <v>1</v>
      </c>
      <c r="G5396" s="11">
        <v>0</v>
      </c>
      <c r="H5396" s="9">
        <f>MAX($F$5387:F5396)</f>
        <v>1</v>
      </c>
      <c r="I5396" s="11">
        <f t="shared" si="135"/>
        <v>0</v>
      </c>
      <c r="J5396" s="9"/>
      <c r="K5396" s="11"/>
      <c r="L5396" s="9"/>
      <c r="M5396" s="11"/>
      <c r="N5396" s="9" t="s">
        <v>1014</v>
      </c>
    </row>
    <row r="5397" ht="25" customHeight="1" spans="1:14">
      <c r="A5397" s="9" t="s">
        <v>481</v>
      </c>
      <c r="B5397" s="9" t="s">
        <v>480</v>
      </c>
      <c r="C5397" s="10">
        <v>45951</v>
      </c>
      <c r="D5397" s="15">
        <v>1</v>
      </c>
      <c r="E5397" s="15">
        <v>1</v>
      </c>
      <c r="F5397" s="15">
        <v>1</v>
      </c>
      <c r="G5397" s="11">
        <v>0</v>
      </c>
      <c r="H5397" s="9">
        <f>MAX($F$5387:F5397)</f>
        <v>1</v>
      </c>
      <c r="I5397" s="11">
        <f t="shared" si="135"/>
        <v>0</v>
      </c>
      <c r="J5397" s="9"/>
      <c r="K5397" s="11"/>
      <c r="L5397" s="9"/>
      <c r="M5397" s="11"/>
      <c r="N5397" s="9" t="s">
        <v>1014</v>
      </c>
    </row>
    <row r="5398" ht="25" customHeight="1" spans="1:14">
      <c r="A5398" s="9" t="s">
        <v>481</v>
      </c>
      <c r="B5398" s="9" t="s">
        <v>480</v>
      </c>
      <c r="C5398" s="10">
        <v>45952</v>
      </c>
      <c r="D5398" s="15">
        <v>1</v>
      </c>
      <c r="E5398" s="15">
        <v>1</v>
      </c>
      <c r="F5398" s="15">
        <v>1</v>
      </c>
      <c r="G5398" s="11">
        <v>0</v>
      </c>
      <c r="H5398" s="9">
        <f>MAX($F$5387:F5398)</f>
        <v>1</v>
      </c>
      <c r="I5398" s="11">
        <f t="shared" si="135"/>
        <v>0</v>
      </c>
      <c r="J5398" s="9"/>
      <c r="K5398" s="11"/>
      <c r="L5398" s="9"/>
      <c r="M5398" s="11"/>
      <c r="N5398" s="9" t="s">
        <v>1014</v>
      </c>
    </row>
    <row r="5399" ht="25" customHeight="1" spans="1:14">
      <c r="A5399" s="9" t="s">
        <v>481</v>
      </c>
      <c r="B5399" s="9" t="s">
        <v>480</v>
      </c>
      <c r="C5399" s="10">
        <v>45953</v>
      </c>
      <c r="D5399" s="15">
        <v>1</v>
      </c>
      <c r="E5399" s="15">
        <v>1</v>
      </c>
      <c r="F5399" s="15">
        <v>1</v>
      </c>
      <c r="G5399" s="11">
        <v>0</v>
      </c>
      <c r="H5399" s="9">
        <f>MAX($F$5387:F5399)</f>
        <v>1</v>
      </c>
      <c r="I5399" s="11">
        <f t="shared" si="135"/>
        <v>0</v>
      </c>
      <c r="J5399" s="9"/>
      <c r="K5399" s="11"/>
      <c r="L5399" s="9"/>
      <c r="M5399" s="11"/>
      <c r="N5399" s="9" t="s">
        <v>1014</v>
      </c>
    </row>
    <row r="5400" ht="25" customHeight="1" spans="1:14">
      <c r="A5400" s="9" t="s">
        <v>481</v>
      </c>
      <c r="B5400" s="9" t="s">
        <v>480</v>
      </c>
      <c r="C5400" s="10">
        <v>45954</v>
      </c>
      <c r="D5400" s="15">
        <v>1</v>
      </c>
      <c r="E5400" s="15">
        <v>1</v>
      </c>
      <c r="F5400" s="15">
        <v>1</v>
      </c>
      <c r="G5400" s="11">
        <v>0</v>
      </c>
      <c r="H5400" s="9">
        <f>MAX($F$5387:F5400)</f>
        <v>1</v>
      </c>
      <c r="I5400" s="11">
        <f t="shared" si="135"/>
        <v>0</v>
      </c>
      <c r="J5400" s="9"/>
      <c r="K5400" s="11"/>
      <c r="L5400" s="9"/>
      <c r="M5400" s="11"/>
      <c r="N5400" s="9" t="s">
        <v>1014</v>
      </c>
    </row>
    <row r="5401" ht="25" customHeight="1" spans="1:14">
      <c r="A5401" s="9" t="s">
        <v>481</v>
      </c>
      <c r="B5401" s="9" t="s">
        <v>480</v>
      </c>
      <c r="C5401" s="10">
        <v>45957</v>
      </c>
      <c r="D5401" s="15">
        <v>1</v>
      </c>
      <c r="E5401" s="15">
        <v>1</v>
      </c>
      <c r="F5401" s="15">
        <v>1</v>
      </c>
      <c r="G5401" s="11">
        <v>0</v>
      </c>
      <c r="H5401" s="9">
        <f>MAX($F$5387:F5401)</f>
        <v>1</v>
      </c>
      <c r="I5401" s="11">
        <f t="shared" si="135"/>
        <v>0</v>
      </c>
      <c r="J5401" s="9"/>
      <c r="K5401" s="11"/>
      <c r="L5401" s="9"/>
      <c r="M5401" s="11"/>
      <c r="N5401" s="9" t="s">
        <v>1014</v>
      </c>
    </row>
    <row r="5402" ht="25" customHeight="1" spans="1:14">
      <c r="A5402" s="9" t="s">
        <v>481</v>
      </c>
      <c r="B5402" s="9" t="s">
        <v>480</v>
      </c>
      <c r="C5402" s="10">
        <v>45958</v>
      </c>
      <c r="D5402" s="15">
        <v>1</v>
      </c>
      <c r="E5402" s="15">
        <v>1</v>
      </c>
      <c r="F5402" s="15">
        <v>1</v>
      </c>
      <c r="G5402" s="11">
        <v>0</v>
      </c>
      <c r="H5402" s="9">
        <f>MAX($F$5387:F5402)</f>
        <v>1</v>
      </c>
      <c r="I5402" s="11">
        <f t="shared" si="135"/>
        <v>0</v>
      </c>
      <c r="J5402" s="9"/>
      <c r="K5402" s="11"/>
      <c r="L5402" s="9"/>
      <c r="M5402" s="11"/>
      <c r="N5402" s="9" t="s">
        <v>1014</v>
      </c>
    </row>
    <row r="5403" ht="25" customHeight="1" spans="1:14">
      <c r="A5403" s="9" t="s">
        <v>481</v>
      </c>
      <c r="B5403" s="9" t="s">
        <v>480</v>
      </c>
      <c r="C5403" s="10">
        <v>45959</v>
      </c>
      <c r="D5403" s="15">
        <v>1</v>
      </c>
      <c r="E5403" s="15">
        <v>1</v>
      </c>
      <c r="F5403" s="15">
        <v>1</v>
      </c>
      <c r="G5403" s="11">
        <v>0</v>
      </c>
      <c r="H5403" s="9">
        <f>MAX($F$5387:F5403)</f>
        <v>1</v>
      </c>
      <c r="I5403" s="11">
        <f t="shared" si="135"/>
        <v>0</v>
      </c>
      <c r="J5403" s="9"/>
      <c r="K5403" s="11"/>
      <c r="L5403" s="9"/>
      <c r="M5403" s="11"/>
      <c r="N5403" s="9" t="s">
        <v>1014</v>
      </c>
    </row>
    <row r="5404" ht="25" customHeight="1" spans="1:14">
      <c r="A5404" s="9" t="s">
        <v>481</v>
      </c>
      <c r="B5404" s="9" t="s">
        <v>480</v>
      </c>
      <c r="C5404" s="10">
        <v>45960</v>
      </c>
      <c r="D5404" s="15">
        <v>1</v>
      </c>
      <c r="E5404" s="15">
        <v>1</v>
      </c>
      <c r="F5404" s="15">
        <v>1</v>
      </c>
      <c r="G5404" s="11">
        <v>0</v>
      </c>
      <c r="H5404" s="9">
        <f>MAX($F$5387:F5404)</f>
        <v>1</v>
      </c>
      <c r="I5404" s="11">
        <f t="shared" si="135"/>
        <v>0</v>
      </c>
      <c r="J5404" s="9"/>
      <c r="K5404" s="11"/>
      <c r="L5404" s="9"/>
      <c r="M5404" s="11"/>
      <c r="N5404" s="9" t="s">
        <v>1014</v>
      </c>
    </row>
    <row r="5405" ht="25" customHeight="1" spans="1:14">
      <c r="A5405" s="9" t="s">
        <v>481</v>
      </c>
      <c r="B5405" s="9" t="s">
        <v>480</v>
      </c>
      <c r="C5405" s="10">
        <v>45961</v>
      </c>
      <c r="D5405" s="15">
        <v>1</v>
      </c>
      <c r="E5405" s="15">
        <v>1</v>
      </c>
      <c r="F5405" s="15">
        <v>1</v>
      </c>
      <c r="G5405" s="11">
        <v>0</v>
      </c>
      <c r="H5405" s="9">
        <f>MAX($F$5387:F5405)</f>
        <v>1</v>
      </c>
      <c r="I5405" s="11">
        <f t="shared" si="135"/>
        <v>0</v>
      </c>
      <c r="J5405" s="9"/>
      <c r="K5405" s="11"/>
      <c r="L5405" s="9"/>
      <c r="M5405" s="11"/>
      <c r="N5405" s="9" t="s">
        <v>1014</v>
      </c>
    </row>
    <row r="5406" ht="25" customHeight="1" spans="1:14">
      <c r="A5406" s="9" t="s">
        <v>481</v>
      </c>
      <c r="B5406" s="9" t="s">
        <v>480</v>
      </c>
      <c r="C5406" s="10">
        <v>45964</v>
      </c>
      <c r="D5406" s="15">
        <v>1</v>
      </c>
      <c r="E5406" s="15">
        <v>1</v>
      </c>
      <c r="F5406" s="15">
        <v>1</v>
      </c>
      <c r="G5406" s="11">
        <v>0</v>
      </c>
      <c r="H5406" s="9">
        <f>MAX($F$5387:F5406)</f>
        <v>1</v>
      </c>
      <c r="I5406" s="11">
        <f t="shared" si="135"/>
        <v>0</v>
      </c>
      <c r="J5406" s="9"/>
      <c r="K5406" s="11"/>
      <c r="L5406" s="9"/>
      <c r="M5406" s="11"/>
      <c r="N5406" s="9" t="s">
        <v>1014</v>
      </c>
    </row>
    <row r="5407" ht="25" customHeight="1" spans="1:14">
      <c r="A5407" s="9" t="s">
        <v>481</v>
      </c>
      <c r="B5407" s="9" t="s">
        <v>480</v>
      </c>
      <c r="C5407" s="10">
        <v>45965</v>
      </c>
      <c r="D5407" s="15">
        <v>1</v>
      </c>
      <c r="E5407" s="15">
        <v>1</v>
      </c>
      <c r="F5407" s="15">
        <v>1</v>
      </c>
      <c r="G5407" s="11">
        <v>0</v>
      </c>
      <c r="H5407" s="9">
        <f>MAX($F$5387:F5407)</f>
        <v>1</v>
      </c>
      <c r="I5407" s="11">
        <f t="shared" si="135"/>
        <v>0</v>
      </c>
      <c r="J5407" s="9"/>
      <c r="K5407" s="11"/>
      <c r="L5407" s="9"/>
      <c r="M5407" s="11"/>
      <c r="N5407" s="9" t="s">
        <v>1014</v>
      </c>
    </row>
    <row r="5408" ht="25" customHeight="1" spans="1:14">
      <c r="A5408" s="9" t="s">
        <v>481</v>
      </c>
      <c r="B5408" s="9" t="s">
        <v>480</v>
      </c>
      <c r="C5408" s="10">
        <v>45966</v>
      </c>
      <c r="D5408" s="15">
        <v>1</v>
      </c>
      <c r="E5408" s="15">
        <v>1</v>
      </c>
      <c r="F5408" s="15">
        <v>1</v>
      </c>
      <c r="G5408" s="11">
        <v>0</v>
      </c>
      <c r="H5408" s="9">
        <f>MAX($F$5387:F5408)</f>
        <v>1</v>
      </c>
      <c r="I5408" s="11">
        <f t="shared" si="135"/>
        <v>0</v>
      </c>
      <c r="J5408" s="9"/>
      <c r="K5408" s="11"/>
      <c r="L5408" s="9"/>
      <c r="M5408" s="11"/>
      <c r="N5408" s="9" t="s">
        <v>1014</v>
      </c>
    </row>
    <row r="5409" ht="25" customHeight="1" spans="1:14">
      <c r="A5409" s="9" t="s">
        <v>481</v>
      </c>
      <c r="B5409" s="9" t="s">
        <v>480</v>
      </c>
      <c r="C5409" s="10">
        <v>45967</v>
      </c>
      <c r="D5409" s="15">
        <v>1.001</v>
      </c>
      <c r="E5409" s="15">
        <v>1.001</v>
      </c>
      <c r="F5409" s="15">
        <v>1.001</v>
      </c>
      <c r="G5409" s="11">
        <v>0.001</v>
      </c>
      <c r="H5409" s="9">
        <f>MAX($F$5387:F5409)</f>
        <v>1.001</v>
      </c>
      <c r="I5409" s="11">
        <f t="shared" si="135"/>
        <v>0</v>
      </c>
      <c r="J5409" s="9"/>
      <c r="K5409" s="11"/>
      <c r="L5409" s="9"/>
      <c r="M5409" s="11"/>
      <c r="N5409" s="9" t="s">
        <v>1014</v>
      </c>
    </row>
    <row r="5410" ht="25" customHeight="1" spans="1:14">
      <c r="A5410" s="9" t="s">
        <v>481</v>
      </c>
      <c r="B5410" s="9" t="s">
        <v>480</v>
      </c>
      <c r="C5410" s="10">
        <v>45968</v>
      </c>
      <c r="D5410" s="15">
        <v>1.003</v>
      </c>
      <c r="E5410" s="15">
        <v>1.003</v>
      </c>
      <c r="F5410" s="15">
        <v>1.003</v>
      </c>
      <c r="G5410" s="11">
        <v>0.002</v>
      </c>
      <c r="H5410" s="9">
        <f>MAX($F$5387:F5410)</f>
        <v>1.003</v>
      </c>
      <c r="I5410" s="11">
        <f t="shared" si="135"/>
        <v>0</v>
      </c>
      <c r="J5410" s="9"/>
      <c r="K5410" s="11"/>
      <c r="L5410" s="9"/>
      <c r="M5410" s="11"/>
      <c r="N5410" s="9" t="s">
        <v>1014</v>
      </c>
    </row>
    <row r="5411" ht="25" customHeight="1" spans="1:14">
      <c r="A5411" s="9" t="s">
        <v>481</v>
      </c>
      <c r="B5411" s="9" t="s">
        <v>480</v>
      </c>
      <c r="C5411" s="10">
        <v>45971</v>
      </c>
      <c r="D5411" s="15">
        <v>1.002</v>
      </c>
      <c r="E5411" s="15">
        <v>1.002</v>
      </c>
      <c r="F5411" s="15">
        <v>1.002</v>
      </c>
      <c r="G5411" s="11">
        <v>-0.001</v>
      </c>
      <c r="H5411" s="9">
        <f>MAX($F$5387:F5411)</f>
        <v>1.003</v>
      </c>
      <c r="I5411" s="11">
        <f t="shared" si="135"/>
        <v>0.000997008973080638</v>
      </c>
      <c r="J5411" s="9"/>
      <c r="K5411" s="11"/>
      <c r="L5411" s="9"/>
      <c r="M5411" s="11"/>
      <c r="N5411" s="9" t="s">
        <v>1014</v>
      </c>
    </row>
    <row r="5412" ht="25" customHeight="1" spans="1:14">
      <c r="A5412" s="9" t="s">
        <v>481</v>
      </c>
      <c r="B5412" s="9" t="s">
        <v>480</v>
      </c>
      <c r="C5412" s="10">
        <v>45972</v>
      </c>
      <c r="D5412" s="15">
        <v>1.002</v>
      </c>
      <c r="E5412" s="15">
        <v>1.002</v>
      </c>
      <c r="F5412" s="15">
        <v>1.002</v>
      </c>
      <c r="G5412" s="11">
        <v>0</v>
      </c>
      <c r="H5412" s="9">
        <f>MAX($F$5387:F5412)</f>
        <v>1.003</v>
      </c>
      <c r="I5412" s="11">
        <f t="shared" si="135"/>
        <v>0.000997008973080638</v>
      </c>
      <c r="J5412" s="9"/>
      <c r="K5412" s="11"/>
      <c r="L5412" s="9"/>
      <c r="M5412" s="11"/>
      <c r="N5412" s="9" t="s">
        <v>1014</v>
      </c>
    </row>
    <row r="5413" ht="25" customHeight="1" spans="1:14">
      <c r="A5413" s="9" t="s">
        <v>481</v>
      </c>
      <c r="B5413" s="9" t="s">
        <v>480</v>
      </c>
      <c r="C5413" s="10">
        <v>45973</v>
      </c>
      <c r="D5413" s="15">
        <v>1.002</v>
      </c>
      <c r="E5413" s="15">
        <v>1.002</v>
      </c>
      <c r="F5413" s="15">
        <v>1.002</v>
      </c>
      <c r="G5413" s="11">
        <v>0</v>
      </c>
      <c r="H5413" s="9">
        <f>MAX($F$5387:F5413)</f>
        <v>1.003</v>
      </c>
      <c r="I5413" s="11">
        <f t="shared" si="135"/>
        <v>0.000997008973080638</v>
      </c>
      <c r="J5413" s="9"/>
      <c r="K5413" s="11"/>
      <c r="L5413" s="9"/>
      <c r="M5413" s="11"/>
      <c r="N5413" s="9" t="s">
        <v>1014</v>
      </c>
    </row>
    <row r="5414" ht="25" customHeight="1" spans="1:14">
      <c r="A5414" s="9" t="s">
        <v>481</v>
      </c>
      <c r="B5414" s="9" t="s">
        <v>480</v>
      </c>
      <c r="C5414" s="10">
        <v>45974</v>
      </c>
      <c r="D5414" s="15">
        <v>1.003</v>
      </c>
      <c r="E5414" s="15">
        <v>1.003</v>
      </c>
      <c r="F5414" s="15">
        <v>1.003</v>
      </c>
      <c r="G5414" s="11">
        <v>0.001</v>
      </c>
      <c r="H5414" s="9">
        <f>MAX($F$5387:F5414)</f>
        <v>1.003</v>
      </c>
      <c r="I5414" s="11">
        <f t="shared" si="135"/>
        <v>0</v>
      </c>
      <c r="J5414" s="9"/>
      <c r="K5414" s="11"/>
      <c r="L5414" s="9"/>
      <c r="M5414" s="11"/>
      <c r="N5414" s="9" t="s">
        <v>1014</v>
      </c>
    </row>
    <row r="5415" ht="25" customHeight="1" spans="1:14">
      <c r="A5415" s="9" t="s">
        <v>481</v>
      </c>
      <c r="B5415" s="9" t="s">
        <v>480</v>
      </c>
      <c r="C5415" s="10">
        <v>45975</v>
      </c>
      <c r="D5415" s="15">
        <v>1.004</v>
      </c>
      <c r="E5415" s="15">
        <v>1.004</v>
      </c>
      <c r="F5415" s="15">
        <v>1.004</v>
      </c>
      <c r="G5415" s="11">
        <v>0.001</v>
      </c>
      <c r="H5415" s="9">
        <f>MAX($F$5387:F5415)</f>
        <v>1.004</v>
      </c>
      <c r="I5415" s="11">
        <f t="shared" si="135"/>
        <v>0</v>
      </c>
      <c r="J5415" s="9"/>
      <c r="K5415" s="11"/>
      <c r="L5415" s="9"/>
      <c r="M5415" s="11"/>
      <c r="N5415" s="9" t="s">
        <v>1014</v>
      </c>
    </row>
    <row r="5416" ht="25" customHeight="1" spans="1:14">
      <c r="A5416" s="9" t="s">
        <v>481</v>
      </c>
      <c r="B5416" s="9" t="s">
        <v>480</v>
      </c>
      <c r="C5416" s="10">
        <v>45978</v>
      </c>
      <c r="D5416" s="15">
        <v>1.003</v>
      </c>
      <c r="E5416" s="15">
        <v>1.003</v>
      </c>
      <c r="F5416" s="15">
        <v>1.003</v>
      </c>
      <c r="G5416" s="11">
        <v>-0.001</v>
      </c>
      <c r="H5416" s="9">
        <f>MAX($F$5387:F5416)</f>
        <v>1.004</v>
      </c>
      <c r="I5416" s="11">
        <f t="shared" si="135"/>
        <v>0.00099601593625509</v>
      </c>
      <c r="J5416" s="9"/>
      <c r="K5416" s="11"/>
      <c r="L5416" s="9"/>
      <c r="M5416" s="11"/>
      <c r="N5416" s="9" t="s">
        <v>1014</v>
      </c>
    </row>
    <row r="5417" ht="25" customHeight="1" spans="1:14">
      <c r="A5417" s="9" t="s">
        <v>481</v>
      </c>
      <c r="B5417" s="9" t="s">
        <v>480</v>
      </c>
      <c r="C5417" s="10">
        <v>45979</v>
      </c>
      <c r="D5417" s="15">
        <v>1.004</v>
      </c>
      <c r="E5417" s="15">
        <v>1.004</v>
      </c>
      <c r="F5417" s="15">
        <v>1.004</v>
      </c>
      <c r="G5417" s="11">
        <v>0.001</v>
      </c>
      <c r="H5417" s="9">
        <f>MAX($F$5387:F5417)</f>
        <v>1.004</v>
      </c>
      <c r="I5417" s="11">
        <f t="shared" si="135"/>
        <v>0</v>
      </c>
      <c r="J5417" s="9"/>
      <c r="K5417" s="11"/>
      <c r="L5417" s="9"/>
      <c r="M5417" s="11"/>
      <c r="N5417" s="9" t="s">
        <v>1014</v>
      </c>
    </row>
    <row r="5418" ht="25" customHeight="1" spans="1:14">
      <c r="A5418" s="9" t="s">
        <v>481</v>
      </c>
      <c r="B5418" s="9" t="s">
        <v>480</v>
      </c>
      <c r="C5418" s="10">
        <v>45980</v>
      </c>
      <c r="D5418" s="15">
        <v>1.003</v>
      </c>
      <c r="E5418" s="15">
        <v>1.003</v>
      </c>
      <c r="F5418" s="15">
        <v>1.003</v>
      </c>
      <c r="G5418" s="11">
        <v>-0.001</v>
      </c>
      <c r="H5418" s="9">
        <f>MAX($F$5387:F5418)</f>
        <v>1.004</v>
      </c>
      <c r="I5418" s="11">
        <f t="shared" si="135"/>
        <v>0.00099601593625509</v>
      </c>
      <c r="J5418" s="9"/>
      <c r="K5418" s="11"/>
      <c r="L5418" s="9"/>
      <c r="M5418" s="11"/>
      <c r="N5418" s="9" t="s">
        <v>1014</v>
      </c>
    </row>
    <row r="5419" ht="25" customHeight="1" spans="1:14">
      <c r="A5419" s="9" t="s">
        <v>481</v>
      </c>
      <c r="B5419" s="9" t="s">
        <v>480</v>
      </c>
      <c r="C5419" s="10">
        <v>45981</v>
      </c>
      <c r="D5419" s="15">
        <v>0.999</v>
      </c>
      <c r="E5419" s="15">
        <v>0.999</v>
      </c>
      <c r="F5419" s="15">
        <v>0.999</v>
      </c>
      <c r="G5419" s="11">
        <v>-0.004</v>
      </c>
      <c r="H5419" s="9">
        <f>MAX($F$5387:F5419)</f>
        <v>1.004</v>
      </c>
      <c r="I5419" s="11">
        <f t="shared" si="135"/>
        <v>0.0049800796812749</v>
      </c>
      <c r="J5419" s="9"/>
      <c r="K5419" s="11"/>
      <c r="L5419" s="9"/>
      <c r="M5419" s="11"/>
      <c r="N5419" s="9" t="s">
        <v>1014</v>
      </c>
    </row>
    <row r="5420" ht="25" customHeight="1" spans="1:14">
      <c r="A5420" s="9" t="s">
        <v>481</v>
      </c>
      <c r="B5420" s="9" t="s">
        <v>480</v>
      </c>
      <c r="C5420" s="10">
        <v>45982</v>
      </c>
      <c r="D5420" s="15">
        <v>0.998</v>
      </c>
      <c r="E5420" s="15">
        <v>0.998</v>
      </c>
      <c r="F5420" s="15">
        <v>0.998</v>
      </c>
      <c r="G5420" s="11">
        <v>-0.001</v>
      </c>
      <c r="H5420" s="9">
        <f>MAX($F$5387:F5420)</f>
        <v>1.004</v>
      </c>
      <c r="I5420" s="11">
        <f t="shared" si="135"/>
        <v>0.00597609561752988</v>
      </c>
      <c r="J5420" s="9"/>
      <c r="K5420" s="11"/>
      <c r="L5420" s="9"/>
      <c r="M5420" s="11"/>
      <c r="N5420" s="9" t="s">
        <v>1014</v>
      </c>
    </row>
    <row r="5421" ht="25" customHeight="1" spans="1:14">
      <c r="A5421" s="9" t="s">
        <v>481</v>
      </c>
      <c r="B5421" s="9" t="s">
        <v>480</v>
      </c>
      <c r="C5421" s="10">
        <v>45985</v>
      </c>
      <c r="D5421" s="15">
        <v>1.002</v>
      </c>
      <c r="E5421" s="15">
        <v>1.002</v>
      </c>
      <c r="F5421" s="15">
        <v>1.002</v>
      </c>
      <c r="G5421" s="11">
        <v>0.004</v>
      </c>
      <c r="H5421" s="9">
        <f>MAX($F$5387:F5421)</f>
        <v>1.004</v>
      </c>
      <c r="I5421" s="11">
        <f t="shared" si="135"/>
        <v>0.00199203187250996</v>
      </c>
      <c r="J5421" s="9"/>
      <c r="K5421" s="11"/>
      <c r="L5421" s="9"/>
      <c r="M5421" s="11"/>
      <c r="N5421" s="9" t="s">
        <v>1014</v>
      </c>
    </row>
    <row r="5422" ht="25" customHeight="1" spans="1:14">
      <c r="A5422" s="9" t="s">
        <v>481</v>
      </c>
      <c r="B5422" s="9" t="s">
        <v>480</v>
      </c>
      <c r="C5422" s="10">
        <v>45986</v>
      </c>
      <c r="D5422" s="15">
        <v>1.006</v>
      </c>
      <c r="E5422" s="15">
        <v>1.006</v>
      </c>
      <c r="F5422" s="15">
        <v>1.006</v>
      </c>
      <c r="G5422" s="11">
        <v>0.004</v>
      </c>
      <c r="H5422" s="9">
        <f>MAX($F$5387:F5422)</f>
        <v>1.006</v>
      </c>
      <c r="I5422" s="11">
        <f t="shared" si="135"/>
        <v>0</v>
      </c>
      <c r="J5422" s="9"/>
      <c r="K5422" s="11"/>
      <c r="L5422" s="9"/>
      <c r="M5422" s="11"/>
      <c r="N5422" s="9" t="s">
        <v>1014</v>
      </c>
    </row>
    <row r="5423" ht="25" customHeight="1" spans="1:14">
      <c r="A5423" s="9" t="s">
        <v>481</v>
      </c>
      <c r="B5423" s="9" t="s">
        <v>480</v>
      </c>
      <c r="C5423" s="10">
        <v>45987</v>
      </c>
      <c r="D5423" s="15">
        <v>1.009</v>
      </c>
      <c r="E5423" s="15">
        <v>1.009</v>
      </c>
      <c r="F5423" s="15">
        <v>1.009</v>
      </c>
      <c r="G5423" s="11">
        <v>0.003</v>
      </c>
      <c r="H5423" s="9">
        <f>MAX($F$5387:F5423)</f>
        <v>1.009</v>
      </c>
      <c r="I5423" s="11">
        <f t="shared" si="135"/>
        <v>0</v>
      </c>
      <c r="J5423" s="9"/>
      <c r="K5423" s="11"/>
      <c r="L5423" s="9"/>
      <c r="M5423" s="11"/>
      <c r="N5423" s="9" t="s">
        <v>1014</v>
      </c>
    </row>
    <row r="5424" ht="25" customHeight="1" spans="1:14">
      <c r="A5424" s="9" t="s">
        <v>481</v>
      </c>
      <c r="B5424" s="9" t="s">
        <v>480</v>
      </c>
      <c r="C5424" s="10">
        <v>45988</v>
      </c>
      <c r="D5424" s="15">
        <v>1.01</v>
      </c>
      <c r="E5424" s="15">
        <v>1.01</v>
      </c>
      <c r="F5424" s="15">
        <v>1.01</v>
      </c>
      <c r="G5424" s="11">
        <v>0.001</v>
      </c>
      <c r="H5424" s="9">
        <f>MAX($F$5387:F5424)</f>
        <v>1.01</v>
      </c>
      <c r="I5424" s="11">
        <f t="shared" si="135"/>
        <v>0</v>
      </c>
      <c r="J5424" s="9"/>
      <c r="K5424" s="11"/>
      <c r="L5424" s="9"/>
      <c r="M5424" s="11"/>
      <c r="N5424" s="9" t="s">
        <v>1014</v>
      </c>
    </row>
    <row r="5425" ht="25" customHeight="1" spans="1:14">
      <c r="A5425" s="9" t="s">
        <v>481</v>
      </c>
      <c r="B5425" s="9" t="s">
        <v>480</v>
      </c>
      <c r="C5425" s="10">
        <v>45989</v>
      </c>
      <c r="D5425" s="15">
        <v>1.01</v>
      </c>
      <c r="E5425" s="15">
        <v>1.01</v>
      </c>
      <c r="F5425" s="15">
        <v>1.01</v>
      </c>
      <c r="G5425" s="11">
        <v>0</v>
      </c>
      <c r="H5425" s="9">
        <f>MAX($F$5387:F5425)</f>
        <v>1.01</v>
      </c>
      <c r="I5425" s="11">
        <f t="shared" si="135"/>
        <v>0</v>
      </c>
      <c r="J5425" s="9"/>
      <c r="K5425" s="11"/>
      <c r="L5425" s="9"/>
      <c r="M5425" s="11"/>
      <c r="N5425" s="9" t="s">
        <v>1014</v>
      </c>
    </row>
    <row r="5426" ht="25" customHeight="1" spans="1:14">
      <c r="A5426" s="9" t="s">
        <v>481</v>
      </c>
      <c r="B5426" s="9" t="s">
        <v>480</v>
      </c>
      <c r="C5426" s="10">
        <v>45992</v>
      </c>
      <c r="D5426" s="15">
        <v>1.011</v>
      </c>
      <c r="E5426" s="15">
        <v>1.011</v>
      </c>
      <c r="F5426" s="15">
        <v>1.011</v>
      </c>
      <c r="G5426" s="11">
        <v>0.001</v>
      </c>
      <c r="H5426" s="9">
        <f>MAX($F$5387:F5426)</f>
        <v>1.011</v>
      </c>
      <c r="I5426" s="11">
        <f t="shared" si="135"/>
        <v>0</v>
      </c>
      <c r="J5426" s="9"/>
      <c r="K5426" s="11"/>
      <c r="L5426" s="9"/>
      <c r="M5426" s="11"/>
      <c r="N5426" s="9" t="s">
        <v>1014</v>
      </c>
    </row>
    <row r="5427" ht="25" customHeight="1" spans="1:14">
      <c r="A5427" s="9" t="s">
        <v>481</v>
      </c>
      <c r="B5427" s="9" t="s">
        <v>480</v>
      </c>
      <c r="C5427" s="10">
        <v>45993</v>
      </c>
      <c r="D5427" s="15">
        <v>1.011</v>
      </c>
      <c r="E5427" s="15">
        <v>1.011</v>
      </c>
      <c r="F5427" s="15">
        <v>1.011</v>
      </c>
      <c r="G5427" s="11">
        <v>0</v>
      </c>
      <c r="H5427" s="9">
        <f>MAX($F$5387:F5427)</f>
        <v>1.011</v>
      </c>
      <c r="I5427" s="11">
        <f t="shared" si="135"/>
        <v>0</v>
      </c>
      <c r="J5427" s="9"/>
      <c r="K5427" s="11"/>
      <c r="L5427" s="9"/>
      <c r="M5427" s="11"/>
      <c r="N5427" s="9" t="s">
        <v>1014</v>
      </c>
    </row>
    <row r="5428" ht="25" customHeight="1" spans="1:14">
      <c r="A5428" s="9" t="s">
        <v>481</v>
      </c>
      <c r="B5428" s="9" t="s">
        <v>480</v>
      </c>
      <c r="C5428" s="10">
        <v>45994</v>
      </c>
      <c r="D5428" s="15">
        <v>1.01</v>
      </c>
      <c r="E5428" s="15">
        <v>1.01</v>
      </c>
      <c r="F5428" s="15">
        <v>1.01</v>
      </c>
      <c r="G5428" s="11">
        <v>-0.001</v>
      </c>
      <c r="H5428" s="9">
        <f>MAX($F$5387:F5428)</f>
        <v>1.011</v>
      </c>
      <c r="I5428" s="11">
        <f t="shared" si="135"/>
        <v>0.000989119683481587</v>
      </c>
      <c r="J5428" s="9"/>
      <c r="K5428" s="11"/>
      <c r="L5428" s="9"/>
      <c r="M5428" s="11"/>
      <c r="N5428" s="9" t="s">
        <v>1014</v>
      </c>
    </row>
    <row r="5429" ht="25" customHeight="1" spans="1:14">
      <c r="A5429" s="9" t="s">
        <v>481</v>
      </c>
      <c r="B5429" s="9" t="s">
        <v>480</v>
      </c>
      <c r="C5429" s="10">
        <v>45995</v>
      </c>
      <c r="D5429" s="15">
        <v>1.018</v>
      </c>
      <c r="E5429" s="15">
        <v>1.018</v>
      </c>
      <c r="F5429" s="15">
        <v>1.018</v>
      </c>
      <c r="G5429" s="11">
        <v>0.0079</v>
      </c>
      <c r="H5429" s="9">
        <f>MAX($F$5387:F5429)</f>
        <v>1.018</v>
      </c>
      <c r="I5429" s="11">
        <f t="shared" si="135"/>
        <v>0</v>
      </c>
      <c r="J5429" s="9"/>
      <c r="K5429" s="11"/>
      <c r="L5429" s="9"/>
      <c r="M5429" s="11"/>
      <c r="N5429" s="9" t="s">
        <v>1014</v>
      </c>
    </row>
    <row r="5430" ht="25" customHeight="1" spans="1:14">
      <c r="A5430" s="9" t="s">
        <v>481</v>
      </c>
      <c r="B5430" s="9" t="s">
        <v>480</v>
      </c>
      <c r="C5430" s="10">
        <v>45996</v>
      </c>
      <c r="D5430" s="15">
        <v>1.028</v>
      </c>
      <c r="E5430" s="15">
        <v>1.028</v>
      </c>
      <c r="F5430" s="15">
        <v>1.028</v>
      </c>
      <c r="G5430" s="11">
        <v>0.0098</v>
      </c>
      <c r="H5430" s="9">
        <f>MAX($F$5387:F5430)</f>
        <v>1.028</v>
      </c>
      <c r="I5430" s="11">
        <f t="shared" si="135"/>
        <v>0</v>
      </c>
      <c r="J5430" s="9"/>
      <c r="K5430" s="11"/>
      <c r="L5430" s="9"/>
      <c r="M5430" s="11"/>
      <c r="N5430" s="9" t="s">
        <v>1014</v>
      </c>
    </row>
    <row r="5431" ht="25" customHeight="1" spans="1:14">
      <c r="A5431" s="9" t="s">
        <v>481</v>
      </c>
      <c r="B5431" s="9" t="s">
        <v>480</v>
      </c>
      <c r="C5431" s="10">
        <v>45999</v>
      </c>
      <c r="D5431" s="15">
        <v>1.027</v>
      </c>
      <c r="E5431" s="15">
        <v>1.027</v>
      </c>
      <c r="F5431" s="15">
        <v>1.027</v>
      </c>
      <c r="G5431" s="11">
        <v>-0.001</v>
      </c>
      <c r="H5431" s="9">
        <f>MAX($F$5387:F5431)</f>
        <v>1.028</v>
      </c>
      <c r="I5431" s="11">
        <f t="shared" si="135"/>
        <v>0.000972762645914504</v>
      </c>
      <c r="J5431" s="9"/>
      <c r="K5431" s="11"/>
      <c r="L5431" s="9"/>
      <c r="M5431" s="11"/>
      <c r="N5431" s="9" t="s">
        <v>1014</v>
      </c>
    </row>
    <row r="5432" ht="25" customHeight="1" spans="1:14">
      <c r="A5432" s="9" t="s">
        <v>481</v>
      </c>
      <c r="B5432" s="9" t="s">
        <v>480</v>
      </c>
      <c r="C5432" s="10">
        <v>46000</v>
      </c>
      <c r="D5432" s="15">
        <v>1.028</v>
      </c>
      <c r="E5432" s="15">
        <v>1.028</v>
      </c>
      <c r="F5432" s="15">
        <v>1.028</v>
      </c>
      <c r="G5432" s="11">
        <v>0.001</v>
      </c>
      <c r="H5432" s="9">
        <f>MAX($F$5387:F5432)</f>
        <v>1.028</v>
      </c>
      <c r="I5432" s="11">
        <f t="shared" si="135"/>
        <v>0</v>
      </c>
      <c r="J5432" s="9"/>
      <c r="K5432" s="11"/>
      <c r="L5432" s="9"/>
      <c r="M5432" s="11"/>
      <c r="N5432" s="9" t="s">
        <v>1014</v>
      </c>
    </row>
    <row r="5433" ht="25" customHeight="1" spans="1:14">
      <c r="A5433" s="9" t="s">
        <v>481</v>
      </c>
      <c r="B5433" s="9" t="s">
        <v>480</v>
      </c>
      <c r="C5433" s="10">
        <v>46001</v>
      </c>
      <c r="D5433" s="15">
        <v>1.024</v>
      </c>
      <c r="E5433" s="15">
        <v>1.024</v>
      </c>
      <c r="F5433" s="15">
        <v>1.024</v>
      </c>
      <c r="G5433" s="11">
        <v>-0.0039</v>
      </c>
      <c r="H5433" s="9">
        <f>MAX($F$5387:F5433)</f>
        <v>1.028</v>
      </c>
      <c r="I5433" s="11">
        <f t="shared" si="135"/>
        <v>0.00389105058365757</v>
      </c>
      <c r="J5433" s="9"/>
      <c r="K5433" s="11"/>
      <c r="L5433" s="9"/>
      <c r="M5433" s="11"/>
      <c r="N5433" s="9" t="s">
        <v>1014</v>
      </c>
    </row>
    <row r="5434" ht="25" customHeight="1" spans="1:14">
      <c r="A5434" s="9" t="s">
        <v>481</v>
      </c>
      <c r="B5434" s="9" t="s">
        <v>480</v>
      </c>
      <c r="C5434" s="10">
        <v>46002</v>
      </c>
      <c r="D5434" s="15">
        <v>1.02</v>
      </c>
      <c r="E5434" s="15">
        <v>1.02</v>
      </c>
      <c r="F5434" s="15">
        <v>1.02</v>
      </c>
      <c r="G5434" s="11">
        <v>-0.0039</v>
      </c>
      <c r="H5434" s="9">
        <f>MAX($F$5387:F5434)</f>
        <v>1.028</v>
      </c>
      <c r="I5434" s="11">
        <f t="shared" si="135"/>
        <v>0.00778210116731515</v>
      </c>
      <c r="J5434" s="9"/>
      <c r="K5434" s="11"/>
      <c r="L5434" s="9"/>
      <c r="M5434" s="11"/>
      <c r="N5434" s="9" t="s">
        <v>1014</v>
      </c>
    </row>
    <row r="5435" ht="25" customHeight="1" spans="1:14">
      <c r="A5435" s="9" t="s">
        <v>481</v>
      </c>
      <c r="B5435" s="9" t="s">
        <v>480</v>
      </c>
      <c r="C5435" s="10">
        <v>46003</v>
      </c>
      <c r="D5435" s="15">
        <v>1.016</v>
      </c>
      <c r="E5435" s="15">
        <v>1.016</v>
      </c>
      <c r="F5435" s="15">
        <v>1.016</v>
      </c>
      <c r="G5435" s="11">
        <v>-0.0039</v>
      </c>
      <c r="H5435" s="9">
        <f>MAX($F$5387:F5435)</f>
        <v>1.028</v>
      </c>
      <c r="I5435" s="11">
        <f t="shared" si="135"/>
        <v>0.0116731517509727</v>
      </c>
      <c r="J5435" s="9"/>
      <c r="K5435" s="11"/>
      <c r="L5435" s="9"/>
      <c r="M5435" s="11"/>
      <c r="N5435" s="9" t="s">
        <v>1014</v>
      </c>
    </row>
    <row r="5436" ht="25" customHeight="1" spans="1:14">
      <c r="A5436" s="9" t="s">
        <v>481</v>
      </c>
      <c r="B5436" s="9" t="s">
        <v>480</v>
      </c>
      <c r="C5436" s="10">
        <v>46006</v>
      </c>
      <c r="D5436" s="15">
        <v>1.015</v>
      </c>
      <c r="E5436" s="15">
        <v>1.015</v>
      </c>
      <c r="F5436" s="15">
        <v>1.015</v>
      </c>
      <c r="G5436" s="11">
        <v>-0.001</v>
      </c>
      <c r="H5436" s="9">
        <f>MAX($F$5387:F5436)</f>
        <v>1.028</v>
      </c>
      <c r="I5436" s="11">
        <f t="shared" si="135"/>
        <v>0.0126459143968872</v>
      </c>
      <c r="J5436" s="9"/>
      <c r="K5436" s="11"/>
      <c r="L5436" s="9"/>
      <c r="M5436" s="11"/>
      <c r="N5436" s="9" t="s">
        <v>1014</v>
      </c>
    </row>
    <row r="5437" ht="25" customHeight="1" spans="1:14">
      <c r="A5437" s="9" t="s">
        <v>481</v>
      </c>
      <c r="B5437" s="9" t="s">
        <v>480</v>
      </c>
      <c r="C5437" s="10">
        <v>46007</v>
      </c>
      <c r="D5437" s="15">
        <v>1.021</v>
      </c>
      <c r="E5437" s="15">
        <v>1.021</v>
      </c>
      <c r="F5437" s="15">
        <v>1.021</v>
      </c>
      <c r="G5437" s="11">
        <v>0.0059</v>
      </c>
      <c r="H5437" s="9">
        <f>MAX($F$5387:F5437)</f>
        <v>1.028</v>
      </c>
      <c r="I5437" s="11">
        <f t="shared" si="135"/>
        <v>0.00680933852140087</v>
      </c>
      <c r="J5437" s="9"/>
      <c r="K5437" s="11"/>
      <c r="L5437" s="9"/>
      <c r="M5437" s="11"/>
      <c r="N5437" s="9" t="s">
        <v>1014</v>
      </c>
    </row>
    <row r="5438" ht="25" customHeight="1" spans="1:14">
      <c r="A5438" s="9" t="s">
        <v>481</v>
      </c>
      <c r="B5438" s="9" t="s">
        <v>480</v>
      </c>
      <c r="C5438" s="10">
        <v>46008</v>
      </c>
      <c r="D5438" s="15">
        <v>1.019</v>
      </c>
      <c r="E5438" s="15">
        <v>1.019</v>
      </c>
      <c r="F5438" s="15">
        <v>1.019</v>
      </c>
      <c r="G5438" s="11">
        <v>-0.002</v>
      </c>
      <c r="H5438" s="9">
        <f>MAX($F$5387:F5438)</f>
        <v>1.028</v>
      </c>
      <c r="I5438" s="11">
        <f t="shared" si="135"/>
        <v>0.00875486381322965</v>
      </c>
      <c r="J5438" s="9"/>
      <c r="K5438" s="11"/>
      <c r="L5438" s="9"/>
      <c r="M5438" s="11"/>
      <c r="N5438" s="9" t="s">
        <v>1014</v>
      </c>
    </row>
    <row r="5439" ht="25" customHeight="1" spans="1:14">
      <c r="A5439" s="9" t="s">
        <v>481</v>
      </c>
      <c r="B5439" s="9" t="s">
        <v>480</v>
      </c>
      <c r="C5439" s="10">
        <v>46009</v>
      </c>
      <c r="D5439" s="15">
        <v>1.022</v>
      </c>
      <c r="E5439" s="15">
        <v>1.022</v>
      </c>
      <c r="F5439" s="15">
        <v>1.022</v>
      </c>
      <c r="G5439" s="11">
        <v>0.0029</v>
      </c>
      <c r="H5439" s="9">
        <f>MAX($F$5387:F5439)</f>
        <v>1.028</v>
      </c>
      <c r="I5439" s="11">
        <f t="shared" si="135"/>
        <v>0.00583657587548636</v>
      </c>
      <c r="J5439" s="9"/>
      <c r="K5439" s="11"/>
      <c r="L5439" s="9"/>
      <c r="M5439" s="11"/>
      <c r="N5439" s="9" t="s">
        <v>1014</v>
      </c>
    </row>
    <row r="5440" ht="25" customHeight="1" spans="1:14">
      <c r="A5440" s="9" t="s">
        <v>481</v>
      </c>
      <c r="B5440" s="9" t="s">
        <v>480</v>
      </c>
      <c r="C5440" s="10">
        <v>46010</v>
      </c>
      <c r="D5440" s="15">
        <v>1.021</v>
      </c>
      <c r="E5440" s="15">
        <v>1.021</v>
      </c>
      <c r="F5440" s="15">
        <v>1.021</v>
      </c>
      <c r="G5440" s="11">
        <v>-0.001</v>
      </c>
      <c r="H5440" s="9">
        <f>MAX($F$5387:F5440)</f>
        <v>1.028</v>
      </c>
      <c r="I5440" s="11">
        <f t="shared" si="135"/>
        <v>0.00680933852140087</v>
      </c>
      <c r="J5440" s="9"/>
      <c r="K5440" s="11"/>
      <c r="L5440" s="9"/>
      <c r="M5440" s="11"/>
      <c r="N5440" s="9" t="s">
        <v>1014</v>
      </c>
    </row>
    <row r="5441" ht="25" customHeight="1" spans="1:14">
      <c r="A5441" s="9" t="s">
        <v>481</v>
      </c>
      <c r="B5441" s="9" t="s">
        <v>480</v>
      </c>
      <c r="C5441" s="10">
        <v>46013</v>
      </c>
      <c r="D5441" s="15">
        <v>1.018</v>
      </c>
      <c r="E5441" s="15">
        <v>1.018</v>
      </c>
      <c r="F5441" s="15">
        <v>1.018</v>
      </c>
      <c r="G5441" s="11">
        <v>-0.0029</v>
      </c>
      <c r="H5441" s="9">
        <f>MAX($F$5387:F5441)</f>
        <v>1.028</v>
      </c>
      <c r="I5441" s="11">
        <f t="shared" si="135"/>
        <v>0.00972762645914393</v>
      </c>
      <c r="J5441" s="9"/>
      <c r="K5441" s="11"/>
      <c r="L5441" s="9"/>
      <c r="M5441" s="11"/>
      <c r="N5441" s="9" t="s">
        <v>1014</v>
      </c>
    </row>
    <row r="5442" ht="25" customHeight="1" spans="1:14">
      <c r="A5442" s="9" t="s">
        <v>481</v>
      </c>
      <c r="B5442" s="9" t="s">
        <v>480</v>
      </c>
      <c r="C5442" s="10">
        <v>46014</v>
      </c>
      <c r="D5442" s="15">
        <v>1.017</v>
      </c>
      <c r="E5442" s="15">
        <v>1.017</v>
      </c>
      <c r="F5442" s="15">
        <v>1.017</v>
      </c>
      <c r="G5442" s="11">
        <v>-0.001</v>
      </c>
      <c r="H5442" s="9">
        <f>MAX($F$5387:F5442)</f>
        <v>1.028</v>
      </c>
      <c r="I5442" s="11">
        <f t="shared" ref="I5442:I5505" si="136">1-F5442/H5442</f>
        <v>0.0107003891050584</v>
      </c>
      <c r="J5442" s="9"/>
      <c r="K5442" s="11"/>
      <c r="L5442" s="9"/>
      <c r="M5442" s="11"/>
      <c r="N5442" s="9" t="s">
        <v>1014</v>
      </c>
    </row>
    <row r="5443" ht="25" customHeight="1" spans="1:14">
      <c r="A5443" s="9" t="s">
        <v>481</v>
      </c>
      <c r="B5443" s="9" t="s">
        <v>480</v>
      </c>
      <c r="C5443" s="10">
        <v>46015</v>
      </c>
      <c r="D5443" s="15">
        <v>0.999</v>
      </c>
      <c r="E5443" s="15">
        <v>0.999</v>
      </c>
      <c r="F5443" s="15">
        <v>0.999</v>
      </c>
      <c r="G5443" s="11">
        <v>-0.0177</v>
      </c>
      <c r="H5443" s="9">
        <f>MAX($F$5387:F5443)</f>
        <v>1.028</v>
      </c>
      <c r="I5443" s="11">
        <f t="shared" si="136"/>
        <v>0.0282101167315175</v>
      </c>
      <c r="J5443" s="9"/>
      <c r="K5443" s="11"/>
      <c r="L5443" s="9"/>
      <c r="M5443" s="11"/>
      <c r="N5443" s="9" t="s">
        <v>1014</v>
      </c>
    </row>
    <row r="5444" ht="25" customHeight="1" spans="1:14">
      <c r="A5444" s="9" t="s">
        <v>481</v>
      </c>
      <c r="B5444" s="9" t="s">
        <v>480</v>
      </c>
      <c r="C5444" s="10">
        <v>46016</v>
      </c>
      <c r="D5444" s="15">
        <v>1.008</v>
      </c>
      <c r="E5444" s="15">
        <v>1.008</v>
      </c>
      <c r="F5444" s="15">
        <v>1.008</v>
      </c>
      <c r="G5444" s="11">
        <v>0.009</v>
      </c>
      <c r="H5444" s="9">
        <f>MAX($F$5387:F5444)</f>
        <v>1.028</v>
      </c>
      <c r="I5444" s="11">
        <f t="shared" si="136"/>
        <v>0.019455252918288</v>
      </c>
      <c r="J5444" s="9"/>
      <c r="K5444" s="11"/>
      <c r="L5444" s="9"/>
      <c r="M5444" s="11"/>
      <c r="N5444" s="9" t="s">
        <v>1014</v>
      </c>
    </row>
    <row r="5445" ht="25" customHeight="1" spans="1:14">
      <c r="A5445" s="9" t="s">
        <v>481</v>
      </c>
      <c r="B5445" s="9" t="s">
        <v>480</v>
      </c>
      <c r="C5445" s="10">
        <v>46017</v>
      </c>
      <c r="D5445" s="15">
        <v>1.001</v>
      </c>
      <c r="E5445" s="15">
        <v>1.001</v>
      </c>
      <c r="F5445" s="15">
        <v>1.001</v>
      </c>
      <c r="G5445" s="11">
        <v>-0.0069</v>
      </c>
      <c r="H5445" s="9">
        <f>MAX($F$5387:F5445)</f>
        <v>1.028</v>
      </c>
      <c r="I5445" s="11">
        <f t="shared" si="136"/>
        <v>0.0262645914396888</v>
      </c>
      <c r="J5445" s="9"/>
      <c r="K5445" s="11"/>
      <c r="L5445" s="9"/>
      <c r="M5445" s="11"/>
      <c r="N5445" s="9" t="s">
        <v>1014</v>
      </c>
    </row>
    <row r="5446" ht="25" customHeight="1" spans="1:14">
      <c r="A5446" s="9" t="s">
        <v>481</v>
      </c>
      <c r="B5446" s="9" t="s">
        <v>480</v>
      </c>
      <c r="C5446" s="10">
        <v>46020</v>
      </c>
      <c r="D5446" s="15">
        <v>1.002</v>
      </c>
      <c r="E5446" s="15">
        <v>1.002</v>
      </c>
      <c r="F5446" s="15">
        <v>1.002</v>
      </c>
      <c r="G5446" s="11">
        <v>0.001</v>
      </c>
      <c r="H5446" s="9">
        <f>MAX($F$5387:F5446)</f>
        <v>1.028</v>
      </c>
      <c r="I5446" s="11">
        <f t="shared" si="136"/>
        <v>0.0252918287937743</v>
      </c>
      <c r="J5446" s="9"/>
      <c r="K5446" s="11"/>
      <c r="L5446" s="9"/>
      <c r="M5446" s="11"/>
      <c r="N5446" s="9" t="s">
        <v>1014</v>
      </c>
    </row>
    <row r="5447" ht="25" customHeight="1" spans="1:14">
      <c r="A5447" s="9" t="s">
        <v>481</v>
      </c>
      <c r="B5447" s="9" t="s">
        <v>480</v>
      </c>
      <c r="C5447" s="10">
        <v>46021</v>
      </c>
      <c r="D5447" s="15">
        <v>1.004</v>
      </c>
      <c r="E5447" s="15">
        <v>1.004</v>
      </c>
      <c r="F5447" s="15">
        <v>1.004</v>
      </c>
      <c r="G5447" s="11">
        <v>0.002</v>
      </c>
      <c r="H5447" s="9">
        <f>MAX($F$5387:F5447)</f>
        <v>1.028</v>
      </c>
      <c r="I5447" s="11">
        <f t="shared" si="136"/>
        <v>0.0233463035019456</v>
      </c>
      <c r="J5447" s="9"/>
      <c r="K5447" s="11"/>
      <c r="L5447" s="9"/>
      <c r="M5447" s="11"/>
      <c r="N5447" s="9" t="s">
        <v>1014</v>
      </c>
    </row>
    <row r="5448" ht="25" customHeight="1" spans="1:14">
      <c r="A5448" s="9" t="s">
        <v>481</v>
      </c>
      <c r="B5448" s="9" t="s">
        <v>480</v>
      </c>
      <c r="C5448" s="10">
        <v>46022</v>
      </c>
      <c r="D5448" s="15">
        <v>1.032</v>
      </c>
      <c r="E5448" s="15">
        <v>1.032</v>
      </c>
      <c r="F5448" s="15">
        <v>1.032</v>
      </c>
      <c r="G5448" s="11">
        <v>0.0279</v>
      </c>
      <c r="H5448" s="9">
        <f>MAX($F$5387:F5448)</f>
        <v>1.032</v>
      </c>
      <c r="I5448" s="11">
        <f t="shared" si="136"/>
        <v>0</v>
      </c>
      <c r="J5448" s="9"/>
      <c r="K5448" s="11"/>
      <c r="L5448" s="9"/>
      <c r="M5448" s="11"/>
      <c r="N5448" s="9" t="s">
        <v>1014</v>
      </c>
    </row>
    <row r="5449" ht="25" customHeight="1" spans="1:14">
      <c r="A5449" s="9" t="s">
        <v>481</v>
      </c>
      <c r="B5449" s="9" t="s">
        <v>480</v>
      </c>
      <c r="C5449" s="10">
        <v>46027</v>
      </c>
      <c r="D5449" s="15">
        <v>1.025</v>
      </c>
      <c r="E5449" s="15">
        <v>1.025</v>
      </c>
      <c r="F5449" s="15">
        <v>1.025</v>
      </c>
      <c r="G5449" s="11">
        <v>-0.0068</v>
      </c>
      <c r="H5449" s="9">
        <f>MAX($F$5387:F5449)</f>
        <v>1.032</v>
      </c>
      <c r="I5449" s="11">
        <f t="shared" si="136"/>
        <v>0.00678294573643423</v>
      </c>
      <c r="J5449" s="9"/>
      <c r="K5449" s="11"/>
      <c r="L5449" s="9"/>
      <c r="M5449" s="11"/>
      <c r="N5449" s="9" t="s">
        <v>1014</v>
      </c>
    </row>
    <row r="5450" ht="25" customHeight="1" spans="1:14">
      <c r="A5450" s="9" t="s">
        <v>481</v>
      </c>
      <c r="B5450" s="9" t="s">
        <v>480</v>
      </c>
      <c r="C5450" s="10">
        <v>46028</v>
      </c>
      <c r="D5450" s="15">
        <v>1.014</v>
      </c>
      <c r="E5450" s="15">
        <v>1.014</v>
      </c>
      <c r="F5450" s="15">
        <v>1.014</v>
      </c>
      <c r="G5450" s="11">
        <v>-0.0107</v>
      </c>
      <c r="H5450" s="9">
        <f>MAX($F$5387:F5450)</f>
        <v>1.032</v>
      </c>
      <c r="I5450" s="11">
        <f t="shared" si="136"/>
        <v>0.0174418604651163</v>
      </c>
      <c r="J5450" s="9"/>
      <c r="K5450" s="11"/>
      <c r="L5450" s="9"/>
      <c r="M5450" s="11"/>
      <c r="N5450" s="9" t="s">
        <v>1014</v>
      </c>
    </row>
    <row r="5451" ht="25" customHeight="1" spans="1:14">
      <c r="A5451" s="9" t="s">
        <v>481</v>
      </c>
      <c r="B5451" s="9" t="s">
        <v>480</v>
      </c>
      <c r="C5451" s="10">
        <v>46029</v>
      </c>
      <c r="D5451" s="15">
        <v>1.025</v>
      </c>
      <c r="E5451" s="15">
        <v>1.025</v>
      </c>
      <c r="F5451" s="15">
        <v>1.025</v>
      </c>
      <c r="G5451" s="11">
        <v>0.0108</v>
      </c>
      <c r="H5451" s="9">
        <f>MAX($F$5387:F5451)</f>
        <v>1.032</v>
      </c>
      <c r="I5451" s="11">
        <f t="shared" si="136"/>
        <v>0.00678294573643423</v>
      </c>
      <c r="J5451" s="9"/>
      <c r="K5451" s="11"/>
      <c r="L5451" s="9"/>
      <c r="M5451" s="11"/>
      <c r="N5451" s="9" t="s">
        <v>1014</v>
      </c>
    </row>
    <row r="5452" ht="25" customHeight="1" spans="1:14">
      <c r="A5452" s="9" t="s">
        <v>481</v>
      </c>
      <c r="B5452" s="9" t="s">
        <v>480</v>
      </c>
      <c r="C5452" s="10">
        <v>46030</v>
      </c>
      <c r="D5452" s="15">
        <v>1.029</v>
      </c>
      <c r="E5452" s="15">
        <v>1.029</v>
      </c>
      <c r="F5452" s="15">
        <v>1.029</v>
      </c>
      <c r="G5452" s="11">
        <v>0.0039</v>
      </c>
      <c r="H5452" s="9">
        <f>MAX($F$5387:F5452)</f>
        <v>1.032</v>
      </c>
      <c r="I5452" s="11">
        <f t="shared" si="136"/>
        <v>0.00290697674418616</v>
      </c>
      <c r="J5452" s="9"/>
      <c r="K5452" s="11"/>
      <c r="L5452" s="9"/>
      <c r="M5452" s="11"/>
      <c r="N5452" s="9" t="s">
        <v>1014</v>
      </c>
    </row>
    <row r="5453" ht="25" customHeight="1" spans="1:14">
      <c r="A5453" s="9" t="s">
        <v>481</v>
      </c>
      <c r="B5453" s="9" t="s">
        <v>480</v>
      </c>
      <c r="C5453" s="10">
        <v>46031</v>
      </c>
      <c r="D5453" s="15">
        <v>1.012</v>
      </c>
      <c r="E5453" s="15">
        <v>1.012</v>
      </c>
      <c r="F5453" s="15">
        <v>1.012</v>
      </c>
      <c r="G5453" s="11">
        <v>-0.0165</v>
      </c>
      <c r="H5453" s="9">
        <f>MAX($F$5387:F5453)</f>
        <v>1.032</v>
      </c>
      <c r="I5453" s="11">
        <f t="shared" si="136"/>
        <v>0.0193798449612403</v>
      </c>
      <c r="J5453" s="9"/>
      <c r="K5453" s="11"/>
      <c r="L5453" s="9"/>
      <c r="M5453" s="11"/>
      <c r="N5453" s="9" t="s">
        <v>1014</v>
      </c>
    </row>
    <row r="5454" ht="25" customHeight="1" spans="1:14">
      <c r="A5454" s="9" t="s">
        <v>481</v>
      </c>
      <c r="B5454" s="9" t="s">
        <v>480</v>
      </c>
      <c r="C5454" s="10">
        <v>46034</v>
      </c>
      <c r="D5454" s="15">
        <v>1.003</v>
      </c>
      <c r="E5454" s="15">
        <v>1.003</v>
      </c>
      <c r="F5454" s="15">
        <v>1.003</v>
      </c>
      <c r="G5454" s="11">
        <v>-0.0089</v>
      </c>
      <c r="H5454" s="9">
        <f>MAX($F$5387:F5454)</f>
        <v>1.032</v>
      </c>
      <c r="I5454" s="11">
        <f t="shared" si="136"/>
        <v>0.0281007751937986</v>
      </c>
      <c r="J5454" s="9"/>
      <c r="K5454" s="11"/>
      <c r="L5454" s="9"/>
      <c r="M5454" s="11"/>
      <c r="N5454" s="9" t="s">
        <v>1014</v>
      </c>
    </row>
    <row r="5455" ht="25" customHeight="1" spans="1:14">
      <c r="A5455" s="9" t="s">
        <v>481</v>
      </c>
      <c r="B5455" s="9" t="s">
        <v>480</v>
      </c>
      <c r="C5455" s="10">
        <v>46035</v>
      </c>
      <c r="D5455" s="15">
        <v>1.013</v>
      </c>
      <c r="E5455" s="15">
        <v>1.013</v>
      </c>
      <c r="F5455" s="15">
        <v>1.013</v>
      </c>
      <c r="G5455" s="11">
        <v>0.01</v>
      </c>
      <c r="H5455" s="9">
        <f>MAX($F$5387:F5455)</f>
        <v>1.032</v>
      </c>
      <c r="I5455" s="11">
        <f t="shared" si="136"/>
        <v>0.0184108527131784</v>
      </c>
      <c r="J5455" s="9"/>
      <c r="K5455" s="11"/>
      <c r="L5455" s="9"/>
      <c r="M5455" s="11"/>
      <c r="N5455" s="9" t="s">
        <v>1014</v>
      </c>
    </row>
    <row r="5456" ht="25" customHeight="1" spans="1:14">
      <c r="A5456" s="9" t="s">
        <v>481</v>
      </c>
      <c r="B5456" s="9" t="s">
        <v>480</v>
      </c>
      <c r="C5456" s="10">
        <v>46036</v>
      </c>
      <c r="D5456" s="15">
        <v>1.006</v>
      </c>
      <c r="E5456" s="15">
        <v>1.006</v>
      </c>
      <c r="F5456" s="15">
        <v>1.006</v>
      </c>
      <c r="G5456" s="11">
        <v>-0.0069</v>
      </c>
      <c r="H5456" s="9">
        <f>MAX($F$5387:F5456)</f>
        <v>1.032</v>
      </c>
      <c r="I5456" s="11">
        <f t="shared" si="136"/>
        <v>0.0251937984496124</v>
      </c>
      <c r="J5456" s="9"/>
      <c r="K5456" s="11"/>
      <c r="L5456" s="9"/>
      <c r="M5456" s="11"/>
      <c r="N5456" s="9" t="s">
        <v>1014</v>
      </c>
    </row>
    <row r="5457" ht="25" customHeight="1" spans="1:14">
      <c r="A5457" s="9" t="s">
        <v>481</v>
      </c>
      <c r="B5457" s="9" t="s">
        <v>480</v>
      </c>
      <c r="C5457" s="10">
        <v>46037</v>
      </c>
      <c r="D5457" s="15">
        <v>1.009</v>
      </c>
      <c r="E5457" s="15">
        <v>1.009</v>
      </c>
      <c r="F5457" s="15">
        <v>1.009</v>
      </c>
      <c r="G5457" s="11">
        <v>0.003</v>
      </c>
      <c r="H5457" s="9">
        <f>MAX($F$5387:F5457)</f>
        <v>1.032</v>
      </c>
      <c r="I5457" s="11">
        <f t="shared" si="136"/>
        <v>0.0222868217054265</v>
      </c>
      <c r="J5457" s="9"/>
      <c r="K5457" s="11"/>
      <c r="L5457" s="9"/>
      <c r="M5457" s="11"/>
      <c r="N5457" s="9" t="s">
        <v>1014</v>
      </c>
    </row>
    <row r="5458" ht="25" customHeight="1" spans="1:14">
      <c r="A5458" s="9" t="s">
        <v>481</v>
      </c>
      <c r="B5458" s="9" t="s">
        <v>480</v>
      </c>
      <c r="C5458" s="10">
        <v>46038</v>
      </c>
      <c r="D5458" s="15">
        <v>1.017</v>
      </c>
      <c r="E5458" s="15">
        <v>1.017</v>
      </c>
      <c r="F5458" s="15">
        <v>1.017</v>
      </c>
      <c r="G5458" s="11">
        <v>0.0079</v>
      </c>
      <c r="H5458" s="9">
        <f>MAX($F$5387:F5458)</f>
        <v>1.032</v>
      </c>
      <c r="I5458" s="11">
        <f t="shared" si="136"/>
        <v>0.0145348837209304</v>
      </c>
      <c r="J5458" s="9"/>
      <c r="K5458" s="11"/>
      <c r="L5458" s="9"/>
      <c r="M5458" s="11"/>
      <c r="N5458" s="9" t="s">
        <v>1014</v>
      </c>
    </row>
    <row r="5459" ht="25" customHeight="1" spans="1:14">
      <c r="A5459" s="9" t="s">
        <v>481</v>
      </c>
      <c r="B5459" s="9" t="s">
        <v>480</v>
      </c>
      <c r="C5459" s="10">
        <v>46041</v>
      </c>
      <c r="D5459" s="15">
        <v>1.006</v>
      </c>
      <c r="E5459" s="15">
        <v>1.006</v>
      </c>
      <c r="F5459" s="15">
        <v>1.006</v>
      </c>
      <c r="G5459" s="11">
        <v>-0.0108</v>
      </c>
      <c r="H5459" s="9">
        <f>MAX($F$5387:F5459)</f>
        <v>1.032</v>
      </c>
      <c r="I5459" s="11">
        <f t="shared" si="136"/>
        <v>0.0251937984496124</v>
      </c>
      <c r="J5459" s="9"/>
      <c r="K5459" s="11"/>
      <c r="L5459" s="9"/>
      <c r="M5459" s="11"/>
      <c r="N5459" s="9" t="s">
        <v>1014</v>
      </c>
    </row>
    <row r="5460" ht="25" customHeight="1" spans="1:14">
      <c r="A5460" s="9" t="s">
        <v>481</v>
      </c>
      <c r="B5460" s="9" t="s">
        <v>480</v>
      </c>
      <c r="C5460" s="10">
        <v>46042</v>
      </c>
      <c r="D5460" s="15">
        <v>1.031</v>
      </c>
      <c r="E5460" s="15">
        <v>1.031</v>
      </c>
      <c r="F5460" s="15">
        <v>1.031</v>
      </c>
      <c r="G5460" s="11">
        <v>0.0249</v>
      </c>
      <c r="H5460" s="9">
        <f>MAX($F$5387:F5460)</f>
        <v>1.032</v>
      </c>
      <c r="I5460" s="11">
        <f t="shared" si="136"/>
        <v>0.000968992248062128</v>
      </c>
      <c r="J5460" s="9"/>
      <c r="K5460" s="11"/>
      <c r="L5460" s="9"/>
      <c r="M5460" s="11"/>
      <c r="N5460" s="9" t="s">
        <v>1014</v>
      </c>
    </row>
    <row r="5461" ht="25" customHeight="1" spans="1:14">
      <c r="A5461" s="9" t="s">
        <v>481</v>
      </c>
      <c r="B5461" s="9" t="s">
        <v>480</v>
      </c>
      <c r="C5461" s="10">
        <v>46043</v>
      </c>
      <c r="D5461" s="15">
        <v>1.032</v>
      </c>
      <c r="E5461" s="15">
        <v>1.032</v>
      </c>
      <c r="F5461" s="15">
        <v>1.032</v>
      </c>
      <c r="G5461" s="11">
        <v>0.001</v>
      </c>
      <c r="H5461" s="9">
        <f>MAX($F$5387:F5461)</f>
        <v>1.032</v>
      </c>
      <c r="I5461" s="11">
        <f t="shared" si="136"/>
        <v>0</v>
      </c>
      <c r="J5461" s="9"/>
      <c r="K5461" s="11"/>
      <c r="L5461" s="9"/>
      <c r="M5461" s="11"/>
      <c r="N5461" s="9" t="s">
        <v>1014</v>
      </c>
    </row>
    <row r="5462" ht="25" customHeight="1" spans="1:14">
      <c r="A5462" s="9" t="s">
        <v>481</v>
      </c>
      <c r="B5462" s="9" t="s">
        <v>480</v>
      </c>
      <c r="C5462" s="10">
        <v>46044</v>
      </c>
      <c r="D5462" s="15">
        <v>1.029</v>
      </c>
      <c r="E5462" s="15">
        <v>1.029</v>
      </c>
      <c r="F5462" s="15">
        <v>1.029</v>
      </c>
      <c r="G5462" s="11">
        <v>-0.0029</v>
      </c>
      <c r="H5462" s="9">
        <f>MAX($F$5387:F5462)</f>
        <v>1.032</v>
      </c>
      <c r="I5462" s="11">
        <f t="shared" si="136"/>
        <v>0.00290697674418616</v>
      </c>
      <c r="J5462" s="9"/>
      <c r="K5462" s="11"/>
      <c r="L5462" s="9"/>
      <c r="M5462" s="11"/>
      <c r="N5462" s="9" t="s">
        <v>1014</v>
      </c>
    </row>
    <row r="5463" ht="25" customHeight="1" spans="1:14">
      <c r="A5463" s="9" t="s">
        <v>481</v>
      </c>
      <c r="B5463" s="9" t="s">
        <v>480</v>
      </c>
      <c r="C5463" s="10">
        <v>46045</v>
      </c>
      <c r="D5463" s="15">
        <v>1.02</v>
      </c>
      <c r="E5463" s="15">
        <v>1.02</v>
      </c>
      <c r="F5463" s="15">
        <v>1.02</v>
      </c>
      <c r="G5463" s="11">
        <v>-0.0087</v>
      </c>
      <c r="H5463" s="9">
        <f>MAX($F$5387:F5463)</f>
        <v>1.032</v>
      </c>
      <c r="I5463" s="11">
        <f t="shared" si="136"/>
        <v>0.0116279069767442</v>
      </c>
      <c r="J5463" s="9"/>
      <c r="K5463" s="11"/>
      <c r="L5463" s="9"/>
      <c r="M5463" s="11"/>
      <c r="N5463" s="9" t="s">
        <v>1014</v>
      </c>
    </row>
    <row r="5464" ht="25" customHeight="1" spans="1:14">
      <c r="A5464" s="9" t="s">
        <v>481</v>
      </c>
      <c r="B5464" s="9" t="s">
        <v>480</v>
      </c>
      <c r="C5464" s="10">
        <v>46048</v>
      </c>
      <c r="D5464" s="15">
        <v>1.023</v>
      </c>
      <c r="E5464" s="15">
        <v>1.023</v>
      </c>
      <c r="F5464" s="15">
        <v>1.023</v>
      </c>
      <c r="G5464" s="11">
        <v>0.0029</v>
      </c>
      <c r="H5464" s="9">
        <f>MAX($F$5387:F5464)</f>
        <v>1.032</v>
      </c>
      <c r="I5464" s="11">
        <f t="shared" si="136"/>
        <v>0.00872093023255827</v>
      </c>
      <c r="J5464" s="9"/>
      <c r="K5464" s="11"/>
      <c r="L5464" s="9"/>
      <c r="M5464" s="11"/>
      <c r="N5464" s="9" t="s">
        <v>1014</v>
      </c>
    </row>
    <row r="5465" ht="25" customHeight="1" spans="1:14">
      <c r="A5465" s="9" t="s">
        <v>481</v>
      </c>
      <c r="B5465" s="9" t="s">
        <v>480</v>
      </c>
      <c r="C5465" s="10">
        <v>46049</v>
      </c>
      <c r="D5465" s="15">
        <v>1.012</v>
      </c>
      <c r="E5465" s="15">
        <v>1.012</v>
      </c>
      <c r="F5465" s="15">
        <v>1.012</v>
      </c>
      <c r="G5465" s="11">
        <v>-0.0108</v>
      </c>
      <c r="H5465" s="9">
        <f>MAX($F$5387:F5465)</f>
        <v>1.032</v>
      </c>
      <c r="I5465" s="11">
        <f t="shared" si="136"/>
        <v>0.0193798449612403</v>
      </c>
      <c r="J5465" s="9"/>
      <c r="K5465" s="11"/>
      <c r="L5465" s="9"/>
      <c r="M5465" s="11"/>
      <c r="N5465" s="9" t="s">
        <v>1014</v>
      </c>
    </row>
    <row r="5466" ht="25" customHeight="1" spans="1:14">
      <c r="A5466" s="9" t="s">
        <v>481</v>
      </c>
      <c r="B5466" s="9" t="s">
        <v>480</v>
      </c>
      <c r="C5466" s="10">
        <v>46050</v>
      </c>
      <c r="D5466" s="15">
        <v>1.012</v>
      </c>
      <c r="E5466" s="15">
        <v>1.012</v>
      </c>
      <c r="F5466" s="15">
        <v>1.012</v>
      </c>
      <c r="G5466" s="11">
        <v>0</v>
      </c>
      <c r="H5466" s="9">
        <f>MAX($F$5387:F5466)</f>
        <v>1.032</v>
      </c>
      <c r="I5466" s="11">
        <f t="shared" si="136"/>
        <v>0.0193798449612403</v>
      </c>
      <c r="J5466" s="9"/>
      <c r="K5466" s="11"/>
      <c r="L5466" s="9"/>
      <c r="M5466" s="11"/>
      <c r="N5466" s="9" t="s">
        <v>1014</v>
      </c>
    </row>
    <row r="5467" ht="25" customHeight="1" spans="1:14">
      <c r="A5467" s="9" t="s">
        <v>481</v>
      </c>
      <c r="B5467" s="9" t="s">
        <v>480</v>
      </c>
      <c r="C5467" s="10">
        <v>46051</v>
      </c>
      <c r="D5467" s="15">
        <v>1.011</v>
      </c>
      <c r="E5467" s="15">
        <v>1.011</v>
      </c>
      <c r="F5467" s="15">
        <v>1.011</v>
      </c>
      <c r="G5467" s="11">
        <v>-0.001</v>
      </c>
      <c r="H5467" s="9">
        <f>MAX($F$5387:F5467)</f>
        <v>1.032</v>
      </c>
      <c r="I5467" s="11">
        <f t="shared" si="136"/>
        <v>0.0203488372093025</v>
      </c>
      <c r="J5467" s="9"/>
      <c r="K5467" s="11"/>
      <c r="L5467" s="9"/>
      <c r="M5467" s="11"/>
      <c r="N5467" s="9" t="s">
        <v>1014</v>
      </c>
    </row>
    <row r="5468" ht="25" customHeight="1" spans="1:14">
      <c r="A5468" s="9" t="s">
        <v>481</v>
      </c>
      <c r="B5468" s="9" t="s">
        <v>480</v>
      </c>
      <c r="C5468" s="10">
        <v>46052</v>
      </c>
      <c r="D5468" s="15">
        <v>1.034</v>
      </c>
      <c r="E5468" s="15">
        <v>1.034</v>
      </c>
      <c r="F5468" s="15">
        <v>1.034</v>
      </c>
      <c r="G5468" s="11">
        <v>0.0227</v>
      </c>
      <c r="H5468" s="9">
        <f>MAX($F$5387:F5468)</f>
        <v>1.034</v>
      </c>
      <c r="I5468" s="11">
        <f t="shared" si="136"/>
        <v>0</v>
      </c>
      <c r="J5468" s="9"/>
      <c r="K5468" s="11"/>
      <c r="L5468" s="9"/>
      <c r="M5468" s="11"/>
      <c r="N5468" s="9" t="s">
        <v>1014</v>
      </c>
    </row>
    <row r="5469" ht="25" customHeight="1" spans="1:14">
      <c r="A5469" s="9" t="s">
        <v>481</v>
      </c>
      <c r="B5469" s="9" t="s">
        <v>480</v>
      </c>
      <c r="C5469" s="10">
        <v>46055</v>
      </c>
      <c r="D5469" s="15">
        <v>1.042</v>
      </c>
      <c r="E5469" s="15">
        <v>1.042</v>
      </c>
      <c r="F5469" s="15">
        <v>1.042</v>
      </c>
      <c r="G5469" s="11">
        <v>0.0077</v>
      </c>
      <c r="H5469" s="9">
        <f>MAX($F$5387:F5469)</f>
        <v>1.042</v>
      </c>
      <c r="I5469" s="11">
        <f t="shared" si="136"/>
        <v>0</v>
      </c>
      <c r="J5469" s="9"/>
      <c r="K5469" s="11"/>
      <c r="L5469" s="9"/>
      <c r="M5469" s="11"/>
      <c r="N5469" s="9" t="s">
        <v>1014</v>
      </c>
    </row>
    <row r="5470" ht="25" customHeight="1" spans="1:14">
      <c r="A5470" s="9" t="s">
        <v>481</v>
      </c>
      <c r="B5470" s="9" t="s">
        <v>480</v>
      </c>
      <c r="C5470" s="10">
        <v>46056</v>
      </c>
      <c r="D5470" s="15">
        <v>0.995</v>
      </c>
      <c r="E5470" s="15">
        <v>0.995</v>
      </c>
      <c r="F5470" s="15">
        <v>0.995</v>
      </c>
      <c r="G5470" s="11">
        <v>-0.0451</v>
      </c>
      <c r="H5470" s="9">
        <f>MAX($F$5387:F5470)</f>
        <v>1.042</v>
      </c>
      <c r="I5470" s="11">
        <f t="shared" si="136"/>
        <v>0.04510556621881</v>
      </c>
      <c r="J5470" s="9"/>
      <c r="K5470" s="11"/>
      <c r="L5470" s="9"/>
      <c r="M5470" s="11"/>
      <c r="N5470" s="9" t="s">
        <v>1014</v>
      </c>
    </row>
    <row r="5471" ht="25" customHeight="1" spans="1:14">
      <c r="A5471" s="9" t="s">
        <v>481</v>
      </c>
      <c r="B5471" s="9" t="s">
        <v>480</v>
      </c>
      <c r="C5471" s="10">
        <v>46057</v>
      </c>
      <c r="D5471" s="15">
        <v>1.004</v>
      </c>
      <c r="E5471" s="15">
        <v>1.004</v>
      </c>
      <c r="F5471" s="15">
        <v>1.004</v>
      </c>
      <c r="G5471" s="11">
        <v>0.009</v>
      </c>
      <c r="H5471" s="9">
        <f>MAX($F$5387:F5471)</f>
        <v>1.042</v>
      </c>
      <c r="I5471" s="11">
        <f t="shared" si="136"/>
        <v>0.036468330134357</v>
      </c>
      <c r="J5471" s="9"/>
      <c r="K5471" s="11"/>
      <c r="L5471" s="9"/>
      <c r="M5471" s="11"/>
      <c r="N5471" s="9" t="s">
        <v>1014</v>
      </c>
    </row>
    <row r="5472" ht="25" customHeight="1" spans="1:14">
      <c r="A5472" s="9" t="s">
        <v>481</v>
      </c>
      <c r="B5472" s="9" t="s">
        <v>480</v>
      </c>
      <c r="C5472" s="10">
        <v>46058</v>
      </c>
      <c r="D5472" s="15">
        <v>1.019</v>
      </c>
      <c r="E5472" s="15">
        <v>1.019</v>
      </c>
      <c r="F5472" s="15">
        <v>1.019</v>
      </c>
      <c r="G5472" s="11">
        <v>0.0149</v>
      </c>
      <c r="H5472" s="9">
        <f>MAX($F$5387:F5472)</f>
        <v>1.042</v>
      </c>
      <c r="I5472" s="11">
        <f t="shared" si="136"/>
        <v>0.0220729366602689</v>
      </c>
      <c r="J5472" s="9"/>
      <c r="K5472" s="11"/>
      <c r="L5472" s="9"/>
      <c r="M5472" s="11"/>
      <c r="N5472" s="9" t="s">
        <v>1014</v>
      </c>
    </row>
    <row r="5473" ht="25" customHeight="1" spans="1:14">
      <c r="A5473" s="9" t="s">
        <v>481</v>
      </c>
      <c r="B5473" s="9" t="s">
        <v>480</v>
      </c>
      <c r="C5473" s="10">
        <v>46059</v>
      </c>
      <c r="D5473" s="15">
        <v>1.011</v>
      </c>
      <c r="E5473" s="15">
        <v>1.011</v>
      </c>
      <c r="F5473" s="15">
        <v>1.011</v>
      </c>
      <c r="G5473" s="11">
        <v>-0.0079</v>
      </c>
      <c r="H5473" s="9">
        <f>MAX($F$5387:F5473)</f>
        <v>1.042</v>
      </c>
      <c r="I5473" s="11">
        <f t="shared" si="136"/>
        <v>0.0297504798464493</v>
      </c>
      <c r="J5473" s="9"/>
      <c r="K5473" s="11"/>
      <c r="L5473" s="9"/>
      <c r="M5473" s="11"/>
      <c r="N5473" s="9" t="s">
        <v>1014</v>
      </c>
    </row>
    <row r="5474" ht="25" customHeight="1" spans="1:14">
      <c r="A5474" s="9" t="s">
        <v>481</v>
      </c>
      <c r="B5474" s="9" t="s">
        <v>480</v>
      </c>
      <c r="C5474" s="10">
        <v>46062</v>
      </c>
      <c r="D5474" s="15">
        <v>1.016</v>
      </c>
      <c r="E5474" s="15">
        <v>1.016</v>
      </c>
      <c r="F5474" s="15">
        <v>1.016</v>
      </c>
      <c r="G5474" s="11">
        <v>0.0049</v>
      </c>
      <c r="H5474" s="9">
        <f>MAX($F$5387:F5474)</f>
        <v>1.042</v>
      </c>
      <c r="I5474" s="11">
        <f t="shared" si="136"/>
        <v>0.0249520153550864</v>
      </c>
      <c r="J5474" s="9"/>
      <c r="K5474" s="11"/>
      <c r="L5474" s="9"/>
      <c r="M5474" s="11"/>
      <c r="N5474" s="9" t="s">
        <v>1014</v>
      </c>
    </row>
    <row r="5475" ht="25" customHeight="1" spans="1:14">
      <c r="A5475" s="9" t="s">
        <v>481</v>
      </c>
      <c r="B5475" s="9" t="s">
        <v>480</v>
      </c>
      <c r="C5475" s="10">
        <v>46063</v>
      </c>
      <c r="D5475" s="15">
        <v>1.023</v>
      </c>
      <c r="E5475" s="15">
        <v>1.023</v>
      </c>
      <c r="F5475" s="15">
        <v>1.023</v>
      </c>
      <c r="G5475" s="11">
        <v>0.0069</v>
      </c>
      <c r="H5475" s="9">
        <f>MAX($F$5387:F5475)</f>
        <v>1.042</v>
      </c>
      <c r="I5475" s="11">
        <f t="shared" si="136"/>
        <v>0.0182341650671787</v>
      </c>
      <c r="J5475" s="9"/>
      <c r="K5475" s="11"/>
      <c r="L5475" s="9"/>
      <c r="M5475" s="11"/>
      <c r="N5475" s="9" t="s">
        <v>1014</v>
      </c>
    </row>
    <row r="5476" ht="25" customHeight="1" spans="1:14">
      <c r="A5476" s="9" t="s">
        <v>481</v>
      </c>
      <c r="B5476" s="9" t="s">
        <v>480</v>
      </c>
      <c r="C5476" s="10">
        <v>46064</v>
      </c>
      <c r="D5476" s="15">
        <v>1.022</v>
      </c>
      <c r="E5476" s="15">
        <v>1.022</v>
      </c>
      <c r="F5476" s="15">
        <v>1.022</v>
      </c>
      <c r="G5476" s="11">
        <v>-0.001</v>
      </c>
      <c r="H5476" s="9">
        <f>MAX($F$5387:F5476)</f>
        <v>1.042</v>
      </c>
      <c r="I5476" s="11">
        <f t="shared" si="136"/>
        <v>0.019193857965451</v>
      </c>
      <c r="J5476" s="9"/>
      <c r="K5476" s="11"/>
      <c r="L5476" s="9"/>
      <c r="M5476" s="11"/>
      <c r="N5476" s="9" t="s">
        <v>1014</v>
      </c>
    </row>
    <row r="5477" ht="25" customHeight="1" spans="1:14">
      <c r="A5477" s="9" t="s">
        <v>481</v>
      </c>
      <c r="B5477" s="9" t="s">
        <v>480</v>
      </c>
      <c r="C5477" s="10">
        <v>46065</v>
      </c>
      <c r="D5477" s="15">
        <v>1.025</v>
      </c>
      <c r="E5477" s="15">
        <v>1.025</v>
      </c>
      <c r="F5477" s="15">
        <v>1.025</v>
      </c>
      <c r="G5477" s="11">
        <v>0.0029</v>
      </c>
      <c r="H5477" s="9">
        <f>MAX($F$5387:F5477)</f>
        <v>1.042</v>
      </c>
      <c r="I5477" s="11">
        <f t="shared" si="136"/>
        <v>0.0163147792706335</v>
      </c>
      <c r="J5477" s="9"/>
      <c r="K5477" s="11"/>
      <c r="L5477" s="9"/>
      <c r="M5477" s="11"/>
      <c r="N5477" s="9" t="s">
        <v>1014</v>
      </c>
    </row>
    <row r="5478" ht="25" customHeight="1" spans="1:14">
      <c r="A5478" s="9" t="s">
        <v>481</v>
      </c>
      <c r="B5478" s="9" t="s">
        <v>480</v>
      </c>
      <c r="C5478" s="10">
        <v>46066</v>
      </c>
      <c r="D5478" s="15">
        <v>1.025</v>
      </c>
      <c r="E5478" s="15">
        <v>1.025</v>
      </c>
      <c r="F5478" s="15">
        <v>1.025</v>
      </c>
      <c r="G5478" s="11">
        <v>0</v>
      </c>
      <c r="H5478" s="9">
        <f>MAX($F$5387:F5478)</f>
        <v>1.042</v>
      </c>
      <c r="I5478" s="11">
        <f t="shared" si="136"/>
        <v>0.0163147792706335</v>
      </c>
      <c r="J5478" s="9"/>
      <c r="K5478" s="11"/>
      <c r="L5478" s="9"/>
      <c r="M5478" s="11"/>
      <c r="N5478" s="9" t="s">
        <v>1014</v>
      </c>
    </row>
    <row r="5479" ht="25" customHeight="1" spans="1:14">
      <c r="A5479" s="9" t="s">
        <v>481</v>
      </c>
      <c r="B5479" s="9" t="s">
        <v>480</v>
      </c>
      <c r="C5479" s="10">
        <v>46077</v>
      </c>
      <c r="D5479" s="15">
        <v>1.025</v>
      </c>
      <c r="E5479" s="15">
        <v>1.025</v>
      </c>
      <c r="F5479" s="15">
        <v>1.025</v>
      </c>
      <c r="G5479" s="11">
        <v>0</v>
      </c>
      <c r="H5479" s="9">
        <f>MAX($F$5387:F5479)</f>
        <v>1.042</v>
      </c>
      <c r="I5479" s="11">
        <f t="shared" si="136"/>
        <v>0.0163147792706335</v>
      </c>
      <c r="J5479" s="9"/>
      <c r="K5479" s="11"/>
      <c r="L5479" s="9"/>
      <c r="M5479" s="11"/>
      <c r="N5479" s="9" t="s">
        <v>1014</v>
      </c>
    </row>
    <row r="5480" ht="25" customHeight="1" spans="1:14">
      <c r="A5480" s="9" t="s">
        <v>481</v>
      </c>
      <c r="B5480" s="9" t="s">
        <v>480</v>
      </c>
      <c r="C5480" s="10">
        <v>46078</v>
      </c>
      <c r="D5480" s="15">
        <v>1.026</v>
      </c>
      <c r="E5480" s="15">
        <v>1.026</v>
      </c>
      <c r="F5480" s="15">
        <v>1.026</v>
      </c>
      <c r="G5480" s="11">
        <v>0.001</v>
      </c>
      <c r="H5480" s="9">
        <f>MAX($F$5387:F5480)</f>
        <v>1.042</v>
      </c>
      <c r="I5480" s="11">
        <f t="shared" si="136"/>
        <v>0.0153550863723608</v>
      </c>
      <c r="J5480" s="9"/>
      <c r="K5480" s="11"/>
      <c r="L5480" s="9"/>
      <c r="M5480" s="11"/>
      <c r="N5480" s="9" t="s">
        <v>1014</v>
      </c>
    </row>
    <row r="5481" ht="25" customHeight="1" spans="1:14">
      <c r="A5481" s="9" t="s">
        <v>481</v>
      </c>
      <c r="B5481" s="9" t="s">
        <v>480</v>
      </c>
      <c r="C5481" s="10">
        <v>46079</v>
      </c>
      <c r="D5481" s="15">
        <v>1.052</v>
      </c>
      <c r="E5481" s="15">
        <v>1.052</v>
      </c>
      <c r="F5481" s="15">
        <v>1.052</v>
      </c>
      <c r="G5481" s="11">
        <v>0.0253</v>
      </c>
      <c r="H5481" s="9">
        <f>MAX($F$5387:F5481)</f>
        <v>1.052</v>
      </c>
      <c r="I5481" s="11">
        <f t="shared" si="136"/>
        <v>0</v>
      </c>
      <c r="J5481" s="9"/>
      <c r="K5481" s="11"/>
      <c r="L5481" s="9"/>
      <c r="M5481" s="11"/>
      <c r="N5481" s="9" t="s">
        <v>1014</v>
      </c>
    </row>
    <row r="5482" ht="25" customHeight="1" spans="1:14">
      <c r="A5482" s="9" t="s">
        <v>481</v>
      </c>
      <c r="B5482" s="9" t="s">
        <v>480</v>
      </c>
      <c r="C5482" s="10">
        <v>46080</v>
      </c>
      <c r="D5482" s="15">
        <v>1.038</v>
      </c>
      <c r="E5482" s="15">
        <v>1.038</v>
      </c>
      <c r="F5482" s="15">
        <v>1.038</v>
      </c>
      <c r="G5482" s="11">
        <v>-0.0133</v>
      </c>
      <c r="H5482" s="9">
        <f>MAX($F$5387:F5482)</f>
        <v>1.052</v>
      </c>
      <c r="I5482" s="11">
        <f t="shared" si="136"/>
        <v>0.0133079847908746</v>
      </c>
      <c r="J5482" s="9"/>
      <c r="K5482" s="11"/>
      <c r="L5482" s="9"/>
      <c r="M5482" s="11"/>
      <c r="N5482" s="9" t="s">
        <v>1014</v>
      </c>
    </row>
    <row r="5483" ht="25" customHeight="1" spans="1:14">
      <c r="A5483" s="9" t="s">
        <v>481</v>
      </c>
      <c r="B5483" s="9" t="s">
        <v>480</v>
      </c>
      <c r="C5483" s="10">
        <v>46083</v>
      </c>
      <c r="D5483" s="15">
        <v>1.036</v>
      </c>
      <c r="E5483" s="15">
        <v>1.036</v>
      </c>
      <c r="F5483" s="15">
        <v>1.036</v>
      </c>
      <c r="G5483" s="11">
        <v>-0.0019</v>
      </c>
      <c r="H5483" s="9">
        <f>MAX($F$5387:F5483)</f>
        <v>1.052</v>
      </c>
      <c r="I5483" s="11">
        <f t="shared" si="136"/>
        <v>0.0152091254752852</v>
      </c>
      <c r="J5483" s="9"/>
      <c r="K5483" s="11"/>
      <c r="L5483" s="9"/>
      <c r="M5483" s="11"/>
      <c r="N5483" s="9" t="s">
        <v>1014</v>
      </c>
    </row>
    <row r="5484" ht="25" customHeight="1" spans="1:14">
      <c r="A5484" s="9" t="s">
        <v>481</v>
      </c>
      <c r="B5484" s="9" t="s">
        <v>480</v>
      </c>
      <c r="C5484" s="10">
        <v>46084</v>
      </c>
      <c r="D5484" s="15">
        <v>1.055</v>
      </c>
      <c r="E5484" s="15">
        <v>1.055</v>
      </c>
      <c r="F5484" s="15">
        <v>1.055</v>
      </c>
      <c r="G5484" s="11">
        <v>0.0183</v>
      </c>
      <c r="H5484" s="9">
        <f>MAX($F$5387:F5484)</f>
        <v>1.055</v>
      </c>
      <c r="I5484" s="11">
        <f t="shared" si="136"/>
        <v>0</v>
      </c>
      <c r="J5484" s="9"/>
      <c r="K5484" s="11"/>
      <c r="L5484" s="9"/>
      <c r="M5484" s="11"/>
      <c r="N5484" s="9" t="s">
        <v>1014</v>
      </c>
    </row>
    <row r="5485" ht="25" customHeight="1" spans="1:14">
      <c r="A5485" s="9" t="s">
        <v>481</v>
      </c>
      <c r="B5485" s="9" t="s">
        <v>480</v>
      </c>
      <c r="C5485" s="10">
        <v>46086</v>
      </c>
      <c r="D5485" s="15">
        <v>1.061</v>
      </c>
      <c r="E5485" s="15">
        <v>1.061</v>
      </c>
      <c r="F5485" s="15">
        <v>1.061</v>
      </c>
      <c r="G5485" s="11">
        <v>0.0057</v>
      </c>
      <c r="H5485" s="9">
        <f>MAX($F$5387:F5485)</f>
        <v>1.061</v>
      </c>
      <c r="I5485" s="11">
        <f t="shared" si="136"/>
        <v>0</v>
      </c>
      <c r="J5485" s="9"/>
      <c r="K5485" s="11"/>
      <c r="L5485" s="9"/>
      <c r="M5485" s="11"/>
      <c r="N5485" s="9" t="s">
        <v>1014</v>
      </c>
    </row>
    <row r="5486" ht="25" customHeight="1" spans="1:14">
      <c r="A5486" s="9" t="s">
        <v>481</v>
      </c>
      <c r="B5486" s="9" t="s">
        <v>480</v>
      </c>
      <c r="C5486" s="10">
        <v>46087</v>
      </c>
      <c r="D5486" s="15">
        <v>1.053</v>
      </c>
      <c r="E5486" s="15">
        <v>1.053</v>
      </c>
      <c r="F5486" s="15">
        <v>1.053</v>
      </c>
      <c r="G5486" s="11">
        <v>-0.0075</v>
      </c>
      <c r="H5486" s="9">
        <f>MAX($F$5387:F5486)</f>
        <v>1.061</v>
      </c>
      <c r="I5486" s="11">
        <f t="shared" si="136"/>
        <v>0.00754005655042411</v>
      </c>
      <c r="J5486" s="9"/>
      <c r="K5486" s="11"/>
      <c r="L5486" s="9"/>
      <c r="M5486" s="11"/>
      <c r="N5486" s="9" t="s">
        <v>1014</v>
      </c>
    </row>
    <row r="5487" ht="25" customHeight="1" spans="1:14">
      <c r="A5487" s="9" t="s">
        <v>481</v>
      </c>
      <c r="B5487" s="9" t="s">
        <v>480</v>
      </c>
      <c r="C5487" s="10">
        <v>46090</v>
      </c>
      <c r="D5487" s="15">
        <v>1.028</v>
      </c>
      <c r="E5487" s="15">
        <v>1.028</v>
      </c>
      <c r="F5487" s="15">
        <v>1.028</v>
      </c>
      <c r="G5487" s="11">
        <v>-0.0237</v>
      </c>
      <c r="H5487" s="9">
        <f>MAX($F$5387:F5487)</f>
        <v>1.061</v>
      </c>
      <c r="I5487" s="11">
        <f t="shared" si="136"/>
        <v>0.0311027332704995</v>
      </c>
      <c r="J5487" s="9"/>
      <c r="K5487" s="11"/>
      <c r="L5487" s="9"/>
      <c r="M5487" s="11"/>
      <c r="N5487" s="9" t="s">
        <v>1014</v>
      </c>
    </row>
    <row r="5488" ht="25" customHeight="1" spans="1:14">
      <c r="A5488" s="9" t="s">
        <v>481</v>
      </c>
      <c r="B5488" s="9" t="s">
        <v>480</v>
      </c>
      <c r="C5488" s="10">
        <v>46091</v>
      </c>
      <c r="D5488" s="15">
        <v>1.062</v>
      </c>
      <c r="E5488" s="15">
        <v>1.062</v>
      </c>
      <c r="F5488" s="15">
        <v>1.062</v>
      </c>
      <c r="G5488" s="11">
        <v>0.0331</v>
      </c>
      <c r="H5488" s="9">
        <f>MAX($F$5387:F5488)</f>
        <v>1.062</v>
      </c>
      <c r="I5488" s="11">
        <f t="shared" si="136"/>
        <v>0</v>
      </c>
      <c r="J5488" s="9"/>
      <c r="K5488" s="11"/>
      <c r="L5488" s="9"/>
      <c r="M5488" s="11"/>
      <c r="N5488" s="9" t="s">
        <v>1014</v>
      </c>
    </row>
    <row r="5489" ht="25" customHeight="1" spans="1:14">
      <c r="A5489" s="9" t="s">
        <v>481</v>
      </c>
      <c r="B5489" s="9" t="s">
        <v>480</v>
      </c>
      <c r="C5489" s="10">
        <v>46092</v>
      </c>
      <c r="D5489" s="15">
        <v>1.055</v>
      </c>
      <c r="E5489" s="15">
        <v>1.055</v>
      </c>
      <c r="F5489" s="15">
        <v>1.055</v>
      </c>
      <c r="G5489" s="11">
        <v>-0.0066</v>
      </c>
      <c r="H5489" s="9">
        <f>MAX($F$5387:F5489)</f>
        <v>1.062</v>
      </c>
      <c r="I5489" s="11">
        <f t="shared" si="136"/>
        <v>0.00659133709981174</v>
      </c>
      <c r="J5489" s="9"/>
      <c r="K5489" s="11"/>
      <c r="L5489" s="9"/>
      <c r="M5489" s="11"/>
      <c r="N5489" s="9" t="s">
        <v>1014</v>
      </c>
    </row>
    <row r="5490" ht="25" customHeight="1" spans="1:14">
      <c r="A5490" s="9" t="s">
        <v>481</v>
      </c>
      <c r="B5490" s="9" t="s">
        <v>480</v>
      </c>
      <c r="C5490" s="10">
        <v>46093</v>
      </c>
      <c r="D5490" s="15">
        <v>1.053</v>
      </c>
      <c r="E5490" s="15">
        <v>1.053</v>
      </c>
      <c r="F5490" s="15">
        <v>1.053</v>
      </c>
      <c r="G5490" s="11">
        <v>-0.0019</v>
      </c>
      <c r="H5490" s="9">
        <f>MAX($F$5387:F5490)</f>
        <v>1.062</v>
      </c>
      <c r="I5490" s="11">
        <f t="shared" si="136"/>
        <v>0.00847457627118653</v>
      </c>
      <c r="J5490" s="9"/>
      <c r="K5490" s="11"/>
      <c r="L5490" s="9"/>
      <c r="M5490" s="11"/>
      <c r="N5490" s="9" t="s">
        <v>1014</v>
      </c>
    </row>
    <row r="5491" ht="25" customHeight="1" spans="1:14">
      <c r="A5491" s="9" t="s">
        <v>481</v>
      </c>
      <c r="B5491" s="9" t="s">
        <v>480</v>
      </c>
      <c r="C5491" s="10">
        <v>46094</v>
      </c>
      <c r="D5491" s="15">
        <v>1.061</v>
      </c>
      <c r="E5491" s="15">
        <v>1.061</v>
      </c>
      <c r="F5491" s="15">
        <v>1.061</v>
      </c>
      <c r="G5491" s="11">
        <v>0.0076</v>
      </c>
      <c r="H5491" s="9">
        <f>MAX($F$5387:F5491)</f>
        <v>1.062</v>
      </c>
      <c r="I5491" s="11">
        <f t="shared" si="136"/>
        <v>0.000941619585687503</v>
      </c>
      <c r="J5491" s="9"/>
      <c r="K5491" s="11"/>
      <c r="L5491" s="9"/>
      <c r="M5491" s="11"/>
      <c r="N5491" s="9" t="s">
        <v>1014</v>
      </c>
    </row>
    <row r="5492" ht="25" customHeight="1" spans="1:14">
      <c r="A5492" s="9" t="s">
        <v>481</v>
      </c>
      <c r="B5492" s="9" t="s">
        <v>480</v>
      </c>
      <c r="C5492" s="10">
        <v>46097</v>
      </c>
      <c r="D5492" s="15">
        <v>1.063</v>
      </c>
      <c r="E5492" s="15">
        <v>1.063</v>
      </c>
      <c r="F5492" s="15">
        <v>1.063</v>
      </c>
      <c r="G5492" s="11">
        <v>0.0019</v>
      </c>
      <c r="H5492" s="9">
        <f>MAX($F$5387:F5492)</f>
        <v>1.063</v>
      </c>
      <c r="I5492" s="11">
        <f t="shared" si="136"/>
        <v>0</v>
      </c>
      <c r="J5492" s="9"/>
      <c r="K5492" s="11"/>
      <c r="L5492" s="9"/>
      <c r="M5492" s="11"/>
      <c r="N5492" s="9" t="s">
        <v>1014</v>
      </c>
    </row>
    <row r="5493" ht="25" customHeight="1" spans="1:14">
      <c r="A5493" s="9" t="s">
        <v>481</v>
      </c>
      <c r="B5493" s="9" t="s">
        <v>480</v>
      </c>
      <c r="C5493" s="10">
        <v>46098</v>
      </c>
      <c r="D5493" s="15">
        <v>1.064</v>
      </c>
      <c r="E5493" s="15">
        <v>1.064</v>
      </c>
      <c r="F5493" s="15">
        <v>1.064</v>
      </c>
      <c r="G5493" s="11">
        <v>0.0009</v>
      </c>
      <c r="H5493" s="9">
        <f>MAX($F$5387:F5493)</f>
        <v>1.064</v>
      </c>
      <c r="I5493" s="11">
        <f t="shared" si="136"/>
        <v>0</v>
      </c>
      <c r="J5493" s="9"/>
      <c r="K5493" s="11"/>
      <c r="L5493" s="9"/>
      <c r="M5493" s="11"/>
      <c r="N5493" s="9" t="s">
        <v>1014</v>
      </c>
    </row>
    <row r="5494" ht="25" customHeight="1" spans="1:14">
      <c r="A5494" s="9" t="s">
        <v>481</v>
      </c>
      <c r="B5494" s="9" t="s">
        <v>480</v>
      </c>
      <c r="C5494" s="10">
        <v>46099</v>
      </c>
      <c r="D5494" s="15">
        <v>1.076</v>
      </c>
      <c r="E5494" s="15">
        <v>1.076</v>
      </c>
      <c r="F5494" s="15">
        <v>1.076</v>
      </c>
      <c r="G5494" s="11">
        <v>0.0113</v>
      </c>
      <c r="H5494" s="9">
        <f>MAX($F$5387:F5494)</f>
        <v>1.076</v>
      </c>
      <c r="I5494" s="11">
        <f t="shared" si="136"/>
        <v>0</v>
      </c>
      <c r="J5494" s="9"/>
      <c r="K5494" s="11"/>
      <c r="L5494" s="9"/>
      <c r="M5494" s="11"/>
      <c r="N5494" s="9" t="s">
        <v>1014</v>
      </c>
    </row>
    <row r="5495" ht="25" customHeight="1" spans="1:14">
      <c r="A5495" s="9" t="s">
        <v>481</v>
      </c>
      <c r="B5495" s="9" t="s">
        <v>480</v>
      </c>
      <c r="C5495" s="10">
        <v>46100</v>
      </c>
      <c r="D5495" s="15">
        <v>1.066</v>
      </c>
      <c r="E5495" s="15">
        <v>1.066</v>
      </c>
      <c r="F5495" s="15">
        <v>1.066</v>
      </c>
      <c r="G5495" s="11">
        <v>-0.0093</v>
      </c>
      <c r="H5495" s="9">
        <f>MAX($F$5387:F5495)</f>
        <v>1.076</v>
      </c>
      <c r="I5495" s="11">
        <f t="shared" si="136"/>
        <v>0.00929368029739774</v>
      </c>
      <c r="J5495" s="9"/>
      <c r="K5495" s="11"/>
      <c r="L5495" s="9"/>
      <c r="M5495" s="11"/>
      <c r="N5495" s="9" t="s">
        <v>1014</v>
      </c>
    </row>
    <row r="5496" ht="25" customHeight="1" spans="1:14">
      <c r="A5496" s="9" t="s">
        <v>481</v>
      </c>
      <c r="B5496" s="9" t="s">
        <v>480</v>
      </c>
      <c r="C5496" s="10">
        <v>46101</v>
      </c>
      <c r="D5496" s="15">
        <v>1.065</v>
      </c>
      <c r="E5496" s="15">
        <v>1.065</v>
      </c>
      <c r="F5496" s="15">
        <v>1.065</v>
      </c>
      <c r="G5496" s="11">
        <v>-0.0009</v>
      </c>
      <c r="H5496" s="9">
        <f>MAX($F$5387:F5496)</f>
        <v>1.076</v>
      </c>
      <c r="I5496" s="11">
        <f t="shared" si="136"/>
        <v>0.0102230483271376</v>
      </c>
      <c r="J5496" s="9"/>
      <c r="K5496" s="11"/>
      <c r="L5496" s="9"/>
      <c r="M5496" s="11"/>
      <c r="N5496" s="9" t="s">
        <v>1014</v>
      </c>
    </row>
    <row r="5497" ht="25" customHeight="1" spans="1:14">
      <c r="A5497" s="9" t="s">
        <v>481</v>
      </c>
      <c r="B5497" s="9" t="s">
        <v>480</v>
      </c>
      <c r="C5497" s="10">
        <v>46104</v>
      </c>
      <c r="D5497" s="15">
        <v>1.053</v>
      </c>
      <c r="E5497" s="15">
        <v>1.053</v>
      </c>
      <c r="F5497" s="15">
        <v>1.053</v>
      </c>
      <c r="G5497" s="11">
        <v>-0.0113</v>
      </c>
      <c r="H5497" s="9">
        <f>MAX($F$5387:F5497)</f>
        <v>1.076</v>
      </c>
      <c r="I5497" s="11">
        <f t="shared" si="136"/>
        <v>0.021375464684015</v>
      </c>
      <c r="J5497" s="9"/>
      <c r="K5497" s="11"/>
      <c r="L5497" s="9"/>
      <c r="M5497" s="11"/>
      <c r="N5497" s="9" t="s">
        <v>1014</v>
      </c>
    </row>
    <row r="5498" ht="25" customHeight="1" spans="1:14">
      <c r="A5498" s="9" t="s">
        <v>481</v>
      </c>
      <c r="B5498" s="9" t="s">
        <v>480</v>
      </c>
      <c r="C5498" s="10">
        <v>46105</v>
      </c>
      <c r="D5498" s="15">
        <v>1.059</v>
      </c>
      <c r="E5498" s="15">
        <v>1.059</v>
      </c>
      <c r="F5498" s="15">
        <v>1.059</v>
      </c>
      <c r="G5498" s="11">
        <v>0.0057</v>
      </c>
      <c r="H5498" s="9">
        <f>MAX($F$5387:F5498)</f>
        <v>1.076</v>
      </c>
      <c r="I5498" s="11">
        <f t="shared" si="136"/>
        <v>0.0157992565055763</v>
      </c>
      <c r="J5498" s="9"/>
      <c r="K5498" s="11"/>
      <c r="L5498" s="9"/>
      <c r="M5498" s="11"/>
      <c r="N5498" s="9" t="s">
        <v>1014</v>
      </c>
    </row>
    <row r="5499" ht="25" customHeight="1" spans="1:14">
      <c r="A5499" s="9" t="s">
        <v>481</v>
      </c>
      <c r="B5499" s="9" t="s">
        <v>480</v>
      </c>
      <c r="C5499" s="10">
        <v>46106</v>
      </c>
      <c r="D5499" s="15">
        <v>1.057</v>
      </c>
      <c r="E5499" s="15">
        <v>1.057</v>
      </c>
      <c r="F5499" s="15">
        <v>1.057</v>
      </c>
      <c r="G5499" s="11">
        <v>-0.0019</v>
      </c>
      <c r="H5499" s="9">
        <f>MAX($F$5387:F5499)</f>
        <v>1.076</v>
      </c>
      <c r="I5499" s="11">
        <f t="shared" si="136"/>
        <v>0.0176579925650558</v>
      </c>
      <c r="J5499" s="9"/>
      <c r="K5499" s="11"/>
      <c r="L5499" s="9"/>
      <c r="M5499" s="11"/>
      <c r="N5499" s="9" t="s">
        <v>1014</v>
      </c>
    </row>
    <row r="5500" ht="25" customHeight="1" spans="1:14">
      <c r="A5500" s="9" t="s">
        <v>481</v>
      </c>
      <c r="B5500" s="9" t="s">
        <v>480</v>
      </c>
      <c r="C5500" s="10">
        <v>46107</v>
      </c>
      <c r="D5500" s="15">
        <v>1.058</v>
      </c>
      <c r="E5500" s="15">
        <v>1.058</v>
      </c>
      <c r="F5500" s="15">
        <v>1.058</v>
      </c>
      <c r="G5500" s="11">
        <v>0.0009</v>
      </c>
      <c r="H5500" s="9">
        <f>MAX($F$5387:F5500)</f>
        <v>1.076</v>
      </c>
      <c r="I5500" s="11">
        <f t="shared" si="136"/>
        <v>0.016728624535316</v>
      </c>
      <c r="J5500" s="9"/>
      <c r="K5500" s="11"/>
      <c r="L5500" s="9"/>
      <c r="M5500" s="11"/>
      <c r="N5500" s="9" t="s">
        <v>1014</v>
      </c>
    </row>
    <row r="5501" ht="25" customHeight="1" spans="1:14">
      <c r="A5501" s="9" t="s">
        <v>481</v>
      </c>
      <c r="B5501" s="9" t="s">
        <v>480</v>
      </c>
      <c r="C5501" s="10">
        <v>46108</v>
      </c>
      <c r="D5501" s="15">
        <v>1.058</v>
      </c>
      <c r="E5501" s="15">
        <v>1.058</v>
      </c>
      <c r="F5501" s="15">
        <v>1.058</v>
      </c>
      <c r="G5501" s="11">
        <v>0</v>
      </c>
      <c r="H5501" s="9">
        <f>MAX($F$5387:F5501)</f>
        <v>1.076</v>
      </c>
      <c r="I5501" s="11">
        <f t="shared" si="136"/>
        <v>0.016728624535316</v>
      </c>
      <c r="J5501" s="9"/>
      <c r="K5501" s="11"/>
      <c r="L5501" s="9"/>
      <c r="M5501" s="11"/>
      <c r="N5501" s="9" t="s">
        <v>1014</v>
      </c>
    </row>
    <row r="5502" ht="25" customHeight="1" spans="1:14">
      <c r="A5502" s="9" t="s">
        <v>481</v>
      </c>
      <c r="B5502" s="9" t="s">
        <v>480</v>
      </c>
      <c r="C5502" s="10">
        <v>46111</v>
      </c>
      <c r="D5502" s="15">
        <v>1.069</v>
      </c>
      <c r="E5502" s="15">
        <v>1.069</v>
      </c>
      <c r="F5502" s="15">
        <v>1.069</v>
      </c>
      <c r="G5502" s="11">
        <v>0.0104</v>
      </c>
      <c r="H5502" s="9">
        <f>MAX($F$5387:F5502)</f>
        <v>1.076</v>
      </c>
      <c r="I5502" s="11">
        <f t="shared" si="136"/>
        <v>0.0065055762081786</v>
      </c>
      <c r="J5502" s="9"/>
      <c r="K5502" s="11"/>
      <c r="L5502" s="9"/>
      <c r="M5502" s="11"/>
      <c r="N5502" s="9" t="s">
        <v>1014</v>
      </c>
    </row>
    <row r="5503" ht="25" customHeight="1" spans="1:14">
      <c r="A5503" s="9" t="s">
        <v>481</v>
      </c>
      <c r="B5503" s="9" t="s">
        <v>480</v>
      </c>
      <c r="C5503" s="10">
        <v>46112</v>
      </c>
      <c r="D5503" s="15">
        <v>1.073</v>
      </c>
      <c r="E5503" s="15">
        <v>1.073</v>
      </c>
      <c r="F5503" s="15">
        <v>1.073</v>
      </c>
      <c r="G5503" s="11">
        <v>0.0037</v>
      </c>
      <c r="H5503" s="9">
        <f>MAX($F$5387:F5503)</f>
        <v>1.076</v>
      </c>
      <c r="I5503" s="11">
        <f t="shared" si="136"/>
        <v>0.00278810408921948</v>
      </c>
      <c r="J5503" s="9"/>
      <c r="K5503" s="11"/>
      <c r="L5503" s="9"/>
      <c r="M5503" s="11"/>
      <c r="N5503" s="9" t="s">
        <v>1014</v>
      </c>
    </row>
    <row r="5504" ht="25" customHeight="1" spans="1:14">
      <c r="A5504" s="9" t="s">
        <v>481</v>
      </c>
      <c r="B5504" s="9" t="s">
        <v>480</v>
      </c>
      <c r="C5504" s="10">
        <v>46113</v>
      </c>
      <c r="D5504" s="15">
        <v>1.071</v>
      </c>
      <c r="E5504" s="15">
        <v>1.071</v>
      </c>
      <c r="F5504" s="15">
        <v>1.071</v>
      </c>
      <c r="G5504" s="11">
        <v>-0.0019</v>
      </c>
      <c r="H5504" s="9">
        <f>MAX($F$5387:F5504)</f>
        <v>1.076</v>
      </c>
      <c r="I5504" s="11">
        <f t="shared" si="136"/>
        <v>0.00464684014869898</v>
      </c>
      <c r="J5504" s="9"/>
      <c r="K5504" s="11"/>
      <c r="L5504" s="9"/>
      <c r="M5504" s="11"/>
      <c r="N5504" s="9" t="s">
        <v>1014</v>
      </c>
    </row>
    <row r="5505" ht="25" customHeight="1" spans="1:14">
      <c r="A5505" s="9" t="s">
        <v>481</v>
      </c>
      <c r="B5505" s="9" t="s">
        <v>480</v>
      </c>
      <c r="C5505" s="10">
        <v>46114</v>
      </c>
      <c r="D5505" s="15">
        <v>1.072</v>
      </c>
      <c r="E5505" s="15">
        <v>1.072</v>
      </c>
      <c r="F5505" s="15">
        <v>1.072</v>
      </c>
      <c r="G5505" s="11">
        <v>0.0009</v>
      </c>
      <c r="H5505" s="9">
        <f>MAX($F$5387:F5505)</f>
        <v>1.076</v>
      </c>
      <c r="I5505" s="11">
        <f t="shared" si="136"/>
        <v>0.00371747211895912</v>
      </c>
      <c r="J5505" s="9"/>
      <c r="K5505" s="11"/>
      <c r="L5505" s="9"/>
      <c r="M5505" s="11"/>
      <c r="N5505" s="9" t="s">
        <v>1014</v>
      </c>
    </row>
    <row r="5506" ht="25" customHeight="1" spans="1:14">
      <c r="A5506" s="9" t="s">
        <v>481</v>
      </c>
      <c r="B5506" s="9" t="s">
        <v>480</v>
      </c>
      <c r="C5506" s="10">
        <v>46115</v>
      </c>
      <c r="D5506" s="15">
        <v>1.075</v>
      </c>
      <c r="E5506" s="15">
        <v>1.075</v>
      </c>
      <c r="F5506" s="15">
        <v>1.075</v>
      </c>
      <c r="G5506" s="11">
        <v>0.0028</v>
      </c>
      <c r="H5506" s="9">
        <f>MAX($F$5387:F5506)</f>
        <v>1.076</v>
      </c>
      <c r="I5506" s="11">
        <f t="shared" ref="I5506:I5569" si="137">1-F5506/H5506</f>
        <v>0.000929368029739863</v>
      </c>
      <c r="J5506" s="9"/>
      <c r="K5506" s="11"/>
      <c r="L5506" s="9"/>
      <c r="M5506" s="11"/>
      <c r="N5506" s="9" t="s">
        <v>1014</v>
      </c>
    </row>
    <row r="5507" ht="25" customHeight="1" spans="1:14">
      <c r="A5507" s="9" t="s">
        <v>481</v>
      </c>
      <c r="B5507" s="9" t="s">
        <v>480</v>
      </c>
      <c r="C5507" s="10">
        <v>46119</v>
      </c>
      <c r="D5507" s="15">
        <v>1.082</v>
      </c>
      <c r="E5507" s="15">
        <v>1.082</v>
      </c>
      <c r="F5507" s="15">
        <v>1.082</v>
      </c>
      <c r="G5507" s="11">
        <v>0.0065</v>
      </c>
      <c r="H5507" s="9">
        <f>MAX($F$5387:F5507)</f>
        <v>1.082</v>
      </c>
      <c r="I5507" s="11">
        <f t="shared" si="137"/>
        <v>0</v>
      </c>
      <c r="J5507" s="9"/>
      <c r="K5507" s="11"/>
      <c r="L5507" s="9"/>
      <c r="M5507" s="11"/>
      <c r="N5507" s="9" t="s">
        <v>1014</v>
      </c>
    </row>
    <row r="5508" ht="25" customHeight="1" spans="1:14">
      <c r="A5508" s="9" t="s">
        <v>481</v>
      </c>
      <c r="B5508" s="9" t="s">
        <v>480</v>
      </c>
      <c r="C5508" s="10">
        <v>46120</v>
      </c>
      <c r="D5508" s="15">
        <v>1.08</v>
      </c>
      <c r="E5508" s="15">
        <v>1.08</v>
      </c>
      <c r="F5508" s="15">
        <v>1.08</v>
      </c>
      <c r="G5508" s="11">
        <v>-0.0018</v>
      </c>
      <c r="H5508" s="9">
        <f>MAX($F$5387:F5508)</f>
        <v>1.082</v>
      </c>
      <c r="I5508" s="11">
        <f t="shared" si="137"/>
        <v>0.00184842883548986</v>
      </c>
      <c r="J5508" s="9"/>
      <c r="K5508" s="11"/>
      <c r="L5508" s="9"/>
      <c r="M5508" s="11"/>
      <c r="N5508" s="9" t="s">
        <v>1014</v>
      </c>
    </row>
    <row r="5509" ht="25" customHeight="1" spans="1:14">
      <c r="A5509" s="9" t="s">
        <v>481</v>
      </c>
      <c r="B5509" s="9" t="s">
        <v>480</v>
      </c>
      <c r="C5509" s="10">
        <v>46121</v>
      </c>
      <c r="D5509" s="15">
        <v>1.085</v>
      </c>
      <c r="E5509" s="15">
        <v>1.085</v>
      </c>
      <c r="F5509" s="15">
        <v>1.085</v>
      </c>
      <c r="G5509" s="11">
        <v>0.0046</v>
      </c>
      <c r="H5509" s="9">
        <f>MAX($F$5387:F5509)</f>
        <v>1.085</v>
      </c>
      <c r="I5509" s="11">
        <f t="shared" si="137"/>
        <v>0</v>
      </c>
      <c r="J5509" s="9"/>
      <c r="K5509" s="11"/>
      <c r="L5509" s="9"/>
      <c r="M5509" s="11"/>
      <c r="N5509" s="9" t="s">
        <v>1014</v>
      </c>
    </row>
    <row r="5510" ht="25" customHeight="1" spans="1:14">
      <c r="A5510" s="9" t="s">
        <v>481</v>
      </c>
      <c r="B5510" s="9" t="s">
        <v>480</v>
      </c>
      <c r="C5510" s="10">
        <v>46122</v>
      </c>
      <c r="D5510" s="15">
        <v>1.089</v>
      </c>
      <c r="E5510" s="15">
        <v>1.089</v>
      </c>
      <c r="F5510" s="15">
        <v>1.089</v>
      </c>
      <c r="G5510" s="11">
        <v>0.0037</v>
      </c>
      <c r="H5510" s="9">
        <f>MAX($F$5387:F5510)</f>
        <v>1.089</v>
      </c>
      <c r="I5510" s="11">
        <f t="shared" si="137"/>
        <v>0</v>
      </c>
      <c r="J5510" s="9"/>
      <c r="K5510" s="11"/>
      <c r="L5510" s="9"/>
      <c r="M5510" s="11"/>
      <c r="N5510" s="9" t="s">
        <v>1014</v>
      </c>
    </row>
    <row r="5511" ht="25" customHeight="1" spans="1:14">
      <c r="A5511" s="9" t="s">
        <v>481</v>
      </c>
      <c r="B5511" s="9" t="s">
        <v>480</v>
      </c>
      <c r="C5511" s="10">
        <v>46125</v>
      </c>
      <c r="D5511" s="15">
        <v>1.092</v>
      </c>
      <c r="E5511" s="15">
        <v>1.092</v>
      </c>
      <c r="F5511" s="15">
        <v>1.092</v>
      </c>
      <c r="G5511" s="11">
        <v>0.0028</v>
      </c>
      <c r="H5511" s="9">
        <f>MAX($F$5387:F5511)</f>
        <v>1.092</v>
      </c>
      <c r="I5511" s="11">
        <f t="shared" si="137"/>
        <v>0</v>
      </c>
      <c r="J5511" s="9"/>
      <c r="K5511" s="11"/>
      <c r="L5511" s="9"/>
      <c r="M5511" s="11"/>
      <c r="N5511" s="9" t="s">
        <v>1014</v>
      </c>
    </row>
    <row r="5512" ht="25" customHeight="1" spans="1:14">
      <c r="A5512" s="9" t="s">
        <v>481</v>
      </c>
      <c r="B5512" s="9" t="s">
        <v>480</v>
      </c>
      <c r="C5512" s="10">
        <v>46126</v>
      </c>
      <c r="D5512" s="15">
        <v>1.091</v>
      </c>
      <c r="E5512" s="15">
        <v>1.091</v>
      </c>
      <c r="F5512" s="15">
        <v>1.091</v>
      </c>
      <c r="G5512" s="11">
        <v>-0.0009</v>
      </c>
      <c r="H5512" s="9">
        <f>MAX($F$5387:F5512)</f>
        <v>1.092</v>
      </c>
      <c r="I5512" s="11">
        <f t="shared" si="137"/>
        <v>0.000915750915751024</v>
      </c>
      <c r="J5512" s="9"/>
      <c r="K5512" s="11"/>
      <c r="L5512" s="9"/>
      <c r="M5512" s="11"/>
      <c r="N5512" s="9" t="s">
        <v>1014</v>
      </c>
    </row>
    <row r="5513" ht="25" customHeight="1" spans="1:14">
      <c r="A5513" s="9" t="s">
        <v>481</v>
      </c>
      <c r="B5513" s="9" t="s">
        <v>480</v>
      </c>
      <c r="C5513" s="10">
        <v>46127</v>
      </c>
      <c r="D5513" s="15">
        <v>1.092</v>
      </c>
      <c r="E5513" s="15">
        <v>1.092</v>
      </c>
      <c r="F5513" s="15">
        <v>1.092</v>
      </c>
      <c r="G5513" s="11">
        <v>0.0009</v>
      </c>
      <c r="H5513" s="9">
        <f>MAX($F$5387:F5513)</f>
        <v>1.092</v>
      </c>
      <c r="I5513" s="11">
        <f t="shared" si="137"/>
        <v>0</v>
      </c>
      <c r="J5513" s="9"/>
      <c r="K5513" s="11"/>
      <c r="L5513" s="9"/>
      <c r="M5513" s="11"/>
      <c r="N5513" s="9" t="s">
        <v>1014</v>
      </c>
    </row>
    <row r="5514" ht="25" customHeight="1" spans="1:14">
      <c r="A5514" s="9" t="s">
        <v>481</v>
      </c>
      <c r="B5514" s="9" t="s">
        <v>480</v>
      </c>
      <c r="C5514" s="10">
        <v>46128</v>
      </c>
      <c r="D5514" s="15">
        <v>1.091</v>
      </c>
      <c r="E5514" s="15">
        <v>1.091</v>
      </c>
      <c r="F5514" s="15">
        <v>1.091</v>
      </c>
      <c r="G5514" s="11">
        <v>-0.0009</v>
      </c>
      <c r="H5514" s="9">
        <f>MAX($F$5387:F5514)</f>
        <v>1.092</v>
      </c>
      <c r="I5514" s="11">
        <f t="shared" si="137"/>
        <v>0.000915750915751024</v>
      </c>
      <c r="J5514" s="9"/>
      <c r="K5514" s="11"/>
      <c r="L5514" s="9"/>
      <c r="M5514" s="11"/>
      <c r="N5514" s="9" t="s">
        <v>1014</v>
      </c>
    </row>
    <row r="5515" ht="25" customHeight="1" spans="1:14">
      <c r="A5515" s="9" t="s">
        <v>481</v>
      </c>
      <c r="B5515" s="9" t="s">
        <v>480</v>
      </c>
      <c r="C5515" s="10">
        <v>46129</v>
      </c>
      <c r="D5515" s="15">
        <v>1.095</v>
      </c>
      <c r="E5515" s="15">
        <v>1.095</v>
      </c>
      <c r="F5515" s="15">
        <v>1.095</v>
      </c>
      <c r="G5515" s="11">
        <v>0.0037</v>
      </c>
      <c r="H5515" s="9">
        <f>MAX($F$5387:F5515)</f>
        <v>1.095</v>
      </c>
      <c r="I5515" s="11">
        <f t="shared" si="137"/>
        <v>0</v>
      </c>
      <c r="J5515" s="9"/>
      <c r="K5515" s="11"/>
      <c r="L5515" s="9"/>
      <c r="M5515" s="11"/>
      <c r="N5515" s="9" t="s">
        <v>1014</v>
      </c>
    </row>
    <row r="5516" ht="25" customHeight="1" spans="1:14">
      <c r="A5516" s="9" t="s">
        <v>481</v>
      </c>
      <c r="B5516" s="9" t="s">
        <v>480</v>
      </c>
      <c r="C5516" s="10">
        <v>46132</v>
      </c>
      <c r="D5516" s="15">
        <v>1.092</v>
      </c>
      <c r="E5516" s="15">
        <v>1.092</v>
      </c>
      <c r="F5516" s="15">
        <v>1.092</v>
      </c>
      <c r="G5516" s="11">
        <v>-0.0027</v>
      </c>
      <c r="H5516" s="9">
        <f>MAX($F$5387:F5516)</f>
        <v>1.095</v>
      </c>
      <c r="I5516" s="11">
        <f t="shared" si="137"/>
        <v>0.00273972602739714</v>
      </c>
      <c r="J5516" s="9"/>
      <c r="K5516" s="11"/>
      <c r="L5516" s="9"/>
      <c r="M5516" s="11"/>
      <c r="N5516" s="9" t="s">
        <v>1014</v>
      </c>
    </row>
    <row r="5517" ht="25" customHeight="1" spans="1:14">
      <c r="A5517" s="9" t="s">
        <v>481</v>
      </c>
      <c r="B5517" s="9" t="s">
        <v>480</v>
      </c>
      <c r="C5517" s="10">
        <v>46133</v>
      </c>
      <c r="D5517" s="15">
        <v>1.092</v>
      </c>
      <c r="E5517" s="15">
        <v>1.092</v>
      </c>
      <c r="F5517" s="15">
        <v>1.092</v>
      </c>
      <c r="G5517" s="11">
        <v>0</v>
      </c>
      <c r="H5517" s="9">
        <f>MAX($F$5387:F5517)</f>
        <v>1.095</v>
      </c>
      <c r="I5517" s="11">
        <f t="shared" si="137"/>
        <v>0.00273972602739714</v>
      </c>
      <c r="J5517" s="9"/>
      <c r="K5517" s="11"/>
      <c r="L5517" s="9"/>
      <c r="M5517" s="11"/>
      <c r="N5517" s="9" t="s">
        <v>1014</v>
      </c>
    </row>
    <row r="5518" ht="25" customHeight="1" spans="1:14">
      <c r="A5518" s="9" t="s">
        <v>481</v>
      </c>
      <c r="B5518" s="9" t="s">
        <v>480</v>
      </c>
      <c r="C5518" s="10">
        <v>46134</v>
      </c>
      <c r="D5518" s="15">
        <v>1.092</v>
      </c>
      <c r="E5518" s="15">
        <v>1.092</v>
      </c>
      <c r="F5518" s="15">
        <v>1.092</v>
      </c>
      <c r="G5518" s="11">
        <v>0</v>
      </c>
      <c r="H5518" s="9">
        <f>MAX($F$5387:F5518)</f>
        <v>1.095</v>
      </c>
      <c r="I5518" s="11">
        <f t="shared" si="137"/>
        <v>0.00273972602739714</v>
      </c>
      <c r="J5518" s="9"/>
      <c r="K5518" s="11"/>
      <c r="L5518" s="9"/>
      <c r="M5518" s="11"/>
      <c r="N5518" s="9" t="s">
        <v>1014</v>
      </c>
    </row>
    <row r="5519" ht="25" customHeight="1" spans="1:14">
      <c r="A5519" s="9" t="s">
        <v>481</v>
      </c>
      <c r="B5519" s="9" t="s">
        <v>480</v>
      </c>
      <c r="C5519" s="10">
        <v>46135</v>
      </c>
      <c r="D5519" s="15">
        <v>1.093</v>
      </c>
      <c r="E5519" s="15">
        <v>1.093</v>
      </c>
      <c r="F5519" s="15">
        <v>1.093</v>
      </c>
      <c r="G5519" s="11">
        <v>0.0009</v>
      </c>
      <c r="H5519" s="9">
        <f>MAX($F$5387:F5519)</f>
        <v>1.095</v>
      </c>
      <c r="I5519" s="11">
        <f t="shared" si="137"/>
        <v>0.0018264840182648</v>
      </c>
      <c r="J5519" s="9"/>
      <c r="K5519" s="11"/>
      <c r="L5519" s="9"/>
      <c r="M5519" s="11"/>
      <c r="N5519" s="9" t="s">
        <v>1014</v>
      </c>
    </row>
    <row r="5520" ht="25" customHeight="1" spans="1:14">
      <c r="A5520" s="9" t="s">
        <v>481</v>
      </c>
      <c r="B5520" s="9" t="s">
        <v>480</v>
      </c>
      <c r="C5520" s="10">
        <v>46136</v>
      </c>
      <c r="D5520" s="15">
        <v>1.094</v>
      </c>
      <c r="E5520" s="15">
        <v>1.094</v>
      </c>
      <c r="F5520" s="15">
        <v>1.094</v>
      </c>
      <c r="G5520" s="11">
        <v>0.0009</v>
      </c>
      <c r="H5520" s="9">
        <f>MAX($F$5387:F5520)</f>
        <v>1.095</v>
      </c>
      <c r="I5520" s="11">
        <f t="shared" si="137"/>
        <v>0.000913242009132342</v>
      </c>
      <c r="J5520" s="9"/>
      <c r="K5520" s="11"/>
      <c r="L5520" s="9"/>
      <c r="M5520" s="11"/>
      <c r="N5520" s="9" t="s">
        <v>1014</v>
      </c>
    </row>
    <row r="5521" ht="25" customHeight="1" spans="1:14">
      <c r="A5521" s="9" t="s">
        <v>481</v>
      </c>
      <c r="B5521" s="9" t="s">
        <v>480</v>
      </c>
      <c r="C5521" s="10">
        <v>46139</v>
      </c>
      <c r="D5521" s="15">
        <v>1.094</v>
      </c>
      <c r="E5521" s="15">
        <v>1.094</v>
      </c>
      <c r="F5521" s="15">
        <v>1.094</v>
      </c>
      <c r="G5521" s="11">
        <v>0</v>
      </c>
      <c r="H5521" s="9">
        <f>MAX($F$5387:F5521)</f>
        <v>1.095</v>
      </c>
      <c r="I5521" s="11">
        <f t="shared" si="137"/>
        <v>0.000913242009132342</v>
      </c>
      <c r="J5521" s="9"/>
      <c r="K5521" s="11"/>
      <c r="L5521" s="9"/>
      <c r="M5521" s="11"/>
      <c r="N5521" s="9" t="s">
        <v>1014</v>
      </c>
    </row>
    <row r="5522" ht="25" customHeight="1" spans="1:14">
      <c r="A5522" s="9" t="s">
        <v>481</v>
      </c>
      <c r="B5522" s="9" t="s">
        <v>480</v>
      </c>
      <c r="C5522" s="10">
        <v>46140</v>
      </c>
      <c r="D5522" s="15">
        <v>1.096</v>
      </c>
      <c r="E5522" s="15">
        <v>1.096</v>
      </c>
      <c r="F5522" s="15">
        <v>1.096</v>
      </c>
      <c r="G5522" s="11">
        <v>0.0018</v>
      </c>
      <c r="H5522" s="9">
        <f>MAX($F$5387:F5522)</f>
        <v>1.096</v>
      </c>
      <c r="I5522" s="11">
        <f t="shared" si="137"/>
        <v>0</v>
      </c>
      <c r="J5522" s="9"/>
      <c r="K5522" s="11"/>
      <c r="L5522" s="9"/>
      <c r="M5522" s="11"/>
      <c r="N5522" s="9" t="s">
        <v>1014</v>
      </c>
    </row>
    <row r="5523" ht="25" customHeight="1" spans="1:14">
      <c r="A5523" s="9" t="s">
        <v>481</v>
      </c>
      <c r="B5523" s="9" t="s">
        <v>480</v>
      </c>
      <c r="C5523" s="10">
        <v>46141</v>
      </c>
      <c r="D5523" s="15">
        <v>1.095</v>
      </c>
      <c r="E5523" s="15">
        <v>1.095</v>
      </c>
      <c r="F5523" s="15">
        <v>1.095</v>
      </c>
      <c r="G5523" s="11">
        <v>-0.0009</v>
      </c>
      <c r="H5523" s="9">
        <f>MAX($F$5387:F5523)</f>
        <v>1.096</v>
      </c>
      <c r="I5523" s="11">
        <f t="shared" si="137"/>
        <v>0.000912408759124239</v>
      </c>
      <c r="J5523" s="9"/>
      <c r="K5523" s="11"/>
      <c r="L5523" s="9"/>
      <c r="M5523" s="11"/>
      <c r="N5523" s="9" t="s">
        <v>1014</v>
      </c>
    </row>
    <row r="5524" ht="25" customHeight="1" spans="1:14">
      <c r="A5524" s="9" t="s">
        <v>481</v>
      </c>
      <c r="B5524" s="9" t="s">
        <v>480</v>
      </c>
      <c r="C5524" s="10">
        <v>46142</v>
      </c>
      <c r="D5524" s="15">
        <v>1.095</v>
      </c>
      <c r="E5524" s="15">
        <v>1.095</v>
      </c>
      <c r="F5524" s="15">
        <v>1.095</v>
      </c>
      <c r="G5524" s="11">
        <v>0</v>
      </c>
      <c r="H5524" s="9">
        <f>MAX($F$5387:F5524)</f>
        <v>1.096</v>
      </c>
      <c r="I5524" s="11">
        <f t="shared" si="137"/>
        <v>0.000912408759124239</v>
      </c>
      <c r="J5524" s="9"/>
      <c r="K5524" s="11"/>
      <c r="L5524" s="9"/>
      <c r="M5524" s="11"/>
      <c r="N5524" s="9" t="s">
        <v>1014</v>
      </c>
    </row>
    <row r="5525" ht="25" customHeight="1" spans="1:14">
      <c r="A5525" s="9" t="s">
        <v>481</v>
      </c>
      <c r="B5525" s="9" t="s">
        <v>480</v>
      </c>
      <c r="C5525" s="10">
        <v>46148</v>
      </c>
      <c r="D5525" s="15">
        <v>1.097</v>
      </c>
      <c r="E5525" s="15">
        <v>1.097</v>
      </c>
      <c r="F5525" s="15">
        <v>1.097</v>
      </c>
      <c r="G5525" s="11">
        <v>0.0018</v>
      </c>
      <c r="H5525" s="9">
        <f>MAX($F$5387:F5525)</f>
        <v>1.097</v>
      </c>
      <c r="I5525" s="11">
        <f t="shared" si="137"/>
        <v>0</v>
      </c>
      <c r="J5525" s="9"/>
      <c r="K5525" s="11"/>
      <c r="L5525" s="9"/>
      <c r="M5525" s="11"/>
      <c r="N5525" s="9" t="s">
        <v>1014</v>
      </c>
    </row>
    <row r="5526" ht="25" customHeight="1" spans="1:14">
      <c r="A5526" s="9" t="s">
        <v>481</v>
      </c>
      <c r="B5526" s="9" t="s">
        <v>480</v>
      </c>
      <c r="C5526" s="10">
        <v>46149</v>
      </c>
      <c r="D5526" s="15">
        <v>1.097</v>
      </c>
      <c r="E5526" s="15">
        <v>1.097</v>
      </c>
      <c r="F5526" s="15">
        <v>1.097</v>
      </c>
      <c r="G5526" s="11">
        <v>0</v>
      </c>
      <c r="H5526" s="9">
        <f>MAX($F$5387:F5526)</f>
        <v>1.097</v>
      </c>
      <c r="I5526" s="11">
        <f t="shared" si="137"/>
        <v>0</v>
      </c>
      <c r="J5526" s="9"/>
      <c r="K5526" s="11"/>
      <c r="L5526" s="9"/>
      <c r="M5526" s="11"/>
      <c r="N5526" s="9" t="s">
        <v>1014</v>
      </c>
    </row>
    <row r="5527" ht="25" customHeight="1" spans="1:14">
      <c r="A5527" s="9" t="s">
        <v>481</v>
      </c>
      <c r="B5527" s="9" t="s">
        <v>480</v>
      </c>
      <c r="C5527" s="10">
        <v>46150</v>
      </c>
      <c r="D5527" s="15">
        <v>1.093</v>
      </c>
      <c r="E5527" s="15">
        <v>1.093</v>
      </c>
      <c r="F5527" s="15">
        <v>1.093</v>
      </c>
      <c r="G5527" s="11">
        <v>-0.0036</v>
      </c>
      <c r="H5527" s="9">
        <f>MAX($F$5387:F5527)</f>
        <v>1.097</v>
      </c>
      <c r="I5527" s="11">
        <f t="shared" si="137"/>
        <v>0.00364630811303557</v>
      </c>
      <c r="J5527" s="9"/>
      <c r="K5527" s="11"/>
      <c r="L5527" s="9"/>
      <c r="M5527" s="11"/>
      <c r="N5527" s="9" t="s">
        <v>1014</v>
      </c>
    </row>
    <row r="5528" ht="25" customHeight="1" spans="1:14">
      <c r="A5528" s="9" t="s">
        <v>481</v>
      </c>
      <c r="B5528" s="9" t="s">
        <v>480</v>
      </c>
      <c r="C5528" s="10">
        <v>46153</v>
      </c>
      <c r="D5528" s="15">
        <v>1.097</v>
      </c>
      <c r="E5528" s="15">
        <v>1.097</v>
      </c>
      <c r="F5528" s="15">
        <v>1.097</v>
      </c>
      <c r="G5528" s="11">
        <v>0.0037</v>
      </c>
      <c r="H5528" s="9">
        <f>MAX($F$5387:F5528)</f>
        <v>1.097</v>
      </c>
      <c r="I5528" s="11">
        <f t="shared" si="137"/>
        <v>0</v>
      </c>
      <c r="J5528" s="9"/>
      <c r="K5528" s="11"/>
      <c r="L5528" s="9"/>
      <c r="M5528" s="11"/>
      <c r="N5528" s="9" t="s">
        <v>1014</v>
      </c>
    </row>
    <row r="5529" ht="25" customHeight="1" spans="1:14">
      <c r="A5529" s="9" t="s">
        <v>481</v>
      </c>
      <c r="B5529" s="9" t="s">
        <v>480</v>
      </c>
      <c r="C5529" s="10">
        <v>46154</v>
      </c>
      <c r="D5529" s="15">
        <v>1.093</v>
      </c>
      <c r="E5529" s="15">
        <v>1.093</v>
      </c>
      <c r="F5529" s="15">
        <v>1.093</v>
      </c>
      <c r="G5529" s="11">
        <v>-0.0036</v>
      </c>
      <c r="H5529" s="9">
        <f>MAX($F$5387:F5529)</f>
        <v>1.097</v>
      </c>
      <c r="I5529" s="11">
        <f t="shared" si="137"/>
        <v>0.00364630811303557</v>
      </c>
      <c r="J5529" s="9"/>
      <c r="K5529" s="11"/>
      <c r="L5529" s="9"/>
      <c r="M5529" s="11"/>
      <c r="N5529" s="9" t="s">
        <v>1014</v>
      </c>
    </row>
    <row r="5530" ht="25" customHeight="1" spans="1:14">
      <c r="A5530" s="9" t="s">
        <v>481</v>
      </c>
      <c r="B5530" s="9" t="s">
        <v>480</v>
      </c>
      <c r="C5530" s="10">
        <v>46155</v>
      </c>
      <c r="D5530" s="15">
        <v>1.09</v>
      </c>
      <c r="E5530" s="15">
        <v>1.09</v>
      </c>
      <c r="F5530" s="15">
        <v>1.09</v>
      </c>
      <c r="G5530" s="11">
        <v>-0.0027</v>
      </c>
      <c r="H5530" s="9">
        <f>MAX($F$5387:F5530)</f>
        <v>1.097</v>
      </c>
      <c r="I5530" s="11">
        <f t="shared" si="137"/>
        <v>0.00638103919781208</v>
      </c>
      <c r="J5530" s="9"/>
      <c r="K5530" s="11"/>
      <c r="L5530" s="9"/>
      <c r="M5530" s="11"/>
      <c r="N5530" s="9" t="s">
        <v>1014</v>
      </c>
    </row>
    <row r="5531" ht="25" customHeight="1" spans="1:14">
      <c r="A5531" s="9" t="s">
        <v>481</v>
      </c>
      <c r="B5531" s="9" t="s">
        <v>480</v>
      </c>
      <c r="C5531" s="10">
        <v>46156</v>
      </c>
      <c r="D5531" s="15">
        <v>1.098</v>
      </c>
      <c r="E5531" s="15">
        <v>1.098</v>
      </c>
      <c r="F5531" s="15">
        <v>1.098</v>
      </c>
      <c r="G5531" s="11">
        <v>0.0073</v>
      </c>
      <c r="H5531" s="9">
        <f>MAX($F$5387:F5531)</f>
        <v>1.098</v>
      </c>
      <c r="I5531" s="11">
        <f t="shared" si="137"/>
        <v>0</v>
      </c>
      <c r="J5531" s="9"/>
      <c r="K5531" s="11"/>
      <c r="L5531" s="9"/>
      <c r="M5531" s="11"/>
      <c r="N5531" s="9" t="s">
        <v>1014</v>
      </c>
    </row>
    <row r="5532" ht="25" customHeight="1" spans="1:14">
      <c r="A5532" s="9" t="s">
        <v>481</v>
      </c>
      <c r="B5532" s="9" t="s">
        <v>480</v>
      </c>
      <c r="C5532" s="10">
        <v>46157</v>
      </c>
      <c r="D5532" s="15">
        <v>1.108</v>
      </c>
      <c r="E5532" s="15">
        <v>1.108</v>
      </c>
      <c r="F5532" s="15">
        <v>1.108</v>
      </c>
      <c r="G5532" s="11">
        <v>0.0091</v>
      </c>
      <c r="H5532" s="9">
        <f>MAX($F$5387:F5532)</f>
        <v>1.108</v>
      </c>
      <c r="I5532" s="11">
        <f t="shared" si="137"/>
        <v>0</v>
      </c>
      <c r="J5532" s="9"/>
      <c r="K5532" s="11"/>
      <c r="L5532" s="9"/>
      <c r="M5532" s="11"/>
      <c r="N5532" s="9" t="s">
        <v>1014</v>
      </c>
    </row>
    <row r="5533" ht="25" customHeight="1" spans="1:14">
      <c r="A5533" s="9" t="s">
        <v>481</v>
      </c>
      <c r="B5533" s="9" t="s">
        <v>480</v>
      </c>
      <c r="C5533" s="10">
        <v>46160</v>
      </c>
      <c r="D5533" s="15">
        <v>1.097</v>
      </c>
      <c r="E5533" s="15">
        <v>1.097</v>
      </c>
      <c r="F5533" s="15">
        <v>1.097</v>
      </c>
      <c r="G5533" s="11">
        <v>-0.0099</v>
      </c>
      <c r="H5533" s="9">
        <f>MAX($F$5387:F5533)</f>
        <v>1.108</v>
      </c>
      <c r="I5533" s="11">
        <f t="shared" si="137"/>
        <v>0.00992779783393516</v>
      </c>
      <c r="J5533" s="9"/>
      <c r="K5533" s="11"/>
      <c r="L5533" s="9"/>
      <c r="M5533" s="11"/>
      <c r="N5533" s="9" t="s">
        <v>1014</v>
      </c>
    </row>
    <row r="5534" ht="25" customHeight="1" spans="1:14">
      <c r="A5534" s="9" t="s">
        <v>481</v>
      </c>
      <c r="B5534" s="9" t="s">
        <v>480</v>
      </c>
      <c r="C5534" s="10">
        <v>46161</v>
      </c>
      <c r="D5534" s="15">
        <v>1.098</v>
      </c>
      <c r="E5534" s="15">
        <v>1.098</v>
      </c>
      <c r="F5534" s="15">
        <v>1.098</v>
      </c>
      <c r="G5534" s="11">
        <v>0.0009</v>
      </c>
      <c r="H5534" s="9">
        <f>MAX($F$5387:F5534)</f>
        <v>1.108</v>
      </c>
      <c r="I5534" s="11">
        <f t="shared" si="137"/>
        <v>0.00902527075812276</v>
      </c>
      <c r="J5534" s="9"/>
      <c r="K5534" s="11"/>
      <c r="L5534" s="9"/>
      <c r="M5534" s="11"/>
      <c r="N5534" s="9" t="s">
        <v>1014</v>
      </c>
    </row>
    <row r="5535" ht="25" customHeight="1" spans="1:14">
      <c r="A5535" s="9" t="s">
        <v>481</v>
      </c>
      <c r="B5535" s="9" t="s">
        <v>480</v>
      </c>
      <c r="C5535" s="10">
        <v>46162</v>
      </c>
      <c r="D5535" s="15">
        <v>1.098</v>
      </c>
      <c r="E5535" s="15">
        <v>1.098</v>
      </c>
      <c r="F5535" s="15">
        <v>1.098</v>
      </c>
      <c r="G5535" s="11">
        <v>0</v>
      </c>
      <c r="H5535" s="9">
        <f>MAX($F$5387:F5535)</f>
        <v>1.108</v>
      </c>
      <c r="I5535" s="11">
        <f t="shared" si="137"/>
        <v>0.00902527075812276</v>
      </c>
      <c r="J5535" s="9"/>
      <c r="K5535" s="11"/>
      <c r="L5535" s="9"/>
      <c r="M5535" s="11"/>
      <c r="N5535" s="9" t="s">
        <v>1014</v>
      </c>
    </row>
    <row r="5536" ht="25" customHeight="1" spans="1:14">
      <c r="A5536" s="9" t="s">
        <v>481</v>
      </c>
      <c r="B5536" s="9" t="s">
        <v>480</v>
      </c>
      <c r="C5536" s="10">
        <v>46163</v>
      </c>
      <c r="D5536" s="15">
        <v>1.098</v>
      </c>
      <c r="E5536" s="15">
        <v>1.098</v>
      </c>
      <c r="F5536" s="15">
        <v>1.098</v>
      </c>
      <c r="G5536" s="11">
        <v>0</v>
      </c>
      <c r="H5536" s="9">
        <f>MAX($F$5387:F5536)</f>
        <v>1.108</v>
      </c>
      <c r="I5536" s="11">
        <f t="shared" si="137"/>
        <v>0.00902527075812276</v>
      </c>
      <c r="J5536" s="9"/>
      <c r="K5536" s="11"/>
      <c r="L5536" s="9"/>
      <c r="M5536" s="11"/>
      <c r="N5536" s="9" t="s">
        <v>1014</v>
      </c>
    </row>
    <row r="5537" ht="25" customHeight="1" spans="1:14">
      <c r="A5537" s="9" t="s">
        <v>481</v>
      </c>
      <c r="B5537" s="9" t="s">
        <v>480</v>
      </c>
      <c r="C5537" s="10">
        <v>46164</v>
      </c>
      <c r="D5537" s="15">
        <v>1.097</v>
      </c>
      <c r="E5537" s="15">
        <v>1.097</v>
      </c>
      <c r="F5537" s="15">
        <v>1.097</v>
      </c>
      <c r="G5537" s="11">
        <v>-0.0009</v>
      </c>
      <c r="H5537" s="9">
        <f>MAX($F$5387:F5537)</f>
        <v>1.108</v>
      </c>
      <c r="I5537" s="11">
        <f t="shared" si="137"/>
        <v>0.00992779783393516</v>
      </c>
      <c r="J5537" s="9"/>
      <c r="K5537" s="11"/>
      <c r="L5537" s="9"/>
      <c r="M5537" s="11"/>
      <c r="N5537" s="9" t="s">
        <v>1014</v>
      </c>
    </row>
    <row r="5538" ht="25" customHeight="1" spans="1:14">
      <c r="A5538" s="9" t="s">
        <v>481</v>
      </c>
      <c r="B5538" s="9" t="s">
        <v>480</v>
      </c>
      <c r="C5538" s="10">
        <v>46167</v>
      </c>
      <c r="D5538" s="15">
        <v>1.097</v>
      </c>
      <c r="E5538" s="15">
        <v>1.097</v>
      </c>
      <c r="F5538" s="15">
        <v>1.097</v>
      </c>
      <c r="G5538" s="11">
        <v>0</v>
      </c>
      <c r="H5538" s="9">
        <f>MAX($F$5387:F5538)</f>
        <v>1.108</v>
      </c>
      <c r="I5538" s="11">
        <f t="shared" si="137"/>
        <v>0.00992779783393516</v>
      </c>
      <c r="J5538" s="9"/>
      <c r="K5538" s="11"/>
      <c r="L5538" s="9"/>
      <c r="M5538" s="11"/>
      <c r="N5538" s="9" t="s">
        <v>1014</v>
      </c>
    </row>
    <row r="5539" ht="25" customHeight="1" spans="1:14">
      <c r="A5539" s="9" t="s">
        <v>481</v>
      </c>
      <c r="B5539" s="9" t="s">
        <v>480</v>
      </c>
      <c r="C5539" s="10">
        <v>46168</v>
      </c>
      <c r="D5539" s="15">
        <v>1.103</v>
      </c>
      <c r="E5539" s="15">
        <v>1.103</v>
      </c>
      <c r="F5539" s="15">
        <v>1.103</v>
      </c>
      <c r="G5539" s="11">
        <v>0.0055</v>
      </c>
      <c r="H5539" s="9">
        <f>MAX($F$5387:F5539)</f>
        <v>1.108</v>
      </c>
      <c r="I5539" s="11">
        <f t="shared" si="137"/>
        <v>0.00451263537906144</v>
      </c>
      <c r="J5539" s="9"/>
      <c r="K5539" s="11"/>
      <c r="L5539" s="9"/>
      <c r="M5539" s="11"/>
      <c r="N5539" s="9" t="s">
        <v>1014</v>
      </c>
    </row>
    <row r="5540" ht="25" customHeight="1" spans="1:14">
      <c r="A5540" s="9" t="s">
        <v>481</v>
      </c>
      <c r="B5540" s="9" t="s">
        <v>480</v>
      </c>
      <c r="C5540" s="10">
        <v>46169</v>
      </c>
      <c r="D5540" s="15">
        <v>1.105</v>
      </c>
      <c r="E5540" s="15">
        <v>1.105</v>
      </c>
      <c r="F5540" s="15">
        <v>1.105</v>
      </c>
      <c r="G5540" s="11">
        <v>0.0018</v>
      </c>
      <c r="H5540" s="9">
        <f>MAX($F$5387:F5540)</f>
        <v>1.108</v>
      </c>
      <c r="I5540" s="11">
        <f t="shared" si="137"/>
        <v>0.00270758122743697</v>
      </c>
      <c r="J5540" s="9"/>
      <c r="K5540" s="11"/>
      <c r="L5540" s="9"/>
      <c r="M5540" s="11"/>
      <c r="N5540" s="9" t="s">
        <v>1014</v>
      </c>
    </row>
    <row r="5541" ht="25" customHeight="1" spans="1:14">
      <c r="A5541" s="9" t="s">
        <v>481</v>
      </c>
      <c r="B5541" s="9" t="s">
        <v>480</v>
      </c>
      <c r="C5541" s="10">
        <v>46170</v>
      </c>
      <c r="D5541" s="15">
        <v>1.106</v>
      </c>
      <c r="E5541" s="15">
        <v>1.106</v>
      </c>
      <c r="F5541" s="15">
        <v>1.106</v>
      </c>
      <c r="G5541" s="11">
        <v>0.0009</v>
      </c>
      <c r="H5541" s="9">
        <f>MAX($F$5387:F5541)</f>
        <v>1.108</v>
      </c>
      <c r="I5541" s="11">
        <f t="shared" si="137"/>
        <v>0.00180505415162457</v>
      </c>
      <c r="J5541" s="9"/>
      <c r="K5541" s="11"/>
      <c r="L5541" s="9"/>
      <c r="M5541" s="11"/>
      <c r="N5541" s="9" t="s">
        <v>1014</v>
      </c>
    </row>
    <row r="5542" ht="25" customHeight="1" spans="1:14">
      <c r="A5542" s="9" t="s">
        <v>481</v>
      </c>
      <c r="B5542" s="9" t="s">
        <v>480</v>
      </c>
      <c r="C5542" s="10">
        <v>46171</v>
      </c>
      <c r="D5542" s="15">
        <v>1.107</v>
      </c>
      <c r="E5542" s="15">
        <v>1.107</v>
      </c>
      <c r="F5542" s="15">
        <v>1.107</v>
      </c>
      <c r="G5542" s="11">
        <v>0.0009</v>
      </c>
      <c r="H5542" s="9">
        <f>MAX($F$5387:F5542)</f>
        <v>1.108</v>
      </c>
      <c r="I5542" s="11">
        <f t="shared" si="137"/>
        <v>0.000902527075812398</v>
      </c>
      <c r="J5542" s="9"/>
      <c r="K5542" s="11"/>
      <c r="L5542" s="9"/>
      <c r="M5542" s="11"/>
      <c r="N5542" s="9" t="s">
        <v>1014</v>
      </c>
    </row>
    <row r="5543" ht="25" customHeight="1" spans="1:14">
      <c r="A5543" s="9" t="s">
        <v>481</v>
      </c>
      <c r="B5543" s="9" t="s">
        <v>480</v>
      </c>
      <c r="C5543" s="10">
        <v>46174</v>
      </c>
      <c r="D5543" s="15">
        <v>1.108</v>
      </c>
      <c r="E5543" s="15">
        <v>1.108</v>
      </c>
      <c r="F5543" s="15">
        <v>1.108</v>
      </c>
      <c r="G5543" s="11">
        <v>0.0009</v>
      </c>
      <c r="H5543" s="9">
        <f>MAX($F$5387:F5543)</f>
        <v>1.108</v>
      </c>
      <c r="I5543" s="11">
        <f t="shared" si="137"/>
        <v>0</v>
      </c>
      <c r="J5543" s="9"/>
      <c r="K5543" s="11"/>
      <c r="L5543" s="9"/>
      <c r="M5543" s="11"/>
      <c r="N5543" s="9" t="s">
        <v>1014</v>
      </c>
    </row>
    <row r="5544" ht="25" customHeight="1" spans="1:14">
      <c r="A5544" s="9" t="s">
        <v>481</v>
      </c>
      <c r="B5544" s="9" t="s">
        <v>480</v>
      </c>
      <c r="C5544" s="10">
        <v>46175</v>
      </c>
      <c r="D5544" s="15">
        <v>1.104</v>
      </c>
      <c r="E5544" s="15">
        <v>1.104</v>
      </c>
      <c r="F5544" s="15">
        <v>1.104</v>
      </c>
      <c r="G5544" s="11">
        <v>-0.0036</v>
      </c>
      <c r="H5544" s="9">
        <f>MAX($F$5387:F5544)</f>
        <v>1.108</v>
      </c>
      <c r="I5544" s="11">
        <f t="shared" si="137"/>
        <v>0.00361010830324915</v>
      </c>
      <c r="J5544" s="9"/>
      <c r="K5544" s="11"/>
      <c r="L5544" s="9"/>
      <c r="M5544" s="11"/>
      <c r="N5544" s="9" t="s">
        <v>1014</v>
      </c>
    </row>
    <row r="5545" ht="25" customHeight="1" spans="1:14">
      <c r="A5545" s="9" t="s">
        <v>481</v>
      </c>
      <c r="B5545" s="9" t="s">
        <v>480</v>
      </c>
      <c r="C5545" s="10">
        <v>46176</v>
      </c>
      <c r="D5545" s="15">
        <v>1.109</v>
      </c>
      <c r="E5545" s="15">
        <v>1.109</v>
      </c>
      <c r="F5545" s="15">
        <v>1.109</v>
      </c>
      <c r="G5545" s="11">
        <v>0.0045</v>
      </c>
      <c r="H5545" s="9">
        <f>MAX($F$5387:F5545)</f>
        <v>1.109</v>
      </c>
      <c r="I5545" s="11">
        <f t="shared" si="137"/>
        <v>0</v>
      </c>
      <c r="J5545" s="9"/>
      <c r="K5545" s="11"/>
      <c r="L5545" s="9"/>
      <c r="M5545" s="11"/>
      <c r="N5545" s="9" t="s">
        <v>1014</v>
      </c>
    </row>
    <row r="5546" ht="25" customHeight="1" spans="1:14">
      <c r="A5546" s="9" t="s">
        <v>481</v>
      </c>
      <c r="B5546" s="9" t="s">
        <v>480</v>
      </c>
      <c r="C5546" s="10">
        <v>46177</v>
      </c>
      <c r="D5546" s="15">
        <v>1.109</v>
      </c>
      <c r="E5546" s="15">
        <v>1.109</v>
      </c>
      <c r="F5546" s="15">
        <v>1.109</v>
      </c>
      <c r="G5546" s="11">
        <v>0</v>
      </c>
      <c r="H5546" s="9">
        <f>MAX($F$5387:F5546)</f>
        <v>1.109</v>
      </c>
      <c r="I5546" s="11">
        <f t="shared" si="137"/>
        <v>0</v>
      </c>
      <c r="J5546" s="9"/>
      <c r="K5546" s="11"/>
      <c r="L5546" s="9"/>
      <c r="M5546" s="11"/>
      <c r="N5546" s="9" t="s">
        <v>1014</v>
      </c>
    </row>
    <row r="5547" ht="25" customHeight="1" spans="1:14">
      <c r="A5547" s="9" t="s">
        <v>481</v>
      </c>
      <c r="B5547" s="9" t="s">
        <v>480</v>
      </c>
      <c r="C5547" s="10">
        <v>46178</v>
      </c>
      <c r="D5547" s="15">
        <v>1.11</v>
      </c>
      <c r="E5547" s="15">
        <v>1.11</v>
      </c>
      <c r="F5547" s="15">
        <v>1.11</v>
      </c>
      <c r="G5547" s="11">
        <v>0.0009</v>
      </c>
      <c r="H5547" s="9">
        <f>MAX($F$5387:F5547)</f>
        <v>1.11</v>
      </c>
      <c r="I5547" s="11">
        <f t="shared" si="137"/>
        <v>0</v>
      </c>
      <c r="J5547" s="9"/>
      <c r="K5547" s="11"/>
      <c r="L5547" s="9"/>
      <c r="M5547" s="11"/>
      <c r="N5547" s="9" t="s">
        <v>1014</v>
      </c>
    </row>
    <row r="5548" ht="25" customHeight="1" spans="1:14">
      <c r="A5548" s="9" t="s">
        <v>481</v>
      </c>
      <c r="B5548" s="9" t="s">
        <v>480</v>
      </c>
      <c r="C5548" s="10">
        <v>46181</v>
      </c>
      <c r="D5548" s="15">
        <v>1.113</v>
      </c>
      <c r="E5548" s="15">
        <v>1.113</v>
      </c>
      <c r="F5548" s="15">
        <v>1.113</v>
      </c>
      <c r="G5548" s="11">
        <v>0.0027</v>
      </c>
      <c r="H5548" s="9">
        <f>MAX($F$5387:F5548)</f>
        <v>1.113</v>
      </c>
      <c r="I5548" s="11">
        <f t="shared" si="137"/>
        <v>0</v>
      </c>
      <c r="J5548" s="9"/>
      <c r="K5548" s="11"/>
      <c r="L5548" s="9"/>
      <c r="M5548" s="11"/>
      <c r="N5548" s="9" t="s">
        <v>1014</v>
      </c>
    </row>
    <row r="5549" ht="25" customHeight="1" spans="1:14">
      <c r="A5549" s="9" t="s">
        <v>481</v>
      </c>
      <c r="B5549" s="9" t="s">
        <v>480</v>
      </c>
      <c r="C5549" s="10">
        <v>46182</v>
      </c>
      <c r="D5549" s="15">
        <v>1.107</v>
      </c>
      <c r="E5549" s="15">
        <v>1.107</v>
      </c>
      <c r="F5549" s="15">
        <v>1.107</v>
      </c>
      <c r="G5549" s="11">
        <v>-0.0054</v>
      </c>
      <c r="H5549" s="9">
        <f>MAX($F$5387:F5549)</f>
        <v>1.113</v>
      </c>
      <c r="I5549" s="11">
        <f t="shared" si="137"/>
        <v>0.00539083557951481</v>
      </c>
      <c r="J5549" s="9"/>
      <c r="K5549" s="11"/>
      <c r="L5549" s="9"/>
      <c r="M5549" s="11"/>
      <c r="N5549" s="9" t="s">
        <v>1014</v>
      </c>
    </row>
    <row r="5550" ht="25" customHeight="1" spans="1:14">
      <c r="A5550" s="9" t="s">
        <v>481</v>
      </c>
      <c r="B5550" s="9" t="s">
        <v>480</v>
      </c>
      <c r="C5550" s="10">
        <v>46183</v>
      </c>
      <c r="D5550" s="15">
        <v>1.105</v>
      </c>
      <c r="E5550" s="15">
        <v>1.105</v>
      </c>
      <c r="F5550" s="15">
        <v>1.105</v>
      </c>
      <c r="G5550" s="11">
        <v>-0.0018</v>
      </c>
      <c r="H5550" s="9">
        <f>MAX($F$5387:F5550)</f>
        <v>1.113</v>
      </c>
      <c r="I5550" s="11">
        <f t="shared" si="137"/>
        <v>0.00718778077268645</v>
      </c>
      <c r="J5550" s="9"/>
      <c r="K5550" s="11"/>
      <c r="L5550" s="9"/>
      <c r="M5550" s="11"/>
      <c r="N5550" s="9" t="s">
        <v>1014</v>
      </c>
    </row>
    <row r="5551" ht="25" customHeight="1" spans="1:14">
      <c r="A5551" s="9" t="s">
        <v>481</v>
      </c>
      <c r="B5551" s="9" t="s">
        <v>480</v>
      </c>
      <c r="C5551" s="10">
        <v>46184</v>
      </c>
      <c r="D5551" s="15">
        <v>1.105</v>
      </c>
      <c r="E5551" s="15">
        <v>1.105</v>
      </c>
      <c r="F5551" s="15">
        <v>1.105</v>
      </c>
      <c r="G5551" s="11">
        <v>0</v>
      </c>
      <c r="H5551" s="9">
        <f>MAX($F$5387:F5551)</f>
        <v>1.113</v>
      </c>
      <c r="I5551" s="11">
        <f t="shared" si="137"/>
        <v>0.00718778077268645</v>
      </c>
      <c r="J5551" s="9"/>
      <c r="K5551" s="11"/>
      <c r="L5551" s="9"/>
      <c r="M5551" s="11"/>
      <c r="N5551" s="9" t="s">
        <v>1014</v>
      </c>
    </row>
    <row r="5552" ht="25" customHeight="1" spans="1:14">
      <c r="A5552" s="9" t="s">
        <v>481</v>
      </c>
      <c r="B5552" s="9" t="s">
        <v>480</v>
      </c>
      <c r="C5552" s="10">
        <v>46185</v>
      </c>
      <c r="D5552" s="15">
        <v>1.108</v>
      </c>
      <c r="E5552" s="15">
        <v>1.108</v>
      </c>
      <c r="F5552" s="15">
        <v>1.108</v>
      </c>
      <c r="G5552" s="11">
        <v>0.0027</v>
      </c>
      <c r="H5552" s="9">
        <f>MAX($F$5387:F5552)</f>
        <v>1.113</v>
      </c>
      <c r="I5552" s="11">
        <f t="shared" si="137"/>
        <v>0.00449236298292888</v>
      </c>
      <c r="J5552" s="9"/>
      <c r="K5552" s="11"/>
      <c r="L5552" s="9"/>
      <c r="M5552" s="11"/>
      <c r="N5552" s="9" t="s">
        <v>1014</v>
      </c>
    </row>
    <row r="5553" ht="25" customHeight="1" spans="1:14">
      <c r="A5553" s="9" t="s">
        <v>481</v>
      </c>
      <c r="B5553" s="9" t="s">
        <v>480</v>
      </c>
      <c r="C5553" s="10">
        <v>46188</v>
      </c>
      <c r="D5553" s="15">
        <v>1.107</v>
      </c>
      <c r="E5553" s="15">
        <v>1.107</v>
      </c>
      <c r="F5553" s="15">
        <v>1.107</v>
      </c>
      <c r="G5553" s="11">
        <v>-0.0009</v>
      </c>
      <c r="H5553" s="9">
        <f>MAX($F$5387:F5553)</f>
        <v>1.113</v>
      </c>
      <c r="I5553" s="11">
        <f t="shared" si="137"/>
        <v>0.00539083557951481</v>
      </c>
      <c r="J5553" s="9"/>
      <c r="K5553" s="11"/>
      <c r="L5553" s="9"/>
      <c r="M5553" s="11"/>
      <c r="N5553" s="9" t="s">
        <v>1014</v>
      </c>
    </row>
    <row r="5554" ht="25" customHeight="1" spans="1:14">
      <c r="A5554" s="9" t="s">
        <v>481</v>
      </c>
      <c r="B5554" s="9" t="s">
        <v>480</v>
      </c>
      <c r="C5554" s="10">
        <v>46189</v>
      </c>
      <c r="D5554" s="15">
        <v>1.11</v>
      </c>
      <c r="E5554" s="15">
        <v>1.11</v>
      </c>
      <c r="F5554" s="15">
        <v>1.11</v>
      </c>
      <c r="G5554" s="11">
        <v>0.0027</v>
      </c>
      <c r="H5554" s="9">
        <f>MAX($F$5387:F5554)</f>
        <v>1.113</v>
      </c>
      <c r="I5554" s="11">
        <f t="shared" si="137"/>
        <v>0.00269541778975735</v>
      </c>
      <c r="J5554" s="9"/>
      <c r="K5554" s="11"/>
      <c r="L5554" s="9"/>
      <c r="M5554" s="11"/>
      <c r="N5554" s="9" t="s">
        <v>1014</v>
      </c>
    </row>
    <row r="5555" ht="25" customHeight="1" spans="1:14">
      <c r="A5555" s="9" t="s">
        <v>481</v>
      </c>
      <c r="B5555" s="9" t="s">
        <v>480</v>
      </c>
      <c r="C5555" s="10">
        <v>46190</v>
      </c>
      <c r="D5555" s="15">
        <v>1.11</v>
      </c>
      <c r="E5555" s="15">
        <v>1.11</v>
      </c>
      <c r="F5555" s="15">
        <v>1.11</v>
      </c>
      <c r="G5555" s="11">
        <v>0</v>
      </c>
      <c r="H5555" s="9">
        <f>MAX($F$5387:F5555)</f>
        <v>1.113</v>
      </c>
      <c r="I5555" s="11">
        <f t="shared" si="137"/>
        <v>0.00269541778975735</v>
      </c>
      <c r="J5555" s="9"/>
      <c r="K5555" s="11"/>
      <c r="L5555" s="9"/>
      <c r="M5555" s="11"/>
      <c r="N5555" s="9" t="s">
        <v>1014</v>
      </c>
    </row>
    <row r="5556" ht="25" customHeight="1" spans="1:14">
      <c r="A5556" s="9" t="s">
        <v>481</v>
      </c>
      <c r="B5556" s="9" t="s">
        <v>480</v>
      </c>
      <c r="C5556" s="10">
        <v>46191</v>
      </c>
      <c r="D5556" s="15">
        <v>1.111</v>
      </c>
      <c r="E5556" s="15">
        <v>1.111</v>
      </c>
      <c r="F5556" s="15">
        <v>1.111</v>
      </c>
      <c r="G5556" s="11">
        <v>0.0009</v>
      </c>
      <c r="H5556" s="9">
        <f>MAX($F$5387:F5556)</f>
        <v>1.113</v>
      </c>
      <c r="I5556" s="11">
        <f t="shared" si="137"/>
        <v>0.00179694519317164</v>
      </c>
      <c r="J5556" s="9"/>
      <c r="K5556" s="11"/>
      <c r="L5556" s="9"/>
      <c r="M5556" s="11"/>
      <c r="N5556" s="9" t="s">
        <v>1014</v>
      </c>
    </row>
    <row r="5557" ht="25" customHeight="1" spans="1:14">
      <c r="A5557" s="9" t="s">
        <v>481</v>
      </c>
      <c r="B5557" s="9" t="s">
        <v>480</v>
      </c>
      <c r="C5557" s="10">
        <v>46195</v>
      </c>
      <c r="D5557" s="15">
        <v>1.109</v>
      </c>
      <c r="E5557" s="15">
        <v>1.109</v>
      </c>
      <c r="F5557" s="15">
        <v>1.109</v>
      </c>
      <c r="G5557" s="11">
        <v>-0.0018</v>
      </c>
      <c r="H5557" s="9">
        <f>MAX($F$5387:F5557)</f>
        <v>1.113</v>
      </c>
      <c r="I5557" s="11">
        <f t="shared" si="137"/>
        <v>0.00359389038634317</v>
      </c>
      <c r="J5557" s="9"/>
      <c r="K5557" s="11"/>
      <c r="L5557" s="9"/>
      <c r="M5557" s="11"/>
      <c r="N5557" s="9" t="s">
        <v>1014</v>
      </c>
    </row>
    <row r="5558" ht="25" customHeight="1" spans="1:14">
      <c r="A5558" s="9" t="s">
        <v>481</v>
      </c>
      <c r="B5558" s="9" t="s">
        <v>480</v>
      </c>
      <c r="C5558" s="10">
        <v>46196</v>
      </c>
      <c r="D5558" s="15">
        <v>1.11</v>
      </c>
      <c r="E5558" s="15">
        <v>1.11</v>
      </c>
      <c r="F5558" s="15">
        <v>1.11</v>
      </c>
      <c r="G5558" s="11">
        <v>0.0009</v>
      </c>
      <c r="H5558" s="9">
        <f>MAX($F$5387:F5558)</f>
        <v>1.113</v>
      </c>
      <c r="I5558" s="11">
        <f t="shared" si="137"/>
        <v>0.00269541778975735</v>
      </c>
      <c r="J5558" s="9"/>
      <c r="K5558" s="11"/>
      <c r="L5558" s="9"/>
      <c r="M5558" s="11"/>
      <c r="N5558" s="9" t="s">
        <v>1014</v>
      </c>
    </row>
    <row r="5559" ht="25" customHeight="1" spans="1:14">
      <c r="A5559" s="9" t="s">
        <v>481</v>
      </c>
      <c r="B5559" s="9" t="s">
        <v>480</v>
      </c>
      <c r="C5559" s="10">
        <v>46197</v>
      </c>
      <c r="D5559" s="15">
        <v>1.109</v>
      </c>
      <c r="E5559" s="15">
        <v>1.109</v>
      </c>
      <c r="F5559" s="15">
        <v>1.109</v>
      </c>
      <c r="G5559" s="11">
        <v>-0.0009</v>
      </c>
      <c r="H5559" s="9">
        <f>MAX($F$5387:F5559)</f>
        <v>1.113</v>
      </c>
      <c r="I5559" s="11">
        <f t="shared" si="137"/>
        <v>0.00359389038634317</v>
      </c>
      <c r="J5559" s="9"/>
      <c r="K5559" s="11"/>
      <c r="L5559" s="9"/>
      <c r="M5559" s="11"/>
      <c r="N5559" s="9" t="s">
        <v>1014</v>
      </c>
    </row>
    <row r="5560" ht="25" customHeight="1" spans="1:14">
      <c r="A5560" s="9" t="s">
        <v>481</v>
      </c>
      <c r="B5560" s="9" t="s">
        <v>480</v>
      </c>
      <c r="C5560" s="10">
        <v>46198</v>
      </c>
      <c r="D5560" s="15">
        <v>1.107</v>
      </c>
      <c r="E5560" s="15">
        <v>1.107</v>
      </c>
      <c r="F5560" s="15">
        <v>1.107</v>
      </c>
      <c r="G5560" s="11">
        <v>-0.0018</v>
      </c>
      <c r="H5560" s="9">
        <f>MAX($F$5387:F5560)</f>
        <v>1.113</v>
      </c>
      <c r="I5560" s="11">
        <f t="shared" si="137"/>
        <v>0.00539083557951481</v>
      </c>
      <c r="J5560" s="9"/>
      <c r="K5560" s="11"/>
      <c r="L5560" s="9"/>
      <c r="M5560" s="11"/>
      <c r="N5560" s="9" t="s">
        <v>1014</v>
      </c>
    </row>
    <row r="5561" ht="25" customHeight="1" spans="1:14">
      <c r="A5561" s="9" t="s">
        <v>481</v>
      </c>
      <c r="B5561" s="9" t="s">
        <v>480</v>
      </c>
      <c r="C5561" s="10">
        <v>46199</v>
      </c>
      <c r="D5561" s="15">
        <v>1.01</v>
      </c>
      <c r="E5561" s="15">
        <v>1.105</v>
      </c>
      <c r="F5561" s="15">
        <v>1.105</v>
      </c>
      <c r="G5561" s="11">
        <v>-0.0018</v>
      </c>
      <c r="H5561" s="9">
        <f>MAX($F$5387:F5561)</f>
        <v>1.113</v>
      </c>
      <c r="I5561" s="11">
        <f t="shared" si="137"/>
        <v>0.00718778077268645</v>
      </c>
      <c r="J5561" s="9"/>
      <c r="K5561" s="11"/>
      <c r="L5561" s="9"/>
      <c r="M5561" s="11"/>
      <c r="N5561" s="9" t="s">
        <v>1014</v>
      </c>
    </row>
    <row r="5562" ht="25" customHeight="1" spans="1:14">
      <c r="A5562" s="9" t="s">
        <v>481</v>
      </c>
      <c r="B5562" s="9" t="s">
        <v>480</v>
      </c>
      <c r="C5562" s="10">
        <v>46202</v>
      </c>
      <c r="D5562" s="15">
        <v>1.013</v>
      </c>
      <c r="E5562" s="15">
        <v>1.108</v>
      </c>
      <c r="F5562" s="15">
        <v>1.1083</v>
      </c>
      <c r="G5562" s="11">
        <v>0.003</v>
      </c>
      <c r="H5562" s="9">
        <f>MAX($F$5387:F5562)</f>
        <v>1.113</v>
      </c>
      <c r="I5562" s="11">
        <f t="shared" si="137"/>
        <v>0.00422282120395323</v>
      </c>
      <c r="J5562" s="9"/>
      <c r="K5562" s="11"/>
      <c r="L5562" s="9"/>
      <c r="M5562" s="11"/>
      <c r="N5562" s="9" t="s">
        <v>1014</v>
      </c>
    </row>
    <row r="5563" ht="25" customHeight="1" spans="1:14">
      <c r="A5563" s="9" t="s">
        <v>481</v>
      </c>
      <c r="B5563" s="9" t="s">
        <v>480</v>
      </c>
      <c r="C5563" s="10">
        <v>46203</v>
      </c>
      <c r="D5563" s="15">
        <v>1.011</v>
      </c>
      <c r="E5563" s="15">
        <v>1.106</v>
      </c>
      <c r="F5563" s="15">
        <v>1.1061</v>
      </c>
      <c r="G5563" s="11">
        <v>-0.002</v>
      </c>
      <c r="H5563" s="9">
        <f>MAX($F$5387:F5563)</f>
        <v>1.113</v>
      </c>
      <c r="I5563" s="11">
        <f t="shared" si="137"/>
        <v>0.00619946091644197</v>
      </c>
      <c r="J5563" s="9"/>
      <c r="K5563" s="11"/>
      <c r="L5563" s="9"/>
      <c r="M5563" s="11"/>
      <c r="N5563" s="9" t="s">
        <v>1014</v>
      </c>
    </row>
    <row r="5564" ht="25" customHeight="1" spans="1:14">
      <c r="A5564" s="9" t="s">
        <v>481</v>
      </c>
      <c r="B5564" s="9" t="s">
        <v>480</v>
      </c>
      <c r="C5564" s="10">
        <v>46204</v>
      </c>
      <c r="D5564" s="15">
        <v>1.014</v>
      </c>
      <c r="E5564" s="15">
        <v>1.109</v>
      </c>
      <c r="F5564" s="15">
        <v>1.1094</v>
      </c>
      <c r="G5564" s="11">
        <v>0.003</v>
      </c>
      <c r="H5564" s="9">
        <f>MAX($F$5387:F5564)</f>
        <v>1.113</v>
      </c>
      <c r="I5564" s="11">
        <f t="shared" si="137"/>
        <v>0.00323450134770897</v>
      </c>
      <c r="J5564" s="9"/>
      <c r="K5564" s="11"/>
      <c r="L5564" s="9"/>
      <c r="M5564" s="11"/>
      <c r="N5564" s="9" t="s">
        <v>1014</v>
      </c>
    </row>
    <row r="5565" ht="25" customHeight="1" spans="1:14">
      <c r="A5565" s="9" t="s">
        <v>481</v>
      </c>
      <c r="B5565" s="9" t="s">
        <v>480</v>
      </c>
      <c r="C5565" s="10">
        <v>46205</v>
      </c>
      <c r="D5565" s="15">
        <v>1.013</v>
      </c>
      <c r="E5565" s="15">
        <v>1.108</v>
      </c>
      <c r="F5565" s="15">
        <v>1.1083</v>
      </c>
      <c r="G5565" s="11">
        <v>-0.001</v>
      </c>
      <c r="H5565" s="9">
        <f>MAX($F$5387:F5565)</f>
        <v>1.113</v>
      </c>
      <c r="I5565" s="11">
        <f t="shared" si="137"/>
        <v>0.00422282120395323</v>
      </c>
      <c r="J5565" s="9"/>
      <c r="K5565" s="11"/>
      <c r="L5565" s="9"/>
      <c r="M5565" s="11"/>
      <c r="N5565" s="9" t="s">
        <v>1014</v>
      </c>
    </row>
    <row r="5566" ht="25" customHeight="1" spans="1:14">
      <c r="A5566" s="9" t="s">
        <v>481</v>
      </c>
      <c r="B5566" s="9" t="s">
        <v>480</v>
      </c>
      <c r="C5566" s="10">
        <v>46206</v>
      </c>
      <c r="D5566" s="15">
        <v>1.014</v>
      </c>
      <c r="E5566" s="15">
        <v>1.109</v>
      </c>
      <c r="F5566" s="15">
        <v>1.1094</v>
      </c>
      <c r="G5566" s="11">
        <v>0.001</v>
      </c>
      <c r="H5566" s="9">
        <f>MAX($F$5387:F5566)</f>
        <v>1.113</v>
      </c>
      <c r="I5566" s="11">
        <f t="shared" si="137"/>
        <v>0.00323450134770897</v>
      </c>
      <c r="J5566" s="9"/>
      <c r="K5566" s="11"/>
      <c r="L5566" s="9"/>
      <c r="M5566" s="11"/>
      <c r="N5566" s="9" t="s">
        <v>1014</v>
      </c>
    </row>
    <row r="5567" ht="25" customHeight="1" spans="1:14">
      <c r="A5567" s="9" t="s">
        <v>481</v>
      </c>
      <c r="B5567" s="9" t="s">
        <v>480</v>
      </c>
      <c r="C5567" s="10">
        <v>46209</v>
      </c>
      <c r="D5567" s="15">
        <v>1.018</v>
      </c>
      <c r="E5567" s="15">
        <v>1.113</v>
      </c>
      <c r="F5567" s="15">
        <v>1.1138</v>
      </c>
      <c r="G5567" s="11">
        <v>0.0039</v>
      </c>
      <c r="H5567" s="9">
        <f>MAX($F$5387:F5567)</f>
        <v>1.1138</v>
      </c>
      <c r="I5567" s="11">
        <f t="shared" si="137"/>
        <v>0</v>
      </c>
      <c r="J5567" s="9"/>
      <c r="K5567" s="11"/>
      <c r="L5567" s="9"/>
      <c r="M5567" s="11"/>
      <c r="N5567" s="9" t="s">
        <v>1014</v>
      </c>
    </row>
    <row r="5568" ht="25" customHeight="1" spans="1:14">
      <c r="A5568" s="9" t="s">
        <v>481</v>
      </c>
      <c r="B5568" s="9" t="s">
        <v>480</v>
      </c>
      <c r="C5568" s="10">
        <v>46210</v>
      </c>
      <c r="D5568" s="15">
        <v>1.019</v>
      </c>
      <c r="E5568" s="15">
        <v>1.114</v>
      </c>
      <c r="F5568" s="15">
        <v>1.1148</v>
      </c>
      <c r="G5568" s="11">
        <v>0.001</v>
      </c>
      <c r="H5568" s="9">
        <f>MAX($F$5387:F5568)</f>
        <v>1.1148</v>
      </c>
      <c r="I5568" s="11">
        <f t="shared" si="137"/>
        <v>0</v>
      </c>
      <c r="J5568" s="9"/>
      <c r="K5568" s="11"/>
      <c r="L5568" s="9"/>
      <c r="M5568" s="11"/>
      <c r="N5568" s="9" t="s">
        <v>1014</v>
      </c>
    </row>
    <row r="5569" ht="25" customHeight="1" spans="1:14">
      <c r="A5569" s="9" t="s">
        <v>481</v>
      </c>
      <c r="B5569" s="9" t="s">
        <v>480</v>
      </c>
      <c r="C5569" s="10">
        <v>46211</v>
      </c>
      <c r="D5569" s="15">
        <v>1.019</v>
      </c>
      <c r="E5569" s="15">
        <v>1.114</v>
      </c>
      <c r="F5569" s="15">
        <v>1.1148</v>
      </c>
      <c r="G5569" s="11">
        <v>0</v>
      </c>
      <c r="H5569" s="9">
        <f>MAX($F$5387:F5569)</f>
        <v>1.1148</v>
      </c>
      <c r="I5569" s="11">
        <f t="shared" si="137"/>
        <v>0</v>
      </c>
      <c r="J5569" s="9"/>
      <c r="K5569" s="11"/>
      <c r="L5569" s="9"/>
      <c r="M5569" s="11"/>
      <c r="N5569" s="9" t="s">
        <v>1014</v>
      </c>
    </row>
    <row r="5570" ht="25" customHeight="1" spans="1:14">
      <c r="A5570" s="9" t="s">
        <v>481</v>
      </c>
      <c r="B5570" s="9" t="s">
        <v>480</v>
      </c>
      <c r="C5570" s="10">
        <v>46212</v>
      </c>
      <c r="D5570" s="15">
        <v>1.013</v>
      </c>
      <c r="E5570" s="15">
        <v>1.108</v>
      </c>
      <c r="F5570" s="15">
        <v>1.1083</v>
      </c>
      <c r="G5570" s="11">
        <v>-0.0059</v>
      </c>
      <c r="H5570" s="9">
        <f>MAX($F$5387:F5570)</f>
        <v>1.1148</v>
      </c>
      <c r="I5570" s="11">
        <f t="shared" ref="I5570:I5633" si="138">1-F5570/H5570</f>
        <v>0.00583064226767127</v>
      </c>
      <c r="J5570" s="9"/>
      <c r="K5570" s="11"/>
      <c r="L5570" s="9"/>
      <c r="M5570" s="11"/>
      <c r="N5570" s="9" t="s">
        <v>1014</v>
      </c>
    </row>
    <row r="5571" ht="25" customHeight="1" spans="1:14">
      <c r="A5571" s="9" t="s">
        <v>481</v>
      </c>
      <c r="B5571" s="9" t="s">
        <v>480</v>
      </c>
      <c r="C5571" s="10">
        <v>46213</v>
      </c>
      <c r="D5571" s="15">
        <v>1.018</v>
      </c>
      <c r="E5571" s="15">
        <v>1.113</v>
      </c>
      <c r="F5571" s="15">
        <v>1.1138</v>
      </c>
      <c r="G5571" s="11">
        <v>0.0049</v>
      </c>
      <c r="H5571" s="9">
        <f>MAX($F$5387:F5571)</f>
        <v>1.1148</v>
      </c>
      <c r="I5571" s="11">
        <f t="shared" si="138"/>
        <v>0.000897021887334204</v>
      </c>
      <c r="J5571" s="9"/>
      <c r="K5571" s="11"/>
      <c r="L5571" s="9"/>
      <c r="M5571" s="11"/>
      <c r="N5571" s="9" t="s">
        <v>1014</v>
      </c>
    </row>
    <row r="5572" ht="25" customHeight="1" spans="1:14">
      <c r="A5572" s="9" t="s">
        <v>481</v>
      </c>
      <c r="B5572" s="9" t="s">
        <v>480</v>
      </c>
      <c r="C5572" s="10">
        <v>46216</v>
      </c>
      <c r="D5572" s="15">
        <v>1.019</v>
      </c>
      <c r="E5572" s="15">
        <v>1.114</v>
      </c>
      <c r="F5572" s="15">
        <v>1.1148</v>
      </c>
      <c r="G5572" s="11">
        <v>0.001</v>
      </c>
      <c r="H5572" s="9">
        <f>MAX($F$5387:F5572)</f>
        <v>1.1148</v>
      </c>
      <c r="I5572" s="11">
        <f t="shared" si="138"/>
        <v>0</v>
      </c>
      <c r="J5572" s="9"/>
      <c r="K5572" s="11"/>
      <c r="L5572" s="9"/>
      <c r="M5572" s="11"/>
      <c r="N5572" s="9" t="s">
        <v>1014</v>
      </c>
    </row>
    <row r="5573" ht="25" customHeight="1" spans="1:14">
      <c r="A5573" s="9" t="s">
        <v>481</v>
      </c>
      <c r="B5573" s="9" t="s">
        <v>480</v>
      </c>
      <c r="C5573" s="10">
        <v>46217</v>
      </c>
      <c r="D5573" s="15">
        <v>1.013</v>
      </c>
      <c r="E5573" s="15">
        <v>1.108</v>
      </c>
      <c r="F5573" s="15">
        <v>1.1083</v>
      </c>
      <c r="G5573" s="11">
        <v>-0.0059</v>
      </c>
      <c r="H5573" s="9">
        <f>MAX($F$5387:F5573)</f>
        <v>1.1148</v>
      </c>
      <c r="I5573" s="11">
        <f t="shared" si="138"/>
        <v>0.00583064226767127</v>
      </c>
      <c r="J5573" s="9"/>
      <c r="K5573" s="11"/>
      <c r="L5573" s="9"/>
      <c r="M5573" s="11"/>
      <c r="N5573" s="9" t="s">
        <v>1014</v>
      </c>
    </row>
    <row r="5574" ht="25" customHeight="1" spans="1:14">
      <c r="A5574" s="9" t="s">
        <v>481</v>
      </c>
      <c r="B5574" s="9" t="s">
        <v>480</v>
      </c>
      <c r="C5574" s="10">
        <v>46218</v>
      </c>
      <c r="D5574" s="15">
        <v>1.017</v>
      </c>
      <c r="E5574" s="15">
        <v>1.112</v>
      </c>
      <c r="F5574" s="15">
        <v>1.1127</v>
      </c>
      <c r="G5574" s="11">
        <v>0.0039</v>
      </c>
      <c r="H5574" s="9">
        <f>MAX($F$5387:F5574)</f>
        <v>1.1148</v>
      </c>
      <c r="I5574" s="11">
        <f t="shared" si="138"/>
        <v>0.00188374596340146</v>
      </c>
      <c r="J5574" s="9"/>
      <c r="K5574" s="11"/>
      <c r="L5574" s="9"/>
      <c r="M5574" s="11"/>
      <c r="N5574" s="9" t="s">
        <v>1014</v>
      </c>
    </row>
    <row r="5575" ht="25" customHeight="1" spans="1:14">
      <c r="A5575" s="9" t="s">
        <v>481</v>
      </c>
      <c r="B5575" s="9" t="s">
        <v>480</v>
      </c>
      <c r="C5575" s="10">
        <v>46219</v>
      </c>
      <c r="D5575" s="15">
        <v>1.016</v>
      </c>
      <c r="E5575" s="15">
        <v>1.111</v>
      </c>
      <c r="F5575" s="15">
        <v>1.1116</v>
      </c>
      <c r="G5575" s="11">
        <v>-0.001</v>
      </c>
      <c r="H5575" s="9">
        <f>MAX($F$5387:F5575)</f>
        <v>1.1148</v>
      </c>
      <c r="I5575" s="11">
        <f t="shared" si="138"/>
        <v>0.00287047003946905</v>
      </c>
      <c r="J5575" s="9"/>
      <c r="K5575" s="11"/>
      <c r="L5575" s="9"/>
      <c r="M5575" s="11"/>
      <c r="N5575" s="9" t="s">
        <v>1014</v>
      </c>
    </row>
    <row r="5576" ht="25" customHeight="1" spans="1:14">
      <c r="A5576" s="9" t="s">
        <v>481</v>
      </c>
      <c r="B5576" s="9" t="s">
        <v>480</v>
      </c>
      <c r="C5576" s="10">
        <v>46220</v>
      </c>
      <c r="D5576" s="15">
        <v>1.016</v>
      </c>
      <c r="E5576" s="15">
        <v>1.111</v>
      </c>
      <c r="F5576" s="15">
        <v>1.1116</v>
      </c>
      <c r="G5576" s="11">
        <v>0</v>
      </c>
      <c r="H5576" s="9">
        <f>MAX($F$5387:F5576)</f>
        <v>1.1148</v>
      </c>
      <c r="I5576" s="11">
        <f t="shared" si="138"/>
        <v>0.00287047003946905</v>
      </c>
      <c r="J5576" s="9"/>
      <c r="K5576" s="11"/>
      <c r="L5576" s="9"/>
      <c r="M5576" s="11"/>
      <c r="N5576" s="9" t="s">
        <v>1014</v>
      </c>
    </row>
    <row r="5577" ht="25" customHeight="1" spans="1:14">
      <c r="A5577" s="9" t="s">
        <v>481</v>
      </c>
      <c r="B5577" s="9" t="s">
        <v>480</v>
      </c>
      <c r="C5577" s="10">
        <v>46223</v>
      </c>
      <c r="D5577" s="15">
        <v>1.014</v>
      </c>
      <c r="E5577" s="15">
        <v>1.109</v>
      </c>
      <c r="F5577" s="15">
        <v>1.1094</v>
      </c>
      <c r="G5577" s="11">
        <v>-0.002</v>
      </c>
      <c r="H5577" s="9">
        <f>MAX($F$5387:F5577)</f>
        <v>1.1148</v>
      </c>
      <c r="I5577" s="11">
        <f t="shared" si="138"/>
        <v>0.0048439181916039</v>
      </c>
      <c r="J5577" s="9"/>
      <c r="K5577" s="11"/>
      <c r="L5577" s="9"/>
      <c r="M5577" s="11"/>
      <c r="N5577" s="9" t="s">
        <v>1014</v>
      </c>
    </row>
    <row r="5578" ht="25" customHeight="1" spans="1:14">
      <c r="A5578" s="9" t="s">
        <v>481</v>
      </c>
      <c r="B5578" s="9" t="s">
        <v>480</v>
      </c>
      <c r="C5578" s="10">
        <v>46224</v>
      </c>
      <c r="D5578" s="15">
        <v>1.02</v>
      </c>
      <c r="E5578" s="15">
        <v>1.115</v>
      </c>
      <c r="F5578" s="15">
        <v>1.1159</v>
      </c>
      <c r="G5578" s="11">
        <v>0.0059</v>
      </c>
      <c r="H5578" s="9">
        <f>MAX($F$5387:F5578)</f>
        <v>1.1159</v>
      </c>
      <c r="I5578" s="11">
        <f t="shared" si="138"/>
        <v>0</v>
      </c>
      <c r="J5578" s="9"/>
      <c r="K5578" s="11"/>
      <c r="L5578" s="9"/>
      <c r="M5578" s="11"/>
      <c r="N5578" s="9" t="s">
        <v>1014</v>
      </c>
    </row>
    <row r="5579" ht="25" customHeight="1" spans="1:14">
      <c r="A5579" s="9" t="s">
        <v>481</v>
      </c>
      <c r="B5579" s="9" t="s">
        <v>480</v>
      </c>
      <c r="C5579" s="10">
        <v>46225</v>
      </c>
      <c r="D5579" s="15">
        <v>1.024</v>
      </c>
      <c r="E5579" s="15">
        <v>1.119</v>
      </c>
      <c r="F5579" s="15">
        <v>1.1203</v>
      </c>
      <c r="G5579" s="11">
        <v>0.0039</v>
      </c>
      <c r="H5579" s="9">
        <f>MAX($F$5387:F5579)</f>
        <v>1.1203</v>
      </c>
      <c r="I5579" s="11">
        <f t="shared" si="138"/>
        <v>0</v>
      </c>
      <c r="J5579" s="9"/>
      <c r="K5579" s="11"/>
      <c r="L5579" s="9"/>
      <c r="M5579" s="11"/>
      <c r="N5579" s="9" t="s">
        <v>1014</v>
      </c>
    </row>
    <row r="5580" ht="25" customHeight="1" spans="1:14">
      <c r="A5580" s="9" t="s">
        <v>481</v>
      </c>
      <c r="B5580" s="9" t="s">
        <v>480</v>
      </c>
      <c r="C5580" s="10">
        <v>46226</v>
      </c>
      <c r="D5580" s="15">
        <v>1.026</v>
      </c>
      <c r="E5580" s="15">
        <v>1.121</v>
      </c>
      <c r="F5580" s="15">
        <v>1.1225</v>
      </c>
      <c r="G5580" s="11">
        <v>0.002</v>
      </c>
      <c r="H5580" s="9">
        <f>MAX($F$5387:F5580)</f>
        <v>1.1225</v>
      </c>
      <c r="I5580" s="11">
        <f t="shared" si="138"/>
        <v>0</v>
      </c>
      <c r="J5580" s="9"/>
      <c r="K5580" s="11"/>
      <c r="L5580" s="9"/>
      <c r="M5580" s="11"/>
      <c r="N5580" s="9" t="s">
        <v>1014</v>
      </c>
    </row>
    <row r="5581" ht="25" customHeight="1" spans="1:14">
      <c r="A5581" s="9" t="s">
        <v>481</v>
      </c>
      <c r="B5581" s="9" t="s">
        <v>480</v>
      </c>
      <c r="C5581" s="10">
        <v>46227</v>
      </c>
      <c r="D5581" s="15">
        <v>1.025</v>
      </c>
      <c r="E5581" s="15">
        <v>1.12</v>
      </c>
      <c r="F5581" s="15">
        <v>1.1214</v>
      </c>
      <c r="G5581" s="11">
        <v>-0.001</v>
      </c>
      <c r="H5581" s="9">
        <f>MAX($F$5387:F5581)</f>
        <v>1.1225</v>
      </c>
      <c r="I5581" s="11">
        <f t="shared" si="138"/>
        <v>0.000979955456570258</v>
      </c>
      <c r="J5581" s="9"/>
      <c r="K5581" s="11"/>
      <c r="L5581" s="9"/>
      <c r="M5581" s="11"/>
      <c r="N5581" s="9" t="s">
        <v>1014</v>
      </c>
    </row>
    <row r="5582" ht="25" customHeight="1" spans="1:14">
      <c r="A5582" s="9" t="s">
        <v>481</v>
      </c>
      <c r="B5582" s="9" t="s">
        <v>480</v>
      </c>
      <c r="C5582" s="10">
        <v>46230</v>
      </c>
      <c r="D5582" s="15">
        <v>1.026</v>
      </c>
      <c r="E5582" s="15">
        <v>1.121</v>
      </c>
      <c r="F5582" s="15">
        <v>1.1225</v>
      </c>
      <c r="G5582" s="11">
        <v>0.001</v>
      </c>
      <c r="H5582" s="9">
        <f>MAX($F$5387:F5582)</f>
        <v>1.1225</v>
      </c>
      <c r="I5582" s="11">
        <f t="shared" si="138"/>
        <v>0</v>
      </c>
      <c r="J5582" s="9"/>
      <c r="K5582" s="11"/>
      <c r="L5582" s="9"/>
      <c r="M5582" s="11"/>
      <c r="N5582" s="9" t="s">
        <v>1014</v>
      </c>
    </row>
    <row r="5583" ht="25" customHeight="1" spans="1:14">
      <c r="A5583" s="9" t="s">
        <v>481</v>
      </c>
      <c r="B5583" s="9" t="s">
        <v>480</v>
      </c>
      <c r="C5583" s="10">
        <v>46231</v>
      </c>
      <c r="D5583" s="15">
        <v>1.024</v>
      </c>
      <c r="E5583" s="15">
        <v>1.119</v>
      </c>
      <c r="F5583" s="15">
        <v>1.1203</v>
      </c>
      <c r="G5583" s="11">
        <v>-0.0019</v>
      </c>
      <c r="H5583" s="9">
        <f>MAX($F$5387:F5583)</f>
        <v>1.1225</v>
      </c>
      <c r="I5583" s="11">
        <f t="shared" si="138"/>
        <v>0.00195991091314029</v>
      </c>
      <c r="J5583" s="9"/>
      <c r="K5583" s="11"/>
      <c r="L5583" s="9"/>
      <c r="M5583" s="11"/>
      <c r="N5583" s="9" t="s">
        <v>1014</v>
      </c>
    </row>
    <row r="5584" ht="25" customHeight="1" spans="1:14">
      <c r="A5584" s="9" t="s">
        <v>481</v>
      </c>
      <c r="B5584" s="9" t="s">
        <v>480</v>
      </c>
      <c r="C5584" s="10">
        <v>46232</v>
      </c>
      <c r="D5584" s="15">
        <v>1.023</v>
      </c>
      <c r="E5584" s="15">
        <v>1.118</v>
      </c>
      <c r="F5584" s="15">
        <v>1.1192</v>
      </c>
      <c r="G5584" s="11">
        <v>-0.001</v>
      </c>
      <c r="H5584" s="9">
        <f>MAX($F$5387:F5584)</f>
        <v>1.1225</v>
      </c>
      <c r="I5584" s="11">
        <f t="shared" si="138"/>
        <v>0.00293986636971055</v>
      </c>
      <c r="J5584" s="9"/>
      <c r="K5584" s="11"/>
      <c r="L5584" s="9"/>
      <c r="M5584" s="11"/>
      <c r="N5584" s="9" t="s">
        <v>1014</v>
      </c>
    </row>
    <row r="5585" ht="25" customHeight="1" spans="1:14">
      <c r="A5585" s="9" t="s">
        <v>481</v>
      </c>
      <c r="B5585" s="9" t="s">
        <v>480</v>
      </c>
      <c r="C5585" s="10">
        <v>46233</v>
      </c>
      <c r="D5585" s="15">
        <v>1.018</v>
      </c>
      <c r="E5585" s="15">
        <v>1.113</v>
      </c>
      <c r="F5585" s="15">
        <v>1.1138</v>
      </c>
      <c r="G5585" s="11">
        <v>-0.0049</v>
      </c>
      <c r="H5585" s="9">
        <f>MAX($F$5387:F5585)</f>
        <v>1.1225</v>
      </c>
      <c r="I5585" s="11">
        <f t="shared" si="138"/>
        <v>0.00775055679287318</v>
      </c>
      <c r="J5585" s="9"/>
      <c r="K5585" s="11"/>
      <c r="L5585" s="9"/>
      <c r="M5585" s="11"/>
      <c r="N5585" s="9" t="s">
        <v>1014</v>
      </c>
    </row>
    <row r="5586" ht="25" customHeight="1" spans="1:14">
      <c r="A5586" s="9" t="s">
        <v>481</v>
      </c>
      <c r="B5586" s="9" t="s">
        <v>480</v>
      </c>
      <c r="C5586" s="10">
        <v>46234</v>
      </c>
      <c r="D5586" s="15">
        <v>1.022</v>
      </c>
      <c r="E5586" s="15">
        <v>1.117</v>
      </c>
      <c r="F5586" s="15">
        <v>1.1181</v>
      </c>
      <c r="G5586" s="11">
        <v>0.0039</v>
      </c>
      <c r="H5586" s="9">
        <f>MAX($F$5387:F5586)</f>
        <v>1.1225</v>
      </c>
      <c r="I5586" s="11">
        <f t="shared" si="138"/>
        <v>0.00391982182628059</v>
      </c>
      <c r="J5586" s="9"/>
      <c r="K5586" s="11"/>
      <c r="L5586" s="9"/>
      <c r="M5586" s="11"/>
      <c r="N5586" s="9" t="s">
        <v>1014</v>
      </c>
    </row>
    <row r="5587" ht="25" customHeight="1" spans="1:14">
      <c r="A5587" s="9" t="s">
        <v>481</v>
      </c>
      <c r="B5587" s="9" t="s">
        <v>480</v>
      </c>
      <c r="C5587" s="10">
        <v>46237</v>
      </c>
      <c r="D5587" s="15">
        <v>1.024</v>
      </c>
      <c r="E5587" s="15">
        <v>1.119</v>
      </c>
      <c r="F5587" s="15">
        <v>1.1203</v>
      </c>
      <c r="G5587" s="11">
        <v>0.002</v>
      </c>
      <c r="H5587" s="9">
        <f>MAX($F$5387:F5587)</f>
        <v>1.1225</v>
      </c>
      <c r="I5587" s="11">
        <f t="shared" si="138"/>
        <v>0.00195991091314029</v>
      </c>
      <c r="J5587" s="9"/>
      <c r="K5587" s="11"/>
      <c r="L5587" s="9"/>
      <c r="M5587" s="11"/>
      <c r="N5587" s="9" t="s">
        <v>1014</v>
      </c>
    </row>
    <row r="5588" ht="25" customHeight="1" spans="1:14">
      <c r="A5588" s="9" t="s">
        <v>481</v>
      </c>
      <c r="B5588" s="9" t="s">
        <v>480</v>
      </c>
      <c r="C5588" s="10">
        <v>46238</v>
      </c>
      <c r="D5588" s="15">
        <v>1.026</v>
      </c>
      <c r="E5588" s="15">
        <v>1.121</v>
      </c>
      <c r="F5588" s="15">
        <v>1.1225</v>
      </c>
      <c r="G5588" s="11">
        <v>0.002</v>
      </c>
      <c r="H5588" s="9">
        <f>MAX($F$5387:F5588)</f>
        <v>1.1225</v>
      </c>
      <c r="I5588" s="11">
        <f t="shared" si="138"/>
        <v>0</v>
      </c>
      <c r="J5588" s="9"/>
      <c r="K5588" s="11"/>
      <c r="L5588" s="9"/>
      <c r="M5588" s="11"/>
      <c r="N5588" s="9" t="s">
        <v>1014</v>
      </c>
    </row>
    <row r="5589" ht="25" customHeight="1" spans="1:14">
      <c r="A5589" s="9" t="s">
        <v>481</v>
      </c>
      <c r="B5589" s="9" t="s">
        <v>480</v>
      </c>
      <c r="C5589" s="10">
        <v>46239</v>
      </c>
      <c r="D5589" s="15">
        <v>1.026</v>
      </c>
      <c r="E5589" s="15">
        <v>1.121</v>
      </c>
      <c r="F5589" s="15">
        <v>1.1225</v>
      </c>
      <c r="G5589" s="11">
        <v>0</v>
      </c>
      <c r="H5589" s="9">
        <f>MAX($F$5387:F5589)</f>
        <v>1.1225</v>
      </c>
      <c r="I5589" s="11">
        <f t="shared" si="138"/>
        <v>0</v>
      </c>
      <c r="J5589" s="9"/>
      <c r="K5589" s="11"/>
      <c r="L5589" s="9"/>
      <c r="M5589" s="11"/>
      <c r="N5589" s="9" t="s">
        <v>1014</v>
      </c>
    </row>
    <row r="5590" ht="25" customHeight="1" spans="1:14">
      <c r="A5590" s="9" t="s">
        <v>481</v>
      </c>
      <c r="B5590" s="9" t="s">
        <v>480</v>
      </c>
      <c r="C5590" s="10">
        <v>46240</v>
      </c>
      <c r="D5590" s="15">
        <v>1.024</v>
      </c>
      <c r="E5590" s="15">
        <v>1.119</v>
      </c>
      <c r="F5590" s="15">
        <v>1.1203</v>
      </c>
      <c r="G5590" s="11">
        <v>-0.0019</v>
      </c>
      <c r="H5590" s="9">
        <f>MAX($F$5387:F5590)</f>
        <v>1.1225</v>
      </c>
      <c r="I5590" s="11">
        <f t="shared" si="138"/>
        <v>0.00195991091314029</v>
      </c>
      <c r="J5590" s="9"/>
      <c r="K5590" s="11"/>
      <c r="L5590" s="9"/>
      <c r="M5590" s="11"/>
      <c r="N5590" s="9" t="s">
        <v>1014</v>
      </c>
    </row>
    <row r="5591" ht="25" customHeight="1" spans="1:14">
      <c r="A5591" s="9" t="s">
        <v>481</v>
      </c>
      <c r="B5591" s="9" t="s">
        <v>480</v>
      </c>
      <c r="C5591" s="10">
        <v>46241</v>
      </c>
      <c r="D5591" s="15">
        <v>1.027</v>
      </c>
      <c r="E5591" s="15">
        <v>1.122</v>
      </c>
      <c r="F5591" s="15">
        <v>1.1236</v>
      </c>
      <c r="G5591" s="11">
        <v>0.0029</v>
      </c>
      <c r="H5591" s="9">
        <f>MAX($F$5387:F5591)</f>
        <v>1.1236</v>
      </c>
      <c r="I5591" s="11">
        <f t="shared" si="138"/>
        <v>0</v>
      </c>
      <c r="J5591" s="9"/>
      <c r="K5591" s="11"/>
      <c r="L5591" s="9"/>
      <c r="M5591" s="11"/>
      <c r="N5591" s="9" t="s">
        <v>1014</v>
      </c>
    </row>
    <row r="5592" ht="25" customHeight="1" spans="1:14">
      <c r="A5592" s="9" t="s">
        <v>481</v>
      </c>
      <c r="B5592" s="9" t="s">
        <v>480</v>
      </c>
      <c r="C5592" s="10">
        <v>46244</v>
      </c>
      <c r="D5592" s="15">
        <v>1.028</v>
      </c>
      <c r="E5592" s="15">
        <v>1.123</v>
      </c>
      <c r="F5592" s="15">
        <v>1.1247</v>
      </c>
      <c r="G5592" s="11">
        <v>0.001</v>
      </c>
      <c r="H5592" s="9">
        <f>MAX($F$5387:F5592)</f>
        <v>1.1247</v>
      </c>
      <c r="I5592" s="11">
        <f t="shared" si="138"/>
        <v>0</v>
      </c>
      <c r="J5592" s="9"/>
      <c r="K5592" s="11"/>
      <c r="L5592" s="9"/>
      <c r="M5592" s="11"/>
      <c r="N5592" s="9" t="s">
        <v>1014</v>
      </c>
    </row>
    <row r="5593" ht="25" customHeight="1" spans="1:14">
      <c r="A5593" s="9" t="s">
        <v>481</v>
      </c>
      <c r="B5593" s="9" t="s">
        <v>480</v>
      </c>
      <c r="C5593" s="10">
        <v>46245</v>
      </c>
      <c r="D5593" s="15">
        <v>1.026</v>
      </c>
      <c r="E5593" s="15">
        <v>1.121</v>
      </c>
      <c r="F5593" s="15">
        <v>1.1225</v>
      </c>
      <c r="G5593" s="11">
        <v>-0.0019</v>
      </c>
      <c r="H5593" s="9">
        <f>MAX($F$5387:F5593)</f>
        <v>1.1247</v>
      </c>
      <c r="I5593" s="11">
        <f t="shared" si="138"/>
        <v>0.00195607717613588</v>
      </c>
      <c r="J5593" s="9"/>
      <c r="K5593" s="11"/>
      <c r="L5593" s="9"/>
      <c r="M5593" s="11"/>
      <c r="N5593" s="9" t="s">
        <v>1014</v>
      </c>
    </row>
    <row r="5594" ht="25" customHeight="1" spans="1:14">
      <c r="A5594" s="9" t="s">
        <v>481</v>
      </c>
      <c r="B5594" s="9" t="s">
        <v>480</v>
      </c>
      <c r="C5594" s="10">
        <v>46246</v>
      </c>
      <c r="D5594" s="15">
        <v>1.028</v>
      </c>
      <c r="E5594" s="15">
        <v>1.123</v>
      </c>
      <c r="F5594" s="15">
        <v>1.1247</v>
      </c>
      <c r="G5594" s="11">
        <v>0.0019</v>
      </c>
      <c r="H5594" s="9">
        <f>MAX($F$5387:F5594)</f>
        <v>1.1247</v>
      </c>
      <c r="I5594" s="11">
        <f t="shared" si="138"/>
        <v>0</v>
      </c>
      <c r="J5594" s="9"/>
      <c r="K5594" s="11"/>
      <c r="L5594" s="9"/>
      <c r="M5594" s="11"/>
      <c r="N5594" s="9" t="s">
        <v>1014</v>
      </c>
    </row>
    <row r="5595" ht="25" customHeight="1" spans="1:14">
      <c r="A5595" s="9" t="s">
        <v>481</v>
      </c>
      <c r="B5595" s="9" t="s">
        <v>480</v>
      </c>
      <c r="C5595" s="10">
        <v>46247</v>
      </c>
      <c r="D5595" s="15">
        <v>1.027</v>
      </c>
      <c r="E5595" s="15">
        <v>1.122</v>
      </c>
      <c r="F5595" s="15">
        <v>1.1236</v>
      </c>
      <c r="G5595" s="11">
        <v>-0.001</v>
      </c>
      <c r="H5595" s="9">
        <f>MAX($F$5387:F5595)</f>
        <v>1.1247</v>
      </c>
      <c r="I5595" s="11">
        <f t="shared" si="138"/>
        <v>0.000978038588067998</v>
      </c>
      <c r="J5595" s="9"/>
      <c r="K5595" s="11"/>
      <c r="L5595" s="9"/>
      <c r="M5595" s="11"/>
      <c r="N5595" s="9" t="s">
        <v>1014</v>
      </c>
    </row>
    <row r="5596" ht="25" customHeight="1" spans="1:14">
      <c r="A5596" s="9" t="s">
        <v>481</v>
      </c>
      <c r="B5596" s="9" t="s">
        <v>480</v>
      </c>
      <c r="C5596" s="10">
        <v>46248</v>
      </c>
      <c r="D5596" s="15">
        <v>1.031</v>
      </c>
      <c r="E5596" s="15">
        <v>1.126</v>
      </c>
      <c r="F5596" s="15">
        <v>1.128</v>
      </c>
      <c r="G5596" s="11">
        <v>0.0039</v>
      </c>
      <c r="H5596" s="9">
        <f>MAX($F$5387:F5596)</f>
        <v>1.128</v>
      </c>
      <c r="I5596" s="11">
        <f t="shared" si="138"/>
        <v>0</v>
      </c>
      <c r="J5596" s="9"/>
      <c r="K5596" s="11"/>
      <c r="L5596" s="9"/>
      <c r="M5596" s="11"/>
      <c r="N5596" s="9" t="s">
        <v>1014</v>
      </c>
    </row>
    <row r="5597" ht="25" customHeight="1" spans="1:14">
      <c r="A5597" s="9" t="s">
        <v>481</v>
      </c>
      <c r="B5597" s="9" t="s">
        <v>480</v>
      </c>
      <c r="C5597" s="10">
        <v>46251</v>
      </c>
      <c r="D5597" s="15">
        <v>1.032</v>
      </c>
      <c r="E5597" s="15">
        <v>1.127</v>
      </c>
      <c r="F5597" s="15">
        <v>1.1291</v>
      </c>
      <c r="G5597" s="11">
        <v>0.001</v>
      </c>
      <c r="H5597" s="9">
        <f>MAX($F$5387:F5597)</f>
        <v>1.1291</v>
      </c>
      <c r="I5597" s="11">
        <f t="shared" si="138"/>
        <v>0</v>
      </c>
      <c r="J5597" s="9"/>
      <c r="K5597" s="11"/>
      <c r="L5597" s="9"/>
      <c r="M5597" s="11"/>
      <c r="N5597" s="9" t="s">
        <v>1014</v>
      </c>
    </row>
    <row r="5598" ht="25" customHeight="1" spans="1:14">
      <c r="A5598" s="9" t="s">
        <v>481</v>
      </c>
      <c r="B5598" s="9" t="s">
        <v>480</v>
      </c>
      <c r="C5598" s="10">
        <v>46252</v>
      </c>
      <c r="D5598" s="15">
        <v>1.031</v>
      </c>
      <c r="E5598" s="15">
        <v>1.126</v>
      </c>
      <c r="F5598" s="15">
        <v>1.128</v>
      </c>
      <c r="G5598" s="11">
        <v>-0.001</v>
      </c>
      <c r="H5598" s="9">
        <f>MAX($F$5387:F5598)</f>
        <v>1.1291</v>
      </c>
      <c r="I5598" s="11">
        <f t="shared" si="138"/>
        <v>0.000974227260650218</v>
      </c>
      <c r="J5598" s="9"/>
      <c r="K5598" s="11"/>
      <c r="L5598" s="9"/>
      <c r="M5598" s="11"/>
      <c r="N5598" s="9" t="s">
        <v>1014</v>
      </c>
    </row>
    <row r="5599" ht="25" customHeight="1" spans="1:14">
      <c r="A5599" s="9" t="s">
        <v>481</v>
      </c>
      <c r="B5599" s="9" t="s">
        <v>480</v>
      </c>
      <c r="C5599" s="10">
        <v>46253</v>
      </c>
      <c r="D5599" s="15">
        <v>1.032</v>
      </c>
      <c r="E5599" s="15">
        <v>1.127</v>
      </c>
      <c r="F5599" s="15">
        <v>1.1291</v>
      </c>
      <c r="G5599" s="11">
        <v>0.001</v>
      </c>
      <c r="H5599" s="9">
        <f>MAX($F$5387:F5599)</f>
        <v>1.1291</v>
      </c>
      <c r="I5599" s="11">
        <f t="shared" si="138"/>
        <v>0</v>
      </c>
      <c r="J5599" s="9"/>
      <c r="K5599" s="11"/>
      <c r="L5599" s="9"/>
      <c r="M5599" s="11"/>
      <c r="N5599" s="9" t="s">
        <v>1014</v>
      </c>
    </row>
    <row r="5600" ht="25" customHeight="1" spans="1:14">
      <c r="A5600" s="9" t="s">
        <v>481</v>
      </c>
      <c r="B5600" s="9" t="s">
        <v>480</v>
      </c>
      <c r="C5600" s="10">
        <v>46254</v>
      </c>
      <c r="D5600" s="15">
        <v>1.032</v>
      </c>
      <c r="E5600" s="15">
        <v>1.127</v>
      </c>
      <c r="F5600" s="15">
        <v>1.1291</v>
      </c>
      <c r="G5600" s="11">
        <v>0</v>
      </c>
      <c r="H5600" s="9">
        <f>MAX($F$5387:F5600)</f>
        <v>1.1291</v>
      </c>
      <c r="I5600" s="11">
        <f t="shared" si="138"/>
        <v>0</v>
      </c>
      <c r="J5600" s="9"/>
      <c r="K5600" s="11"/>
      <c r="L5600" s="9"/>
      <c r="M5600" s="11"/>
      <c r="N5600" s="9" t="s">
        <v>1014</v>
      </c>
    </row>
    <row r="5601" ht="25" customHeight="1" spans="1:14">
      <c r="A5601" s="9" t="s">
        <v>481</v>
      </c>
      <c r="B5601" s="9" t="s">
        <v>480</v>
      </c>
      <c r="C5601" s="10">
        <v>46255</v>
      </c>
      <c r="D5601" s="15">
        <v>1.031</v>
      </c>
      <c r="E5601" s="15">
        <v>1.126</v>
      </c>
      <c r="F5601" s="15">
        <v>1.128</v>
      </c>
      <c r="G5601" s="11">
        <v>-0.001</v>
      </c>
      <c r="H5601" s="9">
        <f>MAX($F$5387:F5601)</f>
        <v>1.1291</v>
      </c>
      <c r="I5601" s="11">
        <f t="shared" si="138"/>
        <v>0.000974227260650218</v>
      </c>
      <c r="J5601" s="9"/>
      <c r="K5601" s="11"/>
      <c r="L5601" s="9"/>
      <c r="M5601" s="11"/>
      <c r="N5601" s="9" t="s">
        <v>1014</v>
      </c>
    </row>
    <row r="5602" ht="25" customHeight="1" spans="1:14">
      <c r="A5602" s="9" t="s">
        <v>481</v>
      </c>
      <c r="B5602" s="9" t="s">
        <v>480</v>
      </c>
      <c r="C5602" s="10">
        <v>46258</v>
      </c>
      <c r="D5602" s="15">
        <v>1.026</v>
      </c>
      <c r="E5602" s="15">
        <v>1.121</v>
      </c>
      <c r="F5602" s="15">
        <v>1.1225</v>
      </c>
      <c r="G5602" s="11">
        <v>-0.0048</v>
      </c>
      <c r="H5602" s="9">
        <f>MAX($F$5387:F5602)</f>
        <v>1.1291</v>
      </c>
      <c r="I5602" s="11">
        <f t="shared" si="138"/>
        <v>0.00584536356390042</v>
      </c>
      <c r="J5602" s="9"/>
      <c r="K5602" s="11"/>
      <c r="L5602" s="9"/>
      <c r="M5602" s="11"/>
      <c r="N5602" s="9" t="s">
        <v>1014</v>
      </c>
    </row>
    <row r="5603" ht="25" customHeight="1" spans="1:14">
      <c r="A5603" s="9" t="s">
        <v>481</v>
      </c>
      <c r="B5603" s="9" t="s">
        <v>480</v>
      </c>
      <c r="C5603" s="10">
        <v>46259</v>
      </c>
      <c r="D5603" s="15">
        <v>1.027</v>
      </c>
      <c r="E5603" s="15">
        <v>1.122</v>
      </c>
      <c r="F5603" s="15">
        <v>1.1236</v>
      </c>
      <c r="G5603" s="11">
        <v>0.001</v>
      </c>
      <c r="H5603" s="9">
        <f>MAX($F$5387:F5603)</f>
        <v>1.1291</v>
      </c>
      <c r="I5603" s="11">
        <f t="shared" si="138"/>
        <v>0.00487113630325042</v>
      </c>
      <c r="J5603" s="9"/>
      <c r="K5603" s="11"/>
      <c r="L5603" s="9"/>
      <c r="M5603" s="11"/>
      <c r="N5603" s="9" t="s">
        <v>1014</v>
      </c>
    </row>
    <row r="5604" ht="25" customHeight="1" spans="1:14">
      <c r="A5604" s="9" t="s">
        <v>481</v>
      </c>
      <c r="B5604" s="9" t="s">
        <v>480</v>
      </c>
      <c r="C5604" s="10">
        <v>46260</v>
      </c>
      <c r="D5604" s="15">
        <v>1.028</v>
      </c>
      <c r="E5604" s="15">
        <v>1.123</v>
      </c>
      <c r="F5604" s="15">
        <v>1.1247</v>
      </c>
      <c r="G5604" s="11">
        <v>0.001</v>
      </c>
      <c r="H5604" s="9">
        <f>MAX($F$5387:F5604)</f>
        <v>1.1291</v>
      </c>
      <c r="I5604" s="11">
        <f t="shared" si="138"/>
        <v>0.00389690904260032</v>
      </c>
      <c r="J5604" s="9"/>
      <c r="K5604" s="11"/>
      <c r="L5604" s="9"/>
      <c r="M5604" s="11"/>
      <c r="N5604" s="9" t="s">
        <v>1014</v>
      </c>
    </row>
    <row r="5605" ht="25" customHeight="1" spans="1:14">
      <c r="A5605" s="9" t="s">
        <v>481</v>
      </c>
      <c r="B5605" s="9" t="s">
        <v>480</v>
      </c>
      <c r="C5605" s="10">
        <v>46261</v>
      </c>
      <c r="D5605" s="15">
        <v>1.03</v>
      </c>
      <c r="E5605" s="15">
        <v>1.125</v>
      </c>
      <c r="F5605" s="15">
        <v>1.1269</v>
      </c>
      <c r="G5605" s="11">
        <v>0.0019</v>
      </c>
      <c r="H5605" s="9">
        <f>MAX($F$5387:F5605)</f>
        <v>1.1291</v>
      </c>
      <c r="I5605" s="11">
        <f t="shared" si="138"/>
        <v>0.0019484545213001</v>
      </c>
      <c r="J5605" s="9"/>
      <c r="K5605" s="11"/>
      <c r="L5605" s="9"/>
      <c r="M5605" s="11"/>
      <c r="N5605" s="9" t="s">
        <v>1014</v>
      </c>
    </row>
    <row r="5606" ht="25" customHeight="1" spans="1:14">
      <c r="A5606" s="9" t="s">
        <v>481</v>
      </c>
      <c r="B5606" s="9" t="s">
        <v>480</v>
      </c>
      <c r="C5606" s="10">
        <v>46262</v>
      </c>
      <c r="D5606" s="15">
        <v>1.025</v>
      </c>
      <c r="E5606" s="15">
        <v>1.12</v>
      </c>
      <c r="F5606" s="15">
        <v>1.1214</v>
      </c>
      <c r="G5606" s="11">
        <v>-0.0049</v>
      </c>
      <c r="H5606" s="9">
        <f>MAX($F$5387:F5606)</f>
        <v>1.1291</v>
      </c>
      <c r="I5606" s="11">
        <f t="shared" si="138"/>
        <v>0.00681959082455053</v>
      </c>
      <c r="J5606" s="9"/>
      <c r="K5606" s="11"/>
      <c r="L5606" s="9"/>
      <c r="M5606" s="11"/>
      <c r="N5606" s="9" t="s">
        <v>1014</v>
      </c>
    </row>
    <row r="5607" ht="25" customHeight="1" spans="1:14">
      <c r="A5607" s="9" t="s">
        <v>481</v>
      </c>
      <c r="B5607" s="9" t="s">
        <v>480</v>
      </c>
      <c r="C5607" s="10">
        <v>46265</v>
      </c>
      <c r="D5607" s="15">
        <v>1.029</v>
      </c>
      <c r="E5607" s="15">
        <v>1.124</v>
      </c>
      <c r="F5607" s="15">
        <v>1.1258</v>
      </c>
      <c r="G5607" s="11">
        <v>0.0039</v>
      </c>
      <c r="H5607" s="9">
        <f>MAX($F$5387:F5607)</f>
        <v>1.1291</v>
      </c>
      <c r="I5607" s="11">
        <f t="shared" si="138"/>
        <v>0.00292268178195032</v>
      </c>
      <c r="J5607" s="9"/>
      <c r="K5607" s="11"/>
      <c r="L5607" s="9"/>
      <c r="M5607" s="11"/>
      <c r="N5607" s="9" t="s">
        <v>1014</v>
      </c>
    </row>
    <row r="5608" ht="25" customHeight="1" spans="1:14">
      <c r="A5608" s="9" t="s">
        <v>481</v>
      </c>
      <c r="B5608" s="9" t="s">
        <v>480</v>
      </c>
      <c r="C5608" s="10">
        <v>46266</v>
      </c>
      <c r="D5608" s="15">
        <v>1.028</v>
      </c>
      <c r="E5608" s="15">
        <v>1.123</v>
      </c>
      <c r="F5608" s="15">
        <v>1.1247</v>
      </c>
      <c r="G5608" s="11">
        <v>-0.001</v>
      </c>
      <c r="H5608" s="9">
        <f>MAX($F$5387:F5608)</f>
        <v>1.1291</v>
      </c>
      <c r="I5608" s="11">
        <f t="shared" si="138"/>
        <v>0.00389690904260032</v>
      </c>
      <c r="J5608" s="9"/>
      <c r="K5608" s="11"/>
      <c r="L5608" s="9"/>
      <c r="M5608" s="11"/>
      <c r="N5608" s="9" t="s">
        <v>1014</v>
      </c>
    </row>
    <row r="5609" ht="25" customHeight="1" spans="1:14">
      <c r="A5609" s="9" t="s">
        <v>481</v>
      </c>
      <c r="B5609" s="9" t="s">
        <v>480</v>
      </c>
      <c r="C5609" s="10">
        <v>46267</v>
      </c>
      <c r="D5609" s="15">
        <v>1.022</v>
      </c>
      <c r="E5609" s="15">
        <v>1.117</v>
      </c>
      <c r="F5609" s="15">
        <v>1.1181</v>
      </c>
      <c r="G5609" s="11">
        <v>-0.0058</v>
      </c>
      <c r="H5609" s="9">
        <f>MAX($F$5387:F5609)</f>
        <v>1.1291</v>
      </c>
      <c r="I5609" s="11">
        <f t="shared" si="138"/>
        <v>0.00974227260650062</v>
      </c>
      <c r="J5609" s="9"/>
      <c r="K5609" s="11"/>
      <c r="L5609" s="9"/>
      <c r="M5609" s="11"/>
      <c r="N5609" s="9" t="s">
        <v>1014</v>
      </c>
    </row>
    <row r="5610" ht="25" customHeight="1" spans="1:14">
      <c r="A5610" s="9" t="s">
        <v>481</v>
      </c>
      <c r="B5610" s="9" t="s">
        <v>480</v>
      </c>
      <c r="C5610" s="10">
        <v>46268</v>
      </c>
      <c r="D5610" s="15">
        <v>1.03</v>
      </c>
      <c r="E5610" s="15">
        <v>1.125</v>
      </c>
      <c r="F5610" s="15">
        <v>1.1269</v>
      </c>
      <c r="G5610" s="11">
        <v>0.0078</v>
      </c>
      <c r="H5610" s="9">
        <f>MAX($F$5387:F5610)</f>
        <v>1.1291</v>
      </c>
      <c r="I5610" s="11">
        <f t="shared" si="138"/>
        <v>0.0019484545213001</v>
      </c>
      <c r="J5610" s="9"/>
      <c r="K5610" s="11"/>
      <c r="L5610" s="9"/>
      <c r="M5610" s="11"/>
      <c r="N5610" s="9" t="s">
        <v>1014</v>
      </c>
    </row>
    <row r="5611" ht="25" customHeight="1" spans="1:14">
      <c r="A5611" s="9" t="s">
        <v>481</v>
      </c>
      <c r="B5611" s="9" t="s">
        <v>480</v>
      </c>
      <c r="C5611" s="10">
        <v>46269</v>
      </c>
      <c r="D5611" s="15">
        <v>1.027</v>
      </c>
      <c r="E5611" s="15">
        <v>1.122</v>
      </c>
      <c r="F5611" s="15">
        <v>1.1236</v>
      </c>
      <c r="G5611" s="11">
        <v>-0.0029</v>
      </c>
      <c r="H5611" s="9">
        <f>MAX($F$5387:F5611)</f>
        <v>1.1291</v>
      </c>
      <c r="I5611" s="11">
        <f t="shared" si="138"/>
        <v>0.00487113630325042</v>
      </c>
      <c r="J5611" s="9"/>
      <c r="K5611" s="11"/>
      <c r="L5611" s="9"/>
      <c r="M5611" s="11"/>
      <c r="N5611" s="9" t="s">
        <v>1014</v>
      </c>
    </row>
    <row r="5612" ht="25" customHeight="1" spans="1:14">
      <c r="A5612" s="9" t="s">
        <v>481</v>
      </c>
      <c r="B5612" s="9" t="s">
        <v>480</v>
      </c>
      <c r="C5612" s="10">
        <v>46272</v>
      </c>
      <c r="D5612" s="15">
        <v>1.033</v>
      </c>
      <c r="E5612" s="15">
        <v>1.128</v>
      </c>
      <c r="F5612" s="15">
        <v>1.1302</v>
      </c>
      <c r="G5612" s="11">
        <v>0.0058</v>
      </c>
      <c r="H5612" s="9">
        <f>MAX($F$5387:F5612)</f>
        <v>1.1302</v>
      </c>
      <c r="I5612" s="11">
        <f t="shared" si="138"/>
        <v>0</v>
      </c>
      <c r="J5612" s="9"/>
      <c r="K5612" s="11"/>
      <c r="L5612" s="9"/>
      <c r="M5612" s="11"/>
      <c r="N5612" s="9" t="s">
        <v>1014</v>
      </c>
    </row>
    <row r="5613" ht="25" customHeight="1" spans="1:14">
      <c r="A5613" s="9" t="s">
        <v>481</v>
      </c>
      <c r="B5613" s="9" t="s">
        <v>480</v>
      </c>
      <c r="C5613" s="10">
        <v>46273</v>
      </c>
      <c r="D5613" s="15">
        <v>1.038</v>
      </c>
      <c r="E5613" s="15">
        <v>1.133</v>
      </c>
      <c r="F5613" s="15">
        <v>1.1356</v>
      </c>
      <c r="G5613" s="11">
        <v>0.0048</v>
      </c>
      <c r="H5613" s="9">
        <f>MAX($F$5387:F5613)</f>
        <v>1.1356</v>
      </c>
      <c r="I5613" s="11">
        <f t="shared" si="138"/>
        <v>0</v>
      </c>
      <c r="J5613" s="9"/>
      <c r="K5613" s="11"/>
      <c r="L5613" s="9"/>
      <c r="M5613" s="11"/>
      <c r="N5613" s="9" t="s">
        <v>1014</v>
      </c>
    </row>
    <row r="5614" ht="25" customHeight="1" spans="1:14">
      <c r="A5614" s="9" t="s">
        <v>481</v>
      </c>
      <c r="B5614" s="9" t="s">
        <v>480</v>
      </c>
      <c r="C5614" s="10">
        <v>46274</v>
      </c>
      <c r="D5614" s="15">
        <v>1.035</v>
      </c>
      <c r="E5614" s="15">
        <v>1.13</v>
      </c>
      <c r="F5614" s="15">
        <v>1.1324</v>
      </c>
      <c r="G5614" s="11">
        <v>-0.0029</v>
      </c>
      <c r="H5614" s="9">
        <f>MAX($F$5387:F5614)</f>
        <v>1.1356</v>
      </c>
      <c r="I5614" s="11">
        <f t="shared" si="138"/>
        <v>0.00281789362451557</v>
      </c>
      <c r="J5614" s="9"/>
      <c r="K5614" s="11"/>
      <c r="L5614" s="9"/>
      <c r="M5614" s="11"/>
      <c r="N5614" s="9" t="s">
        <v>1014</v>
      </c>
    </row>
    <row r="5615" ht="25" customHeight="1" spans="1:14">
      <c r="A5615" s="9" t="s">
        <v>481</v>
      </c>
      <c r="B5615" s="9" t="s">
        <v>480</v>
      </c>
      <c r="C5615" s="10">
        <v>46275</v>
      </c>
      <c r="D5615" s="15">
        <v>1.038</v>
      </c>
      <c r="E5615" s="15">
        <v>1.133</v>
      </c>
      <c r="F5615" s="15">
        <v>1.1356</v>
      </c>
      <c r="G5615" s="11">
        <v>0.0029</v>
      </c>
      <c r="H5615" s="9">
        <f>MAX($F$5387:F5615)</f>
        <v>1.1356</v>
      </c>
      <c r="I5615" s="11">
        <f t="shared" si="138"/>
        <v>0</v>
      </c>
      <c r="J5615" s="9"/>
      <c r="K5615" s="11"/>
      <c r="L5615" s="9"/>
      <c r="M5615" s="11"/>
      <c r="N5615" s="9" t="s">
        <v>1014</v>
      </c>
    </row>
    <row r="5616" ht="25" customHeight="1" spans="1:14">
      <c r="A5616" s="9" t="s">
        <v>249</v>
      </c>
      <c r="B5616" s="9" t="s">
        <v>248</v>
      </c>
      <c r="C5616" s="10">
        <v>44196</v>
      </c>
      <c r="D5616" s="15">
        <v>1.0001</v>
      </c>
      <c r="E5616" s="15">
        <v>1.0001</v>
      </c>
      <c r="F5616" s="15">
        <v>1.0001</v>
      </c>
      <c r="G5616" s="11"/>
      <c r="H5616" s="9">
        <f>MAX($F$5616:F5616)</f>
        <v>1.0001</v>
      </c>
      <c r="I5616" s="11">
        <f t="shared" si="138"/>
        <v>0</v>
      </c>
      <c r="J5616" s="9"/>
      <c r="K5616" s="11"/>
      <c r="L5616" s="9"/>
      <c r="M5616" s="11"/>
      <c r="N5616" s="9" t="s">
        <v>807</v>
      </c>
    </row>
    <row r="5617" ht="25" customHeight="1" spans="1:14">
      <c r="A5617" s="9" t="s">
        <v>249</v>
      </c>
      <c r="B5617" s="9" t="s">
        <v>248</v>
      </c>
      <c r="C5617" s="10">
        <v>44204</v>
      </c>
      <c r="D5617" s="15">
        <v>1.0004</v>
      </c>
      <c r="E5617" s="15">
        <v>1.0004</v>
      </c>
      <c r="F5617" s="15">
        <v>1.0004</v>
      </c>
      <c r="G5617" s="11">
        <v>0.0003</v>
      </c>
      <c r="H5617" s="9">
        <f>MAX($F$5616:F5617)</f>
        <v>1.0004</v>
      </c>
      <c r="I5617" s="11">
        <f t="shared" si="138"/>
        <v>0</v>
      </c>
      <c r="J5617" s="9"/>
      <c r="K5617" s="11"/>
      <c r="L5617" s="9"/>
      <c r="M5617" s="11"/>
      <c r="N5617" s="9" t="s">
        <v>807</v>
      </c>
    </row>
    <row r="5618" ht="25" customHeight="1" spans="1:14">
      <c r="A5618" s="9" t="s">
        <v>249</v>
      </c>
      <c r="B5618" s="9" t="s">
        <v>248</v>
      </c>
      <c r="C5618" s="10">
        <v>44211</v>
      </c>
      <c r="D5618" s="15">
        <v>1.0007</v>
      </c>
      <c r="E5618" s="15">
        <v>1.0007</v>
      </c>
      <c r="F5618" s="15">
        <v>1.0007</v>
      </c>
      <c r="G5618" s="11">
        <v>0.0003</v>
      </c>
      <c r="H5618" s="9">
        <f>MAX($F$5616:F5618)</f>
        <v>1.0007</v>
      </c>
      <c r="I5618" s="11">
        <f t="shared" si="138"/>
        <v>0</v>
      </c>
      <c r="J5618" s="9"/>
      <c r="K5618" s="11"/>
      <c r="L5618" s="9"/>
      <c r="M5618" s="11"/>
      <c r="N5618" s="9" t="s">
        <v>807</v>
      </c>
    </row>
    <row r="5619" ht="25" customHeight="1" spans="1:14">
      <c r="A5619" s="9" t="s">
        <v>249</v>
      </c>
      <c r="B5619" s="9" t="s">
        <v>248</v>
      </c>
      <c r="C5619" s="10">
        <v>44218</v>
      </c>
      <c r="D5619" s="15">
        <v>1.0026</v>
      </c>
      <c r="E5619" s="15">
        <v>1.0026</v>
      </c>
      <c r="F5619" s="15">
        <v>1.0026</v>
      </c>
      <c r="G5619" s="11">
        <v>0.0019</v>
      </c>
      <c r="H5619" s="9">
        <f>MAX($F$5616:F5619)</f>
        <v>1.0026</v>
      </c>
      <c r="I5619" s="11">
        <f t="shared" si="138"/>
        <v>0</v>
      </c>
      <c r="J5619" s="9"/>
      <c r="K5619" s="11"/>
      <c r="L5619" s="9"/>
      <c r="M5619" s="11"/>
      <c r="N5619" s="9" t="s">
        <v>807</v>
      </c>
    </row>
    <row r="5620" ht="25" customHeight="1" spans="1:14">
      <c r="A5620" s="9" t="s">
        <v>249</v>
      </c>
      <c r="B5620" s="9" t="s">
        <v>248</v>
      </c>
      <c r="C5620" s="10">
        <v>44225</v>
      </c>
      <c r="D5620" s="15">
        <v>1.0033</v>
      </c>
      <c r="E5620" s="15">
        <v>1.0033</v>
      </c>
      <c r="F5620" s="15">
        <v>1.0033</v>
      </c>
      <c r="G5620" s="11">
        <v>0.0007</v>
      </c>
      <c r="H5620" s="9">
        <f>MAX($F$5616:F5620)</f>
        <v>1.0033</v>
      </c>
      <c r="I5620" s="11">
        <f t="shared" si="138"/>
        <v>0</v>
      </c>
      <c r="J5620" s="9"/>
      <c r="K5620" s="11"/>
      <c r="L5620" s="9"/>
      <c r="M5620" s="11"/>
      <c r="N5620" s="9" t="s">
        <v>807</v>
      </c>
    </row>
    <row r="5621" ht="25" customHeight="1" spans="1:14">
      <c r="A5621" s="9" t="s">
        <v>249</v>
      </c>
      <c r="B5621" s="9" t="s">
        <v>248</v>
      </c>
      <c r="C5621" s="10">
        <v>44232</v>
      </c>
      <c r="D5621" s="15">
        <v>1.0036</v>
      </c>
      <c r="E5621" s="15">
        <v>1.0036</v>
      </c>
      <c r="F5621" s="15">
        <v>1.0036</v>
      </c>
      <c r="G5621" s="11">
        <v>0.0003</v>
      </c>
      <c r="H5621" s="9">
        <f>MAX($F$5616:F5621)</f>
        <v>1.0036</v>
      </c>
      <c r="I5621" s="11">
        <f t="shared" si="138"/>
        <v>0</v>
      </c>
      <c r="J5621" s="9"/>
      <c r="K5621" s="11"/>
      <c r="L5621" s="9"/>
      <c r="M5621" s="11"/>
      <c r="N5621" s="9" t="s">
        <v>807</v>
      </c>
    </row>
    <row r="5622" ht="25" customHeight="1" spans="1:14">
      <c r="A5622" s="9" t="s">
        <v>249</v>
      </c>
      <c r="B5622" s="9" t="s">
        <v>248</v>
      </c>
      <c r="C5622" s="10">
        <v>44237</v>
      </c>
      <c r="D5622" s="15">
        <v>1.0051</v>
      </c>
      <c r="E5622" s="15">
        <v>1.0051</v>
      </c>
      <c r="F5622" s="15">
        <v>1.0051</v>
      </c>
      <c r="G5622" s="11">
        <v>0.0015</v>
      </c>
      <c r="H5622" s="9">
        <f>MAX($F$5616:F5622)</f>
        <v>1.0051</v>
      </c>
      <c r="I5622" s="11">
        <f t="shared" si="138"/>
        <v>0</v>
      </c>
      <c r="J5622" s="9"/>
      <c r="K5622" s="11"/>
      <c r="L5622" s="9"/>
      <c r="M5622" s="11"/>
      <c r="N5622" s="9" t="s">
        <v>807</v>
      </c>
    </row>
    <row r="5623" ht="25" customHeight="1" spans="1:14">
      <c r="A5623" s="9" t="s">
        <v>249</v>
      </c>
      <c r="B5623" s="9" t="s">
        <v>248</v>
      </c>
      <c r="C5623" s="10">
        <v>44246</v>
      </c>
      <c r="D5623" s="15">
        <v>1.0059</v>
      </c>
      <c r="E5623" s="15">
        <v>1.0059</v>
      </c>
      <c r="F5623" s="15">
        <v>1.0059</v>
      </c>
      <c r="G5623" s="11">
        <v>0.0008</v>
      </c>
      <c r="H5623" s="9">
        <f>MAX($F$5616:F5623)</f>
        <v>1.0059</v>
      </c>
      <c r="I5623" s="11">
        <f t="shared" si="138"/>
        <v>0</v>
      </c>
      <c r="J5623" s="9"/>
      <c r="K5623" s="11"/>
      <c r="L5623" s="9"/>
      <c r="M5623" s="11"/>
      <c r="N5623" s="9" t="s">
        <v>807</v>
      </c>
    </row>
    <row r="5624" ht="25" customHeight="1" spans="1:14">
      <c r="A5624" s="9" t="s">
        <v>249</v>
      </c>
      <c r="B5624" s="9" t="s">
        <v>248</v>
      </c>
      <c r="C5624" s="10">
        <v>44253</v>
      </c>
      <c r="D5624" s="15">
        <v>1.0098</v>
      </c>
      <c r="E5624" s="15">
        <v>1.0098</v>
      </c>
      <c r="F5624" s="15">
        <v>1.0098</v>
      </c>
      <c r="G5624" s="11">
        <v>0.0039</v>
      </c>
      <c r="H5624" s="9">
        <f>MAX($F$5616:F5624)</f>
        <v>1.0098</v>
      </c>
      <c r="I5624" s="11">
        <f t="shared" si="138"/>
        <v>0</v>
      </c>
      <c r="J5624" s="9"/>
      <c r="K5624" s="11"/>
      <c r="L5624" s="9"/>
      <c r="M5624" s="11"/>
      <c r="N5624" s="9" t="s">
        <v>807</v>
      </c>
    </row>
    <row r="5625" ht="25" customHeight="1" spans="1:14">
      <c r="A5625" s="9" t="s">
        <v>249</v>
      </c>
      <c r="B5625" s="9" t="s">
        <v>248</v>
      </c>
      <c r="C5625" s="10">
        <v>44260</v>
      </c>
      <c r="D5625" s="15">
        <v>1.0045</v>
      </c>
      <c r="E5625" s="15">
        <v>1.0045</v>
      </c>
      <c r="F5625" s="15">
        <v>1.0045</v>
      </c>
      <c r="G5625" s="11">
        <v>-0.0052</v>
      </c>
      <c r="H5625" s="9">
        <f>MAX($F$5616:F5625)</f>
        <v>1.0098</v>
      </c>
      <c r="I5625" s="11">
        <f t="shared" si="138"/>
        <v>0.00524856407209362</v>
      </c>
      <c r="J5625" s="9"/>
      <c r="K5625" s="11"/>
      <c r="L5625" s="9"/>
      <c r="M5625" s="11"/>
      <c r="N5625" s="9" t="s">
        <v>807</v>
      </c>
    </row>
    <row r="5626" ht="25" customHeight="1" spans="1:14">
      <c r="A5626" s="9" t="s">
        <v>249</v>
      </c>
      <c r="B5626" s="9" t="s">
        <v>248</v>
      </c>
      <c r="C5626" s="10">
        <v>44267</v>
      </c>
      <c r="D5626" s="15">
        <v>1.0168</v>
      </c>
      <c r="E5626" s="15">
        <v>1.0168</v>
      </c>
      <c r="F5626" s="15">
        <v>1.0168</v>
      </c>
      <c r="G5626" s="11">
        <v>0.0122</v>
      </c>
      <c r="H5626" s="9">
        <f>MAX($F$5616:F5626)</f>
        <v>1.0168</v>
      </c>
      <c r="I5626" s="11">
        <f t="shared" si="138"/>
        <v>0</v>
      </c>
      <c r="J5626" s="9"/>
      <c r="K5626" s="11"/>
      <c r="L5626" s="9"/>
      <c r="M5626" s="11"/>
      <c r="N5626" s="9" t="s">
        <v>807</v>
      </c>
    </row>
    <row r="5627" ht="25" customHeight="1" spans="1:14">
      <c r="A5627" s="9" t="s">
        <v>249</v>
      </c>
      <c r="B5627" s="9" t="s">
        <v>248</v>
      </c>
      <c r="C5627" s="10">
        <v>44274</v>
      </c>
      <c r="D5627" s="15">
        <v>1.0244</v>
      </c>
      <c r="E5627" s="15">
        <v>1.0244</v>
      </c>
      <c r="F5627" s="15">
        <v>1.0244</v>
      </c>
      <c r="G5627" s="11">
        <v>0.0075</v>
      </c>
      <c r="H5627" s="9">
        <f>MAX($F$5616:F5627)</f>
        <v>1.0244</v>
      </c>
      <c r="I5627" s="11">
        <f t="shared" si="138"/>
        <v>0</v>
      </c>
      <c r="J5627" s="9"/>
      <c r="K5627" s="11"/>
      <c r="L5627" s="9"/>
      <c r="M5627" s="11"/>
      <c r="N5627" s="9" t="s">
        <v>807</v>
      </c>
    </row>
    <row r="5628" ht="25" customHeight="1" spans="1:14">
      <c r="A5628" s="9" t="s">
        <v>249</v>
      </c>
      <c r="B5628" s="9" t="s">
        <v>248</v>
      </c>
      <c r="C5628" s="10">
        <v>44281</v>
      </c>
      <c r="D5628" s="15">
        <v>1.0231</v>
      </c>
      <c r="E5628" s="15">
        <v>1.0231</v>
      </c>
      <c r="F5628" s="15">
        <v>1.0231</v>
      </c>
      <c r="G5628" s="11">
        <v>-0.0013</v>
      </c>
      <c r="H5628" s="9">
        <f>MAX($F$5616:F5628)</f>
        <v>1.0244</v>
      </c>
      <c r="I5628" s="11">
        <f t="shared" si="138"/>
        <v>0.00126903553299496</v>
      </c>
      <c r="J5628" s="9"/>
      <c r="K5628" s="11"/>
      <c r="L5628" s="9"/>
      <c r="M5628" s="11"/>
      <c r="N5628" s="9" t="s">
        <v>807</v>
      </c>
    </row>
    <row r="5629" ht="25" customHeight="1" spans="1:14">
      <c r="A5629" s="9" t="s">
        <v>249</v>
      </c>
      <c r="B5629" s="9" t="s">
        <v>248</v>
      </c>
      <c r="C5629" s="10">
        <v>44288</v>
      </c>
      <c r="D5629" s="15">
        <v>1.0219</v>
      </c>
      <c r="E5629" s="15">
        <v>1.0219</v>
      </c>
      <c r="F5629" s="15">
        <v>1.0219</v>
      </c>
      <c r="G5629" s="11">
        <v>-0.0012</v>
      </c>
      <c r="H5629" s="9">
        <f>MAX($F$5616:F5629)</f>
        <v>1.0244</v>
      </c>
      <c r="I5629" s="11">
        <f t="shared" si="138"/>
        <v>0.00244045294806716</v>
      </c>
      <c r="J5629" s="9"/>
      <c r="K5629" s="11"/>
      <c r="L5629" s="9"/>
      <c r="M5629" s="11"/>
      <c r="N5629" s="9" t="s">
        <v>807</v>
      </c>
    </row>
    <row r="5630" ht="25" customHeight="1" spans="1:14">
      <c r="A5630" s="9" t="s">
        <v>249</v>
      </c>
      <c r="B5630" s="9" t="s">
        <v>248</v>
      </c>
      <c r="C5630" s="10">
        <v>44295</v>
      </c>
      <c r="D5630" s="15">
        <v>1.0229</v>
      </c>
      <c r="E5630" s="15">
        <v>1.0229</v>
      </c>
      <c r="F5630" s="15">
        <v>1.0229</v>
      </c>
      <c r="G5630" s="11">
        <v>0.001</v>
      </c>
      <c r="H5630" s="9">
        <f>MAX($F$5616:F5630)</f>
        <v>1.0244</v>
      </c>
      <c r="I5630" s="11">
        <f t="shared" si="138"/>
        <v>0.00146427176884034</v>
      </c>
      <c r="J5630" s="9"/>
      <c r="K5630" s="11"/>
      <c r="L5630" s="9"/>
      <c r="M5630" s="11"/>
      <c r="N5630" s="9" t="s">
        <v>807</v>
      </c>
    </row>
    <row r="5631" ht="25" customHeight="1" spans="1:14">
      <c r="A5631" s="9" t="s">
        <v>249</v>
      </c>
      <c r="B5631" s="9" t="s">
        <v>248</v>
      </c>
      <c r="C5631" s="10">
        <v>44302</v>
      </c>
      <c r="D5631" s="15">
        <v>1.023</v>
      </c>
      <c r="E5631" s="15">
        <v>1.023</v>
      </c>
      <c r="F5631" s="15">
        <v>1.023</v>
      </c>
      <c r="G5631" s="11">
        <v>0.0001</v>
      </c>
      <c r="H5631" s="9">
        <f>MAX($F$5616:F5631)</f>
        <v>1.0244</v>
      </c>
      <c r="I5631" s="11">
        <f t="shared" si="138"/>
        <v>0.0013666536509177</v>
      </c>
      <c r="J5631" s="9"/>
      <c r="K5631" s="11"/>
      <c r="L5631" s="9"/>
      <c r="M5631" s="11"/>
      <c r="N5631" s="9" t="s">
        <v>807</v>
      </c>
    </row>
    <row r="5632" ht="25" customHeight="1" spans="1:14">
      <c r="A5632" s="9" t="s">
        <v>249</v>
      </c>
      <c r="B5632" s="9" t="s">
        <v>248</v>
      </c>
      <c r="C5632" s="10">
        <v>44309</v>
      </c>
      <c r="D5632" s="15">
        <v>1.0236</v>
      </c>
      <c r="E5632" s="15">
        <v>1.0236</v>
      </c>
      <c r="F5632" s="15">
        <v>1.0236</v>
      </c>
      <c r="G5632" s="11">
        <v>0.0006</v>
      </c>
      <c r="H5632" s="9">
        <f>MAX($F$5616:F5632)</f>
        <v>1.0244</v>
      </c>
      <c r="I5632" s="11">
        <f t="shared" si="138"/>
        <v>0.000780944943381434</v>
      </c>
      <c r="J5632" s="9"/>
      <c r="K5632" s="11"/>
      <c r="L5632" s="9"/>
      <c r="M5632" s="11"/>
      <c r="N5632" s="9" t="s">
        <v>807</v>
      </c>
    </row>
    <row r="5633" ht="25" customHeight="1" spans="1:14">
      <c r="A5633" s="9" t="s">
        <v>249</v>
      </c>
      <c r="B5633" s="9" t="s">
        <v>248</v>
      </c>
      <c r="C5633" s="10">
        <v>44316</v>
      </c>
      <c r="D5633" s="15">
        <v>1.0281</v>
      </c>
      <c r="E5633" s="15">
        <v>1.0281</v>
      </c>
      <c r="F5633" s="15">
        <v>1.0281</v>
      </c>
      <c r="G5633" s="11">
        <v>0.0044</v>
      </c>
      <c r="H5633" s="9">
        <f>MAX($F$5616:F5633)</f>
        <v>1.0281</v>
      </c>
      <c r="I5633" s="11">
        <f t="shared" si="138"/>
        <v>0</v>
      </c>
      <c r="J5633" s="9"/>
      <c r="K5633" s="11"/>
      <c r="L5633" s="9"/>
      <c r="M5633" s="11"/>
      <c r="N5633" s="9" t="s">
        <v>807</v>
      </c>
    </row>
    <row r="5634" ht="25" customHeight="1" spans="1:14">
      <c r="A5634" s="9" t="s">
        <v>249</v>
      </c>
      <c r="B5634" s="9" t="s">
        <v>248</v>
      </c>
      <c r="C5634" s="10">
        <v>44323</v>
      </c>
      <c r="D5634" s="15">
        <v>1.0328</v>
      </c>
      <c r="E5634" s="15">
        <v>1.0328</v>
      </c>
      <c r="F5634" s="15">
        <v>1.0328</v>
      </c>
      <c r="G5634" s="11">
        <v>0.0046</v>
      </c>
      <c r="H5634" s="9">
        <f>MAX($F$5616:F5634)</f>
        <v>1.0328</v>
      </c>
      <c r="I5634" s="11">
        <f t="shared" ref="I5634:I5697" si="139">1-F5634/H5634</f>
        <v>0</v>
      </c>
      <c r="J5634" s="9"/>
      <c r="K5634" s="11"/>
      <c r="L5634" s="9"/>
      <c r="M5634" s="11"/>
      <c r="N5634" s="9" t="s">
        <v>807</v>
      </c>
    </row>
    <row r="5635" ht="25" customHeight="1" spans="1:14">
      <c r="A5635" s="9" t="s">
        <v>249</v>
      </c>
      <c r="B5635" s="9" t="s">
        <v>248</v>
      </c>
      <c r="C5635" s="10">
        <v>44330</v>
      </c>
      <c r="D5635" s="15">
        <v>1.0308</v>
      </c>
      <c r="E5635" s="15">
        <v>1.0308</v>
      </c>
      <c r="F5635" s="15">
        <v>1.0308</v>
      </c>
      <c r="G5635" s="11">
        <v>-0.0019</v>
      </c>
      <c r="H5635" s="9">
        <f>MAX($F$5616:F5635)</f>
        <v>1.0328</v>
      </c>
      <c r="I5635" s="11">
        <f t="shared" si="139"/>
        <v>0.00193648334624319</v>
      </c>
      <c r="J5635" s="9"/>
      <c r="K5635" s="11"/>
      <c r="L5635" s="9"/>
      <c r="M5635" s="11"/>
      <c r="N5635" s="9" t="s">
        <v>807</v>
      </c>
    </row>
    <row r="5636" ht="25" customHeight="1" spans="1:14">
      <c r="A5636" s="9" t="s">
        <v>249</v>
      </c>
      <c r="B5636" s="9" t="s">
        <v>248</v>
      </c>
      <c r="C5636" s="10">
        <v>44337</v>
      </c>
      <c r="D5636" s="15">
        <v>1.034</v>
      </c>
      <c r="E5636" s="15">
        <v>1.034</v>
      </c>
      <c r="F5636" s="15">
        <v>1.034</v>
      </c>
      <c r="G5636" s="11">
        <v>0.0031</v>
      </c>
      <c r="H5636" s="9">
        <f>MAX($F$5616:F5636)</f>
        <v>1.034</v>
      </c>
      <c r="I5636" s="11">
        <f t="shared" si="139"/>
        <v>0</v>
      </c>
      <c r="J5636" s="9"/>
      <c r="K5636" s="11"/>
      <c r="L5636" s="9"/>
      <c r="M5636" s="11"/>
      <c r="N5636" s="9" t="s">
        <v>807</v>
      </c>
    </row>
    <row r="5637" ht="25" customHeight="1" spans="1:14">
      <c r="A5637" s="9" t="s">
        <v>249</v>
      </c>
      <c r="B5637" s="9" t="s">
        <v>248</v>
      </c>
      <c r="C5637" s="10">
        <v>44344</v>
      </c>
      <c r="D5637" s="15">
        <v>1.0378</v>
      </c>
      <c r="E5637" s="15">
        <v>1.0378</v>
      </c>
      <c r="F5637" s="15">
        <v>1.0378</v>
      </c>
      <c r="G5637" s="11">
        <v>0.0037</v>
      </c>
      <c r="H5637" s="9">
        <f>MAX($F$5616:F5637)</f>
        <v>1.0378</v>
      </c>
      <c r="I5637" s="11">
        <f t="shared" si="139"/>
        <v>0</v>
      </c>
      <c r="J5637" s="9"/>
      <c r="K5637" s="11"/>
      <c r="L5637" s="9"/>
      <c r="M5637" s="11"/>
      <c r="N5637" s="9" t="s">
        <v>807</v>
      </c>
    </row>
    <row r="5638" ht="25" customHeight="1" spans="1:14">
      <c r="A5638" s="9" t="s">
        <v>249</v>
      </c>
      <c r="B5638" s="9" t="s">
        <v>248</v>
      </c>
      <c r="C5638" s="10">
        <v>44351</v>
      </c>
      <c r="D5638" s="15">
        <v>1.0404</v>
      </c>
      <c r="E5638" s="15">
        <v>1.0404</v>
      </c>
      <c r="F5638" s="15">
        <v>1.0404</v>
      </c>
      <c r="G5638" s="11">
        <v>0.0025</v>
      </c>
      <c r="H5638" s="9">
        <f>MAX($F$5616:F5638)</f>
        <v>1.0404</v>
      </c>
      <c r="I5638" s="11">
        <f t="shared" si="139"/>
        <v>0</v>
      </c>
      <c r="J5638" s="9"/>
      <c r="K5638" s="11"/>
      <c r="L5638" s="9"/>
      <c r="M5638" s="11"/>
      <c r="N5638" s="9" t="s">
        <v>807</v>
      </c>
    </row>
    <row r="5639" ht="25" customHeight="1" spans="1:14">
      <c r="A5639" s="9" t="s">
        <v>249</v>
      </c>
      <c r="B5639" s="9" t="s">
        <v>248</v>
      </c>
      <c r="C5639" s="10">
        <v>44358</v>
      </c>
      <c r="D5639" s="15">
        <v>1.0424</v>
      </c>
      <c r="E5639" s="15">
        <v>1.0424</v>
      </c>
      <c r="F5639" s="15">
        <v>1.0424</v>
      </c>
      <c r="G5639" s="11">
        <v>0.0019</v>
      </c>
      <c r="H5639" s="9">
        <f>MAX($F$5616:F5639)</f>
        <v>1.0424</v>
      </c>
      <c r="I5639" s="11">
        <f t="shared" si="139"/>
        <v>0</v>
      </c>
      <c r="J5639" s="9"/>
      <c r="K5639" s="11"/>
      <c r="L5639" s="9"/>
      <c r="M5639" s="11"/>
      <c r="N5639" s="9" t="s">
        <v>807</v>
      </c>
    </row>
    <row r="5640" ht="25" customHeight="1" spans="1:14">
      <c r="A5640" s="9" t="s">
        <v>249</v>
      </c>
      <c r="B5640" s="9" t="s">
        <v>248</v>
      </c>
      <c r="C5640" s="10">
        <v>44365</v>
      </c>
      <c r="D5640" s="15">
        <v>1.0438</v>
      </c>
      <c r="E5640" s="15">
        <v>1.0438</v>
      </c>
      <c r="F5640" s="15">
        <v>1.0438</v>
      </c>
      <c r="G5640" s="11">
        <v>0.0013</v>
      </c>
      <c r="H5640" s="9">
        <f>MAX($F$5616:F5640)</f>
        <v>1.0438</v>
      </c>
      <c r="I5640" s="11">
        <f t="shared" si="139"/>
        <v>0</v>
      </c>
      <c r="J5640" s="9"/>
      <c r="K5640" s="11"/>
      <c r="L5640" s="9"/>
      <c r="M5640" s="11"/>
      <c r="N5640" s="9" t="s">
        <v>807</v>
      </c>
    </row>
    <row r="5641" ht="25" customHeight="1" spans="1:14">
      <c r="A5641" s="9" t="s">
        <v>249</v>
      </c>
      <c r="B5641" s="9" t="s">
        <v>248</v>
      </c>
      <c r="C5641" s="10">
        <v>44372</v>
      </c>
      <c r="D5641" s="15">
        <v>1.0448</v>
      </c>
      <c r="E5641" s="15">
        <v>1.0448</v>
      </c>
      <c r="F5641" s="15">
        <v>1.0448</v>
      </c>
      <c r="G5641" s="11">
        <v>0.001</v>
      </c>
      <c r="H5641" s="9">
        <f>MAX($F$5616:F5641)</f>
        <v>1.0448</v>
      </c>
      <c r="I5641" s="11">
        <f t="shared" si="139"/>
        <v>0</v>
      </c>
      <c r="J5641" s="9"/>
      <c r="K5641" s="11"/>
      <c r="L5641" s="9"/>
      <c r="M5641" s="11"/>
      <c r="N5641" s="9" t="s">
        <v>807</v>
      </c>
    </row>
    <row r="5642" ht="25" customHeight="1" spans="1:14">
      <c r="A5642" s="9" t="s">
        <v>249</v>
      </c>
      <c r="B5642" s="9" t="s">
        <v>248</v>
      </c>
      <c r="C5642" s="10">
        <v>44379</v>
      </c>
      <c r="D5642" s="15">
        <v>1.0448</v>
      </c>
      <c r="E5642" s="15">
        <v>1.0448</v>
      </c>
      <c r="F5642" s="15">
        <v>1.0448</v>
      </c>
      <c r="G5642" s="11">
        <v>0</v>
      </c>
      <c r="H5642" s="9">
        <f>MAX($F$5616:F5642)</f>
        <v>1.0448</v>
      </c>
      <c r="I5642" s="11">
        <f t="shared" si="139"/>
        <v>0</v>
      </c>
      <c r="J5642" s="9"/>
      <c r="K5642" s="11"/>
      <c r="L5642" s="9"/>
      <c r="M5642" s="11"/>
      <c r="N5642" s="9" t="s">
        <v>807</v>
      </c>
    </row>
    <row r="5643" ht="25" customHeight="1" spans="1:14">
      <c r="A5643" s="9" t="s">
        <v>249</v>
      </c>
      <c r="B5643" s="9" t="s">
        <v>248</v>
      </c>
      <c r="C5643" s="10">
        <v>44386</v>
      </c>
      <c r="D5643" s="15">
        <v>1.0489</v>
      </c>
      <c r="E5643" s="15">
        <v>1.0489</v>
      </c>
      <c r="F5643" s="15">
        <v>1.0489</v>
      </c>
      <c r="G5643" s="11">
        <v>0.0039</v>
      </c>
      <c r="H5643" s="9">
        <f>MAX($F$5616:F5643)</f>
        <v>1.0489</v>
      </c>
      <c r="I5643" s="11">
        <f t="shared" si="139"/>
        <v>0</v>
      </c>
      <c r="J5643" s="9"/>
      <c r="K5643" s="11"/>
      <c r="L5643" s="9"/>
      <c r="M5643" s="11"/>
      <c r="N5643" s="9" t="s">
        <v>807</v>
      </c>
    </row>
    <row r="5644" ht="25" customHeight="1" spans="1:14">
      <c r="A5644" s="9" t="s">
        <v>249</v>
      </c>
      <c r="B5644" s="9" t="s">
        <v>248</v>
      </c>
      <c r="C5644" s="10">
        <v>44393</v>
      </c>
      <c r="D5644" s="15">
        <v>1.0566</v>
      </c>
      <c r="E5644" s="15">
        <v>1.0566</v>
      </c>
      <c r="F5644" s="15">
        <v>1.0566</v>
      </c>
      <c r="G5644" s="11">
        <v>0.0073</v>
      </c>
      <c r="H5644" s="9">
        <f>MAX($F$5616:F5644)</f>
        <v>1.0566</v>
      </c>
      <c r="I5644" s="11">
        <f t="shared" si="139"/>
        <v>0</v>
      </c>
      <c r="J5644" s="9"/>
      <c r="K5644" s="11"/>
      <c r="L5644" s="9"/>
      <c r="M5644" s="11"/>
      <c r="N5644" s="9" t="s">
        <v>807</v>
      </c>
    </row>
    <row r="5645" ht="25" customHeight="1" spans="1:14">
      <c r="A5645" s="9" t="s">
        <v>249</v>
      </c>
      <c r="B5645" s="9" t="s">
        <v>248</v>
      </c>
      <c r="C5645" s="10">
        <v>44400</v>
      </c>
      <c r="D5645" s="15">
        <v>1.0531</v>
      </c>
      <c r="E5645" s="15">
        <v>1.0531</v>
      </c>
      <c r="F5645" s="15">
        <v>1.0531</v>
      </c>
      <c r="G5645" s="11">
        <v>-0.0033</v>
      </c>
      <c r="H5645" s="9">
        <f>MAX($F$5616:F5645)</f>
        <v>1.0566</v>
      </c>
      <c r="I5645" s="11">
        <f t="shared" si="139"/>
        <v>0.00331251183039949</v>
      </c>
      <c r="J5645" s="9"/>
      <c r="K5645" s="11"/>
      <c r="L5645" s="9"/>
      <c r="M5645" s="11"/>
      <c r="N5645" s="9" t="s">
        <v>807</v>
      </c>
    </row>
    <row r="5646" ht="25" customHeight="1" spans="1:14">
      <c r="A5646" s="9" t="s">
        <v>249</v>
      </c>
      <c r="B5646" s="9" t="s">
        <v>248</v>
      </c>
      <c r="C5646" s="10">
        <v>44407</v>
      </c>
      <c r="D5646" s="15">
        <v>1.0611</v>
      </c>
      <c r="E5646" s="15">
        <v>1.0611</v>
      </c>
      <c r="F5646" s="15">
        <v>1.0611</v>
      </c>
      <c r="G5646" s="11">
        <v>0.0076</v>
      </c>
      <c r="H5646" s="9">
        <f>MAX($F$5616:F5646)</f>
        <v>1.0611</v>
      </c>
      <c r="I5646" s="11">
        <f t="shared" si="139"/>
        <v>0</v>
      </c>
      <c r="J5646" s="9"/>
      <c r="K5646" s="11"/>
      <c r="L5646" s="9"/>
      <c r="M5646" s="11"/>
      <c r="N5646" s="9" t="s">
        <v>807</v>
      </c>
    </row>
    <row r="5647" ht="25" customHeight="1" spans="1:14">
      <c r="A5647" s="9" t="s">
        <v>249</v>
      </c>
      <c r="B5647" s="9" t="s">
        <v>248</v>
      </c>
      <c r="C5647" s="10">
        <v>44414</v>
      </c>
      <c r="D5647" s="15">
        <v>1.0617</v>
      </c>
      <c r="E5647" s="15">
        <v>1.0617</v>
      </c>
      <c r="F5647" s="15">
        <v>1.0617</v>
      </c>
      <c r="G5647" s="11">
        <v>0.0006</v>
      </c>
      <c r="H5647" s="9">
        <f>MAX($F$5616:F5647)</f>
        <v>1.0617</v>
      </c>
      <c r="I5647" s="11">
        <f t="shared" si="139"/>
        <v>0</v>
      </c>
      <c r="J5647" s="9"/>
      <c r="K5647" s="11"/>
      <c r="L5647" s="9"/>
      <c r="M5647" s="11"/>
      <c r="N5647" s="9" t="s">
        <v>807</v>
      </c>
    </row>
    <row r="5648" ht="25" customHeight="1" spans="1:14">
      <c r="A5648" s="9" t="s">
        <v>249</v>
      </c>
      <c r="B5648" s="9" t="s">
        <v>248</v>
      </c>
      <c r="C5648" s="10">
        <v>44421</v>
      </c>
      <c r="D5648" s="15">
        <v>1.0685</v>
      </c>
      <c r="E5648" s="15">
        <v>1.0685</v>
      </c>
      <c r="F5648" s="15">
        <v>1.0685</v>
      </c>
      <c r="G5648" s="11">
        <v>0.0064</v>
      </c>
      <c r="H5648" s="9">
        <f>MAX($F$5616:F5648)</f>
        <v>1.0685</v>
      </c>
      <c r="I5648" s="11">
        <f t="shared" si="139"/>
        <v>0</v>
      </c>
      <c r="J5648" s="9"/>
      <c r="K5648" s="11"/>
      <c r="L5648" s="9"/>
      <c r="M5648" s="11"/>
      <c r="N5648" s="9" t="s">
        <v>807</v>
      </c>
    </row>
    <row r="5649" ht="25" customHeight="1" spans="1:14">
      <c r="A5649" s="9" t="s">
        <v>249</v>
      </c>
      <c r="B5649" s="9" t="s">
        <v>248</v>
      </c>
      <c r="C5649" s="10">
        <v>44428</v>
      </c>
      <c r="D5649" s="15">
        <v>1.0726</v>
      </c>
      <c r="E5649" s="15">
        <v>1.0726</v>
      </c>
      <c r="F5649" s="15">
        <v>1.0726</v>
      </c>
      <c r="G5649" s="11">
        <v>0.0038</v>
      </c>
      <c r="H5649" s="9">
        <f>MAX($F$5616:F5649)</f>
        <v>1.0726</v>
      </c>
      <c r="I5649" s="11">
        <f t="shared" si="139"/>
        <v>0</v>
      </c>
      <c r="J5649" s="9"/>
      <c r="K5649" s="11"/>
      <c r="L5649" s="9"/>
      <c r="M5649" s="11"/>
      <c r="N5649" s="9" t="s">
        <v>807</v>
      </c>
    </row>
    <row r="5650" ht="25" customHeight="1" spans="1:14">
      <c r="A5650" s="9" t="s">
        <v>249</v>
      </c>
      <c r="B5650" s="9" t="s">
        <v>248</v>
      </c>
      <c r="C5650" s="10">
        <v>44435</v>
      </c>
      <c r="D5650" s="15">
        <v>1.0705</v>
      </c>
      <c r="E5650" s="15">
        <v>1.0705</v>
      </c>
      <c r="F5650" s="15">
        <v>1.0705</v>
      </c>
      <c r="G5650" s="11">
        <v>-0.002</v>
      </c>
      <c r="H5650" s="9">
        <f>MAX($F$5616:F5650)</f>
        <v>1.0726</v>
      </c>
      <c r="I5650" s="11">
        <f t="shared" si="139"/>
        <v>0.00195785940704829</v>
      </c>
      <c r="J5650" s="9"/>
      <c r="K5650" s="11"/>
      <c r="L5650" s="9"/>
      <c r="M5650" s="11"/>
      <c r="N5650" s="9" t="s">
        <v>807</v>
      </c>
    </row>
    <row r="5651" ht="25" customHeight="1" spans="1:14">
      <c r="A5651" s="9" t="s">
        <v>249</v>
      </c>
      <c r="B5651" s="9" t="s">
        <v>248</v>
      </c>
      <c r="C5651" s="10">
        <v>44442</v>
      </c>
      <c r="D5651" s="15">
        <v>1.073</v>
      </c>
      <c r="E5651" s="15">
        <v>1.073</v>
      </c>
      <c r="F5651" s="15">
        <v>1.073</v>
      </c>
      <c r="G5651" s="11">
        <v>0.0023</v>
      </c>
      <c r="H5651" s="9">
        <f>MAX($F$5616:F5651)</f>
        <v>1.073</v>
      </c>
      <c r="I5651" s="11">
        <f t="shared" si="139"/>
        <v>0</v>
      </c>
      <c r="J5651" s="9"/>
      <c r="K5651" s="11"/>
      <c r="L5651" s="9"/>
      <c r="M5651" s="11"/>
      <c r="N5651" s="9" t="s">
        <v>807</v>
      </c>
    </row>
    <row r="5652" ht="25" customHeight="1" spans="1:14">
      <c r="A5652" s="9" t="s">
        <v>249</v>
      </c>
      <c r="B5652" s="9" t="s">
        <v>248</v>
      </c>
      <c r="C5652" s="10">
        <v>44449</v>
      </c>
      <c r="D5652" s="15">
        <v>1.0806</v>
      </c>
      <c r="E5652" s="15">
        <v>1.0806</v>
      </c>
      <c r="F5652" s="15">
        <v>1.0806</v>
      </c>
      <c r="G5652" s="11">
        <v>0.0071</v>
      </c>
      <c r="H5652" s="9">
        <f>MAX($F$5616:F5652)</f>
        <v>1.0806</v>
      </c>
      <c r="I5652" s="11">
        <f t="shared" si="139"/>
        <v>0</v>
      </c>
      <c r="J5652" s="9"/>
      <c r="K5652" s="11"/>
      <c r="L5652" s="9"/>
      <c r="M5652" s="11"/>
      <c r="N5652" s="9" t="s">
        <v>807</v>
      </c>
    </row>
    <row r="5653" ht="25" customHeight="1" spans="1:14">
      <c r="A5653" s="9" t="s">
        <v>249</v>
      </c>
      <c r="B5653" s="9" t="s">
        <v>248</v>
      </c>
      <c r="C5653" s="10">
        <v>44456</v>
      </c>
      <c r="D5653" s="15">
        <v>1.087</v>
      </c>
      <c r="E5653" s="15">
        <v>1.087</v>
      </c>
      <c r="F5653" s="15">
        <v>1.087</v>
      </c>
      <c r="G5653" s="11">
        <v>0.0059</v>
      </c>
      <c r="H5653" s="9">
        <f>MAX($F$5616:F5653)</f>
        <v>1.087</v>
      </c>
      <c r="I5653" s="11">
        <f t="shared" si="139"/>
        <v>0</v>
      </c>
      <c r="J5653" s="9"/>
      <c r="K5653" s="11"/>
      <c r="L5653" s="9"/>
      <c r="M5653" s="11"/>
      <c r="N5653" s="9" t="s">
        <v>807</v>
      </c>
    </row>
    <row r="5654" ht="25" customHeight="1" spans="1:14">
      <c r="A5654" s="9" t="s">
        <v>249</v>
      </c>
      <c r="B5654" s="9" t="s">
        <v>248</v>
      </c>
      <c r="C5654" s="10">
        <v>44463</v>
      </c>
      <c r="D5654" s="15">
        <v>1.0882</v>
      </c>
      <c r="E5654" s="15">
        <v>1.0882</v>
      </c>
      <c r="F5654" s="15">
        <v>1.0882</v>
      </c>
      <c r="G5654" s="11">
        <v>0.0011</v>
      </c>
      <c r="H5654" s="9">
        <f>MAX($F$5616:F5654)</f>
        <v>1.0882</v>
      </c>
      <c r="I5654" s="11">
        <f t="shared" si="139"/>
        <v>0</v>
      </c>
      <c r="J5654" s="9"/>
      <c r="K5654" s="11"/>
      <c r="L5654" s="9"/>
      <c r="M5654" s="11"/>
      <c r="N5654" s="9" t="s">
        <v>807</v>
      </c>
    </row>
    <row r="5655" ht="25" customHeight="1" spans="1:14">
      <c r="A5655" s="9" t="s">
        <v>249</v>
      </c>
      <c r="B5655" s="9" t="s">
        <v>248</v>
      </c>
      <c r="C5655" s="10">
        <v>44469</v>
      </c>
      <c r="D5655" s="15">
        <v>1.0886</v>
      </c>
      <c r="E5655" s="15">
        <v>1.0886</v>
      </c>
      <c r="F5655" s="15">
        <v>1.0886</v>
      </c>
      <c r="G5655" s="11">
        <v>0.0004</v>
      </c>
      <c r="H5655" s="9">
        <f>MAX($F$5616:F5655)</f>
        <v>1.0886</v>
      </c>
      <c r="I5655" s="11">
        <f t="shared" si="139"/>
        <v>0</v>
      </c>
      <c r="J5655" s="9"/>
      <c r="K5655" s="11"/>
      <c r="L5655" s="9"/>
      <c r="M5655" s="11"/>
      <c r="N5655" s="9" t="s">
        <v>807</v>
      </c>
    </row>
    <row r="5656" ht="25" customHeight="1" spans="1:14">
      <c r="A5656" s="9" t="s">
        <v>249</v>
      </c>
      <c r="B5656" s="9" t="s">
        <v>248</v>
      </c>
      <c r="C5656" s="10">
        <v>44477</v>
      </c>
      <c r="D5656" s="15">
        <v>1.089</v>
      </c>
      <c r="E5656" s="15">
        <v>1.089</v>
      </c>
      <c r="F5656" s="15">
        <v>1.089</v>
      </c>
      <c r="G5656" s="11">
        <v>0.0004</v>
      </c>
      <c r="H5656" s="9">
        <f>MAX($F$5616:F5656)</f>
        <v>1.089</v>
      </c>
      <c r="I5656" s="11">
        <f t="shared" si="139"/>
        <v>0</v>
      </c>
      <c r="J5656" s="9"/>
      <c r="K5656" s="11"/>
      <c r="L5656" s="9"/>
      <c r="M5656" s="11"/>
      <c r="N5656" s="9" t="s">
        <v>807</v>
      </c>
    </row>
    <row r="5657" ht="25" customHeight="1" spans="1:14">
      <c r="A5657" s="9" t="s">
        <v>249</v>
      </c>
      <c r="B5657" s="9" t="s">
        <v>248</v>
      </c>
      <c r="C5657" s="10">
        <v>44484</v>
      </c>
      <c r="D5657" s="15">
        <v>1.0908</v>
      </c>
      <c r="E5657" s="15">
        <v>1.0908</v>
      </c>
      <c r="F5657" s="15">
        <v>1.0908</v>
      </c>
      <c r="G5657" s="11">
        <v>0.0017</v>
      </c>
      <c r="H5657" s="9">
        <f>MAX($F$5616:F5657)</f>
        <v>1.0908</v>
      </c>
      <c r="I5657" s="11">
        <f t="shared" si="139"/>
        <v>0</v>
      </c>
      <c r="J5657" s="9"/>
      <c r="K5657" s="11"/>
      <c r="L5657" s="9"/>
      <c r="M5657" s="11"/>
      <c r="N5657" s="9" t="s">
        <v>807</v>
      </c>
    </row>
    <row r="5658" ht="25" customHeight="1" spans="1:14">
      <c r="A5658" s="9" t="s">
        <v>249</v>
      </c>
      <c r="B5658" s="9" t="s">
        <v>248</v>
      </c>
      <c r="C5658" s="10">
        <v>44491</v>
      </c>
      <c r="D5658" s="15">
        <v>1.0915</v>
      </c>
      <c r="E5658" s="15">
        <v>1.0915</v>
      </c>
      <c r="F5658" s="15">
        <v>1.0915</v>
      </c>
      <c r="G5658" s="11">
        <v>0.0006</v>
      </c>
      <c r="H5658" s="9">
        <f>MAX($F$5616:F5658)</f>
        <v>1.0915</v>
      </c>
      <c r="I5658" s="11">
        <f t="shared" si="139"/>
        <v>0</v>
      </c>
      <c r="J5658" s="9"/>
      <c r="K5658" s="11"/>
      <c r="L5658" s="9"/>
      <c r="M5658" s="11"/>
      <c r="N5658" s="9" t="s">
        <v>807</v>
      </c>
    </row>
    <row r="5659" ht="25" customHeight="1" spans="1:14">
      <c r="A5659" s="9" t="s">
        <v>249</v>
      </c>
      <c r="B5659" s="9" t="s">
        <v>248</v>
      </c>
      <c r="C5659" s="10">
        <v>44498</v>
      </c>
      <c r="D5659" s="15">
        <v>1.0913</v>
      </c>
      <c r="E5659" s="15">
        <v>1.0913</v>
      </c>
      <c r="F5659" s="15">
        <v>1.0913</v>
      </c>
      <c r="G5659" s="11">
        <v>-0.0002</v>
      </c>
      <c r="H5659" s="9">
        <f>MAX($F$5616:F5659)</f>
        <v>1.0915</v>
      </c>
      <c r="I5659" s="11">
        <f t="shared" si="139"/>
        <v>0.000183234081539196</v>
      </c>
      <c r="J5659" s="9"/>
      <c r="K5659" s="11"/>
      <c r="L5659" s="9"/>
      <c r="M5659" s="11"/>
      <c r="N5659" s="9" t="s">
        <v>807</v>
      </c>
    </row>
    <row r="5660" ht="25" customHeight="1" spans="1:14">
      <c r="A5660" s="9" t="s">
        <v>249</v>
      </c>
      <c r="B5660" s="9" t="s">
        <v>248</v>
      </c>
      <c r="C5660" s="10">
        <v>44505</v>
      </c>
      <c r="D5660" s="15">
        <v>1.0937</v>
      </c>
      <c r="E5660" s="15">
        <v>1.0937</v>
      </c>
      <c r="F5660" s="15">
        <v>1.0937</v>
      </c>
      <c r="G5660" s="11">
        <v>0.0022</v>
      </c>
      <c r="H5660" s="9">
        <f>MAX($F$5616:F5660)</f>
        <v>1.0937</v>
      </c>
      <c r="I5660" s="11">
        <f t="shared" si="139"/>
        <v>0</v>
      </c>
      <c r="J5660" s="9"/>
      <c r="K5660" s="11"/>
      <c r="L5660" s="9"/>
      <c r="M5660" s="11"/>
      <c r="N5660" s="9" t="s">
        <v>807</v>
      </c>
    </row>
    <row r="5661" ht="25" customHeight="1" spans="1:14">
      <c r="A5661" s="9" t="s">
        <v>249</v>
      </c>
      <c r="B5661" s="9" t="s">
        <v>248</v>
      </c>
      <c r="C5661" s="10">
        <v>44512</v>
      </c>
      <c r="D5661" s="15">
        <v>1.1006</v>
      </c>
      <c r="E5661" s="15">
        <v>1.1006</v>
      </c>
      <c r="F5661" s="15">
        <v>1.1006</v>
      </c>
      <c r="G5661" s="11">
        <v>0.0063</v>
      </c>
      <c r="H5661" s="9">
        <f>MAX($F$5616:F5661)</f>
        <v>1.1006</v>
      </c>
      <c r="I5661" s="11">
        <f t="shared" si="139"/>
        <v>0</v>
      </c>
      <c r="J5661" s="9"/>
      <c r="K5661" s="11"/>
      <c r="L5661" s="9"/>
      <c r="M5661" s="11"/>
      <c r="N5661" s="9" t="s">
        <v>807</v>
      </c>
    </row>
    <row r="5662" ht="25" customHeight="1" spans="1:14">
      <c r="A5662" s="9" t="s">
        <v>249</v>
      </c>
      <c r="B5662" s="9" t="s">
        <v>248</v>
      </c>
      <c r="C5662" s="10">
        <v>44519</v>
      </c>
      <c r="D5662" s="15">
        <v>1.1029</v>
      </c>
      <c r="E5662" s="15">
        <v>1.1029</v>
      </c>
      <c r="F5662" s="15">
        <v>1.1029</v>
      </c>
      <c r="G5662" s="11">
        <v>0.0021</v>
      </c>
      <c r="H5662" s="9">
        <f>MAX($F$5616:F5662)</f>
        <v>1.1029</v>
      </c>
      <c r="I5662" s="11">
        <f t="shared" si="139"/>
        <v>0</v>
      </c>
      <c r="J5662" s="9"/>
      <c r="K5662" s="11"/>
      <c r="L5662" s="9"/>
      <c r="M5662" s="11"/>
      <c r="N5662" s="9" t="s">
        <v>807</v>
      </c>
    </row>
    <row r="5663" ht="25" customHeight="1" spans="1:14">
      <c r="A5663" s="9" t="s">
        <v>249</v>
      </c>
      <c r="B5663" s="9" t="s">
        <v>248</v>
      </c>
      <c r="C5663" s="10">
        <v>44526</v>
      </c>
      <c r="D5663" s="15">
        <v>1.1015</v>
      </c>
      <c r="E5663" s="15">
        <v>1.1015</v>
      </c>
      <c r="F5663" s="15">
        <v>1.1015</v>
      </c>
      <c r="G5663" s="11">
        <v>-0.0013</v>
      </c>
      <c r="H5663" s="9">
        <f>MAX($F$5616:F5663)</f>
        <v>1.1029</v>
      </c>
      <c r="I5663" s="11">
        <f t="shared" si="139"/>
        <v>0.0012693807235471</v>
      </c>
      <c r="J5663" s="9"/>
      <c r="K5663" s="11"/>
      <c r="L5663" s="9"/>
      <c r="M5663" s="11"/>
      <c r="N5663" s="9" t="s">
        <v>807</v>
      </c>
    </row>
    <row r="5664" ht="25" customHeight="1" spans="1:14">
      <c r="A5664" s="9" t="s">
        <v>249</v>
      </c>
      <c r="B5664" s="9" t="s">
        <v>248</v>
      </c>
      <c r="C5664" s="10">
        <v>44533</v>
      </c>
      <c r="D5664" s="15">
        <v>1.1022</v>
      </c>
      <c r="E5664" s="15">
        <v>1.1022</v>
      </c>
      <c r="F5664" s="15">
        <v>1.1022</v>
      </c>
      <c r="G5664" s="11">
        <v>0.0006</v>
      </c>
      <c r="H5664" s="9">
        <f>MAX($F$5616:F5664)</f>
        <v>1.1029</v>
      </c>
      <c r="I5664" s="11">
        <f t="shared" si="139"/>
        <v>0.000634690361773438</v>
      </c>
      <c r="J5664" s="9"/>
      <c r="K5664" s="11"/>
      <c r="L5664" s="9"/>
      <c r="M5664" s="11"/>
      <c r="N5664" s="9" t="s">
        <v>807</v>
      </c>
    </row>
    <row r="5665" ht="25" customHeight="1" spans="1:14">
      <c r="A5665" s="9" t="s">
        <v>249</v>
      </c>
      <c r="B5665" s="9" t="s">
        <v>248</v>
      </c>
      <c r="C5665" s="10">
        <v>44540</v>
      </c>
      <c r="D5665" s="15">
        <v>1.1063</v>
      </c>
      <c r="E5665" s="15">
        <v>1.1063</v>
      </c>
      <c r="F5665" s="15">
        <v>1.1063</v>
      </c>
      <c r="G5665" s="11">
        <v>0.0037</v>
      </c>
      <c r="H5665" s="9">
        <f>MAX($F$5616:F5665)</f>
        <v>1.1063</v>
      </c>
      <c r="I5665" s="11">
        <f t="shared" si="139"/>
        <v>0</v>
      </c>
      <c r="J5665" s="9"/>
      <c r="K5665" s="11"/>
      <c r="L5665" s="9"/>
      <c r="M5665" s="11"/>
      <c r="N5665" s="9" t="s">
        <v>807</v>
      </c>
    </row>
    <row r="5666" ht="25" customHeight="1" spans="1:14">
      <c r="A5666" s="9" t="s">
        <v>249</v>
      </c>
      <c r="B5666" s="9" t="s">
        <v>248</v>
      </c>
      <c r="C5666" s="10">
        <v>44547</v>
      </c>
      <c r="D5666" s="15">
        <v>1.1125</v>
      </c>
      <c r="E5666" s="15">
        <v>1.1125</v>
      </c>
      <c r="F5666" s="15">
        <v>1.1125</v>
      </c>
      <c r="G5666" s="11">
        <v>0.0056</v>
      </c>
      <c r="H5666" s="9">
        <f>MAX($F$5616:F5666)</f>
        <v>1.1125</v>
      </c>
      <c r="I5666" s="11">
        <f t="shared" si="139"/>
        <v>0</v>
      </c>
      <c r="J5666" s="9"/>
      <c r="K5666" s="11"/>
      <c r="L5666" s="9"/>
      <c r="M5666" s="11"/>
      <c r="N5666" s="9" t="s">
        <v>807</v>
      </c>
    </row>
    <row r="5667" ht="25" customHeight="1" spans="1:14">
      <c r="A5667" s="9" t="s">
        <v>249</v>
      </c>
      <c r="B5667" s="9" t="s">
        <v>248</v>
      </c>
      <c r="C5667" s="10">
        <v>44554</v>
      </c>
      <c r="D5667" s="15">
        <v>1.1133</v>
      </c>
      <c r="E5667" s="15">
        <v>1.1133</v>
      </c>
      <c r="F5667" s="15">
        <v>1.1133</v>
      </c>
      <c r="G5667" s="11">
        <v>0.0007</v>
      </c>
      <c r="H5667" s="9">
        <f>MAX($F$5616:F5667)</f>
        <v>1.1133</v>
      </c>
      <c r="I5667" s="11">
        <f t="shared" si="139"/>
        <v>0</v>
      </c>
      <c r="J5667" s="9"/>
      <c r="K5667" s="11"/>
      <c r="L5667" s="9"/>
      <c r="M5667" s="11"/>
      <c r="N5667" s="9" t="s">
        <v>807</v>
      </c>
    </row>
    <row r="5668" ht="25" customHeight="1" spans="1:14">
      <c r="A5668" s="9" t="s">
        <v>249</v>
      </c>
      <c r="B5668" s="9" t="s">
        <v>248</v>
      </c>
      <c r="C5668" s="10">
        <v>44561</v>
      </c>
      <c r="D5668" s="15">
        <v>1.1157</v>
      </c>
      <c r="E5668" s="15">
        <v>1.1157</v>
      </c>
      <c r="F5668" s="15">
        <v>1.1157</v>
      </c>
      <c r="G5668" s="11">
        <v>0.0022</v>
      </c>
      <c r="H5668" s="9">
        <f>MAX($F$5616:F5668)</f>
        <v>1.1157</v>
      </c>
      <c r="I5668" s="11">
        <f t="shared" si="139"/>
        <v>0</v>
      </c>
      <c r="J5668" s="9"/>
      <c r="K5668" s="11"/>
      <c r="L5668" s="9"/>
      <c r="M5668" s="11"/>
      <c r="N5668" s="9" t="s">
        <v>807</v>
      </c>
    </row>
    <row r="5669" ht="25" customHeight="1" spans="1:14">
      <c r="A5669" s="9" t="s">
        <v>249</v>
      </c>
      <c r="B5669" s="9" t="s">
        <v>248</v>
      </c>
      <c r="C5669" s="10">
        <v>44568</v>
      </c>
      <c r="D5669" s="15">
        <v>1.1181</v>
      </c>
      <c r="E5669" s="15">
        <v>1.1181</v>
      </c>
      <c r="F5669" s="15">
        <v>1.1181</v>
      </c>
      <c r="G5669" s="11">
        <v>0.0022</v>
      </c>
      <c r="H5669" s="9">
        <f>MAX($F$5616:F5669)</f>
        <v>1.1181</v>
      </c>
      <c r="I5669" s="11">
        <f t="shared" si="139"/>
        <v>0</v>
      </c>
      <c r="J5669" s="9"/>
      <c r="K5669" s="11"/>
      <c r="L5669" s="9"/>
      <c r="M5669" s="11"/>
      <c r="N5669" s="9" t="s">
        <v>807</v>
      </c>
    </row>
    <row r="5670" ht="25" customHeight="1" spans="1:14">
      <c r="A5670" s="9" t="s">
        <v>249</v>
      </c>
      <c r="B5670" s="9" t="s">
        <v>248</v>
      </c>
      <c r="C5670" s="10">
        <v>44575</v>
      </c>
      <c r="D5670" s="15">
        <v>1.1224</v>
      </c>
      <c r="E5670" s="15">
        <v>1.1224</v>
      </c>
      <c r="F5670" s="15">
        <v>1.1224</v>
      </c>
      <c r="G5670" s="11">
        <v>0.0038</v>
      </c>
      <c r="H5670" s="9">
        <f>MAX($F$5616:F5670)</f>
        <v>1.1224</v>
      </c>
      <c r="I5670" s="11">
        <f t="shared" si="139"/>
        <v>0</v>
      </c>
      <c r="J5670" s="9"/>
      <c r="K5670" s="11"/>
      <c r="L5670" s="9"/>
      <c r="M5670" s="11"/>
      <c r="N5670" s="9" t="s">
        <v>807</v>
      </c>
    </row>
    <row r="5671" ht="25" customHeight="1" spans="1:14">
      <c r="A5671" s="9" t="s">
        <v>249</v>
      </c>
      <c r="B5671" s="9" t="s">
        <v>248</v>
      </c>
      <c r="C5671" s="10">
        <v>44582</v>
      </c>
      <c r="D5671" s="15">
        <v>1.1239</v>
      </c>
      <c r="E5671" s="15">
        <v>1.1239</v>
      </c>
      <c r="F5671" s="15">
        <v>1.1239</v>
      </c>
      <c r="G5671" s="11">
        <v>0.0013</v>
      </c>
      <c r="H5671" s="9">
        <f>MAX($F$5616:F5671)</f>
        <v>1.1239</v>
      </c>
      <c r="I5671" s="11">
        <f t="shared" si="139"/>
        <v>0</v>
      </c>
      <c r="J5671" s="9"/>
      <c r="K5671" s="11"/>
      <c r="L5671" s="9"/>
      <c r="M5671" s="11"/>
      <c r="N5671" s="9" t="s">
        <v>807</v>
      </c>
    </row>
    <row r="5672" ht="25" customHeight="1" spans="1:14">
      <c r="A5672" s="9" t="s">
        <v>249</v>
      </c>
      <c r="B5672" s="9" t="s">
        <v>248</v>
      </c>
      <c r="C5672" s="10">
        <v>44589</v>
      </c>
      <c r="D5672" s="15">
        <v>1.1303</v>
      </c>
      <c r="E5672" s="15">
        <v>1.1303</v>
      </c>
      <c r="F5672" s="15">
        <v>1.1303</v>
      </c>
      <c r="G5672" s="11">
        <v>0.0057</v>
      </c>
      <c r="H5672" s="9">
        <f>MAX($F$5616:F5672)</f>
        <v>1.1303</v>
      </c>
      <c r="I5672" s="11">
        <f t="shared" si="139"/>
        <v>0</v>
      </c>
      <c r="J5672" s="9"/>
      <c r="K5672" s="11"/>
      <c r="L5672" s="9"/>
      <c r="M5672" s="11"/>
      <c r="N5672" s="9" t="s">
        <v>807</v>
      </c>
    </row>
    <row r="5673" ht="25" customHeight="1" spans="1:14">
      <c r="A5673" s="9" t="s">
        <v>249</v>
      </c>
      <c r="B5673" s="9" t="s">
        <v>248</v>
      </c>
      <c r="C5673" s="10">
        <v>44603</v>
      </c>
      <c r="D5673" s="15">
        <v>1.136</v>
      </c>
      <c r="E5673" s="15">
        <v>1.136</v>
      </c>
      <c r="F5673" s="15">
        <v>1.136</v>
      </c>
      <c r="G5673" s="11">
        <v>0.005</v>
      </c>
      <c r="H5673" s="9">
        <f>MAX($F$5616:F5673)</f>
        <v>1.136</v>
      </c>
      <c r="I5673" s="11">
        <f t="shared" si="139"/>
        <v>0</v>
      </c>
      <c r="J5673" s="9"/>
      <c r="K5673" s="11"/>
      <c r="L5673" s="9"/>
      <c r="M5673" s="11"/>
      <c r="N5673" s="9" t="s">
        <v>807</v>
      </c>
    </row>
    <row r="5674" ht="25" customHeight="1" spans="1:14">
      <c r="A5674" s="9" t="s">
        <v>249</v>
      </c>
      <c r="B5674" s="9" t="s">
        <v>248</v>
      </c>
      <c r="C5674" s="10">
        <v>44610</v>
      </c>
      <c r="D5674" s="15">
        <v>1.1396</v>
      </c>
      <c r="E5674" s="15">
        <v>1.1396</v>
      </c>
      <c r="F5674" s="15">
        <v>1.1396</v>
      </c>
      <c r="G5674" s="11">
        <v>0.0032</v>
      </c>
      <c r="H5674" s="9">
        <f>MAX($F$5616:F5674)</f>
        <v>1.1396</v>
      </c>
      <c r="I5674" s="11">
        <f t="shared" si="139"/>
        <v>0</v>
      </c>
      <c r="J5674" s="9"/>
      <c r="K5674" s="11"/>
      <c r="L5674" s="9"/>
      <c r="M5674" s="11"/>
      <c r="N5674" s="9" t="s">
        <v>807</v>
      </c>
    </row>
    <row r="5675" ht="25" customHeight="1" spans="1:14">
      <c r="A5675" s="9" t="s">
        <v>249</v>
      </c>
      <c r="B5675" s="9" t="s">
        <v>248</v>
      </c>
      <c r="C5675" s="10">
        <v>44617</v>
      </c>
      <c r="D5675" s="15">
        <v>1.1446</v>
      </c>
      <c r="E5675" s="15">
        <v>1.1446</v>
      </c>
      <c r="F5675" s="15">
        <v>1.1446</v>
      </c>
      <c r="G5675" s="11">
        <v>0.0044</v>
      </c>
      <c r="H5675" s="9">
        <f>MAX($F$5616:F5675)</f>
        <v>1.1446</v>
      </c>
      <c r="I5675" s="11">
        <f t="shared" si="139"/>
        <v>0</v>
      </c>
      <c r="J5675" s="9"/>
      <c r="K5675" s="11"/>
      <c r="L5675" s="9"/>
      <c r="M5675" s="11"/>
      <c r="N5675" s="9" t="s">
        <v>807</v>
      </c>
    </row>
    <row r="5676" ht="25" customHeight="1" spans="1:14">
      <c r="A5676" s="9" t="s">
        <v>249</v>
      </c>
      <c r="B5676" s="9" t="s">
        <v>248</v>
      </c>
      <c r="C5676" s="10">
        <v>44624</v>
      </c>
      <c r="D5676" s="15">
        <v>1.1469</v>
      </c>
      <c r="E5676" s="15">
        <v>1.1469</v>
      </c>
      <c r="F5676" s="15">
        <v>1.1469</v>
      </c>
      <c r="G5676" s="11">
        <v>0.002</v>
      </c>
      <c r="H5676" s="9">
        <f>MAX($F$5616:F5676)</f>
        <v>1.1469</v>
      </c>
      <c r="I5676" s="11">
        <f t="shared" si="139"/>
        <v>0</v>
      </c>
      <c r="J5676" s="9"/>
      <c r="K5676" s="11"/>
      <c r="L5676" s="9"/>
      <c r="M5676" s="11"/>
      <c r="N5676" s="9" t="s">
        <v>807</v>
      </c>
    </row>
    <row r="5677" ht="25" customHeight="1" spans="1:14">
      <c r="A5677" s="9" t="s">
        <v>249</v>
      </c>
      <c r="B5677" s="9" t="s">
        <v>248</v>
      </c>
      <c r="C5677" s="10">
        <v>44631</v>
      </c>
      <c r="D5677" s="15">
        <v>1.1624</v>
      </c>
      <c r="E5677" s="15">
        <v>1.1624</v>
      </c>
      <c r="F5677" s="15">
        <v>1.1624</v>
      </c>
      <c r="G5677" s="11">
        <v>0.0135</v>
      </c>
      <c r="H5677" s="9">
        <f>MAX($F$5616:F5677)</f>
        <v>1.1624</v>
      </c>
      <c r="I5677" s="11">
        <f t="shared" si="139"/>
        <v>0</v>
      </c>
      <c r="J5677" s="9"/>
      <c r="K5677" s="11"/>
      <c r="L5677" s="9"/>
      <c r="M5677" s="11"/>
      <c r="N5677" s="9" t="s">
        <v>807</v>
      </c>
    </row>
    <row r="5678" ht="25" customHeight="1" spans="1:14">
      <c r="A5678" s="9" t="s">
        <v>249</v>
      </c>
      <c r="B5678" s="9" t="s">
        <v>248</v>
      </c>
      <c r="C5678" s="10">
        <v>44638</v>
      </c>
      <c r="D5678" s="15">
        <v>1.1798</v>
      </c>
      <c r="E5678" s="15">
        <v>1.1798</v>
      </c>
      <c r="F5678" s="15">
        <v>1.1798</v>
      </c>
      <c r="G5678" s="11">
        <v>0.015</v>
      </c>
      <c r="H5678" s="9">
        <f>MAX($F$5616:F5678)</f>
        <v>1.1798</v>
      </c>
      <c r="I5678" s="11">
        <f t="shared" si="139"/>
        <v>0</v>
      </c>
      <c r="J5678" s="9"/>
      <c r="K5678" s="11"/>
      <c r="L5678" s="9"/>
      <c r="M5678" s="11"/>
      <c r="N5678" s="9" t="s">
        <v>807</v>
      </c>
    </row>
    <row r="5679" ht="25" customHeight="1" spans="1:14">
      <c r="A5679" s="9" t="s">
        <v>249</v>
      </c>
      <c r="B5679" s="9" t="s">
        <v>248</v>
      </c>
      <c r="C5679" s="10">
        <v>44645</v>
      </c>
      <c r="D5679" s="15">
        <v>1.0079</v>
      </c>
      <c r="E5679" s="15">
        <v>1.1877</v>
      </c>
      <c r="F5679" s="15">
        <v>1.1877</v>
      </c>
      <c r="G5679" s="11">
        <v>0.0067</v>
      </c>
      <c r="H5679" s="9">
        <f>MAX($F$5616:F5679)</f>
        <v>1.1877</v>
      </c>
      <c r="I5679" s="11">
        <f t="shared" si="139"/>
        <v>0</v>
      </c>
      <c r="J5679" s="9"/>
      <c r="K5679" s="11"/>
      <c r="L5679" s="9"/>
      <c r="M5679" s="11"/>
      <c r="N5679" s="9" t="s">
        <v>807</v>
      </c>
    </row>
    <row r="5680" ht="25" customHeight="1" spans="1:14">
      <c r="A5680" s="9" t="s">
        <v>249</v>
      </c>
      <c r="B5680" s="9" t="s">
        <v>248</v>
      </c>
      <c r="C5680" s="10">
        <v>44652</v>
      </c>
      <c r="D5680" s="15">
        <v>1.014</v>
      </c>
      <c r="E5680" s="15">
        <v>1.1938</v>
      </c>
      <c r="F5680" s="15">
        <v>1.1949</v>
      </c>
      <c r="G5680" s="11">
        <v>0.0061</v>
      </c>
      <c r="H5680" s="9">
        <f>MAX($F$5616:F5680)</f>
        <v>1.1949</v>
      </c>
      <c r="I5680" s="11">
        <f t="shared" si="139"/>
        <v>0</v>
      </c>
      <c r="J5680" s="9"/>
      <c r="K5680" s="11"/>
      <c r="L5680" s="9"/>
      <c r="M5680" s="11"/>
      <c r="N5680" s="9" t="s">
        <v>807</v>
      </c>
    </row>
    <row r="5681" ht="25" customHeight="1" spans="1:14">
      <c r="A5681" s="9" t="s">
        <v>249</v>
      </c>
      <c r="B5681" s="9" t="s">
        <v>248</v>
      </c>
      <c r="C5681" s="10">
        <v>44659</v>
      </c>
      <c r="D5681" s="15">
        <v>1.0172</v>
      </c>
      <c r="E5681" s="15">
        <v>1.197</v>
      </c>
      <c r="F5681" s="15">
        <v>1.1987</v>
      </c>
      <c r="G5681" s="11">
        <v>0.0032</v>
      </c>
      <c r="H5681" s="9">
        <f>MAX($F$5616:F5681)</f>
        <v>1.1987</v>
      </c>
      <c r="I5681" s="11">
        <f t="shared" si="139"/>
        <v>0</v>
      </c>
      <c r="J5681" s="9"/>
      <c r="K5681" s="11"/>
      <c r="L5681" s="9"/>
      <c r="M5681" s="11"/>
      <c r="N5681" s="9" t="s">
        <v>807</v>
      </c>
    </row>
    <row r="5682" ht="25" customHeight="1" spans="1:14">
      <c r="A5682" s="9" t="s">
        <v>249</v>
      </c>
      <c r="B5682" s="9" t="s">
        <v>248</v>
      </c>
      <c r="C5682" s="10">
        <v>44666</v>
      </c>
      <c r="D5682" s="15">
        <v>1.0206</v>
      </c>
      <c r="E5682" s="15">
        <v>1.2004</v>
      </c>
      <c r="F5682" s="15">
        <v>1.2027</v>
      </c>
      <c r="G5682" s="11">
        <v>0.0033</v>
      </c>
      <c r="H5682" s="9">
        <f>MAX($F$5616:F5682)</f>
        <v>1.2027</v>
      </c>
      <c r="I5682" s="11">
        <f t="shared" si="139"/>
        <v>0</v>
      </c>
      <c r="J5682" s="9"/>
      <c r="K5682" s="11"/>
      <c r="L5682" s="9"/>
      <c r="M5682" s="11"/>
      <c r="N5682" s="9" t="s">
        <v>807</v>
      </c>
    </row>
    <row r="5683" ht="25" customHeight="1" spans="1:14">
      <c r="A5683" s="9" t="s">
        <v>249</v>
      </c>
      <c r="B5683" s="9" t="s">
        <v>248</v>
      </c>
      <c r="C5683" s="10">
        <v>44673</v>
      </c>
      <c r="D5683" s="15">
        <v>1.0304</v>
      </c>
      <c r="E5683" s="15">
        <v>1.2102</v>
      </c>
      <c r="F5683" s="15">
        <v>1.2142</v>
      </c>
      <c r="G5683" s="11">
        <v>0.0096</v>
      </c>
      <c r="H5683" s="9">
        <f>MAX($F$5616:F5683)</f>
        <v>1.2142</v>
      </c>
      <c r="I5683" s="11">
        <f t="shared" si="139"/>
        <v>0</v>
      </c>
      <c r="J5683" s="9"/>
      <c r="K5683" s="11"/>
      <c r="L5683" s="9"/>
      <c r="M5683" s="11"/>
      <c r="N5683" s="9" t="s">
        <v>807</v>
      </c>
    </row>
    <row r="5684" ht="25" customHeight="1" spans="1:14">
      <c r="A5684" s="9" t="s">
        <v>249</v>
      </c>
      <c r="B5684" s="9" t="s">
        <v>248</v>
      </c>
      <c r="C5684" s="10">
        <v>44680</v>
      </c>
      <c r="D5684" s="15">
        <v>1.0452</v>
      </c>
      <c r="E5684" s="15">
        <v>1.225</v>
      </c>
      <c r="F5684" s="15">
        <v>1.2317</v>
      </c>
      <c r="G5684" s="11">
        <v>0.0144</v>
      </c>
      <c r="H5684" s="9">
        <f>MAX($F$5616:F5684)</f>
        <v>1.2317</v>
      </c>
      <c r="I5684" s="11">
        <f t="shared" si="139"/>
        <v>0</v>
      </c>
      <c r="J5684" s="9"/>
      <c r="K5684" s="11"/>
      <c r="L5684" s="9"/>
      <c r="M5684" s="11"/>
      <c r="N5684" s="9" t="s">
        <v>807</v>
      </c>
    </row>
    <row r="5685" ht="25" customHeight="1" spans="1:14">
      <c r="A5685" s="9" t="s">
        <v>249</v>
      </c>
      <c r="B5685" s="9" t="s">
        <v>248</v>
      </c>
      <c r="C5685" s="10">
        <v>44687</v>
      </c>
      <c r="D5685" s="15">
        <v>1.0476</v>
      </c>
      <c r="E5685" s="15">
        <v>1.2274</v>
      </c>
      <c r="F5685" s="15">
        <v>1.2345</v>
      </c>
      <c r="G5685" s="11">
        <v>0.0023</v>
      </c>
      <c r="H5685" s="9">
        <f>MAX($F$5616:F5685)</f>
        <v>1.2345</v>
      </c>
      <c r="I5685" s="11">
        <f t="shared" si="139"/>
        <v>0</v>
      </c>
      <c r="J5685" s="9"/>
      <c r="K5685" s="11"/>
      <c r="L5685" s="9"/>
      <c r="M5685" s="11"/>
      <c r="N5685" s="9" t="s">
        <v>807</v>
      </c>
    </row>
    <row r="5686" ht="25" customHeight="1" spans="1:14">
      <c r="A5686" s="9" t="s">
        <v>249</v>
      </c>
      <c r="B5686" s="9" t="s">
        <v>248</v>
      </c>
      <c r="C5686" s="10">
        <v>44694</v>
      </c>
      <c r="D5686" s="15">
        <v>1.0552</v>
      </c>
      <c r="E5686" s="15">
        <v>1.235</v>
      </c>
      <c r="F5686" s="15">
        <v>1.2434</v>
      </c>
      <c r="G5686" s="11">
        <v>0.0073</v>
      </c>
      <c r="H5686" s="9">
        <f>MAX($F$5616:F5686)</f>
        <v>1.2434</v>
      </c>
      <c r="I5686" s="11">
        <f t="shared" si="139"/>
        <v>0</v>
      </c>
      <c r="J5686" s="9"/>
      <c r="K5686" s="11"/>
      <c r="L5686" s="9"/>
      <c r="M5686" s="11"/>
      <c r="N5686" s="9" t="s">
        <v>807</v>
      </c>
    </row>
    <row r="5687" ht="25" customHeight="1" spans="1:14">
      <c r="A5687" s="9" t="s">
        <v>249</v>
      </c>
      <c r="B5687" s="9" t="s">
        <v>248</v>
      </c>
      <c r="C5687" s="10">
        <v>44701</v>
      </c>
      <c r="D5687" s="15">
        <v>1.0607</v>
      </c>
      <c r="E5687" s="15">
        <v>1.2405</v>
      </c>
      <c r="F5687" s="15">
        <v>1.2499</v>
      </c>
      <c r="G5687" s="11">
        <v>0.0052</v>
      </c>
      <c r="H5687" s="9">
        <f>MAX($F$5616:F5687)</f>
        <v>1.2499</v>
      </c>
      <c r="I5687" s="11">
        <f t="shared" si="139"/>
        <v>0</v>
      </c>
      <c r="J5687" s="9"/>
      <c r="K5687" s="11"/>
      <c r="L5687" s="9"/>
      <c r="M5687" s="11"/>
      <c r="N5687" s="9" t="s">
        <v>807</v>
      </c>
    </row>
    <row r="5688" ht="25" customHeight="1" spans="1:14">
      <c r="A5688" s="9" t="s">
        <v>249</v>
      </c>
      <c r="B5688" s="9" t="s">
        <v>248</v>
      </c>
      <c r="C5688" s="10">
        <v>44708</v>
      </c>
      <c r="D5688" s="15">
        <v>1.0635</v>
      </c>
      <c r="E5688" s="15">
        <v>1.2433</v>
      </c>
      <c r="F5688" s="15">
        <v>1.2532</v>
      </c>
      <c r="G5688" s="11">
        <v>0.0026</v>
      </c>
      <c r="H5688" s="9">
        <f>MAX($F$5616:F5688)</f>
        <v>1.2532</v>
      </c>
      <c r="I5688" s="11">
        <f t="shared" si="139"/>
        <v>0</v>
      </c>
      <c r="J5688" s="9"/>
      <c r="K5688" s="11"/>
      <c r="L5688" s="9"/>
      <c r="M5688" s="11"/>
      <c r="N5688" s="9" t="s">
        <v>807</v>
      </c>
    </row>
    <row r="5689" ht="25" customHeight="1" spans="1:14">
      <c r="A5689" s="9" t="s">
        <v>249</v>
      </c>
      <c r="B5689" s="9" t="s">
        <v>248</v>
      </c>
      <c r="C5689" s="10">
        <v>44714</v>
      </c>
      <c r="D5689" s="15">
        <v>1.0642</v>
      </c>
      <c r="E5689" s="15">
        <v>1.244</v>
      </c>
      <c r="F5689" s="15">
        <v>1.254</v>
      </c>
      <c r="G5689" s="11">
        <v>0.0007</v>
      </c>
      <c r="H5689" s="9">
        <f>MAX($F$5616:F5689)</f>
        <v>1.254</v>
      </c>
      <c r="I5689" s="11">
        <f t="shared" si="139"/>
        <v>0</v>
      </c>
      <c r="J5689" s="9"/>
      <c r="K5689" s="11"/>
      <c r="L5689" s="9"/>
      <c r="M5689" s="11"/>
      <c r="N5689" s="9" t="s">
        <v>807</v>
      </c>
    </row>
    <row r="5690" ht="25" customHeight="1" spans="1:14">
      <c r="A5690" s="9" t="s">
        <v>249</v>
      </c>
      <c r="B5690" s="9" t="s">
        <v>248</v>
      </c>
      <c r="C5690" s="10">
        <v>44722</v>
      </c>
      <c r="D5690" s="15">
        <v>1.068</v>
      </c>
      <c r="E5690" s="15">
        <v>1.2478</v>
      </c>
      <c r="F5690" s="15">
        <v>1.2585</v>
      </c>
      <c r="G5690" s="11">
        <v>0.0036</v>
      </c>
      <c r="H5690" s="9">
        <f>MAX($F$5616:F5690)</f>
        <v>1.2585</v>
      </c>
      <c r="I5690" s="11">
        <f t="shared" si="139"/>
        <v>0</v>
      </c>
      <c r="J5690" s="9"/>
      <c r="K5690" s="11"/>
      <c r="L5690" s="9"/>
      <c r="M5690" s="11"/>
      <c r="N5690" s="9" t="s">
        <v>807</v>
      </c>
    </row>
    <row r="5691" ht="25" customHeight="1" spans="1:14">
      <c r="A5691" s="9" t="s">
        <v>249</v>
      </c>
      <c r="B5691" s="9" t="s">
        <v>248</v>
      </c>
      <c r="C5691" s="10">
        <v>44729</v>
      </c>
      <c r="D5691" s="15">
        <v>1.0828</v>
      </c>
      <c r="E5691" s="15">
        <v>1.2626</v>
      </c>
      <c r="F5691" s="15">
        <v>1.276</v>
      </c>
      <c r="G5691" s="11">
        <v>0.0139</v>
      </c>
      <c r="H5691" s="9">
        <f>MAX($F$5616:F5691)</f>
        <v>1.276</v>
      </c>
      <c r="I5691" s="11">
        <f t="shared" si="139"/>
        <v>0</v>
      </c>
      <c r="J5691" s="9"/>
      <c r="K5691" s="11"/>
      <c r="L5691" s="9"/>
      <c r="M5691" s="11"/>
      <c r="N5691" s="9" t="s">
        <v>807</v>
      </c>
    </row>
    <row r="5692" ht="25" customHeight="1" spans="1:14">
      <c r="A5692" s="9" t="s">
        <v>249</v>
      </c>
      <c r="B5692" s="9" t="s">
        <v>248</v>
      </c>
      <c r="C5692" s="10">
        <v>44736</v>
      </c>
      <c r="D5692" s="15">
        <v>1.0872</v>
      </c>
      <c r="E5692" s="15">
        <v>1.267</v>
      </c>
      <c r="F5692" s="15">
        <v>1.2811</v>
      </c>
      <c r="G5692" s="11">
        <v>0.0041</v>
      </c>
      <c r="H5692" s="9">
        <f>MAX($F$5616:F5692)</f>
        <v>1.2811</v>
      </c>
      <c r="I5692" s="11">
        <f t="shared" si="139"/>
        <v>0</v>
      </c>
      <c r="J5692" s="9"/>
      <c r="K5692" s="11"/>
      <c r="L5692" s="9"/>
      <c r="M5692" s="11"/>
      <c r="N5692" s="9" t="s">
        <v>807</v>
      </c>
    </row>
    <row r="5693" ht="25" customHeight="1" spans="1:14">
      <c r="A5693" s="9" t="s">
        <v>249</v>
      </c>
      <c r="B5693" s="9" t="s">
        <v>248</v>
      </c>
      <c r="C5693" s="10">
        <v>44743</v>
      </c>
      <c r="D5693" s="15">
        <v>1.093</v>
      </c>
      <c r="E5693" s="15">
        <v>1.2728</v>
      </c>
      <c r="F5693" s="15">
        <v>1.288</v>
      </c>
      <c r="G5693" s="11">
        <v>0.0053</v>
      </c>
      <c r="H5693" s="9">
        <f>MAX($F$5616:F5693)</f>
        <v>1.288</v>
      </c>
      <c r="I5693" s="11">
        <f t="shared" si="139"/>
        <v>0</v>
      </c>
      <c r="J5693" s="9"/>
      <c r="K5693" s="11"/>
      <c r="L5693" s="9"/>
      <c r="M5693" s="11"/>
      <c r="N5693" s="9" t="s">
        <v>807</v>
      </c>
    </row>
    <row r="5694" ht="25" customHeight="1" spans="1:14">
      <c r="A5694" s="9" t="s">
        <v>249</v>
      </c>
      <c r="B5694" s="9" t="s">
        <v>248</v>
      </c>
      <c r="C5694" s="10">
        <v>44750</v>
      </c>
      <c r="D5694" s="15">
        <v>1.0976</v>
      </c>
      <c r="E5694" s="15">
        <v>1.2774</v>
      </c>
      <c r="F5694" s="15">
        <v>1.2934</v>
      </c>
      <c r="G5694" s="11">
        <v>0.0042</v>
      </c>
      <c r="H5694" s="9">
        <f>MAX($F$5616:F5694)</f>
        <v>1.2934</v>
      </c>
      <c r="I5694" s="11">
        <f t="shared" si="139"/>
        <v>0</v>
      </c>
      <c r="J5694" s="9"/>
      <c r="K5694" s="11"/>
      <c r="L5694" s="9"/>
      <c r="M5694" s="11"/>
      <c r="N5694" s="9" t="s">
        <v>807</v>
      </c>
    </row>
    <row r="5695" ht="25" customHeight="1" spans="1:14">
      <c r="A5695" s="9" t="s">
        <v>249</v>
      </c>
      <c r="B5695" s="9" t="s">
        <v>248</v>
      </c>
      <c r="C5695" s="10">
        <v>44757</v>
      </c>
      <c r="D5695" s="15">
        <v>1.1044</v>
      </c>
      <c r="E5695" s="15">
        <v>1.2842</v>
      </c>
      <c r="F5695" s="15">
        <v>1.3014</v>
      </c>
      <c r="G5695" s="11">
        <v>0.0062</v>
      </c>
      <c r="H5695" s="9">
        <f>MAX($F$5616:F5695)</f>
        <v>1.3014</v>
      </c>
      <c r="I5695" s="11">
        <f t="shared" si="139"/>
        <v>0</v>
      </c>
      <c r="J5695" s="9"/>
      <c r="K5695" s="11"/>
      <c r="L5695" s="9"/>
      <c r="M5695" s="11"/>
      <c r="N5695" s="9" t="s">
        <v>807</v>
      </c>
    </row>
    <row r="5696" ht="25" customHeight="1" spans="1:14">
      <c r="A5696" s="9" t="s">
        <v>249</v>
      </c>
      <c r="B5696" s="9" t="s">
        <v>248</v>
      </c>
      <c r="C5696" s="10">
        <v>44764</v>
      </c>
      <c r="D5696" s="15">
        <v>1.1066</v>
      </c>
      <c r="E5696" s="15">
        <v>1.2864</v>
      </c>
      <c r="F5696" s="15">
        <v>1.304</v>
      </c>
      <c r="G5696" s="11">
        <v>0.002</v>
      </c>
      <c r="H5696" s="9">
        <f>MAX($F$5616:F5696)</f>
        <v>1.304</v>
      </c>
      <c r="I5696" s="11">
        <f t="shared" si="139"/>
        <v>0</v>
      </c>
      <c r="J5696" s="9"/>
      <c r="K5696" s="11"/>
      <c r="L5696" s="9"/>
      <c r="M5696" s="11"/>
      <c r="N5696" s="9" t="s">
        <v>807</v>
      </c>
    </row>
    <row r="5697" ht="25" customHeight="1" spans="1:14">
      <c r="A5697" s="9" t="s">
        <v>249</v>
      </c>
      <c r="B5697" s="9" t="s">
        <v>248</v>
      </c>
      <c r="C5697" s="10">
        <v>44771</v>
      </c>
      <c r="D5697" s="15">
        <v>1.1118</v>
      </c>
      <c r="E5697" s="15">
        <v>1.2916</v>
      </c>
      <c r="F5697" s="15">
        <v>1.3101</v>
      </c>
      <c r="G5697" s="11">
        <v>0.0047</v>
      </c>
      <c r="H5697" s="9">
        <f>MAX($F$5616:F5697)</f>
        <v>1.3101</v>
      </c>
      <c r="I5697" s="11">
        <f t="shared" si="139"/>
        <v>0</v>
      </c>
      <c r="J5697" s="9"/>
      <c r="K5697" s="11"/>
      <c r="L5697" s="9"/>
      <c r="M5697" s="11"/>
      <c r="N5697" s="9" t="s">
        <v>807</v>
      </c>
    </row>
    <row r="5698" ht="25" customHeight="1" spans="1:14">
      <c r="A5698" s="9" t="s">
        <v>249</v>
      </c>
      <c r="B5698" s="9" t="s">
        <v>248</v>
      </c>
      <c r="C5698" s="10">
        <v>44778</v>
      </c>
      <c r="D5698" s="15">
        <v>1.1168</v>
      </c>
      <c r="E5698" s="15">
        <v>1.2966</v>
      </c>
      <c r="F5698" s="15">
        <v>1.316</v>
      </c>
      <c r="G5698" s="11">
        <v>0.0045</v>
      </c>
      <c r="H5698" s="9">
        <f>MAX($F$5616:F5698)</f>
        <v>1.316</v>
      </c>
      <c r="I5698" s="11">
        <f t="shared" ref="I5698:I5761" si="140">1-F5698/H5698</f>
        <v>0</v>
      </c>
      <c r="J5698" s="9"/>
      <c r="K5698" s="11"/>
      <c r="L5698" s="9"/>
      <c r="M5698" s="11"/>
      <c r="N5698" s="9" t="s">
        <v>807</v>
      </c>
    </row>
    <row r="5699" ht="25" customHeight="1" spans="1:14">
      <c r="A5699" s="9" t="s">
        <v>249</v>
      </c>
      <c r="B5699" s="9" t="s">
        <v>248</v>
      </c>
      <c r="C5699" s="10">
        <v>44785</v>
      </c>
      <c r="D5699" s="15">
        <v>1.1205</v>
      </c>
      <c r="E5699" s="15">
        <v>1.3003</v>
      </c>
      <c r="F5699" s="15">
        <v>1.3204</v>
      </c>
      <c r="G5699" s="11">
        <v>0.0033</v>
      </c>
      <c r="H5699" s="9">
        <f>MAX($F$5616:F5699)</f>
        <v>1.3204</v>
      </c>
      <c r="I5699" s="11">
        <f t="shared" si="140"/>
        <v>0</v>
      </c>
      <c r="J5699" s="9"/>
      <c r="K5699" s="11"/>
      <c r="L5699" s="9"/>
      <c r="M5699" s="11"/>
      <c r="N5699" s="9" t="s">
        <v>807</v>
      </c>
    </row>
    <row r="5700" ht="25" customHeight="1" spans="1:14">
      <c r="A5700" s="9" t="s">
        <v>249</v>
      </c>
      <c r="B5700" s="9" t="s">
        <v>248</v>
      </c>
      <c r="C5700" s="10">
        <v>44792</v>
      </c>
      <c r="D5700" s="15">
        <v>1.1241</v>
      </c>
      <c r="E5700" s="15">
        <v>1.3039</v>
      </c>
      <c r="F5700" s="15">
        <v>1.3246</v>
      </c>
      <c r="G5700" s="11">
        <v>0.0032</v>
      </c>
      <c r="H5700" s="9">
        <f>MAX($F$5616:F5700)</f>
        <v>1.3246</v>
      </c>
      <c r="I5700" s="11">
        <f t="shared" si="140"/>
        <v>0</v>
      </c>
      <c r="J5700" s="9"/>
      <c r="K5700" s="11"/>
      <c r="L5700" s="9"/>
      <c r="M5700" s="11"/>
      <c r="N5700" s="9" t="s">
        <v>807</v>
      </c>
    </row>
    <row r="5701" ht="25" customHeight="1" spans="1:14">
      <c r="A5701" s="9" t="s">
        <v>249</v>
      </c>
      <c r="B5701" s="9" t="s">
        <v>248</v>
      </c>
      <c r="C5701" s="10">
        <v>44799</v>
      </c>
      <c r="D5701" s="15">
        <v>1.1271</v>
      </c>
      <c r="E5701" s="15">
        <v>1.3069</v>
      </c>
      <c r="F5701" s="15">
        <v>1.3282</v>
      </c>
      <c r="G5701" s="11">
        <v>0.0027</v>
      </c>
      <c r="H5701" s="9">
        <f>MAX($F$5616:F5701)</f>
        <v>1.3282</v>
      </c>
      <c r="I5701" s="11">
        <f t="shared" si="140"/>
        <v>0</v>
      </c>
      <c r="J5701" s="9"/>
      <c r="K5701" s="11"/>
      <c r="L5701" s="9"/>
      <c r="M5701" s="11"/>
      <c r="N5701" s="9" t="s">
        <v>807</v>
      </c>
    </row>
    <row r="5702" ht="25" customHeight="1" spans="1:14">
      <c r="A5702" s="9" t="s">
        <v>249</v>
      </c>
      <c r="B5702" s="9" t="s">
        <v>248</v>
      </c>
      <c r="C5702" s="10">
        <v>44806</v>
      </c>
      <c r="D5702" s="15">
        <v>1.1309</v>
      </c>
      <c r="E5702" s="15">
        <v>1.3107</v>
      </c>
      <c r="F5702" s="15">
        <v>1.3326</v>
      </c>
      <c r="G5702" s="11">
        <v>0.0034</v>
      </c>
      <c r="H5702" s="9">
        <f>MAX($F$5616:F5702)</f>
        <v>1.3326</v>
      </c>
      <c r="I5702" s="11">
        <f t="shared" si="140"/>
        <v>0</v>
      </c>
      <c r="J5702" s="9"/>
      <c r="K5702" s="11"/>
      <c r="L5702" s="9"/>
      <c r="M5702" s="11"/>
      <c r="N5702" s="9" t="s">
        <v>807</v>
      </c>
    </row>
    <row r="5703" ht="25" customHeight="1" spans="1:14">
      <c r="A5703" s="9" t="s">
        <v>249</v>
      </c>
      <c r="B5703" s="9" t="s">
        <v>248</v>
      </c>
      <c r="C5703" s="10">
        <v>44813</v>
      </c>
      <c r="D5703" s="15">
        <v>1.1321</v>
      </c>
      <c r="E5703" s="15">
        <v>1.3119</v>
      </c>
      <c r="F5703" s="15">
        <v>1.3341</v>
      </c>
      <c r="G5703" s="11">
        <v>0.0011</v>
      </c>
      <c r="H5703" s="9">
        <f>MAX($F$5616:F5703)</f>
        <v>1.3341</v>
      </c>
      <c r="I5703" s="11">
        <f t="shared" si="140"/>
        <v>0</v>
      </c>
      <c r="J5703" s="9"/>
      <c r="K5703" s="11"/>
      <c r="L5703" s="9"/>
      <c r="M5703" s="11"/>
      <c r="N5703" s="9" t="s">
        <v>807</v>
      </c>
    </row>
    <row r="5704" ht="25" customHeight="1" spans="1:14">
      <c r="A5704" s="9" t="s">
        <v>249</v>
      </c>
      <c r="B5704" s="9" t="s">
        <v>248</v>
      </c>
      <c r="C5704" s="10">
        <v>44820</v>
      </c>
      <c r="D5704" s="15">
        <v>1.1346</v>
      </c>
      <c r="E5704" s="15">
        <v>1.3144</v>
      </c>
      <c r="F5704" s="15">
        <v>1.337</v>
      </c>
      <c r="G5704" s="11">
        <v>0.0022</v>
      </c>
      <c r="H5704" s="9">
        <f>MAX($F$5616:F5704)</f>
        <v>1.337</v>
      </c>
      <c r="I5704" s="11">
        <f t="shared" si="140"/>
        <v>0</v>
      </c>
      <c r="J5704" s="9"/>
      <c r="K5704" s="11"/>
      <c r="L5704" s="9"/>
      <c r="M5704" s="11"/>
      <c r="N5704" s="9" t="s">
        <v>807</v>
      </c>
    </row>
    <row r="5705" ht="25" customHeight="1" spans="1:14">
      <c r="A5705" s="9" t="s">
        <v>249</v>
      </c>
      <c r="B5705" s="9" t="s">
        <v>248</v>
      </c>
      <c r="C5705" s="10">
        <v>44827</v>
      </c>
      <c r="D5705" s="15">
        <v>1.1377</v>
      </c>
      <c r="E5705" s="15">
        <v>1.3175</v>
      </c>
      <c r="F5705" s="15">
        <v>1.3407</v>
      </c>
      <c r="G5705" s="11">
        <v>0.0027</v>
      </c>
      <c r="H5705" s="9">
        <f>MAX($F$5616:F5705)</f>
        <v>1.3407</v>
      </c>
      <c r="I5705" s="11">
        <f t="shared" si="140"/>
        <v>0</v>
      </c>
      <c r="J5705" s="9"/>
      <c r="K5705" s="11"/>
      <c r="L5705" s="9"/>
      <c r="M5705" s="11"/>
      <c r="N5705" s="9" t="s">
        <v>807</v>
      </c>
    </row>
    <row r="5706" ht="25" customHeight="1" spans="1:14">
      <c r="A5706" s="9" t="s">
        <v>249</v>
      </c>
      <c r="B5706" s="9" t="s">
        <v>248</v>
      </c>
      <c r="C5706" s="10">
        <v>44834</v>
      </c>
      <c r="D5706" s="15">
        <v>1.143</v>
      </c>
      <c r="E5706" s="15">
        <v>1.3228</v>
      </c>
      <c r="F5706" s="15">
        <v>1.3469</v>
      </c>
      <c r="G5706" s="11">
        <v>0.0047</v>
      </c>
      <c r="H5706" s="9">
        <f>MAX($F$5616:F5706)</f>
        <v>1.3469</v>
      </c>
      <c r="I5706" s="11">
        <f t="shared" si="140"/>
        <v>0</v>
      </c>
      <c r="J5706" s="9"/>
      <c r="K5706" s="11"/>
      <c r="L5706" s="9"/>
      <c r="M5706" s="11"/>
      <c r="N5706" s="9" t="s">
        <v>807</v>
      </c>
    </row>
    <row r="5707" ht="25" customHeight="1" spans="1:14">
      <c r="A5707" s="9" t="s">
        <v>249</v>
      </c>
      <c r="B5707" s="9" t="s">
        <v>248</v>
      </c>
      <c r="C5707" s="10">
        <v>44848</v>
      </c>
      <c r="D5707" s="15">
        <v>1.1504</v>
      </c>
      <c r="E5707" s="15">
        <v>1.3302</v>
      </c>
      <c r="F5707" s="15">
        <v>1.3556</v>
      </c>
      <c r="G5707" s="11">
        <v>0.0065</v>
      </c>
      <c r="H5707" s="9">
        <f>MAX($F$5616:F5707)</f>
        <v>1.3556</v>
      </c>
      <c r="I5707" s="11">
        <f t="shared" si="140"/>
        <v>0</v>
      </c>
      <c r="J5707" s="9"/>
      <c r="K5707" s="11"/>
      <c r="L5707" s="9"/>
      <c r="M5707" s="11"/>
      <c r="N5707" s="9" t="s">
        <v>807</v>
      </c>
    </row>
    <row r="5708" ht="25" customHeight="1" spans="1:14">
      <c r="A5708" s="9" t="s">
        <v>249</v>
      </c>
      <c r="B5708" s="9" t="s">
        <v>248</v>
      </c>
      <c r="C5708" s="10">
        <v>44855</v>
      </c>
      <c r="D5708" s="15">
        <v>1.159</v>
      </c>
      <c r="E5708" s="15">
        <v>1.3388</v>
      </c>
      <c r="F5708" s="15">
        <v>1.3658</v>
      </c>
      <c r="G5708" s="11">
        <v>0.0075</v>
      </c>
      <c r="H5708" s="9">
        <f>MAX($F$5616:F5708)</f>
        <v>1.3658</v>
      </c>
      <c r="I5708" s="11">
        <f t="shared" si="140"/>
        <v>0</v>
      </c>
      <c r="J5708" s="9"/>
      <c r="K5708" s="11"/>
      <c r="L5708" s="9"/>
      <c r="M5708" s="11"/>
      <c r="N5708" s="9" t="s">
        <v>807</v>
      </c>
    </row>
    <row r="5709" ht="25" customHeight="1" spans="1:14">
      <c r="A5709" s="9" t="s">
        <v>249</v>
      </c>
      <c r="B5709" s="9" t="s">
        <v>248</v>
      </c>
      <c r="C5709" s="10">
        <v>44862</v>
      </c>
      <c r="D5709" s="15">
        <v>1.159</v>
      </c>
      <c r="E5709" s="15">
        <v>1.3388</v>
      </c>
      <c r="F5709" s="15">
        <v>1.3658</v>
      </c>
      <c r="G5709" s="11">
        <v>0</v>
      </c>
      <c r="H5709" s="9">
        <f>MAX($F$5616:F5709)</f>
        <v>1.3658</v>
      </c>
      <c r="I5709" s="11">
        <f t="shared" si="140"/>
        <v>0</v>
      </c>
      <c r="J5709" s="9"/>
      <c r="K5709" s="11"/>
      <c r="L5709" s="9"/>
      <c r="M5709" s="11"/>
      <c r="N5709" s="9" t="s">
        <v>807</v>
      </c>
    </row>
    <row r="5710" ht="25" customHeight="1" spans="1:14">
      <c r="A5710" s="9" t="s">
        <v>249</v>
      </c>
      <c r="B5710" s="9" t="s">
        <v>248</v>
      </c>
      <c r="C5710" s="10">
        <v>44869</v>
      </c>
      <c r="D5710" s="15">
        <v>1.1593</v>
      </c>
      <c r="E5710" s="15">
        <v>1.3391</v>
      </c>
      <c r="F5710" s="15">
        <v>1.3661</v>
      </c>
      <c r="G5710" s="11">
        <v>0.0003</v>
      </c>
      <c r="H5710" s="9">
        <f>MAX($F$5616:F5710)</f>
        <v>1.3661</v>
      </c>
      <c r="I5710" s="11">
        <f t="shared" si="140"/>
        <v>0</v>
      </c>
      <c r="J5710" s="9"/>
      <c r="K5710" s="11"/>
      <c r="L5710" s="9"/>
      <c r="M5710" s="11"/>
      <c r="N5710" s="9" t="s">
        <v>807</v>
      </c>
    </row>
    <row r="5711" ht="25" customHeight="1" spans="1:14">
      <c r="A5711" s="9" t="s">
        <v>249</v>
      </c>
      <c r="B5711" s="9" t="s">
        <v>248</v>
      </c>
      <c r="C5711" s="10">
        <v>44876</v>
      </c>
      <c r="D5711" s="15">
        <v>1.1877</v>
      </c>
      <c r="E5711" s="15">
        <v>1.3675</v>
      </c>
      <c r="F5711" s="15">
        <v>1.3996</v>
      </c>
      <c r="G5711" s="11">
        <v>0.0245</v>
      </c>
      <c r="H5711" s="9">
        <f>MAX($F$5616:F5711)</f>
        <v>1.3996</v>
      </c>
      <c r="I5711" s="11">
        <f t="shared" si="140"/>
        <v>0</v>
      </c>
      <c r="J5711" s="9"/>
      <c r="K5711" s="11"/>
      <c r="L5711" s="9"/>
      <c r="M5711" s="11"/>
      <c r="N5711" s="9" t="s">
        <v>807</v>
      </c>
    </row>
    <row r="5712" ht="25" customHeight="1" spans="1:14">
      <c r="A5712" s="9" t="s">
        <v>249</v>
      </c>
      <c r="B5712" s="9" t="s">
        <v>248</v>
      </c>
      <c r="C5712" s="10">
        <v>44883</v>
      </c>
      <c r="D5712" s="15">
        <v>1.1956</v>
      </c>
      <c r="E5712" s="15">
        <v>1.3754</v>
      </c>
      <c r="F5712" s="15">
        <v>1.4089</v>
      </c>
      <c r="G5712" s="11">
        <v>0.0067</v>
      </c>
      <c r="H5712" s="9">
        <f>MAX($F$5616:F5712)</f>
        <v>1.4089</v>
      </c>
      <c r="I5712" s="11">
        <f t="shared" si="140"/>
        <v>0</v>
      </c>
      <c r="J5712" s="9"/>
      <c r="K5712" s="11"/>
      <c r="L5712" s="9"/>
      <c r="M5712" s="11"/>
      <c r="N5712" s="9" t="s">
        <v>807</v>
      </c>
    </row>
    <row r="5713" ht="25" customHeight="1" spans="1:14">
      <c r="A5713" s="9" t="s">
        <v>249</v>
      </c>
      <c r="B5713" s="9" t="s">
        <v>248</v>
      </c>
      <c r="C5713" s="10">
        <v>44890</v>
      </c>
      <c r="D5713" s="15">
        <v>1.2</v>
      </c>
      <c r="E5713" s="15">
        <v>1.3798</v>
      </c>
      <c r="F5713" s="15">
        <v>1.4141</v>
      </c>
      <c r="G5713" s="11">
        <v>0.0037</v>
      </c>
      <c r="H5713" s="9">
        <f>MAX($F$5616:F5713)</f>
        <v>1.4141</v>
      </c>
      <c r="I5713" s="11">
        <f t="shared" si="140"/>
        <v>0</v>
      </c>
      <c r="J5713" s="9"/>
      <c r="K5713" s="11"/>
      <c r="L5713" s="9"/>
      <c r="M5713" s="11"/>
      <c r="N5713" s="9" t="s">
        <v>807</v>
      </c>
    </row>
    <row r="5714" ht="25" customHeight="1" spans="1:14">
      <c r="A5714" s="9" t="s">
        <v>249</v>
      </c>
      <c r="B5714" s="9" t="s">
        <v>248</v>
      </c>
      <c r="C5714" s="10">
        <v>44897</v>
      </c>
      <c r="D5714" s="15">
        <v>1.2018</v>
      </c>
      <c r="E5714" s="15">
        <v>1.3816</v>
      </c>
      <c r="F5714" s="15">
        <v>1.4162</v>
      </c>
      <c r="G5714" s="11">
        <v>0.0015</v>
      </c>
      <c r="H5714" s="9">
        <f>MAX($F$5616:F5714)</f>
        <v>1.4162</v>
      </c>
      <c r="I5714" s="11">
        <f t="shared" si="140"/>
        <v>0</v>
      </c>
      <c r="J5714" s="9"/>
      <c r="K5714" s="11"/>
      <c r="L5714" s="9"/>
      <c r="M5714" s="11"/>
      <c r="N5714" s="9" t="s">
        <v>807</v>
      </c>
    </row>
    <row r="5715" ht="25" customHeight="1" spans="1:14">
      <c r="A5715" s="9" t="s">
        <v>249</v>
      </c>
      <c r="B5715" s="9" t="s">
        <v>248</v>
      </c>
      <c r="C5715" s="10">
        <v>44904</v>
      </c>
      <c r="D5715" s="15">
        <v>1.2173</v>
      </c>
      <c r="E5715" s="15">
        <v>1.3971</v>
      </c>
      <c r="F5715" s="15">
        <v>1.4345</v>
      </c>
      <c r="G5715" s="11">
        <v>0.0129</v>
      </c>
      <c r="H5715" s="9">
        <f>MAX($F$5616:F5715)</f>
        <v>1.4345</v>
      </c>
      <c r="I5715" s="11">
        <f t="shared" si="140"/>
        <v>0</v>
      </c>
      <c r="J5715" s="9"/>
      <c r="K5715" s="11"/>
      <c r="L5715" s="9"/>
      <c r="M5715" s="11"/>
      <c r="N5715" s="9" t="s">
        <v>807</v>
      </c>
    </row>
    <row r="5716" ht="25" customHeight="1" spans="1:14">
      <c r="A5716" s="9" t="s">
        <v>249</v>
      </c>
      <c r="B5716" s="9" t="s">
        <v>248</v>
      </c>
      <c r="C5716" s="10">
        <v>44911</v>
      </c>
      <c r="D5716" s="15">
        <v>1.2199</v>
      </c>
      <c r="E5716" s="15">
        <v>1.3997</v>
      </c>
      <c r="F5716" s="15">
        <v>1.4375</v>
      </c>
      <c r="G5716" s="11">
        <v>0.0021</v>
      </c>
      <c r="H5716" s="9">
        <f>MAX($F$5616:F5716)</f>
        <v>1.4375</v>
      </c>
      <c r="I5716" s="11">
        <f t="shared" si="140"/>
        <v>0</v>
      </c>
      <c r="J5716" s="9"/>
      <c r="K5716" s="11"/>
      <c r="L5716" s="9"/>
      <c r="M5716" s="11"/>
      <c r="N5716" s="9" t="s">
        <v>807</v>
      </c>
    </row>
    <row r="5717" ht="25" customHeight="1" spans="1:14">
      <c r="A5717" s="9" t="s">
        <v>249</v>
      </c>
      <c r="B5717" s="9" t="s">
        <v>248</v>
      </c>
      <c r="C5717" s="10">
        <v>44918</v>
      </c>
      <c r="D5717" s="15">
        <v>1.2216</v>
      </c>
      <c r="E5717" s="15">
        <v>1.4014</v>
      </c>
      <c r="F5717" s="15">
        <v>1.4395</v>
      </c>
      <c r="G5717" s="11">
        <v>0.0014</v>
      </c>
      <c r="H5717" s="9">
        <f>MAX($F$5616:F5717)</f>
        <v>1.4395</v>
      </c>
      <c r="I5717" s="11">
        <f t="shared" si="140"/>
        <v>0</v>
      </c>
      <c r="J5717" s="9"/>
      <c r="K5717" s="11"/>
      <c r="L5717" s="9"/>
      <c r="M5717" s="11"/>
      <c r="N5717" s="9" t="s">
        <v>807</v>
      </c>
    </row>
    <row r="5718" ht="25" customHeight="1" spans="1:14">
      <c r="A5718" s="9" t="s">
        <v>249</v>
      </c>
      <c r="B5718" s="9" t="s">
        <v>248</v>
      </c>
      <c r="C5718" s="10">
        <v>44925</v>
      </c>
      <c r="D5718" s="15">
        <v>1.221</v>
      </c>
      <c r="E5718" s="15">
        <v>1.4008</v>
      </c>
      <c r="F5718" s="15">
        <v>1.4388</v>
      </c>
      <c r="G5718" s="11">
        <v>-0.0005</v>
      </c>
      <c r="H5718" s="9">
        <f>MAX($F$5616:F5718)</f>
        <v>1.4395</v>
      </c>
      <c r="I5718" s="11">
        <f t="shared" si="140"/>
        <v>0.000486279958318847</v>
      </c>
      <c r="J5718" s="9"/>
      <c r="K5718" s="11"/>
      <c r="L5718" s="9"/>
      <c r="M5718" s="11"/>
      <c r="N5718" s="9" t="s">
        <v>807</v>
      </c>
    </row>
    <row r="5719" ht="25" customHeight="1" spans="1:14">
      <c r="A5719" s="9" t="s">
        <v>249</v>
      </c>
      <c r="B5719" s="9" t="s">
        <v>248</v>
      </c>
      <c r="C5719" s="10">
        <v>44932</v>
      </c>
      <c r="D5719" s="15">
        <v>1.2202</v>
      </c>
      <c r="E5719" s="15">
        <v>1.4</v>
      </c>
      <c r="F5719" s="15">
        <v>1.4379</v>
      </c>
      <c r="G5719" s="11">
        <v>-0.0007</v>
      </c>
      <c r="H5719" s="9">
        <f>MAX($F$5616:F5719)</f>
        <v>1.4395</v>
      </c>
      <c r="I5719" s="11">
        <f t="shared" si="140"/>
        <v>0.00111149704758595</v>
      </c>
      <c r="J5719" s="9"/>
      <c r="K5719" s="11"/>
      <c r="L5719" s="9"/>
      <c r="M5719" s="11"/>
      <c r="N5719" s="9" t="s">
        <v>807</v>
      </c>
    </row>
    <row r="5720" ht="25" customHeight="1" spans="1:14">
      <c r="A5720" s="9" t="s">
        <v>249</v>
      </c>
      <c r="B5720" s="9" t="s">
        <v>248</v>
      </c>
      <c r="C5720" s="10">
        <v>44939</v>
      </c>
      <c r="D5720" s="15">
        <v>1.2267</v>
      </c>
      <c r="E5720" s="15">
        <v>1.4065</v>
      </c>
      <c r="F5720" s="15">
        <v>1.4455</v>
      </c>
      <c r="G5720" s="11">
        <v>0.0053</v>
      </c>
      <c r="H5720" s="9">
        <f>MAX($F$5616:F5720)</f>
        <v>1.4455</v>
      </c>
      <c r="I5720" s="11">
        <f t="shared" si="140"/>
        <v>0</v>
      </c>
      <c r="J5720" s="9"/>
      <c r="K5720" s="11"/>
      <c r="L5720" s="9"/>
      <c r="M5720" s="11"/>
      <c r="N5720" s="9" t="s">
        <v>807</v>
      </c>
    </row>
    <row r="5721" ht="25" customHeight="1" spans="1:14">
      <c r="A5721" s="9" t="s">
        <v>249</v>
      </c>
      <c r="B5721" s="9" t="s">
        <v>248</v>
      </c>
      <c r="C5721" s="10">
        <v>44946</v>
      </c>
      <c r="D5721" s="15">
        <v>1.2313</v>
      </c>
      <c r="E5721" s="15">
        <v>1.4111</v>
      </c>
      <c r="F5721" s="15">
        <v>1.451</v>
      </c>
      <c r="G5721" s="11">
        <v>0.0037</v>
      </c>
      <c r="H5721" s="9">
        <f>MAX($F$5616:F5721)</f>
        <v>1.451</v>
      </c>
      <c r="I5721" s="11">
        <f t="shared" si="140"/>
        <v>0</v>
      </c>
      <c r="J5721" s="9"/>
      <c r="K5721" s="11"/>
      <c r="L5721" s="9"/>
      <c r="M5721" s="11"/>
      <c r="N5721" s="9" t="s">
        <v>807</v>
      </c>
    </row>
    <row r="5722" ht="25" customHeight="1" spans="1:14">
      <c r="A5722" s="9" t="s">
        <v>249</v>
      </c>
      <c r="B5722" s="9" t="s">
        <v>248</v>
      </c>
      <c r="C5722" s="10">
        <v>44960</v>
      </c>
      <c r="D5722" s="15">
        <v>1.2413</v>
      </c>
      <c r="E5722" s="15">
        <v>1.4211</v>
      </c>
      <c r="F5722" s="15">
        <v>1.4627</v>
      </c>
      <c r="G5722" s="11">
        <v>0.0081</v>
      </c>
      <c r="H5722" s="9">
        <f>MAX($F$5616:F5722)</f>
        <v>1.4627</v>
      </c>
      <c r="I5722" s="11">
        <f t="shared" si="140"/>
        <v>0</v>
      </c>
      <c r="J5722" s="9"/>
      <c r="K5722" s="11"/>
      <c r="L5722" s="9"/>
      <c r="M5722" s="11"/>
      <c r="N5722" s="9" t="s">
        <v>807</v>
      </c>
    </row>
    <row r="5723" ht="25" customHeight="1" spans="1:14">
      <c r="A5723" s="9" t="s">
        <v>249</v>
      </c>
      <c r="B5723" s="9" t="s">
        <v>248</v>
      </c>
      <c r="C5723" s="10">
        <v>44967</v>
      </c>
      <c r="D5723" s="15">
        <v>1.2469</v>
      </c>
      <c r="E5723" s="15">
        <v>1.4267</v>
      </c>
      <c r="F5723" s="15">
        <v>1.4693</v>
      </c>
      <c r="G5723" s="11">
        <v>0.0045</v>
      </c>
      <c r="H5723" s="9">
        <f>MAX($F$5616:F5723)</f>
        <v>1.4693</v>
      </c>
      <c r="I5723" s="11">
        <f t="shared" si="140"/>
        <v>0</v>
      </c>
      <c r="J5723" s="9"/>
      <c r="K5723" s="11"/>
      <c r="L5723" s="9"/>
      <c r="M5723" s="11"/>
      <c r="N5723" s="9" t="s">
        <v>807</v>
      </c>
    </row>
    <row r="5724" ht="25" customHeight="1" spans="1:14">
      <c r="A5724" s="9" t="s">
        <v>249</v>
      </c>
      <c r="B5724" s="9" t="s">
        <v>248</v>
      </c>
      <c r="C5724" s="10">
        <v>44974</v>
      </c>
      <c r="D5724" s="15">
        <v>1.2496</v>
      </c>
      <c r="E5724" s="15">
        <v>1.4294</v>
      </c>
      <c r="F5724" s="15">
        <v>1.4725</v>
      </c>
      <c r="G5724" s="11">
        <v>0.0022</v>
      </c>
      <c r="H5724" s="9">
        <f>MAX($F$5616:F5724)</f>
        <v>1.4725</v>
      </c>
      <c r="I5724" s="11">
        <f t="shared" si="140"/>
        <v>0</v>
      </c>
      <c r="J5724" s="9"/>
      <c r="K5724" s="11"/>
      <c r="L5724" s="9"/>
      <c r="M5724" s="11"/>
      <c r="N5724" s="9" t="s">
        <v>807</v>
      </c>
    </row>
    <row r="5725" ht="25" customHeight="1" spans="1:14">
      <c r="A5725" s="9" t="s">
        <v>249</v>
      </c>
      <c r="B5725" s="9" t="s">
        <v>248</v>
      </c>
      <c r="C5725" s="10">
        <v>44981</v>
      </c>
      <c r="D5725" s="15">
        <v>1.2558</v>
      </c>
      <c r="E5725" s="15">
        <v>1.4356</v>
      </c>
      <c r="F5725" s="15">
        <v>1.4798</v>
      </c>
      <c r="G5725" s="11">
        <v>0.005</v>
      </c>
      <c r="H5725" s="9">
        <f>MAX($F$5616:F5725)</f>
        <v>1.4798</v>
      </c>
      <c r="I5725" s="11">
        <f t="shared" si="140"/>
        <v>0</v>
      </c>
      <c r="J5725" s="9"/>
      <c r="K5725" s="11"/>
      <c r="L5725" s="9"/>
      <c r="M5725" s="11"/>
      <c r="N5725" s="9" t="s">
        <v>807</v>
      </c>
    </row>
    <row r="5726" ht="25" customHeight="1" spans="1:14">
      <c r="A5726" s="9" t="s">
        <v>249</v>
      </c>
      <c r="B5726" s="9" t="s">
        <v>248</v>
      </c>
      <c r="C5726" s="10">
        <v>44988</v>
      </c>
      <c r="D5726" s="15">
        <v>1.2598</v>
      </c>
      <c r="E5726" s="15">
        <v>1.4396</v>
      </c>
      <c r="F5726" s="15">
        <v>1.4845</v>
      </c>
      <c r="G5726" s="11">
        <v>0.0032</v>
      </c>
      <c r="H5726" s="9">
        <f>MAX($F$5616:F5726)</f>
        <v>1.4845</v>
      </c>
      <c r="I5726" s="11">
        <f t="shared" si="140"/>
        <v>0</v>
      </c>
      <c r="J5726" s="9"/>
      <c r="K5726" s="11"/>
      <c r="L5726" s="9"/>
      <c r="M5726" s="11"/>
      <c r="N5726" s="9" t="s">
        <v>807</v>
      </c>
    </row>
    <row r="5727" ht="25" customHeight="1" spans="1:14">
      <c r="A5727" s="9" t="s">
        <v>249</v>
      </c>
      <c r="B5727" s="9" t="s">
        <v>248</v>
      </c>
      <c r="C5727" s="10">
        <v>44995</v>
      </c>
      <c r="D5727" s="15">
        <v>1.2624</v>
      </c>
      <c r="E5727" s="15">
        <v>1.4422</v>
      </c>
      <c r="F5727" s="15">
        <v>1.4876</v>
      </c>
      <c r="G5727" s="11">
        <v>0.0021</v>
      </c>
      <c r="H5727" s="9">
        <f>MAX($F$5616:F5727)</f>
        <v>1.4876</v>
      </c>
      <c r="I5727" s="11">
        <f t="shared" si="140"/>
        <v>0</v>
      </c>
      <c r="J5727" s="9"/>
      <c r="K5727" s="11"/>
      <c r="L5727" s="9"/>
      <c r="M5727" s="11"/>
      <c r="N5727" s="9" t="s">
        <v>807</v>
      </c>
    </row>
    <row r="5728" ht="25" customHeight="1" spans="1:14">
      <c r="A5728" s="9" t="s">
        <v>249</v>
      </c>
      <c r="B5728" s="9" t="s">
        <v>248</v>
      </c>
      <c r="C5728" s="10">
        <v>45002</v>
      </c>
      <c r="D5728" s="15">
        <v>1.2692</v>
      </c>
      <c r="E5728" s="15">
        <v>1.449</v>
      </c>
      <c r="F5728" s="15">
        <v>1.4956</v>
      </c>
      <c r="G5728" s="11">
        <v>0.0054</v>
      </c>
      <c r="H5728" s="9">
        <f>MAX($F$5616:F5728)</f>
        <v>1.4956</v>
      </c>
      <c r="I5728" s="11">
        <f t="shared" si="140"/>
        <v>0</v>
      </c>
      <c r="J5728" s="9"/>
      <c r="K5728" s="11"/>
      <c r="L5728" s="9"/>
      <c r="M5728" s="11"/>
      <c r="N5728" s="9" t="s">
        <v>807</v>
      </c>
    </row>
    <row r="5729" ht="25" customHeight="1" spans="1:14">
      <c r="A5729" s="9" t="s">
        <v>249</v>
      </c>
      <c r="B5729" s="9" t="s">
        <v>248</v>
      </c>
      <c r="C5729" s="10">
        <v>45009</v>
      </c>
      <c r="D5729" s="15">
        <v>1.2712</v>
      </c>
      <c r="E5729" s="15">
        <v>1.451</v>
      </c>
      <c r="F5729" s="15">
        <v>1.498</v>
      </c>
      <c r="G5729" s="11">
        <v>0.0016</v>
      </c>
      <c r="H5729" s="9">
        <f>MAX($F$5616:F5729)</f>
        <v>1.498</v>
      </c>
      <c r="I5729" s="11">
        <f t="shared" si="140"/>
        <v>0</v>
      </c>
      <c r="J5729" s="9"/>
      <c r="K5729" s="11"/>
      <c r="L5729" s="9"/>
      <c r="M5729" s="11"/>
      <c r="N5729" s="9" t="s">
        <v>807</v>
      </c>
    </row>
    <row r="5730" ht="25" customHeight="1" spans="1:14">
      <c r="A5730" s="9" t="s">
        <v>249</v>
      </c>
      <c r="B5730" s="9" t="s">
        <v>248</v>
      </c>
      <c r="C5730" s="10">
        <v>45016</v>
      </c>
      <c r="D5730" s="15">
        <v>1.2718</v>
      </c>
      <c r="E5730" s="15">
        <v>1.4516</v>
      </c>
      <c r="F5730" s="15">
        <v>1.4987</v>
      </c>
      <c r="G5730" s="11">
        <v>0.0005</v>
      </c>
      <c r="H5730" s="9">
        <f>MAX($F$5616:F5730)</f>
        <v>1.4987</v>
      </c>
      <c r="I5730" s="11">
        <f t="shared" si="140"/>
        <v>0</v>
      </c>
      <c r="J5730" s="9"/>
      <c r="K5730" s="11"/>
      <c r="L5730" s="9"/>
      <c r="M5730" s="11"/>
      <c r="N5730" s="9" t="s">
        <v>807</v>
      </c>
    </row>
    <row r="5731" ht="25" customHeight="1" spans="1:14">
      <c r="A5731" s="9" t="s">
        <v>249</v>
      </c>
      <c r="B5731" s="9" t="s">
        <v>248</v>
      </c>
      <c r="C5731" s="10">
        <v>45023</v>
      </c>
      <c r="D5731" s="15">
        <v>1.271</v>
      </c>
      <c r="E5731" s="15">
        <v>1.4508</v>
      </c>
      <c r="F5731" s="15">
        <v>1.4977</v>
      </c>
      <c r="G5731" s="11">
        <v>-0.0006</v>
      </c>
      <c r="H5731" s="9">
        <f>MAX($F$5616:F5731)</f>
        <v>1.4987</v>
      </c>
      <c r="I5731" s="11">
        <f t="shared" si="140"/>
        <v>0.000667244945619427</v>
      </c>
      <c r="J5731" s="9"/>
      <c r="K5731" s="11"/>
      <c r="L5731" s="9"/>
      <c r="M5731" s="11"/>
      <c r="N5731" s="9" t="s">
        <v>807</v>
      </c>
    </row>
    <row r="5732" ht="25" customHeight="1" spans="1:14">
      <c r="A5732" s="9" t="s">
        <v>249</v>
      </c>
      <c r="B5732" s="9" t="s">
        <v>248</v>
      </c>
      <c r="C5732" s="10">
        <v>45030</v>
      </c>
      <c r="D5732" s="15">
        <v>1.2754</v>
      </c>
      <c r="E5732" s="15">
        <v>1.4552</v>
      </c>
      <c r="F5732" s="15">
        <v>1.5029</v>
      </c>
      <c r="G5732" s="11">
        <v>0.0035</v>
      </c>
      <c r="H5732" s="9">
        <f>MAX($F$5616:F5732)</f>
        <v>1.5029</v>
      </c>
      <c r="I5732" s="11">
        <f t="shared" si="140"/>
        <v>0</v>
      </c>
      <c r="J5732" s="9"/>
      <c r="K5732" s="11"/>
      <c r="L5732" s="9"/>
      <c r="M5732" s="11"/>
      <c r="N5732" s="9" t="s">
        <v>807</v>
      </c>
    </row>
    <row r="5733" ht="25" customHeight="1" spans="1:14">
      <c r="A5733" s="9" t="s">
        <v>249</v>
      </c>
      <c r="B5733" s="9" t="s">
        <v>248</v>
      </c>
      <c r="C5733" s="10">
        <v>45037</v>
      </c>
      <c r="D5733" s="15">
        <v>1.2745</v>
      </c>
      <c r="E5733" s="15">
        <v>1.4543</v>
      </c>
      <c r="F5733" s="15">
        <v>1.5019</v>
      </c>
      <c r="G5733" s="11">
        <v>-0.0007</v>
      </c>
      <c r="H5733" s="9">
        <f>MAX($F$5616:F5733)</f>
        <v>1.5029</v>
      </c>
      <c r="I5733" s="11">
        <f t="shared" si="140"/>
        <v>0.000665380264821325</v>
      </c>
      <c r="J5733" s="9"/>
      <c r="K5733" s="11"/>
      <c r="L5733" s="9"/>
      <c r="M5733" s="11"/>
      <c r="N5733" s="9" t="s">
        <v>807</v>
      </c>
    </row>
    <row r="5734" ht="25" customHeight="1" spans="1:14">
      <c r="A5734" s="9" t="s">
        <v>249</v>
      </c>
      <c r="B5734" s="9" t="s">
        <v>248</v>
      </c>
      <c r="C5734" s="10">
        <v>45044</v>
      </c>
      <c r="D5734" s="15">
        <v>1.2811</v>
      </c>
      <c r="E5734" s="15">
        <v>1.4609</v>
      </c>
      <c r="F5734" s="15">
        <v>1.5096</v>
      </c>
      <c r="G5734" s="11">
        <v>0.0052</v>
      </c>
      <c r="H5734" s="9">
        <f>MAX($F$5616:F5734)</f>
        <v>1.5096</v>
      </c>
      <c r="I5734" s="11">
        <f t="shared" si="140"/>
        <v>0</v>
      </c>
      <c r="J5734" s="9"/>
      <c r="K5734" s="11"/>
      <c r="L5734" s="9"/>
      <c r="M5734" s="11"/>
      <c r="N5734" s="9" t="s">
        <v>807</v>
      </c>
    </row>
    <row r="5735" ht="25" customHeight="1" spans="1:14">
      <c r="A5735" s="9" t="s">
        <v>249</v>
      </c>
      <c r="B5735" s="9" t="s">
        <v>248</v>
      </c>
      <c r="C5735" s="10">
        <v>45051</v>
      </c>
      <c r="D5735" s="15">
        <v>1.2807</v>
      </c>
      <c r="E5735" s="15">
        <v>1.4605</v>
      </c>
      <c r="F5735" s="15">
        <v>1.5092</v>
      </c>
      <c r="G5735" s="11">
        <v>-0.0003</v>
      </c>
      <c r="H5735" s="9">
        <f>MAX($F$5616:F5735)</f>
        <v>1.5096</v>
      </c>
      <c r="I5735" s="11">
        <f t="shared" si="140"/>
        <v>0.000264970853206092</v>
      </c>
      <c r="J5735" s="9"/>
      <c r="K5735" s="11"/>
      <c r="L5735" s="9"/>
      <c r="M5735" s="11"/>
      <c r="N5735" s="9" t="s">
        <v>807</v>
      </c>
    </row>
    <row r="5736" ht="25" customHeight="1" spans="1:14">
      <c r="A5736" s="9" t="s">
        <v>249</v>
      </c>
      <c r="B5736" s="9" t="s">
        <v>248</v>
      </c>
      <c r="C5736" s="10">
        <v>45058</v>
      </c>
      <c r="D5736" s="15">
        <v>1.2831</v>
      </c>
      <c r="E5736" s="15">
        <v>1.4629</v>
      </c>
      <c r="F5736" s="15">
        <v>1.512</v>
      </c>
      <c r="G5736" s="11">
        <v>0.0019</v>
      </c>
      <c r="H5736" s="9">
        <f>MAX($F$5616:F5736)</f>
        <v>1.512</v>
      </c>
      <c r="I5736" s="11">
        <f t="shared" si="140"/>
        <v>0</v>
      </c>
      <c r="J5736" s="9"/>
      <c r="K5736" s="11"/>
      <c r="L5736" s="9"/>
      <c r="M5736" s="11"/>
      <c r="N5736" s="9" t="s">
        <v>807</v>
      </c>
    </row>
    <row r="5737" ht="25" customHeight="1" spans="1:14">
      <c r="A5737" s="9" t="s">
        <v>249</v>
      </c>
      <c r="B5737" s="9" t="s">
        <v>248</v>
      </c>
      <c r="C5737" s="10">
        <v>45065</v>
      </c>
      <c r="D5737" s="15">
        <v>1.2857</v>
      </c>
      <c r="E5737" s="15">
        <v>1.4655</v>
      </c>
      <c r="F5737" s="15">
        <v>1.5151</v>
      </c>
      <c r="G5737" s="11">
        <v>0.002</v>
      </c>
      <c r="H5737" s="9">
        <f>MAX($F$5616:F5737)</f>
        <v>1.5151</v>
      </c>
      <c r="I5737" s="11">
        <f t="shared" si="140"/>
        <v>0</v>
      </c>
      <c r="J5737" s="9"/>
      <c r="K5737" s="11"/>
      <c r="L5737" s="9"/>
      <c r="M5737" s="11"/>
      <c r="N5737" s="9" t="s">
        <v>807</v>
      </c>
    </row>
    <row r="5738" ht="25" customHeight="1" spans="1:14">
      <c r="A5738" s="9" t="s">
        <v>249</v>
      </c>
      <c r="B5738" s="9" t="s">
        <v>248</v>
      </c>
      <c r="C5738" s="10">
        <v>45072</v>
      </c>
      <c r="D5738" s="15">
        <v>1.2919</v>
      </c>
      <c r="E5738" s="15">
        <v>1.4717</v>
      </c>
      <c r="F5738" s="15">
        <v>1.5224</v>
      </c>
      <c r="G5738" s="11">
        <v>0.0048</v>
      </c>
      <c r="H5738" s="9">
        <f>MAX($F$5616:F5738)</f>
        <v>1.5224</v>
      </c>
      <c r="I5738" s="11">
        <f t="shared" si="140"/>
        <v>0</v>
      </c>
      <c r="J5738" s="9"/>
      <c r="K5738" s="11"/>
      <c r="L5738" s="9"/>
      <c r="M5738" s="11"/>
      <c r="N5738" s="9" t="s">
        <v>807</v>
      </c>
    </row>
    <row r="5739" ht="25" customHeight="1" spans="1:14">
      <c r="A5739" s="9" t="s">
        <v>249</v>
      </c>
      <c r="B5739" s="9" t="s">
        <v>248</v>
      </c>
      <c r="C5739" s="10">
        <v>45079</v>
      </c>
      <c r="D5739" s="15">
        <v>1.2927</v>
      </c>
      <c r="E5739" s="15">
        <v>1.4725</v>
      </c>
      <c r="F5739" s="15">
        <v>1.5233</v>
      </c>
      <c r="G5739" s="11">
        <v>0.0006</v>
      </c>
      <c r="H5739" s="9">
        <f>MAX($F$5616:F5739)</f>
        <v>1.5233</v>
      </c>
      <c r="I5739" s="11">
        <f t="shared" si="140"/>
        <v>0</v>
      </c>
      <c r="J5739" s="9"/>
      <c r="K5739" s="11"/>
      <c r="L5739" s="9"/>
      <c r="M5739" s="11"/>
      <c r="N5739" s="9" t="s">
        <v>807</v>
      </c>
    </row>
    <row r="5740" ht="25" customHeight="1" spans="1:14">
      <c r="A5740" s="9" t="s">
        <v>249</v>
      </c>
      <c r="B5740" s="9" t="s">
        <v>248</v>
      </c>
      <c r="C5740" s="10">
        <v>45086</v>
      </c>
      <c r="D5740" s="15">
        <v>1.2977</v>
      </c>
      <c r="E5740" s="15">
        <v>1.4775</v>
      </c>
      <c r="F5740" s="15">
        <v>1.5292</v>
      </c>
      <c r="G5740" s="11">
        <v>0.0039</v>
      </c>
      <c r="H5740" s="9">
        <f>MAX($F$5616:F5740)</f>
        <v>1.5292</v>
      </c>
      <c r="I5740" s="11">
        <f t="shared" si="140"/>
        <v>0</v>
      </c>
      <c r="J5740" s="9"/>
      <c r="K5740" s="11"/>
      <c r="L5740" s="9"/>
      <c r="M5740" s="11"/>
      <c r="N5740" s="9" t="s">
        <v>807</v>
      </c>
    </row>
    <row r="5741" ht="25" customHeight="1" spans="1:14">
      <c r="A5741" s="9" t="s">
        <v>249</v>
      </c>
      <c r="B5741" s="9" t="s">
        <v>248</v>
      </c>
      <c r="C5741" s="10">
        <v>45093</v>
      </c>
      <c r="D5741" s="15">
        <v>1.2957</v>
      </c>
      <c r="E5741" s="15">
        <v>1.4755</v>
      </c>
      <c r="F5741" s="15">
        <v>1.5268</v>
      </c>
      <c r="G5741" s="11">
        <v>-0.0015</v>
      </c>
      <c r="H5741" s="9">
        <f>MAX($F$5616:F5741)</f>
        <v>1.5292</v>
      </c>
      <c r="I5741" s="11">
        <f t="shared" si="140"/>
        <v>0.00156944807742609</v>
      </c>
      <c r="J5741" s="9"/>
      <c r="K5741" s="11"/>
      <c r="L5741" s="9"/>
      <c r="M5741" s="11"/>
      <c r="N5741" s="9" t="s">
        <v>807</v>
      </c>
    </row>
    <row r="5742" ht="25" customHeight="1" spans="1:14">
      <c r="A5742" s="9" t="s">
        <v>249</v>
      </c>
      <c r="B5742" s="9" t="s">
        <v>248</v>
      </c>
      <c r="C5742" s="10">
        <v>45098</v>
      </c>
      <c r="D5742" s="15">
        <v>1.2951</v>
      </c>
      <c r="E5742" s="15">
        <v>1.4749</v>
      </c>
      <c r="F5742" s="15">
        <v>1.5261</v>
      </c>
      <c r="G5742" s="11">
        <v>-0.0005</v>
      </c>
      <c r="H5742" s="9">
        <f>MAX($F$5616:F5742)</f>
        <v>1.5292</v>
      </c>
      <c r="I5742" s="11">
        <f t="shared" si="140"/>
        <v>0.00202720376667531</v>
      </c>
      <c r="J5742" s="9"/>
      <c r="K5742" s="11"/>
      <c r="L5742" s="9"/>
      <c r="M5742" s="11"/>
      <c r="N5742" s="9" t="s">
        <v>807</v>
      </c>
    </row>
    <row r="5743" ht="25" customHeight="1" spans="1:14">
      <c r="A5743" s="9" t="s">
        <v>249</v>
      </c>
      <c r="B5743" s="9" t="s">
        <v>248</v>
      </c>
      <c r="C5743" s="10">
        <v>45107</v>
      </c>
      <c r="D5743" s="15">
        <v>1.2981</v>
      </c>
      <c r="E5743" s="15">
        <v>1.4779</v>
      </c>
      <c r="F5743" s="15">
        <v>1.5297</v>
      </c>
      <c r="G5743" s="11">
        <v>0.0023</v>
      </c>
      <c r="H5743" s="9">
        <f>MAX($F$5616:F5743)</f>
        <v>1.5297</v>
      </c>
      <c r="I5743" s="11">
        <f t="shared" si="140"/>
        <v>0</v>
      </c>
      <c r="J5743" s="9"/>
      <c r="K5743" s="11"/>
      <c r="L5743" s="9"/>
      <c r="M5743" s="11"/>
      <c r="N5743" s="9" t="s">
        <v>807</v>
      </c>
    </row>
    <row r="5744" ht="25" customHeight="1" spans="1:14">
      <c r="A5744" s="9" t="s">
        <v>249</v>
      </c>
      <c r="B5744" s="9" t="s">
        <v>248</v>
      </c>
      <c r="C5744" s="10">
        <v>45114</v>
      </c>
      <c r="D5744" s="15">
        <v>1.2963</v>
      </c>
      <c r="E5744" s="15">
        <v>1.4761</v>
      </c>
      <c r="F5744" s="15">
        <v>1.5275</v>
      </c>
      <c r="G5744" s="11">
        <v>-0.0014</v>
      </c>
      <c r="H5744" s="9">
        <f>MAX($F$5616:F5744)</f>
        <v>1.5297</v>
      </c>
      <c r="I5744" s="11">
        <f t="shared" si="140"/>
        <v>0.00143819049486826</v>
      </c>
      <c r="J5744" s="9"/>
      <c r="K5744" s="11"/>
      <c r="L5744" s="9"/>
      <c r="M5744" s="11"/>
      <c r="N5744" s="9" t="s">
        <v>807</v>
      </c>
    </row>
    <row r="5745" ht="25" customHeight="1" spans="1:14">
      <c r="A5745" s="9" t="s">
        <v>249</v>
      </c>
      <c r="B5745" s="9" t="s">
        <v>248</v>
      </c>
      <c r="C5745" s="10">
        <v>45121</v>
      </c>
      <c r="D5745" s="15">
        <v>1.2965</v>
      </c>
      <c r="E5745" s="15">
        <v>1.4763</v>
      </c>
      <c r="F5745" s="15">
        <v>1.5278</v>
      </c>
      <c r="G5745" s="11">
        <v>0.0002</v>
      </c>
      <c r="H5745" s="9">
        <f>MAX($F$5616:F5745)</f>
        <v>1.5297</v>
      </c>
      <c r="I5745" s="11">
        <f t="shared" si="140"/>
        <v>0.00124207360920447</v>
      </c>
      <c r="J5745" s="9"/>
      <c r="K5745" s="11"/>
      <c r="L5745" s="9"/>
      <c r="M5745" s="11"/>
      <c r="N5745" s="9" t="s">
        <v>807</v>
      </c>
    </row>
    <row r="5746" ht="25" customHeight="1" spans="1:14">
      <c r="A5746" s="9" t="s">
        <v>249</v>
      </c>
      <c r="B5746" s="9" t="s">
        <v>248</v>
      </c>
      <c r="C5746" s="10">
        <v>45128</v>
      </c>
      <c r="D5746" s="15">
        <v>1.2987</v>
      </c>
      <c r="E5746" s="15">
        <v>1.4785</v>
      </c>
      <c r="F5746" s="15">
        <v>1.5304</v>
      </c>
      <c r="G5746" s="11">
        <v>0.0017</v>
      </c>
      <c r="H5746" s="9">
        <f>MAX($F$5616:F5746)</f>
        <v>1.5304</v>
      </c>
      <c r="I5746" s="11">
        <f t="shared" si="140"/>
        <v>0</v>
      </c>
      <c r="J5746" s="9"/>
      <c r="K5746" s="11"/>
      <c r="L5746" s="9"/>
      <c r="M5746" s="11"/>
      <c r="N5746" s="9" t="s">
        <v>807</v>
      </c>
    </row>
    <row r="5747" ht="25" customHeight="1" spans="1:14">
      <c r="A5747" s="9" t="s">
        <v>249</v>
      </c>
      <c r="B5747" s="9" t="s">
        <v>248</v>
      </c>
      <c r="C5747" s="10">
        <v>45135</v>
      </c>
      <c r="D5747" s="15">
        <v>1.2996</v>
      </c>
      <c r="E5747" s="15">
        <v>1.4794</v>
      </c>
      <c r="F5747" s="15">
        <v>1.5314</v>
      </c>
      <c r="G5747" s="11">
        <v>0.0007</v>
      </c>
      <c r="H5747" s="9">
        <f>MAX($F$5616:F5747)</f>
        <v>1.5314</v>
      </c>
      <c r="I5747" s="11">
        <f t="shared" si="140"/>
        <v>0</v>
      </c>
      <c r="J5747" s="9"/>
      <c r="K5747" s="11"/>
      <c r="L5747" s="9"/>
      <c r="M5747" s="11"/>
      <c r="N5747" s="9" t="s">
        <v>807</v>
      </c>
    </row>
    <row r="5748" ht="25" customHeight="1" spans="1:14">
      <c r="A5748" s="9" t="s">
        <v>249</v>
      </c>
      <c r="B5748" s="9" t="s">
        <v>248</v>
      </c>
      <c r="C5748" s="10">
        <v>45142</v>
      </c>
      <c r="D5748" s="15">
        <v>1.2997</v>
      </c>
      <c r="E5748" s="15">
        <v>1.4795</v>
      </c>
      <c r="F5748" s="15">
        <v>1.5316</v>
      </c>
      <c r="G5748" s="11">
        <v>0.0001</v>
      </c>
      <c r="H5748" s="9">
        <f>MAX($F$5616:F5748)</f>
        <v>1.5316</v>
      </c>
      <c r="I5748" s="11">
        <f t="shared" si="140"/>
        <v>0</v>
      </c>
      <c r="J5748" s="9"/>
      <c r="K5748" s="11"/>
      <c r="L5748" s="9"/>
      <c r="M5748" s="11"/>
      <c r="N5748" s="9" t="s">
        <v>807</v>
      </c>
    </row>
    <row r="5749" ht="25" customHeight="1" spans="1:14">
      <c r="A5749" s="9" t="s">
        <v>249</v>
      </c>
      <c r="B5749" s="9" t="s">
        <v>248</v>
      </c>
      <c r="C5749" s="10">
        <v>45149</v>
      </c>
      <c r="D5749" s="15">
        <v>1.3014</v>
      </c>
      <c r="E5749" s="15">
        <v>1.4812</v>
      </c>
      <c r="F5749" s="15">
        <v>1.5336</v>
      </c>
      <c r="G5749" s="11">
        <v>0.0013</v>
      </c>
      <c r="H5749" s="9">
        <f>MAX($F$5616:F5749)</f>
        <v>1.5336</v>
      </c>
      <c r="I5749" s="11">
        <f t="shared" si="140"/>
        <v>0</v>
      </c>
      <c r="J5749" s="9"/>
      <c r="K5749" s="11"/>
      <c r="L5749" s="9"/>
      <c r="M5749" s="11"/>
      <c r="N5749" s="9" t="s">
        <v>807</v>
      </c>
    </row>
    <row r="5750" ht="25" customHeight="1" spans="1:14">
      <c r="A5750" s="9" t="s">
        <v>249</v>
      </c>
      <c r="B5750" s="9" t="s">
        <v>248</v>
      </c>
      <c r="C5750" s="10">
        <v>45156</v>
      </c>
      <c r="D5750" s="15">
        <v>1.3082</v>
      </c>
      <c r="E5750" s="15">
        <v>1.488</v>
      </c>
      <c r="F5750" s="15">
        <v>1.5416</v>
      </c>
      <c r="G5750" s="11">
        <v>0.0052</v>
      </c>
      <c r="H5750" s="9">
        <f>MAX($F$5616:F5750)</f>
        <v>1.5416</v>
      </c>
      <c r="I5750" s="11">
        <f t="shared" si="140"/>
        <v>0</v>
      </c>
      <c r="J5750" s="9"/>
      <c r="K5750" s="11"/>
      <c r="L5750" s="9"/>
      <c r="M5750" s="11"/>
      <c r="N5750" s="9" t="s">
        <v>807</v>
      </c>
    </row>
    <row r="5751" ht="25" customHeight="1" spans="1:14">
      <c r="A5751" s="9" t="s">
        <v>249</v>
      </c>
      <c r="B5751" s="9" t="s">
        <v>248</v>
      </c>
      <c r="C5751" s="10">
        <v>45163</v>
      </c>
      <c r="D5751" s="15">
        <v>1.3099</v>
      </c>
      <c r="E5751" s="15">
        <v>1.4897</v>
      </c>
      <c r="F5751" s="15">
        <v>1.5436</v>
      </c>
      <c r="G5751" s="11">
        <v>0.0013</v>
      </c>
      <c r="H5751" s="9">
        <f>MAX($F$5616:F5751)</f>
        <v>1.5436</v>
      </c>
      <c r="I5751" s="11">
        <f t="shared" si="140"/>
        <v>0</v>
      </c>
      <c r="J5751" s="9"/>
      <c r="K5751" s="11"/>
      <c r="L5751" s="9"/>
      <c r="M5751" s="11"/>
      <c r="N5751" s="9" t="s">
        <v>807</v>
      </c>
    </row>
    <row r="5752" ht="25" customHeight="1" spans="1:14">
      <c r="A5752" s="9" t="s">
        <v>249</v>
      </c>
      <c r="B5752" s="9" t="s">
        <v>248</v>
      </c>
      <c r="C5752" s="10">
        <v>45170</v>
      </c>
      <c r="D5752" s="15">
        <v>1.3159</v>
      </c>
      <c r="E5752" s="15">
        <v>1.4957</v>
      </c>
      <c r="F5752" s="15">
        <v>1.5506</v>
      </c>
      <c r="G5752" s="11">
        <v>0.0046</v>
      </c>
      <c r="H5752" s="9">
        <f>MAX($F$5616:F5752)</f>
        <v>1.5506</v>
      </c>
      <c r="I5752" s="11">
        <f t="shared" si="140"/>
        <v>0</v>
      </c>
      <c r="J5752" s="9"/>
      <c r="K5752" s="11"/>
      <c r="L5752" s="9">
        <f>MAX($F$5752:F5752)</f>
        <v>1.5506</v>
      </c>
      <c r="M5752" s="11">
        <f t="shared" ref="M5752:M5815" si="141">1-F5752/L5752</f>
        <v>0</v>
      </c>
      <c r="N5752" s="9" t="s">
        <v>807</v>
      </c>
    </row>
    <row r="5753" ht="25" customHeight="1" spans="1:14">
      <c r="A5753" s="9" t="s">
        <v>249</v>
      </c>
      <c r="B5753" s="9" t="s">
        <v>248</v>
      </c>
      <c r="C5753" s="10">
        <v>45177</v>
      </c>
      <c r="D5753" s="15">
        <v>1.3151</v>
      </c>
      <c r="E5753" s="15">
        <v>1.4949</v>
      </c>
      <c r="F5753" s="15">
        <v>1.5497</v>
      </c>
      <c r="G5753" s="11">
        <v>-0.0006</v>
      </c>
      <c r="H5753" s="9">
        <f>MAX($F$5616:F5753)</f>
        <v>1.5506</v>
      </c>
      <c r="I5753" s="11">
        <f t="shared" si="140"/>
        <v>0.000580420482393817</v>
      </c>
      <c r="J5753" s="9"/>
      <c r="K5753" s="11"/>
      <c r="L5753" s="9">
        <f>MAX($F$5752:F5753)</f>
        <v>1.5506</v>
      </c>
      <c r="M5753" s="11">
        <f t="shared" si="141"/>
        <v>0.000580420482393817</v>
      </c>
      <c r="N5753" s="9" t="s">
        <v>807</v>
      </c>
    </row>
    <row r="5754" ht="25" customHeight="1" spans="1:14">
      <c r="A5754" s="9" t="s">
        <v>249</v>
      </c>
      <c r="B5754" s="9" t="s">
        <v>248</v>
      </c>
      <c r="C5754" s="10">
        <v>45184</v>
      </c>
      <c r="D5754" s="15">
        <v>1.3164</v>
      </c>
      <c r="E5754" s="15">
        <v>1.4962</v>
      </c>
      <c r="F5754" s="15">
        <v>1.5512</v>
      </c>
      <c r="G5754" s="11">
        <v>0.001</v>
      </c>
      <c r="H5754" s="9">
        <f>MAX($F$5616:F5754)</f>
        <v>1.5512</v>
      </c>
      <c r="I5754" s="11">
        <f t="shared" si="140"/>
        <v>0</v>
      </c>
      <c r="J5754" s="9"/>
      <c r="K5754" s="11"/>
      <c r="L5754" s="9">
        <f>MAX($F$5752:F5754)</f>
        <v>1.5512</v>
      </c>
      <c r="M5754" s="11">
        <f t="shared" si="141"/>
        <v>0</v>
      </c>
      <c r="N5754" s="9" t="s">
        <v>807</v>
      </c>
    </row>
    <row r="5755" ht="25" customHeight="1" spans="1:14">
      <c r="A5755" s="9" t="s">
        <v>249</v>
      </c>
      <c r="B5755" s="9" t="s">
        <v>248</v>
      </c>
      <c r="C5755" s="10">
        <v>45191</v>
      </c>
      <c r="D5755" s="15">
        <v>1.3159</v>
      </c>
      <c r="E5755" s="15">
        <v>1.4957</v>
      </c>
      <c r="F5755" s="15">
        <v>1.5506</v>
      </c>
      <c r="G5755" s="11">
        <v>-0.0004</v>
      </c>
      <c r="H5755" s="9">
        <f>MAX($F$5616:F5755)</f>
        <v>1.5512</v>
      </c>
      <c r="I5755" s="11">
        <f t="shared" si="140"/>
        <v>0.000386797318205234</v>
      </c>
      <c r="J5755" s="9"/>
      <c r="K5755" s="11"/>
      <c r="L5755" s="9">
        <f>MAX($F$5752:F5755)</f>
        <v>1.5512</v>
      </c>
      <c r="M5755" s="11">
        <f t="shared" si="141"/>
        <v>0.000386797318205234</v>
      </c>
      <c r="N5755" s="9" t="s">
        <v>807</v>
      </c>
    </row>
    <row r="5756" ht="25" customHeight="1" spans="1:14">
      <c r="A5756" s="9" t="s">
        <v>249</v>
      </c>
      <c r="B5756" s="9" t="s">
        <v>248</v>
      </c>
      <c r="C5756" s="10">
        <v>45197</v>
      </c>
      <c r="D5756" s="15">
        <v>1.3153</v>
      </c>
      <c r="E5756" s="15">
        <v>1.4951</v>
      </c>
      <c r="F5756" s="15">
        <v>1.5499</v>
      </c>
      <c r="G5756" s="11">
        <v>-0.0005</v>
      </c>
      <c r="H5756" s="9">
        <f>MAX($F$5616:F5756)</f>
        <v>1.5512</v>
      </c>
      <c r="I5756" s="11">
        <f t="shared" si="140"/>
        <v>0.000838060856111267</v>
      </c>
      <c r="J5756" s="9"/>
      <c r="K5756" s="11"/>
      <c r="L5756" s="9">
        <f>MAX($F$5752:F5756)</f>
        <v>1.5512</v>
      </c>
      <c r="M5756" s="11">
        <f t="shared" si="141"/>
        <v>0.000838060856111267</v>
      </c>
      <c r="N5756" s="9" t="s">
        <v>807</v>
      </c>
    </row>
    <row r="5757" ht="25" customHeight="1" spans="1:14">
      <c r="A5757" s="9" t="s">
        <v>249</v>
      </c>
      <c r="B5757" s="9" t="s">
        <v>248</v>
      </c>
      <c r="C5757" s="10">
        <v>45212</v>
      </c>
      <c r="D5757" s="15">
        <v>1.3138</v>
      </c>
      <c r="E5757" s="15">
        <v>1.4936</v>
      </c>
      <c r="F5757" s="15">
        <v>1.5482</v>
      </c>
      <c r="G5757" s="11">
        <v>-0.0011</v>
      </c>
      <c r="H5757" s="9">
        <f>MAX($F$5616:F5757)</f>
        <v>1.5512</v>
      </c>
      <c r="I5757" s="11">
        <f t="shared" si="140"/>
        <v>0.00193398659102628</v>
      </c>
      <c r="J5757" s="9"/>
      <c r="K5757" s="11"/>
      <c r="L5757" s="9">
        <f>MAX($F$5752:F5757)</f>
        <v>1.5512</v>
      </c>
      <c r="M5757" s="11">
        <f t="shared" si="141"/>
        <v>0.00193398659102628</v>
      </c>
      <c r="N5757" s="9" t="s">
        <v>807</v>
      </c>
    </row>
    <row r="5758" ht="25" customHeight="1" spans="1:14">
      <c r="A5758" s="9" t="s">
        <v>249</v>
      </c>
      <c r="B5758" s="9" t="s">
        <v>248</v>
      </c>
      <c r="C5758" s="10">
        <v>45219</v>
      </c>
      <c r="D5758" s="15">
        <v>1.3155</v>
      </c>
      <c r="E5758" s="15">
        <v>1.4953</v>
      </c>
      <c r="F5758" s="15">
        <v>1.5502</v>
      </c>
      <c r="G5758" s="11">
        <v>0.0013</v>
      </c>
      <c r="H5758" s="9">
        <f>MAX($F$5616:F5758)</f>
        <v>1.5512</v>
      </c>
      <c r="I5758" s="11">
        <f t="shared" si="140"/>
        <v>0.00064466219700865</v>
      </c>
      <c r="J5758" s="9"/>
      <c r="K5758" s="11"/>
      <c r="L5758" s="9">
        <f>MAX($F$5752:F5758)</f>
        <v>1.5512</v>
      </c>
      <c r="M5758" s="11">
        <f t="shared" si="141"/>
        <v>0.00064466219700865</v>
      </c>
      <c r="N5758" s="9" t="s">
        <v>807</v>
      </c>
    </row>
    <row r="5759" ht="25" customHeight="1" spans="1:14">
      <c r="A5759" s="9" t="s">
        <v>249</v>
      </c>
      <c r="B5759" s="9" t="s">
        <v>248</v>
      </c>
      <c r="C5759" s="10">
        <v>45226</v>
      </c>
      <c r="D5759" s="15">
        <v>1.3188</v>
      </c>
      <c r="E5759" s="15">
        <v>1.4986</v>
      </c>
      <c r="F5759" s="15">
        <v>1.5541</v>
      </c>
      <c r="G5759" s="11">
        <v>0.0025</v>
      </c>
      <c r="H5759" s="9">
        <f>MAX($F$5616:F5759)</f>
        <v>1.5541</v>
      </c>
      <c r="I5759" s="11">
        <f t="shared" si="140"/>
        <v>0</v>
      </c>
      <c r="J5759" s="9"/>
      <c r="K5759" s="11"/>
      <c r="L5759" s="9">
        <f>MAX($F$5752:F5759)</f>
        <v>1.5541</v>
      </c>
      <c r="M5759" s="11">
        <f t="shared" si="141"/>
        <v>0</v>
      </c>
      <c r="N5759" s="9" t="s">
        <v>807</v>
      </c>
    </row>
    <row r="5760" ht="25" customHeight="1" spans="1:14">
      <c r="A5760" s="9" t="s">
        <v>249</v>
      </c>
      <c r="B5760" s="9" t="s">
        <v>248</v>
      </c>
      <c r="C5760" s="10">
        <v>45233</v>
      </c>
      <c r="D5760" s="15">
        <v>1.3178</v>
      </c>
      <c r="E5760" s="15">
        <v>1.4976</v>
      </c>
      <c r="F5760" s="15">
        <v>1.5529</v>
      </c>
      <c r="G5760" s="11">
        <v>-0.0008</v>
      </c>
      <c r="H5760" s="9">
        <f>MAX($F$5616:F5760)</f>
        <v>1.5541</v>
      </c>
      <c r="I5760" s="11">
        <f t="shared" si="140"/>
        <v>0.0007721510842289</v>
      </c>
      <c r="J5760" s="9"/>
      <c r="K5760" s="11"/>
      <c r="L5760" s="9">
        <f>MAX($F$5752:F5760)</f>
        <v>1.5541</v>
      </c>
      <c r="M5760" s="11">
        <f t="shared" si="141"/>
        <v>0.0007721510842289</v>
      </c>
      <c r="N5760" s="9" t="s">
        <v>807</v>
      </c>
    </row>
    <row r="5761" ht="25" customHeight="1" spans="1:14">
      <c r="A5761" s="9" t="s">
        <v>249</v>
      </c>
      <c r="B5761" s="9" t="s">
        <v>248</v>
      </c>
      <c r="C5761" s="10">
        <v>45240</v>
      </c>
      <c r="D5761" s="15">
        <v>1.3212</v>
      </c>
      <c r="E5761" s="15">
        <v>1.501</v>
      </c>
      <c r="F5761" s="15">
        <v>1.5569</v>
      </c>
      <c r="G5761" s="11">
        <v>0.0026</v>
      </c>
      <c r="H5761" s="9">
        <f>MAX($F$5616:F5761)</f>
        <v>1.5569</v>
      </c>
      <c r="I5761" s="11">
        <f t="shared" si="140"/>
        <v>0</v>
      </c>
      <c r="J5761" s="9"/>
      <c r="K5761" s="11"/>
      <c r="L5761" s="9">
        <f>MAX($F$5752:F5761)</f>
        <v>1.5569</v>
      </c>
      <c r="M5761" s="11">
        <f t="shared" si="141"/>
        <v>0</v>
      </c>
      <c r="N5761" s="9" t="s">
        <v>807</v>
      </c>
    </row>
    <row r="5762" ht="25" customHeight="1" spans="1:14">
      <c r="A5762" s="9" t="s">
        <v>249</v>
      </c>
      <c r="B5762" s="9" t="s">
        <v>248</v>
      </c>
      <c r="C5762" s="10">
        <v>45247</v>
      </c>
      <c r="D5762" s="15">
        <v>1.3218</v>
      </c>
      <c r="E5762" s="15">
        <v>1.5016</v>
      </c>
      <c r="F5762" s="15">
        <v>1.5576</v>
      </c>
      <c r="G5762" s="11">
        <v>0.0005</v>
      </c>
      <c r="H5762" s="9">
        <f>MAX($F$5616:F5762)</f>
        <v>1.5576</v>
      </c>
      <c r="I5762" s="11">
        <f t="shared" ref="I5762:I5825" si="142">1-F5762/H5762</f>
        <v>0</v>
      </c>
      <c r="J5762" s="9"/>
      <c r="K5762" s="11"/>
      <c r="L5762" s="9">
        <f>MAX($F$5752:F5762)</f>
        <v>1.5576</v>
      </c>
      <c r="M5762" s="11">
        <f t="shared" si="141"/>
        <v>0</v>
      </c>
      <c r="N5762" s="9" t="s">
        <v>807</v>
      </c>
    </row>
    <row r="5763" ht="25" customHeight="1" spans="1:14">
      <c r="A5763" s="9" t="s">
        <v>249</v>
      </c>
      <c r="B5763" s="9" t="s">
        <v>248</v>
      </c>
      <c r="C5763" s="10">
        <v>45254</v>
      </c>
      <c r="D5763" s="15">
        <v>1.3185</v>
      </c>
      <c r="E5763" s="15">
        <v>1.4983</v>
      </c>
      <c r="F5763" s="15">
        <v>1.5537</v>
      </c>
      <c r="G5763" s="11">
        <v>-0.0025</v>
      </c>
      <c r="H5763" s="9">
        <f>MAX($F$5616:F5763)</f>
        <v>1.5576</v>
      </c>
      <c r="I5763" s="11">
        <f t="shared" si="142"/>
        <v>0.00250385208012327</v>
      </c>
      <c r="J5763" s="9"/>
      <c r="K5763" s="11"/>
      <c r="L5763" s="9">
        <f>MAX($F$5752:F5763)</f>
        <v>1.5576</v>
      </c>
      <c r="M5763" s="11">
        <f t="shared" si="141"/>
        <v>0.00250385208012327</v>
      </c>
      <c r="N5763" s="9" t="s">
        <v>807</v>
      </c>
    </row>
    <row r="5764" ht="25" customHeight="1" spans="1:14">
      <c r="A5764" s="9" t="s">
        <v>249</v>
      </c>
      <c r="B5764" s="9" t="s">
        <v>248</v>
      </c>
      <c r="C5764" s="10">
        <v>45261</v>
      </c>
      <c r="D5764" s="15">
        <v>1.3206</v>
      </c>
      <c r="E5764" s="15">
        <v>1.5004</v>
      </c>
      <c r="F5764" s="15">
        <v>1.5562</v>
      </c>
      <c r="G5764" s="11">
        <v>0.0016</v>
      </c>
      <c r="H5764" s="9">
        <f>MAX($F$5616:F5764)</f>
        <v>1.5576</v>
      </c>
      <c r="I5764" s="11">
        <f t="shared" si="142"/>
        <v>0.00089881869542896</v>
      </c>
      <c r="J5764" s="9"/>
      <c r="K5764" s="11"/>
      <c r="L5764" s="9">
        <f>MAX($F$5752:F5764)</f>
        <v>1.5576</v>
      </c>
      <c r="M5764" s="11">
        <f t="shared" si="141"/>
        <v>0.00089881869542896</v>
      </c>
      <c r="N5764" s="9" t="s">
        <v>807</v>
      </c>
    </row>
    <row r="5765" ht="25" customHeight="1" spans="1:14">
      <c r="A5765" s="9" t="s">
        <v>249</v>
      </c>
      <c r="B5765" s="9" t="s">
        <v>248</v>
      </c>
      <c r="C5765" s="10">
        <v>45268</v>
      </c>
      <c r="D5765" s="15">
        <v>1.3234</v>
      </c>
      <c r="E5765" s="15">
        <v>1.5032</v>
      </c>
      <c r="F5765" s="15">
        <v>1.5595</v>
      </c>
      <c r="G5765" s="11">
        <v>0.0021</v>
      </c>
      <c r="H5765" s="9">
        <f>MAX($F$5616:F5765)</f>
        <v>1.5595</v>
      </c>
      <c r="I5765" s="11">
        <f t="shared" si="142"/>
        <v>0</v>
      </c>
      <c r="J5765" s="9"/>
      <c r="K5765" s="11"/>
      <c r="L5765" s="9">
        <f>MAX($F$5752:F5765)</f>
        <v>1.5595</v>
      </c>
      <c r="M5765" s="11">
        <f t="shared" si="141"/>
        <v>0</v>
      </c>
      <c r="N5765" s="9" t="s">
        <v>807</v>
      </c>
    </row>
    <row r="5766" ht="25" customHeight="1" spans="1:14">
      <c r="A5766" s="9" t="s">
        <v>249</v>
      </c>
      <c r="B5766" s="9" t="s">
        <v>248</v>
      </c>
      <c r="C5766" s="10">
        <v>45275</v>
      </c>
      <c r="D5766" s="15">
        <v>1.325</v>
      </c>
      <c r="E5766" s="15">
        <v>1.5048</v>
      </c>
      <c r="F5766" s="15">
        <v>1.5614</v>
      </c>
      <c r="G5766" s="11">
        <v>0.0012</v>
      </c>
      <c r="H5766" s="9">
        <f>MAX($F$5616:F5766)</f>
        <v>1.5614</v>
      </c>
      <c r="I5766" s="11">
        <f t="shared" si="142"/>
        <v>0</v>
      </c>
      <c r="J5766" s="9"/>
      <c r="K5766" s="11"/>
      <c r="L5766" s="9">
        <f>MAX($F$5752:F5766)</f>
        <v>1.5614</v>
      </c>
      <c r="M5766" s="11">
        <f t="shared" si="141"/>
        <v>0</v>
      </c>
      <c r="N5766" s="9" t="s">
        <v>807</v>
      </c>
    </row>
    <row r="5767" ht="25" customHeight="1" spans="1:14">
      <c r="A5767" s="9" t="s">
        <v>249</v>
      </c>
      <c r="B5767" s="9" t="s">
        <v>248</v>
      </c>
      <c r="C5767" s="10">
        <v>45282</v>
      </c>
      <c r="D5767" s="15">
        <v>1.3318</v>
      </c>
      <c r="E5767" s="15">
        <v>1.5116</v>
      </c>
      <c r="F5767" s="15">
        <v>1.5694</v>
      </c>
      <c r="G5767" s="11">
        <v>0.0051</v>
      </c>
      <c r="H5767" s="9">
        <f>MAX($F$5616:F5767)</f>
        <v>1.5694</v>
      </c>
      <c r="I5767" s="11">
        <f t="shared" si="142"/>
        <v>0</v>
      </c>
      <c r="J5767" s="9"/>
      <c r="K5767" s="11"/>
      <c r="L5767" s="9">
        <f>MAX($F$5752:F5767)</f>
        <v>1.5694</v>
      </c>
      <c r="M5767" s="11">
        <f t="shared" si="141"/>
        <v>0</v>
      </c>
      <c r="N5767" s="9" t="s">
        <v>807</v>
      </c>
    </row>
    <row r="5768" ht="25" customHeight="1" spans="1:14">
      <c r="A5768" s="9" t="s">
        <v>249</v>
      </c>
      <c r="B5768" s="9" t="s">
        <v>248</v>
      </c>
      <c r="C5768" s="10">
        <v>45289</v>
      </c>
      <c r="D5768" s="15">
        <v>1.3357</v>
      </c>
      <c r="E5768" s="15">
        <v>1.5155</v>
      </c>
      <c r="F5768" s="15">
        <v>1.574</v>
      </c>
      <c r="G5768" s="11">
        <v>0.0029</v>
      </c>
      <c r="H5768" s="9">
        <f>MAX($F$5616:F5768)</f>
        <v>1.574</v>
      </c>
      <c r="I5768" s="11">
        <f t="shared" si="142"/>
        <v>0</v>
      </c>
      <c r="J5768" s="9"/>
      <c r="K5768" s="11"/>
      <c r="L5768" s="9">
        <f>MAX($F$5752:F5768)</f>
        <v>1.574</v>
      </c>
      <c r="M5768" s="11">
        <f t="shared" si="141"/>
        <v>0</v>
      </c>
      <c r="N5768" s="9" t="s">
        <v>807</v>
      </c>
    </row>
    <row r="5769" ht="25" customHeight="1" spans="1:14">
      <c r="A5769" s="9" t="s">
        <v>249</v>
      </c>
      <c r="B5769" s="9" t="s">
        <v>248</v>
      </c>
      <c r="C5769" s="10">
        <v>45296</v>
      </c>
      <c r="D5769" s="15">
        <v>1.3356</v>
      </c>
      <c r="E5769" s="15">
        <v>1.5154</v>
      </c>
      <c r="F5769" s="15">
        <v>1.5739</v>
      </c>
      <c r="G5769" s="11">
        <v>-0.0001</v>
      </c>
      <c r="H5769" s="9">
        <f>MAX($F$5616:F5769)</f>
        <v>1.574</v>
      </c>
      <c r="I5769" s="11">
        <f t="shared" si="142"/>
        <v>6.35324015247907e-5</v>
      </c>
      <c r="J5769" s="9"/>
      <c r="K5769" s="11"/>
      <c r="L5769" s="9">
        <f>MAX($F$5752:F5769)</f>
        <v>1.574</v>
      </c>
      <c r="M5769" s="11">
        <f t="shared" si="141"/>
        <v>6.35324015247907e-5</v>
      </c>
      <c r="N5769" s="9" t="s">
        <v>807</v>
      </c>
    </row>
    <row r="5770" ht="25" customHeight="1" spans="1:14">
      <c r="A5770" s="9" t="s">
        <v>249</v>
      </c>
      <c r="B5770" s="9" t="s">
        <v>248</v>
      </c>
      <c r="C5770" s="10">
        <v>45303</v>
      </c>
      <c r="D5770" s="15">
        <v>1.3377</v>
      </c>
      <c r="E5770" s="15">
        <v>1.5175</v>
      </c>
      <c r="F5770" s="15">
        <v>1.5763</v>
      </c>
      <c r="G5770" s="11">
        <v>0.0016</v>
      </c>
      <c r="H5770" s="9">
        <f>MAX($F$5616:F5770)</f>
        <v>1.5763</v>
      </c>
      <c r="I5770" s="11">
        <f t="shared" si="142"/>
        <v>0</v>
      </c>
      <c r="J5770" s="9"/>
      <c r="K5770" s="11"/>
      <c r="L5770" s="9">
        <f>MAX($F$5752:F5770)</f>
        <v>1.5763</v>
      </c>
      <c r="M5770" s="11">
        <f t="shared" si="141"/>
        <v>0</v>
      </c>
      <c r="N5770" s="9" t="s">
        <v>807</v>
      </c>
    </row>
    <row r="5771" ht="25" customHeight="1" spans="1:14">
      <c r="A5771" s="9" t="s">
        <v>249</v>
      </c>
      <c r="B5771" s="9" t="s">
        <v>248</v>
      </c>
      <c r="C5771" s="10">
        <v>45310</v>
      </c>
      <c r="D5771" s="15">
        <v>1.3442</v>
      </c>
      <c r="E5771" s="15">
        <v>1.524</v>
      </c>
      <c r="F5771" s="15">
        <v>1.584</v>
      </c>
      <c r="G5771" s="11">
        <v>0.0049</v>
      </c>
      <c r="H5771" s="9">
        <f>MAX($F$5616:F5771)</f>
        <v>1.584</v>
      </c>
      <c r="I5771" s="11">
        <f t="shared" si="142"/>
        <v>0</v>
      </c>
      <c r="J5771" s="9"/>
      <c r="K5771" s="11"/>
      <c r="L5771" s="9">
        <f>MAX($F$5752:F5771)</f>
        <v>1.584</v>
      </c>
      <c r="M5771" s="11">
        <f t="shared" si="141"/>
        <v>0</v>
      </c>
      <c r="N5771" s="9" t="s">
        <v>807</v>
      </c>
    </row>
    <row r="5772" ht="25" customHeight="1" spans="1:14">
      <c r="A5772" s="9" t="s">
        <v>249</v>
      </c>
      <c r="B5772" s="9" t="s">
        <v>248</v>
      </c>
      <c r="C5772" s="10">
        <v>45317</v>
      </c>
      <c r="D5772" s="15">
        <v>1.354</v>
      </c>
      <c r="E5772" s="15">
        <v>1.5338</v>
      </c>
      <c r="F5772" s="15">
        <v>1.5955</v>
      </c>
      <c r="G5772" s="11">
        <v>0.0073</v>
      </c>
      <c r="H5772" s="9">
        <f>MAX($F$5616:F5772)</f>
        <v>1.5955</v>
      </c>
      <c r="I5772" s="11">
        <f t="shared" si="142"/>
        <v>0</v>
      </c>
      <c r="J5772" s="9"/>
      <c r="K5772" s="11"/>
      <c r="L5772" s="9">
        <f>MAX($F$5752:F5772)</f>
        <v>1.5955</v>
      </c>
      <c r="M5772" s="11">
        <f t="shared" si="141"/>
        <v>0</v>
      </c>
      <c r="N5772" s="9" t="s">
        <v>807</v>
      </c>
    </row>
    <row r="5773" ht="25" customHeight="1" spans="1:14">
      <c r="A5773" s="9" t="s">
        <v>249</v>
      </c>
      <c r="B5773" s="9" t="s">
        <v>248</v>
      </c>
      <c r="C5773" s="10">
        <v>45324</v>
      </c>
      <c r="D5773" s="15">
        <v>1.3627</v>
      </c>
      <c r="E5773" s="15">
        <v>1.5425</v>
      </c>
      <c r="F5773" s="15">
        <v>1.6058</v>
      </c>
      <c r="G5773" s="11">
        <v>0.0064</v>
      </c>
      <c r="H5773" s="9">
        <f>MAX($F$5616:F5773)</f>
        <v>1.6058</v>
      </c>
      <c r="I5773" s="11">
        <f t="shared" si="142"/>
        <v>0</v>
      </c>
      <c r="J5773" s="9"/>
      <c r="K5773" s="11"/>
      <c r="L5773" s="9">
        <f>MAX($F$5752:F5773)</f>
        <v>1.6058</v>
      </c>
      <c r="M5773" s="11">
        <f t="shared" si="141"/>
        <v>0</v>
      </c>
      <c r="N5773" s="9" t="s">
        <v>807</v>
      </c>
    </row>
    <row r="5774" ht="25" customHeight="1" spans="1:14">
      <c r="A5774" s="9" t="s">
        <v>249</v>
      </c>
      <c r="B5774" s="9" t="s">
        <v>248</v>
      </c>
      <c r="C5774" s="10">
        <v>45330</v>
      </c>
      <c r="D5774" s="15">
        <v>1.3743</v>
      </c>
      <c r="E5774" s="15">
        <v>1.5541</v>
      </c>
      <c r="F5774" s="15">
        <v>1.6195</v>
      </c>
      <c r="G5774" s="11">
        <v>0.0085</v>
      </c>
      <c r="H5774" s="9">
        <f>MAX($F$5616:F5774)</f>
        <v>1.6195</v>
      </c>
      <c r="I5774" s="11">
        <f t="shared" si="142"/>
        <v>0</v>
      </c>
      <c r="J5774" s="9"/>
      <c r="K5774" s="11"/>
      <c r="L5774" s="9">
        <f>MAX($F$5752:F5774)</f>
        <v>1.6195</v>
      </c>
      <c r="M5774" s="11">
        <f t="shared" si="141"/>
        <v>0</v>
      </c>
      <c r="N5774" s="9" t="s">
        <v>807</v>
      </c>
    </row>
    <row r="5775" ht="25" customHeight="1" spans="1:14">
      <c r="A5775" s="9" t="s">
        <v>249</v>
      </c>
      <c r="B5775" s="9" t="s">
        <v>248</v>
      </c>
      <c r="C5775" s="10">
        <v>45345</v>
      </c>
      <c r="D5775" s="15">
        <v>1.3795</v>
      </c>
      <c r="E5775" s="15">
        <v>1.5593</v>
      </c>
      <c r="F5775" s="15">
        <v>1.6256</v>
      </c>
      <c r="G5775" s="11">
        <v>0.0038</v>
      </c>
      <c r="H5775" s="9">
        <f>MAX($F$5616:F5775)</f>
        <v>1.6256</v>
      </c>
      <c r="I5775" s="11">
        <f t="shared" si="142"/>
        <v>0</v>
      </c>
      <c r="J5775" s="9"/>
      <c r="K5775" s="11"/>
      <c r="L5775" s="9">
        <f>MAX($F$5752:F5775)</f>
        <v>1.6256</v>
      </c>
      <c r="M5775" s="11">
        <f t="shared" si="141"/>
        <v>0</v>
      </c>
      <c r="N5775" s="9" t="s">
        <v>807</v>
      </c>
    </row>
    <row r="5776" ht="25" customHeight="1" spans="1:14">
      <c r="A5776" s="9" t="s">
        <v>249</v>
      </c>
      <c r="B5776" s="9" t="s">
        <v>248</v>
      </c>
      <c r="C5776" s="10">
        <v>45352</v>
      </c>
      <c r="D5776" s="15">
        <v>1.3863</v>
      </c>
      <c r="E5776" s="15">
        <v>1.5661</v>
      </c>
      <c r="F5776" s="15">
        <v>1.6336</v>
      </c>
      <c r="G5776" s="11">
        <v>0.0049</v>
      </c>
      <c r="H5776" s="9">
        <f>MAX($F$5616:F5776)</f>
        <v>1.6336</v>
      </c>
      <c r="I5776" s="11">
        <f t="shared" si="142"/>
        <v>0</v>
      </c>
      <c r="J5776" s="9"/>
      <c r="K5776" s="11"/>
      <c r="L5776" s="9">
        <f>MAX($F$5752:F5776)</f>
        <v>1.6336</v>
      </c>
      <c r="M5776" s="11">
        <f t="shared" si="141"/>
        <v>0</v>
      </c>
      <c r="N5776" s="9" t="s">
        <v>807</v>
      </c>
    </row>
    <row r="5777" ht="25" customHeight="1" spans="1:14">
      <c r="A5777" s="9" t="s">
        <v>249</v>
      </c>
      <c r="B5777" s="9" t="s">
        <v>248</v>
      </c>
      <c r="C5777" s="10">
        <v>45359</v>
      </c>
      <c r="D5777" s="15">
        <v>1.3907</v>
      </c>
      <c r="E5777" s="15">
        <v>1.5705</v>
      </c>
      <c r="F5777" s="15">
        <v>1.6388</v>
      </c>
      <c r="G5777" s="11">
        <v>0.0032</v>
      </c>
      <c r="H5777" s="9">
        <f>MAX($F$5616:F5777)</f>
        <v>1.6388</v>
      </c>
      <c r="I5777" s="11">
        <f t="shared" si="142"/>
        <v>0</v>
      </c>
      <c r="J5777" s="9"/>
      <c r="K5777" s="11"/>
      <c r="L5777" s="9">
        <f>MAX($F$5752:F5777)</f>
        <v>1.6388</v>
      </c>
      <c r="M5777" s="11">
        <f t="shared" si="141"/>
        <v>0</v>
      </c>
      <c r="N5777" s="9" t="s">
        <v>807</v>
      </c>
    </row>
    <row r="5778" ht="25" customHeight="1" spans="1:14">
      <c r="A5778" s="9" t="s">
        <v>249</v>
      </c>
      <c r="B5778" s="9" t="s">
        <v>248</v>
      </c>
      <c r="C5778" s="10">
        <v>45366</v>
      </c>
      <c r="D5778" s="15">
        <v>1.0026</v>
      </c>
      <c r="E5778" s="15">
        <v>1.5726</v>
      </c>
      <c r="F5778" s="15">
        <v>1.6413</v>
      </c>
      <c r="G5778" s="11">
        <v>0.0015</v>
      </c>
      <c r="H5778" s="9">
        <f>MAX($F$5616:F5778)</f>
        <v>1.6413</v>
      </c>
      <c r="I5778" s="11">
        <f t="shared" si="142"/>
        <v>0</v>
      </c>
      <c r="J5778" s="9"/>
      <c r="K5778" s="11"/>
      <c r="L5778" s="9">
        <f>MAX($F$5752:F5778)</f>
        <v>1.6413</v>
      </c>
      <c r="M5778" s="11">
        <f t="shared" si="141"/>
        <v>0</v>
      </c>
      <c r="N5778" s="9" t="s">
        <v>807</v>
      </c>
    </row>
    <row r="5779" ht="25" customHeight="1" spans="1:14">
      <c r="A5779" s="9" t="s">
        <v>249</v>
      </c>
      <c r="B5779" s="9" t="s">
        <v>248</v>
      </c>
      <c r="C5779" s="10">
        <v>45373</v>
      </c>
      <c r="D5779" s="15">
        <v>1.0044</v>
      </c>
      <c r="E5779" s="15">
        <v>1.5744</v>
      </c>
      <c r="F5779" s="15">
        <v>1.6442</v>
      </c>
      <c r="G5779" s="11">
        <v>0.0018</v>
      </c>
      <c r="H5779" s="9">
        <f>MAX($F$5616:F5779)</f>
        <v>1.6442</v>
      </c>
      <c r="I5779" s="11">
        <f t="shared" si="142"/>
        <v>0</v>
      </c>
      <c r="J5779" s="9"/>
      <c r="K5779" s="11"/>
      <c r="L5779" s="9">
        <f>MAX($F$5752:F5779)</f>
        <v>1.6442</v>
      </c>
      <c r="M5779" s="11">
        <f t="shared" si="141"/>
        <v>0</v>
      </c>
      <c r="N5779" s="9" t="s">
        <v>807</v>
      </c>
    </row>
    <row r="5780" ht="25" customHeight="1" spans="1:14">
      <c r="A5780" s="9" t="s">
        <v>249</v>
      </c>
      <c r="B5780" s="9" t="s">
        <v>248</v>
      </c>
      <c r="C5780" s="10">
        <v>45380</v>
      </c>
      <c r="D5780" s="15">
        <v>1.0074</v>
      </c>
      <c r="E5780" s="15">
        <v>1.5774</v>
      </c>
      <c r="F5780" s="15">
        <v>1.6491</v>
      </c>
      <c r="G5780" s="11">
        <v>0.003</v>
      </c>
      <c r="H5780" s="9">
        <f>MAX($F$5616:F5780)</f>
        <v>1.6491</v>
      </c>
      <c r="I5780" s="11">
        <f t="shared" si="142"/>
        <v>0</v>
      </c>
      <c r="J5780" s="9"/>
      <c r="K5780" s="11"/>
      <c r="L5780" s="9">
        <f>MAX($F$5752:F5780)</f>
        <v>1.6491</v>
      </c>
      <c r="M5780" s="11">
        <f t="shared" si="141"/>
        <v>0</v>
      </c>
      <c r="N5780" s="9" t="s">
        <v>807</v>
      </c>
    </row>
    <row r="5781" ht="25" customHeight="1" spans="1:14">
      <c r="A5781" s="9" t="s">
        <v>249</v>
      </c>
      <c r="B5781" s="9" t="s">
        <v>248</v>
      </c>
      <c r="C5781" s="10">
        <v>45385</v>
      </c>
      <c r="D5781" s="15">
        <v>1.0073</v>
      </c>
      <c r="E5781" s="15">
        <v>1.5773</v>
      </c>
      <c r="F5781" s="15">
        <v>1.649</v>
      </c>
      <c r="G5781" s="11">
        <v>-0.0001</v>
      </c>
      <c r="H5781" s="9">
        <f>MAX($F$5616:F5781)</f>
        <v>1.6491</v>
      </c>
      <c r="I5781" s="11">
        <f t="shared" si="142"/>
        <v>6.06391364986747e-5</v>
      </c>
      <c r="J5781" s="9"/>
      <c r="K5781" s="11"/>
      <c r="L5781" s="9">
        <f>MAX($F$5752:F5781)</f>
        <v>1.6491</v>
      </c>
      <c r="M5781" s="11">
        <f t="shared" si="141"/>
        <v>6.06391364986747e-5</v>
      </c>
      <c r="N5781" s="9" t="s">
        <v>807</v>
      </c>
    </row>
    <row r="5782" ht="25" customHeight="1" spans="1:14">
      <c r="A5782" s="9" t="s">
        <v>249</v>
      </c>
      <c r="B5782" s="9" t="s">
        <v>248</v>
      </c>
      <c r="C5782" s="10">
        <v>45394</v>
      </c>
      <c r="D5782" s="15">
        <v>1.0074</v>
      </c>
      <c r="E5782" s="15">
        <v>1.5774</v>
      </c>
      <c r="F5782" s="15">
        <v>1.6491</v>
      </c>
      <c r="G5782" s="11">
        <v>0.0001</v>
      </c>
      <c r="H5782" s="9">
        <f>MAX($F$5616:F5782)</f>
        <v>1.6491</v>
      </c>
      <c r="I5782" s="11">
        <f t="shared" si="142"/>
        <v>0</v>
      </c>
      <c r="J5782" s="9"/>
      <c r="K5782" s="11"/>
      <c r="L5782" s="9">
        <f>MAX($F$5752:F5782)</f>
        <v>1.6491</v>
      </c>
      <c r="M5782" s="11">
        <f t="shared" si="141"/>
        <v>0</v>
      </c>
      <c r="N5782" s="9" t="s">
        <v>807</v>
      </c>
    </row>
    <row r="5783" ht="25" customHeight="1" spans="1:14">
      <c r="A5783" s="9" t="s">
        <v>249</v>
      </c>
      <c r="B5783" s="9" t="s">
        <v>248</v>
      </c>
      <c r="C5783" s="10">
        <v>45401</v>
      </c>
      <c r="D5783" s="15">
        <v>1.0134</v>
      </c>
      <c r="E5783" s="15">
        <v>1.5834</v>
      </c>
      <c r="F5783" s="15">
        <v>1.6589</v>
      </c>
      <c r="G5783" s="11">
        <v>0.006</v>
      </c>
      <c r="H5783" s="9">
        <f>MAX($F$5616:F5783)</f>
        <v>1.6589</v>
      </c>
      <c r="I5783" s="11">
        <f t="shared" si="142"/>
        <v>0</v>
      </c>
      <c r="J5783" s="9"/>
      <c r="K5783" s="11"/>
      <c r="L5783" s="9">
        <f>MAX($F$5752:F5783)</f>
        <v>1.6589</v>
      </c>
      <c r="M5783" s="11">
        <f t="shared" si="141"/>
        <v>0</v>
      </c>
      <c r="N5783" s="9" t="s">
        <v>807</v>
      </c>
    </row>
    <row r="5784" ht="25" customHeight="1" spans="1:14">
      <c r="A5784" s="9" t="s">
        <v>249</v>
      </c>
      <c r="B5784" s="9" t="s">
        <v>248</v>
      </c>
      <c r="C5784" s="10">
        <v>45408</v>
      </c>
      <c r="D5784" s="15">
        <v>1.0152</v>
      </c>
      <c r="E5784" s="15">
        <v>1.5852</v>
      </c>
      <c r="F5784" s="15">
        <v>1.6619</v>
      </c>
      <c r="G5784" s="11">
        <v>0.0018</v>
      </c>
      <c r="H5784" s="9">
        <f>MAX($F$5616:F5784)</f>
        <v>1.6619</v>
      </c>
      <c r="I5784" s="11">
        <f t="shared" si="142"/>
        <v>0</v>
      </c>
      <c r="J5784" s="9"/>
      <c r="K5784" s="11"/>
      <c r="L5784" s="9">
        <f>MAX($F$5752:F5784)</f>
        <v>1.6619</v>
      </c>
      <c r="M5784" s="11">
        <f t="shared" si="141"/>
        <v>0</v>
      </c>
      <c r="N5784" s="9" t="s">
        <v>807</v>
      </c>
    </row>
    <row r="5785" ht="25" customHeight="1" spans="1:14">
      <c r="A5785" s="9" t="s">
        <v>249</v>
      </c>
      <c r="B5785" s="9" t="s">
        <v>248</v>
      </c>
      <c r="C5785" s="10">
        <v>45412</v>
      </c>
      <c r="D5785" s="15">
        <v>1.015</v>
      </c>
      <c r="E5785" s="15">
        <v>1.585</v>
      </c>
      <c r="F5785" s="15">
        <v>1.6616</v>
      </c>
      <c r="G5785" s="11">
        <v>-0.0002</v>
      </c>
      <c r="H5785" s="9">
        <f>MAX($F$5616:F5785)</f>
        <v>1.6619</v>
      </c>
      <c r="I5785" s="11">
        <f t="shared" si="142"/>
        <v>0.000180516276550913</v>
      </c>
      <c r="J5785" s="9"/>
      <c r="K5785" s="11"/>
      <c r="L5785" s="9">
        <f>MAX($F$5752:F5785)</f>
        <v>1.6619</v>
      </c>
      <c r="M5785" s="11">
        <f t="shared" si="141"/>
        <v>0.000180516276550913</v>
      </c>
      <c r="N5785" s="9" t="s">
        <v>807</v>
      </c>
    </row>
    <row r="5786" ht="25" customHeight="1" spans="1:14">
      <c r="A5786" s="9" t="s">
        <v>249</v>
      </c>
      <c r="B5786" s="9" t="s">
        <v>248</v>
      </c>
      <c r="C5786" s="10">
        <v>45422</v>
      </c>
      <c r="D5786" s="15">
        <v>1.0144</v>
      </c>
      <c r="E5786" s="15">
        <v>1.5844</v>
      </c>
      <c r="F5786" s="15">
        <v>1.6606</v>
      </c>
      <c r="G5786" s="11">
        <v>-0.0006</v>
      </c>
      <c r="H5786" s="9">
        <f>MAX($F$5616:F5786)</f>
        <v>1.6619</v>
      </c>
      <c r="I5786" s="11">
        <f t="shared" si="142"/>
        <v>0.000782237198387326</v>
      </c>
      <c r="J5786" s="9"/>
      <c r="K5786" s="11"/>
      <c r="L5786" s="9">
        <f>MAX($F$5752:F5786)</f>
        <v>1.6619</v>
      </c>
      <c r="M5786" s="11">
        <f t="shared" si="141"/>
        <v>0.000782237198387326</v>
      </c>
      <c r="N5786" s="9" t="s">
        <v>807</v>
      </c>
    </row>
    <row r="5787" ht="25" customHeight="1" spans="1:14">
      <c r="A5787" s="9" t="s">
        <v>249</v>
      </c>
      <c r="B5787" s="9" t="s">
        <v>248</v>
      </c>
      <c r="C5787" s="10">
        <v>45429</v>
      </c>
      <c r="D5787" s="15">
        <v>1.0138</v>
      </c>
      <c r="E5787" s="15">
        <v>1.5838</v>
      </c>
      <c r="F5787" s="15">
        <v>1.6596</v>
      </c>
      <c r="G5787" s="11">
        <v>-0.0006</v>
      </c>
      <c r="H5787" s="9">
        <f>MAX($F$5616:F5787)</f>
        <v>1.6619</v>
      </c>
      <c r="I5787" s="11">
        <f t="shared" si="142"/>
        <v>0.00138395812022385</v>
      </c>
      <c r="J5787" s="9"/>
      <c r="K5787" s="11"/>
      <c r="L5787" s="9">
        <f>MAX($F$5752:F5787)</f>
        <v>1.6619</v>
      </c>
      <c r="M5787" s="11">
        <f t="shared" si="141"/>
        <v>0.00138395812022385</v>
      </c>
      <c r="N5787" s="9" t="s">
        <v>807</v>
      </c>
    </row>
    <row r="5788" ht="25" customHeight="1" spans="1:14">
      <c r="A5788" s="9" t="s">
        <v>249</v>
      </c>
      <c r="B5788" s="9" t="s">
        <v>248</v>
      </c>
      <c r="C5788" s="10">
        <v>45436</v>
      </c>
      <c r="D5788" s="15">
        <v>1.0128</v>
      </c>
      <c r="E5788" s="15">
        <v>1.5828</v>
      </c>
      <c r="F5788" s="15">
        <v>1.658</v>
      </c>
      <c r="G5788" s="11">
        <v>-0.001</v>
      </c>
      <c r="H5788" s="9">
        <f>MAX($F$5616:F5788)</f>
        <v>1.6619</v>
      </c>
      <c r="I5788" s="11">
        <f t="shared" si="142"/>
        <v>0.0023467115951622</v>
      </c>
      <c r="J5788" s="9"/>
      <c r="K5788" s="11"/>
      <c r="L5788" s="9">
        <f>MAX($F$5752:F5788)</f>
        <v>1.6619</v>
      </c>
      <c r="M5788" s="11">
        <f t="shared" si="141"/>
        <v>0.0023467115951622</v>
      </c>
      <c r="N5788" s="9" t="s">
        <v>807</v>
      </c>
    </row>
    <row r="5789" ht="25" customHeight="1" spans="1:14">
      <c r="A5789" s="9" t="s">
        <v>249</v>
      </c>
      <c r="B5789" s="9" t="s">
        <v>248</v>
      </c>
      <c r="C5789" s="10">
        <v>45443</v>
      </c>
      <c r="D5789" s="15">
        <v>1.0118</v>
      </c>
      <c r="E5789" s="15">
        <v>1.5818</v>
      </c>
      <c r="F5789" s="15">
        <v>1.6563</v>
      </c>
      <c r="G5789" s="11">
        <v>-0.001</v>
      </c>
      <c r="H5789" s="9">
        <f>MAX($F$5616:F5789)</f>
        <v>1.6619</v>
      </c>
      <c r="I5789" s="11">
        <f t="shared" si="142"/>
        <v>0.003369637162284</v>
      </c>
      <c r="J5789" s="9"/>
      <c r="K5789" s="11"/>
      <c r="L5789" s="9">
        <f>MAX($F$5752:F5789)</f>
        <v>1.6619</v>
      </c>
      <c r="M5789" s="11">
        <f t="shared" si="141"/>
        <v>0.003369637162284</v>
      </c>
      <c r="N5789" s="9" t="s">
        <v>807</v>
      </c>
    </row>
    <row r="5790" ht="25" customHeight="1" spans="1:14">
      <c r="A5790" s="9" t="s">
        <v>249</v>
      </c>
      <c r="B5790" s="9" t="s">
        <v>248</v>
      </c>
      <c r="C5790" s="10">
        <v>45450</v>
      </c>
      <c r="D5790" s="15">
        <v>1.0127</v>
      </c>
      <c r="E5790" s="15">
        <v>1.5827</v>
      </c>
      <c r="F5790" s="15">
        <v>1.6578</v>
      </c>
      <c r="G5790" s="11">
        <v>0.0009</v>
      </c>
      <c r="H5790" s="9">
        <f>MAX($F$5616:F5790)</f>
        <v>1.6619</v>
      </c>
      <c r="I5790" s="11">
        <f t="shared" si="142"/>
        <v>0.00246705577952944</v>
      </c>
      <c r="J5790" s="9"/>
      <c r="K5790" s="11"/>
      <c r="L5790" s="9">
        <f>MAX($F$5752:F5790)</f>
        <v>1.6619</v>
      </c>
      <c r="M5790" s="11">
        <f t="shared" si="141"/>
        <v>0.00246705577952944</v>
      </c>
      <c r="N5790" s="9" t="s">
        <v>807</v>
      </c>
    </row>
    <row r="5791" ht="25" customHeight="1" spans="1:14">
      <c r="A5791" s="9" t="s">
        <v>249</v>
      </c>
      <c r="B5791" s="9" t="s">
        <v>248</v>
      </c>
      <c r="C5791" s="10">
        <v>45457</v>
      </c>
      <c r="D5791" s="15">
        <v>1.0121</v>
      </c>
      <c r="E5791" s="15">
        <v>1.5821</v>
      </c>
      <c r="F5791" s="15">
        <v>1.6568</v>
      </c>
      <c r="G5791" s="11">
        <v>-0.0006</v>
      </c>
      <c r="H5791" s="9">
        <f>MAX($F$5616:F5791)</f>
        <v>1.6619</v>
      </c>
      <c r="I5791" s="11">
        <f t="shared" si="142"/>
        <v>0.00306877670136585</v>
      </c>
      <c r="J5791" s="9"/>
      <c r="K5791" s="11"/>
      <c r="L5791" s="9">
        <f>MAX($F$5752:F5791)</f>
        <v>1.6619</v>
      </c>
      <c r="M5791" s="11">
        <f t="shared" si="141"/>
        <v>0.00306877670136585</v>
      </c>
      <c r="N5791" s="9" t="s">
        <v>807</v>
      </c>
    </row>
    <row r="5792" ht="25" customHeight="1" spans="1:14">
      <c r="A5792" s="9" t="s">
        <v>249</v>
      </c>
      <c r="B5792" s="9" t="s">
        <v>248</v>
      </c>
      <c r="C5792" s="10">
        <v>45464</v>
      </c>
      <c r="D5792" s="15">
        <v>1.0121</v>
      </c>
      <c r="E5792" s="15">
        <v>1.5821</v>
      </c>
      <c r="F5792" s="15">
        <v>1.6568</v>
      </c>
      <c r="G5792" s="11">
        <v>0</v>
      </c>
      <c r="H5792" s="9">
        <f>MAX($F$5616:F5792)</f>
        <v>1.6619</v>
      </c>
      <c r="I5792" s="11">
        <f t="shared" si="142"/>
        <v>0.00306877670136585</v>
      </c>
      <c r="J5792" s="9"/>
      <c r="K5792" s="11"/>
      <c r="L5792" s="9">
        <f>MAX($F$5752:F5792)</f>
        <v>1.6619</v>
      </c>
      <c r="M5792" s="11">
        <f t="shared" si="141"/>
        <v>0.00306877670136585</v>
      </c>
      <c r="N5792" s="9" t="s">
        <v>807</v>
      </c>
    </row>
    <row r="5793" ht="25" customHeight="1" spans="1:14">
      <c r="A5793" s="9" t="s">
        <v>249</v>
      </c>
      <c r="B5793" s="9" t="s">
        <v>248</v>
      </c>
      <c r="C5793" s="10">
        <v>45471</v>
      </c>
      <c r="D5793" s="15">
        <v>1.0148</v>
      </c>
      <c r="E5793" s="15">
        <v>1.5848</v>
      </c>
      <c r="F5793" s="15">
        <v>1.6612</v>
      </c>
      <c r="G5793" s="11">
        <v>0.0027</v>
      </c>
      <c r="H5793" s="9">
        <f>MAX($F$5616:F5793)</f>
        <v>1.6619</v>
      </c>
      <c r="I5793" s="11">
        <f t="shared" si="142"/>
        <v>0.0004212046452855</v>
      </c>
      <c r="J5793" s="9"/>
      <c r="K5793" s="11"/>
      <c r="L5793" s="9">
        <f>MAX($F$5752:F5793)</f>
        <v>1.6619</v>
      </c>
      <c r="M5793" s="11">
        <f t="shared" si="141"/>
        <v>0.0004212046452855</v>
      </c>
      <c r="N5793" s="9" t="s">
        <v>807</v>
      </c>
    </row>
    <row r="5794" ht="25" customHeight="1" spans="1:14">
      <c r="A5794" s="9" t="s">
        <v>249</v>
      </c>
      <c r="B5794" s="9" t="s">
        <v>248</v>
      </c>
      <c r="C5794" s="10">
        <v>45478</v>
      </c>
      <c r="D5794" s="15">
        <v>1.0177</v>
      </c>
      <c r="E5794" s="15">
        <v>1.5877</v>
      </c>
      <c r="F5794" s="15">
        <v>1.666</v>
      </c>
      <c r="G5794" s="11">
        <v>0.0029</v>
      </c>
      <c r="H5794" s="9">
        <f>MAX($F$5616:F5794)</f>
        <v>1.666</v>
      </c>
      <c r="I5794" s="11">
        <f t="shared" si="142"/>
        <v>0</v>
      </c>
      <c r="J5794" s="9"/>
      <c r="K5794" s="11"/>
      <c r="L5794" s="9">
        <f>MAX($F$5752:F5794)</f>
        <v>1.666</v>
      </c>
      <c r="M5794" s="11">
        <f t="shared" si="141"/>
        <v>0</v>
      </c>
      <c r="N5794" s="9" t="s">
        <v>807</v>
      </c>
    </row>
    <row r="5795" ht="25" customHeight="1" spans="1:14">
      <c r="A5795" s="9" t="s">
        <v>249</v>
      </c>
      <c r="B5795" s="9" t="s">
        <v>248</v>
      </c>
      <c r="C5795" s="10">
        <v>45485</v>
      </c>
      <c r="D5795" s="15">
        <v>1.0183</v>
      </c>
      <c r="E5795" s="15">
        <v>1.5883</v>
      </c>
      <c r="F5795" s="15">
        <v>1.667</v>
      </c>
      <c r="G5795" s="11">
        <v>0.0006</v>
      </c>
      <c r="H5795" s="9">
        <f>MAX($F$5616:F5795)</f>
        <v>1.667</v>
      </c>
      <c r="I5795" s="11">
        <f t="shared" si="142"/>
        <v>0</v>
      </c>
      <c r="J5795" s="9"/>
      <c r="K5795" s="11"/>
      <c r="L5795" s="9">
        <f>MAX($F$5752:F5795)</f>
        <v>1.667</v>
      </c>
      <c r="M5795" s="11">
        <f t="shared" si="141"/>
        <v>0</v>
      </c>
      <c r="N5795" s="9" t="s">
        <v>807</v>
      </c>
    </row>
    <row r="5796" ht="25" customHeight="1" spans="1:14">
      <c r="A5796" s="9" t="s">
        <v>249</v>
      </c>
      <c r="B5796" s="9" t="s">
        <v>248</v>
      </c>
      <c r="C5796" s="10">
        <v>45492</v>
      </c>
      <c r="D5796" s="15">
        <v>1.019</v>
      </c>
      <c r="E5796" s="15">
        <v>1.589</v>
      </c>
      <c r="F5796" s="15">
        <v>1.6681</v>
      </c>
      <c r="G5796" s="11">
        <v>0.0007</v>
      </c>
      <c r="H5796" s="9">
        <f>MAX($F$5616:F5796)</f>
        <v>1.6681</v>
      </c>
      <c r="I5796" s="11">
        <f t="shared" si="142"/>
        <v>0</v>
      </c>
      <c r="J5796" s="9"/>
      <c r="K5796" s="11"/>
      <c r="L5796" s="9">
        <f>MAX($F$5752:F5796)</f>
        <v>1.6681</v>
      </c>
      <c r="M5796" s="11">
        <f t="shared" si="141"/>
        <v>0</v>
      </c>
      <c r="N5796" s="9" t="s">
        <v>807</v>
      </c>
    </row>
    <row r="5797" ht="25" customHeight="1" spans="1:14">
      <c r="A5797" s="9" t="s">
        <v>249</v>
      </c>
      <c r="B5797" s="9" t="s">
        <v>248</v>
      </c>
      <c r="C5797" s="10">
        <v>45499</v>
      </c>
      <c r="D5797" s="15">
        <v>1.02</v>
      </c>
      <c r="E5797" s="15">
        <v>1.59</v>
      </c>
      <c r="F5797" s="15">
        <v>1.6697</v>
      </c>
      <c r="G5797" s="11">
        <v>0.001</v>
      </c>
      <c r="H5797" s="9">
        <f>MAX($F$5616:F5797)</f>
        <v>1.6697</v>
      </c>
      <c r="I5797" s="11">
        <f t="shared" si="142"/>
        <v>0</v>
      </c>
      <c r="J5797" s="9"/>
      <c r="K5797" s="11"/>
      <c r="L5797" s="9">
        <f>MAX($F$5752:F5797)</f>
        <v>1.6697</v>
      </c>
      <c r="M5797" s="11">
        <f t="shared" si="141"/>
        <v>0</v>
      </c>
      <c r="N5797" s="9" t="s">
        <v>807</v>
      </c>
    </row>
    <row r="5798" ht="25" customHeight="1" spans="1:14">
      <c r="A5798" s="9" t="s">
        <v>249</v>
      </c>
      <c r="B5798" s="9" t="s">
        <v>248</v>
      </c>
      <c r="C5798" s="10">
        <v>45506</v>
      </c>
      <c r="D5798" s="15">
        <v>1.0274</v>
      </c>
      <c r="E5798" s="15">
        <v>1.5974</v>
      </c>
      <c r="F5798" s="15">
        <v>1.6819</v>
      </c>
      <c r="G5798" s="11">
        <v>0.0073</v>
      </c>
      <c r="H5798" s="9">
        <f>MAX($F$5616:F5798)</f>
        <v>1.6819</v>
      </c>
      <c r="I5798" s="11">
        <f t="shared" si="142"/>
        <v>0</v>
      </c>
      <c r="J5798" s="9"/>
      <c r="K5798" s="11"/>
      <c r="L5798" s="9">
        <f>MAX($F$5752:F5798)</f>
        <v>1.6819</v>
      </c>
      <c r="M5798" s="11">
        <f t="shared" si="141"/>
        <v>0</v>
      </c>
      <c r="N5798" s="9" t="s">
        <v>807</v>
      </c>
    </row>
    <row r="5799" ht="25" customHeight="1" spans="1:14">
      <c r="A5799" s="9" t="s">
        <v>249</v>
      </c>
      <c r="B5799" s="9" t="s">
        <v>248</v>
      </c>
      <c r="C5799" s="10">
        <v>45513</v>
      </c>
      <c r="D5799" s="15">
        <v>1.0308</v>
      </c>
      <c r="E5799" s="15">
        <v>1.6008</v>
      </c>
      <c r="F5799" s="15">
        <v>1.6874</v>
      </c>
      <c r="G5799" s="11">
        <v>0.0033</v>
      </c>
      <c r="H5799" s="9">
        <f>MAX($F$5616:F5799)</f>
        <v>1.6874</v>
      </c>
      <c r="I5799" s="11">
        <f t="shared" si="142"/>
        <v>0</v>
      </c>
      <c r="J5799" s="9"/>
      <c r="K5799" s="11"/>
      <c r="L5799" s="9">
        <f>MAX($F$5752:F5799)</f>
        <v>1.6874</v>
      </c>
      <c r="M5799" s="11">
        <f t="shared" si="141"/>
        <v>0</v>
      </c>
      <c r="N5799" s="9" t="s">
        <v>807</v>
      </c>
    </row>
    <row r="5800" ht="25" customHeight="1" spans="1:14">
      <c r="A5800" s="9" t="s">
        <v>249</v>
      </c>
      <c r="B5800" s="9" t="s">
        <v>248</v>
      </c>
      <c r="C5800" s="10">
        <v>45520</v>
      </c>
      <c r="D5800" s="15">
        <v>1.0312</v>
      </c>
      <c r="E5800" s="15">
        <v>1.6012</v>
      </c>
      <c r="F5800" s="15">
        <v>1.6881</v>
      </c>
      <c r="G5800" s="11">
        <v>0.0004</v>
      </c>
      <c r="H5800" s="9">
        <f>MAX($F$5616:F5800)</f>
        <v>1.6881</v>
      </c>
      <c r="I5800" s="11">
        <f t="shared" si="142"/>
        <v>0</v>
      </c>
      <c r="J5800" s="9"/>
      <c r="K5800" s="11"/>
      <c r="L5800" s="9">
        <f>MAX($F$5752:F5800)</f>
        <v>1.6881</v>
      </c>
      <c r="M5800" s="11">
        <f t="shared" si="141"/>
        <v>0</v>
      </c>
      <c r="N5800" s="9" t="s">
        <v>807</v>
      </c>
    </row>
    <row r="5801" ht="25" customHeight="1" spans="1:14">
      <c r="A5801" s="9" t="s">
        <v>249</v>
      </c>
      <c r="B5801" s="9" t="s">
        <v>248</v>
      </c>
      <c r="C5801" s="10">
        <v>45527</v>
      </c>
      <c r="D5801" s="15">
        <v>1.0321</v>
      </c>
      <c r="E5801" s="15">
        <v>1.6021</v>
      </c>
      <c r="F5801" s="15">
        <v>1.6896</v>
      </c>
      <c r="G5801" s="11">
        <v>0.0009</v>
      </c>
      <c r="H5801" s="9">
        <f>MAX($F$5616:F5801)</f>
        <v>1.6896</v>
      </c>
      <c r="I5801" s="11">
        <f t="shared" si="142"/>
        <v>0</v>
      </c>
      <c r="J5801" s="9"/>
      <c r="K5801" s="11"/>
      <c r="L5801" s="9">
        <f>MAX($F$5752:F5801)</f>
        <v>1.6896</v>
      </c>
      <c r="M5801" s="11">
        <f t="shared" si="141"/>
        <v>0</v>
      </c>
      <c r="N5801" s="9" t="s">
        <v>807</v>
      </c>
    </row>
    <row r="5802" ht="25" customHeight="1" spans="1:14">
      <c r="A5802" s="9" t="s">
        <v>249</v>
      </c>
      <c r="B5802" s="9" t="s">
        <v>248</v>
      </c>
      <c r="C5802" s="10">
        <v>45534</v>
      </c>
      <c r="D5802" s="15">
        <v>1.0367</v>
      </c>
      <c r="E5802" s="15">
        <v>1.6067</v>
      </c>
      <c r="F5802" s="15">
        <v>1.6971</v>
      </c>
      <c r="G5802" s="11">
        <v>0.0045</v>
      </c>
      <c r="H5802" s="9">
        <f>MAX($F$5616:F5802)</f>
        <v>1.6971</v>
      </c>
      <c r="I5802" s="11">
        <f t="shared" si="142"/>
        <v>0</v>
      </c>
      <c r="J5802" s="9"/>
      <c r="K5802" s="11"/>
      <c r="L5802" s="9">
        <f>MAX($F$5752:F5802)</f>
        <v>1.6971</v>
      </c>
      <c r="M5802" s="11">
        <f t="shared" si="141"/>
        <v>0</v>
      </c>
      <c r="N5802" s="9" t="s">
        <v>807</v>
      </c>
    </row>
    <row r="5803" ht="25" customHeight="1" spans="1:14">
      <c r="A5803" s="9" t="s">
        <v>249</v>
      </c>
      <c r="B5803" s="9" t="s">
        <v>248</v>
      </c>
      <c r="C5803" s="10">
        <v>45541</v>
      </c>
      <c r="D5803" s="15">
        <v>1.0366</v>
      </c>
      <c r="E5803" s="15">
        <v>1.6066</v>
      </c>
      <c r="F5803" s="15">
        <v>1.6969</v>
      </c>
      <c r="G5803" s="11">
        <v>-0.0001</v>
      </c>
      <c r="H5803" s="9">
        <f>MAX($F$5616:F5803)</f>
        <v>1.6971</v>
      </c>
      <c r="I5803" s="11">
        <f t="shared" si="142"/>
        <v>0.000117848093807105</v>
      </c>
      <c r="J5803" s="9"/>
      <c r="K5803" s="11"/>
      <c r="L5803" s="9">
        <f>MAX($F$5752:F5803)</f>
        <v>1.6971</v>
      </c>
      <c r="M5803" s="11">
        <f t="shared" si="141"/>
        <v>0.000117848093807105</v>
      </c>
      <c r="N5803" s="9" t="s">
        <v>807</v>
      </c>
    </row>
    <row r="5804" ht="25" customHeight="1" spans="1:14">
      <c r="A5804" s="9" t="s">
        <v>249</v>
      </c>
      <c r="B5804" s="9" t="s">
        <v>248</v>
      </c>
      <c r="C5804" s="10">
        <v>45548</v>
      </c>
      <c r="D5804" s="15">
        <v>1.0369</v>
      </c>
      <c r="E5804" s="15">
        <v>1.6069</v>
      </c>
      <c r="F5804" s="15">
        <v>1.6974</v>
      </c>
      <c r="G5804" s="11">
        <v>0.0003</v>
      </c>
      <c r="H5804" s="9">
        <f>MAX($F$5616:F5804)</f>
        <v>1.6974</v>
      </c>
      <c r="I5804" s="11">
        <f t="shared" si="142"/>
        <v>0</v>
      </c>
      <c r="J5804" s="9"/>
      <c r="K5804" s="11"/>
      <c r="L5804" s="9">
        <f>MAX($F$5752:F5804)</f>
        <v>1.6974</v>
      </c>
      <c r="M5804" s="11">
        <f t="shared" si="141"/>
        <v>0</v>
      </c>
      <c r="N5804" s="9" t="s">
        <v>807</v>
      </c>
    </row>
    <row r="5805" ht="25" customHeight="1" spans="1:14">
      <c r="A5805" s="9" t="s">
        <v>249</v>
      </c>
      <c r="B5805" s="9" t="s">
        <v>248</v>
      </c>
      <c r="C5805" s="10">
        <v>45555</v>
      </c>
      <c r="D5805" s="15">
        <v>1.039</v>
      </c>
      <c r="E5805" s="15">
        <v>1.609</v>
      </c>
      <c r="F5805" s="15">
        <v>1.7008</v>
      </c>
      <c r="G5805" s="11">
        <v>0.002</v>
      </c>
      <c r="H5805" s="9">
        <f>MAX($F$5616:F5805)</f>
        <v>1.7008</v>
      </c>
      <c r="I5805" s="11">
        <f t="shared" si="142"/>
        <v>0</v>
      </c>
      <c r="J5805" s="9"/>
      <c r="K5805" s="11"/>
      <c r="L5805" s="9">
        <f>MAX($F$5752:F5805)</f>
        <v>1.7008</v>
      </c>
      <c r="M5805" s="11">
        <f t="shared" si="141"/>
        <v>0</v>
      </c>
      <c r="N5805" s="9" t="s">
        <v>807</v>
      </c>
    </row>
    <row r="5806" ht="25" customHeight="1" spans="1:14">
      <c r="A5806" s="9" t="s">
        <v>249</v>
      </c>
      <c r="B5806" s="9" t="s">
        <v>248</v>
      </c>
      <c r="C5806" s="10">
        <v>45562</v>
      </c>
      <c r="D5806" s="15">
        <v>1.0479</v>
      </c>
      <c r="E5806" s="15">
        <v>1.6179</v>
      </c>
      <c r="F5806" s="15">
        <v>1.7154</v>
      </c>
      <c r="G5806" s="11">
        <v>0.0086</v>
      </c>
      <c r="H5806" s="9">
        <f>MAX($F$5616:F5806)</f>
        <v>1.7154</v>
      </c>
      <c r="I5806" s="11">
        <f t="shared" si="142"/>
        <v>0</v>
      </c>
      <c r="J5806" s="9"/>
      <c r="K5806" s="11"/>
      <c r="L5806" s="9">
        <f>MAX($F$5752:F5806)</f>
        <v>1.7154</v>
      </c>
      <c r="M5806" s="11">
        <f t="shared" si="141"/>
        <v>0</v>
      </c>
      <c r="N5806" s="9" t="s">
        <v>807</v>
      </c>
    </row>
    <row r="5807" ht="25" customHeight="1" spans="1:14">
      <c r="A5807" s="9" t="s">
        <v>249</v>
      </c>
      <c r="B5807" s="9" t="s">
        <v>248</v>
      </c>
      <c r="C5807" s="10">
        <v>45565</v>
      </c>
      <c r="D5807" s="15">
        <v>1.0491</v>
      </c>
      <c r="E5807" s="15">
        <v>1.6191</v>
      </c>
      <c r="F5807" s="15">
        <v>1.7174</v>
      </c>
      <c r="G5807" s="11">
        <v>0.0011</v>
      </c>
      <c r="H5807" s="9">
        <f>MAX($F$5616:F5807)</f>
        <v>1.7174</v>
      </c>
      <c r="I5807" s="11">
        <f t="shared" si="142"/>
        <v>0</v>
      </c>
      <c r="J5807" s="9"/>
      <c r="K5807" s="11"/>
      <c r="L5807" s="9">
        <f>MAX($F$5752:F5807)</f>
        <v>1.7174</v>
      </c>
      <c r="M5807" s="11">
        <f t="shared" si="141"/>
        <v>0</v>
      </c>
      <c r="N5807" s="9" t="s">
        <v>807</v>
      </c>
    </row>
    <row r="5808" ht="25" customHeight="1" spans="1:14">
      <c r="A5808" s="9" t="s">
        <v>249</v>
      </c>
      <c r="B5808" s="9" t="s">
        <v>248</v>
      </c>
      <c r="C5808" s="10">
        <v>45576</v>
      </c>
      <c r="D5808" s="15">
        <v>1.0559</v>
      </c>
      <c r="E5808" s="15">
        <v>1.6259</v>
      </c>
      <c r="F5808" s="15">
        <v>1.7285</v>
      </c>
      <c r="G5808" s="11">
        <v>0.0065</v>
      </c>
      <c r="H5808" s="9">
        <f>MAX($F$5616:F5808)</f>
        <v>1.7285</v>
      </c>
      <c r="I5808" s="11">
        <f t="shared" si="142"/>
        <v>0</v>
      </c>
      <c r="J5808" s="9"/>
      <c r="K5808" s="11"/>
      <c r="L5808" s="9">
        <f>MAX($F$5752:F5808)</f>
        <v>1.7285</v>
      </c>
      <c r="M5808" s="11">
        <f t="shared" si="141"/>
        <v>0</v>
      </c>
      <c r="N5808" s="9" t="s">
        <v>807</v>
      </c>
    </row>
    <row r="5809" ht="25" customHeight="1" spans="1:14">
      <c r="A5809" s="9" t="s">
        <v>249</v>
      </c>
      <c r="B5809" s="9" t="s">
        <v>248</v>
      </c>
      <c r="C5809" s="10">
        <v>45583</v>
      </c>
      <c r="D5809" s="15">
        <v>1.0661</v>
      </c>
      <c r="E5809" s="15">
        <v>1.6361</v>
      </c>
      <c r="F5809" s="15">
        <v>1.7452</v>
      </c>
      <c r="G5809" s="11">
        <v>0.0097</v>
      </c>
      <c r="H5809" s="9">
        <f>MAX($F$5616:F5809)</f>
        <v>1.7452</v>
      </c>
      <c r="I5809" s="11">
        <f t="shared" si="142"/>
        <v>0</v>
      </c>
      <c r="J5809" s="9"/>
      <c r="K5809" s="11"/>
      <c r="L5809" s="9">
        <f>MAX($F$5752:F5809)</f>
        <v>1.7452</v>
      </c>
      <c r="M5809" s="11">
        <f t="shared" si="141"/>
        <v>0</v>
      </c>
      <c r="N5809" s="9" t="s">
        <v>807</v>
      </c>
    </row>
    <row r="5810" ht="25" customHeight="1" spans="1:14">
      <c r="A5810" s="9" t="s">
        <v>249</v>
      </c>
      <c r="B5810" s="9" t="s">
        <v>248</v>
      </c>
      <c r="C5810" s="10">
        <v>45590</v>
      </c>
      <c r="D5810" s="15">
        <v>1.0715</v>
      </c>
      <c r="E5810" s="15">
        <v>1.6415</v>
      </c>
      <c r="F5810" s="15">
        <v>1.7541</v>
      </c>
      <c r="G5810" s="11">
        <v>0.0051</v>
      </c>
      <c r="H5810" s="9">
        <f>MAX($F$5616:F5810)</f>
        <v>1.7541</v>
      </c>
      <c r="I5810" s="11">
        <f t="shared" si="142"/>
        <v>0</v>
      </c>
      <c r="J5810" s="9"/>
      <c r="K5810" s="11"/>
      <c r="L5810" s="9">
        <f>MAX($F$5752:F5810)</f>
        <v>1.7541</v>
      </c>
      <c r="M5810" s="11">
        <f t="shared" si="141"/>
        <v>0</v>
      </c>
      <c r="N5810" s="9" t="s">
        <v>807</v>
      </c>
    </row>
    <row r="5811" ht="25" customHeight="1" spans="1:14">
      <c r="A5811" s="9" t="s">
        <v>249</v>
      </c>
      <c r="B5811" s="9" t="s">
        <v>248</v>
      </c>
      <c r="C5811" s="10">
        <v>45597</v>
      </c>
      <c r="D5811" s="15">
        <v>1.0752</v>
      </c>
      <c r="E5811" s="15">
        <v>1.6452</v>
      </c>
      <c r="F5811" s="15">
        <v>1.7601</v>
      </c>
      <c r="G5811" s="11">
        <v>0.0035</v>
      </c>
      <c r="H5811" s="9">
        <f>MAX($F$5616:F5811)</f>
        <v>1.7601</v>
      </c>
      <c r="I5811" s="11">
        <f t="shared" si="142"/>
        <v>0</v>
      </c>
      <c r="J5811" s="9"/>
      <c r="K5811" s="11"/>
      <c r="L5811" s="9">
        <f>MAX($F$5752:F5811)</f>
        <v>1.7601</v>
      </c>
      <c r="M5811" s="11">
        <f t="shared" si="141"/>
        <v>0</v>
      </c>
      <c r="N5811" s="9" t="s">
        <v>807</v>
      </c>
    </row>
    <row r="5812" ht="25" customHeight="1" spans="1:14">
      <c r="A5812" s="9" t="s">
        <v>249</v>
      </c>
      <c r="B5812" s="9" t="s">
        <v>248</v>
      </c>
      <c r="C5812" s="10">
        <v>45604</v>
      </c>
      <c r="D5812" s="15">
        <v>1.083</v>
      </c>
      <c r="E5812" s="15">
        <v>1.653</v>
      </c>
      <c r="F5812" s="15">
        <v>1.7729</v>
      </c>
      <c r="G5812" s="11">
        <v>0.0073</v>
      </c>
      <c r="H5812" s="9">
        <f>MAX($F$5616:F5812)</f>
        <v>1.7729</v>
      </c>
      <c r="I5812" s="11">
        <f t="shared" si="142"/>
        <v>0</v>
      </c>
      <c r="J5812" s="9"/>
      <c r="K5812" s="11"/>
      <c r="L5812" s="9">
        <f>MAX($F$5752:F5812)</f>
        <v>1.7729</v>
      </c>
      <c r="M5812" s="11">
        <f t="shared" si="141"/>
        <v>0</v>
      </c>
      <c r="N5812" s="9" t="s">
        <v>807</v>
      </c>
    </row>
    <row r="5813" ht="25" customHeight="1" spans="1:14">
      <c r="A5813" s="9" t="s">
        <v>249</v>
      </c>
      <c r="B5813" s="9" t="s">
        <v>248</v>
      </c>
      <c r="C5813" s="10">
        <v>45611</v>
      </c>
      <c r="D5813" s="15">
        <v>1.0828</v>
      </c>
      <c r="E5813" s="15">
        <v>1.6528</v>
      </c>
      <c r="F5813" s="15">
        <v>1.7726</v>
      </c>
      <c r="G5813" s="11">
        <v>-0.0002</v>
      </c>
      <c r="H5813" s="9">
        <f>MAX($F$5616:F5813)</f>
        <v>1.7729</v>
      </c>
      <c r="I5813" s="11">
        <f t="shared" si="142"/>
        <v>0.00016921428168537</v>
      </c>
      <c r="J5813" s="9"/>
      <c r="K5813" s="11"/>
      <c r="L5813" s="9">
        <f>MAX($F$5752:F5813)</f>
        <v>1.7729</v>
      </c>
      <c r="M5813" s="11">
        <f t="shared" si="141"/>
        <v>0.00016921428168537</v>
      </c>
      <c r="N5813" s="9" t="s">
        <v>807</v>
      </c>
    </row>
    <row r="5814" ht="25" customHeight="1" spans="1:14">
      <c r="A5814" s="9" t="s">
        <v>249</v>
      </c>
      <c r="B5814" s="9" t="s">
        <v>248</v>
      </c>
      <c r="C5814" s="10">
        <v>45618</v>
      </c>
      <c r="D5814" s="15">
        <v>1.0862</v>
      </c>
      <c r="E5814" s="15">
        <v>1.6562</v>
      </c>
      <c r="F5814" s="15">
        <v>1.7781</v>
      </c>
      <c r="G5814" s="11">
        <v>0.0031</v>
      </c>
      <c r="H5814" s="9">
        <f>MAX($F$5616:F5814)</f>
        <v>1.7781</v>
      </c>
      <c r="I5814" s="11">
        <f t="shared" si="142"/>
        <v>0</v>
      </c>
      <c r="J5814" s="9"/>
      <c r="K5814" s="11"/>
      <c r="L5814" s="9">
        <f>MAX($F$5752:F5814)</f>
        <v>1.7781</v>
      </c>
      <c r="M5814" s="11">
        <f t="shared" si="141"/>
        <v>0</v>
      </c>
      <c r="N5814" s="9" t="s">
        <v>807</v>
      </c>
    </row>
    <row r="5815" ht="25" customHeight="1" spans="1:14">
      <c r="A5815" s="9" t="s">
        <v>249</v>
      </c>
      <c r="B5815" s="9" t="s">
        <v>248</v>
      </c>
      <c r="C5815" s="10">
        <v>45625</v>
      </c>
      <c r="D5815" s="15">
        <v>1.0917</v>
      </c>
      <c r="E5815" s="15">
        <v>1.6617</v>
      </c>
      <c r="F5815" s="15">
        <v>1.7871</v>
      </c>
      <c r="G5815" s="11">
        <v>0.0051</v>
      </c>
      <c r="H5815" s="9">
        <f>MAX($F$5616:F5815)</f>
        <v>1.7871</v>
      </c>
      <c r="I5815" s="11">
        <f t="shared" si="142"/>
        <v>0</v>
      </c>
      <c r="J5815" s="9"/>
      <c r="K5815" s="11"/>
      <c r="L5815" s="9">
        <f>MAX($F$5752:F5815)</f>
        <v>1.7871</v>
      </c>
      <c r="M5815" s="11">
        <f t="shared" si="141"/>
        <v>0</v>
      </c>
      <c r="N5815" s="9" t="s">
        <v>807</v>
      </c>
    </row>
    <row r="5816" ht="25" customHeight="1" spans="1:14">
      <c r="A5816" s="9" t="s">
        <v>249</v>
      </c>
      <c r="B5816" s="9" t="s">
        <v>248</v>
      </c>
      <c r="C5816" s="10">
        <v>45632</v>
      </c>
      <c r="D5816" s="15">
        <v>1.0925</v>
      </c>
      <c r="E5816" s="15">
        <v>1.6625</v>
      </c>
      <c r="F5816" s="15">
        <v>1.7884</v>
      </c>
      <c r="G5816" s="11">
        <v>0.0007</v>
      </c>
      <c r="H5816" s="9">
        <f>MAX($F$5616:F5816)</f>
        <v>1.7884</v>
      </c>
      <c r="I5816" s="11">
        <f t="shared" si="142"/>
        <v>0</v>
      </c>
      <c r="J5816" s="9"/>
      <c r="K5816" s="11"/>
      <c r="L5816" s="9">
        <f>MAX($F$5752:F5816)</f>
        <v>1.7884</v>
      </c>
      <c r="M5816" s="11">
        <f t="shared" ref="M5816:M5879" si="143">1-F5816/L5816</f>
        <v>0</v>
      </c>
      <c r="N5816" s="9" t="s">
        <v>807</v>
      </c>
    </row>
    <row r="5817" ht="25" customHeight="1" spans="1:14">
      <c r="A5817" s="9" t="s">
        <v>249</v>
      </c>
      <c r="B5817" s="9" t="s">
        <v>248</v>
      </c>
      <c r="C5817" s="10">
        <v>45639</v>
      </c>
      <c r="D5817" s="15">
        <v>1.094</v>
      </c>
      <c r="E5817" s="15">
        <v>1.664</v>
      </c>
      <c r="F5817" s="15">
        <v>1.7909</v>
      </c>
      <c r="G5817" s="11">
        <v>0.0014</v>
      </c>
      <c r="H5817" s="9">
        <f>MAX($F$5616:F5817)</f>
        <v>1.7909</v>
      </c>
      <c r="I5817" s="11">
        <f t="shared" si="142"/>
        <v>0</v>
      </c>
      <c r="J5817" s="9"/>
      <c r="K5817" s="11"/>
      <c r="L5817" s="9">
        <f>MAX($F$5752:F5817)</f>
        <v>1.7909</v>
      </c>
      <c r="M5817" s="11">
        <f t="shared" si="143"/>
        <v>0</v>
      </c>
      <c r="N5817" s="9" t="s">
        <v>807</v>
      </c>
    </row>
    <row r="5818" ht="25" customHeight="1" spans="1:14">
      <c r="A5818" s="9" t="s">
        <v>249</v>
      </c>
      <c r="B5818" s="9" t="s">
        <v>248</v>
      </c>
      <c r="C5818" s="10">
        <v>45646</v>
      </c>
      <c r="D5818" s="15">
        <v>1.0945</v>
      </c>
      <c r="E5818" s="15">
        <v>1.6645</v>
      </c>
      <c r="F5818" s="15">
        <v>1.7917</v>
      </c>
      <c r="G5818" s="11">
        <v>0.0005</v>
      </c>
      <c r="H5818" s="9">
        <f>MAX($F$5616:F5818)</f>
        <v>1.7917</v>
      </c>
      <c r="I5818" s="11">
        <f t="shared" si="142"/>
        <v>0</v>
      </c>
      <c r="J5818" s="9"/>
      <c r="K5818" s="11"/>
      <c r="L5818" s="9">
        <f>MAX($F$5752:F5818)</f>
        <v>1.7917</v>
      </c>
      <c r="M5818" s="11">
        <f t="shared" si="143"/>
        <v>0</v>
      </c>
      <c r="N5818" s="9" t="s">
        <v>807</v>
      </c>
    </row>
    <row r="5819" ht="25" customHeight="1" spans="1:14">
      <c r="A5819" s="9" t="s">
        <v>249</v>
      </c>
      <c r="B5819" s="9" t="s">
        <v>248</v>
      </c>
      <c r="C5819" s="10">
        <v>45653</v>
      </c>
      <c r="D5819" s="15">
        <v>1.0951</v>
      </c>
      <c r="E5819" s="15">
        <v>1.6651</v>
      </c>
      <c r="F5819" s="15">
        <v>1.7927</v>
      </c>
      <c r="G5819" s="11">
        <v>0.0005</v>
      </c>
      <c r="H5819" s="9">
        <f>MAX($F$5616:F5819)</f>
        <v>1.7927</v>
      </c>
      <c r="I5819" s="11">
        <f t="shared" si="142"/>
        <v>0</v>
      </c>
      <c r="J5819" s="9"/>
      <c r="K5819" s="11"/>
      <c r="L5819" s="9">
        <f>MAX($F$5752:F5819)</f>
        <v>1.7927</v>
      </c>
      <c r="M5819" s="11">
        <f t="shared" si="143"/>
        <v>0</v>
      </c>
      <c r="N5819" s="9" t="s">
        <v>807</v>
      </c>
    </row>
    <row r="5820" ht="25" customHeight="1" spans="1:14">
      <c r="A5820" s="9" t="s">
        <v>249</v>
      </c>
      <c r="B5820" s="9" t="s">
        <v>248</v>
      </c>
      <c r="C5820" s="10">
        <v>45660</v>
      </c>
      <c r="D5820" s="15">
        <v>1.1007</v>
      </c>
      <c r="E5820" s="15">
        <v>1.6707</v>
      </c>
      <c r="F5820" s="15">
        <v>1.8019</v>
      </c>
      <c r="G5820" s="11">
        <v>0.0051</v>
      </c>
      <c r="H5820" s="9">
        <f>MAX($F$5616:F5820)</f>
        <v>1.8019</v>
      </c>
      <c r="I5820" s="11">
        <f t="shared" si="142"/>
        <v>0</v>
      </c>
      <c r="J5820" s="9"/>
      <c r="K5820" s="11"/>
      <c r="L5820" s="9">
        <f>MAX($F$5752:F5820)</f>
        <v>1.8019</v>
      </c>
      <c r="M5820" s="11">
        <f t="shared" si="143"/>
        <v>0</v>
      </c>
      <c r="N5820" s="9" t="s">
        <v>807</v>
      </c>
    </row>
    <row r="5821" ht="25" customHeight="1" spans="1:14">
      <c r="A5821" s="9" t="s">
        <v>249</v>
      </c>
      <c r="B5821" s="9" t="s">
        <v>248</v>
      </c>
      <c r="C5821" s="10">
        <v>45667</v>
      </c>
      <c r="D5821" s="15">
        <v>1.1049</v>
      </c>
      <c r="E5821" s="15">
        <v>1.6749</v>
      </c>
      <c r="F5821" s="15">
        <v>1.8087</v>
      </c>
      <c r="G5821" s="11">
        <v>0.0038</v>
      </c>
      <c r="H5821" s="9">
        <f>MAX($F$5616:F5821)</f>
        <v>1.8087</v>
      </c>
      <c r="I5821" s="11">
        <f t="shared" si="142"/>
        <v>0</v>
      </c>
      <c r="J5821" s="9"/>
      <c r="K5821" s="11"/>
      <c r="L5821" s="9">
        <f>MAX($F$5752:F5821)</f>
        <v>1.8087</v>
      </c>
      <c r="M5821" s="11">
        <f t="shared" si="143"/>
        <v>0</v>
      </c>
      <c r="N5821" s="9" t="s">
        <v>807</v>
      </c>
    </row>
    <row r="5822" ht="25" customHeight="1" spans="1:14">
      <c r="A5822" s="9" t="s">
        <v>249</v>
      </c>
      <c r="B5822" s="9" t="s">
        <v>248</v>
      </c>
      <c r="C5822" s="10">
        <v>45674</v>
      </c>
      <c r="D5822" s="15">
        <v>1.1057</v>
      </c>
      <c r="E5822" s="15">
        <v>1.6757</v>
      </c>
      <c r="F5822" s="15">
        <v>1.81</v>
      </c>
      <c r="G5822" s="11">
        <v>0.0007</v>
      </c>
      <c r="H5822" s="9">
        <f>MAX($F$5616:F5822)</f>
        <v>1.81</v>
      </c>
      <c r="I5822" s="11">
        <f t="shared" si="142"/>
        <v>0</v>
      </c>
      <c r="J5822" s="9"/>
      <c r="K5822" s="11"/>
      <c r="L5822" s="9">
        <f>MAX($F$5752:F5822)</f>
        <v>1.81</v>
      </c>
      <c r="M5822" s="11">
        <f t="shared" si="143"/>
        <v>0</v>
      </c>
      <c r="N5822" s="9" t="s">
        <v>807</v>
      </c>
    </row>
    <row r="5823" ht="25" customHeight="1" spans="1:14">
      <c r="A5823" s="9" t="s">
        <v>249</v>
      </c>
      <c r="B5823" s="9" t="s">
        <v>248</v>
      </c>
      <c r="C5823" s="10">
        <v>45681</v>
      </c>
      <c r="D5823" s="15">
        <v>1.1074</v>
      </c>
      <c r="E5823" s="15">
        <v>1.6774</v>
      </c>
      <c r="F5823" s="15">
        <v>1.8128</v>
      </c>
      <c r="G5823" s="11">
        <v>0.0015</v>
      </c>
      <c r="H5823" s="9">
        <f>MAX($F$5616:F5823)</f>
        <v>1.8128</v>
      </c>
      <c r="I5823" s="11">
        <f t="shared" si="142"/>
        <v>0</v>
      </c>
      <c r="J5823" s="9"/>
      <c r="K5823" s="11"/>
      <c r="L5823" s="9">
        <f>MAX($F$5752:F5823)</f>
        <v>1.8128</v>
      </c>
      <c r="M5823" s="11">
        <f t="shared" si="143"/>
        <v>0</v>
      </c>
      <c r="N5823" s="9" t="s">
        <v>807</v>
      </c>
    </row>
    <row r="5824" ht="25" customHeight="1" spans="1:14">
      <c r="A5824" s="9" t="s">
        <v>249</v>
      </c>
      <c r="B5824" s="9" t="s">
        <v>248</v>
      </c>
      <c r="C5824" s="10">
        <v>45684</v>
      </c>
      <c r="D5824" s="15">
        <v>1.1074</v>
      </c>
      <c r="E5824" s="15">
        <v>1.6774</v>
      </c>
      <c r="F5824" s="15">
        <v>1.8128</v>
      </c>
      <c r="G5824" s="11">
        <v>0</v>
      </c>
      <c r="H5824" s="9">
        <f>MAX($F$5616:F5824)</f>
        <v>1.8128</v>
      </c>
      <c r="I5824" s="11">
        <f t="shared" si="142"/>
        <v>0</v>
      </c>
      <c r="J5824" s="9"/>
      <c r="K5824" s="11"/>
      <c r="L5824" s="9">
        <f>MAX($F$5752:F5824)</f>
        <v>1.8128</v>
      </c>
      <c r="M5824" s="11">
        <f t="shared" si="143"/>
        <v>0</v>
      </c>
      <c r="N5824" s="9" t="s">
        <v>807</v>
      </c>
    </row>
    <row r="5825" ht="25" customHeight="1" spans="1:14">
      <c r="A5825" s="9" t="s">
        <v>249</v>
      </c>
      <c r="B5825" s="9" t="s">
        <v>248</v>
      </c>
      <c r="C5825" s="10">
        <v>45695</v>
      </c>
      <c r="D5825" s="15">
        <v>1.1091</v>
      </c>
      <c r="E5825" s="15">
        <v>1.6791</v>
      </c>
      <c r="F5825" s="15">
        <v>1.8156</v>
      </c>
      <c r="G5825" s="11">
        <v>0.0015</v>
      </c>
      <c r="H5825" s="9">
        <f>MAX($F$5616:F5825)</f>
        <v>1.8156</v>
      </c>
      <c r="I5825" s="11">
        <f t="shared" si="142"/>
        <v>0</v>
      </c>
      <c r="J5825" s="9"/>
      <c r="K5825" s="11"/>
      <c r="L5825" s="9">
        <f>MAX($F$5752:F5825)</f>
        <v>1.8156</v>
      </c>
      <c r="M5825" s="11">
        <f t="shared" si="143"/>
        <v>0</v>
      </c>
      <c r="N5825" s="9" t="s">
        <v>807</v>
      </c>
    </row>
    <row r="5826" ht="25" customHeight="1" spans="1:14">
      <c r="A5826" s="9" t="s">
        <v>249</v>
      </c>
      <c r="B5826" s="9" t="s">
        <v>248</v>
      </c>
      <c r="C5826" s="10">
        <v>45702</v>
      </c>
      <c r="D5826" s="15">
        <v>1.1114</v>
      </c>
      <c r="E5826" s="15">
        <v>1.6814</v>
      </c>
      <c r="F5826" s="15">
        <v>1.8194</v>
      </c>
      <c r="G5826" s="11">
        <v>0.0021</v>
      </c>
      <c r="H5826" s="9">
        <f>MAX($F$5616:F5826)</f>
        <v>1.8194</v>
      </c>
      <c r="I5826" s="11">
        <f t="shared" ref="I5826:I5889" si="144">1-F5826/H5826</f>
        <v>0</v>
      </c>
      <c r="J5826" s="9"/>
      <c r="K5826" s="11"/>
      <c r="L5826" s="9">
        <f>MAX($F$5752:F5826)</f>
        <v>1.8194</v>
      </c>
      <c r="M5826" s="11">
        <f t="shared" si="143"/>
        <v>0</v>
      </c>
      <c r="N5826" s="9" t="s">
        <v>807</v>
      </c>
    </row>
    <row r="5827" ht="25" customHeight="1" spans="1:14">
      <c r="A5827" s="9" t="s">
        <v>249</v>
      </c>
      <c r="B5827" s="9" t="s">
        <v>248</v>
      </c>
      <c r="C5827" s="10">
        <v>45709</v>
      </c>
      <c r="D5827" s="15">
        <v>1.1149</v>
      </c>
      <c r="E5827" s="15">
        <v>1.6849</v>
      </c>
      <c r="F5827" s="15">
        <v>1.8251</v>
      </c>
      <c r="G5827" s="11">
        <v>0.0031</v>
      </c>
      <c r="H5827" s="9">
        <f>MAX($F$5616:F5827)</f>
        <v>1.8251</v>
      </c>
      <c r="I5827" s="11">
        <f t="shared" si="144"/>
        <v>0</v>
      </c>
      <c r="J5827" s="9"/>
      <c r="K5827" s="11"/>
      <c r="L5827" s="9">
        <f>MAX($F$5752:F5827)</f>
        <v>1.8251</v>
      </c>
      <c r="M5827" s="11">
        <f t="shared" si="143"/>
        <v>0</v>
      </c>
      <c r="N5827" s="9" t="s">
        <v>807</v>
      </c>
    </row>
    <row r="5828" ht="25" customHeight="1" spans="1:14">
      <c r="A5828" s="9" t="s">
        <v>249</v>
      </c>
      <c r="B5828" s="9" t="s">
        <v>248</v>
      </c>
      <c r="C5828" s="10">
        <v>45716</v>
      </c>
      <c r="D5828" s="15">
        <v>1.1175</v>
      </c>
      <c r="E5828" s="15">
        <v>1.6875</v>
      </c>
      <c r="F5828" s="15">
        <v>1.8294</v>
      </c>
      <c r="G5828" s="11">
        <v>0.0023</v>
      </c>
      <c r="H5828" s="9">
        <f>MAX($F$5616:F5828)</f>
        <v>1.8294</v>
      </c>
      <c r="I5828" s="11">
        <f t="shared" si="144"/>
        <v>0</v>
      </c>
      <c r="J5828" s="9"/>
      <c r="K5828" s="11"/>
      <c r="L5828" s="9">
        <f>MAX($F$5752:F5828)</f>
        <v>1.8294</v>
      </c>
      <c r="M5828" s="11">
        <f t="shared" si="143"/>
        <v>0</v>
      </c>
      <c r="N5828" s="9" t="s">
        <v>807</v>
      </c>
    </row>
    <row r="5829" ht="25" customHeight="1" spans="1:14">
      <c r="A5829" s="9" t="s">
        <v>249</v>
      </c>
      <c r="B5829" s="9" t="s">
        <v>248</v>
      </c>
      <c r="C5829" s="10">
        <v>45723</v>
      </c>
      <c r="D5829" s="15">
        <v>1.1195</v>
      </c>
      <c r="E5829" s="15">
        <v>1.6895</v>
      </c>
      <c r="F5829" s="15">
        <v>1.8326</v>
      </c>
      <c r="G5829" s="11">
        <v>0.0018</v>
      </c>
      <c r="H5829" s="9">
        <f>MAX($F$5616:F5829)</f>
        <v>1.8326</v>
      </c>
      <c r="I5829" s="11">
        <f t="shared" si="144"/>
        <v>0</v>
      </c>
      <c r="J5829" s="9"/>
      <c r="K5829" s="11"/>
      <c r="L5829" s="9">
        <f>MAX($F$5752:F5829)</f>
        <v>1.8326</v>
      </c>
      <c r="M5829" s="11">
        <f t="shared" si="143"/>
        <v>0</v>
      </c>
      <c r="N5829" s="9" t="s">
        <v>807</v>
      </c>
    </row>
    <row r="5830" ht="25" customHeight="1" spans="1:14">
      <c r="A5830" s="9" t="s">
        <v>249</v>
      </c>
      <c r="B5830" s="9" t="s">
        <v>248</v>
      </c>
      <c r="C5830" s="10">
        <v>45730</v>
      </c>
      <c r="D5830" s="15">
        <v>1.1193</v>
      </c>
      <c r="E5830" s="15">
        <v>1.6893</v>
      </c>
      <c r="F5830" s="15">
        <v>1.8323</v>
      </c>
      <c r="G5830" s="11">
        <v>-0.0002</v>
      </c>
      <c r="H5830" s="9">
        <f>MAX($F$5616:F5830)</f>
        <v>1.8326</v>
      </c>
      <c r="I5830" s="11">
        <f t="shared" si="144"/>
        <v>0.000163701844374087</v>
      </c>
      <c r="J5830" s="9"/>
      <c r="K5830" s="11"/>
      <c r="L5830" s="9">
        <f>MAX($F$5752:F5830)</f>
        <v>1.8326</v>
      </c>
      <c r="M5830" s="11">
        <f t="shared" si="143"/>
        <v>0.000163701844374087</v>
      </c>
      <c r="N5830" s="9" t="s">
        <v>807</v>
      </c>
    </row>
    <row r="5831" ht="25" customHeight="1" spans="1:14">
      <c r="A5831" s="9" t="s">
        <v>249</v>
      </c>
      <c r="B5831" s="9" t="s">
        <v>248</v>
      </c>
      <c r="C5831" s="10">
        <v>45737</v>
      </c>
      <c r="D5831" s="15">
        <v>1.0005</v>
      </c>
      <c r="E5831" s="15">
        <v>1.6896</v>
      </c>
      <c r="F5831" s="15">
        <v>1.8328</v>
      </c>
      <c r="G5831" s="11">
        <v>0.0003</v>
      </c>
      <c r="H5831" s="9">
        <f>MAX($F$5616:F5831)</f>
        <v>1.8328</v>
      </c>
      <c r="I5831" s="11">
        <f t="shared" si="144"/>
        <v>0</v>
      </c>
      <c r="J5831" s="9"/>
      <c r="K5831" s="11"/>
      <c r="L5831" s="9">
        <f>MAX($F$5752:F5831)</f>
        <v>1.8328</v>
      </c>
      <c r="M5831" s="11">
        <f t="shared" si="143"/>
        <v>0</v>
      </c>
      <c r="N5831" s="9" t="s">
        <v>807</v>
      </c>
    </row>
    <row r="5832" ht="25" customHeight="1" spans="1:14">
      <c r="A5832" s="9" t="s">
        <v>249</v>
      </c>
      <c r="B5832" s="9" t="s">
        <v>248</v>
      </c>
      <c r="C5832" s="10">
        <v>45744</v>
      </c>
      <c r="D5832" s="15">
        <v>1.0015</v>
      </c>
      <c r="E5832" s="15">
        <v>1.6906</v>
      </c>
      <c r="F5832" s="15">
        <v>1.8346</v>
      </c>
      <c r="G5832" s="11">
        <v>0.001</v>
      </c>
      <c r="H5832" s="9">
        <f>MAX($F$5616:F5832)</f>
        <v>1.8346</v>
      </c>
      <c r="I5832" s="11">
        <f t="shared" si="144"/>
        <v>0</v>
      </c>
      <c r="J5832" s="9"/>
      <c r="K5832" s="11"/>
      <c r="L5832" s="9">
        <f>MAX($F$5752:F5832)</f>
        <v>1.8346</v>
      </c>
      <c r="M5832" s="11">
        <f t="shared" si="143"/>
        <v>0</v>
      </c>
      <c r="N5832" s="9" t="s">
        <v>807</v>
      </c>
    </row>
    <row r="5833" ht="25" customHeight="1" spans="1:14">
      <c r="A5833" s="9" t="s">
        <v>249</v>
      </c>
      <c r="B5833" s="9" t="s">
        <v>248</v>
      </c>
      <c r="C5833" s="10">
        <v>45750</v>
      </c>
      <c r="D5833" s="15">
        <v>1.0022</v>
      </c>
      <c r="E5833" s="15">
        <v>1.6913</v>
      </c>
      <c r="F5833" s="15">
        <v>1.8359</v>
      </c>
      <c r="G5833" s="11">
        <v>0.0007</v>
      </c>
      <c r="H5833" s="9">
        <f>MAX($F$5616:F5833)</f>
        <v>1.8359</v>
      </c>
      <c r="I5833" s="11">
        <f t="shared" si="144"/>
        <v>0</v>
      </c>
      <c r="J5833" s="9"/>
      <c r="K5833" s="11"/>
      <c r="L5833" s="9">
        <f>MAX($F$5752:F5833)</f>
        <v>1.8359</v>
      </c>
      <c r="M5833" s="11">
        <f t="shared" si="143"/>
        <v>0</v>
      </c>
      <c r="N5833" s="9" t="s">
        <v>807</v>
      </c>
    </row>
    <row r="5834" ht="25" customHeight="1" spans="1:14">
      <c r="A5834" s="9" t="s">
        <v>249</v>
      </c>
      <c r="B5834" s="9" t="s">
        <v>248</v>
      </c>
      <c r="C5834" s="10">
        <v>45758</v>
      </c>
      <c r="D5834" s="15">
        <v>1.0069</v>
      </c>
      <c r="E5834" s="15">
        <v>1.696</v>
      </c>
      <c r="F5834" s="15">
        <v>1.8445</v>
      </c>
      <c r="G5834" s="11">
        <v>0.0047</v>
      </c>
      <c r="H5834" s="9">
        <f>MAX($F$5616:F5834)</f>
        <v>1.8445</v>
      </c>
      <c r="I5834" s="11">
        <f t="shared" si="144"/>
        <v>0</v>
      </c>
      <c r="J5834" s="9"/>
      <c r="K5834" s="11"/>
      <c r="L5834" s="9">
        <f>MAX($F$5752:F5834)</f>
        <v>1.8445</v>
      </c>
      <c r="M5834" s="11">
        <f t="shared" si="143"/>
        <v>0</v>
      </c>
      <c r="N5834" s="9" t="s">
        <v>807</v>
      </c>
    </row>
    <row r="5835" ht="25" customHeight="1" spans="1:14">
      <c r="A5835" s="9" t="s">
        <v>249</v>
      </c>
      <c r="B5835" s="9" t="s">
        <v>248</v>
      </c>
      <c r="C5835" s="10">
        <v>45765</v>
      </c>
      <c r="D5835" s="15">
        <v>1.0063</v>
      </c>
      <c r="E5835" s="15">
        <v>1.6954</v>
      </c>
      <c r="F5835" s="15">
        <v>1.8434</v>
      </c>
      <c r="G5835" s="11">
        <v>-0.0006</v>
      </c>
      <c r="H5835" s="9">
        <f>MAX($F$5616:F5835)</f>
        <v>1.8445</v>
      </c>
      <c r="I5835" s="11">
        <f t="shared" si="144"/>
        <v>0.000596367579289825</v>
      </c>
      <c r="J5835" s="9"/>
      <c r="K5835" s="11"/>
      <c r="L5835" s="9">
        <f>MAX($F$5752:F5835)</f>
        <v>1.8445</v>
      </c>
      <c r="M5835" s="11">
        <f t="shared" si="143"/>
        <v>0.000596367579289825</v>
      </c>
      <c r="N5835" s="9" t="s">
        <v>807</v>
      </c>
    </row>
    <row r="5836" ht="25" customHeight="1" spans="1:14">
      <c r="A5836" s="9" t="s">
        <v>249</v>
      </c>
      <c r="B5836" s="9" t="s">
        <v>248</v>
      </c>
      <c r="C5836" s="10">
        <v>45772</v>
      </c>
      <c r="D5836" s="15">
        <v>1.0064</v>
      </c>
      <c r="E5836" s="15">
        <v>1.6955</v>
      </c>
      <c r="F5836" s="15">
        <v>1.8436</v>
      </c>
      <c r="G5836" s="11">
        <v>0.0001</v>
      </c>
      <c r="H5836" s="9">
        <f>MAX($F$5616:F5836)</f>
        <v>1.8445</v>
      </c>
      <c r="I5836" s="11">
        <f t="shared" si="144"/>
        <v>0.000487937110328018</v>
      </c>
      <c r="J5836" s="9"/>
      <c r="K5836" s="11"/>
      <c r="L5836" s="9">
        <f>MAX($F$5752:F5836)</f>
        <v>1.8445</v>
      </c>
      <c r="M5836" s="11">
        <f t="shared" si="143"/>
        <v>0.000487937110328018</v>
      </c>
      <c r="N5836" s="9" t="s">
        <v>807</v>
      </c>
    </row>
    <row r="5837" ht="25" customHeight="1" spans="1:14">
      <c r="A5837" s="9" t="s">
        <v>249</v>
      </c>
      <c r="B5837" s="9" t="s">
        <v>248</v>
      </c>
      <c r="C5837" s="10">
        <v>45777</v>
      </c>
      <c r="D5837" s="15">
        <v>1.0067</v>
      </c>
      <c r="E5837" s="15">
        <v>1.6958</v>
      </c>
      <c r="F5837" s="15">
        <v>1.8441</v>
      </c>
      <c r="G5837" s="11">
        <v>0.0003</v>
      </c>
      <c r="H5837" s="9">
        <f>MAX($F$5616:F5837)</f>
        <v>1.8445</v>
      </c>
      <c r="I5837" s="11">
        <f t="shared" si="144"/>
        <v>0.000216860937923502</v>
      </c>
      <c r="J5837" s="9"/>
      <c r="K5837" s="11"/>
      <c r="L5837" s="9">
        <f>MAX($F$5752:F5837)</f>
        <v>1.8445</v>
      </c>
      <c r="M5837" s="11">
        <f t="shared" si="143"/>
        <v>0.000216860937923502</v>
      </c>
      <c r="N5837" s="9" t="s">
        <v>807</v>
      </c>
    </row>
    <row r="5838" ht="25" customHeight="1" spans="1:14">
      <c r="A5838" s="9" t="s">
        <v>249</v>
      </c>
      <c r="B5838" s="9" t="s">
        <v>248</v>
      </c>
      <c r="C5838" s="10">
        <v>45786</v>
      </c>
      <c r="D5838" s="15">
        <v>1.0061</v>
      </c>
      <c r="E5838" s="15">
        <v>1.6952</v>
      </c>
      <c r="F5838" s="15">
        <v>1.8431</v>
      </c>
      <c r="G5838" s="11">
        <v>-0.0006</v>
      </c>
      <c r="H5838" s="9">
        <f>MAX($F$5616:F5838)</f>
        <v>1.8445</v>
      </c>
      <c r="I5838" s="11">
        <f t="shared" si="144"/>
        <v>0.000759013282732535</v>
      </c>
      <c r="J5838" s="9"/>
      <c r="K5838" s="11"/>
      <c r="L5838" s="9">
        <f>MAX($F$5752:F5838)</f>
        <v>1.8445</v>
      </c>
      <c r="M5838" s="11">
        <f t="shared" si="143"/>
        <v>0.000759013282732535</v>
      </c>
      <c r="N5838" s="9" t="s">
        <v>807</v>
      </c>
    </row>
    <row r="5839" ht="25" customHeight="1" spans="1:14">
      <c r="A5839" s="9" t="s">
        <v>249</v>
      </c>
      <c r="B5839" s="9" t="s">
        <v>248</v>
      </c>
      <c r="C5839" s="10">
        <v>45793</v>
      </c>
      <c r="D5839" s="15">
        <v>1.007</v>
      </c>
      <c r="E5839" s="15">
        <v>1.6961</v>
      </c>
      <c r="F5839" s="15">
        <v>1.8447</v>
      </c>
      <c r="G5839" s="11">
        <v>0.0009</v>
      </c>
      <c r="H5839" s="9">
        <f>MAX($F$5616:F5839)</f>
        <v>1.8447</v>
      </c>
      <c r="I5839" s="11">
        <f t="shared" si="144"/>
        <v>0</v>
      </c>
      <c r="J5839" s="9"/>
      <c r="K5839" s="11"/>
      <c r="L5839" s="9">
        <f>MAX($F$5752:F5839)</f>
        <v>1.8447</v>
      </c>
      <c r="M5839" s="11">
        <f t="shared" si="143"/>
        <v>0</v>
      </c>
      <c r="N5839" s="9" t="s">
        <v>807</v>
      </c>
    </row>
    <row r="5840" ht="25" customHeight="1" spans="1:14">
      <c r="A5840" s="9" t="s">
        <v>249</v>
      </c>
      <c r="B5840" s="9" t="s">
        <v>248</v>
      </c>
      <c r="C5840" s="10">
        <v>45800</v>
      </c>
      <c r="D5840" s="15">
        <v>1.0065</v>
      </c>
      <c r="E5840" s="15">
        <v>1.6956</v>
      </c>
      <c r="F5840" s="15">
        <v>1.8438</v>
      </c>
      <c r="G5840" s="11">
        <v>-0.0005</v>
      </c>
      <c r="H5840" s="9">
        <f>MAX($F$5616:F5840)</f>
        <v>1.8447</v>
      </c>
      <c r="I5840" s="11">
        <f t="shared" si="144"/>
        <v>0.000487884208814404</v>
      </c>
      <c r="J5840" s="9"/>
      <c r="K5840" s="11"/>
      <c r="L5840" s="9">
        <f>MAX($F$5752:F5840)</f>
        <v>1.8447</v>
      </c>
      <c r="M5840" s="11">
        <f t="shared" si="143"/>
        <v>0.000487884208814404</v>
      </c>
      <c r="N5840" s="9" t="s">
        <v>807</v>
      </c>
    </row>
    <row r="5841" ht="25" customHeight="1" spans="1:14">
      <c r="A5841" s="9" t="s">
        <v>249</v>
      </c>
      <c r="B5841" s="9" t="s">
        <v>248</v>
      </c>
      <c r="C5841" s="10">
        <v>45807</v>
      </c>
      <c r="D5841" s="15">
        <v>1.0067</v>
      </c>
      <c r="E5841" s="15">
        <v>1.6958</v>
      </c>
      <c r="F5841" s="15">
        <v>1.8441</v>
      </c>
      <c r="G5841" s="11">
        <v>0.0002</v>
      </c>
      <c r="H5841" s="9">
        <f>MAX($F$5616:F5841)</f>
        <v>1.8447</v>
      </c>
      <c r="I5841" s="11">
        <f t="shared" si="144"/>
        <v>0.00032525613920964</v>
      </c>
      <c r="J5841" s="9"/>
      <c r="K5841" s="11"/>
      <c r="L5841" s="9">
        <f>MAX($F$5752:F5841)</f>
        <v>1.8447</v>
      </c>
      <c r="M5841" s="11">
        <f t="shared" si="143"/>
        <v>0.00032525613920964</v>
      </c>
      <c r="N5841" s="9" t="s">
        <v>807</v>
      </c>
    </row>
    <row r="5842" ht="25" customHeight="1" spans="1:14">
      <c r="A5842" s="9" t="s">
        <v>249</v>
      </c>
      <c r="B5842" s="9" t="s">
        <v>248</v>
      </c>
      <c r="C5842" s="10">
        <v>45814</v>
      </c>
      <c r="D5842" s="15">
        <v>1.0064</v>
      </c>
      <c r="E5842" s="15">
        <v>1.6955</v>
      </c>
      <c r="F5842" s="15">
        <v>1.8436</v>
      </c>
      <c r="G5842" s="11">
        <v>-0.0003</v>
      </c>
      <c r="H5842" s="9">
        <f>MAX($F$5616:F5842)</f>
        <v>1.8447</v>
      </c>
      <c r="I5842" s="11">
        <f t="shared" si="144"/>
        <v>0.000596302921884395</v>
      </c>
      <c r="J5842" s="9"/>
      <c r="K5842" s="11"/>
      <c r="L5842" s="9">
        <f>MAX($F$5752:F5842)</f>
        <v>1.8447</v>
      </c>
      <c r="M5842" s="11">
        <f t="shared" si="143"/>
        <v>0.000596302921884395</v>
      </c>
      <c r="N5842" s="9" t="s">
        <v>807</v>
      </c>
    </row>
    <row r="5843" ht="25" customHeight="1" spans="1:14">
      <c r="A5843" s="9" t="s">
        <v>249</v>
      </c>
      <c r="B5843" s="9" t="s">
        <v>248</v>
      </c>
      <c r="C5843" s="10">
        <v>45821</v>
      </c>
      <c r="D5843" s="15">
        <v>1.0065</v>
      </c>
      <c r="E5843" s="15">
        <v>1.6956</v>
      </c>
      <c r="F5843" s="15">
        <v>1.8438</v>
      </c>
      <c r="G5843" s="11">
        <v>0.0001</v>
      </c>
      <c r="H5843" s="9">
        <f>MAX($F$5616:F5843)</f>
        <v>1.8447</v>
      </c>
      <c r="I5843" s="11">
        <f t="shared" si="144"/>
        <v>0.000487884208814404</v>
      </c>
      <c r="J5843" s="9"/>
      <c r="K5843" s="11"/>
      <c r="L5843" s="9">
        <f>MAX($F$5752:F5843)</f>
        <v>1.8447</v>
      </c>
      <c r="M5843" s="11">
        <f t="shared" si="143"/>
        <v>0.000487884208814404</v>
      </c>
      <c r="N5843" s="9" t="s">
        <v>807</v>
      </c>
    </row>
    <row r="5844" ht="25" customHeight="1" spans="1:14">
      <c r="A5844" s="9" t="s">
        <v>249</v>
      </c>
      <c r="B5844" s="9" t="s">
        <v>248</v>
      </c>
      <c r="C5844" s="10">
        <v>45828</v>
      </c>
      <c r="D5844" s="15">
        <v>1.0061</v>
      </c>
      <c r="E5844" s="15">
        <v>1.6952</v>
      </c>
      <c r="F5844" s="15">
        <v>1.8431</v>
      </c>
      <c r="G5844" s="11">
        <v>-0.0004</v>
      </c>
      <c r="H5844" s="9">
        <f>MAX($F$5616:F5844)</f>
        <v>1.8447</v>
      </c>
      <c r="I5844" s="11">
        <f t="shared" si="144"/>
        <v>0.000867349704559039</v>
      </c>
      <c r="J5844" s="9"/>
      <c r="K5844" s="11"/>
      <c r="L5844" s="9">
        <f>MAX($F$5752:F5844)</f>
        <v>1.8447</v>
      </c>
      <c r="M5844" s="11">
        <f t="shared" si="143"/>
        <v>0.000867349704559039</v>
      </c>
      <c r="N5844" s="9" t="s">
        <v>807</v>
      </c>
    </row>
    <row r="5845" ht="25" customHeight="1" spans="1:14">
      <c r="A5845" s="9" t="s">
        <v>249</v>
      </c>
      <c r="B5845" s="9" t="s">
        <v>248</v>
      </c>
      <c r="C5845" s="10">
        <v>45835</v>
      </c>
      <c r="D5845" s="15">
        <v>1.007</v>
      </c>
      <c r="E5845" s="15">
        <v>1.6961</v>
      </c>
      <c r="F5845" s="15">
        <v>1.8447</v>
      </c>
      <c r="G5845" s="11">
        <v>0.0009</v>
      </c>
      <c r="H5845" s="9">
        <f>MAX($F$5616:F5845)</f>
        <v>1.8447</v>
      </c>
      <c r="I5845" s="11">
        <f t="shared" si="144"/>
        <v>0</v>
      </c>
      <c r="J5845" s="9"/>
      <c r="K5845" s="11"/>
      <c r="L5845" s="9">
        <f>MAX($F$5752:F5845)</f>
        <v>1.8447</v>
      </c>
      <c r="M5845" s="11">
        <f t="shared" si="143"/>
        <v>0</v>
      </c>
      <c r="N5845" s="9" t="s">
        <v>807</v>
      </c>
    </row>
    <row r="5846" ht="25" customHeight="1" spans="1:14">
      <c r="A5846" s="9" t="s">
        <v>249</v>
      </c>
      <c r="B5846" s="9" t="s">
        <v>248</v>
      </c>
      <c r="C5846" s="10">
        <v>45842</v>
      </c>
      <c r="D5846" s="15">
        <v>1.0075</v>
      </c>
      <c r="E5846" s="15">
        <v>1.6966</v>
      </c>
      <c r="F5846" s="15">
        <v>1.8456</v>
      </c>
      <c r="G5846" s="11">
        <v>0.0005</v>
      </c>
      <c r="H5846" s="9">
        <f>MAX($F$5616:F5846)</f>
        <v>1.8456</v>
      </c>
      <c r="I5846" s="11">
        <f t="shared" si="144"/>
        <v>0</v>
      </c>
      <c r="J5846" s="9"/>
      <c r="K5846" s="11"/>
      <c r="L5846" s="9">
        <f>MAX($F$5752:F5846)</f>
        <v>1.8456</v>
      </c>
      <c r="M5846" s="11">
        <f t="shared" si="143"/>
        <v>0</v>
      </c>
      <c r="N5846" s="9" t="s">
        <v>807</v>
      </c>
    </row>
    <row r="5847" ht="25" customHeight="1" spans="1:14">
      <c r="A5847" s="9" t="s">
        <v>249</v>
      </c>
      <c r="B5847" s="9" t="s">
        <v>248</v>
      </c>
      <c r="C5847" s="10">
        <v>45849</v>
      </c>
      <c r="D5847" s="15">
        <v>1.0083</v>
      </c>
      <c r="E5847" s="15">
        <v>1.6974</v>
      </c>
      <c r="F5847" s="15">
        <v>1.8471</v>
      </c>
      <c r="G5847" s="11">
        <v>0.0008</v>
      </c>
      <c r="H5847" s="9">
        <f>MAX($F$5616:F5847)</f>
        <v>1.8471</v>
      </c>
      <c r="I5847" s="11">
        <f t="shared" si="144"/>
        <v>0</v>
      </c>
      <c r="J5847" s="9"/>
      <c r="K5847" s="11"/>
      <c r="L5847" s="9">
        <f>MAX($F$5752:F5847)</f>
        <v>1.8471</v>
      </c>
      <c r="M5847" s="11">
        <f t="shared" si="143"/>
        <v>0</v>
      </c>
      <c r="N5847" s="9" t="s">
        <v>807</v>
      </c>
    </row>
    <row r="5848" ht="25" customHeight="1" spans="1:14">
      <c r="A5848" s="9" t="s">
        <v>249</v>
      </c>
      <c r="B5848" s="9" t="s">
        <v>248</v>
      </c>
      <c r="C5848" s="10">
        <v>45856</v>
      </c>
      <c r="D5848" s="15">
        <v>1.0088</v>
      </c>
      <c r="E5848" s="15">
        <v>1.6979</v>
      </c>
      <c r="F5848" s="15">
        <v>1.848</v>
      </c>
      <c r="G5848" s="11">
        <v>0.0005</v>
      </c>
      <c r="H5848" s="9">
        <f>MAX($F$5616:F5848)</f>
        <v>1.848</v>
      </c>
      <c r="I5848" s="11">
        <f t="shared" si="144"/>
        <v>0</v>
      </c>
      <c r="J5848" s="9"/>
      <c r="K5848" s="11"/>
      <c r="L5848" s="9">
        <f>MAX($F$5752:F5848)</f>
        <v>1.848</v>
      </c>
      <c r="M5848" s="11">
        <f t="shared" si="143"/>
        <v>0</v>
      </c>
      <c r="N5848" s="9" t="s">
        <v>807</v>
      </c>
    </row>
    <row r="5849" ht="25" customHeight="1" spans="1:14">
      <c r="A5849" s="9" t="s">
        <v>249</v>
      </c>
      <c r="B5849" s="9" t="s">
        <v>248</v>
      </c>
      <c r="C5849" s="10">
        <v>45863</v>
      </c>
      <c r="D5849" s="15">
        <v>1.0094</v>
      </c>
      <c r="E5849" s="15">
        <v>1.6985</v>
      </c>
      <c r="F5849" s="15">
        <v>1.8491</v>
      </c>
      <c r="G5849" s="11">
        <v>0.0006</v>
      </c>
      <c r="H5849" s="9">
        <f>MAX($F$5616:F5849)</f>
        <v>1.8491</v>
      </c>
      <c r="I5849" s="11">
        <f t="shared" si="144"/>
        <v>0</v>
      </c>
      <c r="J5849" s="9"/>
      <c r="K5849" s="11"/>
      <c r="L5849" s="9">
        <f>MAX($F$5752:F5849)</f>
        <v>1.8491</v>
      </c>
      <c r="M5849" s="11">
        <f t="shared" si="143"/>
        <v>0</v>
      </c>
      <c r="N5849" s="9" t="s">
        <v>807</v>
      </c>
    </row>
    <row r="5850" ht="25" customHeight="1" spans="1:14">
      <c r="A5850" s="9" t="s">
        <v>249</v>
      </c>
      <c r="B5850" s="9" t="s">
        <v>248</v>
      </c>
      <c r="C5850" s="10">
        <v>45870</v>
      </c>
      <c r="D5850" s="15">
        <v>1.0118</v>
      </c>
      <c r="E5850" s="15">
        <v>1.7009</v>
      </c>
      <c r="F5850" s="15">
        <v>1.8535</v>
      </c>
      <c r="G5850" s="11">
        <v>0.0024</v>
      </c>
      <c r="H5850" s="9">
        <f>MAX($F$5616:F5850)</f>
        <v>1.8535</v>
      </c>
      <c r="I5850" s="11">
        <f t="shared" si="144"/>
        <v>0</v>
      </c>
      <c r="J5850" s="9"/>
      <c r="K5850" s="11"/>
      <c r="L5850" s="9">
        <f>MAX($F$5752:F5850)</f>
        <v>1.8535</v>
      </c>
      <c r="M5850" s="11">
        <f t="shared" si="143"/>
        <v>0</v>
      </c>
      <c r="N5850" s="9" t="s">
        <v>807</v>
      </c>
    </row>
    <row r="5851" ht="25" customHeight="1" spans="1:14">
      <c r="A5851" s="9" t="s">
        <v>249</v>
      </c>
      <c r="B5851" s="9" t="s">
        <v>248</v>
      </c>
      <c r="C5851" s="10">
        <v>45877</v>
      </c>
      <c r="D5851" s="15">
        <v>1.0121</v>
      </c>
      <c r="E5851" s="15">
        <v>1.7012</v>
      </c>
      <c r="F5851" s="15">
        <v>1.854</v>
      </c>
      <c r="G5851" s="11">
        <v>0.0003</v>
      </c>
      <c r="H5851" s="9">
        <f>MAX($F$5616:F5851)</f>
        <v>1.854</v>
      </c>
      <c r="I5851" s="11">
        <f t="shared" si="144"/>
        <v>0</v>
      </c>
      <c r="J5851" s="9"/>
      <c r="K5851" s="11"/>
      <c r="L5851" s="9">
        <f>MAX($F$5752:F5851)</f>
        <v>1.854</v>
      </c>
      <c r="M5851" s="11">
        <f t="shared" si="143"/>
        <v>0</v>
      </c>
      <c r="N5851" s="9" t="s">
        <v>807</v>
      </c>
    </row>
    <row r="5852" ht="25" customHeight="1" spans="1:14">
      <c r="A5852" s="9" t="s">
        <v>249</v>
      </c>
      <c r="B5852" s="9" t="s">
        <v>248</v>
      </c>
      <c r="C5852" s="10">
        <v>45884</v>
      </c>
      <c r="D5852" s="15">
        <v>1.0129</v>
      </c>
      <c r="E5852" s="15">
        <v>1.702</v>
      </c>
      <c r="F5852" s="15">
        <v>1.8555</v>
      </c>
      <c r="G5852" s="11">
        <v>0.0008</v>
      </c>
      <c r="H5852" s="9">
        <f>MAX($F$5616:F5852)</f>
        <v>1.8555</v>
      </c>
      <c r="I5852" s="11">
        <f t="shared" si="144"/>
        <v>0</v>
      </c>
      <c r="J5852" s="9"/>
      <c r="K5852" s="11"/>
      <c r="L5852" s="9">
        <f>MAX($F$5752:F5852)</f>
        <v>1.8555</v>
      </c>
      <c r="M5852" s="11">
        <f t="shared" si="143"/>
        <v>0</v>
      </c>
      <c r="N5852" s="9" t="s">
        <v>807</v>
      </c>
    </row>
    <row r="5853" ht="25" customHeight="1" spans="1:14">
      <c r="A5853" s="9" t="s">
        <v>249</v>
      </c>
      <c r="B5853" s="9" t="s">
        <v>248</v>
      </c>
      <c r="C5853" s="10">
        <v>45891</v>
      </c>
      <c r="D5853" s="15">
        <v>1.0149</v>
      </c>
      <c r="E5853" s="15">
        <v>1.704</v>
      </c>
      <c r="F5853" s="15">
        <v>1.8592</v>
      </c>
      <c r="G5853" s="11">
        <v>0.002</v>
      </c>
      <c r="H5853" s="9">
        <f>MAX($F$5616:F5853)</f>
        <v>1.8592</v>
      </c>
      <c r="I5853" s="11">
        <f t="shared" si="144"/>
        <v>0</v>
      </c>
      <c r="J5853" s="9"/>
      <c r="K5853" s="11"/>
      <c r="L5853" s="9">
        <f>MAX($F$5752:F5853)</f>
        <v>1.8592</v>
      </c>
      <c r="M5853" s="11">
        <f t="shared" si="143"/>
        <v>0</v>
      </c>
      <c r="N5853" s="9" t="s">
        <v>807</v>
      </c>
    </row>
    <row r="5854" ht="25" customHeight="1" spans="1:14">
      <c r="A5854" s="9" t="s">
        <v>249</v>
      </c>
      <c r="B5854" s="9" t="s">
        <v>248</v>
      </c>
      <c r="C5854" s="10">
        <v>45898</v>
      </c>
      <c r="D5854" s="15">
        <v>1.0165</v>
      </c>
      <c r="E5854" s="15">
        <v>1.7056</v>
      </c>
      <c r="F5854" s="15">
        <v>1.8621</v>
      </c>
      <c r="G5854" s="11">
        <v>0.0016</v>
      </c>
      <c r="H5854" s="9">
        <f>MAX($F$5616:F5854)</f>
        <v>1.8621</v>
      </c>
      <c r="I5854" s="11">
        <f t="shared" si="144"/>
        <v>0</v>
      </c>
      <c r="J5854" s="9">
        <f>MAX($F$5854:F5854)</f>
        <v>1.8621</v>
      </c>
      <c r="K5854" s="11">
        <f t="shared" ref="K5854:K5906" si="145">1-F5854/J5854</f>
        <v>0</v>
      </c>
      <c r="L5854" s="9">
        <f>MAX($F$5752:F5854)</f>
        <v>1.8621</v>
      </c>
      <c r="M5854" s="11">
        <f t="shared" si="143"/>
        <v>0</v>
      </c>
      <c r="N5854" s="9" t="s">
        <v>807</v>
      </c>
    </row>
    <row r="5855" ht="25" customHeight="1" spans="1:14">
      <c r="A5855" s="9" t="s">
        <v>249</v>
      </c>
      <c r="B5855" s="9" t="s">
        <v>248</v>
      </c>
      <c r="C5855" s="10">
        <v>45905</v>
      </c>
      <c r="D5855" s="15">
        <v>1.0194</v>
      </c>
      <c r="E5855" s="15">
        <v>1.7085</v>
      </c>
      <c r="F5855" s="15">
        <v>1.8674</v>
      </c>
      <c r="G5855" s="11">
        <v>0.0029</v>
      </c>
      <c r="H5855" s="9">
        <f>MAX($F$5616:F5855)</f>
        <v>1.8674</v>
      </c>
      <c r="I5855" s="11">
        <f t="shared" si="144"/>
        <v>0</v>
      </c>
      <c r="J5855" s="9">
        <f>MAX($F$5854:F5855)</f>
        <v>1.8674</v>
      </c>
      <c r="K5855" s="11">
        <f t="shared" si="145"/>
        <v>0</v>
      </c>
      <c r="L5855" s="9">
        <f>MAX($F$5752:F5855)</f>
        <v>1.8674</v>
      </c>
      <c r="M5855" s="11">
        <f t="shared" si="143"/>
        <v>0</v>
      </c>
      <c r="N5855" s="9" t="s">
        <v>807</v>
      </c>
    </row>
    <row r="5856" ht="25" customHeight="1" spans="1:14">
      <c r="A5856" s="9" t="s">
        <v>249</v>
      </c>
      <c r="B5856" s="9" t="s">
        <v>248</v>
      </c>
      <c r="C5856" s="10">
        <v>45912</v>
      </c>
      <c r="D5856" s="15">
        <v>1.0222</v>
      </c>
      <c r="E5856" s="15">
        <v>1.7113</v>
      </c>
      <c r="F5856" s="15">
        <v>1.8725</v>
      </c>
      <c r="G5856" s="11">
        <v>0.0027</v>
      </c>
      <c r="H5856" s="9">
        <f>MAX($F$5616:F5856)</f>
        <v>1.8725</v>
      </c>
      <c r="I5856" s="11">
        <f t="shared" si="144"/>
        <v>0</v>
      </c>
      <c r="J5856" s="9">
        <f>MAX($F$5854:F5856)</f>
        <v>1.8725</v>
      </c>
      <c r="K5856" s="11">
        <f t="shared" si="145"/>
        <v>0</v>
      </c>
      <c r="L5856" s="9">
        <f>MAX($F$5752:F5856)</f>
        <v>1.8725</v>
      </c>
      <c r="M5856" s="11">
        <f t="shared" si="143"/>
        <v>0</v>
      </c>
      <c r="N5856" s="9" t="s">
        <v>807</v>
      </c>
    </row>
    <row r="5857" ht="25" customHeight="1" spans="1:14">
      <c r="A5857" s="9" t="s">
        <v>249</v>
      </c>
      <c r="B5857" s="9" t="s">
        <v>248</v>
      </c>
      <c r="C5857" s="10">
        <v>45919</v>
      </c>
      <c r="D5857" s="15">
        <v>1.0241</v>
      </c>
      <c r="E5857" s="15">
        <v>1.7132</v>
      </c>
      <c r="F5857" s="15">
        <v>1.876</v>
      </c>
      <c r="G5857" s="11">
        <v>0.0019</v>
      </c>
      <c r="H5857" s="9">
        <f>MAX($F$5616:F5857)</f>
        <v>1.876</v>
      </c>
      <c r="I5857" s="11">
        <f t="shared" si="144"/>
        <v>0</v>
      </c>
      <c r="J5857" s="9">
        <f>MAX($F$5854:F5857)</f>
        <v>1.876</v>
      </c>
      <c r="K5857" s="11">
        <f t="shared" si="145"/>
        <v>0</v>
      </c>
      <c r="L5857" s="9">
        <f>MAX($F$5752:F5857)</f>
        <v>1.876</v>
      </c>
      <c r="M5857" s="11">
        <f t="shared" si="143"/>
        <v>0</v>
      </c>
      <c r="N5857" s="9" t="s">
        <v>807</v>
      </c>
    </row>
    <row r="5858" ht="25" customHeight="1" spans="1:14">
      <c r="A5858" s="9" t="s">
        <v>249</v>
      </c>
      <c r="B5858" s="9" t="s">
        <v>248</v>
      </c>
      <c r="C5858" s="10">
        <v>45926</v>
      </c>
      <c r="D5858" s="15">
        <v>1.0266</v>
      </c>
      <c r="E5858" s="15">
        <v>1.7157</v>
      </c>
      <c r="F5858" s="15">
        <v>1.8806</v>
      </c>
      <c r="G5858" s="11">
        <v>0.0024</v>
      </c>
      <c r="H5858" s="9">
        <f>MAX($F$5616:F5858)</f>
        <v>1.8806</v>
      </c>
      <c r="I5858" s="11">
        <f t="shared" si="144"/>
        <v>0</v>
      </c>
      <c r="J5858" s="9">
        <f>MAX($F$5854:F5858)</f>
        <v>1.8806</v>
      </c>
      <c r="K5858" s="11">
        <f t="shared" si="145"/>
        <v>0</v>
      </c>
      <c r="L5858" s="9">
        <f>MAX($F$5752:F5858)</f>
        <v>1.8806</v>
      </c>
      <c r="M5858" s="11">
        <f t="shared" si="143"/>
        <v>0</v>
      </c>
      <c r="N5858" s="9" t="s">
        <v>807</v>
      </c>
    </row>
    <row r="5859" ht="25" customHeight="1" spans="1:14">
      <c r="A5859" s="9" t="s">
        <v>249</v>
      </c>
      <c r="B5859" s="9" t="s">
        <v>248</v>
      </c>
      <c r="C5859" s="10">
        <v>45930</v>
      </c>
      <c r="D5859" s="15">
        <v>1.0263</v>
      </c>
      <c r="E5859" s="15">
        <v>1.7154</v>
      </c>
      <c r="F5859" s="15">
        <v>1.8801</v>
      </c>
      <c r="G5859" s="11">
        <v>-0.0003</v>
      </c>
      <c r="H5859" s="9">
        <f>MAX($F$5616:F5859)</f>
        <v>1.8806</v>
      </c>
      <c r="I5859" s="11">
        <f t="shared" si="144"/>
        <v>0.000265872593853023</v>
      </c>
      <c r="J5859" s="9">
        <f>MAX($F$5854:F5859)</f>
        <v>1.8806</v>
      </c>
      <c r="K5859" s="11">
        <f t="shared" si="145"/>
        <v>0.000265872593853023</v>
      </c>
      <c r="L5859" s="9">
        <f>MAX($F$5752:F5859)</f>
        <v>1.8806</v>
      </c>
      <c r="M5859" s="11">
        <f t="shared" si="143"/>
        <v>0.000265872593853023</v>
      </c>
      <c r="N5859" s="9" t="s">
        <v>807</v>
      </c>
    </row>
    <row r="5860" ht="25" customHeight="1" spans="1:14">
      <c r="A5860" s="9" t="s">
        <v>249</v>
      </c>
      <c r="B5860" s="9" t="s">
        <v>248</v>
      </c>
      <c r="C5860" s="10">
        <v>45940</v>
      </c>
      <c r="D5860" s="15">
        <v>1.0263</v>
      </c>
      <c r="E5860" s="15">
        <v>1.7154</v>
      </c>
      <c r="F5860" s="15">
        <v>1.8801</v>
      </c>
      <c r="G5860" s="11">
        <v>0</v>
      </c>
      <c r="H5860" s="9">
        <f>MAX($F$5616:F5860)</f>
        <v>1.8806</v>
      </c>
      <c r="I5860" s="11">
        <f t="shared" si="144"/>
        <v>0.000265872593853023</v>
      </c>
      <c r="J5860" s="9">
        <f>MAX($F$5854:F5860)</f>
        <v>1.8806</v>
      </c>
      <c r="K5860" s="11">
        <f t="shared" si="145"/>
        <v>0.000265872593853023</v>
      </c>
      <c r="L5860" s="9">
        <f>MAX($F$5752:F5860)</f>
        <v>1.8806</v>
      </c>
      <c r="M5860" s="11">
        <f t="shared" si="143"/>
        <v>0.000265872593853023</v>
      </c>
      <c r="N5860" s="9" t="s">
        <v>807</v>
      </c>
    </row>
    <row r="5861" ht="25" customHeight="1" spans="1:14">
      <c r="A5861" s="9" t="s">
        <v>249</v>
      </c>
      <c r="B5861" s="9" t="s">
        <v>248</v>
      </c>
      <c r="C5861" s="10">
        <v>45947</v>
      </c>
      <c r="D5861" s="15">
        <v>1.0298</v>
      </c>
      <c r="E5861" s="15">
        <v>1.7189</v>
      </c>
      <c r="F5861" s="15">
        <v>1.8865</v>
      </c>
      <c r="G5861" s="11">
        <v>0.0034</v>
      </c>
      <c r="H5861" s="9">
        <f>MAX($F$5616:F5861)</f>
        <v>1.8865</v>
      </c>
      <c r="I5861" s="11">
        <f t="shared" si="144"/>
        <v>0</v>
      </c>
      <c r="J5861" s="9">
        <f>MAX($F$5854:F5861)</f>
        <v>1.8865</v>
      </c>
      <c r="K5861" s="11">
        <f t="shared" si="145"/>
        <v>0</v>
      </c>
      <c r="L5861" s="9">
        <f>MAX($F$5752:F5861)</f>
        <v>1.8865</v>
      </c>
      <c r="M5861" s="11">
        <f t="shared" si="143"/>
        <v>0</v>
      </c>
      <c r="N5861" s="9" t="s">
        <v>807</v>
      </c>
    </row>
    <row r="5862" ht="25" customHeight="1" spans="1:14">
      <c r="A5862" s="9" t="s">
        <v>249</v>
      </c>
      <c r="B5862" s="9" t="s">
        <v>248</v>
      </c>
      <c r="C5862" s="10">
        <v>45954</v>
      </c>
      <c r="D5862" s="15">
        <v>1.0303</v>
      </c>
      <c r="E5862" s="15">
        <v>1.7194</v>
      </c>
      <c r="F5862" s="15">
        <v>1.8874</v>
      </c>
      <c r="G5862" s="11">
        <v>0.0005</v>
      </c>
      <c r="H5862" s="9">
        <f>MAX($F$5616:F5862)</f>
        <v>1.8874</v>
      </c>
      <c r="I5862" s="11">
        <f t="shared" si="144"/>
        <v>0</v>
      </c>
      <c r="J5862" s="9">
        <f>MAX($F$5854:F5862)</f>
        <v>1.8874</v>
      </c>
      <c r="K5862" s="11">
        <f t="shared" si="145"/>
        <v>0</v>
      </c>
      <c r="L5862" s="9">
        <f>MAX($F$5752:F5862)</f>
        <v>1.8874</v>
      </c>
      <c r="M5862" s="11">
        <f t="shared" si="143"/>
        <v>0</v>
      </c>
      <c r="N5862" s="9" t="s">
        <v>807</v>
      </c>
    </row>
    <row r="5863" ht="25" customHeight="1" spans="1:14">
      <c r="A5863" s="9" t="s">
        <v>249</v>
      </c>
      <c r="B5863" s="9" t="s">
        <v>248</v>
      </c>
      <c r="C5863" s="10">
        <v>45961</v>
      </c>
      <c r="D5863" s="15">
        <v>1.0322</v>
      </c>
      <c r="E5863" s="15">
        <v>1.7213</v>
      </c>
      <c r="F5863" s="15">
        <v>1.8909</v>
      </c>
      <c r="G5863" s="11">
        <v>0.0018</v>
      </c>
      <c r="H5863" s="9">
        <f>MAX($F$5616:F5863)</f>
        <v>1.8909</v>
      </c>
      <c r="I5863" s="11">
        <f t="shared" si="144"/>
        <v>0</v>
      </c>
      <c r="J5863" s="9">
        <f>MAX($F$5854:F5863)</f>
        <v>1.8909</v>
      </c>
      <c r="K5863" s="11">
        <f t="shared" si="145"/>
        <v>0</v>
      </c>
      <c r="L5863" s="9">
        <f>MAX($F$5752:F5863)</f>
        <v>1.8909</v>
      </c>
      <c r="M5863" s="11">
        <f t="shared" si="143"/>
        <v>0</v>
      </c>
      <c r="N5863" s="9" t="s">
        <v>807</v>
      </c>
    </row>
    <row r="5864" ht="25" customHeight="1" spans="1:14">
      <c r="A5864" s="9" t="s">
        <v>249</v>
      </c>
      <c r="B5864" s="9" t="s">
        <v>248</v>
      </c>
      <c r="C5864" s="10">
        <v>45968</v>
      </c>
      <c r="D5864" s="15">
        <v>1.0307</v>
      </c>
      <c r="E5864" s="15">
        <v>1.7198</v>
      </c>
      <c r="F5864" s="15">
        <v>1.8881</v>
      </c>
      <c r="G5864" s="11">
        <v>-0.0015</v>
      </c>
      <c r="H5864" s="9">
        <f>MAX($F$5616:F5864)</f>
        <v>1.8909</v>
      </c>
      <c r="I5864" s="11">
        <f t="shared" si="144"/>
        <v>0.00148077634988641</v>
      </c>
      <c r="J5864" s="9">
        <f>MAX($F$5854:F5864)</f>
        <v>1.8909</v>
      </c>
      <c r="K5864" s="11">
        <f t="shared" si="145"/>
        <v>0.00148077634988641</v>
      </c>
      <c r="L5864" s="9">
        <f>MAX($F$5752:F5864)</f>
        <v>1.8909</v>
      </c>
      <c r="M5864" s="11">
        <f t="shared" si="143"/>
        <v>0.00148077634988641</v>
      </c>
      <c r="N5864" s="9" t="s">
        <v>807</v>
      </c>
    </row>
    <row r="5865" ht="25" customHeight="1" spans="1:14">
      <c r="A5865" s="9" t="s">
        <v>249</v>
      </c>
      <c r="B5865" s="9" t="s">
        <v>248</v>
      </c>
      <c r="C5865" s="10">
        <v>45975</v>
      </c>
      <c r="D5865" s="15">
        <v>1.0307</v>
      </c>
      <c r="E5865" s="15">
        <v>1.7198</v>
      </c>
      <c r="F5865" s="15">
        <v>1.8881</v>
      </c>
      <c r="G5865" s="11">
        <v>0</v>
      </c>
      <c r="H5865" s="9">
        <f>MAX($F$5616:F5865)</f>
        <v>1.8909</v>
      </c>
      <c r="I5865" s="11">
        <f t="shared" si="144"/>
        <v>0.00148077634988641</v>
      </c>
      <c r="J5865" s="9">
        <f>MAX($F$5854:F5865)</f>
        <v>1.8909</v>
      </c>
      <c r="K5865" s="11">
        <f t="shared" si="145"/>
        <v>0.00148077634988641</v>
      </c>
      <c r="L5865" s="9">
        <f>MAX($F$5752:F5865)</f>
        <v>1.8909</v>
      </c>
      <c r="M5865" s="11">
        <f t="shared" si="143"/>
        <v>0.00148077634988641</v>
      </c>
      <c r="N5865" s="9" t="s">
        <v>807</v>
      </c>
    </row>
    <row r="5866" ht="25" customHeight="1" spans="1:14">
      <c r="A5866" s="9" t="s">
        <v>249</v>
      </c>
      <c r="B5866" s="9" t="s">
        <v>248</v>
      </c>
      <c r="C5866" s="10">
        <v>45982</v>
      </c>
      <c r="D5866" s="15">
        <v>1.0332</v>
      </c>
      <c r="E5866" s="15">
        <v>1.7223</v>
      </c>
      <c r="F5866" s="15">
        <v>1.8927</v>
      </c>
      <c r="G5866" s="11">
        <v>0.0024</v>
      </c>
      <c r="H5866" s="9">
        <f>MAX($F$5616:F5866)</f>
        <v>1.8927</v>
      </c>
      <c r="I5866" s="11">
        <f t="shared" si="144"/>
        <v>0</v>
      </c>
      <c r="J5866" s="9">
        <f>MAX($F$5854:F5866)</f>
        <v>1.8927</v>
      </c>
      <c r="K5866" s="11">
        <f t="shared" si="145"/>
        <v>0</v>
      </c>
      <c r="L5866" s="9">
        <f>MAX($F$5752:F5866)</f>
        <v>1.8927</v>
      </c>
      <c r="M5866" s="11">
        <f t="shared" si="143"/>
        <v>0</v>
      </c>
      <c r="N5866" s="9" t="s">
        <v>807</v>
      </c>
    </row>
    <row r="5867" ht="25" customHeight="1" spans="1:14">
      <c r="A5867" s="9" t="s">
        <v>249</v>
      </c>
      <c r="B5867" s="9" t="s">
        <v>248</v>
      </c>
      <c r="C5867" s="10">
        <v>45989</v>
      </c>
      <c r="D5867" s="15">
        <v>1.0343</v>
      </c>
      <c r="E5867" s="15">
        <v>1.7234</v>
      </c>
      <c r="F5867" s="15">
        <v>1.8947</v>
      </c>
      <c r="G5867" s="11">
        <v>0.0011</v>
      </c>
      <c r="H5867" s="9">
        <f>MAX($F$5616:F5867)</f>
        <v>1.8947</v>
      </c>
      <c r="I5867" s="11">
        <f t="shared" si="144"/>
        <v>0</v>
      </c>
      <c r="J5867" s="9">
        <f>MAX($F$5854:F5867)</f>
        <v>1.8947</v>
      </c>
      <c r="K5867" s="11">
        <f t="shared" si="145"/>
        <v>0</v>
      </c>
      <c r="L5867" s="9">
        <f>MAX($F$5752:F5867)</f>
        <v>1.8947</v>
      </c>
      <c r="M5867" s="11">
        <f t="shared" si="143"/>
        <v>0</v>
      </c>
      <c r="N5867" s="9" t="s">
        <v>807</v>
      </c>
    </row>
    <row r="5868" ht="25" customHeight="1" spans="1:14">
      <c r="A5868" s="9" t="s">
        <v>249</v>
      </c>
      <c r="B5868" s="9" t="s">
        <v>248</v>
      </c>
      <c r="C5868" s="10">
        <v>45996</v>
      </c>
      <c r="D5868" s="15">
        <v>1.0345</v>
      </c>
      <c r="E5868" s="15">
        <v>1.7236</v>
      </c>
      <c r="F5868" s="15">
        <v>1.8951</v>
      </c>
      <c r="G5868" s="11">
        <v>0.0002</v>
      </c>
      <c r="H5868" s="9">
        <f>MAX($F$5616:F5868)</f>
        <v>1.8951</v>
      </c>
      <c r="I5868" s="11">
        <f t="shared" si="144"/>
        <v>0</v>
      </c>
      <c r="J5868" s="9">
        <f>MAX($F$5854:F5868)</f>
        <v>1.8951</v>
      </c>
      <c r="K5868" s="11">
        <f t="shared" si="145"/>
        <v>0</v>
      </c>
      <c r="L5868" s="9">
        <f>MAX($F$5752:F5868)</f>
        <v>1.8951</v>
      </c>
      <c r="M5868" s="11">
        <f t="shared" si="143"/>
        <v>0</v>
      </c>
      <c r="N5868" s="9" t="s">
        <v>807</v>
      </c>
    </row>
    <row r="5869" ht="25" customHeight="1" spans="1:14">
      <c r="A5869" s="9" t="s">
        <v>249</v>
      </c>
      <c r="B5869" s="9" t="s">
        <v>248</v>
      </c>
      <c r="C5869" s="10">
        <v>46003</v>
      </c>
      <c r="D5869" s="15">
        <v>1.0342</v>
      </c>
      <c r="E5869" s="15">
        <v>1.7233</v>
      </c>
      <c r="F5869" s="15">
        <v>1.8945</v>
      </c>
      <c r="G5869" s="11">
        <v>-0.0003</v>
      </c>
      <c r="H5869" s="9">
        <f>MAX($F$5616:F5869)</f>
        <v>1.8951</v>
      </c>
      <c r="I5869" s="11">
        <f t="shared" si="144"/>
        <v>0.00031660598385308</v>
      </c>
      <c r="J5869" s="9">
        <f>MAX($F$5854:F5869)</f>
        <v>1.8951</v>
      </c>
      <c r="K5869" s="11">
        <f t="shared" si="145"/>
        <v>0.00031660598385308</v>
      </c>
      <c r="L5869" s="9">
        <f>MAX($F$5752:F5869)</f>
        <v>1.8951</v>
      </c>
      <c r="M5869" s="11">
        <f t="shared" si="143"/>
        <v>0.00031660598385308</v>
      </c>
      <c r="N5869" s="9" t="s">
        <v>807</v>
      </c>
    </row>
    <row r="5870" ht="25" customHeight="1" spans="1:14">
      <c r="A5870" s="9" t="s">
        <v>249</v>
      </c>
      <c r="B5870" s="9" t="s">
        <v>248</v>
      </c>
      <c r="C5870" s="10">
        <v>46010</v>
      </c>
      <c r="D5870" s="15">
        <v>1.0339</v>
      </c>
      <c r="E5870" s="15">
        <v>1.723</v>
      </c>
      <c r="F5870" s="15">
        <v>1.894</v>
      </c>
      <c r="G5870" s="11">
        <v>-0.0003</v>
      </c>
      <c r="H5870" s="9">
        <f>MAX($F$5616:F5870)</f>
        <v>1.8951</v>
      </c>
      <c r="I5870" s="11">
        <f t="shared" si="144"/>
        <v>0.000580444303730721</v>
      </c>
      <c r="J5870" s="9">
        <f>MAX($F$5854:F5870)</f>
        <v>1.8951</v>
      </c>
      <c r="K5870" s="11">
        <f t="shared" si="145"/>
        <v>0.000580444303730721</v>
      </c>
      <c r="L5870" s="9">
        <f>MAX($F$5752:F5870)</f>
        <v>1.8951</v>
      </c>
      <c r="M5870" s="11">
        <f t="shared" si="143"/>
        <v>0.000580444303730721</v>
      </c>
      <c r="N5870" s="9" t="s">
        <v>807</v>
      </c>
    </row>
    <row r="5871" ht="25" customHeight="1" spans="1:14">
      <c r="A5871" s="9" t="s">
        <v>249</v>
      </c>
      <c r="B5871" s="9" t="s">
        <v>248</v>
      </c>
      <c r="C5871" s="10">
        <v>46017</v>
      </c>
      <c r="D5871" s="15">
        <v>1.0342</v>
      </c>
      <c r="E5871" s="15">
        <v>1.7233</v>
      </c>
      <c r="F5871" s="15">
        <v>1.8945</v>
      </c>
      <c r="G5871" s="11">
        <v>0.0003</v>
      </c>
      <c r="H5871" s="9">
        <f>MAX($F$5616:F5871)</f>
        <v>1.8951</v>
      </c>
      <c r="I5871" s="11">
        <f t="shared" si="144"/>
        <v>0.00031660598385308</v>
      </c>
      <c r="J5871" s="9">
        <f>MAX($F$5854:F5871)</f>
        <v>1.8951</v>
      </c>
      <c r="K5871" s="11">
        <f t="shared" si="145"/>
        <v>0.00031660598385308</v>
      </c>
      <c r="L5871" s="9">
        <f>MAX($F$5752:F5871)</f>
        <v>1.8951</v>
      </c>
      <c r="M5871" s="11">
        <f t="shared" si="143"/>
        <v>0.00031660598385308</v>
      </c>
      <c r="N5871" s="9" t="s">
        <v>807</v>
      </c>
    </row>
    <row r="5872" ht="25" customHeight="1" spans="1:14">
      <c r="A5872" s="9" t="s">
        <v>249</v>
      </c>
      <c r="B5872" s="9" t="s">
        <v>248</v>
      </c>
      <c r="C5872" s="10">
        <v>46022</v>
      </c>
      <c r="D5872" s="15">
        <v>1.036</v>
      </c>
      <c r="E5872" s="15">
        <v>1.7251</v>
      </c>
      <c r="F5872" s="15">
        <v>1.8978</v>
      </c>
      <c r="G5872" s="11">
        <v>0.0017</v>
      </c>
      <c r="H5872" s="9">
        <f>MAX($F$5616:F5872)</f>
        <v>1.8978</v>
      </c>
      <c r="I5872" s="11">
        <f t="shared" si="144"/>
        <v>0</v>
      </c>
      <c r="J5872" s="9">
        <f>MAX($F$5854:F5872)</f>
        <v>1.8978</v>
      </c>
      <c r="K5872" s="11">
        <f t="shared" si="145"/>
        <v>0</v>
      </c>
      <c r="L5872" s="9">
        <f>MAX($F$5752:F5872)</f>
        <v>1.8978</v>
      </c>
      <c r="M5872" s="11">
        <f t="shared" si="143"/>
        <v>0</v>
      </c>
      <c r="N5872" s="9" t="s">
        <v>807</v>
      </c>
    </row>
    <row r="5873" ht="25" customHeight="1" spans="1:14">
      <c r="A5873" s="9" t="s">
        <v>249</v>
      </c>
      <c r="B5873" s="9" t="s">
        <v>248</v>
      </c>
      <c r="C5873" s="10">
        <v>46031</v>
      </c>
      <c r="D5873" s="15">
        <v>1.0371</v>
      </c>
      <c r="E5873" s="15">
        <v>1.7262</v>
      </c>
      <c r="F5873" s="15">
        <v>1.8998</v>
      </c>
      <c r="G5873" s="11">
        <v>0.0011</v>
      </c>
      <c r="H5873" s="9">
        <f>MAX($F$5616:F5873)</f>
        <v>1.8998</v>
      </c>
      <c r="I5873" s="11">
        <f t="shared" si="144"/>
        <v>0</v>
      </c>
      <c r="J5873" s="9">
        <f>MAX($F$5854:F5873)</f>
        <v>1.8998</v>
      </c>
      <c r="K5873" s="11">
        <f t="shared" si="145"/>
        <v>0</v>
      </c>
      <c r="L5873" s="9">
        <f>MAX($F$5752:F5873)</f>
        <v>1.8998</v>
      </c>
      <c r="M5873" s="11">
        <f t="shared" si="143"/>
        <v>0</v>
      </c>
      <c r="N5873" s="9" t="s">
        <v>807</v>
      </c>
    </row>
    <row r="5874" ht="25" customHeight="1" spans="1:14">
      <c r="A5874" s="9" t="s">
        <v>249</v>
      </c>
      <c r="B5874" s="9" t="s">
        <v>248</v>
      </c>
      <c r="C5874" s="10">
        <v>46038</v>
      </c>
      <c r="D5874" s="15">
        <v>1.0426</v>
      </c>
      <c r="E5874" s="15">
        <v>1.7317</v>
      </c>
      <c r="F5874" s="15">
        <v>1.9099</v>
      </c>
      <c r="G5874" s="11">
        <v>0.0053</v>
      </c>
      <c r="H5874" s="9">
        <f>MAX($F$5616:F5874)</f>
        <v>1.9099</v>
      </c>
      <c r="I5874" s="11">
        <f t="shared" si="144"/>
        <v>0</v>
      </c>
      <c r="J5874" s="9">
        <f>MAX($F$5854:F5874)</f>
        <v>1.9099</v>
      </c>
      <c r="K5874" s="11">
        <f t="shared" si="145"/>
        <v>0</v>
      </c>
      <c r="L5874" s="9">
        <f>MAX($F$5752:F5874)</f>
        <v>1.9099</v>
      </c>
      <c r="M5874" s="11">
        <f t="shared" si="143"/>
        <v>0</v>
      </c>
      <c r="N5874" s="9" t="s">
        <v>807</v>
      </c>
    </row>
    <row r="5875" ht="25" customHeight="1" spans="1:14">
      <c r="A5875" s="9" t="s">
        <v>249</v>
      </c>
      <c r="B5875" s="9" t="s">
        <v>248</v>
      </c>
      <c r="C5875" s="10">
        <v>46045</v>
      </c>
      <c r="D5875" s="15">
        <v>1.0429</v>
      </c>
      <c r="E5875" s="15">
        <v>1.732</v>
      </c>
      <c r="F5875" s="15">
        <v>1.9105</v>
      </c>
      <c r="G5875" s="11">
        <v>0.0003</v>
      </c>
      <c r="H5875" s="9">
        <f>MAX($F$5616:F5875)</f>
        <v>1.9105</v>
      </c>
      <c r="I5875" s="11">
        <f t="shared" si="144"/>
        <v>0</v>
      </c>
      <c r="J5875" s="9">
        <f>MAX($F$5854:F5875)</f>
        <v>1.9105</v>
      </c>
      <c r="K5875" s="11">
        <f t="shared" si="145"/>
        <v>0</v>
      </c>
      <c r="L5875" s="9">
        <f>MAX($F$5752:F5875)</f>
        <v>1.9105</v>
      </c>
      <c r="M5875" s="11">
        <f t="shared" si="143"/>
        <v>0</v>
      </c>
      <c r="N5875" s="9" t="s">
        <v>807</v>
      </c>
    </row>
    <row r="5876" ht="25" customHeight="1" spans="1:14">
      <c r="A5876" s="9" t="s">
        <v>249</v>
      </c>
      <c r="B5876" s="9" t="s">
        <v>248</v>
      </c>
      <c r="C5876" s="10">
        <v>46052</v>
      </c>
      <c r="D5876" s="15">
        <v>1.0466</v>
      </c>
      <c r="E5876" s="15">
        <v>1.7357</v>
      </c>
      <c r="F5876" s="15">
        <v>1.9172</v>
      </c>
      <c r="G5876" s="11">
        <v>0.0035</v>
      </c>
      <c r="H5876" s="9">
        <f>MAX($F$5616:F5876)</f>
        <v>1.9172</v>
      </c>
      <c r="I5876" s="11">
        <f t="shared" si="144"/>
        <v>0</v>
      </c>
      <c r="J5876" s="9">
        <f>MAX($F$5854:F5876)</f>
        <v>1.9172</v>
      </c>
      <c r="K5876" s="11">
        <f t="shared" si="145"/>
        <v>0</v>
      </c>
      <c r="L5876" s="9">
        <f>MAX($F$5752:F5876)</f>
        <v>1.9172</v>
      </c>
      <c r="M5876" s="11">
        <f t="shared" si="143"/>
        <v>0</v>
      </c>
      <c r="N5876" s="9" t="s">
        <v>807</v>
      </c>
    </row>
    <row r="5877" ht="25" customHeight="1" spans="1:14">
      <c r="A5877" s="9" t="s">
        <v>249</v>
      </c>
      <c r="B5877" s="9" t="s">
        <v>248</v>
      </c>
      <c r="C5877" s="10">
        <v>46059</v>
      </c>
      <c r="D5877" s="15">
        <v>1.0471</v>
      </c>
      <c r="E5877" s="15">
        <v>1.7362</v>
      </c>
      <c r="F5877" s="15">
        <v>1.9182</v>
      </c>
      <c r="G5877" s="11">
        <v>0.0005</v>
      </c>
      <c r="H5877" s="9">
        <f>MAX($F$5616:F5877)</f>
        <v>1.9182</v>
      </c>
      <c r="I5877" s="11">
        <f t="shared" si="144"/>
        <v>0</v>
      </c>
      <c r="J5877" s="9">
        <f>MAX($F$5854:F5877)</f>
        <v>1.9182</v>
      </c>
      <c r="K5877" s="11">
        <f t="shared" si="145"/>
        <v>0</v>
      </c>
      <c r="L5877" s="9">
        <f>MAX($F$5752:F5877)</f>
        <v>1.9182</v>
      </c>
      <c r="M5877" s="11">
        <f t="shared" si="143"/>
        <v>0</v>
      </c>
      <c r="N5877" s="9" t="s">
        <v>807</v>
      </c>
    </row>
    <row r="5878" ht="25" customHeight="1" spans="1:14">
      <c r="A5878" s="9" t="s">
        <v>249</v>
      </c>
      <c r="B5878" s="9" t="s">
        <v>248</v>
      </c>
      <c r="C5878" s="10">
        <v>46066</v>
      </c>
      <c r="D5878" s="15">
        <v>0.9995</v>
      </c>
      <c r="E5878" s="15">
        <v>1.7358</v>
      </c>
      <c r="F5878" s="15">
        <v>1.9174</v>
      </c>
      <c r="G5878" s="11">
        <v>-0.0004</v>
      </c>
      <c r="H5878" s="9">
        <f>MAX($F$5616:F5878)</f>
        <v>1.9182</v>
      </c>
      <c r="I5878" s="11">
        <f t="shared" si="144"/>
        <v>0.000417057658221198</v>
      </c>
      <c r="J5878" s="9">
        <f>MAX($F$5854:F5878)</f>
        <v>1.9182</v>
      </c>
      <c r="K5878" s="11">
        <f t="shared" si="145"/>
        <v>0.000417057658221198</v>
      </c>
      <c r="L5878" s="9">
        <f>MAX($F$5752:F5878)</f>
        <v>1.9182</v>
      </c>
      <c r="M5878" s="11">
        <f t="shared" si="143"/>
        <v>0.000417057658221198</v>
      </c>
      <c r="N5878" s="9" t="s">
        <v>807</v>
      </c>
    </row>
    <row r="5879" ht="25" customHeight="1" spans="1:14">
      <c r="A5879" s="9" t="s">
        <v>249</v>
      </c>
      <c r="B5879" s="9" t="s">
        <v>248</v>
      </c>
      <c r="C5879" s="10">
        <v>46080</v>
      </c>
      <c r="D5879" s="15">
        <v>0.9999</v>
      </c>
      <c r="E5879" s="15">
        <v>1.7362</v>
      </c>
      <c r="F5879" s="15">
        <v>1.9182</v>
      </c>
      <c r="G5879" s="11">
        <v>0.0004</v>
      </c>
      <c r="H5879" s="9">
        <f>MAX($F$5616:F5879)</f>
        <v>1.9182</v>
      </c>
      <c r="I5879" s="11">
        <f t="shared" si="144"/>
        <v>0</v>
      </c>
      <c r="J5879" s="9">
        <f>MAX($F$5854:F5879)</f>
        <v>1.9182</v>
      </c>
      <c r="K5879" s="11">
        <f t="shared" si="145"/>
        <v>0</v>
      </c>
      <c r="L5879" s="9">
        <f>MAX($F$5752:F5879)</f>
        <v>1.9182</v>
      </c>
      <c r="M5879" s="11">
        <f t="shared" si="143"/>
        <v>0</v>
      </c>
      <c r="N5879" s="9" t="s">
        <v>807</v>
      </c>
    </row>
    <row r="5880" ht="25" customHeight="1" spans="1:14">
      <c r="A5880" s="9" t="s">
        <v>249</v>
      </c>
      <c r="B5880" s="9" t="s">
        <v>248</v>
      </c>
      <c r="C5880" s="10">
        <v>46087</v>
      </c>
      <c r="D5880" s="15">
        <v>1.0017</v>
      </c>
      <c r="E5880" s="15">
        <v>1.738</v>
      </c>
      <c r="F5880" s="15">
        <v>1.9216</v>
      </c>
      <c r="G5880" s="11">
        <v>0.0018</v>
      </c>
      <c r="H5880" s="9">
        <f>MAX($F$5616:F5880)</f>
        <v>1.9216</v>
      </c>
      <c r="I5880" s="11">
        <f t="shared" si="144"/>
        <v>0</v>
      </c>
      <c r="J5880" s="9">
        <f>MAX($F$5854:F5880)</f>
        <v>1.9216</v>
      </c>
      <c r="K5880" s="11">
        <f t="shared" si="145"/>
        <v>0</v>
      </c>
      <c r="L5880" s="9">
        <f>MAX($F$5752:F5880)</f>
        <v>1.9216</v>
      </c>
      <c r="M5880" s="11">
        <f t="shared" ref="M5880:M5906" si="146">1-F5880/L5880</f>
        <v>0</v>
      </c>
      <c r="N5880" s="9" t="s">
        <v>807</v>
      </c>
    </row>
    <row r="5881" ht="25" customHeight="1" spans="1:14">
      <c r="A5881" s="9" t="s">
        <v>249</v>
      </c>
      <c r="B5881" s="9" t="s">
        <v>248</v>
      </c>
      <c r="C5881" s="10">
        <v>46094</v>
      </c>
      <c r="D5881" s="15">
        <v>1.0023</v>
      </c>
      <c r="E5881" s="15">
        <v>1.7386</v>
      </c>
      <c r="F5881" s="15">
        <v>1.9228</v>
      </c>
      <c r="G5881" s="11">
        <v>0.0006</v>
      </c>
      <c r="H5881" s="9">
        <f>MAX($F$5616:F5881)</f>
        <v>1.9228</v>
      </c>
      <c r="I5881" s="11">
        <f t="shared" si="144"/>
        <v>0</v>
      </c>
      <c r="J5881" s="9">
        <f>MAX($F$5854:F5881)</f>
        <v>1.9228</v>
      </c>
      <c r="K5881" s="11">
        <f t="shared" si="145"/>
        <v>0</v>
      </c>
      <c r="L5881" s="9">
        <f>MAX($F$5752:F5881)</f>
        <v>1.9228</v>
      </c>
      <c r="M5881" s="11">
        <f t="shared" si="146"/>
        <v>0</v>
      </c>
      <c r="N5881" s="9" t="s">
        <v>807</v>
      </c>
    </row>
    <row r="5882" ht="25" customHeight="1" spans="1:14">
      <c r="A5882" s="9" t="s">
        <v>249</v>
      </c>
      <c r="B5882" s="9" t="s">
        <v>248</v>
      </c>
      <c r="C5882" s="10">
        <v>46101</v>
      </c>
      <c r="D5882" s="15">
        <v>1.0043</v>
      </c>
      <c r="E5882" s="15">
        <v>1.7406</v>
      </c>
      <c r="F5882" s="15">
        <v>1.9266</v>
      </c>
      <c r="G5882" s="11">
        <v>0.002</v>
      </c>
      <c r="H5882" s="9">
        <f>MAX($F$5616:F5882)</f>
        <v>1.9266</v>
      </c>
      <c r="I5882" s="11">
        <f t="shared" si="144"/>
        <v>0</v>
      </c>
      <c r="J5882" s="9">
        <f>MAX($F$5854:F5882)</f>
        <v>1.9266</v>
      </c>
      <c r="K5882" s="11">
        <f t="shared" si="145"/>
        <v>0</v>
      </c>
      <c r="L5882" s="9">
        <f>MAX($F$5752:F5882)</f>
        <v>1.9266</v>
      </c>
      <c r="M5882" s="11">
        <f t="shared" si="146"/>
        <v>0</v>
      </c>
      <c r="N5882" s="9" t="s">
        <v>807</v>
      </c>
    </row>
    <row r="5883" ht="25" customHeight="1" spans="1:14">
      <c r="A5883" s="9" t="s">
        <v>249</v>
      </c>
      <c r="B5883" s="9" t="s">
        <v>248</v>
      </c>
      <c r="C5883" s="10">
        <v>46108</v>
      </c>
      <c r="D5883" s="15">
        <v>1.0065</v>
      </c>
      <c r="E5883" s="15">
        <v>1.7428</v>
      </c>
      <c r="F5883" s="15">
        <v>1.9309</v>
      </c>
      <c r="G5883" s="11">
        <v>0.0022</v>
      </c>
      <c r="H5883" s="9">
        <f>MAX($F$5616:F5883)</f>
        <v>1.9309</v>
      </c>
      <c r="I5883" s="11">
        <f t="shared" si="144"/>
        <v>0</v>
      </c>
      <c r="J5883" s="9">
        <f>MAX($F$5854:F5883)</f>
        <v>1.9309</v>
      </c>
      <c r="K5883" s="11">
        <f t="shared" si="145"/>
        <v>0</v>
      </c>
      <c r="L5883" s="9">
        <f>MAX($F$5752:F5883)</f>
        <v>1.9309</v>
      </c>
      <c r="M5883" s="11">
        <f t="shared" si="146"/>
        <v>0</v>
      </c>
      <c r="N5883" s="9" t="s">
        <v>807</v>
      </c>
    </row>
    <row r="5884" ht="25" customHeight="1" spans="1:14">
      <c r="A5884" s="9" t="s">
        <v>249</v>
      </c>
      <c r="B5884" s="9" t="s">
        <v>248</v>
      </c>
      <c r="C5884" s="10">
        <v>46115</v>
      </c>
      <c r="D5884" s="15">
        <v>1.0061</v>
      </c>
      <c r="E5884" s="15">
        <v>1.7424</v>
      </c>
      <c r="F5884" s="15">
        <v>1.9301</v>
      </c>
      <c r="G5884" s="11">
        <v>-0.0004</v>
      </c>
      <c r="H5884" s="9">
        <f>MAX($F$5616:F5884)</f>
        <v>1.9309</v>
      </c>
      <c r="I5884" s="11">
        <f t="shared" si="144"/>
        <v>0.000414314568336072</v>
      </c>
      <c r="J5884" s="9">
        <f>MAX($F$5854:F5884)</f>
        <v>1.9309</v>
      </c>
      <c r="K5884" s="11">
        <f t="shared" si="145"/>
        <v>0.000414314568336072</v>
      </c>
      <c r="L5884" s="9">
        <f>MAX($F$5752:F5884)</f>
        <v>1.9309</v>
      </c>
      <c r="M5884" s="11">
        <f t="shared" si="146"/>
        <v>0.000414314568336072</v>
      </c>
      <c r="N5884" s="9" t="s">
        <v>807</v>
      </c>
    </row>
    <row r="5885" ht="25" customHeight="1" spans="1:14">
      <c r="A5885" s="9" t="s">
        <v>249</v>
      </c>
      <c r="B5885" s="9" t="s">
        <v>248</v>
      </c>
      <c r="C5885" s="10">
        <v>46122</v>
      </c>
      <c r="D5885" s="15">
        <v>1.007</v>
      </c>
      <c r="E5885" s="15">
        <v>1.7433</v>
      </c>
      <c r="F5885" s="15">
        <v>1.9318</v>
      </c>
      <c r="G5885" s="11">
        <v>0.0009</v>
      </c>
      <c r="H5885" s="9">
        <f>MAX($F$5616:F5885)</f>
        <v>1.9318</v>
      </c>
      <c r="I5885" s="11">
        <f t="shared" si="144"/>
        <v>0</v>
      </c>
      <c r="J5885" s="9">
        <f>MAX($F$5854:F5885)</f>
        <v>1.9318</v>
      </c>
      <c r="K5885" s="11">
        <f t="shared" si="145"/>
        <v>0</v>
      </c>
      <c r="L5885" s="9">
        <f>MAX($F$5752:F5885)</f>
        <v>1.9318</v>
      </c>
      <c r="M5885" s="11">
        <f t="shared" si="146"/>
        <v>0</v>
      </c>
      <c r="N5885" s="9" t="s">
        <v>807</v>
      </c>
    </row>
    <row r="5886" ht="25" customHeight="1" spans="1:14">
      <c r="A5886" s="9" t="s">
        <v>249</v>
      </c>
      <c r="B5886" s="9" t="s">
        <v>248</v>
      </c>
      <c r="C5886" s="10">
        <v>46129</v>
      </c>
      <c r="D5886" s="15">
        <v>1.0067</v>
      </c>
      <c r="E5886" s="15">
        <v>1.743</v>
      </c>
      <c r="F5886" s="15">
        <v>1.9312</v>
      </c>
      <c r="G5886" s="11">
        <v>-0.0003</v>
      </c>
      <c r="H5886" s="9">
        <f>MAX($F$5616:F5886)</f>
        <v>1.9318</v>
      </c>
      <c r="I5886" s="11">
        <f t="shared" si="144"/>
        <v>0.000310591158504958</v>
      </c>
      <c r="J5886" s="9">
        <f>MAX($F$5854:F5886)</f>
        <v>1.9318</v>
      </c>
      <c r="K5886" s="11">
        <f t="shared" si="145"/>
        <v>0.000310591158504958</v>
      </c>
      <c r="L5886" s="9">
        <f>MAX($F$5752:F5886)</f>
        <v>1.9318</v>
      </c>
      <c r="M5886" s="11">
        <f t="shared" si="146"/>
        <v>0.000310591158504958</v>
      </c>
      <c r="N5886" s="9" t="s">
        <v>807</v>
      </c>
    </row>
    <row r="5887" ht="25" customHeight="1" spans="1:14">
      <c r="A5887" s="9" t="s">
        <v>249</v>
      </c>
      <c r="B5887" s="9" t="s">
        <v>248</v>
      </c>
      <c r="C5887" s="10">
        <v>46136</v>
      </c>
      <c r="D5887" s="15">
        <v>1.0066</v>
      </c>
      <c r="E5887" s="15">
        <v>1.7429</v>
      </c>
      <c r="F5887" s="15">
        <v>1.931</v>
      </c>
      <c r="G5887" s="11">
        <v>-0.0001</v>
      </c>
      <c r="H5887" s="9">
        <f>MAX($F$5616:F5887)</f>
        <v>1.9318</v>
      </c>
      <c r="I5887" s="11">
        <f t="shared" si="144"/>
        <v>0.000414121544673351</v>
      </c>
      <c r="J5887" s="9">
        <f>MAX($F$5854:F5887)</f>
        <v>1.9318</v>
      </c>
      <c r="K5887" s="11">
        <f t="shared" si="145"/>
        <v>0.000414121544673351</v>
      </c>
      <c r="L5887" s="9">
        <f>MAX($F$5752:F5887)</f>
        <v>1.9318</v>
      </c>
      <c r="M5887" s="11">
        <f t="shared" si="146"/>
        <v>0.000414121544673351</v>
      </c>
      <c r="N5887" s="9" t="s">
        <v>807</v>
      </c>
    </row>
    <row r="5888" ht="25" customHeight="1" spans="1:14">
      <c r="A5888" s="9" t="s">
        <v>249</v>
      </c>
      <c r="B5888" s="9" t="s">
        <v>248</v>
      </c>
      <c r="C5888" s="10">
        <v>46142</v>
      </c>
      <c r="D5888" s="15">
        <v>1.0082</v>
      </c>
      <c r="E5888" s="15">
        <v>1.7445</v>
      </c>
      <c r="F5888" s="15">
        <v>1.9341</v>
      </c>
      <c r="G5888" s="11">
        <v>0.0016</v>
      </c>
      <c r="H5888" s="9">
        <f>MAX($F$5616:F5888)</f>
        <v>1.9341</v>
      </c>
      <c r="I5888" s="11">
        <f t="shared" si="144"/>
        <v>0</v>
      </c>
      <c r="J5888" s="9">
        <f>MAX($F$5854:F5888)</f>
        <v>1.9341</v>
      </c>
      <c r="K5888" s="11">
        <f t="shared" si="145"/>
        <v>0</v>
      </c>
      <c r="L5888" s="9">
        <f>MAX($F$5752:F5888)</f>
        <v>1.9341</v>
      </c>
      <c r="M5888" s="11">
        <f t="shared" si="146"/>
        <v>0</v>
      </c>
      <c r="N5888" s="9" t="s">
        <v>807</v>
      </c>
    </row>
    <row r="5889" ht="25" customHeight="1" spans="1:14">
      <c r="A5889" s="9" t="s">
        <v>249</v>
      </c>
      <c r="B5889" s="9" t="s">
        <v>248</v>
      </c>
      <c r="C5889" s="10">
        <v>46150</v>
      </c>
      <c r="D5889" s="15">
        <v>1.0071</v>
      </c>
      <c r="E5889" s="15">
        <v>1.7434</v>
      </c>
      <c r="F5889" s="15">
        <v>1.932</v>
      </c>
      <c r="G5889" s="11">
        <v>-0.0011</v>
      </c>
      <c r="H5889" s="9">
        <f>MAX($F$5616:F5889)</f>
        <v>1.9341</v>
      </c>
      <c r="I5889" s="11">
        <f t="shared" si="144"/>
        <v>0.001085776330076</v>
      </c>
      <c r="J5889" s="9">
        <f>MAX($F$5854:F5889)</f>
        <v>1.9341</v>
      </c>
      <c r="K5889" s="11">
        <f t="shared" si="145"/>
        <v>0.001085776330076</v>
      </c>
      <c r="L5889" s="9">
        <f>MAX($F$5752:F5889)</f>
        <v>1.9341</v>
      </c>
      <c r="M5889" s="11">
        <f t="shared" si="146"/>
        <v>0.001085776330076</v>
      </c>
      <c r="N5889" s="9" t="s">
        <v>807</v>
      </c>
    </row>
    <row r="5890" ht="25" customHeight="1" spans="1:14">
      <c r="A5890" s="9" t="s">
        <v>249</v>
      </c>
      <c r="B5890" s="9" t="s">
        <v>248</v>
      </c>
      <c r="C5890" s="10">
        <v>46157</v>
      </c>
      <c r="D5890" s="15">
        <v>1.0095</v>
      </c>
      <c r="E5890" s="15">
        <v>1.7458</v>
      </c>
      <c r="F5890" s="15">
        <v>1.9366</v>
      </c>
      <c r="G5890" s="11">
        <v>0.0024</v>
      </c>
      <c r="H5890" s="9">
        <f>MAX($F$5616:F5890)</f>
        <v>1.9366</v>
      </c>
      <c r="I5890" s="11">
        <f t="shared" ref="I5890:I5953" si="147">1-F5890/H5890</f>
        <v>0</v>
      </c>
      <c r="J5890" s="9">
        <f>MAX($F$5854:F5890)</f>
        <v>1.9366</v>
      </c>
      <c r="K5890" s="11">
        <f t="shared" si="145"/>
        <v>0</v>
      </c>
      <c r="L5890" s="9">
        <f>MAX($F$5752:F5890)</f>
        <v>1.9366</v>
      </c>
      <c r="M5890" s="11">
        <f t="shared" si="146"/>
        <v>0</v>
      </c>
      <c r="N5890" s="9" t="s">
        <v>807</v>
      </c>
    </row>
    <row r="5891" ht="25" customHeight="1" spans="1:14">
      <c r="A5891" s="9" t="s">
        <v>249</v>
      </c>
      <c r="B5891" s="9" t="s">
        <v>248</v>
      </c>
      <c r="C5891" s="10">
        <v>46164</v>
      </c>
      <c r="D5891" s="15">
        <v>1.0125</v>
      </c>
      <c r="E5891" s="15">
        <v>1.7488</v>
      </c>
      <c r="F5891" s="15">
        <v>1.9424</v>
      </c>
      <c r="G5891" s="11">
        <v>0.003</v>
      </c>
      <c r="H5891" s="9">
        <f>MAX($F$5616:F5891)</f>
        <v>1.9424</v>
      </c>
      <c r="I5891" s="11">
        <f t="shared" si="147"/>
        <v>0</v>
      </c>
      <c r="J5891" s="9">
        <f>MAX($F$5854:F5891)</f>
        <v>1.9424</v>
      </c>
      <c r="K5891" s="11">
        <f t="shared" si="145"/>
        <v>0</v>
      </c>
      <c r="L5891" s="9">
        <f>MAX($F$5752:F5891)</f>
        <v>1.9424</v>
      </c>
      <c r="M5891" s="11">
        <f t="shared" si="146"/>
        <v>0</v>
      </c>
      <c r="N5891" s="9" t="s">
        <v>807</v>
      </c>
    </row>
    <row r="5892" ht="25" customHeight="1" spans="1:14">
      <c r="A5892" s="9" t="s">
        <v>249</v>
      </c>
      <c r="B5892" s="9" t="s">
        <v>248</v>
      </c>
      <c r="C5892" s="10">
        <v>46171</v>
      </c>
      <c r="D5892" s="15">
        <v>1.0129</v>
      </c>
      <c r="E5892" s="15">
        <v>1.7492</v>
      </c>
      <c r="F5892" s="15">
        <v>1.9431</v>
      </c>
      <c r="G5892" s="11">
        <v>0.0004</v>
      </c>
      <c r="H5892" s="9">
        <f>MAX($F$5616:F5892)</f>
        <v>1.9431</v>
      </c>
      <c r="I5892" s="11">
        <f t="shared" si="147"/>
        <v>0</v>
      </c>
      <c r="J5892" s="9">
        <f>MAX($F$5854:F5892)</f>
        <v>1.9431</v>
      </c>
      <c r="K5892" s="11">
        <f t="shared" si="145"/>
        <v>0</v>
      </c>
      <c r="L5892" s="9">
        <f>MAX($F$5752:F5892)</f>
        <v>1.9431</v>
      </c>
      <c r="M5892" s="11">
        <f t="shared" si="146"/>
        <v>0</v>
      </c>
      <c r="N5892" s="9" t="s">
        <v>807</v>
      </c>
    </row>
    <row r="5893" ht="25" customHeight="1" spans="1:14">
      <c r="A5893" s="9" t="s">
        <v>249</v>
      </c>
      <c r="B5893" s="9" t="s">
        <v>248</v>
      </c>
      <c r="C5893" s="10">
        <v>46178</v>
      </c>
      <c r="D5893" s="15">
        <v>1.0149</v>
      </c>
      <c r="E5893" s="15">
        <v>1.7512</v>
      </c>
      <c r="F5893" s="15">
        <v>1.947</v>
      </c>
      <c r="G5893" s="11">
        <v>0.002</v>
      </c>
      <c r="H5893" s="9">
        <f>MAX($F$5616:F5893)</f>
        <v>1.947</v>
      </c>
      <c r="I5893" s="11">
        <f t="shared" si="147"/>
        <v>0</v>
      </c>
      <c r="J5893" s="9">
        <f>MAX($F$5854:F5893)</f>
        <v>1.947</v>
      </c>
      <c r="K5893" s="11">
        <f t="shared" si="145"/>
        <v>0</v>
      </c>
      <c r="L5893" s="9">
        <f>MAX($F$5752:F5893)</f>
        <v>1.947</v>
      </c>
      <c r="M5893" s="11">
        <f t="shared" si="146"/>
        <v>0</v>
      </c>
      <c r="N5893" s="9" t="s">
        <v>807</v>
      </c>
    </row>
    <row r="5894" ht="25" customHeight="1" spans="1:14">
      <c r="A5894" s="9" t="s">
        <v>249</v>
      </c>
      <c r="B5894" s="9" t="s">
        <v>248</v>
      </c>
      <c r="C5894" s="10">
        <v>46185</v>
      </c>
      <c r="D5894" s="15">
        <v>1.0157</v>
      </c>
      <c r="E5894" s="15">
        <v>1.752</v>
      </c>
      <c r="F5894" s="15">
        <v>1.9485</v>
      </c>
      <c r="G5894" s="11">
        <v>0.0008</v>
      </c>
      <c r="H5894" s="9">
        <f>MAX($F$5616:F5894)</f>
        <v>1.9485</v>
      </c>
      <c r="I5894" s="11">
        <f t="shared" si="147"/>
        <v>0</v>
      </c>
      <c r="J5894" s="9">
        <f>MAX($F$5854:F5894)</f>
        <v>1.9485</v>
      </c>
      <c r="K5894" s="11">
        <f t="shared" si="145"/>
        <v>0</v>
      </c>
      <c r="L5894" s="9">
        <f>MAX($F$5752:F5894)</f>
        <v>1.9485</v>
      </c>
      <c r="M5894" s="11">
        <f t="shared" si="146"/>
        <v>0</v>
      </c>
      <c r="N5894" s="9" t="s">
        <v>807</v>
      </c>
    </row>
    <row r="5895" ht="25" customHeight="1" spans="1:14">
      <c r="A5895" s="9" t="s">
        <v>249</v>
      </c>
      <c r="B5895" s="9" t="s">
        <v>248</v>
      </c>
      <c r="C5895" s="10">
        <v>46191</v>
      </c>
      <c r="D5895" s="15">
        <v>1.0151</v>
      </c>
      <c r="E5895" s="15">
        <v>1.7514</v>
      </c>
      <c r="F5895" s="15">
        <v>1.9474</v>
      </c>
      <c r="G5895" s="11">
        <v>-0.0006</v>
      </c>
      <c r="H5895" s="9">
        <f>MAX($F$5616:F5895)</f>
        <v>1.9485</v>
      </c>
      <c r="I5895" s="11">
        <f t="shared" si="147"/>
        <v>0.000564536823197237</v>
      </c>
      <c r="J5895" s="9">
        <f>MAX($F$5854:F5895)</f>
        <v>1.9485</v>
      </c>
      <c r="K5895" s="11">
        <f t="shared" si="145"/>
        <v>0.000564536823197237</v>
      </c>
      <c r="L5895" s="9">
        <f>MAX($F$5752:F5895)</f>
        <v>1.9485</v>
      </c>
      <c r="M5895" s="11">
        <f t="shared" si="146"/>
        <v>0.000564536823197237</v>
      </c>
      <c r="N5895" s="9" t="s">
        <v>807</v>
      </c>
    </row>
    <row r="5896" ht="25" customHeight="1" spans="1:14">
      <c r="A5896" s="9" t="s">
        <v>249</v>
      </c>
      <c r="B5896" s="9" t="s">
        <v>248</v>
      </c>
      <c r="C5896" s="10">
        <v>46199</v>
      </c>
      <c r="D5896" s="15">
        <v>1.0174</v>
      </c>
      <c r="E5896" s="15">
        <v>1.7537</v>
      </c>
      <c r="F5896" s="15">
        <v>1.9518</v>
      </c>
      <c r="G5896" s="11">
        <v>0.0023</v>
      </c>
      <c r="H5896" s="9">
        <f>MAX($F$5616:F5896)</f>
        <v>1.9518</v>
      </c>
      <c r="I5896" s="11">
        <f t="shared" si="147"/>
        <v>0</v>
      </c>
      <c r="J5896" s="9">
        <f>MAX($F$5854:F5896)</f>
        <v>1.9518</v>
      </c>
      <c r="K5896" s="11">
        <f t="shared" si="145"/>
        <v>0</v>
      </c>
      <c r="L5896" s="9">
        <f>MAX($F$5752:F5896)</f>
        <v>1.9518</v>
      </c>
      <c r="M5896" s="11">
        <f t="shared" si="146"/>
        <v>0</v>
      </c>
      <c r="N5896" s="9" t="s">
        <v>807</v>
      </c>
    </row>
    <row r="5897" ht="25" customHeight="1" spans="1:14">
      <c r="A5897" s="9" t="s">
        <v>249</v>
      </c>
      <c r="B5897" s="9" t="s">
        <v>248</v>
      </c>
      <c r="C5897" s="10">
        <v>46206</v>
      </c>
      <c r="D5897" s="15">
        <v>1.0174</v>
      </c>
      <c r="E5897" s="15">
        <v>1.7537</v>
      </c>
      <c r="F5897" s="15">
        <v>1.9518</v>
      </c>
      <c r="G5897" s="11">
        <v>0</v>
      </c>
      <c r="H5897" s="9">
        <f>MAX($F$5616:F5897)</f>
        <v>1.9518</v>
      </c>
      <c r="I5897" s="11">
        <f t="shared" si="147"/>
        <v>0</v>
      </c>
      <c r="J5897" s="9">
        <f>MAX($F$5854:F5897)</f>
        <v>1.9518</v>
      </c>
      <c r="K5897" s="11">
        <f t="shared" si="145"/>
        <v>0</v>
      </c>
      <c r="L5897" s="9">
        <f>MAX($F$5752:F5897)</f>
        <v>1.9518</v>
      </c>
      <c r="M5897" s="11">
        <f t="shared" si="146"/>
        <v>0</v>
      </c>
      <c r="N5897" s="9" t="s">
        <v>807</v>
      </c>
    </row>
    <row r="5898" ht="25" customHeight="1" spans="1:14">
      <c r="A5898" s="9" t="s">
        <v>249</v>
      </c>
      <c r="B5898" s="9" t="s">
        <v>248</v>
      </c>
      <c r="C5898" s="10">
        <v>46213</v>
      </c>
      <c r="D5898" s="15">
        <v>1.0186</v>
      </c>
      <c r="E5898" s="15">
        <v>1.7549</v>
      </c>
      <c r="F5898" s="15">
        <v>1.9541</v>
      </c>
      <c r="G5898" s="11">
        <v>0.0012</v>
      </c>
      <c r="H5898" s="9">
        <f>MAX($F$5616:F5898)</f>
        <v>1.9541</v>
      </c>
      <c r="I5898" s="11">
        <f t="shared" si="147"/>
        <v>0</v>
      </c>
      <c r="J5898" s="9">
        <f>MAX($F$5854:F5898)</f>
        <v>1.9541</v>
      </c>
      <c r="K5898" s="11">
        <f t="shared" si="145"/>
        <v>0</v>
      </c>
      <c r="L5898" s="9">
        <f>MAX($F$5752:F5898)</f>
        <v>1.9541</v>
      </c>
      <c r="M5898" s="11">
        <f t="shared" si="146"/>
        <v>0</v>
      </c>
      <c r="N5898" s="9" t="s">
        <v>807</v>
      </c>
    </row>
    <row r="5899" ht="25" customHeight="1" spans="1:14">
      <c r="A5899" s="9" t="s">
        <v>249</v>
      </c>
      <c r="B5899" s="9" t="s">
        <v>248</v>
      </c>
      <c r="C5899" s="10">
        <v>46220</v>
      </c>
      <c r="D5899" s="15">
        <v>1.0223</v>
      </c>
      <c r="E5899" s="15">
        <v>1.7586</v>
      </c>
      <c r="F5899" s="15">
        <v>1.9612</v>
      </c>
      <c r="G5899" s="11">
        <v>0.0036</v>
      </c>
      <c r="H5899" s="9">
        <f>MAX($F$5616:F5899)</f>
        <v>1.9612</v>
      </c>
      <c r="I5899" s="11">
        <f t="shared" si="147"/>
        <v>0</v>
      </c>
      <c r="J5899" s="9">
        <f>MAX($F$5854:F5899)</f>
        <v>1.9612</v>
      </c>
      <c r="K5899" s="11">
        <f t="shared" si="145"/>
        <v>0</v>
      </c>
      <c r="L5899" s="9">
        <f>MAX($F$5752:F5899)</f>
        <v>1.9612</v>
      </c>
      <c r="M5899" s="11">
        <f t="shared" si="146"/>
        <v>0</v>
      </c>
      <c r="N5899" s="9" t="s">
        <v>807</v>
      </c>
    </row>
    <row r="5900" ht="25" customHeight="1" spans="1:14">
      <c r="A5900" s="9" t="s">
        <v>249</v>
      </c>
      <c r="B5900" s="9" t="s">
        <v>248</v>
      </c>
      <c r="C5900" s="10">
        <v>46227</v>
      </c>
      <c r="D5900" s="15">
        <v>1.0249</v>
      </c>
      <c r="E5900" s="15">
        <v>1.7612</v>
      </c>
      <c r="F5900" s="15">
        <v>1.9662</v>
      </c>
      <c r="G5900" s="11">
        <v>0.0025</v>
      </c>
      <c r="H5900" s="9">
        <f>MAX($F$5616:F5900)</f>
        <v>1.9662</v>
      </c>
      <c r="I5900" s="11">
        <f t="shared" si="147"/>
        <v>0</v>
      </c>
      <c r="J5900" s="9">
        <f>MAX($F$5854:F5900)</f>
        <v>1.9662</v>
      </c>
      <c r="K5900" s="11">
        <f t="shared" si="145"/>
        <v>0</v>
      </c>
      <c r="L5900" s="9">
        <f>MAX($F$5752:F5900)</f>
        <v>1.9662</v>
      </c>
      <c r="M5900" s="11">
        <f t="shared" si="146"/>
        <v>0</v>
      </c>
      <c r="N5900" s="9" t="s">
        <v>807</v>
      </c>
    </row>
    <row r="5901" ht="25" customHeight="1" spans="1:14">
      <c r="A5901" s="9" t="s">
        <v>249</v>
      </c>
      <c r="B5901" s="9" t="s">
        <v>248</v>
      </c>
      <c r="C5901" s="10">
        <v>46234</v>
      </c>
      <c r="D5901" s="15">
        <v>1.0292</v>
      </c>
      <c r="E5901" s="15">
        <v>1.7655</v>
      </c>
      <c r="F5901" s="15">
        <v>1.9744</v>
      </c>
      <c r="G5901" s="11">
        <v>0.0042</v>
      </c>
      <c r="H5901" s="9">
        <f>MAX($F$5616:F5901)</f>
        <v>1.9744</v>
      </c>
      <c r="I5901" s="11">
        <f t="shared" si="147"/>
        <v>0</v>
      </c>
      <c r="J5901" s="9">
        <f>MAX($F$5854:F5901)</f>
        <v>1.9744</v>
      </c>
      <c r="K5901" s="11">
        <f t="shared" si="145"/>
        <v>0</v>
      </c>
      <c r="L5901" s="9">
        <f>MAX($F$5752:F5901)</f>
        <v>1.9744</v>
      </c>
      <c r="M5901" s="11">
        <f t="shared" si="146"/>
        <v>0</v>
      </c>
      <c r="N5901" s="9" t="s">
        <v>807</v>
      </c>
    </row>
    <row r="5902" ht="25" customHeight="1" spans="1:14">
      <c r="A5902" s="9" t="s">
        <v>249</v>
      </c>
      <c r="B5902" s="9" t="s">
        <v>248</v>
      </c>
      <c r="C5902" s="10">
        <v>46241</v>
      </c>
      <c r="D5902" s="15">
        <v>1.029</v>
      </c>
      <c r="E5902" s="15">
        <v>1.7653</v>
      </c>
      <c r="F5902" s="15">
        <v>1.974</v>
      </c>
      <c r="G5902" s="11">
        <v>-0.0002</v>
      </c>
      <c r="H5902" s="9">
        <f>MAX($F$5616:F5902)</f>
        <v>1.9744</v>
      </c>
      <c r="I5902" s="11">
        <f t="shared" si="147"/>
        <v>0.00020259319286875</v>
      </c>
      <c r="J5902" s="9">
        <f>MAX($F$5854:F5902)</f>
        <v>1.9744</v>
      </c>
      <c r="K5902" s="11">
        <f t="shared" si="145"/>
        <v>0.00020259319286875</v>
      </c>
      <c r="L5902" s="9">
        <f>MAX($F$5752:F5902)</f>
        <v>1.9744</v>
      </c>
      <c r="M5902" s="11">
        <f t="shared" si="146"/>
        <v>0.00020259319286875</v>
      </c>
      <c r="N5902" s="9" t="s">
        <v>807</v>
      </c>
    </row>
    <row r="5903" ht="25" customHeight="1" spans="1:14">
      <c r="A5903" s="9" t="s">
        <v>249</v>
      </c>
      <c r="B5903" s="9" t="s">
        <v>248</v>
      </c>
      <c r="C5903" s="10">
        <v>46248</v>
      </c>
      <c r="D5903" s="15">
        <v>1.0287</v>
      </c>
      <c r="E5903" s="15">
        <v>1.765</v>
      </c>
      <c r="F5903" s="15">
        <v>1.9734</v>
      </c>
      <c r="G5903" s="11">
        <v>-0.0003</v>
      </c>
      <c r="H5903" s="9">
        <f>MAX($F$5616:F5903)</f>
        <v>1.9744</v>
      </c>
      <c r="I5903" s="11">
        <f t="shared" si="147"/>
        <v>0.000506482982171708</v>
      </c>
      <c r="J5903" s="9">
        <f>MAX($F$5854:F5903)</f>
        <v>1.9744</v>
      </c>
      <c r="K5903" s="11">
        <f t="shared" si="145"/>
        <v>0.000506482982171708</v>
      </c>
      <c r="L5903" s="9">
        <f>MAX($F$5752:F5903)</f>
        <v>1.9744</v>
      </c>
      <c r="M5903" s="11">
        <f t="shared" si="146"/>
        <v>0.000506482982171708</v>
      </c>
      <c r="N5903" s="9" t="s">
        <v>807</v>
      </c>
    </row>
    <row r="5904" ht="25" customHeight="1" spans="1:14">
      <c r="A5904" s="9" t="s">
        <v>249</v>
      </c>
      <c r="B5904" s="9" t="s">
        <v>248</v>
      </c>
      <c r="C5904" s="10">
        <v>46255</v>
      </c>
      <c r="D5904" s="15">
        <v>1.0301</v>
      </c>
      <c r="E5904" s="15">
        <v>1.7664</v>
      </c>
      <c r="F5904" s="15">
        <v>1.9761</v>
      </c>
      <c r="G5904" s="11">
        <v>0.0014</v>
      </c>
      <c r="H5904" s="9">
        <f>MAX($F$5616:F5904)</f>
        <v>1.9761</v>
      </c>
      <c r="I5904" s="11">
        <f t="shared" si="147"/>
        <v>0</v>
      </c>
      <c r="J5904" s="9">
        <f>MAX($F$5854:F5904)</f>
        <v>1.9761</v>
      </c>
      <c r="K5904" s="11">
        <f t="shared" si="145"/>
        <v>0</v>
      </c>
      <c r="L5904" s="9">
        <f>MAX($F$5752:F5904)</f>
        <v>1.9761</v>
      </c>
      <c r="M5904" s="11">
        <f t="shared" si="146"/>
        <v>0</v>
      </c>
      <c r="N5904" s="9" t="s">
        <v>807</v>
      </c>
    </row>
    <row r="5905" ht="25" customHeight="1" spans="1:14">
      <c r="A5905" s="9" t="s">
        <v>249</v>
      </c>
      <c r="B5905" s="9" t="s">
        <v>248</v>
      </c>
      <c r="C5905" s="10">
        <v>46262</v>
      </c>
      <c r="D5905" s="15">
        <v>1.0334</v>
      </c>
      <c r="E5905" s="15">
        <v>1.7697</v>
      </c>
      <c r="F5905" s="15">
        <v>1.9825</v>
      </c>
      <c r="G5905" s="11">
        <v>0.0032</v>
      </c>
      <c r="H5905" s="9">
        <f>MAX($F$5616:F5905)</f>
        <v>1.9825</v>
      </c>
      <c r="I5905" s="11">
        <f t="shared" si="147"/>
        <v>0</v>
      </c>
      <c r="J5905" s="9">
        <f>MAX($F$5854:F5905)</f>
        <v>1.9825</v>
      </c>
      <c r="K5905" s="11">
        <f t="shared" si="145"/>
        <v>0</v>
      </c>
      <c r="L5905" s="9">
        <f>MAX($F$5752:F5905)</f>
        <v>1.9825</v>
      </c>
      <c r="M5905" s="11">
        <f t="shared" si="146"/>
        <v>0</v>
      </c>
      <c r="N5905" s="9" t="s">
        <v>807</v>
      </c>
    </row>
    <row r="5906" ht="25" customHeight="1" spans="1:14">
      <c r="A5906" s="9" t="s">
        <v>249</v>
      </c>
      <c r="B5906" s="9" t="s">
        <v>248</v>
      </c>
      <c r="C5906" s="10">
        <v>46269</v>
      </c>
      <c r="D5906" s="15">
        <v>1.0347</v>
      </c>
      <c r="E5906" s="15">
        <v>1.771</v>
      </c>
      <c r="F5906" s="15">
        <v>1.985</v>
      </c>
      <c r="G5906" s="11">
        <v>0.0013</v>
      </c>
      <c r="H5906" s="9">
        <f>MAX($F$5616:F5906)</f>
        <v>1.985</v>
      </c>
      <c r="I5906" s="11">
        <f t="shared" si="147"/>
        <v>0</v>
      </c>
      <c r="J5906" s="9">
        <f>MAX($F$5854:F5906)</f>
        <v>1.985</v>
      </c>
      <c r="K5906" s="11">
        <f t="shared" si="145"/>
        <v>0</v>
      </c>
      <c r="L5906" s="9">
        <f>MAX($F$5752:F5906)</f>
        <v>1.985</v>
      </c>
      <c r="M5906" s="11">
        <f t="shared" si="146"/>
        <v>0</v>
      </c>
      <c r="N5906" s="9" t="s">
        <v>807</v>
      </c>
    </row>
    <row r="5907" ht="25" customHeight="1" spans="1:14">
      <c r="A5907" s="9" t="s">
        <v>244</v>
      </c>
      <c r="B5907" s="9" t="s">
        <v>243</v>
      </c>
      <c r="C5907" s="10">
        <v>45597</v>
      </c>
      <c r="D5907" s="15">
        <v>1</v>
      </c>
      <c r="E5907" s="15">
        <v>1</v>
      </c>
      <c r="F5907" s="15">
        <v>1</v>
      </c>
      <c r="G5907" s="11"/>
      <c r="H5907" s="9">
        <f>MAX($F$5907:F5907)</f>
        <v>1</v>
      </c>
      <c r="I5907" s="11">
        <f t="shared" si="147"/>
        <v>0</v>
      </c>
      <c r="J5907" s="9"/>
      <c r="K5907" s="11"/>
      <c r="L5907" s="9"/>
      <c r="M5907" s="11"/>
      <c r="N5907" s="9" t="s">
        <v>806</v>
      </c>
    </row>
    <row r="5908" ht="25" customHeight="1" spans="1:14">
      <c r="A5908" s="9" t="s">
        <v>244</v>
      </c>
      <c r="B5908" s="9" t="s">
        <v>243</v>
      </c>
      <c r="C5908" s="10">
        <v>45604</v>
      </c>
      <c r="D5908" s="15">
        <v>0.9999</v>
      </c>
      <c r="E5908" s="15">
        <v>0.9999</v>
      </c>
      <c r="F5908" s="15">
        <v>0.9999</v>
      </c>
      <c r="G5908" s="11">
        <v>-0.0001</v>
      </c>
      <c r="H5908" s="9">
        <f>MAX($F$5907:F5908)</f>
        <v>1</v>
      </c>
      <c r="I5908" s="11">
        <f t="shared" si="147"/>
        <v>9.9999999999989e-5</v>
      </c>
      <c r="J5908" s="9"/>
      <c r="K5908" s="11"/>
      <c r="L5908" s="9"/>
      <c r="M5908" s="11"/>
      <c r="N5908" s="9" t="s">
        <v>806</v>
      </c>
    </row>
    <row r="5909" ht="25" customHeight="1" spans="1:14">
      <c r="A5909" s="9" t="s">
        <v>244</v>
      </c>
      <c r="B5909" s="9" t="s">
        <v>243</v>
      </c>
      <c r="C5909" s="10">
        <v>45611</v>
      </c>
      <c r="D5909" s="15">
        <v>1.0007</v>
      </c>
      <c r="E5909" s="15">
        <v>1.0007</v>
      </c>
      <c r="F5909" s="15">
        <v>1.0007</v>
      </c>
      <c r="G5909" s="11">
        <v>0.0008</v>
      </c>
      <c r="H5909" s="9">
        <f>MAX($F$5907:F5909)</f>
        <v>1.0007</v>
      </c>
      <c r="I5909" s="11">
        <f t="shared" si="147"/>
        <v>0</v>
      </c>
      <c r="J5909" s="9"/>
      <c r="K5909" s="11"/>
      <c r="L5909" s="9"/>
      <c r="M5909" s="11"/>
      <c r="N5909" s="9" t="s">
        <v>806</v>
      </c>
    </row>
    <row r="5910" ht="25" customHeight="1" spans="1:14">
      <c r="A5910" s="9" t="s">
        <v>244</v>
      </c>
      <c r="B5910" s="9" t="s">
        <v>243</v>
      </c>
      <c r="C5910" s="10">
        <v>45618</v>
      </c>
      <c r="D5910" s="15">
        <v>0.9976</v>
      </c>
      <c r="E5910" s="15">
        <v>0.9976</v>
      </c>
      <c r="F5910" s="15">
        <v>0.9976</v>
      </c>
      <c r="G5910" s="11">
        <v>-0.0031</v>
      </c>
      <c r="H5910" s="9">
        <f>MAX($F$5907:F5910)</f>
        <v>1.0007</v>
      </c>
      <c r="I5910" s="11">
        <f t="shared" si="147"/>
        <v>0.0030978315179373</v>
      </c>
      <c r="J5910" s="9"/>
      <c r="K5910" s="11"/>
      <c r="L5910" s="9"/>
      <c r="M5910" s="11"/>
      <c r="N5910" s="9" t="s">
        <v>806</v>
      </c>
    </row>
    <row r="5911" ht="25" customHeight="1" spans="1:14">
      <c r="A5911" s="9" t="s">
        <v>244</v>
      </c>
      <c r="B5911" s="9" t="s">
        <v>243</v>
      </c>
      <c r="C5911" s="10">
        <v>45625</v>
      </c>
      <c r="D5911" s="15">
        <v>0.9836</v>
      </c>
      <c r="E5911" s="15">
        <v>0.9836</v>
      </c>
      <c r="F5911" s="15">
        <v>0.9836</v>
      </c>
      <c r="G5911" s="11">
        <v>-0.014</v>
      </c>
      <c r="H5911" s="9">
        <f>MAX($F$5907:F5911)</f>
        <v>1.0007</v>
      </c>
      <c r="I5911" s="11">
        <f t="shared" si="147"/>
        <v>0.0170880383731387</v>
      </c>
      <c r="J5911" s="9"/>
      <c r="K5911" s="11"/>
      <c r="L5911" s="9"/>
      <c r="M5911" s="11"/>
      <c r="N5911" s="9" t="s">
        <v>806</v>
      </c>
    </row>
    <row r="5912" ht="25" customHeight="1" spans="1:14">
      <c r="A5912" s="9" t="s">
        <v>244</v>
      </c>
      <c r="B5912" s="9" t="s">
        <v>243</v>
      </c>
      <c r="C5912" s="10">
        <v>45632</v>
      </c>
      <c r="D5912" s="15">
        <v>0.9726</v>
      </c>
      <c r="E5912" s="15">
        <v>0.9726</v>
      </c>
      <c r="F5912" s="15">
        <v>0.9726</v>
      </c>
      <c r="G5912" s="11">
        <v>-0.0112</v>
      </c>
      <c r="H5912" s="9">
        <f>MAX($F$5907:F5912)</f>
        <v>1.0007</v>
      </c>
      <c r="I5912" s="11">
        <f t="shared" si="147"/>
        <v>0.0280803437593683</v>
      </c>
      <c r="J5912" s="9"/>
      <c r="K5912" s="11"/>
      <c r="L5912" s="9"/>
      <c r="M5912" s="11"/>
      <c r="N5912" s="9" t="s">
        <v>806</v>
      </c>
    </row>
    <row r="5913" ht="25" customHeight="1" spans="1:14">
      <c r="A5913" s="9" t="s">
        <v>244</v>
      </c>
      <c r="B5913" s="9" t="s">
        <v>243</v>
      </c>
      <c r="C5913" s="10">
        <v>45639</v>
      </c>
      <c r="D5913" s="15">
        <v>0.9631</v>
      </c>
      <c r="E5913" s="15">
        <v>0.9631</v>
      </c>
      <c r="F5913" s="15">
        <v>0.9631</v>
      </c>
      <c r="G5913" s="11">
        <v>-0.0098</v>
      </c>
      <c r="H5913" s="9">
        <f>MAX($F$5907:F5913)</f>
        <v>1.0007</v>
      </c>
      <c r="I5913" s="11">
        <f t="shared" si="147"/>
        <v>0.0375736984111122</v>
      </c>
      <c r="J5913" s="9"/>
      <c r="K5913" s="11"/>
      <c r="L5913" s="9"/>
      <c r="M5913" s="11"/>
      <c r="N5913" s="9" t="s">
        <v>806</v>
      </c>
    </row>
    <row r="5914" ht="25" customHeight="1" spans="1:14">
      <c r="A5914" s="9" t="s">
        <v>244</v>
      </c>
      <c r="B5914" s="9" t="s">
        <v>243</v>
      </c>
      <c r="C5914" s="10">
        <v>45646</v>
      </c>
      <c r="D5914" s="15">
        <v>0.9766</v>
      </c>
      <c r="E5914" s="15">
        <v>0.9766</v>
      </c>
      <c r="F5914" s="15">
        <v>0.9766</v>
      </c>
      <c r="G5914" s="11">
        <v>0.014</v>
      </c>
      <c r="H5914" s="9">
        <f>MAX($F$5907:F5914)</f>
        <v>1.0007</v>
      </c>
      <c r="I5914" s="11">
        <f t="shared" si="147"/>
        <v>0.0240831418007393</v>
      </c>
      <c r="J5914" s="9"/>
      <c r="K5914" s="11"/>
      <c r="L5914" s="9"/>
      <c r="M5914" s="11"/>
      <c r="N5914" s="9" t="s">
        <v>806</v>
      </c>
    </row>
    <row r="5915" ht="25" customHeight="1" spans="1:14">
      <c r="A5915" s="9" t="s">
        <v>244</v>
      </c>
      <c r="B5915" s="9" t="s">
        <v>243</v>
      </c>
      <c r="C5915" s="10">
        <v>45653</v>
      </c>
      <c r="D5915" s="15">
        <v>1.0029</v>
      </c>
      <c r="E5915" s="15">
        <v>1.0029</v>
      </c>
      <c r="F5915" s="15">
        <v>1.0029</v>
      </c>
      <c r="G5915" s="11">
        <v>0.0269</v>
      </c>
      <c r="H5915" s="9">
        <f>MAX($F$5907:F5915)</f>
        <v>1.0029</v>
      </c>
      <c r="I5915" s="11">
        <f t="shared" si="147"/>
        <v>0</v>
      </c>
      <c r="J5915" s="9"/>
      <c r="K5915" s="11"/>
      <c r="L5915" s="9"/>
      <c r="M5915" s="11"/>
      <c r="N5915" s="9" t="s">
        <v>806</v>
      </c>
    </row>
    <row r="5916" ht="25" customHeight="1" spans="1:14">
      <c r="A5916" s="9" t="s">
        <v>244</v>
      </c>
      <c r="B5916" s="9" t="s">
        <v>243</v>
      </c>
      <c r="C5916" s="10">
        <v>45660</v>
      </c>
      <c r="D5916" s="15">
        <v>1.0324</v>
      </c>
      <c r="E5916" s="15">
        <v>1.0324</v>
      </c>
      <c r="F5916" s="15">
        <v>1.0324</v>
      </c>
      <c r="G5916" s="11">
        <v>0.0294</v>
      </c>
      <c r="H5916" s="9">
        <f>MAX($F$5907:F5916)</f>
        <v>1.0324</v>
      </c>
      <c r="I5916" s="11">
        <f t="shared" si="147"/>
        <v>0</v>
      </c>
      <c r="J5916" s="9"/>
      <c r="K5916" s="11"/>
      <c r="L5916" s="9"/>
      <c r="M5916" s="11"/>
      <c r="N5916" s="9" t="s">
        <v>806</v>
      </c>
    </row>
    <row r="5917" ht="25" customHeight="1" spans="1:14">
      <c r="A5917" s="9" t="s">
        <v>244</v>
      </c>
      <c r="B5917" s="9" t="s">
        <v>243</v>
      </c>
      <c r="C5917" s="10">
        <v>45667</v>
      </c>
      <c r="D5917" s="15">
        <v>1.0366</v>
      </c>
      <c r="E5917" s="15">
        <v>1.0366</v>
      </c>
      <c r="F5917" s="15">
        <v>1.0366</v>
      </c>
      <c r="G5917" s="11">
        <v>0.0041</v>
      </c>
      <c r="H5917" s="9">
        <f>MAX($F$5907:F5917)</f>
        <v>1.0366</v>
      </c>
      <c r="I5917" s="11">
        <f t="shared" si="147"/>
        <v>0</v>
      </c>
      <c r="J5917" s="9"/>
      <c r="K5917" s="11"/>
      <c r="L5917" s="9"/>
      <c r="M5917" s="11"/>
      <c r="N5917" s="9" t="s">
        <v>806</v>
      </c>
    </row>
    <row r="5918" ht="25" customHeight="1" spans="1:14">
      <c r="A5918" s="9" t="s">
        <v>244</v>
      </c>
      <c r="B5918" s="9" t="s">
        <v>243</v>
      </c>
      <c r="C5918" s="10">
        <v>45674</v>
      </c>
      <c r="D5918" s="15">
        <v>1.0082</v>
      </c>
      <c r="E5918" s="15">
        <v>1.0082</v>
      </c>
      <c r="F5918" s="15">
        <v>1.0082</v>
      </c>
      <c r="G5918" s="11">
        <v>-0.0274</v>
      </c>
      <c r="H5918" s="9">
        <f>MAX($F$5907:F5918)</f>
        <v>1.0366</v>
      </c>
      <c r="I5918" s="11">
        <f t="shared" si="147"/>
        <v>0.0273972602739726</v>
      </c>
      <c r="J5918" s="9"/>
      <c r="K5918" s="11"/>
      <c r="L5918" s="9"/>
      <c r="M5918" s="11"/>
      <c r="N5918" s="9" t="s">
        <v>806</v>
      </c>
    </row>
    <row r="5919" ht="25" customHeight="1" spans="1:14">
      <c r="A5919" s="9" t="s">
        <v>244</v>
      </c>
      <c r="B5919" s="9" t="s">
        <v>243</v>
      </c>
      <c r="C5919" s="10">
        <v>45681</v>
      </c>
      <c r="D5919" s="15">
        <v>1.0035</v>
      </c>
      <c r="E5919" s="15">
        <v>1.0035</v>
      </c>
      <c r="F5919" s="15">
        <v>1.0035</v>
      </c>
      <c r="G5919" s="11">
        <v>-0.0047</v>
      </c>
      <c r="H5919" s="9">
        <f>MAX($F$5907:F5919)</f>
        <v>1.0366</v>
      </c>
      <c r="I5919" s="11">
        <f t="shared" si="147"/>
        <v>0.0319313139108623</v>
      </c>
      <c r="J5919" s="9"/>
      <c r="K5919" s="11"/>
      <c r="L5919" s="9"/>
      <c r="M5919" s="11"/>
      <c r="N5919" s="9" t="s">
        <v>806</v>
      </c>
    </row>
    <row r="5920" ht="25" customHeight="1" spans="1:14">
      <c r="A5920" s="9" t="s">
        <v>244</v>
      </c>
      <c r="B5920" s="9" t="s">
        <v>243</v>
      </c>
      <c r="C5920" s="10">
        <v>45684</v>
      </c>
      <c r="D5920" s="15">
        <v>0.9987</v>
      </c>
      <c r="E5920" s="15">
        <v>0.9987</v>
      </c>
      <c r="F5920" s="15">
        <v>0.9987</v>
      </c>
      <c r="G5920" s="11">
        <v>-0.0048</v>
      </c>
      <c r="H5920" s="9">
        <f>MAX($F$5907:F5920)</f>
        <v>1.0366</v>
      </c>
      <c r="I5920" s="11">
        <f t="shared" si="147"/>
        <v>0.036561836774069</v>
      </c>
      <c r="J5920" s="9"/>
      <c r="K5920" s="11"/>
      <c r="L5920" s="9"/>
      <c r="M5920" s="11"/>
      <c r="N5920" s="9" t="s">
        <v>806</v>
      </c>
    </row>
    <row r="5921" ht="25" customHeight="1" spans="1:14">
      <c r="A5921" s="9" t="s">
        <v>244</v>
      </c>
      <c r="B5921" s="9" t="s">
        <v>243</v>
      </c>
      <c r="C5921" s="10">
        <v>45695</v>
      </c>
      <c r="D5921" s="15">
        <v>1.0198</v>
      </c>
      <c r="E5921" s="15">
        <v>1.0198</v>
      </c>
      <c r="F5921" s="15">
        <v>1.0198</v>
      </c>
      <c r="G5921" s="11">
        <v>0.0211</v>
      </c>
      <c r="H5921" s="9">
        <f>MAX($F$5907:F5921)</f>
        <v>1.0366</v>
      </c>
      <c r="I5921" s="11">
        <f t="shared" si="147"/>
        <v>0.0162068300212231</v>
      </c>
      <c r="J5921" s="9"/>
      <c r="K5921" s="11"/>
      <c r="L5921" s="9"/>
      <c r="M5921" s="11"/>
      <c r="N5921" s="9" t="s">
        <v>806</v>
      </c>
    </row>
    <row r="5922" ht="25" customHeight="1" spans="1:14">
      <c r="A5922" s="9" t="s">
        <v>244</v>
      </c>
      <c r="B5922" s="9" t="s">
        <v>243</v>
      </c>
      <c r="C5922" s="10">
        <v>45702</v>
      </c>
      <c r="D5922" s="15">
        <v>1.027</v>
      </c>
      <c r="E5922" s="15">
        <v>1.027</v>
      </c>
      <c r="F5922" s="15">
        <v>1.027</v>
      </c>
      <c r="G5922" s="11">
        <v>0.0071</v>
      </c>
      <c r="H5922" s="9">
        <f>MAX($F$5907:F5922)</f>
        <v>1.0366</v>
      </c>
      <c r="I5922" s="11">
        <f t="shared" si="147"/>
        <v>0.00926104572641329</v>
      </c>
      <c r="J5922" s="9"/>
      <c r="K5922" s="11"/>
      <c r="L5922" s="9"/>
      <c r="M5922" s="11"/>
      <c r="N5922" s="9" t="s">
        <v>806</v>
      </c>
    </row>
    <row r="5923" ht="25" customHeight="1" spans="1:14">
      <c r="A5923" s="9" t="s">
        <v>244</v>
      </c>
      <c r="B5923" s="9" t="s">
        <v>243</v>
      </c>
      <c r="C5923" s="10">
        <v>45709</v>
      </c>
      <c r="D5923" s="15">
        <v>1.0438</v>
      </c>
      <c r="E5923" s="15">
        <v>1.0438</v>
      </c>
      <c r="F5923" s="15">
        <v>1.0438</v>
      </c>
      <c r="G5923" s="11">
        <v>0.0164</v>
      </c>
      <c r="H5923" s="9">
        <f>MAX($F$5907:F5923)</f>
        <v>1.0438</v>
      </c>
      <c r="I5923" s="11">
        <f t="shared" si="147"/>
        <v>0</v>
      </c>
      <c r="J5923" s="9"/>
      <c r="K5923" s="11"/>
      <c r="L5923" s="9"/>
      <c r="M5923" s="11"/>
      <c r="N5923" s="9" t="s">
        <v>806</v>
      </c>
    </row>
    <row r="5924" ht="25" customHeight="1" spans="1:14">
      <c r="A5924" s="9" t="s">
        <v>244</v>
      </c>
      <c r="B5924" s="9" t="s">
        <v>243</v>
      </c>
      <c r="C5924" s="10">
        <v>45716</v>
      </c>
      <c r="D5924" s="15">
        <v>1.035</v>
      </c>
      <c r="E5924" s="15">
        <v>1.035</v>
      </c>
      <c r="F5924" s="15">
        <v>1.035</v>
      </c>
      <c r="G5924" s="11">
        <v>-0.0084</v>
      </c>
      <c r="H5924" s="9">
        <f>MAX($F$5907:F5924)</f>
        <v>1.0438</v>
      </c>
      <c r="I5924" s="11">
        <f t="shared" si="147"/>
        <v>0.00843073385706083</v>
      </c>
      <c r="J5924" s="9"/>
      <c r="K5924" s="11"/>
      <c r="L5924" s="9"/>
      <c r="M5924" s="11"/>
      <c r="N5924" s="9" t="s">
        <v>806</v>
      </c>
    </row>
    <row r="5925" ht="25" customHeight="1" spans="1:14">
      <c r="A5925" s="9" t="s">
        <v>244</v>
      </c>
      <c r="B5925" s="9" t="s">
        <v>243</v>
      </c>
      <c r="C5925" s="10">
        <v>45723</v>
      </c>
      <c r="D5925" s="15">
        <v>1.0539</v>
      </c>
      <c r="E5925" s="15">
        <v>1.0539</v>
      </c>
      <c r="F5925" s="15">
        <v>1.0539</v>
      </c>
      <c r="G5925" s="11">
        <v>0.0183</v>
      </c>
      <c r="H5925" s="9">
        <f>MAX($F$5907:F5925)</f>
        <v>1.0539</v>
      </c>
      <c r="I5925" s="11">
        <f t="shared" si="147"/>
        <v>0</v>
      </c>
      <c r="J5925" s="9"/>
      <c r="K5925" s="11"/>
      <c r="L5925" s="9"/>
      <c r="M5925" s="11"/>
      <c r="N5925" s="9" t="s">
        <v>806</v>
      </c>
    </row>
    <row r="5926" ht="25" customHeight="1" spans="1:14">
      <c r="A5926" s="9" t="s">
        <v>244</v>
      </c>
      <c r="B5926" s="9" t="s">
        <v>243</v>
      </c>
      <c r="C5926" s="10">
        <v>45730</v>
      </c>
      <c r="D5926" s="15">
        <v>1.0551</v>
      </c>
      <c r="E5926" s="15">
        <v>1.0551</v>
      </c>
      <c r="F5926" s="15">
        <v>1.0551</v>
      </c>
      <c r="G5926" s="11">
        <v>0.0011</v>
      </c>
      <c r="H5926" s="9">
        <f>MAX($F$5907:F5926)</f>
        <v>1.0551</v>
      </c>
      <c r="I5926" s="11">
        <f t="shared" si="147"/>
        <v>0</v>
      </c>
      <c r="J5926" s="9"/>
      <c r="K5926" s="11"/>
      <c r="L5926" s="9"/>
      <c r="M5926" s="11"/>
      <c r="N5926" s="9" t="s">
        <v>806</v>
      </c>
    </row>
    <row r="5927" ht="25" customHeight="1" spans="1:14">
      <c r="A5927" s="9" t="s">
        <v>244</v>
      </c>
      <c r="B5927" s="9" t="s">
        <v>243</v>
      </c>
      <c r="C5927" s="10">
        <v>45737</v>
      </c>
      <c r="D5927" s="15">
        <v>1.0573</v>
      </c>
      <c r="E5927" s="15">
        <v>1.0573</v>
      </c>
      <c r="F5927" s="15">
        <v>1.0573</v>
      </c>
      <c r="G5927" s="11">
        <v>0.0021</v>
      </c>
      <c r="H5927" s="9">
        <f>MAX($F$5907:F5927)</f>
        <v>1.0573</v>
      </c>
      <c r="I5927" s="11">
        <f t="shared" si="147"/>
        <v>0</v>
      </c>
      <c r="J5927" s="9"/>
      <c r="K5927" s="11"/>
      <c r="L5927" s="9"/>
      <c r="M5927" s="11"/>
      <c r="N5927" s="9" t="s">
        <v>806</v>
      </c>
    </row>
    <row r="5928" ht="25" customHeight="1" spans="1:14">
      <c r="A5928" s="9" t="s">
        <v>244</v>
      </c>
      <c r="B5928" s="9" t="s">
        <v>243</v>
      </c>
      <c r="C5928" s="10">
        <v>45744</v>
      </c>
      <c r="D5928" s="15">
        <v>1.0551</v>
      </c>
      <c r="E5928" s="15">
        <v>1.0551</v>
      </c>
      <c r="F5928" s="15">
        <v>1.0551</v>
      </c>
      <c r="G5928" s="11">
        <v>-0.0021</v>
      </c>
      <c r="H5928" s="9">
        <f>MAX($F$5907:F5928)</f>
        <v>1.0573</v>
      </c>
      <c r="I5928" s="11">
        <f t="shared" si="147"/>
        <v>0.00208077177716826</v>
      </c>
      <c r="J5928" s="9"/>
      <c r="K5928" s="11"/>
      <c r="L5928" s="9"/>
      <c r="M5928" s="11"/>
      <c r="N5928" s="9" t="s">
        <v>806</v>
      </c>
    </row>
    <row r="5929" ht="25" customHeight="1" spans="1:14">
      <c r="A5929" s="9" t="s">
        <v>244</v>
      </c>
      <c r="B5929" s="9" t="s">
        <v>243</v>
      </c>
      <c r="C5929" s="10">
        <v>45747</v>
      </c>
      <c r="D5929" s="15">
        <v>1.0547</v>
      </c>
      <c r="E5929" s="15">
        <v>1.0547</v>
      </c>
      <c r="F5929" s="15">
        <v>1.0547</v>
      </c>
      <c r="G5929" s="11">
        <v>-0.0004</v>
      </c>
      <c r="H5929" s="9">
        <f>MAX($F$5907:F5929)</f>
        <v>1.0573</v>
      </c>
      <c r="I5929" s="11">
        <f t="shared" si="147"/>
        <v>0.00245909391847154</v>
      </c>
      <c r="J5929" s="9"/>
      <c r="K5929" s="11"/>
      <c r="L5929" s="9"/>
      <c r="M5929" s="11"/>
      <c r="N5929" s="9" t="s">
        <v>806</v>
      </c>
    </row>
    <row r="5930" ht="25" customHeight="1" spans="1:14">
      <c r="A5930" s="9" t="s">
        <v>244</v>
      </c>
      <c r="B5930" s="9" t="s">
        <v>243</v>
      </c>
      <c r="C5930" s="10">
        <v>45750</v>
      </c>
      <c r="D5930" s="15">
        <v>1.0504</v>
      </c>
      <c r="E5930" s="15">
        <v>1.0504</v>
      </c>
      <c r="F5930" s="15">
        <v>1.0504</v>
      </c>
      <c r="G5930" s="11">
        <v>-0.0041</v>
      </c>
      <c r="H5930" s="9">
        <f>MAX($F$5907:F5930)</f>
        <v>1.0573</v>
      </c>
      <c r="I5930" s="11">
        <f t="shared" si="147"/>
        <v>0.00652605693748221</v>
      </c>
      <c r="J5930" s="9"/>
      <c r="K5930" s="11"/>
      <c r="L5930" s="9"/>
      <c r="M5930" s="11"/>
      <c r="N5930" s="9" t="s">
        <v>806</v>
      </c>
    </row>
    <row r="5931" ht="25" customHeight="1" spans="1:14">
      <c r="A5931" s="9" t="s">
        <v>244</v>
      </c>
      <c r="B5931" s="9" t="s">
        <v>243</v>
      </c>
      <c r="C5931" s="10">
        <v>45758</v>
      </c>
      <c r="D5931" s="15">
        <v>1.0546</v>
      </c>
      <c r="E5931" s="15">
        <v>1.0546</v>
      </c>
      <c r="F5931" s="15">
        <v>1.0546</v>
      </c>
      <c r="G5931" s="11">
        <v>0.004</v>
      </c>
      <c r="H5931" s="9">
        <f>MAX($F$5907:F5931)</f>
        <v>1.0573</v>
      </c>
      <c r="I5931" s="11">
        <f t="shared" si="147"/>
        <v>0.00255367445379728</v>
      </c>
      <c r="J5931" s="9"/>
      <c r="K5931" s="11"/>
      <c r="L5931" s="9"/>
      <c r="M5931" s="11"/>
      <c r="N5931" s="9" t="s">
        <v>806</v>
      </c>
    </row>
    <row r="5932" ht="25" customHeight="1" spans="1:14">
      <c r="A5932" s="9" t="s">
        <v>244</v>
      </c>
      <c r="B5932" s="9" t="s">
        <v>243</v>
      </c>
      <c r="C5932" s="10">
        <v>45765</v>
      </c>
      <c r="D5932" s="15">
        <v>1.0583</v>
      </c>
      <c r="E5932" s="15">
        <v>1.0583</v>
      </c>
      <c r="F5932" s="15">
        <v>1.0583</v>
      </c>
      <c r="G5932" s="11">
        <v>0.0035</v>
      </c>
      <c r="H5932" s="9">
        <f>MAX($F$5907:F5932)</f>
        <v>1.0583</v>
      </c>
      <c r="I5932" s="11">
        <f t="shared" si="147"/>
        <v>0</v>
      </c>
      <c r="J5932" s="9"/>
      <c r="K5932" s="11"/>
      <c r="L5932" s="9"/>
      <c r="M5932" s="11"/>
      <c r="N5932" s="9" t="s">
        <v>806</v>
      </c>
    </row>
    <row r="5933" ht="25" customHeight="1" spans="1:14">
      <c r="A5933" s="9" t="s">
        <v>244</v>
      </c>
      <c r="B5933" s="9" t="s">
        <v>243</v>
      </c>
      <c r="C5933" s="10">
        <v>45772</v>
      </c>
      <c r="D5933" s="15">
        <v>1.0463</v>
      </c>
      <c r="E5933" s="15">
        <v>1.0463</v>
      </c>
      <c r="F5933" s="15">
        <v>1.0463</v>
      </c>
      <c r="G5933" s="11">
        <v>-0.0113</v>
      </c>
      <c r="H5933" s="9">
        <f>MAX($F$5907:F5933)</f>
        <v>1.0583</v>
      </c>
      <c r="I5933" s="11">
        <f t="shared" si="147"/>
        <v>0.0113389398091278</v>
      </c>
      <c r="J5933" s="9"/>
      <c r="K5933" s="11"/>
      <c r="L5933" s="9"/>
      <c r="M5933" s="11"/>
      <c r="N5933" s="9" t="s">
        <v>806</v>
      </c>
    </row>
    <row r="5934" ht="25" customHeight="1" spans="1:14">
      <c r="A5934" s="9" t="s">
        <v>244</v>
      </c>
      <c r="B5934" s="9" t="s">
        <v>243</v>
      </c>
      <c r="C5934" s="10">
        <v>45777</v>
      </c>
      <c r="D5934" s="15">
        <v>1.0413</v>
      </c>
      <c r="E5934" s="15">
        <v>1.0413</v>
      </c>
      <c r="F5934" s="15">
        <v>1.0413</v>
      </c>
      <c r="G5934" s="11">
        <v>-0.0048</v>
      </c>
      <c r="H5934" s="9">
        <f>MAX($F$5907:F5934)</f>
        <v>1.0583</v>
      </c>
      <c r="I5934" s="11">
        <f t="shared" si="147"/>
        <v>0.0160634980629313</v>
      </c>
      <c r="J5934" s="9"/>
      <c r="K5934" s="11"/>
      <c r="L5934" s="9"/>
      <c r="M5934" s="11"/>
      <c r="N5934" s="9" t="s">
        <v>806</v>
      </c>
    </row>
    <row r="5935" ht="25" customHeight="1" spans="1:14">
      <c r="A5935" s="9" t="s">
        <v>244</v>
      </c>
      <c r="B5935" s="9" t="s">
        <v>243</v>
      </c>
      <c r="C5935" s="10">
        <v>45786</v>
      </c>
      <c r="D5935" s="15">
        <v>1.0394</v>
      </c>
      <c r="E5935" s="15">
        <v>1.0394</v>
      </c>
      <c r="F5935" s="15">
        <v>1.0394</v>
      </c>
      <c r="G5935" s="11">
        <v>-0.0018</v>
      </c>
      <c r="H5935" s="9">
        <f>MAX($F$5907:F5935)</f>
        <v>1.0583</v>
      </c>
      <c r="I5935" s="11">
        <f t="shared" si="147"/>
        <v>0.0178588301993763</v>
      </c>
      <c r="J5935" s="9"/>
      <c r="K5935" s="11"/>
      <c r="L5935" s="9"/>
      <c r="M5935" s="11"/>
      <c r="N5935" s="9" t="s">
        <v>806</v>
      </c>
    </row>
    <row r="5936" ht="25" customHeight="1" spans="1:14">
      <c r="A5936" s="9" t="s">
        <v>244</v>
      </c>
      <c r="B5936" s="9" t="s">
        <v>243</v>
      </c>
      <c r="C5936" s="10">
        <v>45793</v>
      </c>
      <c r="D5936" s="15">
        <v>1.0296</v>
      </c>
      <c r="E5936" s="15">
        <v>1.0296</v>
      </c>
      <c r="F5936" s="15">
        <v>1.0296</v>
      </c>
      <c r="G5936" s="11">
        <v>-0.0094</v>
      </c>
      <c r="H5936" s="9">
        <f>MAX($F$5907:F5936)</f>
        <v>1.0583</v>
      </c>
      <c r="I5936" s="11">
        <f t="shared" si="147"/>
        <v>0.0271189643768307</v>
      </c>
      <c r="J5936" s="9"/>
      <c r="K5936" s="11"/>
      <c r="L5936" s="9"/>
      <c r="M5936" s="11"/>
      <c r="N5936" s="9" t="s">
        <v>806</v>
      </c>
    </row>
    <row r="5937" ht="25" customHeight="1" spans="1:14">
      <c r="A5937" s="9" t="s">
        <v>244</v>
      </c>
      <c r="B5937" s="9" t="s">
        <v>243</v>
      </c>
      <c r="C5937" s="10">
        <v>45800</v>
      </c>
      <c r="D5937" s="15">
        <v>1.0374</v>
      </c>
      <c r="E5937" s="15">
        <v>1.0374</v>
      </c>
      <c r="F5937" s="15">
        <v>1.0374</v>
      </c>
      <c r="G5937" s="11">
        <v>0.0076</v>
      </c>
      <c r="H5937" s="9">
        <f>MAX($F$5907:F5937)</f>
        <v>1.0583</v>
      </c>
      <c r="I5937" s="11">
        <f t="shared" si="147"/>
        <v>0.0197486535008976</v>
      </c>
      <c r="J5937" s="9"/>
      <c r="K5937" s="11"/>
      <c r="L5937" s="9"/>
      <c r="M5937" s="11"/>
      <c r="N5937" s="9" t="s">
        <v>806</v>
      </c>
    </row>
    <row r="5938" ht="25" customHeight="1" spans="1:14">
      <c r="A5938" s="9" t="s">
        <v>244</v>
      </c>
      <c r="B5938" s="9" t="s">
        <v>243</v>
      </c>
      <c r="C5938" s="10">
        <v>45807</v>
      </c>
      <c r="D5938" s="15">
        <v>1.0214</v>
      </c>
      <c r="E5938" s="15">
        <v>1.0214</v>
      </c>
      <c r="F5938" s="15">
        <v>1.0214</v>
      </c>
      <c r="G5938" s="11">
        <v>-0.0154</v>
      </c>
      <c r="H5938" s="9">
        <f>MAX($F$5907:F5938)</f>
        <v>1.0583</v>
      </c>
      <c r="I5938" s="11">
        <f t="shared" si="147"/>
        <v>0.0348672399130681</v>
      </c>
      <c r="J5938" s="9"/>
      <c r="K5938" s="11"/>
      <c r="L5938" s="9"/>
      <c r="M5938" s="11"/>
      <c r="N5938" s="9" t="s">
        <v>806</v>
      </c>
    </row>
    <row r="5939" ht="25" customHeight="1" spans="1:14">
      <c r="A5939" s="9" t="s">
        <v>244</v>
      </c>
      <c r="B5939" s="9" t="s">
        <v>243</v>
      </c>
      <c r="C5939" s="10">
        <v>45814</v>
      </c>
      <c r="D5939" s="15">
        <v>1.0091</v>
      </c>
      <c r="E5939" s="15">
        <v>1.0091</v>
      </c>
      <c r="F5939" s="15">
        <v>1.0091</v>
      </c>
      <c r="G5939" s="11">
        <v>-0.012</v>
      </c>
      <c r="H5939" s="9">
        <f>MAX($F$5907:F5939)</f>
        <v>1.0583</v>
      </c>
      <c r="I5939" s="11">
        <f t="shared" si="147"/>
        <v>0.046489653217424</v>
      </c>
      <c r="J5939" s="9"/>
      <c r="K5939" s="11"/>
      <c r="L5939" s="9"/>
      <c r="M5939" s="11"/>
      <c r="N5939" s="9" t="s">
        <v>806</v>
      </c>
    </row>
    <row r="5940" ht="25" customHeight="1" spans="1:14">
      <c r="A5940" s="9" t="s">
        <v>244</v>
      </c>
      <c r="B5940" s="9" t="s">
        <v>243</v>
      </c>
      <c r="C5940" s="10">
        <v>45821</v>
      </c>
      <c r="D5940" s="15">
        <v>0.9978</v>
      </c>
      <c r="E5940" s="15">
        <v>0.9978</v>
      </c>
      <c r="F5940" s="15">
        <v>0.9978</v>
      </c>
      <c r="G5940" s="11">
        <v>-0.0112</v>
      </c>
      <c r="H5940" s="9">
        <f>MAX($F$5907:F5940)</f>
        <v>1.0583</v>
      </c>
      <c r="I5940" s="11">
        <f t="shared" si="147"/>
        <v>0.0571671548710195</v>
      </c>
      <c r="J5940" s="9"/>
      <c r="K5940" s="11"/>
      <c r="L5940" s="9"/>
      <c r="M5940" s="11"/>
      <c r="N5940" s="9" t="s">
        <v>806</v>
      </c>
    </row>
    <row r="5941" ht="25" customHeight="1" spans="1:14">
      <c r="A5941" s="9" t="s">
        <v>244</v>
      </c>
      <c r="B5941" s="9" t="s">
        <v>243</v>
      </c>
      <c r="C5941" s="10">
        <v>45828</v>
      </c>
      <c r="D5941" s="15">
        <v>0.9949</v>
      </c>
      <c r="E5941" s="15">
        <v>0.9949</v>
      </c>
      <c r="F5941" s="15">
        <v>0.9949</v>
      </c>
      <c r="G5941" s="11">
        <v>-0.0029</v>
      </c>
      <c r="H5941" s="9">
        <f>MAX($F$5907:F5941)</f>
        <v>1.0583</v>
      </c>
      <c r="I5941" s="11">
        <f t="shared" si="147"/>
        <v>0.0599073986582255</v>
      </c>
      <c r="J5941" s="9"/>
      <c r="K5941" s="11"/>
      <c r="L5941" s="9"/>
      <c r="M5941" s="11"/>
      <c r="N5941" s="9" t="s">
        <v>806</v>
      </c>
    </row>
    <row r="5942" ht="25" customHeight="1" spans="1:14">
      <c r="A5942" s="9" t="s">
        <v>244</v>
      </c>
      <c r="B5942" s="9" t="s">
        <v>243</v>
      </c>
      <c r="C5942" s="10">
        <v>45835</v>
      </c>
      <c r="D5942" s="15">
        <v>1.0123</v>
      </c>
      <c r="E5942" s="15">
        <v>1.0123</v>
      </c>
      <c r="F5942" s="15">
        <v>1.0123</v>
      </c>
      <c r="G5942" s="11">
        <v>0.0175</v>
      </c>
      <c r="H5942" s="9">
        <f>MAX($F$5907:F5942)</f>
        <v>1.0583</v>
      </c>
      <c r="I5942" s="11">
        <f t="shared" si="147"/>
        <v>0.0434659359349902</v>
      </c>
      <c r="J5942" s="9"/>
      <c r="K5942" s="11"/>
      <c r="L5942" s="9"/>
      <c r="M5942" s="11"/>
      <c r="N5942" s="9" t="s">
        <v>806</v>
      </c>
    </row>
    <row r="5943" ht="25" customHeight="1" spans="1:14">
      <c r="A5943" s="9" t="s">
        <v>244</v>
      </c>
      <c r="B5943" s="9" t="s">
        <v>243</v>
      </c>
      <c r="C5943" s="10">
        <v>45838</v>
      </c>
      <c r="D5943" s="15">
        <v>1.0163</v>
      </c>
      <c r="E5943" s="15">
        <v>1.0163</v>
      </c>
      <c r="F5943" s="15">
        <v>1.0163</v>
      </c>
      <c r="G5943" s="11">
        <v>0.004</v>
      </c>
      <c r="H5943" s="9">
        <f>MAX($F$5907:F5943)</f>
        <v>1.0583</v>
      </c>
      <c r="I5943" s="11">
        <f t="shared" si="147"/>
        <v>0.0396862893319475</v>
      </c>
      <c r="J5943" s="9"/>
      <c r="K5943" s="11"/>
      <c r="L5943" s="9"/>
      <c r="M5943" s="11"/>
      <c r="N5943" s="9" t="s">
        <v>806</v>
      </c>
    </row>
    <row r="5944" ht="25" customHeight="1" spans="1:14">
      <c r="A5944" s="9" t="s">
        <v>244</v>
      </c>
      <c r="B5944" s="9" t="s">
        <v>243</v>
      </c>
      <c r="C5944" s="10">
        <v>45842</v>
      </c>
      <c r="D5944" s="15">
        <v>1.002</v>
      </c>
      <c r="E5944" s="15">
        <v>1.002</v>
      </c>
      <c r="F5944" s="15">
        <v>1.002</v>
      </c>
      <c r="G5944" s="11">
        <v>-0.0141</v>
      </c>
      <c r="H5944" s="9">
        <f>MAX($F$5907:F5944)</f>
        <v>1.0583</v>
      </c>
      <c r="I5944" s="11">
        <f t="shared" si="147"/>
        <v>0.0531985259378248</v>
      </c>
      <c r="J5944" s="9"/>
      <c r="K5944" s="11"/>
      <c r="L5944" s="9"/>
      <c r="M5944" s="11"/>
      <c r="N5944" s="9" t="s">
        <v>806</v>
      </c>
    </row>
    <row r="5945" ht="25" customHeight="1" spans="1:14">
      <c r="A5945" s="9" t="s">
        <v>244</v>
      </c>
      <c r="B5945" s="9" t="s">
        <v>243</v>
      </c>
      <c r="C5945" s="10">
        <v>45849</v>
      </c>
      <c r="D5945" s="15">
        <v>1.0147</v>
      </c>
      <c r="E5945" s="15">
        <v>1.0147</v>
      </c>
      <c r="F5945" s="15">
        <v>1.0147</v>
      </c>
      <c r="G5945" s="11">
        <v>0.0127</v>
      </c>
      <c r="H5945" s="9">
        <f>MAX($F$5907:F5945)</f>
        <v>1.0583</v>
      </c>
      <c r="I5945" s="11">
        <f t="shared" si="147"/>
        <v>0.0411981479731646</v>
      </c>
      <c r="J5945" s="9"/>
      <c r="K5945" s="11"/>
      <c r="L5945" s="9"/>
      <c r="M5945" s="11"/>
      <c r="N5945" s="9" t="s">
        <v>806</v>
      </c>
    </row>
    <row r="5946" ht="25" customHeight="1" spans="1:14">
      <c r="A5946" s="9" t="s">
        <v>244</v>
      </c>
      <c r="B5946" s="9" t="s">
        <v>243</v>
      </c>
      <c r="C5946" s="10">
        <v>45856</v>
      </c>
      <c r="D5946" s="15">
        <v>1.0176</v>
      </c>
      <c r="E5946" s="15">
        <v>1.0176</v>
      </c>
      <c r="F5946" s="15">
        <v>1.0176</v>
      </c>
      <c r="G5946" s="11">
        <v>0.0029</v>
      </c>
      <c r="H5946" s="9">
        <f>MAX($F$5907:F5946)</f>
        <v>1.0583</v>
      </c>
      <c r="I5946" s="11">
        <f t="shared" si="147"/>
        <v>0.0384579041859586</v>
      </c>
      <c r="J5946" s="9"/>
      <c r="K5946" s="11"/>
      <c r="L5946" s="9"/>
      <c r="M5946" s="11"/>
      <c r="N5946" s="9" t="s">
        <v>806</v>
      </c>
    </row>
    <row r="5947" ht="25" customHeight="1" spans="1:14">
      <c r="A5947" s="9" t="s">
        <v>244</v>
      </c>
      <c r="B5947" s="9" t="s">
        <v>243</v>
      </c>
      <c r="C5947" s="10">
        <v>45863</v>
      </c>
      <c r="D5947" s="15">
        <v>1.026</v>
      </c>
      <c r="E5947" s="15">
        <v>1.026</v>
      </c>
      <c r="F5947" s="15">
        <v>1.026</v>
      </c>
      <c r="G5947" s="11">
        <v>0.0083</v>
      </c>
      <c r="H5947" s="9">
        <f>MAX($F$5907:F5947)</f>
        <v>1.0583</v>
      </c>
      <c r="I5947" s="11">
        <f t="shared" si="147"/>
        <v>0.0305206463195691</v>
      </c>
      <c r="J5947" s="9"/>
      <c r="K5947" s="11"/>
      <c r="L5947" s="9"/>
      <c r="M5947" s="11"/>
      <c r="N5947" s="9" t="s">
        <v>806</v>
      </c>
    </row>
    <row r="5948" ht="25" customHeight="1" spans="1:14">
      <c r="A5948" s="9" t="s">
        <v>244</v>
      </c>
      <c r="B5948" s="9" t="s">
        <v>243</v>
      </c>
      <c r="C5948" s="10">
        <v>45869</v>
      </c>
      <c r="D5948" s="15">
        <v>1.026</v>
      </c>
      <c r="E5948" s="15">
        <v>1.026</v>
      </c>
      <c r="F5948" s="15">
        <v>1.026</v>
      </c>
      <c r="G5948" s="11">
        <v>0</v>
      </c>
      <c r="H5948" s="9">
        <f>MAX($F$5907:F5948)</f>
        <v>1.0583</v>
      </c>
      <c r="I5948" s="11">
        <f t="shared" si="147"/>
        <v>0.0305206463195691</v>
      </c>
      <c r="J5948" s="9"/>
      <c r="K5948" s="11"/>
      <c r="L5948" s="9"/>
      <c r="M5948" s="11"/>
      <c r="N5948" s="9" t="s">
        <v>806</v>
      </c>
    </row>
    <row r="5949" ht="25" customHeight="1" spans="1:14">
      <c r="A5949" s="9" t="s">
        <v>244</v>
      </c>
      <c r="B5949" s="9" t="s">
        <v>243</v>
      </c>
      <c r="C5949" s="10">
        <v>45870</v>
      </c>
      <c r="D5949" s="15">
        <v>1.0301</v>
      </c>
      <c r="E5949" s="15">
        <v>1.0301</v>
      </c>
      <c r="F5949" s="15">
        <v>1.0301</v>
      </c>
      <c r="G5949" s="11">
        <v>0.004</v>
      </c>
      <c r="H5949" s="9">
        <f>MAX($F$5907:F5949)</f>
        <v>1.0583</v>
      </c>
      <c r="I5949" s="11">
        <f t="shared" si="147"/>
        <v>0.0266465085514505</v>
      </c>
      <c r="J5949" s="9"/>
      <c r="K5949" s="11"/>
      <c r="L5949" s="9"/>
      <c r="M5949" s="11"/>
      <c r="N5949" s="9" t="s">
        <v>806</v>
      </c>
    </row>
    <row r="5950" ht="25" customHeight="1" spans="1:14">
      <c r="A5950" s="9" t="s">
        <v>244</v>
      </c>
      <c r="B5950" s="9" t="s">
        <v>243</v>
      </c>
      <c r="C5950" s="10">
        <v>45877</v>
      </c>
      <c r="D5950" s="15">
        <v>1.0368</v>
      </c>
      <c r="E5950" s="15">
        <v>1.0368</v>
      </c>
      <c r="F5950" s="15">
        <v>1.0368</v>
      </c>
      <c r="G5950" s="11">
        <v>0.0065</v>
      </c>
      <c r="H5950" s="9">
        <f>MAX($F$5907:F5950)</f>
        <v>1.0583</v>
      </c>
      <c r="I5950" s="11">
        <f t="shared" si="147"/>
        <v>0.0203156004913542</v>
      </c>
      <c r="J5950" s="9"/>
      <c r="K5950" s="11"/>
      <c r="L5950" s="9"/>
      <c r="M5950" s="11"/>
      <c r="N5950" s="9" t="s">
        <v>806</v>
      </c>
    </row>
    <row r="5951" ht="25" customHeight="1" spans="1:14">
      <c r="A5951" s="9" t="s">
        <v>244</v>
      </c>
      <c r="B5951" s="9" t="s">
        <v>243</v>
      </c>
      <c r="C5951" s="10">
        <v>45884</v>
      </c>
      <c r="D5951" s="15">
        <v>1.0499</v>
      </c>
      <c r="E5951" s="15">
        <v>1.0499</v>
      </c>
      <c r="F5951" s="15">
        <v>1.0499</v>
      </c>
      <c r="G5951" s="11">
        <v>0.0126</v>
      </c>
      <c r="H5951" s="9">
        <f>MAX($F$5907:F5951)</f>
        <v>1.0583</v>
      </c>
      <c r="I5951" s="11">
        <f t="shared" si="147"/>
        <v>0.00793725786638944</v>
      </c>
      <c r="J5951" s="9"/>
      <c r="K5951" s="11"/>
      <c r="L5951" s="9"/>
      <c r="M5951" s="11"/>
      <c r="N5951" s="9" t="s">
        <v>806</v>
      </c>
    </row>
    <row r="5952" ht="25" customHeight="1" spans="1:14">
      <c r="A5952" s="9" t="s">
        <v>244</v>
      </c>
      <c r="B5952" s="9" t="s">
        <v>243</v>
      </c>
      <c r="C5952" s="10">
        <v>45891</v>
      </c>
      <c r="D5952" s="15">
        <v>1.0563</v>
      </c>
      <c r="E5952" s="15">
        <v>1.0563</v>
      </c>
      <c r="F5952" s="15">
        <v>1.0563</v>
      </c>
      <c r="G5952" s="11">
        <v>0.0061</v>
      </c>
      <c r="H5952" s="9">
        <f>MAX($F$5907:F5952)</f>
        <v>1.0583</v>
      </c>
      <c r="I5952" s="11">
        <f t="shared" si="147"/>
        <v>0.00188982330152132</v>
      </c>
      <c r="J5952" s="9"/>
      <c r="K5952" s="11"/>
      <c r="L5952" s="9"/>
      <c r="M5952" s="11"/>
      <c r="N5952" s="9" t="s">
        <v>806</v>
      </c>
    </row>
    <row r="5953" ht="25" customHeight="1" spans="1:14">
      <c r="A5953" s="9" t="s">
        <v>244</v>
      </c>
      <c r="B5953" s="9" t="s">
        <v>243</v>
      </c>
      <c r="C5953" s="10">
        <v>45898</v>
      </c>
      <c r="D5953" s="15">
        <v>1.0764</v>
      </c>
      <c r="E5953" s="15">
        <v>1.0764</v>
      </c>
      <c r="F5953" s="15">
        <v>1.0764</v>
      </c>
      <c r="G5953" s="11">
        <v>0.019</v>
      </c>
      <c r="H5953" s="9">
        <f>MAX($F$5907:F5953)</f>
        <v>1.0764</v>
      </c>
      <c r="I5953" s="11">
        <f t="shared" si="147"/>
        <v>0</v>
      </c>
      <c r="J5953" s="9">
        <f>MAX($F$5953:F5953)</f>
        <v>1.0764</v>
      </c>
      <c r="K5953" s="11">
        <f t="shared" ref="K5953:K6016" si="148">1-F5953/J5953</f>
        <v>0</v>
      </c>
      <c r="L5953" s="9"/>
      <c r="M5953" s="11"/>
      <c r="N5953" s="9" t="s">
        <v>806</v>
      </c>
    </row>
    <row r="5954" ht="25" customHeight="1" spans="1:14">
      <c r="A5954" s="9" t="s">
        <v>244</v>
      </c>
      <c r="B5954" s="9" t="s">
        <v>243</v>
      </c>
      <c r="C5954" s="10">
        <v>45905</v>
      </c>
      <c r="D5954" s="15">
        <v>1.0727</v>
      </c>
      <c r="E5954" s="15">
        <v>1.0727</v>
      </c>
      <c r="F5954" s="15">
        <v>1.0727</v>
      </c>
      <c r="G5954" s="11">
        <v>-0.0034</v>
      </c>
      <c r="H5954" s="9">
        <f>MAX($F$5907:F5954)</f>
        <v>1.0764</v>
      </c>
      <c r="I5954" s="11">
        <f t="shared" ref="I5954:I6017" si="149">1-F5954/H5954</f>
        <v>0.00343738387216652</v>
      </c>
      <c r="J5954" s="9">
        <f>MAX($F$5953:F5954)</f>
        <v>1.0764</v>
      </c>
      <c r="K5954" s="11">
        <f t="shared" si="148"/>
        <v>0.00343738387216652</v>
      </c>
      <c r="L5954" s="9"/>
      <c r="M5954" s="11"/>
      <c r="N5954" s="9" t="s">
        <v>806</v>
      </c>
    </row>
    <row r="5955" ht="25" customHeight="1" spans="1:14">
      <c r="A5955" s="9" t="s">
        <v>244</v>
      </c>
      <c r="B5955" s="9" t="s">
        <v>243</v>
      </c>
      <c r="C5955" s="10">
        <v>45912</v>
      </c>
      <c r="D5955" s="15">
        <v>1.051</v>
      </c>
      <c r="E5955" s="15">
        <v>1.051</v>
      </c>
      <c r="F5955" s="15">
        <v>1.051</v>
      </c>
      <c r="G5955" s="11">
        <v>-0.0202</v>
      </c>
      <c r="H5955" s="9">
        <f>MAX($F$5907:F5955)</f>
        <v>1.0764</v>
      </c>
      <c r="I5955" s="11">
        <f t="shared" si="149"/>
        <v>0.0235971757710889</v>
      </c>
      <c r="J5955" s="9">
        <f>MAX($F$5953:F5955)</f>
        <v>1.0764</v>
      </c>
      <c r="K5955" s="11">
        <f t="shared" si="148"/>
        <v>0.0235971757710889</v>
      </c>
      <c r="L5955" s="9"/>
      <c r="M5955" s="11"/>
      <c r="N5955" s="9" t="s">
        <v>806</v>
      </c>
    </row>
    <row r="5956" ht="25" customHeight="1" spans="1:14">
      <c r="A5956" s="9" t="s">
        <v>244</v>
      </c>
      <c r="B5956" s="9" t="s">
        <v>243</v>
      </c>
      <c r="C5956" s="10">
        <v>45919</v>
      </c>
      <c r="D5956" s="15">
        <v>1.0439</v>
      </c>
      <c r="E5956" s="15">
        <v>1.0439</v>
      </c>
      <c r="F5956" s="15">
        <v>1.0439</v>
      </c>
      <c r="G5956" s="11">
        <v>-0.0068</v>
      </c>
      <c r="H5956" s="9">
        <f>MAX($F$5907:F5956)</f>
        <v>1.0764</v>
      </c>
      <c r="I5956" s="11">
        <f t="shared" si="149"/>
        <v>0.0301932367149759</v>
      </c>
      <c r="J5956" s="9">
        <f>MAX($F$5953:F5956)</f>
        <v>1.0764</v>
      </c>
      <c r="K5956" s="11">
        <f t="shared" si="148"/>
        <v>0.0301932367149759</v>
      </c>
      <c r="L5956" s="9"/>
      <c r="M5956" s="11"/>
      <c r="N5956" s="9" t="s">
        <v>806</v>
      </c>
    </row>
    <row r="5957" ht="25" customHeight="1" spans="1:14">
      <c r="A5957" s="9" t="s">
        <v>244</v>
      </c>
      <c r="B5957" s="9" t="s">
        <v>243</v>
      </c>
      <c r="C5957" s="10">
        <v>45926</v>
      </c>
      <c r="D5957" s="15">
        <v>1.0273</v>
      </c>
      <c r="E5957" s="15">
        <v>1.0273</v>
      </c>
      <c r="F5957" s="15">
        <v>1.0273</v>
      </c>
      <c r="G5957" s="11">
        <v>-0.0159</v>
      </c>
      <c r="H5957" s="9">
        <f>MAX($F$5907:F5957)</f>
        <v>1.0764</v>
      </c>
      <c r="I5957" s="11">
        <f t="shared" si="149"/>
        <v>0.0456150130063173</v>
      </c>
      <c r="J5957" s="9">
        <f>MAX($F$5953:F5957)</f>
        <v>1.0764</v>
      </c>
      <c r="K5957" s="11">
        <f t="shared" si="148"/>
        <v>0.0456150130063173</v>
      </c>
      <c r="L5957" s="9"/>
      <c r="M5957" s="11"/>
      <c r="N5957" s="9" t="s">
        <v>806</v>
      </c>
    </row>
    <row r="5958" ht="25" customHeight="1" spans="1:14">
      <c r="A5958" s="9" t="s">
        <v>244</v>
      </c>
      <c r="B5958" s="9" t="s">
        <v>243</v>
      </c>
      <c r="C5958" s="10">
        <v>45930</v>
      </c>
      <c r="D5958" s="15">
        <v>1.0349</v>
      </c>
      <c r="E5958" s="15">
        <v>1.0349</v>
      </c>
      <c r="F5958" s="15">
        <v>1.0349</v>
      </c>
      <c r="G5958" s="11">
        <v>0.0074</v>
      </c>
      <c r="H5958" s="9">
        <f>MAX($F$5907:F5958)</f>
        <v>1.0764</v>
      </c>
      <c r="I5958" s="11">
        <f t="shared" si="149"/>
        <v>0.0385544407283539</v>
      </c>
      <c r="J5958" s="9">
        <f>MAX($F$5953:F5958)</f>
        <v>1.0764</v>
      </c>
      <c r="K5958" s="11">
        <f t="shared" si="148"/>
        <v>0.0385544407283539</v>
      </c>
      <c r="L5958" s="9"/>
      <c r="M5958" s="11"/>
      <c r="N5958" s="9" t="s">
        <v>806</v>
      </c>
    </row>
    <row r="5959" ht="25" customHeight="1" spans="1:14">
      <c r="A5959" s="9" t="s">
        <v>244</v>
      </c>
      <c r="B5959" s="9" t="s">
        <v>243</v>
      </c>
      <c r="C5959" s="10">
        <v>45940</v>
      </c>
      <c r="D5959" s="15">
        <v>1.0337</v>
      </c>
      <c r="E5959" s="15">
        <v>1.0337</v>
      </c>
      <c r="F5959" s="15">
        <v>1.0337</v>
      </c>
      <c r="G5959" s="11">
        <v>-0.0012</v>
      </c>
      <c r="H5959" s="9">
        <f>MAX($F$5907:F5959)</f>
        <v>1.0764</v>
      </c>
      <c r="I5959" s="11">
        <f t="shared" si="149"/>
        <v>0.0396692679301375</v>
      </c>
      <c r="J5959" s="9">
        <f>MAX($F$5953:F5959)</f>
        <v>1.0764</v>
      </c>
      <c r="K5959" s="11">
        <f t="shared" si="148"/>
        <v>0.0396692679301375</v>
      </c>
      <c r="L5959" s="9"/>
      <c r="M5959" s="11"/>
      <c r="N5959" s="9" t="s">
        <v>806</v>
      </c>
    </row>
    <row r="5960" ht="25" customHeight="1" spans="1:14">
      <c r="A5960" s="9" t="s">
        <v>244</v>
      </c>
      <c r="B5960" s="9" t="s">
        <v>243</v>
      </c>
      <c r="C5960" s="10">
        <v>45947</v>
      </c>
      <c r="D5960" s="15">
        <v>1.022</v>
      </c>
      <c r="E5960" s="15">
        <v>1.022</v>
      </c>
      <c r="F5960" s="15">
        <v>1.022</v>
      </c>
      <c r="G5960" s="11">
        <v>-0.0113</v>
      </c>
      <c r="H5960" s="9">
        <f>MAX($F$5907:F5960)</f>
        <v>1.0764</v>
      </c>
      <c r="I5960" s="11">
        <f t="shared" si="149"/>
        <v>0.0505388331475288</v>
      </c>
      <c r="J5960" s="9">
        <f>MAX($F$5953:F5960)</f>
        <v>1.0764</v>
      </c>
      <c r="K5960" s="11">
        <f t="shared" si="148"/>
        <v>0.0505388331475288</v>
      </c>
      <c r="L5960" s="9"/>
      <c r="M5960" s="11"/>
      <c r="N5960" s="9" t="s">
        <v>806</v>
      </c>
    </row>
    <row r="5961" ht="25" customHeight="1" spans="1:14">
      <c r="A5961" s="9" t="s">
        <v>244</v>
      </c>
      <c r="B5961" s="9" t="s">
        <v>243</v>
      </c>
      <c r="C5961" s="10">
        <v>45954</v>
      </c>
      <c r="D5961" s="15">
        <v>1.018</v>
      </c>
      <c r="E5961" s="15">
        <v>1.018</v>
      </c>
      <c r="F5961" s="15">
        <v>1.018</v>
      </c>
      <c r="G5961" s="11">
        <v>-0.0039</v>
      </c>
      <c r="H5961" s="9">
        <f>MAX($F$5907:F5961)</f>
        <v>1.0764</v>
      </c>
      <c r="I5961" s="11">
        <f t="shared" si="149"/>
        <v>0.0542549238201412</v>
      </c>
      <c r="J5961" s="9">
        <f>MAX($F$5953:F5961)</f>
        <v>1.0764</v>
      </c>
      <c r="K5961" s="11">
        <f t="shared" si="148"/>
        <v>0.0542549238201412</v>
      </c>
      <c r="L5961" s="9"/>
      <c r="M5961" s="11"/>
      <c r="N5961" s="9" t="s">
        <v>806</v>
      </c>
    </row>
    <row r="5962" ht="25" customHeight="1" spans="1:14">
      <c r="A5962" s="9" t="s">
        <v>244</v>
      </c>
      <c r="B5962" s="9" t="s">
        <v>243</v>
      </c>
      <c r="C5962" s="10">
        <v>45961</v>
      </c>
      <c r="D5962" s="15">
        <v>1.006</v>
      </c>
      <c r="E5962" s="15">
        <v>1.006</v>
      </c>
      <c r="F5962" s="15">
        <v>1.006</v>
      </c>
      <c r="G5962" s="11">
        <v>-0.0118</v>
      </c>
      <c r="H5962" s="9">
        <f>MAX($F$5907:F5962)</f>
        <v>1.0764</v>
      </c>
      <c r="I5962" s="11">
        <f t="shared" si="149"/>
        <v>0.0654031958379785</v>
      </c>
      <c r="J5962" s="9">
        <f>MAX($F$5953:F5962)</f>
        <v>1.0764</v>
      </c>
      <c r="K5962" s="11">
        <f t="shared" si="148"/>
        <v>0.0654031958379785</v>
      </c>
      <c r="L5962" s="9"/>
      <c r="M5962" s="11"/>
      <c r="N5962" s="9" t="s">
        <v>806</v>
      </c>
    </row>
    <row r="5963" ht="25" customHeight="1" spans="1:14">
      <c r="A5963" s="9" t="s">
        <v>244</v>
      </c>
      <c r="B5963" s="9" t="s">
        <v>243</v>
      </c>
      <c r="C5963" s="10">
        <v>45968</v>
      </c>
      <c r="D5963" s="15">
        <v>1.0104</v>
      </c>
      <c r="E5963" s="15">
        <v>1.0104</v>
      </c>
      <c r="F5963" s="15">
        <v>1.0104</v>
      </c>
      <c r="G5963" s="11">
        <v>0.0044</v>
      </c>
      <c r="H5963" s="9">
        <f>MAX($F$5907:F5963)</f>
        <v>1.0764</v>
      </c>
      <c r="I5963" s="11">
        <f t="shared" si="149"/>
        <v>0.0613154960981048</v>
      </c>
      <c r="J5963" s="9">
        <f>MAX($F$5953:F5963)</f>
        <v>1.0764</v>
      </c>
      <c r="K5963" s="11">
        <f t="shared" si="148"/>
        <v>0.0613154960981048</v>
      </c>
      <c r="L5963" s="9"/>
      <c r="M5963" s="11"/>
      <c r="N5963" s="9" t="s">
        <v>806</v>
      </c>
    </row>
    <row r="5964" ht="25" customHeight="1" spans="1:14">
      <c r="A5964" s="9" t="s">
        <v>244</v>
      </c>
      <c r="B5964" s="9" t="s">
        <v>243</v>
      </c>
      <c r="C5964" s="10">
        <v>45975</v>
      </c>
      <c r="D5964" s="15">
        <v>1.0099</v>
      </c>
      <c r="E5964" s="15">
        <v>1.0099</v>
      </c>
      <c r="F5964" s="15">
        <v>1.0099</v>
      </c>
      <c r="G5964" s="11">
        <v>-0.0005</v>
      </c>
      <c r="H5964" s="9">
        <f>MAX($F$5907:F5964)</f>
        <v>1.0764</v>
      </c>
      <c r="I5964" s="11">
        <f t="shared" si="149"/>
        <v>0.0617800074321814</v>
      </c>
      <c r="J5964" s="9">
        <f>MAX($F$5953:F5964)</f>
        <v>1.0764</v>
      </c>
      <c r="K5964" s="11">
        <f t="shared" si="148"/>
        <v>0.0617800074321814</v>
      </c>
      <c r="L5964" s="9"/>
      <c r="M5964" s="11"/>
      <c r="N5964" s="9" t="s">
        <v>806</v>
      </c>
    </row>
    <row r="5965" ht="25" customHeight="1" spans="1:14">
      <c r="A5965" s="9" t="s">
        <v>244</v>
      </c>
      <c r="B5965" s="9" t="s">
        <v>243</v>
      </c>
      <c r="C5965" s="10">
        <v>45982</v>
      </c>
      <c r="D5965" s="15">
        <v>1.0165</v>
      </c>
      <c r="E5965" s="15">
        <v>1.0165</v>
      </c>
      <c r="F5965" s="15">
        <v>1.0165</v>
      </c>
      <c r="G5965" s="11">
        <v>0.0065</v>
      </c>
      <c r="H5965" s="9">
        <f>MAX($F$5907:F5965)</f>
        <v>1.0764</v>
      </c>
      <c r="I5965" s="11">
        <f t="shared" si="149"/>
        <v>0.0556484578223709</v>
      </c>
      <c r="J5965" s="9">
        <f>MAX($F$5953:F5965)</f>
        <v>1.0764</v>
      </c>
      <c r="K5965" s="11">
        <f t="shared" si="148"/>
        <v>0.0556484578223709</v>
      </c>
      <c r="L5965" s="9"/>
      <c r="M5965" s="11"/>
      <c r="N5965" s="9" t="s">
        <v>806</v>
      </c>
    </row>
    <row r="5966" ht="25" customHeight="1" spans="1:14">
      <c r="A5966" s="9" t="s">
        <v>244</v>
      </c>
      <c r="B5966" s="9" t="s">
        <v>243</v>
      </c>
      <c r="C5966" s="10">
        <v>45989</v>
      </c>
      <c r="D5966" s="15">
        <v>1.0076</v>
      </c>
      <c r="E5966" s="15">
        <v>1.0076</v>
      </c>
      <c r="F5966" s="15">
        <v>1.0076</v>
      </c>
      <c r="G5966" s="11">
        <v>-0.0088</v>
      </c>
      <c r="H5966" s="9">
        <f>MAX($F$5907:F5966)</f>
        <v>1.0764</v>
      </c>
      <c r="I5966" s="11">
        <f t="shared" si="149"/>
        <v>0.0639167595689335</v>
      </c>
      <c r="J5966" s="9">
        <f>MAX($F$5953:F5966)</f>
        <v>1.0764</v>
      </c>
      <c r="K5966" s="11">
        <f t="shared" si="148"/>
        <v>0.0639167595689335</v>
      </c>
      <c r="L5966" s="9"/>
      <c r="M5966" s="11"/>
      <c r="N5966" s="9" t="s">
        <v>806</v>
      </c>
    </row>
    <row r="5967" ht="25" customHeight="1" spans="1:14">
      <c r="A5967" s="9" t="s">
        <v>244</v>
      </c>
      <c r="B5967" s="9" t="s">
        <v>243</v>
      </c>
      <c r="C5967" s="10">
        <v>45996</v>
      </c>
      <c r="D5967" s="15">
        <v>1.0127</v>
      </c>
      <c r="E5967" s="15">
        <v>1.0127</v>
      </c>
      <c r="F5967" s="15">
        <v>1.0127</v>
      </c>
      <c r="G5967" s="11">
        <v>0.0051</v>
      </c>
      <c r="H5967" s="9">
        <f>MAX($F$5907:F5967)</f>
        <v>1.0764</v>
      </c>
      <c r="I5967" s="11">
        <f t="shared" si="149"/>
        <v>0.0591787439613527</v>
      </c>
      <c r="J5967" s="9">
        <f>MAX($F$5953:F5967)</f>
        <v>1.0764</v>
      </c>
      <c r="K5967" s="11">
        <f t="shared" si="148"/>
        <v>0.0591787439613527</v>
      </c>
      <c r="L5967" s="9"/>
      <c r="M5967" s="11"/>
      <c r="N5967" s="9" t="s">
        <v>806</v>
      </c>
    </row>
    <row r="5968" ht="25" customHeight="1" spans="1:14">
      <c r="A5968" s="9" t="s">
        <v>244</v>
      </c>
      <c r="B5968" s="9" t="s">
        <v>243</v>
      </c>
      <c r="C5968" s="10">
        <v>46003</v>
      </c>
      <c r="D5968" s="15">
        <v>1.0048</v>
      </c>
      <c r="E5968" s="15">
        <v>1.0048</v>
      </c>
      <c r="F5968" s="15">
        <v>1.0048</v>
      </c>
      <c r="G5968" s="11">
        <v>-0.0078</v>
      </c>
      <c r="H5968" s="9">
        <f>MAX($F$5907:F5968)</f>
        <v>1.0764</v>
      </c>
      <c r="I5968" s="11">
        <f t="shared" si="149"/>
        <v>0.0665180230397623</v>
      </c>
      <c r="J5968" s="9">
        <f>MAX($F$5953:F5968)</f>
        <v>1.0764</v>
      </c>
      <c r="K5968" s="11">
        <f t="shared" si="148"/>
        <v>0.0665180230397623</v>
      </c>
      <c r="L5968" s="9"/>
      <c r="M5968" s="11"/>
      <c r="N5968" s="9" t="s">
        <v>806</v>
      </c>
    </row>
    <row r="5969" ht="25" customHeight="1" spans="1:14">
      <c r="A5969" s="9" t="s">
        <v>244</v>
      </c>
      <c r="B5969" s="9" t="s">
        <v>243</v>
      </c>
      <c r="C5969" s="10">
        <v>46010</v>
      </c>
      <c r="D5969" s="15">
        <v>1.0038</v>
      </c>
      <c r="E5969" s="15">
        <v>1.0038</v>
      </c>
      <c r="F5969" s="15">
        <v>1.0038</v>
      </c>
      <c r="G5969" s="11">
        <v>-0.001</v>
      </c>
      <c r="H5969" s="9">
        <f>MAX($F$5907:F5969)</f>
        <v>1.0764</v>
      </c>
      <c r="I5969" s="11">
        <f t="shared" si="149"/>
        <v>0.0674470457079153</v>
      </c>
      <c r="J5969" s="9">
        <f>MAX($F$5953:F5969)</f>
        <v>1.0764</v>
      </c>
      <c r="K5969" s="11">
        <f t="shared" si="148"/>
        <v>0.0674470457079153</v>
      </c>
      <c r="L5969" s="9"/>
      <c r="M5969" s="11"/>
      <c r="N5969" s="9" t="s">
        <v>806</v>
      </c>
    </row>
    <row r="5970" ht="25" customHeight="1" spans="1:14">
      <c r="A5970" s="9" t="s">
        <v>244</v>
      </c>
      <c r="B5970" s="9" t="s">
        <v>243</v>
      </c>
      <c r="C5970" s="10">
        <v>46017</v>
      </c>
      <c r="D5970" s="15">
        <v>0.9857</v>
      </c>
      <c r="E5970" s="15">
        <v>0.9857</v>
      </c>
      <c r="F5970" s="15">
        <v>0.9857</v>
      </c>
      <c r="G5970" s="11">
        <v>-0.018</v>
      </c>
      <c r="H5970" s="9">
        <f>MAX($F$5907:F5970)</f>
        <v>1.0764</v>
      </c>
      <c r="I5970" s="11">
        <f t="shared" si="149"/>
        <v>0.0842623560014865</v>
      </c>
      <c r="J5970" s="9">
        <f>MAX($F$5953:F5970)</f>
        <v>1.0764</v>
      </c>
      <c r="K5970" s="11">
        <f t="shared" si="148"/>
        <v>0.0842623560014865</v>
      </c>
      <c r="L5970" s="9"/>
      <c r="M5970" s="11"/>
      <c r="N5970" s="9" t="s">
        <v>806</v>
      </c>
    </row>
    <row r="5971" ht="25" customHeight="1" spans="1:14">
      <c r="A5971" s="9" t="s">
        <v>244</v>
      </c>
      <c r="B5971" s="9" t="s">
        <v>243</v>
      </c>
      <c r="C5971" s="10">
        <v>46022</v>
      </c>
      <c r="D5971" s="15">
        <v>0.9843</v>
      </c>
      <c r="E5971" s="15">
        <v>0.9843</v>
      </c>
      <c r="F5971" s="15">
        <v>0.9843</v>
      </c>
      <c r="G5971" s="11">
        <v>-0.0014</v>
      </c>
      <c r="H5971" s="9">
        <f>MAX($F$5907:F5971)</f>
        <v>1.0764</v>
      </c>
      <c r="I5971" s="11">
        <f t="shared" si="149"/>
        <v>0.0855629877369009</v>
      </c>
      <c r="J5971" s="9">
        <f>MAX($F$5953:F5971)</f>
        <v>1.0764</v>
      </c>
      <c r="K5971" s="11">
        <f t="shared" si="148"/>
        <v>0.0855629877369009</v>
      </c>
      <c r="L5971" s="9"/>
      <c r="M5971" s="11"/>
      <c r="N5971" s="9" t="s">
        <v>806</v>
      </c>
    </row>
    <row r="5972" ht="25" customHeight="1" spans="1:14">
      <c r="A5972" s="9" t="s">
        <v>244</v>
      </c>
      <c r="B5972" s="9" t="s">
        <v>243</v>
      </c>
      <c r="C5972" s="10">
        <v>46031</v>
      </c>
      <c r="D5972" s="15">
        <v>1.008</v>
      </c>
      <c r="E5972" s="15">
        <v>1.008</v>
      </c>
      <c r="F5972" s="15">
        <v>1.008</v>
      </c>
      <c r="G5972" s="11">
        <v>0.0241</v>
      </c>
      <c r="H5972" s="9">
        <f>MAX($F$5907:F5972)</f>
        <v>1.0764</v>
      </c>
      <c r="I5972" s="11">
        <f t="shared" si="149"/>
        <v>0.0635451505016723</v>
      </c>
      <c r="J5972" s="9">
        <f>MAX($F$5953:F5972)</f>
        <v>1.0764</v>
      </c>
      <c r="K5972" s="11">
        <f t="shared" si="148"/>
        <v>0.0635451505016723</v>
      </c>
      <c r="L5972" s="9"/>
      <c r="M5972" s="11"/>
      <c r="N5972" s="9" t="s">
        <v>806</v>
      </c>
    </row>
    <row r="5973" ht="25" customHeight="1" spans="1:14">
      <c r="A5973" s="9" t="s">
        <v>244</v>
      </c>
      <c r="B5973" s="9" t="s">
        <v>243</v>
      </c>
      <c r="C5973" s="10">
        <v>46038</v>
      </c>
      <c r="D5973" s="15">
        <v>1.0285</v>
      </c>
      <c r="E5973" s="15">
        <v>1.0285</v>
      </c>
      <c r="F5973" s="15">
        <v>1.0285</v>
      </c>
      <c r="G5973" s="11">
        <v>0.0203</v>
      </c>
      <c r="H5973" s="9">
        <f>MAX($F$5907:F5973)</f>
        <v>1.0764</v>
      </c>
      <c r="I5973" s="11">
        <f t="shared" si="149"/>
        <v>0.0445001858045336</v>
      </c>
      <c r="J5973" s="9">
        <f>MAX($F$5953:F5973)</f>
        <v>1.0764</v>
      </c>
      <c r="K5973" s="11">
        <f t="shared" si="148"/>
        <v>0.0445001858045336</v>
      </c>
      <c r="L5973" s="9"/>
      <c r="M5973" s="11"/>
      <c r="N5973" s="9" t="s">
        <v>806</v>
      </c>
    </row>
    <row r="5974" ht="25" customHeight="1" spans="1:14">
      <c r="A5974" s="9" t="s">
        <v>244</v>
      </c>
      <c r="B5974" s="9" t="s">
        <v>243</v>
      </c>
      <c r="C5974" s="10">
        <v>46045</v>
      </c>
      <c r="D5974" s="15">
        <v>1.0639</v>
      </c>
      <c r="E5974" s="15">
        <v>1.0639</v>
      </c>
      <c r="F5974" s="15">
        <v>1.0639</v>
      </c>
      <c r="G5974" s="11">
        <v>0.0344</v>
      </c>
      <c r="H5974" s="9">
        <f>MAX($F$5907:F5974)</f>
        <v>1.0764</v>
      </c>
      <c r="I5974" s="11">
        <f t="shared" si="149"/>
        <v>0.0116127833519137</v>
      </c>
      <c r="J5974" s="9">
        <f>MAX($F$5953:F5974)</f>
        <v>1.0764</v>
      </c>
      <c r="K5974" s="11">
        <f t="shared" si="148"/>
        <v>0.0116127833519137</v>
      </c>
      <c r="L5974" s="9"/>
      <c r="M5974" s="11"/>
      <c r="N5974" s="9" t="s">
        <v>806</v>
      </c>
    </row>
    <row r="5975" ht="25" customHeight="1" spans="1:14">
      <c r="A5975" s="9" t="s">
        <v>244</v>
      </c>
      <c r="B5975" s="9" t="s">
        <v>243</v>
      </c>
      <c r="C5975" s="10">
        <v>46052</v>
      </c>
      <c r="D5975" s="15">
        <v>1.0449</v>
      </c>
      <c r="E5975" s="15">
        <v>1.0449</v>
      </c>
      <c r="F5975" s="15">
        <v>1.0449</v>
      </c>
      <c r="G5975" s="11">
        <v>-0.0179</v>
      </c>
      <c r="H5975" s="9">
        <f>MAX($F$5907:F5975)</f>
        <v>1.0764</v>
      </c>
      <c r="I5975" s="11">
        <f t="shared" si="149"/>
        <v>0.0292642140468228</v>
      </c>
      <c r="J5975" s="9">
        <f>MAX($F$5953:F5975)</f>
        <v>1.0764</v>
      </c>
      <c r="K5975" s="11">
        <f t="shared" si="148"/>
        <v>0.0292642140468228</v>
      </c>
      <c r="L5975" s="9"/>
      <c r="M5975" s="11"/>
      <c r="N5975" s="9" t="s">
        <v>806</v>
      </c>
    </row>
    <row r="5976" ht="25" customHeight="1" spans="1:14">
      <c r="A5976" s="9" t="s">
        <v>244</v>
      </c>
      <c r="B5976" s="9" t="s">
        <v>243</v>
      </c>
      <c r="C5976" s="10">
        <v>46055</v>
      </c>
      <c r="D5976" s="15">
        <v>1.0356</v>
      </c>
      <c r="E5976" s="15">
        <v>1.0356</v>
      </c>
      <c r="F5976" s="15">
        <v>1.0356</v>
      </c>
      <c r="G5976" s="11">
        <v>-0.0089</v>
      </c>
      <c r="H5976" s="9">
        <f>MAX($F$5907:F5976)</f>
        <v>1.0764</v>
      </c>
      <c r="I5976" s="11">
        <f t="shared" si="149"/>
        <v>0.0379041248606465</v>
      </c>
      <c r="J5976" s="9">
        <f>MAX($F$5953:F5976)</f>
        <v>1.0764</v>
      </c>
      <c r="K5976" s="11">
        <f t="shared" si="148"/>
        <v>0.0379041248606465</v>
      </c>
      <c r="L5976" s="9"/>
      <c r="M5976" s="11"/>
      <c r="N5976" s="9" t="s">
        <v>806</v>
      </c>
    </row>
    <row r="5977" ht="25" customHeight="1" spans="1:14">
      <c r="A5977" s="9" t="s">
        <v>244</v>
      </c>
      <c r="B5977" s="9" t="s">
        <v>243</v>
      </c>
      <c r="C5977" s="10">
        <v>46056</v>
      </c>
      <c r="D5977" s="15">
        <v>1.0501</v>
      </c>
      <c r="E5977" s="15">
        <v>1.0501</v>
      </c>
      <c r="F5977" s="15">
        <v>1.0501</v>
      </c>
      <c r="G5977" s="11">
        <v>0.014</v>
      </c>
      <c r="H5977" s="9">
        <f>MAX($F$5907:F5977)</f>
        <v>1.0764</v>
      </c>
      <c r="I5977" s="11">
        <f t="shared" si="149"/>
        <v>0.0244332961724266</v>
      </c>
      <c r="J5977" s="9">
        <f>MAX($F$5953:F5977)</f>
        <v>1.0764</v>
      </c>
      <c r="K5977" s="11">
        <f t="shared" si="148"/>
        <v>0.0244332961724266</v>
      </c>
      <c r="L5977" s="9"/>
      <c r="M5977" s="11"/>
      <c r="N5977" s="9" t="s">
        <v>806</v>
      </c>
    </row>
    <row r="5978" ht="25" customHeight="1" spans="1:14">
      <c r="A5978" s="9" t="s">
        <v>244</v>
      </c>
      <c r="B5978" s="9" t="s">
        <v>243</v>
      </c>
      <c r="C5978" s="10">
        <v>46057</v>
      </c>
      <c r="D5978" s="15">
        <v>1.0415</v>
      </c>
      <c r="E5978" s="15">
        <v>1.0415</v>
      </c>
      <c r="F5978" s="15">
        <v>1.0415</v>
      </c>
      <c r="G5978" s="11">
        <v>-0.0082</v>
      </c>
      <c r="H5978" s="9">
        <f>MAX($F$5907:F5978)</f>
        <v>1.0764</v>
      </c>
      <c r="I5978" s="11">
        <f t="shared" si="149"/>
        <v>0.0324228911185432</v>
      </c>
      <c r="J5978" s="9">
        <f>MAX($F$5953:F5978)</f>
        <v>1.0764</v>
      </c>
      <c r="K5978" s="11">
        <f t="shared" si="148"/>
        <v>0.0324228911185432</v>
      </c>
      <c r="L5978" s="9"/>
      <c r="M5978" s="11"/>
      <c r="N5978" s="9" t="s">
        <v>806</v>
      </c>
    </row>
    <row r="5979" ht="25" customHeight="1" spans="1:14">
      <c r="A5979" s="9" t="s">
        <v>244</v>
      </c>
      <c r="B5979" s="9" t="s">
        <v>243</v>
      </c>
      <c r="C5979" s="10">
        <v>46058</v>
      </c>
      <c r="D5979" s="15">
        <v>1.032</v>
      </c>
      <c r="E5979" s="15">
        <v>1.032</v>
      </c>
      <c r="F5979" s="15">
        <v>1.032</v>
      </c>
      <c r="G5979" s="11">
        <v>-0.0091</v>
      </c>
      <c r="H5979" s="9">
        <f>MAX($F$5907:F5979)</f>
        <v>1.0764</v>
      </c>
      <c r="I5979" s="11">
        <f t="shared" si="149"/>
        <v>0.0412486064659978</v>
      </c>
      <c r="J5979" s="9">
        <f>MAX($F$5953:F5979)</f>
        <v>1.0764</v>
      </c>
      <c r="K5979" s="11">
        <f t="shared" si="148"/>
        <v>0.0412486064659978</v>
      </c>
      <c r="L5979" s="9"/>
      <c r="M5979" s="11"/>
      <c r="N5979" s="9" t="s">
        <v>806</v>
      </c>
    </row>
    <row r="5980" ht="25" customHeight="1" spans="1:14">
      <c r="A5980" s="9" t="s">
        <v>244</v>
      </c>
      <c r="B5980" s="9" t="s">
        <v>243</v>
      </c>
      <c r="C5980" s="10">
        <v>46059</v>
      </c>
      <c r="D5980" s="15">
        <v>1.0342</v>
      </c>
      <c r="E5980" s="15">
        <v>1.0342</v>
      </c>
      <c r="F5980" s="15">
        <v>1.0342</v>
      </c>
      <c r="G5980" s="11">
        <v>0.0021</v>
      </c>
      <c r="H5980" s="9">
        <f>MAX($F$5907:F5980)</f>
        <v>1.0764</v>
      </c>
      <c r="I5980" s="11">
        <f t="shared" si="149"/>
        <v>0.0392047565960609</v>
      </c>
      <c r="J5980" s="9">
        <f>MAX($F$5953:F5980)</f>
        <v>1.0764</v>
      </c>
      <c r="K5980" s="11">
        <f t="shared" si="148"/>
        <v>0.0392047565960609</v>
      </c>
      <c r="L5980" s="9"/>
      <c r="M5980" s="11"/>
      <c r="N5980" s="9" t="s">
        <v>806</v>
      </c>
    </row>
    <row r="5981" ht="25" customHeight="1" spans="1:14">
      <c r="A5981" s="9" t="s">
        <v>244</v>
      </c>
      <c r="B5981" s="9" t="s">
        <v>243</v>
      </c>
      <c r="C5981" s="10">
        <v>46062</v>
      </c>
      <c r="D5981" s="15">
        <v>1.0403</v>
      </c>
      <c r="E5981" s="15">
        <v>1.0403</v>
      </c>
      <c r="F5981" s="15">
        <v>1.0403</v>
      </c>
      <c r="G5981" s="11">
        <v>0.0059</v>
      </c>
      <c r="H5981" s="9">
        <f>MAX($F$5907:F5981)</f>
        <v>1.0764</v>
      </c>
      <c r="I5981" s="11">
        <f t="shared" si="149"/>
        <v>0.033537718320327</v>
      </c>
      <c r="J5981" s="9">
        <f>MAX($F$5953:F5981)</f>
        <v>1.0764</v>
      </c>
      <c r="K5981" s="11">
        <f t="shared" si="148"/>
        <v>0.033537718320327</v>
      </c>
      <c r="L5981" s="9"/>
      <c r="M5981" s="11"/>
      <c r="N5981" s="9" t="s">
        <v>806</v>
      </c>
    </row>
    <row r="5982" ht="25" customHeight="1" spans="1:14">
      <c r="A5982" s="9" t="s">
        <v>244</v>
      </c>
      <c r="B5982" s="9" t="s">
        <v>243</v>
      </c>
      <c r="C5982" s="10">
        <v>46063</v>
      </c>
      <c r="D5982" s="15">
        <v>1.0428</v>
      </c>
      <c r="E5982" s="15">
        <v>1.0428</v>
      </c>
      <c r="F5982" s="15">
        <v>1.0428</v>
      </c>
      <c r="G5982" s="11">
        <v>0.0024</v>
      </c>
      <c r="H5982" s="9">
        <f>MAX($F$5907:F5982)</f>
        <v>1.0764</v>
      </c>
      <c r="I5982" s="11">
        <f t="shared" si="149"/>
        <v>0.0312151616499443</v>
      </c>
      <c r="J5982" s="9">
        <f>MAX($F$5953:F5982)</f>
        <v>1.0764</v>
      </c>
      <c r="K5982" s="11">
        <f t="shared" si="148"/>
        <v>0.0312151616499443</v>
      </c>
      <c r="L5982" s="9"/>
      <c r="M5982" s="11"/>
      <c r="N5982" s="9" t="s">
        <v>806</v>
      </c>
    </row>
    <row r="5983" ht="25" customHeight="1" spans="1:14">
      <c r="A5983" s="9" t="s">
        <v>244</v>
      </c>
      <c r="B5983" s="9" t="s">
        <v>243</v>
      </c>
      <c r="C5983" s="10">
        <v>46064</v>
      </c>
      <c r="D5983" s="15">
        <v>1.0449</v>
      </c>
      <c r="E5983" s="15">
        <v>1.0449</v>
      </c>
      <c r="F5983" s="15">
        <v>1.0449</v>
      </c>
      <c r="G5983" s="11">
        <v>0.002</v>
      </c>
      <c r="H5983" s="9">
        <f>MAX($F$5907:F5983)</f>
        <v>1.0764</v>
      </c>
      <c r="I5983" s="11">
        <f t="shared" si="149"/>
        <v>0.0292642140468228</v>
      </c>
      <c r="J5983" s="9">
        <f>MAX($F$5953:F5983)</f>
        <v>1.0764</v>
      </c>
      <c r="K5983" s="11">
        <f t="shared" si="148"/>
        <v>0.0292642140468228</v>
      </c>
      <c r="L5983" s="9"/>
      <c r="M5983" s="11"/>
      <c r="N5983" s="9" t="s">
        <v>806</v>
      </c>
    </row>
    <row r="5984" ht="25" customHeight="1" spans="1:14">
      <c r="A5984" s="9" t="s">
        <v>244</v>
      </c>
      <c r="B5984" s="9" t="s">
        <v>243</v>
      </c>
      <c r="C5984" s="10">
        <v>46065</v>
      </c>
      <c r="D5984" s="15">
        <v>1.0544</v>
      </c>
      <c r="E5984" s="15">
        <v>1.0544</v>
      </c>
      <c r="F5984" s="15">
        <v>1.0544</v>
      </c>
      <c r="G5984" s="11">
        <v>0.0091</v>
      </c>
      <c r="H5984" s="9">
        <f>MAX($F$5907:F5984)</f>
        <v>1.0764</v>
      </c>
      <c r="I5984" s="11">
        <f t="shared" si="149"/>
        <v>0.0204384986993683</v>
      </c>
      <c r="J5984" s="9">
        <f>MAX($F$5953:F5984)</f>
        <v>1.0764</v>
      </c>
      <c r="K5984" s="11">
        <f t="shared" si="148"/>
        <v>0.0204384986993683</v>
      </c>
      <c r="L5984" s="9"/>
      <c r="M5984" s="11"/>
      <c r="N5984" s="9" t="s">
        <v>806</v>
      </c>
    </row>
    <row r="5985" ht="25" customHeight="1" spans="1:14">
      <c r="A5985" s="9" t="s">
        <v>244</v>
      </c>
      <c r="B5985" s="9" t="s">
        <v>243</v>
      </c>
      <c r="C5985" s="10">
        <v>46066</v>
      </c>
      <c r="D5985" s="15">
        <v>1.0561</v>
      </c>
      <c r="E5985" s="15">
        <v>1.0561</v>
      </c>
      <c r="F5985" s="15">
        <v>1.0561</v>
      </c>
      <c r="G5985" s="11">
        <v>0.0016</v>
      </c>
      <c r="H5985" s="9">
        <f>MAX($F$5907:F5985)</f>
        <v>1.0764</v>
      </c>
      <c r="I5985" s="11">
        <f t="shared" si="149"/>
        <v>0.018859160163508</v>
      </c>
      <c r="J5985" s="9">
        <f>MAX($F$5953:F5985)</f>
        <v>1.0764</v>
      </c>
      <c r="K5985" s="11">
        <f t="shared" si="148"/>
        <v>0.018859160163508</v>
      </c>
      <c r="L5985" s="9"/>
      <c r="M5985" s="11"/>
      <c r="N5985" s="9" t="s">
        <v>806</v>
      </c>
    </row>
    <row r="5986" ht="25" customHeight="1" spans="1:14">
      <c r="A5986" s="9" t="s">
        <v>244</v>
      </c>
      <c r="B5986" s="9" t="s">
        <v>243</v>
      </c>
      <c r="C5986" s="10">
        <v>46077</v>
      </c>
      <c r="D5986" s="15">
        <v>1.0543</v>
      </c>
      <c r="E5986" s="15">
        <v>1.0543</v>
      </c>
      <c r="F5986" s="15">
        <v>1.0543</v>
      </c>
      <c r="G5986" s="11">
        <v>-0.0017</v>
      </c>
      <c r="H5986" s="9">
        <f>MAX($F$5907:F5986)</f>
        <v>1.0764</v>
      </c>
      <c r="I5986" s="11">
        <f t="shared" si="149"/>
        <v>0.0205314009661836</v>
      </c>
      <c r="J5986" s="9">
        <f>MAX($F$5953:F5986)</f>
        <v>1.0764</v>
      </c>
      <c r="K5986" s="11">
        <f t="shared" si="148"/>
        <v>0.0205314009661836</v>
      </c>
      <c r="L5986" s="9"/>
      <c r="M5986" s="11"/>
      <c r="N5986" s="9" t="s">
        <v>806</v>
      </c>
    </row>
    <row r="5987" ht="25" customHeight="1" spans="1:14">
      <c r="A5987" s="9" t="s">
        <v>244</v>
      </c>
      <c r="B5987" s="9" t="s">
        <v>243</v>
      </c>
      <c r="C5987" s="10">
        <v>46078</v>
      </c>
      <c r="D5987" s="15">
        <v>1.0587</v>
      </c>
      <c r="E5987" s="15">
        <v>1.0587</v>
      </c>
      <c r="F5987" s="15">
        <v>1.0587</v>
      </c>
      <c r="G5987" s="11">
        <v>0.0042</v>
      </c>
      <c r="H5987" s="9">
        <f>MAX($F$5907:F5987)</f>
        <v>1.0764</v>
      </c>
      <c r="I5987" s="11">
        <f t="shared" si="149"/>
        <v>0.01644370122631</v>
      </c>
      <c r="J5987" s="9">
        <f>MAX($F$5953:F5987)</f>
        <v>1.0764</v>
      </c>
      <c r="K5987" s="11">
        <f t="shared" si="148"/>
        <v>0.01644370122631</v>
      </c>
      <c r="L5987" s="9"/>
      <c r="M5987" s="11"/>
      <c r="N5987" s="9" t="s">
        <v>806</v>
      </c>
    </row>
    <row r="5988" ht="25" customHeight="1" spans="1:14">
      <c r="A5988" s="9" t="s">
        <v>244</v>
      </c>
      <c r="B5988" s="9" t="s">
        <v>243</v>
      </c>
      <c r="C5988" s="10">
        <v>46079</v>
      </c>
      <c r="D5988" s="15">
        <v>1.0672</v>
      </c>
      <c r="E5988" s="15">
        <v>1.0672</v>
      </c>
      <c r="F5988" s="15">
        <v>1.0672</v>
      </c>
      <c r="G5988" s="11">
        <v>0.008</v>
      </c>
      <c r="H5988" s="9">
        <f>MAX($F$5907:F5988)</f>
        <v>1.0764</v>
      </c>
      <c r="I5988" s="11">
        <f t="shared" si="149"/>
        <v>0.00854700854700863</v>
      </c>
      <c r="J5988" s="9">
        <f>MAX($F$5953:F5988)</f>
        <v>1.0764</v>
      </c>
      <c r="K5988" s="11">
        <f t="shared" si="148"/>
        <v>0.00854700854700863</v>
      </c>
      <c r="L5988" s="9"/>
      <c r="M5988" s="11"/>
      <c r="N5988" s="9" t="s">
        <v>806</v>
      </c>
    </row>
    <row r="5989" ht="25" customHeight="1" spans="1:14">
      <c r="A5989" s="9" t="s">
        <v>244</v>
      </c>
      <c r="B5989" s="9" t="s">
        <v>243</v>
      </c>
      <c r="C5989" s="10">
        <v>46080</v>
      </c>
      <c r="D5989" s="15">
        <v>1.0759</v>
      </c>
      <c r="E5989" s="15">
        <v>1.0759</v>
      </c>
      <c r="F5989" s="15">
        <v>1.0759</v>
      </c>
      <c r="G5989" s="11">
        <v>0.0082</v>
      </c>
      <c r="H5989" s="9">
        <f>MAX($F$5907:F5989)</f>
        <v>1.0764</v>
      </c>
      <c r="I5989" s="11">
        <f t="shared" si="149"/>
        <v>0.000464511334076545</v>
      </c>
      <c r="J5989" s="9">
        <f>MAX($F$5953:F5989)</f>
        <v>1.0764</v>
      </c>
      <c r="K5989" s="11">
        <f t="shared" si="148"/>
        <v>0.000464511334076545</v>
      </c>
      <c r="L5989" s="9"/>
      <c r="M5989" s="11"/>
      <c r="N5989" s="9" t="s">
        <v>806</v>
      </c>
    </row>
    <row r="5990" ht="25" customHeight="1" spans="1:14">
      <c r="A5990" s="9" t="s">
        <v>244</v>
      </c>
      <c r="B5990" s="9" t="s">
        <v>243</v>
      </c>
      <c r="C5990" s="10">
        <v>46083</v>
      </c>
      <c r="D5990" s="15">
        <v>1.0654</v>
      </c>
      <c r="E5990" s="15">
        <v>1.0654</v>
      </c>
      <c r="F5990" s="15">
        <v>1.0654</v>
      </c>
      <c r="G5990" s="11">
        <v>-0.0098</v>
      </c>
      <c r="H5990" s="9">
        <f>MAX($F$5907:F5990)</f>
        <v>1.0764</v>
      </c>
      <c r="I5990" s="11">
        <f t="shared" si="149"/>
        <v>0.0102192493496842</v>
      </c>
      <c r="J5990" s="9">
        <f>MAX($F$5953:F5990)</f>
        <v>1.0764</v>
      </c>
      <c r="K5990" s="11">
        <f t="shared" si="148"/>
        <v>0.0102192493496842</v>
      </c>
      <c r="L5990" s="9"/>
      <c r="M5990" s="11"/>
      <c r="N5990" s="9" t="s">
        <v>806</v>
      </c>
    </row>
    <row r="5991" ht="25" customHeight="1" spans="1:14">
      <c r="A5991" s="9" t="s">
        <v>244</v>
      </c>
      <c r="B5991" s="9" t="s">
        <v>243</v>
      </c>
      <c r="C5991" s="10">
        <v>46084</v>
      </c>
      <c r="D5991" s="15">
        <v>1.0471</v>
      </c>
      <c r="E5991" s="15">
        <v>1.0471</v>
      </c>
      <c r="F5991" s="15">
        <v>1.0471</v>
      </c>
      <c r="G5991" s="11">
        <v>-0.0172</v>
      </c>
      <c r="H5991" s="9">
        <f>MAX($F$5907:F5991)</f>
        <v>1.0764</v>
      </c>
      <c r="I5991" s="11">
        <f t="shared" si="149"/>
        <v>0.027220364176886</v>
      </c>
      <c r="J5991" s="9">
        <f>MAX($F$5953:F5991)</f>
        <v>1.0764</v>
      </c>
      <c r="K5991" s="11">
        <f t="shared" si="148"/>
        <v>0.027220364176886</v>
      </c>
      <c r="L5991" s="9"/>
      <c r="M5991" s="11"/>
      <c r="N5991" s="9" t="s">
        <v>806</v>
      </c>
    </row>
    <row r="5992" ht="25" customHeight="1" spans="1:14">
      <c r="A5992" s="9" t="s">
        <v>244</v>
      </c>
      <c r="B5992" s="9" t="s">
        <v>243</v>
      </c>
      <c r="C5992" s="10">
        <v>46085</v>
      </c>
      <c r="D5992" s="15">
        <v>1.0504</v>
      </c>
      <c r="E5992" s="15">
        <v>1.0504</v>
      </c>
      <c r="F5992" s="15">
        <v>1.0504</v>
      </c>
      <c r="G5992" s="11">
        <v>0.0032</v>
      </c>
      <c r="H5992" s="9">
        <f>MAX($F$5907:F5992)</f>
        <v>1.0764</v>
      </c>
      <c r="I5992" s="11">
        <f t="shared" si="149"/>
        <v>0.0241545893719807</v>
      </c>
      <c r="J5992" s="9">
        <f>MAX($F$5953:F5992)</f>
        <v>1.0764</v>
      </c>
      <c r="K5992" s="11">
        <f t="shared" si="148"/>
        <v>0.0241545893719807</v>
      </c>
      <c r="L5992" s="9"/>
      <c r="M5992" s="11"/>
      <c r="N5992" s="9" t="s">
        <v>806</v>
      </c>
    </row>
    <row r="5993" ht="25" customHeight="1" spans="1:14">
      <c r="A5993" s="9" t="s">
        <v>244</v>
      </c>
      <c r="B5993" s="9" t="s">
        <v>243</v>
      </c>
      <c r="C5993" s="10">
        <v>46086</v>
      </c>
      <c r="D5993" s="15">
        <v>1.0485</v>
      </c>
      <c r="E5993" s="15">
        <v>1.0485</v>
      </c>
      <c r="F5993" s="15">
        <v>1.0485</v>
      </c>
      <c r="G5993" s="11">
        <v>-0.0018</v>
      </c>
      <c r="H5993" s="9">
        <f>MAX($F$5907:F5993)</f>
        <v>1.0764</v>
      </c>
      <c r="I5993" s="11">
        <f t="shared" si="149"/>
        <v>0.0259197324414716</v>
      </c>
      <c r="J5993" s="9">
        <f>MAX($F$5953:F5993)</f>
        <v>1.0764</v>
      </c>
      <c r="K5993" s="11">
        <f t="shared" si="148"/>
        <v>0.0259197324414716</v>
      </c>
      <c r="L5993" s="9"/>
      <c r="M5993" s="11"/>
      <c r="N5993" s="9" t="s">
        <v>806</v>
      </c>
    </row>
    <row r="5994" ht="25" customHeight="1" spans="1:14">
      <c r="A5994" s="9" t="s">
        <v>244</v>
      </c>
      <c r="B5994" s="9" t="s">
        <v>243</v>
      </c>
      <c r="C5994" s="10">
        <v>46087</v>
      </c>
      <c r="D5994" s="15">
        <v>1.0553</v>
      </c>
      <c r="E5994" s="15">
        <v>1.0553</v>
      </c>
      <c r="F5994" s="15">
        <v>1.0553</v>
      </c>
      <c r="G5994" s="11">
        <v>0.0065</v>
      </c>
      <c r="H5994" s="9">
        <f>MAX($F$5907:F5994)</f>
        <v>1.0764</v>
      </c>
      <c r="I5994" s="11">
        <f t="shared" si="149"/>
        <v>0.0196023782980306</v>
      </c>
      <c r="J5994" s="9">
        <f>MAX($F$5953:F5994)</f>
        <v>1.0764</v>
      </c>
      <c r="K5994" s="11">
        <f t="shared" si="148"/>
        <v>0.0196023782980306</v>
      </c>
      <c r="L5994" s="9"/>
      <c r="M5994" s="11"/>
      <c r="N5994" s="9" t="s">
        <v>806</v>
      </c>
    </row>
    <row r="5995" ht="25" customHeight="1" spans="1:14">
      <c r="A5995" s="9" t="s">
        <v>244</v>
      </c>
      <c r="B5995" s="9" t="s">
        <v>243</v>
      </c>
      <c r="C5995" s="10">
        <v>46090</v>
      </c>
      <c r="D5995" s="15">
        <v>1.0608</v>
      </c>
      <c r="E5995" s="15">
        <v>1.0608</v>
      </c>
      <c r="F5995" s="15">
        <v>1.0608</v>
      </c>
      <c r="G5995" s="11">
        <v>0.0052</v>
      </c>
      <c r="H5995" s="9">
        <f>MAX($F$5907:F5995)</f>
        <v>1.0764</v>
      </c>
      <c r="I5995" s="11">
        <f t="shared" si="149"/>
        <v>0.0144927536231885</v>
      </c>
      <c r="J5995" s="9">
        <f>MAX($F$5953:F5995)</f>
        <v>1.0764</v>
      </c>
      <c r="K5995" s="11">
        <f t="shared" si="148"/>
        <v>0.0144927536231885</v>
      </c>
      <c r="L5995" s="9"/>
      <c r="M5995" s="11"/>
      <c r="N5995" s="9" t="s">
        <v>806</v>
      </c>
    </row>
    <row r="5996" ht="25" customHeight="1" spans="1:14">
      <c r="A5996" s="9" t="s">
        <v>244</v>
      </c>
      <c r="B5996" s="9" t="s">
        <v>243</v>
      </c>
      <c r="C5996" s="10">
        <v>46091</v>
      </c>
      <c r="D5996" s="15">
        <v>1.0622</v>
      </c>
      <c r="E5996" s="15">
        <v>1.0622</v>
      </c>
      <c r="F5996" s="15">
        <v>1.0622</v>
      </c>
      <c r="G5996" s="11">
        <v>0.0013</v>
      </c>
      <c r="H5996" s="9">
        <f>MAX($F$5907:F5996)</f>
        <v>1.0764</v>
      </c>
      <c r="I5996" s="11">
        <f t="shared" si="149"/>
        <v>0.0131921218877741</v>
      </c>
      <c r="J5996" s="9">
        <f>MAX($F$5953:F5996)</f>
        <v>1.0764</v>
      </c>
      <c r="K5996" s="11">
        <f t="shared" si="148"/>
        <v>0.0131921218877741</v>
      </c>
      <c r="L5996" s="9"/>
      <c r="M5996" s="11"/>
      <c r="N5996" s="9" t="s">
        <v>806</v>
      </c>
    </row>
    <row r="5997" ht="25" customHeight="1" spans="1:14">
      <c r="A5997" s="9" t="s">
        <v>244</v>
      </c>
      <c r="B5997" s="9" t="s">
        <v>243</v>
      </c>
      <c r="C5997" s="10">
        <v>46092</v>
      </c>
      <c r="D5997" s="15">
        <v>1.0595</v>
      </c>
      <c r="E5997" s="15">
        <v>1.0595</v>
      </c>
      <c r="F5997" s="15">
        <v>1.0595</v>
      </c>
      <c r="G5997" s="11">
        <v>-0.0025</v>
      </c>
      <c r="H5997" s="9">
        <f>MAX($F$5907:F5997)</f>
        <v>1.0764</v>
      </c>
      <c r="I5997" s="11">
        <f t="shared" si="149"/>
        <v>0.0157004830917874</v>
      </c>
      <c r="J5997" s="9">
        <f>MAX($F$5953:F5997)</f>
        <v>1.0764</v>
      </c>
      <c r="K5997" s="11">
        <f t="shared" si="148"/>
        <v>0.0157004830917874</v>
      </c>
      <c r="L5997" s="9"/>
      <c r="M5997" s="11"/>
      <c r="N5997" s="9" t="s">
        <v>806</v>
      </c>
    </row>
    <row r="5998" ht="25" customHeight="1" spans="1:14">
      <c r="A5998" s="9" t="s">
        <v>244</v>
      </c>
      <c r="B5998" s="9" t="s">
        <v>243</v>
      </c>
      <c r="C5998" s="10">
        <v>46093</v>
      </c>
      <c r="D5998" s="15">
        <v>1.0578</v>
      </c>
      <c r="E5998" s="15">
        <v>1.0578</v>
      </c>
      <c r="F5998" s="15">
        <v>1.0578</v>
      </c>
      <c r="G5998" s="11">
        <v>-0.0016</v>
      </c>
      <c r="H5998" s="9">
        <f>MAX($F$5907:F5998)</f>
        <v>1.0764</v>
      </c>
      <c r="I5998" s="11">
        <f t="shared" si="149"/>
        <v>0.0172798216276476</v>
      </c>
      <c r="J5998" s="9">
        <f>MAX($F$5953:F5998)</f>
        <v>1.0764</v>
      </c>
      <c r="K5998" s="11">
        <f t="shared" si="148"/>
        <v>0.0172798216276476</v>
      </c>
      <c r="L5998" s="9"/>
      <c r="M5998" s="11"/>
      <c r="N5998" s="9" t="s">
        <v>806</v>
      </c>
    </row>
    <row r="5999" ht="25" customHeight="1" spans="1:14">
      <c r="A5999" s="9" t="s">
        <v>244</v>
      </c>
      <c r="B5999" s="9" t="s">
        <v>243</v>
      </c>
      <c r="C5999" s="10">
        <v>46094</v>
      </c>
      <c r="D5999" s="15">
        <v>1.0504</v>
      </c>
      <c r="E5999" s="15">
        <v>1.0504</v>
      </c>
      <c r="F5999" s="15">
        <v>1.0504</v>
      </c>
      <c r="G5999" s="11">
        <v>-0.007</v>
      </c>
      <c r="H5999" s="9">
        <f>MAX($F$5907:F5999)</f>
        <v>1.0764</v>
      </c>
      <c r="I5999" s="11">
        <f t="shared" si="149"/>
        <v>0.0241545893719807</v>
      </c>
      <c r="J5999" s="9">
        <f>MAX($F$5953:F5999)</f>
        <v>1.0764</v>
      </c>
      <c r="K5999" s="11">
        <f t="shared" si="148"/>
        <v>0.0241545893719807</v>
      </c>
      <c r="L5999" s="9"/>
      <c r="M5999" s="11"/>
      <c r="N5999" s="9" t="s">
        <v>806</v>
      </c>
    </row>
    <row r="6000" ht="25" customHeight="1" spans="1:14">
      <c r="A6000" s="9" t="s">
        <v>244</v>
      </c>
      <c r="B6000" s="9" t="s">
        <v>243</v>
      </c>
      <c r="C6000" s="10">
        <v>46097</v>
      </c>
      <c r="D6000" s="15">
        <v>1.0472</v>
      </c>
      <c r="E6000" s="15">
        <v>1.0472</v>
      </c>
      <c r="F6000" s="15">
        <v>1.0472</v>
      </c>
      <c r="G6000" s="11">
        <v>-0.003</v>
      </c>
      <c r="H6000" s="9">
        <f>MAX($F$5907:F6000)</f>
        <v>1.0764</v>
      </c>
      <c r="I6000" s="11">
        <f t="shared" si="149"/>
        <v>0.0271274619100708</v>
      </c>
      <c r="J6000" s="9">
        <f>MAX($F$5953:F6000)</f>
        <v>1.0764</v>
      </c>
      <c r="K6000" s="11">
        <f t="shared" si="148"/>
        <v>0.0271274619100708</v>
      </c>
      <c r="L6000" s="9"/>
      <c r="M6000" s="11"/>
      <c r="N6000" s="9" t="s">
        <v>806</v>
      </c>
    </row>
    <row r="6001" ht="25" customHeight="1" spans="1:14">
      <c r="A6001" s="9" t="s">
        <v>244</v>
      </c>
      <c r="B6001" s="9" t="s">
        <v>243</v>
      </c>
      <c r="C6001" s="10">
        <v>46098</v>
      </c>
      <c r="D6001" s="15">
        <v>1.0355</v>
      </c>
      <c r="E6001" s="15">
        <v>1.0355</v>
      </c>
      <c r="F6001" s="15">
        <v>1.0355</v>
      </c>
      <c r="G6001" s="11">
        <v>-0.0112</v>
      </c>
      <c r="H6001" s="9">
        <f>MAX($F$5907:F6001)</f>
        <v>1.0764</v>
      </c>
      <c r="I6001" s="11">
        <f t="shared" si="149"/>
        <v>0.0379970271274619</v>
      </c>
      <c r="J6001" s="9">
        <f>MAX($F$5953:F6001)</f>
        <v>1.0764</v>
      </c>
      <c r="K6001" s="11">
        <f t="shared" si="148"/>
        <v>0.0379970271274619</v>
      </c>
      <c r="L6001" s="9"/>
      <c r="M6001" s="11"/>
      <c r="N6001" s="9" t="s">
        <v>806</v>
      </c>
    </row>
    <row r="6002" ht="25" customHeight="1" spans="1:14">
      <c r="A6002" s="9" t="s">
        <v>244</v>
      </c>
      <c r="B6002" s="9" t="s">
        <v>243</v>
      </c>
      <c r="C6002" s="10">
        <v>46099</v>
      </c>
      <c r="D6002" s="15">
        <v>1.0356</v>
      </c>
      <c r="E6002" s="15">
        <v>1.0356</v>
      </c>
      <c r="F6002" s="15">
        <v>1.0356</v>
      </c>
      <c r="G6002" s="11">
        <v>0.0001</v>
      </c>
      <c r="H6002" s="9">
        <f>MAX($F$5907:F6002)</f>
        <v>1.0764</v>
      </c>
      <c r="I6002" s="11">
        <f t="shared" si="149"/>
        <v>0.0379041248606465</v>
      </c>
      <c r="J6002" s="9">
        <f>MAX($F$5953:F6002)</f>
        <v>1.0764</v>
      </c>
      <c r="K6002" s="11">
        <f t="shared" si="148"/>
        <v>0.0379041248606465</v>
      </c>
      <c r="L6002" s="9"/>
      <c r="M6002" s="11"/>
      <c r="N6002" s="9" t="s">
        <v>806</v>
      </c>
    </row>
    <row r="6003" ht="25" customHeight="1" spans="1:14">
      <c r="A6003" s="9" t="s">
        <v>244</v>
      </c>
      <c r="B6003" s="9" t="s">
        <v>243</v>
      </c>
      <c r="C6003" s="10">
        <v>46100</v>
      </c>
      <c r="D6003" s="15">
        <v>1.04</v>
      </c>
      <c r="E6003" s="15">
        <v>1.04</v>
      </c>
      <c r="F6003" s="15">
        <v>1.04</v>
      </c>
      <c r="G6003" s="11">
        <v>0.0042</v>
      </c>
      <c r="H6003" s="9">
        <f>MAX($F$5907:F6003)</f>
        <v>1.0764</v>
      </c>
      <c r="I6003" s="11">
        <f t="shared" si="149"/>
        <v>0.033816425120773</v>
      </c>
      <c r="J6003" s="9">
        <f>MAX($F$5953:F6003)</f>
        <v>1.0764</v>
      </c>
      <c r="K6003" s="11">
        <f t="shared" si="148"/>
        <v>0.033816425120773</v>
      </c>
      <c r="L6003" s="9"/>
      <c r="M6003" s="11"/>
      <c r="N6003" s="9" t="s">
        <v>806</v>
      </c>
    </row>
    <row r="6004" ht="25" customHeight="1" spans="1:14">
      <c r="A6004" s="9" t="s">
        <v>244</v>
      </c>
      <c r="B6004" s="9" t="s">
        <v>243</v>
      </c>
      <c r="C6004" s="10">
        <v>46101</v>
      </c>
      <c r="D6004" s="15">
        <v>1.0446</v>
      </c>
      <c r="E6004" s="15">
        <v>1.0446</v>
      </c>
      <c r="F6004" s="15">
        <v>1.0446</v>
      </c>
      <c r="G6004" s="11">
        <v>0.0044</v>
      </c>
      <c r="H6004" s="9">
        <f>MAX($F$5907:F6004)</f>
        <v>1.0764</v>
      </c>
      <c r="I6004" s="11">
        <f t="shared" si="149"/>
        <v>0.0295429208472687</v>
      </c>
      <c r="J6004" s="9">
        <f>MAX($F$5953:F6004)</f>
        <v>1.0764</v>
      </c>
      <c r="K6004" s="11">
        <f t="shared" si="148"/>
        <v>0.0295429208472687</v>
      </c>
      <c r="L6004" s="9"/>
      <c r="M6004" s="11"/>
      <c r="N6004" s="9" t="s">
        <v>806</v>
      </c>
    </row>
    <row r="6005" ht="25" customHeight="1" spans="1:14">
      <c r="A6005" s="9" t="s">
        <v>244</v>
      </c>
      <c r="B6005" s="9" t="s">
        <v>243</v>
      </c>
      <c r="C6005" s="10">
        <v>46104</v>
      </c>
      <c r="D6005" s="15">
        <v>1.0581</v>
      </c>
      <c r="E6005" s="15">
        <v>1.0581</v>
      </c>
      <c r="F6005" s="15">
        <v>1.0581</v>
      </c>
      <c r="G6005" s="11">
        <v>0.0129</v>
      </c>
      <c r="H6005" s="9">
        <f>MAX($F$5907:F6005)</f>
        <v>1.0764</v>
      </c>
      <c r="I6005" s="11">
        <f t="shared" si="149"/>
        <v>0.0170011148272018</v>
      </c>
      <c r="J6005" s="9">
        <f>MAX($F$5953:F6005)</f>
        <v>1.0764</v>
      </c>
      <c r="K6005" s="11">
        <f t="shared" si="148"/>
        <v>0.0170011148272018</v>
      </c>
      <c r="L6005" s="9"/>
      <c r="M6005" s="11"/>
      <c r="N6005" s="9" t="s">
        <v>806</v>
      </c>
    </row>
    <row r="6006" ht="25" customHeight="1" spans="1:14">
      <c r="A6006" s="9" t="s">
        <v>244</v>
      </c>
      <c r="B6006" s="9" t="s">
        <v>243</v>
      </c>
      <c r="C6006" s="10">
        <v>46105</v>
      </c>
      <c r="D6006" s="15">
        <v>1.049</v>
      </c>
      <c r="E6006" s="15">
        <v>1.049</v>
      </c>
      <c r="F6006" s="15">
        <v>1.049</v>
      </c>
      <c r="G6006" s="11">
        <v>-0.0086</v>
      </c>
      <c r="H6006" s="9">
        <f>MAX($F$5907:F6006)</f>
        <v>1.0764</v>
      </c>
      <c r="I6006" s="11">
        <f t="shared" si="149"/>
        <v>0.0254552211073951</v>
      </c>
      <c r="J6006" s="9">
        <f>MAX($F$5953:F6006)</f>
        <v>1.0764</v>
      </c>
      <c r="K6006" s="11">
        <f t="shared" si="148"/>
        <v>0.0254552211073951</v>
      </c>
      <c r="L6006" s="9"/>
      <c r="M6006" s="11"/>
      <c r="N6006" s="9" t="s">
        <v>806</v>
      </c>
    </row>
    <row r="6007" ht="25" customHeight="1" spans="1:14">
      <c r="A6007" s="9" t="s">
        <v>244</v>
      </c>
      <c r="B6007" s="9" t="s">
        <v>243</v>
      </c>
      <c r="C6007" s="10">
        <v>46108</v>
      </c>
      <c r="D6007" s="15">
        <v>1.0426</v>
      </c>
      <c r="E6007" s="15">
        <v>1.0426</v>
      </c>
      <c r="F6007" s="15">
        <v>1.0426</v>
      </c>
      <c r="G6007" s="11">
        <v>-0.0061</v>
      </c>
      <c r="H6007" s="9">
        <f>MAX($F$5907:F6007)</f>
        <v>1.0764</v>
      </c>
      <c r="I6007" s="11">
        <f t="shared" si="149"/>
        <v>0.0314009661835749</v>
      </c>
      <c r="J6007" s="9">
        <f>MAX($F$5953:F6007)</f>
        <v>1.0764</v>
      </c>
      <c r="K6007" s="11">
        <f t="shared" si="148"/>
        <v>0.0314009661835749</v>
      </c>
      <c r="L6007" s="9"/>
      <c r="M6007" s="11"/>
      <c r="N6007" s="9" t="s">
        <v>806</v>
      </c>
    </row>
    <row r="6008" ht="25" customHeight="1" spans="1:14">
      <c r="A6008" s="9" t="s">
        <v>244</v>
      </c>
      <c r="B6008" s="9" t="s">
        <v>243</v>
      </c>
      <c r="C6008" s="10">
        <v>46111</v>
      </c>
      <c r="D6008" s="15">
        <v>1.039</v>
      </c>
      <c r="E6008" s="15">
        <v>1.039</v>
      </c>
      <c r="F6008" s="15">
        <v>1.039</v>
      </c>
      <c r="G6008" s="11">
        <v>-0.0035</v>
      </c>
      <c r="H6008" s="9">
        <f>MAX($F$5907:F6008)</f>
        <v>1.0764</v>
      </c>
      <c r="I6008" s="11">
        <f t="shared" si="149"/>
        <v>0.0347454477889262</v>
      </c>
      <c r="J6008" s="9">
        <f>MAX($F$5953:F6008)</f>
        <v>1.0764</v>
      </c>
      <c r="K6008" s="11">
        <f t="shared" si="148"/>
        <v>0.0347454477889262</v>
      </c>
      <c r="L6008" s="9"/>
      <c r="M6008" s="11"/>
      <c r="N6008" s="9" t="s">
        <v>806</v>
      </c>
    </row>
    <row r="6009" ht="25" customHeight="1" spans="1:14">
      <c r="A6009" s="9" t="s">
        <v>244</v>
      </c>
      <c r="B6009" s="9" t="s">
        <v>243</v>
      </c>
      <c r="C6009" s="10">
        <v>46112</v>
      </c>
      <c r="D6009" s="15">
        <v>1.0471</v>
      </c>
      <c r="E6009" s="15">
        <v>1.0471</v>
      </c>
      <c r="F6009" s="15">
        <v>1.0471</v>
      </c>
      <c r="G6009" s="11">
        <v>0.0078</v>
      </c>
      <c r="H6009" s="9">
        <f>MAX($F$5907:F6009)</f>
        <v>1.0764</v>
      </c>
      <c r="I6009" s="11">
        <f t="shared" si="149"/>
        <v>0.027220364176886</v>
      </c>
      <c r="J6009" s="9">
        <f>MAX($F$5953:F6009)</f>
        <v>1.0764</v>
      </c>
      <c r="K6009" s="11">
        <f t="shared" si="148"/>
        <v>0.027220364176886</v>
      </c>
      <c r="L6009" s="9"/>
      <c r="M6009" s="11"/>
      <c r="N6009" s="9" t="s">
        <v>806</v>
      </c>
    </row>
    <row r="6010" ht="25" customHeight="1" spans="1:14">
      <c r="A6010" s="9" t="s">
        <v>244</v>
      </c>
      <c r="B6010" s="9" t="s">
        <v>243</v>
      </c>
      <c r="C6010" s="10">
        <v>46113</v>
      </c>
      <c r="D6010" s="15">
        <v>1.0448</v>
      </c>
      <c r="E6010" s="15">
        <v>1.0448</v>
      </c>
      <c r="F6010" s="15">
        <v>1.0448</v>
      </c>
      <c r="G6010" s="11">
        <v>-0.0022</v>
      </c>
      <c r="H6010" s="9">
        <f>MAX($F$5907:F6010)</f>
        <v>1.0764</v>
      </c>
      <c r="I6010" s="11">
        <f t="shared" si="149"/>
        <v>0.0293571163136381</v>
      </c>
      <c r="J6010" s="9">
        <f>MAX($F$5953:F6010)</f>
        <v>1.0764</v>
      </c>
      <c r="K6010" s="11">
        <f t="shared" si="148"/>
        <v>0.0293571163136381</v>
      </c>
      <c r="L6010" s="9"/>
      <c r="M6010" s="11"/>
      <c r="N6010" s="9" t="s">
        <v>806</v>
      </c>
    </row>
    <row r="6011" ht="25" customHeight="1" spans="1:14">
      <c r="A6011" s="9" t="s">
        <v>244</v>
      </c>
      <c r="B6011" s="9" t="s">
        <v>243</v>
      </c>
      <c r="C6011" s="10">
        <v>46114</v>
      </c>
      <c r="D6011" s="15">
        <v>1.0511</v>
      </c>
      <c r="E6011" s="15">
        <v>1.0511</v>
      </c>
      <c r="F6011" s="15">
        <v>1.0511</v>
      </c>
      <c r="G6011" s="11">
        <v>0.006</v>
      </c>
      <c r="H6011" s="9">
        <f>MAX($F$5907:F6011)</f>
        <v>1.0764</v>
      </c>
      <c r="I6011" s="11">
        <f t="shared" si="149"/>
        <v>0.0235042735042736</v>
      </c>
      <c r="J6011" s="9">
        <f>MAX($F$5953:F6011)</f>
        <v>1.0764</v>
      </c>
      <c r="K6011" s="11">
        <f t="shared" si="148"/>
        <v>0.0235042735042736</v>
      </c>
      <c r="L6011" s="9"/>
      <c r="M6011" s="11"/>
      <c r="N6011" s="9" t="s">
        <v>806</v>
      </c>
    </row>
    <row r="6012" ht="25" customHeight="1" spans="1:14">
      <c r="A6012" s="9" t="s">
        <v>244</v>
      </c>
      <c r="B6012" s="9" t="s">
        <v>243</v>
      </c>
      <c r="C6012" s="10">
        <v>46115</v>
      </c>
      <c r="D6012" s="15">
        <v>1.0493</v>
      </c>
      <c r="E6012" s="15">
        <v>1.0493</v>
      </c>
      <c r="F6012" s="15">
        <v>1.0493</v>
      </c>
      <c r="G6012" s="11">
        <v>-0.0017</v>
      </c>
      <c r="H6012" s="9">
        <f>MAX($F$5907:F6012)</f>
        <v>1.0764</v>
      </c>
      <c r="I6012" s="11">
        <f t="shared" si="149"/>
        <v>0.0251765143069492</v>
      </c>
      <c r="J6012" s="9">
        <f>MAX($F$5953:F6012)</f>
        <v>1.0764</v>
      </c>
      <c r="K6012" s="11">
        <f t="shared" si="148"/>
        <v>0.0251765143069492</v>
      </c>
      <c r="L6012" s="9"/>
      <c r="M6012" s="11"/>
      <c r="N6012" s="9" t="s">
        <v>806</v>
      </c>
    </row>
    <row r="6013" ht="25" customHeight="1" spans="1:14">
      <c r="A6013" s="9" t="s">
        <v>244</v>
      </c>
      <c r="B6013" s="9" t="s">
        <v>243</v>
      </c>
      <c r="C6013" s="10">
        <v>46119</v>
      </c>
      <c r="D6013" s="15">
        <v>1.0445</v>
      </c>
      <c r="E6013" s="15">
        <v>1.0445</v>
      </c>
      <c r="F6013" s="15">
        <v>1.0445</v>
      </c>
      <c r="G6013" s="11">
        <v>-0.0046</v>
      </c>
      <c r="H6013" s="9">
        <f>MAX($F$5907:F6013)</f>
        <v>1.0764</v>
      </c>
      <c r="I6013" s="11">
        <f t="shared" si="149"/>
        <v>0.029635823114084</v>
      </c>
      <c r="J6013" s="9">
        <f>MAX($F$5953:F6013)</f>
        <v>1.0764</v>
      </c>
      <c r="K6013" s="11">
        <f t="shared" si="148"/>
        <v>0.029635823114084</v>
      </c>
      <c r="L6013" s="9"/>
      <c r="M6013" s="11"/>
      <c r="N6013" s="9" t="s">
        <v>806</v>
      </c>
    </row>
    <row r="6014" ht="25" customHeight="1" spans="1:14">
      <c r="A6014" s="9" t="s">
        <v>244</v>
      </c>
      <c r="B6014" s="9" t="s">
        <v>243</v>
      </c>
      <c r="C6014" s="10">
        <v>46120</v>
      </c>
      <c r="D6014" s="15">
        <v>1.0331</v>
      </c>
      <c r="E6014" s="15">
        <v>1.0331</v>
      </c>
      <c r="F6014" s="15">
        <v>1.0331</v>
      </c>
      <c r="G6014" s="11">
        <v>-0.0109</v>
      </c>
      <c r="H6014" s="9">
        <f>MAX($F$5907:F6014)</f>
        <v>1.0764</v>
      </c>
      <c r="I6014" s="11">
        <f t="shared" si="149"/>
        <v>0.0402266815310295</v>
      </c>
      <c r="J6014" s="9">
        <f>MAX($F$5953:F6014)</f>
        <v>1.0764</v>
      </c>
      <c r="K6014" s="11">
        <f t="shared" si="148"/>
        <v>0.0402266815310295</v>
      </c>
      <c r="L6014" s="9"/>
      <c r="M6014" s="11"/>
      <c r="N6014" s="9" t="s">
        <v>806</v>
      </c>
    </row>
    <row r="6015" ht="25" customHeight="1" spans="1:14">
      <c r="A6015" s="9" t="s">
        <v>244</v>
      </c>
      <c r="B6015" s="9" t="s">
        <v>243</v>
      </c>
      <c r="C6015" s="10">
        <v>46121</v>
      </c>
      <c r="D6015" s="15">
        <v>1.0313</v>
      </c>
      <c r="E6015" s="15">
        <v>1.0313</v>
      </c>
      <c r="F6015" s="15">
        <v>1.0313</v>
      </c>
      <c r="G6015" s="11">
        <v>-0.0017</v>
      </c>
      <c r="H6015" s="9">
        <f>MAX($F$5907:F6015)</f>
        <v>1.0764</v>
      </c>
      <c r="I6015" s="11">
        <f t="shared" si="149"/>
        <v>0.0418989223337048</v>
      </c>
      <c r="J6015" s="9">
        <f>MAX($F$5953:F6015)</f>
        <v>1.0764</v>
      </c>
      <c r="K6015" s="11">
        <f t="shared" si="148"/>
        <v>0.0418989223337048</v>
      </c>
      <c r="L6015" s="9"/>
      <c r="M6015" s="11"/>
      <c r="N6015" s="9" t="s">
        <v>806</v>
      </c>
    </row>
    <row r="6016" ht="25" customHeight="1" spans="1:14">
      <c r="A6016" s="9" t="s">
        <v>244</v>
      </c>
      <c r="B6016" s="9" t="s">
        <v>243</v>
      </c>
      <c r="C6016" s="10">
        <v>46122</v>
      </c>
      <c r="D6016" s="15">
        <v>1.0275</v>
      </c>
      <c r="E6016" s="15">
        <v>1.0275</v>
      </c>
      <c r="F6016" s="15">
        <v>1.0275</v>
      </c>
      <c r="G6016" s="11">
        <v>-0.0037</v>
      </c>
      <c r="H6016" s="9">
        <f>MAX($F$5907:F6016)</f>
        <v>1.0764</v>
      </c>
      <c r="I6016" s="11">
        <f t="shared" si="149"/>
        <v>0.0454292084726867</v>
      </c>
      <c r="J6016" s="9">
        <f>MAX($F$5953:F6016)</f>
        <v>1.0764</v>
      </c>
      <c r="K6016" s="11">
        <f t="shared" si="148"/>
        <v>0.0454292084726867</v>
      </c>
      <c r="L6016" s="9"/>
      <c r="M6016" s="11"/>
      <c r="N6016" s="9" t="s">
        <v>806</v>
      </c>
    </row>
    <row r="6017" ht="25" customHeight="1" spans="1:14">
      <c r="A6017" s="9" t="s">
        <v>244</v>
      </c>
      <c r="B6017" s="9" t="s">
        <v>243</v>
      </c>
      <c r="C6017" s="10">
        <v>46125</v>
      </c>
      <c r="D6017" s="15">
        <v>1.0276</v>
      </c>
      <c r="E6017" s="15">
        <v>1.0276</v>
      </c>
      <c r="F6017" s="15">
        <v>1.0276</v>
      </c>
      <c r="G6017" s="11">
        <v>0.0001</v>
      </c>
      <c r="H6017" s="9">
        <f>MAX($F$5907:F6017)</f>
        <v>1.0764</v>
      </c>
      <c r="I6017" s="11">
        <f t="shared" si="149"/>
        <v>0.0453363062058714</v>
      </c>
      <c r="J6017" s="9">
        <f>MAX($F$5953:F6017)</f>
        <v>1.0764</v>
      </c>
      <c r="K6017" s="11">
        <f t="shared" ref="K6017:K6080" si="150">1-F6017/J6017</f>
        <v>0.0453363062058714</v>
      </c>
      <c r="L6017" s="9"/>
      <c r="M6017" s="11"/>
      <c r="N6017" s="9" t="s">
        <v>806</v>
      </c>
    </row>
    <row r="6018" ht="25" customHeight="1" spans="1:14">
      <c r="A6018" s="9" t="s">
        <v>244</v>
      </c>
      <c r="B6018" s="9" t="s">
        <v>243</v>
      </c>
      <c r="C6018" s="10">
        <v>46126</v>
      </c>
      <c r="D6018" s="15">
        <v>1.0276</v>
      </c>
      <c r="E6018" s="15">
        <v>1.0276</v>
      </c>
      <c r="F6018" s="15">
        <v>1.0276</v>
      </c>
      <c r="G6018" s="11">
        <v>0</v>
      </c>
      <c r="H6018" s="9">
        <f>MAX($F$5907:F6018)</f>
        <v>1.0764</v>
      </c>
      <c r="I6018" s="11">
        <f t="shared" ref="I6018:I6081" si="151">1-F6018/H6018</f>
        <v>0.0453363062058714</v>
      </c>
      <c r="J6018" s="9">
        <f>MAX($F$5953:F6018)</f>
        <v>1.0764</v>
      </c>
      <c r="K6018" s="11">
        <f t="shared" si="150"/>
        <v>0.0453363062058714</v>
      </c>
      <c r="L6018" s="9"/>
      <c r="M6018" s="11"/>
      <c r="N6018" s="9" t="s">
        <v>806</v>
      </c>
    </row>
    <row r="6019" ht="25" customHeight="1" spans="1:14">
      <c r="A6019" s="9" t="s">
        <v>244</v>
      </c>
      <c r="B6019" s="9" t="s">
        <v>243</v>
      </c>
      <c r="C6019" s="10">
        <v>46127</v>
      </c>
      <c r="D6019" s="15">
        <v>1.029</v>
      </c>
      <c r="E6019" s="15">
        <v>1.029</v>
      </c>
      <c r="F6019" s="15">
        <v>1.029</v>
      </c>
      <c r="G6019" s="11">
        <v>0.0014</v>
      </c>
      <c r="H6019" s="9">
        <f>MAX($F$5907:F6019)</f>
        <v>1.0764</v>
      </c>
      <c r="I6019" s="11">
        <f t="shared" si="151"/>
        <v>0.0440356744704572</v>
      </c>
      <c r="J6019" s="9">
        <f>MAX($F$5953:F6019)</f>
        <v>1.0764</v>
      </c>
      <c r="K6019" s="11">
        <f t="shared" si="150"/>
        <v>0.0440356744704572</v>
      </c>
      <c r="L6019" s="9"/>
      <c r="M6019" s="11"/>
      <c r="N6019" s="9" t="s">
        <v>806</v>
      </c>
    </row>
    <row r="6020" ht="25" customHeight="1" spans="1:14">
      <c r="A6020" s="9" t="s">
        <v>244</v>
      </c>
      <c r="B6020" s="9" t="s">
        <v>243</v>
      </c>
      <c r="C6020" s="10">
        <v>46128</v>
      </c>
      <c r="D6020" s="15">
        <v>1.035</v>
      </c>
      <c r="E6020" s="15">
        <v>1.035</v>
      </c>
      <c r="F6020" s="15">
        <v>1.035</v>
      </c>
      <c r="G6020" s="11">
        <v>0.0058</v>
      </c>
      <c r="H6020" s="9">
        <f>MAX($F$5907:F6020)</f>
        <v>1.0764</v>
      </c>
      <c r="I6020" s="11">
        <f t="shared" si="151"/>
        <v>0.0384615384615385</v>
      </c>
      <c r="J6020" s="9">
        <f>MAX($F$5953:F6020)</f>
        <v>1.0764</v>
      </c>
      <c r="K6020" s="11">
        <f t="shared" si="150"/>
        <v>0.0384615384615385</v>
      </c>
      <c r="L6020" s="9"/>
      <c r="M6020" s="11"/>
      <c r="N6020" s="9" t="s">
        <v>806</v>
      </c>
    </row>
    <row r="6021" ht="25" customHeight="1" spans="1:14">
      <c r="A6021" s="9" t="s">
        <v>244</v>
      </c>
      <c r="B6021" s="9" t="s">
        <v>243</v>
      </c>
      <c r="C6021" s="10">
        <v>46129</v>
      </c>
      <c r="D6021" s="15">
        <v>1.0446</v>
      </c>
      <c r="E6021" s="15">
        <v>1.0446</v>
      </c>
      <c r="F6021" s="15">
        <v>1.0446</v>
      </c>
      <c r="G6021" s="11">
        <v>0.0093</v>
      </c>
      <c r="H6021" s="9">
        <f>MAX($F$5907:F6021)</f>
        <v>1.0764</v>
      </c>
      <c r="I6021" s="11">
        <f t="shared" si="151"/>
        <v>0.0295429208472687</v>
      </c>
      <c r="J6021" s="9">
        <f>MAX($F$5953:F6021)</f>
        <v>1.0764</v>
      </c>
      <c r="K6021" s="11">
        <f t="shared" si="150"/>
        <v>0.0295429208472687</v>
      </c>
      <c r="L6021" s="9"/>
      <c r="M6021" s="11"/>
      <c r="N6021" s="9" t="s">
        <v>806</v>
      </c>
    </row>
    <row r="6022" ht="25" customHeight="1" spans="1:14">
      <c r="A6022" s="9" t="s">
        <v>244</v>
      </c>
      <c r="B6022" s="9" t="s">
        <v>243</v>
      </c>
      <c r="C6022" s="10">
        <v>46132</v>
      </c>
      <c r="D6022" s="15">
        <v>1.044</v>
      </c>
      <c r="E6022" s="15">
        <v>1.044</v>
      </c>
      <c r="F6022" s="15">
        <v>1.044</v>
      </c>
      <c r="G6022" s="11">
        <v>-0.0006</v>
      </c>
      <c r="H6022" s="9">
        <f>MAX($F$5907:F6022)</f>
        <v>1.0764</v>
      </c>
      <c r="I6022" s="11">
        <f t="shared" si="151"/>
        <v>0.0301003344481605</v>
      </c>
      <c r="J6022" s="9">
        <f>MAX($F$5953:F6022)</f>
        <v>1.0764</v>
      </c>
      <c r="K6022" s="11">
        <f t="shared" si="150"/>
        <v>0.0301003344481605</v>
      </c>
      <c r="L6022" s="9"/>
      <c r="M6022" s="11"/>
      <c r="N6022" s="9" t="s">
        <v>806</v>
      </c>
    </row>
    <row r="6023" ht="25" customHeight="1" spans="1:14">
      <c r="A6023" s="9" t="s">
        <v>244</v>
      </c>
      <c r="B6023" s="9" t="s">
        <v>243</v>
      </c>
      <c r="C6023" s="10">
        <v>46133</v>
      </c>
      <c r="D6023" s="15">
        <v>1.041</v>
      </c>
      <c r="E6023" s="15">
        <v>1.041</v>
      </c>
      <c r="F6023" s="15">
        <v>1.041</v>
      </c>
      <c r="G6023" s="11">
        <v>-0.0029</v>
      </c>
      <c r="H6023" s="9">
        <f>MAX($F$5907:F6023)</f>
        <v>1.0764</v>
      </c>
      <c r="I6023" s="11">
        <f t="shared" si="151"/>
        <v>0.0328874024526199</v>
      </c>
      <c r="J6023" s="9">
        <f>MAX($F$5953:F6023)</f>
        <v>1.0764</v>
      </c>
      <c r="K6023" s="11">
        <f t="shared" si="150"/>
        <v>0.0328874024526199</v>
      </c>
      <c r="L6023" s="9"/>
      <c r="M6023" s="11"/>
      <c r="N6023" s="9" t="s">
        <v>806</v>
      </c>
    </row>
    <row r="6024" ht="25" customHeight="1" spans="1:14">
      <c r="A6024" s="9" t="s">
        <v>244</v>
      </c>
      <c r="B6024" s="9" t="s">
        <v>243</v>
      </c>
      <c r="C6024" s="10">
        <v>46134</v>
      </c>
      <c r="D6024" s="15">
        <v>1.0498</v>
      </c>
      <c r="E6024" s="15">
        <v>1.0498</v>
      </c>
      <c r="F6024" s="15">
        <v>1.0498</v>
      </c>
      <c r="G6024" s="11">
        <v>0.0085</v>
      </c>
      <c r="H6024" s="9">
        <f>MAX($F$5907:F6024)</f>
        <v>1.0764</v>
      </c>
      <c r="I6024" s="11">
        <f t="shared" si="151"/>
        <v>0.0247120029728725</v>
      </c>
      <c r="J6024" s="9">
        <f>MAX($F$5953:F6024)</f>
        <v>1.0764</v>
      </c>
      <c r="K6024" s="11">
        <f t="shared" si="150"/>
        <v>0.0247120029728725</v>
      </c>
      <c r="L6024" s="9"/>
      <c r="M6024" s="11"/>
      <c r="N6024" s="9" t="s">
        <v>806</v>
      </c>
    </row>
    <row r="6025" ht="25" customHeight="1" spans="1:14">
      <c r="A6025" s="9" t="s">
        <v>244</v>
      </c>
      <c r="B6025" s="9" t="s">
        <v>243</v>
      </c>
      <c r="C6025" s="10">
        <v>46135</v>
      </c>
      <c r="D6025" s="15">
        <v>1.0426</v>
      </c>
      <c r="E6025" s="15">
        <v>1.0426</v>
      </c>
      <c r="F6025" s="15">
        <v>1.0426</v>
      </c>
      <c r="G6025" s="11">
        <v>-0.0069</v>
      </c>
      <c r="H6025" s="9">
        <f>MAX($F$5907:F6025)</f>
        <v>1.0764</v>
      </c>
      <c r="I6025" s="11">
        <f t="shared" si="151"/>
        <v>0.0314009661835749</v>
      </c>
      <c r="J6025" s="9">
        <f>MAX($F$5953:F6025)</f>
        <v>1.0764</v>
      </c>
      <c r="K6025" s="11">
        <f t="shared" si="150"/>
        <v>0.0314009661835749</v>
      </c>
      <c r="L6025" s="9"/>
      <c r="M6025" s="11"/>
      <c r="N6025" s="9" t="s">
        <v>806</v>
      </c>
    </row>
    <row r="6026" ht="25" customHeight="1" spans="1:14">
      <c r="A6026" s="9" t="s">
        <v>244</v>
      </c>
      <c r="B6026" s="9" t="s">
        <v>243</v>
      </c>
      <c r="C6026" s="10">
        <v>46136</v>
      </c>
      <c r="D6026" s="15">
        <v>1.0416</v>
      </c>
      <c r="E6026" s="15">
        <v>1.0416</v>
      </c>
      <c r="F6026" s="15">
        <v>1.0416</v>
      </c>
      <c r="G6026" s="11">
        <v>-0.001</v>
      </c>
      <c r="H6026" s="9">
        <f>MAX($F$5907:F6026)</f>
        <v>1.0764</v>
      </c>
      <c r="I6026" s="11">
        <f t="shared" si="151"/>
        <v>0.0323299888517279</v>
      </c>
      <c r="J6026" s="9">
        <f>MAX($F$5953:F6026)</f>
        <v>1.0764</v>
      </c>
      <c r="K6026" s="11">
        <f t="shared" si="150"/>
        <v>0.0323299888517279</v>
      </c>
      <c r="L6026" s="9"/>
      <c r="M6026" s="11"/>
      <c r="N6026" s="9" t="s">
        <v>806</v>
      </c>
    </row>
    <row r="6027" ht="25" customHeight="1" spans="1:14">
      <c r="A6027" s="9" t="s">
        <v>244</v>
      </c>
      <c r="B6027" s="9" t="s">
        <v>243</v>
      </c>
      <c r="C6027" s="10">
        <v>46139</v>
      </c>
      <c r="D6027" s="15">
        <v>1.0437</v>
      </c>
      <c r="E6027" s="15">
        <v>1.0437</v>
      </c>
      <c r="F6027" s="15">
        <v>1.0437</v>
      </c>
      <c r="G6027" s="11">
        <v>0.002</v>
      </c>
      <c r="H6027" s="9">
        <f>MAX($F$5907:F6027)</f>
        <v>1.0764</v>
      </c>
      <c r="I6027" s="11">
        <f t="shared" si="151"/>
        <v>0.0303790412486065</v>
      </c>
      <c r="J6027" s="9">
        <f>MAX($F$5953:F6027)</f>
        <v>1.0764</v>
      </c>
      <c r="K6027" s="11">
        <f t="shared" si="150"/>
        <v>0.0303790412486065</v>
      </c>
      <c r="L6027" s="9"/>
      <c r="M6027" s="11"/>
      <c r="N6027" s="9" t="s">
        <v>806</v>
      </c>
    </row>
    <row r="6028" ht="25" customHeight="1" spans="1:14">
      <c r="A6028" s="9" t="s">
        <v>244</v>
      </c>
      <c r="B6028" s="9" t="s">
        <v>243</v>
      </c>
      <c r="C6028" s="10">
        <v>46140</v>
      </c>
      <c r="D6028" s="15">
        <v>1.0345</v>
      </c>
      <c r="E6028" s="15">
        <v>1.0345</v>
      </c>
      <c r="F6028" s="15">
        <v>1.0345</v>
      </c>
      <c r="G6028" s="11">
        <v>-0.0088</v>
      </c>
      <c r="H6028" s="9">
        <f>MAX($F$5907:F6028)</f>
        <v>1.0764</v>
      </c>
      <c r="I6028" s="11">
        <f t="shared" si="151"/>
        <v>0.0389260497956151</v>
      </c>
      <c r="J6028" s="9">
        <f>MAX($F$5953:F6028)</f>
        <v>1.0764</v>
      </c>
      <c r="K6028" s="11">
        <f t="shared" si="150"/>
        <v>0.0389260497956151</v>
      </c>
      <c r="L6028" s="9"/>
      <c r="M6028" s="11"/>
      <c r="N6028" s="9" t="s">
        <v>806</v>
      </c>
    </row>
    <row r="6029" ht="25" customHeight="1" spans="1:14">
      <c r="A6029" s="9" t="s">
        <v>244</v>
      </c>
      <c r="B6029" s="9" t="s">
        <v>243</v>
      </c>
      <c r="C6029" s="10">
        <v>46141</v>
      </c>
      <c r="D6029" s="15">
        <v>1.0409</v>
      </c>
      <c r="E6029" s="15">
        <v>1.0409</v>
      </c>
      <c r="F6029" s="15">
        <v>1.0409</v>
      </c>
      <c r="G6029" s="11">
        <v>0.0062</v>
      </c>
      <c r="H6029" s="9">
        <f>MAX($F$5907:F6029)</f>
        <v>1.0764</v>
      </c>
      <c r="I6029" s="11">
        <f t="shared" si="151"/>
        <v>0.0329803047194352</v>
      </c>
      <c r="J6029" s="9">
        <f>MAX($F$5953:F6029)</f>
        <v>1.0764</v>
      </c>
      <c r="K6029" s="11">
        <f t="shared" si="150"/>
        <v>0.0329803047194352</v>
      </c>
      <c r="L6029" s="9"/>
      <c r="M6029" s="11"/>
      <c r="N6029" s="9" t="s">
        <v>806</v>
      </c>
    </row>
    <row r="6030" ht="25" customHeight="1" spans="1:14">
      <c r="A6030" s="9" t="s">
        <v>244</v>
      </c>
      <c r="B6030" s="9" t="s">
        <v>243</v>
      </c>
      <c r="C6030" s="10">
        <v>46142</v>
      </c>
      <c r="D6030" s="15">
        <v>1.0439</v>
      </c>
      <c r="E6030" s="15">
        <v>1.0439</v>
      </c>
      <c r="F6030" s="15">
        <v>1.0439</v>
      </c>
      <c r="G6030" s="11">
        <v>0.0029</v>
      </c>
      <c r="H6030" s="9">
        <f>MAX($F$5907:F6030)</f>
        <v>1.0764</v>
      </c>
      <c r="I6030" s="11">
        <f t="shared" si="151"/>
        <v>0.0301932367149759</v>
      </c>
      <c r="J6030" s="9">
        <f>MAX($F$5953:F6030)</f>
        <v>1.0764</v>
      </c>
      <c r="K6030" s="11">
        <f t="shared" si="150"/>
        <v>0.0301932367149759</v>
      </c>
      <c r="L6030" s="9"/>
      <c r="M6030" s="11"/>
      <c r="N6030" s="9" t="s">
        <v>806</v>
      </c>
    </row>
    <row r="6031" ht="25" customHeight="1" spans="1:14">
      <c r="A6031" s="9" t="s">
        <v>244</v>
      </c>
      <c r="B6031" s="9" t="s">
        <v>243</v>
      </c>
      <c r="C6031" s="10">
        <v>46148</v>
      </c>
      <c r="D6031" s="15">
        <v>1.0516</v>
      </c>
      <c r="E6031" s="15">
        <v>1.0516</v>
      </c>
      <c r="F6031" s="15">
        <v>1.0516</v>
      </c>
      <c r="G6031" s="11">
        <v>0.0074</v>
      </c>
      <c r="H6031" s="9">
        <f>MAX($F$5907:F6031)</f>
        <v>1.0764</v>
      </c>
      <c r="I6031" s="11">
        <f t="shared" si="151"/>
        <v>0.0230397621701969</v>
      </c>
      <c r="J6031" s="9">
        <f>MAX($F$5953:F6031)</f>
        <v>1.0764</v>
      </c>
      <c r="K6031" s="11">
        <f t="shared" si="150"/>
        <v>0.0230397621701969</v>
      </c>
      <c r="L6031" s="9"/>
      <c r="M6031" s="11"/>
      <c r="N6031" s="9" t="s">
        <v>806</v>
      </c>
    </row>
    <row r="6032" ht="25" customHeight="1" spans="1:14">
      <c r="A6032" s="9" t="s">
        <v>244</v>
      </c>
      <c r="B6032" s="9" t="s">
        <v>243</v>
      </c>
      <c r="C6032" s="10">
        <v>46149</v>
      </c>
      <c r="D6032" s="15">
        <v>1.0616</v>
      </c>
      <c r="E6032" s="15">
        <v>1.0616</v>
      </c>
      <c r="F6032" s="15">
        <v>1.0616</v>
      </c>
      <c r="G6032" s="11">
        <v>0.0095</v>
      </c>
      <c r="H6032" s="9">
        <f>MAX($F$5907:F6032)</f>
        <v>1.0764</v>
      </c>
      <c r="I6032" s="11">
        <f t="shared" si="151"/>
        <v>0.0137495354886659</v>
      </c>
      <c r="J6032" s="9">
        <f>MAX($F$5953:F6032)</f>
        <v>1.0764</v>
      </c>
      <c r="K6032" s="11">
        <f t="shared" si="150"/>
        <v>0.0137495354886659</v>
      </c>
      <c r="L6032" s="9"/>
      <c r="M6032" s="11"/>
      <c r="N6032" s="9" t="s">
        <v>806</v>
      </c>
    </row>
    <row r="6033" ht="25" customHeight="1" spans="1:14">
      <c r="A6033" s="9" t="s">
        <v>244</v>
      </c>
      <c r="B6033" s="9" t="s">
        <v>243</v>
      </c>
      <c r="C6033" s="10">
        <v>46150</v>
      </c>
      <c r="D6033" s="15">
        <v>1.0686</v>
      </c>
      <c r="E6033" s="15">
        <v>1.0686</v>
      </c>
      <c r="F6033" s="15">
        <v>1.0686</v>
      </c>
      <c r="G6033" s="11">
        <v>0.0066</v>
      </c>
      <c r="H6033" s="9">
        <f>MAX($F$5907:F6033)</f>
        <v>1.0764</v>
      </c>
      <c r="I6033" s="11">
        <f t="shared" si="151"/>
        <v>0.00724637681159424</v>
      </c>
      <c r="J6033" s="9">
        <f>MAX($F$5953:F6033)</f>
        <v>1.0764</v>
      </c>
      <c r="K6033" s="11">
        <f t="shared" si="150"/>
        <v>0.00724637681159424</v>
      </c>
      <c r="L6033" s="9"/>
      <c r="M6033" s="11"/>
      <c r="N6033" s="9" t="s">
        <v>806</v>
      </c>
    </row>
    <row r="6034" ht="25" customHeight="1" spans="1:14">
      <c r="A6034" s="9" t="s">
        <v>244</v>
      </c>
      <c r="B6034" s="9" t="s">
        <v>243</v>
      </c>
      <c r="C6034" s="10">
        <v>46153</v>
      </c>
      <c r="D6034" s="15">
        <v>1.0638</v>
      </c>
      <c r="E6034" s="15">
        <v>1.0638</v>
      </c>
      <c r="F6034" s="15">
        <v>1.0638</v>
      </c>
      <c r="G6034" s="11">
        <v>-0.0045</v>
      </c>
      <c r="H6034" s="9">
        <f>MAX($F$5907:F6034)</f>
        <v>1.0764</v>
      </c>
      <c r="I6034" s="11">
        <f t="shared" si="151"/>
        <v>0.0117056856187291</v>
      </c>
      <c r="J6034" s="9">
        <f>MAX($F$5953:F6034)</f>
        <v>1.0764</v>
      </c>
      <c r="K6034" s="11">
        <f t="shared" si="150"/>
        <v>0.0117056856187291</v>
      </c>
      <c r="L6034" s="9"/>
      <c r="M6034" s="11"/>
      <c r="N6034" s="9" t="s">
        <v>806</v>
      </c>
    </row>
    <row r="6035" ht="25" customHeight="1" spans="1:14">
      <c r="A6035" s="9" t="s">
        <v>244</v>
      </c>
      <c r="B6035" s="9" t="s">
        <v>243</v>
      </c>
      <c r="C6035" s="10">
        <v>46154</v>
      </c>
      <c r="D6035" s="15">
        <v>1.0609</v>
      </c>
      <c r="E6035" s="15">
        <v>1.0609</v>
      </c>
      <c r="F6035" s="15">
        <v>1.0609</v>
      </c>
      <c r="G6035" s="11">
        <v>-0.0027</v>
      </c>
      <c r="H6035" s="9">
        <f>MAX($F$5907:F6035)</f>
        <v>1.0764</v>
      </c>
      <c r="I6035" s="11">
        <f t="shared" si="151"/>
        <v>0.0143998513563731</v>
      </c>
      <c r="J6035" s="9">
        <f>MAX($F$5953:F6035)</f>
        <v>1.0764</v>
      </c>
      <c r="K6035" s="11">
        <f t="shared" si="150"/>
        <v>0.0143998513563731</v>
      </c>
      <c r="L6035" s="9"/>
      <c r="M6035" s="11"/>
      <c r="N6035" s="9" t="s">
        <v>806</v>
      </c>
    </row>
    <row r="6036" ht="25" customHeight="1" spans="1:14">
      <c r="A6036" s="9" t="s">
        <v>244</v>
      </c>
      <c r="B6036" s="9" t="s">
        <v>243</v>
      </c>
      <c r="C6036" s="10">
        <v>46155</v>
      </c>
      <c r="D6036" s="15">
        <v>1.0673</v>
      </c>
      <c r="E6036" s="15">
        <v>1.0673</v>
      </c>
      <c r="F6036" s="15">
        <v>1.0673</v>
      </c>
      <c r="G6036" s="11">
        <v>0.006</v>
      </c>
      <c r="H6036" s="9">
        <f>MAX($F$5907:F6036)</f>
        <v>1.0764</v>
      </c>
      <c r="I6036" s="11">
        <f t="shared" si="151"/>
        <v>0.00845410628019339</v>
      </c>
      <c r="J6036" s="9">
        <f>MAX($F$5953:F6036)</f>
        <v>1.0764</v>
      </c>
      <c r="K6036" s="11">
        <f t="shared" si="150"/>
        <v>0.00845410628019339</v>
      </c>
      <c r="L6036" s="9"/>
      <c r="M6036" s="11"/>
      <c r="N6036" s="9" t="s">
        <v>806</v>
      </c>
    </row>
    <row r="6037" ht="25" customHeight="1" spans="1:14">
      <c r="A6037" s="9" t="s">
        <v>244</v>
      </c>
      <c r="B6037" s="9" t="s">
        <v>243</v>
      </c>
      <c r="C6037" s="10">
        <v>46156</v>
      </c>
      <c r="D6037" s="15">
        <v>1.0663</v>
      </c>
      <c r="E6037" s="15">
        <v>1.0663</v>
      </c>
      <c r="F6037" s="15">
        <v>1.0663</v>
      </c>
      <c r="G6037" s="11">
        <v>-0.0009</v>
      </c>
      <c r="H6037" s="9">
        <f>MAX($F$5907:F6037)</f>
        <v>1.0764</v>
      </c>
      <c r="I6037" s="11">
        <f t="shared" si="151"/>
        <v>0.00938312894834636</v>
      </c>
      <c r="J6037" s="9">
        <f>MAX($F$5953:F6037)</f>
        <v>1.0764</v>
      </c>
      <c r="K6037" s="11">
        <f t="shared" si="150"/>
        <v>0.00938312894834636</v>
      </c>
      <c r="L6037" s="9"/>
      <c r="M6037" s="11"/>
      <c r="N6037" s="9" t="s">
        <v>806</v>
      </c>
    </row>
    <row r="6038" ht="25" customHeight="1" spans="1:14">
      <c r="A6038" s="9" t="s">
        <v>244</v>
      </c>
      <c r="B6038" s="9" t="s">
        <v>243</v>
      </c>
      <c r="C6038" s="10">
        <v>46157</v>
      </c>
      <c r="D6038" s="15">
        <v>1.0659</v>
      </c>
      <c r="E6038" s="15">
        <v>1.0659</v>
      </c>
      <c r="F6038" s="15">
        <v>1.0659</v>
      </c>
      <c r="G6038" s="11">
        <v>-0.0004</v>
      </c>
      <c r="H6038" s="9">
        <f>MAX($F$5907:F6038)</f>
        <v>1.0764</v>
      </c>
      <c r="I6038" s="11">
        <f t="shared" si="151"/>
        <v>0.00975473801560756</v>
      </c>
      <c r="J6038" s="9">
        <f>MAX($F$5953:F6038)</f>
        <v>1.0764</v>
      </c>
      <c r="K6038" s="11">
        <f t="shared" si="150"/>
        <v>0.00975473801560756</v>
      </c>
      <c r="L6038" s="9"/>
      <c r="M6038" s="11"/>
      <c r="N6038" s="9" t="s">
        <v>806</v>
      </c>
    </row>
    <row r="6039" ht="25" customHeight="1" spans="1:14">
      <c r="A6039" s="9" t="s">
        <v>244</v>
      </c>
      <c r="B6039" s="9" t="s">
        <v>243</v>
      </c>
      <c r="C6039" s="10">
        <v>46160</v>
      </c>
      <c r="D6039" s="15">
        <v>1.0727</v>
      </c>
      <c r="E6039" s="15">
        <v>1.0727</v>
      </c>
      <c r="F6039" s="15">
        <v>1.0727</v>
      </c>
      <c r="G6039" s="11">
        <v>0.0064</v>
      </c>
      <c r="H6039" s="9">
        <f>MAX($F$5907:F6039)</f>
        <v>1.0764</v>
      </c>
      <c r="I6039" s="11">
        <f t="shared" si="151"/>
        <v>0.00343738387216652</v>
      </c>
      <c r="J6039" s="9">
        <f>MAX($F$5953:F6039)</f>
        <v>1.0764</v>
      </c>
      <c r="K6039" s="11">
        <f t="shared" si="150"/>
        <v>0.00343738387216652</v>
      </c>
      <c r="L6039" s="9"/>
      <c r="M6039" s="11"/>
      <c r="N6039" s="9" t="s">
        <v>806</v>
      </c>
    </row>
    <row r="6040" ht="25" customHeight="1" spans="1:14">
      <c r="A6040" s="9" t="s">
        <v>244</v>
      </c>
      <c r="B6040" s="9" t="s">
        <v>243</v>
      </c>
      <c r="C6040" s="10">
        <v>46161</v>
      </c>
      <c r="D6040" s="15">
        <v>1.0775</v>
      </c>
      <c r="E6040" s="15">
        <v>1.0775</v>
      </c>
      <c r="F6040" s="15">
        <v>1.0775</v>
      </c>
      <c r="G6040" s="11">
        <v>0.0045</v>
      </c>
      <c r="H6040" s="9">
        <f>MAX($F$5907:F6040)</f>
        <v>1.0775</v>
      </c>
      <c r="I6040" s="11">
        <f t="shared" si="151"/>
        <v>0</v>
      </c>
      <c r="J6040" s="9">
        <f>MAX($F$5953:F6040)</f>
        <v>1.0775</v>
      </c>
      <c r="K6040" s="11">
        <f t="shared" si="150"/>
        <v>0</v>
      </c>
      <c r="L6040" s="9"/>
      <c r="M6040" s="11"/>
      <c r="N6040" s="9" t="s">
        <v>806</v>
      </c>
    </row>
    <row r="6041" ht="25" customHeight="1" spans="1:14">
      <c r="A6041" s="9" t="s">
        <v>244</v>
      </c>
      <c r="B6041" s="9" t="s">
        <v>243</v>
      </c>
      <c r="C6041" s="10">
        <v>46162</v>
      </c>
      <c r="D6041" s="15">
        <v>1.0759</v>
      </c>
      <c r="E6041" s="15">
        <v>1.0759</v>
      </c>
      <c r="F6041" s="15">
        <v>1.0759</v>
      </c>
      <c r="G6041" s="11">
        <v>-0.0015</v>
      </c>
      <c r="H6041" s="9">
        <f>MAX($F$5907:F6041)</f>
        <v>1.0775</v>
      </c>
      <c r="I6041" s="11">
        <f t="shared" si="151"/>
        <v>0.00148491879350332</v>
      </c>
      <c r="J6041" s="9">
        <f>MAX($F$5953:F6041)</f>
        <v>1.0775</v>
      </c>
      <c r="K6041" s="11">
        <f t="shared" si="150"/>
        <v>0.00148491879350332</v>
      </c>
      <c r="L6041" s="9"/>
      <c r="M6041" s="11"/>
      <c r="N6041" s="9" t="s">
        <v>806</v>
      </c>
    </row>
    <row r="6042" ht="25" customHeight="1" spans="1:14">
      <c r="A6042" s="9" t="s">
        <v>244</v>
      </c>
      <c r="B6042" s="9" t="s">
        <v>243</v>
      </c>
      <c r="C6042" s="10">
        <v>46163</v>
      </c>
      <c r="D6042" s="15">
        <v>1.067</v>
      </c>
      <c r="E6042" s="15">
        <v>1.067</v>
      </c>
      <c r="F6042" s="15">
        <v>1.067</v>
      </c>
      <c r="G6042" s="11">
        <v>-0.0083</v>
      </c>
      <c r="H6042" s="9">
        <f>MAX($F$5907:F6042)</f>
        <v>1.0775</v>
      </c>
      <c r="I6042" s="11">
        <f t="shared" si="151"/>
        <v>0.00974477958236653</v>
      </c>
      <c r="J6042" s="9">
        <f>MAX($F$5953:F6042)</f>
        <v>1.0775</v>
      </c>
      <c r="K6042" s="11">
        <f t="shared" si="150"/>
        <v>0.00974477958236653</v>
      </c>
      <c r="L6042" s="9"/>
      <c r="M6042" s="11"/>
      <c r="N6042" s="9" t="s">
        <v>806</v>
      </c>
    </row>
    <row r="6043" ht="25" customHeight="1" spans="1:14">
      <c r="A6043" s="9" t="s">
        <v>244</v>
      </c>
      <c r="B6043" s="9" t="s">
        <v>243</v>
      </c>
      <c r="C6043" s="10">
        <v>46164</v>
      </c>
      <c r="D6043" s="15">
        <v>1.0726</v>
      </c>
      <c r="E6043" s="15">
        <v>1.0726</v>
      </c>
      <c r="F6043" s="15">
        <v>1.0726</v>
      </c>
      <c r="G6043" s="11">
        <v>0.0052</v>
      </c>
      <c r="H6043" s="9">
        <f>MAX($F$5907:F6043)</f>
        <v>1.0775</v>
      </c>
      <c r="I6043" s="11">
        <f t="shared" si="151"/>
        <v>0.00454756380510435</v>
      </c>
      <c r="J6043" s="9">
        <f>MAX($F$5953:F6043)</f>
        <v>1.0775</v>
      </c>
      <c r="K6043" s="11">
        <f t="shared" si="150"/>
        <v>0.00454756380510435</v>
      </c>
      <c r="L6043" s="9"/>
      <c r="M6043" s="11"/>
      <c r="N6043" s="9" t="s">
        <v>806</v>
      </c>
    </row>
    <row r="6044" ht="25" customHeight="1" spans="1:14">
      <c r="A6044" s="9" t="s">
        <v>244</v>
      </c>
      <c r="B6044" s="9" t="s">
        <v>243</v>
      </c>
      <c r="C6044" s="10">
        <v>46167</v>
      </c>
      <c r="D6044" s="15">
        <v>1.07</v>
      </c>
      <c r="E6044" s="15">
        <v>1.07</v>
      </c>
      <c r="F6044" s="15">
        <v>1.07</v>
      </c>
      <c r="G6044" s="11">
        <v>-0.0024</v>
      </c>
      <c r="H6044" s="9">
        <f>MAX($F$5907:F6044)</f>
        <v>1.0775</v>
      </c>
      <c r="I6044" s="11">
        <f t="shared" si="151"/>
        <v>0.00696055684454744</v>
      </c>
      <c r="J6044" s="9">
        <f>MAX($F$5953:F6044)</f>
        <v>1.0775</v>
      </c>
      <c r="K6044" s="11">
        <f t="shared" si="150"/>
        <v>0.00696055684454744</v>
      </c>
      <c r="L6044" s="9"/>
      <c r="M6044" s="11"/>
      <c r="N6044" s="9" t="s">
        <v>806</v>
      </c>
    </row>
    <row r="6045" ht="25" customHeight="1" spans="1:14">
      <c r="A6045" s="9" t="s">
        <v>244</v>
      </c>
      <c r="B6045" s="9" t="s">
        <v>243</v>
      </c>
      <c r="C6045" s="10">
        <v>46168</v>
      </c>
      <c r="D6045" s="15">
        <v>1.0587</v>
      </c>
      <c r="E6045" s="15">
        <v>1.0587</v>
      </c>
      <c r="F6045" s="15">
        <v>1.0587</v>
      </c>
      <c r="G6045" s="11">
        <v>-0.0106</v>
      </c>
      <c r="H6045" s="9">
        <f>MAX($F$5907:F6045)</f>
        <v>1.0775</v>
      </c>
      <c r="I6045" s="11">
        <f t="shared" si="151"/>
        <v>0.0174477958236658</v>
      </c>
      <c r="J6045" s="9">
        <f>MAX($F$5953:F6045)</f>
        <v>1.0775</v>
      </c>
      <c r="K6045" s="11">
        <f t="shared" si="150"/>
        <v>0.0174477958236658</v>
      </c>
      <c r="L6045" s="9"/>
      <c r="M6045" s="11"/>
      <c r="N6045" s="9" t="s">
        <v>806</v>
      </c>
    </row>
    <row r="6046" ht="25" customHeight="1" spans="1:14">
      <c r="A6046" s="9" t="s">
        <v>244</v>
      </c>
      <c r="B6046" s="9" t="s">
        <v>243</v>
      </c>
      <c r="C6046" s="10">
        <v>46169</v>
      </c>
      <c r="D6046" s="15">
        <v>1.0527</v>
      </c>
      <c r="E6046" s="15">
        <v>1.0527</v>
      </c>
      <c r="F6046" s="15">
        <v>1.0527</v>
      </c>
      <c r="G6046" s="11">
        <v>-0.0057</v>
      </c>
      <c r="H6046" s="9">
        <f>MAX($F$5907:F6046)</f>
        <v>1.0775</v>
      </c>
      <c r="I6046" s="11">
        <f t="shared" si="151"/>
        <v>0.0230162412993039</v>
      </c>
      <c r="J6046" s="9">
        <f>MAX($F$5953:F6046)</f>
        <v>1.0775</v>
      </c>
      <c r="K6046" s="11">
        <f t="shared" si="150"/>
        <v>0.0230162412993039</v>
      </c>
      <c r="L6046" s="9"/>
      <c r="M6046" s="11"/>
      <c r="N6046" s="9" t="s">
        <v>806</v>
      </c>
    </row>
    <row r="6047" ht="25" customHeight="1" spans="1:14">
      <c r="A6047" s="9" t="s">
        <v>244</v>
      </c>
      <c r="B6047" s="9" t="s">
        <v>243</v>
      </c>
      <c r="C6047" s="10">
        <v>46170</v>
      </c>
      <c r="D6047" s="15">
        <v>1.0605</v>
      </c>
      <c r="E6047" s="15">
        <v>1.0605</v>
      </c>
      <c r="F6047" s="15">
        <v>1.0605</v>
      </c>
      <c r="G6047" s="11">
        <v>0.0074</v>
      </c>
      <c r="H6047" s="9">
        <f>MAX($F$5907:F6047)</f>
        <v>1.0775</v>
      </c>
      <c r="I6047" s="11">
        <f t="shared" si="151"/>
        <v>0.0157772621809744</v>
      </c>
      <c r="J6047" s="9">
        <f>MAX($F$5953:F6047)</f>
        <v>1.0775</v>
      </c>
      <c r="K6047" s="11">
        <f t="shared" si="150"/>
        <v>0.0157772621809744</v>
      </c>
      <c r="L6047" s="9"/>
      <c r="M6047" s="11"/>
      <c r="N6047" s="9" t="s">
        <v>806</v>
      </c>
    </row>
    <row r="6048" ht="25" customHeight="1" spans="1:14">
      <c r="A6048" s="9" t="s">
        <v>244</v>
      </c>
      <c r="B6048" s="9" t="s">
        <v>243</v>
      </c>
      <c r="C6048" s="10">
        <v>46171</v>
      </c>
      <c r="D6048" s="15">
        <v>1.0458</v>
      </c>
      <c r="E6048" s="15">
        <v>1.0458</v>
      </c>
      <c r="F6048" s="15">
        <v>1.0458</v>
      </c>
      <c r="G6048" s="11">
        <v>-0.0139</v>
      </c>
      <c r="H6048" s="9">
        <f>MAX($F$5907:F6048)</f>
        <v>1.0775</v>
      </c>
      <c r="I6048" s="11">
        <f t="shared" si="151"/>
        <v>0.0294199535962876</v>
      </c>
      <c r="J6048" s="9">
        <f>MAX($F$5953:F6048)</f>
        <v>1.0775</v>
      </c>
      <c r="K6048" s="11">
        <f t="shared" si="150"/>
        <v>0.0294199535962876</v>
      </c>
      <c r="L6048" s="9"/>
      <c r="M6048" s="11"/>
      <c r="N6048" s="9" t="s">
        <v>806</v>
      </c>
    </row>
    <row r="6049" ht="25" customHeight="1" spans="1:14">
      <c r="A6049" s="9" t="s">
        <v>244</v>
      </c>
      <c r="B6049" s="9" t="s">
        <v>243</v>
      </c>
      <c r="C6049" s="10">
        <v>46174</v>
      </c>
      <c r="D6049" s="15">
        <v>1.0502</v>
      </c>
      <c r="E6049" s="15">
        <v>1.0502</v>
      </c>
      <c r="F6049" s="15">
        <v>1.0502</v>
      </c>
      <c r="G6049" s="11">
        <v>0.0042</v>
      </c>
      <c r="H6049" s="9">
        <f>MAX($F$5907:F6049)</f>
        <v>1.0775</v>
      </c>
      <c r="I6049" s="11">
        <f t="shared" si="151"/>
        <v>0.0253364269141531</v>
      </c>
      <c r="J6049" s="9">
        <f>MAX($F$5953:F6049)</f>
        <v>1.0775</v>
      </c>
      <c r="K6049" s="11">
        <f t="shared" si="150"/>
        <v>0.0253364269141531</v>
      </c>
      <c r="L6049" s="9"/>
      <c r="M6049" s="11"/>
      <c r="N6049" s="9" t="s">
        <v>806</v>
      </c>
    </row>
    <row r="6050" ht="25" customHeight="1" spans="1:14">
      <c r="A6050" s="9" t="s">
        <v>244</v>
      </c>
      <c r="B6050" s="9" t="s">
        <v>243</v>
      </c>
      <c r="C6050" s="10">
        <v>46175</v>
      </c>
      <c r="D6050" s="15">
        <v>1.0431</v>
      </c>
      <c r="E6050" s="15">
        <v>1.0431</v>
      </c>
      <c r="F6050" s="15">
        <v>1.0431</v>
      </c>
      <c r="G6050" s="11">
        <v>-0.0068</v>
      </c>
      <c r="H6050" s="9">
        <f>MAX($F$5907:F6050)</f>
        <v>1.0775</v>
      </c>
      <c r="I6050" s="11">
        <f t="shared" si="151"/>
        <v>0.0319257540603248</v>
      </c>
      <c r="J6050" s="9">
        <f>MAX($F$5953:F6050)</f>
        <v>1.0775</v>
      </c>
      <c r="K6050" s="11">
        <f t="shared" si="150"/>
        <v>0.0319257540603248</v>
      </c>
      <c r="L6050" s="9"/>
      <c r="M6050" s="11"/>
      <c r="N6050" s="9" t="s">
        <v>806</v>
      </c>
    </row>
    <row r="6051" ht="25" customHeight="1" spans="1:14">
      <c r="A6051" s="9" t="s">
        <v>244</v>
      </c>
      <c r="B6051" s="9" t="s">
        <v>243</v>
      </c>
      <c r="C6051" s="10">
        <v>46176</v>
      </c>
      <c r="D6051" s="15">
        <v>1.0415</v>
      </c>
      <c r="E6051" s="15">
        <v>1.0415</v>
      </c>
      <c r="F6051" s="15">
        <v>1.0415</v>
      </c>
      <c r="G6051" s="11">
        <v>-0.0015</v>
      </c>
      <c r="H6051" s="9">
        <f>MAX($F$5907:F6051)</f>
        <v>1.0775</v>
      </c>
      <c r="I6051" s="11">
        <f t="shared" si="151"/>
        <v>0.0334106728538281</v>
      </c>
      <c r="J6051" s="9">
        <f>MAX($F$5953:F6051)</f>
        <v>1.0775</v>
      </c>
      <c r="K6051" s="11">
        <f t="shared" si="150"/>
        <v>0.0334106728538281</v>
      </c>
      <c r="L6051" s="9"/>
      <c r="M6051" s="11"/>
      <c r="N6051" s="9" t="s">
        <v>806</v>
      </c>
    </row>
    <row r="6052" ht="25" customHeight="1" spans="1:14">
      <c r="A6052" s="9" t="s">
        <v>244</v>
      </c>
      <c r="B6052" s="9" t="s">
        <v>243</v>
      </c>
      <c r="C6052" s="10">
        <v>46177</v>
      </c>
      <c r="D6052" s="15">
        <v>1.0451</v>
      </c>
      <c r="E6052" s="15">
        <v>1.0451</v>
      </c>
      <c r="F6052" s="15">
        <v>1.0451</v>
      </c>
      <c r="G6052" s="11">
        <v>0.0035</v>
      </c>
      <c r="H6052" s="9">
        <f>MAX($F$5907:F6052)</f>
        <v>1.0775</v>
      </c>
      <c r="I6052" s="11">
        <f t="shared" si="151"/>
        <v>0.0300696055684455</v>
      </c>
      <c r="J6052" s="9">
        <f>MAX($F$5953:F6052)</f>
        <v>1.0775</v>
      </c>
      <c r="K6052" s="11">
        <f t="shared" si="150"/>
        <v>0.0300696055684455</v>
      </c>
      <c r="L6052" s="9"/>
      <c r="M6052" s="11"/>
      <c r="N6052" s="9" t="s">
        <v>806</v>
      </c>
    </row>
    <row r="6053" ht="25" customHeight="1" spans="1:14">
      <c r="A6053" s="9" t="s">
        <v>244</v>
      </c>
      <c r="B6053" s="9" t="s">
        <v>243</v>
      </c>
      <c r="C6053" s="10">
        <v>46178</v>
      </c>
      <c r="D6053" s="15">
        <v>1.0544</v>
      </c>
      <c r="E6053" s="15">
        <v>1.0544</v>
      </c>
      <c r="F6053" s="15">
        <v>1.0544</v>
      </c>
      <c r="G6053" s="11">
        <v>0.0089</v>
      </c>
      <c r="H6053" s="9">
        <f>MAX($F$5907:F6053)</f>
        <v>1.0775</v>
      </c>
      <c r="I6053" s="11">
        <f t="shared" si="151"/>
        <v>0.0214385150812064</v>
      </c>
      <c r="J6053" s="9">
        <f>MAX($F$5953:F6053)</f>
        <v>1.0775</v>
      </c>
      <c r="K6053" s="11">
        <f t="shared" si="150"/>
        <v>0.0214385150812064</v>
      </c>
      <c r="L6053" s="9"/>
      <c r="M6053" s="11"/>
      <c r="N6053" s="9" t="s">
        <v>806</v>
      </c>
    </row>
    <row r="6054" ht="25" customHeight="1" spans="1:14">
      <c r="A6054" s="9" t="s">
        <v>244</v>
      </c>
      <c r="B6054" s="9" t="s">
        <v>243</v>
      </c>
      <c r="C6054" s="10">
        <v>46181</v>
      </c>
      <c r="D6054" s="15">
        <v>1.0488</v>
      </c>
      <c r="E6054" s="15">
        <v>1.0488</v>
      </c>
      <c r="F6054" s="15">
        <v>1.0488</v>
      </c>
      <c r="G6054" s="11">
        <v>-0.0053</v>
      </c>
      <c r="H6054" s="9">
        <f>MAX($F$5907:F6054)</f>
        <v>1.0775</v>
      </c>
      <c r="I6054" s="11">
        <f t="shared" si="151"/>
        <v>0.0266357308584686</v>
      </c>
      <c r="J6054" s="9">
        <f>MAX($F$5953:F6054)</f>
        <v>1.0775</v>
      </c>
      <c r="K6054" s="11">
        <f t="shared" si="150"/>
        <v>0.0266357308584686</v>
      </c>
      <c r="L6054" s="9"/>
      <c r="M6054" s="11"/>
      <c r="N6054" s="9" t="s">
        <v>806</v>
      </c>
    </row>
    <row r="6055" ht="25" customHeight="1" spans="1:14">
      <c r="A6055" s="9" t="s">
        <v>244</v>
      </c>
      <c r="B6055" s="9" t="s">
        <v>243</v>
      </c>
      <c r="C6055" s="10">
        <v>46182</v>
      </c>
      <c r="D6055" s="15">
        <v>1.0562</v>
      </c>
      <c r="E6055" s="15">
        <v>1.0562</v>
      </c>
      <c r="F6055" s="15">
        <v>1.0562</v>
      </c>
      <c r="G6055" s="11">
        <v>0.0071</v>
      </c>
      <c r="H6055" s="9">
        <f>MAX($F$5907:F6055)</f>
        <v>1.0775</v>
      </c>
      <c r="I6055" s="11">
        <f t="shared" si="151"/>
        <v>0.019767981438515</v>
      </c>
      <c r="J6055" s="9">
        <f>MAX($F$5953:F6055)</f>
        <v>1.0775</v>
      </c>
      <c r="K6055" s="11">
        <f t="shared" si="150"/>
        <v>0.019767981438515</v>
      </c>
      <c r="L6055" s="9"/>
      <c r="M6055" s="11"/>
      <c r="N6055" s="9" t="s">
        <v>806</v>
      </c>
    </row>
    <row r="6056" ht="25" customHeight="1" spans="1:14">
      <c r="A6056" s="9" t="s">
        <v>244</v>
      </c>
      <c r="B6056" s="9" t="s">
        <v>243</v>
      </c>
      <c r="C6056" s="10">
        <v>46183</v>
      </c>
      <c r="D6056" s="15">
        <v>1.0514</v>
      </c>
      <c r="E6056" s="15">
        <v>1.0514</v>
      </c>
      <c r="F6056" s="15">
        <v>1.0514</v>
      </c>
      <c r="G6056" s="11">
        <v>-0.0045</v>
      </c>
      <c r="H6056" s="9">
        <f>MAX($F$5907:F6056)</f>
        <v>1.0775</v>
      </c>
      <c r="I6056" s="11">
        <f t="shared" si="151"/>
        <v>0.0242227378190255</v>
      </c>
      <c r="J6056" s="9">
        <f>MAX($F$5953:F6056)</f>
        <v>1.0775</v>
      </c>
      <c r="K6056" s="11">
        <f t="shared" si="150"/>
        <v>0.0242227378190255</v>
      </c>
      <c r="L6056" s="9"/>
      <c r="M6056" s="11"/>
      <c r="N6056" s="9" t="s">
        <v>806</v>
      </c>
    </row>
    <row r="6057" ht="25" customHeight="1" spans="1:14">
      <c r="A6057" s="9" t="s">
        <v>244</v>
      </c>
      <c r="B6057" s="9" t="s">
        <v>243</v>
      </c>
      <c r="C6057" s="10">
        <v>46184</v>
      </c>
      <c r="D6057" s="15">
        <v>1.0543</v>
      </c>
      <c r="E6057" s="15">
        <v>1.0543</v>
      </c>
      <c r="F6057" s="15">
        <v>1.0543</v>
      </c>
      <c r="G6057" s="11">
        <v>0.0028</v>
      </c>
      <c r="H6057" s="9">
        <f>MAX($F$5907:F6057)</f>
        <v>1.0775</v>
      </c>
      <c r="I6057" s="11">
        <f t="shared" si="151"/>
        <v>0.0215313225058004</v>
      </c>
      <c r="J6057" s="9">
        <f>MAX($F$5953:F6057)</f>
        <v>1.0775</v>
      </c>
      <c r="K6057" s="11">
        <f t="shared" si="150"/>
        <v>0.0215313225058004</v>
      </c>
      <c r="L6057" s="9"/>
      <c r="M6057" s="11"/>
      <c r="N6057" s="9" t="s">
        <v>806</v>
      </c>
    </row>
    <row r="6058" ht="25" customHeight="1" spans="1:14">
      <c r="A6058" s="9" t="s">
        <v>244</v>
      </c>
      <c r="B6058" s="9" t="s">
        <v>243</v>
      </c>
      <c r="C6058" s="10">
        <v>46185</v>
      </c>
      <c r="D6058" s="15">
        <v>1.0477</v>
      </c>
      <c r="E6058" s="15">
        <v>1.0477</v>
      </c>
      <c r="F6058" s="15">
        <v>1.0477</v>
      </c>
      <c r="G6058" s="11">
        <v>-0.0063</v>
      </c>
      <c r="H6058" s="9">
        <f>MAX($F$5907:F6058)</f>
        <v>1.0775</v>
      </c>
      <c r="I6058" s="11">
        <f t="shared" si="151"/>
        <v>0.0276566125290022</v>
      </c>
      <c r="J6058" s="9">
        <f>MAX($F$5953:F6058)</f>
        <v>1.0775</v>
      </c>
      <c r="K6058" s="11">
        <f t="shared" si="150"/>
        <v>0.0276566125290022</v>
      </c>
      <c r="L6058" s="9"/>
      <c r="M6058" s="11"/>
      <c r="N6058" s="9" t="s">
        <v>806</v>
      </c>
    </row>
    <row r="6059" ht="25" customHeight="1" spans="1:14">
      <c r="A6059" s="9" t="s">
        <v>244</v>
      </c>
      <c r="B6059" s="9" t="s">
        <v>243</v>
      </c>
      <c r="C6059" s="10">
        <v>46188</v>
      </c>
      <c r="D6059" s="15">
        <v>1.0592</v>
      </c>
      <c r="E6059" s="15">
        <v>1.0592</v>
      </c>
      <c r="F6059" s="15">
        <v>1.0592</v>
      </c>
      <c r="G6059" s="11">
        <v>0.011</v>
      </c>
      <c r="H6059" s="9">
        <f>MAX($F$5907:F6059)</f>
        <v>1.0775</v>
      </c>
      <c r="I6059" s="11">
        <f t="shared" si="151"/>
        <v>0.016983758700696</v>
      </c>
      <c r="J6059" s="9">
        <f>MAX($F$5953:F6059)</f>
        <v>1.0775</v>
      </c>
      <c r="K6059" s="11">
        <f t="shared" si="150"/>
        <v>0.016983758700696</v>
      </c>
      <c r="L6059" s="9"/>
      <c r="M6059" s="11"/>
      <c r="N6059" s="9" t="s">
        <v>806</v>
      </c>
    </row>
    <row r="6060" ht="25" customHeight="1" spans="1:14">
      <c r="A6060" s="9" t="s">
        <v>244</v>
      </c>
      <c r="B6060" s="9" t="s">
        <v>243</v>
      </c>
      <c r="C6060" s="10">
        <v>46189</v>
      </c>
      <c r="D6060" s="15">
        <v>1.0746</v>
      </c>
      <c r="E6060" s="15">
        <v>1.0746</v>
      </c>
      <c r="F6060" s="15">
        <v>1.0746</v>
      </c>
      <c r="G6060" s="11">
        <v>0.0145</v>
      </c>
      <c r="H6060" s="9">
        <f>MAX($F$5907:F6060)</f>
        <v>1.0775</v>
      </c>
      <c r="I6060" s="11">
        <f t="shared" si="151"/>
        <v>0.00269141531322492</v>
      </c>
      <c r="J6060" s="9">
        <f>MAX($F$5953:F6060)</f>
        <v>1.0775</v>
      </c>
      <c r="K6060" s="11">
        <f t="shared" si="150"/>
        <v>0.00269141531322492</v>
      </c>
      <c r="L6060" s="9"/>
      <c r="M6060" s="11"/>
      <c r="N6060" s="9" t="s">
        <v>806</v>
      </c>
    </row>
    <row r="6061" ht="25" customHeight="1" spans="1:14">
      <c r="A6061" s="9" t="s">
        <v>244</v>
      </c>
      <c r="B6061" s="9" t="s">
        <v>243</v>
      </c>
      <c r="C6061" s="10">
        <v>46190</v>
      </c>
      <c r="D6061" s="15">
        <v>1.0751</v>
      </c>
      <c r="E6061" s="15">
        <v>1.0751</v>
      </c>
      <c r="F6061" s="15">
        <v>1.0751</v>
      </c>
      <c r="G6061" s="11">
        <v>0.0005</v>
      </c>
      <c r="H6061" s="9">
        <f>MAX($F$5907:F6061)</f>
        <v>1.0775</v>
      </c>
      <c r="I6061" s="11">
        <f t="shared" si="151"/>
        <v>0.0022273781902552</v>
      </c>
      <c r="J6061" s="9">
        <f>MAX($F$5953:F6061)</f>
        <v>1.0775</v>
      </c>
      <c r="K6061" s="11">
        <f t="shared" si="150"/>
        <v>0.0022273781902552</v>
      </c>
      <c r="L6061" s="9"/>
      <c r="M6061" s="11"/>
      <c r="N6061" s="9" t="s">
        <v>806</v>
      </c>
    </row>
    <row r="6062" ht="25" customHeight="1" spans="1:14">
      <c r="A6062" s="9" t="s">
        <v>244</v>
      </c>
      <c r="B6062" s="9" t="s">
        <v>243</v>
      </c>
      <c r="C6062" s="10">
        <v>46191</v>
      </c>
      <c r="D6062" s="15">
        <v>1.0753</v>
      </c>
      <c r="E6062" s="15">
        <v>1.0753</v>
      </c>
      <c r="F6062" s="15">
        <v>1.0753</v>
      </c>
      <c r="G6062" s="11">
        <v>0.0002</v>
      </c>
      <c r="H6062" s="9">
        <f>MAX($F$5907:F6062)</f>
        <v>1.0775</v>
      </c>
      <c r="I6062" s="11">
        <f t="shared" si="151"/>
        <v>0.00204176334106732</v>
      </c>
      <c r="J6062" s="9">
        <f>MAX($F$5953:F6062)</f>
        <v>1.0775</v>
      </c>
      <c r="K6062" s="11">
        <f t="shared" si="150"/>
        <v>0.00204176334106732</v>
      </c>
      <c r="L6062" s="9"/>
      <c r="M6062" s="11"/>
      <c r="N6062" s="9" t="s">
        <v>806</v>
      </c>
    </row>
    <row r="6063" ht="25" customHeight="1" spans="1:14">
      <c r="A6063" s="9" t="s">
        <v>244</v>
      </c>
      <c r="B6063" s="9" t="s">
        <v>243</v>
      </c>
      <c r="C6063" s="10">
        <v>46199</v>
      </c>
      <c r="D6063" s="15">
        <v>1.0791</v>
      </c>
      <c r="E6063" s="15">
        <v>1.0791</v>
      </c>
      <c r="F6063" s="15">
        <v>1.0791</v>
      </c>
      <c r="G6063" s="11">
        <v>0.0035</v>
      </c>
      <c r="H6063" s="9">
        <f>MAX($F$5907:F6063)</f>
        <v>1.0791</v>
      </c>
      <c r="I6063" s="11">
        <f t="shared" si="151"/>
        <v>0</v>
      </c>
      <c r="J6063" s="9">
        <f>MAX($F$5953:F6063)</f>
        <v>1.0791</v>
      </c>
      <c r="K6063" s="11">
        <f t="shared" si="150"/>
        <v>0</v>
      </c>
      <c r="L6063" s="9"/>
      <c r="M6063" s="11"/>
      <c r="N6063" s="9" t="s">
        <v>806</v>
      </c>
    </row>
    <row r="6064" ht="25" customHeight="1" spans="1:14">
      <c r="A6064" s="9" t="s">
        <v>244</v>
      </c>
      <c r="B6064" s="9" t="s">
        <v>243</v>
      </c>
      <c r="C6064" s="10">
        <v>46203</v>
      </c>
      <c r="D6064" s="15">
        <v>1.0778</v>
      </c>
      <c r="E6064" s="15">
        <v>1.0778</v>
      </c>
      <c r="F6064" s="15">
        <v>1.0778</v>
      </c>
      <c r="G6064" s="11">
        <v>-0.0012</v>
      </c>
      <c r="H6064" s="9">
        <f>MAX($F$5907:F6064)</f>
        <v>1.0791</v>
      </c>
      <c r="I6064" s="11">
        <f t="shared" si="151"/>
        <v>0.00120470762672586</v>
      </c>
      <c r="J6064" s="9">
        <f>MAX($F$5953:F6064)</f>
        <v>1.0791</v>
      </c>
      <c r="K6064" s="11">
        <f t="shared" si="150"/>
        <v>0.00120470762672586</v>
      </c>
      <c r="L6064" s="9"/>
      <c r="M6064" s="11"/>
      <c r="N6064" s="9" t="s">
        <v>806</v>
      </c>
    </row>
    <row r="6065" ht="25" customHeight="1" spans="1:14">
      <c r="A6065" s="9" t="s">
        <v>244</v>
      </c>
      <c r="B6065" s="9" t="s">
        <v>243</v>
      </c>
      <c r="C6065" s="10">
        <v>46206</v>
      </c>
      <c r="D6065" s="15">
        <v>1.0847</v>
      </c>
      <c r="E6065" s="15">
        <v>1.0847</v>
      </c>
      <c r="F6065" s="15">
        <v>1.0847</v>
      </c>
      <c r="G6065" s="11">
        <v>0.0064</v>
      </c>
      <c r="H6065" s="9">
        <f>MAX($F$5907:F6065)</f>
        <v>1.0847</v>
      </c>
      <c r="I6065" s="11">
        <f t="shared" si="151"/>
        <v>0</v>
      </c>
      <c r="J6065" s="9">
        <f>MAX($F$5953:F6065)</f>
        <v>1.0847</v>
      </c>
      <c r="K6065" s="11">
        <f t="shared" si="150"/>
        <v>0</v>
      </c>
      <c r="L6065" s="9"/>
      <c r="M6065" s="11"/>
      <c r="N6065" s="9" t="s">
        <v>806</v>
      </c>
    </row>
    <row r="6066" ht="25" customHeight="1" spans="1:14">
      <c r="A6066" s="9" t="s">
        <v>244</v>
      </c>
      <c r="B6066" s="9" t="s">
        <v>243</v>
      </c>
      <c r="C6066" s="10">
        <v>46211</v>
      </c>
      <c r="D6066" s="15">
        <v>1.0546</v>
      </c>
      <c r="E6066" s="15">
        <v>1.0546</v>
      </c>
      <c r="F6066" s="15">
        <v>1.0546</v>
      </c>
      <c r="G6066" s="11">
        <v>-0.0277</v>
      </c>
      <c r="H6066" s="9">
        <f>MAX($F$5907:F6066)</f>
        <v>1.0847</v>
      </c>
      <c r="I6066" s="11">
        <f t="shared" si="151"/>
        <v>0.0277496081865953</v>
      </c>
      <c r="J6066" s="9">
        <f>MAX($F$5953:F6066)</f>
        <v>1.0847</v>
      </c>
      <c r="K6066" s="11">
        <f t="shared" si="150"/>
        <v>0.0277496081865953</v>
      </c>
      <c r="L6066" s="9"/>
      <c r="M6066" s="11"/>
      <c r="N6066" s="9" t="s">
        <v>806</v>
      </c>
    </row>
    <row r="6067" ht="25" customHeight="1" spans="1:14">
      <c r="A6067" s="9" t="s">
        <v>244</v>
      </c>
      <c r="B6067" s="9" t="s">
        <v>243</v>
      </c>
      <c r="C6067" s="10">
        <v>46212</v>
      </c>
      <c r="D6067" s="15">
        <v>1.0495</v>
      </c>
      <c r="E6067" s="15">
        <v>1.0495</v>
      </c>
      <c r="F6067" s="15">
        <v>1.0495</v>
      </c>
      <c r="G6067" s="11">
        <v>-0.0048</v>
      </c>
      <c r="H6067" s="9">
        <f>MAX($F$5907:F6067)</f>
        <v>1.0847</v>
      </c>
      <c r="I6067" s="11">
        <f t="shared" si="151"/>
        <v>0.0324513690421314</v>
      </c>
      <c r="J6067" s="9">
        <f>MAX($F$5953:F6067)</f>
        <v>1.0847</v>
      </c>
      <c r="K6067" s="11">
        <f t="shared" si="150"/>
        <v>0.0324513690421314</v>
      </c>
      <c r="L6067" s="9"/>
      <c r="M6067" s="11"/>
      <c r="N6067" s="9" t="s">
        <v>806</v>
      </c>
    </row>
    <row r="6068" ht="25" customHeight="1" spans="1:14">
      <c r="A6068" s="9" t="s">
        <v>244</v>
      </c>
      <c r="B6068" s="9" t="s">
        <v>243</v>
      </c>
      <c r="C6068" s="10">
        <v>46213</v>
      </c>
      <c r="D6068" s="15">
        <v>1.0581</v>
      </c>
      <c r="E6068" s="15">
        <v>1.0581</v>
      </c>
      <c r="F6068" s="15">
        <v>1.0581</v>
      </c>
      <c r="G6068" s="11">
        <v>0.0082</v>
      </c>
      <c r="H6068" s="9">
        <f>MAX($F$5907:F6068)</f>
        <v>1.0847</v>
      </c>
      <c r="I6068" s="11">
        <f t="shared" si="151"/>
        <v>0.0245229095602471</v>
      </c>
      <c r="J6068" s="9">
        <f>MAX($F$5953:F6068)</f>
        <v>1.0847</v>
      </c>
      <c r="K6068" s="11">
        <f t="shared" si="150"/>
        <v>0.0245229095602471</v>
      </c>
      <c r="L6068" s="9"/>
      <c r="M6068" s="11"/>
      <c r="N6068" s="9" t="s">
        <v>806</v>
      </c>
    </row>
    <row r="6069" ht="25" customHeight="1" spans="1:14">
      <c r="A6069" s="9" t="s">
        <v>244</v>
      </c>
      <c r="B6069" s="9" t="s">
        <v>243</v>
      </c>
      <c r="C6069" s="10">
        <v>46216</v>
      </c>
      <c r="D6069" s="15">
        <v>1.0352</v>
      </c>
      <c r="E6069" s="15">
        <v>1.0352</v>
      </c>
      <c r="F6069" s="15">
        <v>1.0352</v>
      </c>
      <c r="G6069" s="11">
        <v>-0.0216</v>
      </c>
      <c r="H6069" s="9">
        <f>MAX($F$5907:F6069)</f>
        <v>1.0847</v>
      </c>
      <c r="I6069" s="11">
        <f t="shared" si="151"/>
        <v>0.0456347377154974</v>
      </c>
      <c r="J6069" s="9">
        <f>MAX($F$5953:F6069)</f>
        <v>1.0847</v>
      </c>
      <c r="K6069" s="11">
        <f t="shared" si="150"/>
        <v>0.0456347377154974</v>
      </c>
      <c r="L6069" s="9"/>
      <c r="M6069" s="11"/>
      <c r="N6069" s="9" t="s">
        <v>806</v>
      </c>
    </row>
    <row r="6070" ht="25" customHeight="1" spans="1:14">
      <c r="A6070" s="9" t="s">
        <v>244</v>
      </c>
      <c r="B6070" s="9" t="s">
        <v>243</v>
      </c>
      <c r="C6070" s="10">
        <v>46217</v>
      </c>
      <c r="D6070" s="15">
        <v>1.0319</v>
      </c>
      <c r="E6070" s="15">
        <v>1.0319</v>
      </c>
      <c r="F6070" s="15">
        <v>1.0319</v>
      </c>
      <c r="G6070" s="11">
        <v>-0.0032</v>
      </c>
      <c r="H6070" s="9">
        <f>MAX($F$5907:F6070)</f>
        <v>1.0847</v>
      </c>
      <c r="I6070" s="11">
        <f t="shared" si="151"/>
        <v>0.0486770535631972</v>
      </c>
      <c r="J6070" s="9">
        <f>MAX($F$5953:F6070)</f>
        <v>1.0847</v>
      </c>
      <c r="K6070" s="11">
        <f t="shared" si="150"/>
        <v>0.0486770535631972</v>
      </c>
      <c r="L6070" s="9"/>
      <c r="M6070" s="11"/>
      <c r="N6070" s="9" t="s">
        <v>806</v>
      </c>
    </row>
    <row r="6071" ht="25" customHeight="1" spans="1:14">
      <c r="A6071" s="9" t="s">
        <v>244</v>
      </c>
      <c r="B6071" s="9" t="s">
        <v>243</v>
      </c>
      <c r="C6071" s="10">
        <v>46218</v>
      </c>
      <c r="D6071" s="15">
        <v>1.0226</v>
      </c>
      <c r="E6071" s="15">
        <v>1.0226</v>
      </c>
      <c r="F6071" s="15">
        <v>1.0226</v>
      </c>
      <c r="G6071" s="11">
        <v>-0.009</v>
      </c>
      <c r="H6071" s="9">
        <f>MAX($F$5907:F6071)</f>
        <v>1.0847</v>
      </c>
      <c r="I6071" s="11">
        <f t="shared" si="151"/>
        <v>0.0572508527703512</v>
      </c>
      <c r="J6071" s="9">
        <f>MAX($F$5953:F6071)</f>
        <v>1.0847</v>
      </c>
      <c r="K6071" s="11">
        <f t="shared" si="150"/>
        <v>0.0572508527703512</v>
      </c>
      <c r="L6071" s="9"/>
      <c r="M6071" s="11"/>
      <c r="N6071" s="9" t="s">
        <v>806</v>
      </c>
    </row>
    <row r="6072" ht="25" customHeight="1" spans="1:14">
      <c r="A6072" s="9" t="s">
        <v>244</v>
      </c>
      <c r="B6072" s="9" t="s">
        <v>243</v>
      </c>
      <c r="C6072" s="10">
        <v>46219</v>
      </c>
      <c r="D6072" s="15">
        <v>1.0201</v>
      </c>
      <c r="E6072" s="15">
        <v>1.0201</v>
      </c>
      <c r="F6072" s="15">
        <v>1.0201</v>
      </c>
      <c r="G6072" s="11">
        <v>-0.0024</v>
      </c>
      <c r="H6072" s="9">
        <f>MAX($F$5907:F6072)</f>
        <v>1.0847</v>
      </c>
      <c r="I6072" s="11">
        <f t="shared" si="151"/>
        <v>0.0595556375034572</v>
      </c>
      <c r="J6072" s="9">
        <f>MAX($F$5953:F6072)</f>
        <v>1.0847</v>
      </c>
      <c r="K6072" s="11">
        <f t="shared" si="150"/>
        <v>0.0595556375034572</v>
      </c>
      <c r="L6072" s="9"/>
      <c r="M6072" s="11"/>
      <c r="N6072" s="9" t="s">
        <v>806</v>
      </c>
    </row>
    <row r="6073" ht="25" customHeight="1" spans="1:14">
      <c r="A6073" s="9" t="s">
        <v>244</v>
      </c>
      <c r="B6073" s="9" t="s">
        <v>243</v>
      </c>
      <c r="C6073" s="10">
        <v>46220</v>
      </c>
      <c r="D6073" s="15">
        <v>0.9975</v>
      </c>
      <c r="E6073" s="15">
        <v>0.9975</v>
      </c>
      <c r="F6073" s="15">
        <v>0.9975</v>
      </c>
      <c r="G6073" s="11">
        <v>-0.0222</v>
      </c>
      <c r="H6073" s="9">
        <f>MAX($F$5907:F6073)</f>
        <v>1.0847</v>
      </c>
      <c r="I6073" s="11">
        <f t="shared" si="151"/>
        <v>0.0803908914907348</v>
      </c>
      <c r="J6073" s="9">
        <f>MAX($F$5953:F6073)</f>
        <v>1.0847</v>
      </c>
      <c r="K6073" s="11">
        <f t="shared" si="150"/>
        <v>0.0803908914907348</v>
      </c>
      <c r="L6073" s="9"/>
      <c r="M6073" s="11"/>
      <c r="N6073" s="9" t="s">
        <v>806</v>
      </c>
    </row>
    <row r="6074" ht="25" customHeight="1" spans="1:14">
      <c r="A6074" s="9" t="s">
        <v>244</v>
      </c>
      <c r="B6074" s="9" t="s">
        <v>243</v>
      </c>
      <c r="C6074" s="10">
        <v>46223</v>
      </c>
      <c r="D6074" s="15">
        <v>0.954</v>
      </c>
      <c r="E6074" s="15">
        <v>0.954</v>
      </c>
      <c r="F6074" s="15">
        <v>0.954</v>
      </c>
      <c r="G6074" s="11">
        <v>-0.0436</v>
      </c>
      <c r="H6074" s="9">
        <f>MAX($F$5907:F6074)</f>
        <v>1.0847</v>
      </c>
      <c r="I6074" s="11">
        <f t="shared" si="151"/>
        <v>0.120494145846778</v>
      </c>
      <c r="J6074" s="9">
        <f>MAX($F$5953:F6074)</f>
        <v>1.0847</v>
      </c>
      <c r="K6074" s="11">
        <f t="shared" si="150"/>
        <v>0.120494145846778</v>
      </c>
      <c r="L6074" s="9"/>
      <c r="M6074" s="11"/>
      <c r="N6074" s="9" t="s">
        <v>806</v>
      </c>
    </row>
    <row r="6075" ht="25" customHeight="1" spans="1:14">
      <c r="A6075" s="9" t="s">
        <v>244</v>
      </c>
      <c r="B6075" s="9" t="s">
        <v>243</v>
      </c>
      <c r="C6075" s="10">
        <v>46224</v>
      </c>
      <c r="D6075" s="15">
        <v>0.9675</v>
      </c>
      <c r="E6075" s="15">
        <v>0.9675</v>
      </c>
      <c r="F6075" s="15">
        <v>0.9675</v>
      </c>
      <c r="G6075" s="11">
        <v>0.0142</v>
      </c>
      <c r="H6075" s="9">
        <f>MAX($F$5907:F6075)</f>
        <v>1.0847</v>
      </c>
      <c r="I6075" s="11">
        <f t="shared" si="151"/>
        <v>0.108048308288006</v>
      </c>
      <c r="J6075" s="9">
        <f>MAX($F$5953:F6075)</f>
        <v>1.0847</v>
      </c>
      <c r="K6075" s="11">
        <f t="shared" si="150"/>
        <v>0.108048308288006</v>
      </c>
      <c r="L6075" s="9"/>
      <c r="M6075" s="11"/>
      <c r="N6075" s="9" t="s">
        <v>806</v>
      </c>
    </row>
    <row r="6076" ht="25" customHeight="1" spans="1:14">
      <c r="A6076" s="9" t="s">
        <v>244</v>
      </c>
      <c r="B6076" s="9" t="s">
        <v>243</v>
      </c>
      <c r="C6076" s="10">
        <v>46225</v>
      </c>
      <c r="D6076" s="15">
        <v>0.9568</v>
      </c>
      <c r="E6076" s="15">
        <v>0.9568</v>
      </c>
      <c r="F6076" s="15">
        <v>0.9568</v>
      </c>
      <c r="G6076" s="11">
        <v>-0.0111</v>
      </c>
      <c r="H6076" s="9">
        <f>MAX($F$5907:F6076)</f>
        <v>1.0847</v>
      </c>
      <c r="I6076" s="11">
        <f t="shared" si="151"/>
        <v>0.117912786945699</v>
      </c>
      <c r="J6076" s="9">
        <f>MAX($F$5953:F6076)</f>
        <v>1.0847</v>
      </c>
      <c r="K6076" s="11">
        <f t="shared" si="150"/>
        <v>0.117912786945699</v>
      </c>
      <c r="L6076" s="9"/>
      <c r="M6076" s="11"/>
      <c r="N6076" s="9" t="s">
        <v>806</v>
      </c>
    </row>
    <row r="6077" ht="25" customHeight="1" spans="1:14">
      <c r="A6077" s="9" t="s">
        <v>244</v>
      </c>
      <c r="B6077" s="9" t="s">
        <v>243</v>
      </c>
      <c r="C6077" s="10">
        <v>46226</v>
      </c>
      <c r="D6077" s="15">
        <v>0.9605</v>
      </c>
      <c r="E6077" s="15">
        <v>0.9605</v>
      </c>
      <c r="F6077" s="15">
        <v>0.9605</v>
      </c>
      <c r="G6077" s="11">
        <v>0.0039</v>
      </c>
      <c r="H6077" s="9">
        <f>MAX($F$5907:F6077)</f>
        <v>1.0847</v>
      </c>
      <c r="I6077" s="11">
        <f t="shared" si="151"/>
        <v>0.114501705540702</v>
      </c>
      <c r="J6077" s="9">
        <f>MAX($F$5953:F6077)</f>
        <v>1.0847</v>
      </c>
      <c r="K6077" s="11">
        <f t="shared" si="150"/>
        <v>0.114501705540702</v>
      </c>
      <c r="L6077" s="9"/>
      <c r="M6077" s="11"/>
      <c r="N6077" s="9" t="s">
        <v>806</v>
      </c>
    </row>
    <row r="6078" ht="25" customHeight="1" spans="1:14">
      <c r="A6078" s="9" t="s">
        <v>244</v>
      </c>
      <c r="B6078" s="9" t="s">
        <v>243</v>
      </c>
      <c r="C6078" s="10">
        <v>46227</v>
      </c>
      <c r="D6078" s="15">
        <v>0.9523</v>
      </c>
      <c r="E6078" s="15">
        <v>0.9523</v>
      </c>
      <c r="F6078" s="15">
        <v>0.9523</v>
      </c>
      <c r="G6078" s="11">
        <v>-0.0085</v>
      </c>
      <c r="H6078" s="9">
        <f>MAX($F$5907:F6078)</f>
        <v>1.0847</v>
      </c>
      <c r="I6078" s="11">
        <f t="shared" si="151"/>
        <v>0.12206139946529</v>
      </c>
      <c r="J6078" s="9">
        <f>MAX($F$5953:F6078)</f>
        <v>1.0847</v>
      </c>
      <c r="K6078" s="11">
        <f t="shared" si="150"/>
        <v>0.12206139946529</v>
      </c>
      <c r="L6078" s="9"/>
      <c r="M6078" s="11"/>
      <c r="N6078" s="9" t="s">
        <v>806</v>
      </c>
    </row>
    <row r="6079" ht="25" customHeight="1" spans="1:14">
      <c r="A6079" s="9" t="s">
        <v>244</v>
      </c>
      <c r="B6079" s="9" t="s">
        <v>243</v>
      </c>
      <c r="C6079" s="10">
        <v>46230</v>
      </c>
      <c r="D6079" s="15">
        <v>0.9698</v>
      </c>
      <c r="E6079" s="15">
        <v>0.9698</v>
      </c>
      <c r="F6079" s="15">
        <v>0.9698</v>
      </c>
      <c r="G6079" s="11">
        <v>0.0184</v>
      </c>
      <c r="H6079" s="9">
        <f>MAX($F$5907:F6079)</f>
        <v>1.0847</v>
      </c>
      <c r="I6079" s="11">
        <f t="shared" si="151"/>
        <v>0.105927906333548</v>
      </c>
      <c r="J6079" s="9">
        <f>MAX($F$5953:F6079)</f>
        <v>1.0847</v>
      </c>
      <c r="K6079" s="11">
        <f t="shared" si="150"/>
        <v>0.105927906333548</v>
      </c>
      <c r="L6079" s="9"/>
      <c r="M6079" s="11"/>
      <c r="N6079" s="9" t="s">
        <v>806</v>
      </c>
    </row>
    <row r="6080" ht="25" customHeight="1" spans="1:14">
      <c r="A6080" s="9" t="s">
        <v>244</v>
      </c>
      <c r="B6080" s="9" t="s">
        <v>243</v>
      </c>
      <c r="C6080" s="10">
        <v>46231</v>
      </c>
      <c r="D6080" s="15">
        <v>0.9716</v>
      </c>
      <c r="E6080" s="15">
        <v>0.9716</v>
      </c>
      <c r="F6080" s="15">
        <v>0.9716</v>
      </c>
      <c r="G6080" s="11">
        <v>0.0019</v>
      </c>
      <c r="H6080" s="9">
        <f>MAX($F$5907:F6080)</f>
        <v>1.0847</v>
      </c>
      <c r="I6080" s="11">
        <f t="shared" si="151"/>
        <v>0.104268461325712</v>
      </c>
      <c r="J6080" s="9">
        <f>MAX($F$5953:F6080)</f>
        <v>1.0847</v>
      </c>
      <c r="K6080" s="11">
        <f t="shared" si="150"/>
        <v>0.104268461325712</v>
      </c>
      <c r="L6080" s="9"/>
      <c r="M6080" s="11"/>
      <c r="N6080" s="9" t="s">
        <v>806</v>
      </c>
    </row>
    <row r="6081" ht="25" customHeight="1" spans="1:14">
      <c r="A6081" s="9" t="s">
        <v>244</v>
      </c>
      <c r="B6081" s="9" t="s">
        <v>243</v>
      </c>
      <c r="C6081" s="10">
        <v>46232</v>
      </c>
      <c r="D6081" s="15">
        <v>0.977</v>
      </c>
      <c r="E6081" s="15">
        <v>0.977</v>
      </c>
      <c r="F6081" s="15">
        <v>0.977</v>
      </c>
      <c r="G6081" s="11">
        <v>0.0056</v>
      </c>
      <c r="H6081" s="9">
        <f>MAX($F$5907:F6081)</f>
        <v>1.0847</v>
      </c>
      <c r="I6081" s="11">
        <f t="shared" si="151"/>
        <v>0.0992901263022034</v>
      </c>
      <c r="J6081" s="9">
        <f>MAX($F$5953:F6081)</f>
        <v>1.0847</v>
      </c>
      <c r="K6081" s="11">
        <f t="shared" ref="K6081:K6108" si="152">1-F6081/J6081</f>
        <v>0.0992901263022034</v>
      </c>
      <c r="L6081" s="9"/>
      <c r="M6081" s="11"/>
      <c r="N6081" s="9" t="s">
        <v>806</v>
      </c>
    </row>
    <row r="6082" ht="25" customHeight="1" spans="1:14">
      <c r="A6082" s="9" t="s">
        <v>244</v>
      </c>
      <c r="B6082" s="9" t="s">
        <v>243</v>
      </c>
      <c r="C6082" s="10">
        <v>46233</v>
      </c>
      <c r="D6082" s="15">
        <v>0.9654</v>
      </c>
      <c r="E6082" s="15">
        <v>0.9654</v>
      </c>
      <c r="F6082" s="15">
        <v>0.9654</v>
      </c>
      <c r="G6082" s="11">
        <v>-0.0119</v>
      </c>
      <c r="H6082" s="9">
        <f>MAX($F$5907:F6082)</f>
        <v>1.0847</v>
      </c>
      <c r="I6082" s="11">
        <f t="shared" ref="I6082:I6145" si="153">1-F6082/H6082</f>
        <v>0.109984327463815</v>
      </c>
      <c r="J6082" s="9">
        <f>MAX($F$5953:F6082)</f>
        <v>1.0847</v>
      </c>
      <c r="K6082" s="11">
        <f t="shared" si="152"/>
        <v>0.109984327463815</v>
      </c>
      <c r="L6082" s="9"/>
      <c r="M6082" s="11"/>
      <c r="N6082" s="9" t="s">
        <v>806</v>
      </c>
    </row>
    <row r="6083" ht="25" customHeight="1" spans="1:14">
      <c r="A6083" s="9" t="s">
        <v>244</v>
      </c>
      <c r="B6083" s="9" t="s">
        <v>243</v>
      </c>
      <c r="C6083" s="10">
        <v>46234</v>
      </c>
      <c r="D6083" s="15">
        <v>0.9786</v>
      </c>
      <c r="E6083" s="15">
        <v>0.9786</v>
      </c>
      <c r="F6083" s="15">
        <v>0.9786</v>
      </c>
      <c r="G6083" s="11">
        <v>0.0137</v>
      </c>
      <c r="H6083" s="9">
        <f>MAX($F$5907:F6083)</f>
        <v>1.0847</v>
      </c>
      <c r="I6083" s="11">
        <f t="shared" si="153"/>
        <v>0.0978150640730155</v>
      </c>
      <c r="J6083" s="9">
        <f>MAX($F$5953:F6083)</f>
        <v>1.0847</v>
      </c>
      <c r="K6083" s="11">
        <f t="shared" si="152"/>
        <v>0.0978150640730155</v>
      </c>
      <c r="L6083" s="9"/>
      <c r="M6083" s="11"/>
      <c r="N6083" s="9" t="s">
        <v>806</v>
      </c>
    </row>
    <row r="6084" ht="25" customHeight="1" spans="1:14">
      <c r="A6084" s="9" t="s">
        <v>244</v>
      </c>
      <c r="B6084" s="9" t="s">
        <v>243</v>
      </c>
      <c r="C6084" s="10">
        <v>46237</v>
      </c>
      <c r="D6084" s="15">
        <v>0.9852</v>
      </c>
      <c r="E6084" s="15">
        <v>0.9852</v>
      </c>
      <c r="F6084" s="15">
        <v>0.9852</v>
      </c>
      <c r="G6084" s="11">
        <v>0.0067</v>
      </c>
      <c r="H6084" s="9">
        <f>MAX($F$5907:F6084)</f>
        <v>1.0847</v>
      </c>
      <c r="I6084" s="11">
        <f t="shared" si="153"/>
        <v>0.0917304323776159</v>
      </c>
      <c r="J6084" s="9">
        <f>MAX($F$5953:F6084)</f>
        <v>1.0847</v>
      </c>
      <c r="K6084" s="11">
        <f t="shared" si="152"/>
        <v>0.0917304323776159</v>
      </c>
      <c r="L6084" s="9"/>
      <c r="M6084" s="11"/>
      <c r="N6084" s="9" t="s">
        <v>806</v>
      </c>
    </row>
    <row r="6085" ht="25" customHeight="1" spans="1:14">
      <c r="A6085" s="9" t="s">
        <v>244</v>
      </c>
      <c r="B6085" s="9" t="s">
        <v>243</v>
      </c>
      <c r="C6085" s="10">
        <v>46238</v>
      </c>
      <c r="D6085" s="15">
        <v>0.9995</v>
      </c>
      <c r="E6085" s="15">
        <v>0.9995</v>
      </c>
      <c r="F6085" s="15">
        <v>0.9995</v>
      </c>
      <c r="G6085" s="11">
        <v>0.0145</v>
      </c>
      <c r="H6085" s="9">
        <f>MAX($F$5907:F6085)</f>
        <v>1.0847</v>
      </c>
      <c r="I6085" s="11">
        <f t="shared" si="153"/>
        <v>0.07854706370425</v>
      </c>
      <c r="J6085" s="9">
        <f>MAX($F$5953:F6085)</f>
        <v>1.0847</v>
      </c>
      <c r="K6085" s="11">
        <f t="shared" si="152"/>
        <v>0.07854706370425</v>
      </c>
      <c r="L6085" s="9"/>
      <c r="M6085" s="11"/>
      <c r="N6085" s="9" t="s">
        <v>806</v>
      </c>
    </row>
    <row r="6086" ht="25" customHeight="1" spans="1:14">
      <c r="A6086" s="9" t="s">
        <v>244</v>
      </c>
      <c r="B6086" s="9" t="s">
        <v>243</v>
      </c>
      <c r="C6086" s="10">
        <v>46239</v>
      </c>
      <c r="D6086" s="15">
        <v>1.0112</v>
      </c>
      <c r="E6086" s="15">
        <v>1.0112</v>
      </c>
      <c r="F6086" s="15">
        <v>1.0112</v>
      </c>
      <c r="G6086" s="11">
        <v>0.0117</v>
      </c>
      <c r="H6086" s="9">
        <f>MAX($F$5907:F6086)</f>
        <v>1.0847</v>
      </c>
      <c r="I6086" s="11">
        <f t="shared" si="153"/>
        <v>0.0677606711533142</v>
      </c>
      <c r="J6086" s="9">
        <f>MAX($F$5953:F6086)</f>
        <v>1.0847</v>
      </c>
      <c r="K6086" s="11">
        <f t="shared" si="152"/>
        <v>0.0677606711533142</v>
      </c>
      <c r="L6086" s="9"/>
      <c r="M6086" s="11"/>
      <c r="N6086" s="9" t="s">
        <v>806</v>
      </c>
    </row>
    <row r="6087" ht="25" customHeight="1" spans="1:14">
      <c r="A6087" s="9" t="s">
        <v>244</v>
      </c>
      <c r="B6087" s="9" t="s">
        <v>243</v>
      </c>
      <c r="C6087" s="10">
        <v>46240</v>
      </c>
      <c r="D6087" s="15">
        <v>1.0157</v>
      </c>
      <c r="E6087" s="15">
        <v>1.0157</v>
      </c>
      <c r="F6087" s="15">
        <v>1.0157</v>
      </c>
      <c r="G6087" s="11">
        <v>0.0045</v>
      </c>
      <c r="H6087" s="9">
        <f>MAX($F$5907:F6087)</f>
        <v>1.0847</v>
      </c>
      <c r="I6087" s="11">
        <f t="shared" si="153"/>
        <v>0.0636120586337235</v>
      </c>
      <c r="J6087" s="9">
        <f>MAX($F$5953:F6087)</f>
        <v>1.0847</v>
      </c>
      <c r="K6087" s="11">
        <f t="shared" si="152"/>
        <v>0.0636120586337235</v>
      </c>
      <c r="L6087" s="9"/>
      <c r="M6087" s="11"/>
      <c r="N6087" s="9" t="s">
        <v>806</v>
      </c>
    </row>
    <row r="6088" ht="25" customHeight="1" spans="1:14">
      <c r="A6088" s="9" t="s">
        <v>244</v>
      </c>
      <c r="B6088" s="9" t="s">
        <v>243</v>
      </c>
      <c r="C6088" s="10">
        <v>46241</v>
      </c>
      <c r="D6088" s="15">
        <v>1.0245</v>
      </c>
      <c r="E6088" s="15">
        <v>1.0245</v>
      </c>
      <c r="F6088" s="15">
        <v>1.0245</v>
      </c>
      <c r="G6088" s="11">
        <v>0.0087</v>
      </c>
      <c r="H6088" s="9">
        <f>MAX($F$5907:F6088)</f>
        <v>1.0847</v>
      </c>
      <c r="I6088" s="11">
        <f t="shared" si="153"/>
        <v>0.0554992163731908</v>
      </c>
      <c r="J6088" s="9">
        <f>MAX($F$5953:F6088)</f>
        <v>1.0847</v>
      </c>
      <c r="K6088" s="11">
        <f t="shared" si="152"/>
        <v>0.0554992163731908</v>
      </c>
      <c r="L6088" s="9"/>
      <c r="M6088" s="11"/>
      <c r="N6088" s="9" t="s">
        <v>806</v>
      </c>
    </row>
    <row r="6089" ht="25" customHeight="1" spans="1:14">
      <c r="A6089" s="9" t="s">
        <v>244</v>
      </c>
      <c r="B6089" s="9" t="s">
        <v>243</v>
      </c>
      <c r="C6089" s="10">
        <v>46244</v>
      </c>
      <c r="D6089" s="15">
        <v>1.028</v>
      </c>
      <c r="E6089" s="15">
        <v>1.028</v>
      </c>
      <c r="F6089" s="15">
        <v>1.028</v>
      </c>
      <c r="G6089" s="11">
        <v>0.0034</v>
      </c>
      <c r="H6089" s="9">
        <f>MAX($F$5907:F6089)</f>
        <v>1.0847</v>
      </c>
      <c r="I6089" s="11">
        <f t="shared" si="153"/>
        <v>0.0522725177468424</v>
      </c>
      <c r="J6089" s="9">
        <f>MAX($F$5953:F6089)</f>
        <v>1.0847</v>
      </c>
      <c r="K6089" s="11">
        <f t="shared" si="152"/>
        <v>0.0522725177468424</v>
      </c>
      <c r="L6089" s="9"/>
      <c r="M6089" s="11"/>
      <c r="N6089" s="9" t="s">
        <v>806</v>
      </c>
    </row>
    <row r="6090" ht="25" customHeight="1" spans="1:14">
      <c r="A6090" s="9" t="s">
        <v>244</v>
      </c>
      <c r="B6090" s="9" t="s">
        <v>243</v>
      </c>
      <c r="C6090" s="10">
        <v>46245</v>
      </c>
      <c r="D6090" s="15">
        <v>1.0313</v>
      </c>
      <c r="E6090" s="15">
        <v>1.0313</v>
      </c>
      <c r="F6090" s="15">
        <v>1.0313</v>
      </c>
      <c r="G6090" s="11">
        <v>0.0032</v>
      </c>
      <c r="H6090" s="9">
        <f>MAX($F$5907:F6090)</f>
        <v>1.0847</v>
      </c>
      <c r="I6090" s="11">
        <f t="shared" si="153"/>
        <v>0.0492302018991425</v>
      </c>
      <c r="J6090" s="9">
        <f>MAX($F$5953:F6090)</f>
        <v>1.0847</v>
      </c>
      <c r="K6090" s="11">
        <f t="shared" si="152"/>
        <v>0.0492302018991425</v>
      </c>
      <c r="L6090" s="9"/>
      <c r="M6090" s="11"/>
      <c r="N6090" s="9" t="s">
        <v>806</v>
      </c>
    </row>
    <row r="6091" ht="25" customHeight="1" spans="1:14">
      <c r="A6091" s="9" t="s">
        <v>244</v>
      </c>
      <c r="B6091" s="9" t="s">
        <v>243</v>
      </c>
      <c r="C6091" s="10">
        <v>46246</v>
      </c>
      <c r="D6091" s="15">
        <v>1.0348</v>
      </c>
      <c r="E6091" s="15">
        <v>1.0348</v>
      </c>
      <c r="F6091" s="15">
        <v>1.0348</v>
      </c>
      <c r="G6091" s="11">
        <v>0.0034</v>
      </c>
      <c r="H6091" s="9">
        <f>MAX($F$5907:F6091)</f>
        <v>1.0847</v>
      </c>
      <c r="I6091" s="11">
        <f t="shared" si="153"/>
        <v>0.0460035032727943</v>
      </c>
      <c r="J6091" s="9">
        <f>MAX($F$5953:F6091)</f>
        <v>1.0847</v>
      </c>
      <c r="K6091" s="11">
        <f t="shared" si="152"/>
        <v>0.0460035032727943</v>
      </c>
      <c r="L6091" s="9"/>
      <c r="M6091" s="11"/>
      <c r="N6091" s="9" t="s">
        <v>806</v>
      </c>
    </row>
    <row r="6092" ht="25" customHeight="1" spans="1:14">
      <c r="A6092" s="9" t="s">
        <v>244</v>
      </c>
      <c r="B6092" s="9" t="s">
        <v>243</v>
      </c>
      <c r="C6092" s="10">
        <v>46247</v>
      </c>
      <c r="D6092" s="15">
        <v>1.0345</v>
      </c>
      <c r="E6092" s="15">
        <v>1.0345</v>
      </c>
      <c r="F6092" s="15">
        <v>1.0345</v>
      </c>
      <c r="G6092" s="11">
        <v>-0.0003</v>
      </c>
      <c r="H6092" s="9">
        <f>MAX($F$5907:F6092)</f>
        <v>1.0847</v>
      </c>
      <c r="I6092" s="11">
        <f t="shared" si="153"/>
        <v>0.046280077440767</v>
      </c>
      <c r="J6092" s="9">
        <f>MAX($F$5953:F6092)</f>
        <v>1.0847</v>
      </c>
      <c r="K6092" s="11">
        <f t="shared" si="152"/>
        <v>0.046280077440767</v>
      </c>
      <c r="L6092" s="9"/>
      <c r="M6092" s="11"/>
      <c r="N6092" s="9" t="s">
        <v>806</v>
      </c>
    </row>
    <row r="6093" ht="25" customHeight="1" spans="1:14">
      <c r="A6093" s="9" t="s">
        <v>244</v>
      </c>
      <c r="B6093" s="9" t="s">
        <v>243</v>
      </c>
      <c r="C6093" s="10">
        <v>46248</v>
      </c>
      <c r="D6093" s="15">
        <v>1.0359</v>
      </c>
      <c r="E6093" s="15">
        <v>1.0359</v>
      </c>
      <c r="F6093" s="15">
        <v>1.0359</v>
      </c>
      <c r="G6093" s="11">
        <v>0.0014</v>
      </c>
      <c r="H6093" s="9">
        <f>MAX($F$5907:F6093)</f>
        <v>1.0847</v>
      </c>
      <c r="I6093" s="11">
        <f t="shared" si="153"/>
        <v>0.0449893979902277</v>
      </c>
      <c r="J6093" s="9">
        <f>MAX($F$5953:F6093)</f>
        <v>1.0847</v>
      </c>
      <c r="K6093" s="11">
        <f t="shared" si="152"/>
        <v>0.0449893979902277</v>
      </c>
      <c r="L6093" s="9"/>
      <c r="M6093" s="11"/>
      <c r="N6093" s="9" t="s">
        <v>806</v>
      </c>
    </row>
    <row r="6094" ht="25" customHeight="1" spans="1:14">
      <c r="A6094" s="9" t="s">
        <v>244</v>
      </c>
      <c r="B6094" s="9" t="s">
        <v>243</v>
      </c>
      <c r="C6094" s="10">
        <v>46251</v>
      </c>
      <c r="D6094" s="15">
        <v>1.0407</v>
      </c>
      <c r="E6094" s="15">
        <v>1.0407</v>
      </c>
      <c r="F6094" s="15">
        <v>1.0407</v>
      </c>
      <c r="G6094" s="11">
        <v>0.0046</v>
      </c>
      <c r="H6094" s="9">
        <f>MAX($F$5907:F6094)</f>
        <v>1.0847</v>
      </c>
      <c r="I6094" s="11">
        <f t="shared" si="153"/>
        <v>0.0405642113026644</v>
      </c>
      <c r="J6094" s="9">
        <f>MAX($F$5953:F6094)</f>
        <v>1.0847</v>
      </c>
      <c r="K6094" s="11">
        <f t="shared" si="152"/>
        <v>0.0405642113026644</v>
      </c>
      <c r="L6094" s="9"/>
      <c r="M6094" s="11"/>
      <c r="N6094" s="9" t="s">
        <v>806</v>
      </c>
    </row>
    <row r="6095" ht="25" customHeight="1" spans="1:14">
      <c r="A6095" s="9" t="s">
        <v>244</v>
      </c>
      <c r="B6095" s="9" t="s">
        <v>243</v>
      </c>
      <c r="C6095" s="10">
        <v>46252</v>
      </c>
      <c r="D6095" s="15">
        <v>1.0402</v>
      </c>
      <c r="E6095" s="15">
        <v>1.0402</v>
      </c>
      <c r="F6095" s="15">
        <v>1.0402</v>
      </c>
      <c r="G6095" s="11">
        <v>-0.0005</v>
      </c>
      <c r="H6095" s="9">
        <f>MAX($F$5907:F6095)</f>
        <v>1.0847</v>
      </c>
      <c r="I6095" s="11">
        <f t="shared" si="153"/>
        <v>0.0410251682492855</v>
      </c>
      <c r="J6095" s="9">
        <f>MAX($F$5953:F6095)</f>
        <v>1.0847</v>
      </c>
      <c r="K6095" s="11">
        <f t="shared" si="152"/>
        <v>0.0410251682492855</v>
      </c>
      <c r="L6095" s="9"/>
      <c r="M6095" s="11"/>
      <c r="N6095" s="9" t="s">
        <v>806</v>
      </c>
    </row>
    <row r="6096" ht="25" customHeight="1" spans="1:14">
      <c r="A6096" s="9" t="s">
        <v>244</v>
      </c>
      <c r="B6096" s="9" t="s">
        <v>243</v>
      </c>
      <c r="C6096" s="10">
        <v>46253</v>
      </c>
      <c r="D6096" s="15">
        <v>1.0316</v>
      </c>
      <c r="E6096" s="15">
        <v>1.0316</v>
      </c>
      <c r="F6096" s="15">
        <v>1.0316</v>
      </c>
      <c r="G6096" s="11">
        <v>-0.0083</v>
      </c>
      <c r="H6096" s="9">
        <f>MAX($F$5907:F6096)</f>
        <v>1.0847</v>
      </c>
      <c r="I6096" s="11">
        <f t="shared" si="153"/>
        <v>0.0489536277311698</v>
      </c>
      <c r="J6096" s="9">
        <f>MAX($F$5953:F6096)</f>
        <v>1.0847</v>
      </c>
      <c r="K6096" s="11">
        <f t="shared" si="152"/>
        <v>0.0489536277311698</v>
      </c>
      <c r="L6096" s="9"/>
      <c r="M6096" s="11"/>
      <c r="N6096" s="9" t="s">
        <v>806</v>
      </c>
    </row>
    <row r="6097" ht="25" customHeight="1" spans="1:14">
      <c r="A6097" s="9" t="s">
        <v>244</v>
      </c>
      <c r="B6097" s="9" t="s">
        <v>243</v>
      </c>
      <c r="C6097" s="10">
        <v>46254</v>
      </c>
      <c r="D6097" s="15">
        <v>1.0345</v>
      </c>
      <c r="E6097" s="15">
        <v>1.0345</v>
      </c>
      <c r="F6097" s="15">
        <v>1.0345</v>
      </c>
      <c r="G6097" s="11">
        <v>0.0028</v>
      </c>
      <c r="H6097" s="9">
        <f>MAX($F$5907:F6097)</f>
        <v>1.0847</v>
      </c>
      <c r="I6097" s="11">
        <f t="shared" si="153"/>
        <v>0.046280077440767</v>
      </c>
      <c r="J6097" s="9">
        <f>MAX($F$5953:F6097)</f>
        <v>1.0847</v>
      </c>
      <c r="K6097" s="11">
        <f t="shared" si="152"/>
        <v>0.046280077440767</v>
      </c>
      <c r="L6097" s="9"/>
      <c r="M6097" s="11"/>
      <c r="N6097" s="9" t="s">
        <v>806</v>
      </c>
    </row>
    <row r="6098" ht="25" customHeight="1" spans="1:14">
      <c r="A6098" s="9" t="s">
        <v>244</v>
      </c>
      <c r="B6098" s="9" t="s">
        <v>243</v>
      </c>
      <c r="C6098" s="10">
        <v>46255</v>
      </c>
      <c r="D6098" s="15">
        <v>1.0327</v>
      </c>
      <c r="E6098" s="15">
        <v>1.0327</v>
      </c>
      <c r="F6098" s="15">
        <v>1.0327</v>
      </c>
      <c r="G6098" s="11">
        <v>-0.0017</v>
      </c>
      <c r="H6098" s="9">
        <f>MAX($F$5907:F6098)</f>
        <v>1.0847</v>
      </c>
      <c r="I6098" s="11">
        <f t="shared" si="153"/>
        <v>0.0479395224486033</v>
      </c>
      <c r="J6098" s="9">
        <f>MAX($F$5953:F6098)</f>
        <v>1.0847</v>
      </c>
      <c r="K6098" s="11">
        <f t="shared" si="152"/>
        <v>0.0479395224486033</v>
      </c>
      <c r="L6098" s="9"/>
      <c r="M6098" s="11"/>
      <c r="N6098" s="9" t="s">
        <v>806</v>
      </c>
    </row>
    <row r="6099" ht="25" customHeight="1" spans="1:14">
      <c r="A6099" s="9" t="s">
        <v>244</v>
      </c>
      <c r="B6099" s="9" t="s">
        <v>243</v>
      </c>
      <c r="C6099" s="10">
        <v>46258</v>
      </c>
      <c r="D6099" s="15">
        <v>1.0249</v>
      </c>
      <c r="E6099" s="15">
        <v>1.0249</v>
      </c>
      <c r="F6099" s="15">
        <v>1.0249</v>
      </c>
      <c r="G6099" s="11">
        <v>-0.0076</v>
      </c>
      <c r="H6099" s="9">
        <f>MAX($F$5907:F6099)</f>
        <v>1.0847</v>
      </c>
      <c r="I6099" s="11">
        <f t="shared" si="153"/>
        <v>0.0551304508158939</v>
      </c>
      <c r="J6099" s="9">
        <f>MAX($F$5953:F6099)</f>
        <v>1.0847</v>
      </c>
      <c r="K6099" s="11">
        <f t="shared" si="152"/>
        <v>0.0551304508158939</v>
      </c>
      <c r="L6099" s="9"/>
      <c r="M6099" s="11"/>
      <c r="N6099" s="9" t="s">
        <v>806</v>
      </c>
    </row>
    <row r="6100" ht="25" customHeight="1" spans="1:14">
      <c r="A6100" s="9" t="s">
        <v>244</v>
      </c>
      <c r="B6100" s="9" t="s">
        <v>243</v>
      </c>
      <c r="C6100" s="10">
        <v>46259</v>
      </c>
      <c r="D6100" s="15">
        <v>1.0224</v>
      </c>
      <c r="E6100" s="15">
        <v>1.0224</v>
      </c>
      <c r="F6100" s="15">
        <v>1.0224</v>
      </c>
      <c r="G6100" s="11">
        <v>-0.0024</v>
      </c>
      <c r="H6100" s="9">
        <f>MAX($F$5907:F6100)</f>
        <v>1.0847</v>
      </c>
      <c r="I6100" s="11">
        <f t="shared" si="153"/>
        <v>0.0574352355489998</v>
      </c>
      <c r="J6100" s="9">
        <f>MAX($F$5953:F6100)</f>
        <v>1.0847</v>
      </c>
      <c r="K6100" s="11">
        <f t="shared" si="152"/>
        <v>0.0574352355489998</v>
      </c>
      <c r="L6100" s="9"/>
      <c r="M6100" s="11"/>
      <c r="N6100" s="9" t="s">
        <v>806</v>
      </c>
    </row>
    <row r="6101" ht="25" customHeight="1" spans="1:14">
      <c r="A6101" s="9" t="s">
        <v>244</v>
      </c>
      <c r="B6101" s="9" t="s">
        <v>243</v>
      </c>
      <c r="C6101" s="10">
        <v>46260</v>
      </c>
      <c r="D6101" s="15">
        <v>1.024</v>
      </c>
      <c r="E6101" s="15">
        <v>1.024</v>
      </c>
      <c r="F6101" s="15">
        <v>1.024</v>
      </c>
      <c r="G6101" s="11">
        <v>0.0016</v>
      </c>
      <c r="H6101" s="9">
        <f>MAX($F$5907:F6101)</f>
        <v>1.0847</v>
      </c>
      <c r="I6101" s="11">
        <f t="shared" si="153"/>
        <v>0.055960173319812</v>
      </c>
      <c r="J6101" s="9">
        <f>MAX($F$5953:F6101)</f>
        <v>1.0847</v>
      </c>
      <c r="K6101" s="11">
        <f t="shared" si="152"/>
        <v>0.055960173319812</v>
      </c>
      <c r="L6101" s="9"/>
      <c r="M6101" s="11"/>
      <c r="N6101" s="9" t="s">
        <v>806</v>
      </c>
    </row>
    <row r="6102" ht="25" customHeight="1" spans="1:14">
      <c r="A6102" s="9" t="s">
        <v>244</v>
      </c>
      <c r="B6102" s="9" t="s">
        <v>243</v>
      </c>
      <c r="C6102" s="10">
        <v>46261</v>
      </c>
      <c r="D6102" s="15">
        <v>1.0171</v>
      </c>
      <c r="E6102" s="15">
        <v>1.0171</v>
      </c>
      <c r="F6102" s="15">
        <v>1.0171</v>
      </c>
      <c r="G6102" s="11">
        <v>-0.0067</v>
      </c>
      <c r="H6102" s="9">
        <f>MAX($F$5907:F6102)</f>
        <v>1.0847</v>
      </c>
      <c r="I6102" s="11">
        <f t="shared" si="153"/>
        <v>0.0623213791831844</v>
      </c>
      <c r="J6102" s="9">
        <f>MAX($F$5953:F6102)</f>
        <v>1.0847</v>
      </c>
      <c r="K6102" s="11">
        <f t="shared" si="152"/>
        <v>0.0623213791831844</v>
      </c>
      <c r="L6102" s="9"/>
      <c r="M6102" s="11"/>
      <c r="N6102" s="9" t="s">
        <v>806</v>
      </c>
    </row>
    <row r="6103" ht="25" customHeight="1" spans="1:14">
      <c r="A6103" s="9" t="s">
        <v>244</v>
      </c>
      <c r="B6103" s="9" t="s">
        <v>243</v>
      </c>
      <c r="C6103" s="10">
        <v>46262</v>
      </c>
      <c r="D6103" s="15">
        <v>1.0148</v>
      </c>
      <c r="E6103" s="15">
        <v>1.0148</v>
      </c>
      <c r="F6103" s="15">
        <v>1.0148</v>
      </c>
      <c r="G6103" s="11">
        <v>-0.0023</v>
      </c>
      <c r="H6103" s="9">
        <f>MAX($F$5907:F6103)</f>
        <v>1.0847</v>
      </c>
      <c r="I6103" s="11">
        <f t="shared" si="153"/>
        <v>0.0644417811376418</v>
      </c>
      <c r="J6103" s="9">
        <f>MAX($F$5953:F6103)</f>
        <v>1.0847</v>
      </c>
      <c r="K6103" s="11">
        <f t="shared" si="152"/>
        <v>0.0644417811376418</v>
      </c>
      <c r="L6103" s="9"/>
      <c r="M6103" s="11"/>
      <c r="N6103" s="9" t="s">
        <v>806</v>
      </c>
    </row>
    <row r="6104" ht="25" customHeight="1" spans="1:14">
      <c r="A6104" s="9" t="s">
        <v>244</v>
      </c>
      <c r="B6104" s="9" t="s">
        <v>243</v>
      </c>
      <c r="C6104" s="10">
        <v>46265</v>
      </c>
      <c r="D6104" s="15">
        <v>1.0122</v>
      </c>
      <c r="E6104" s="15">
        <v>1.0122</v>
      </c>
      <c r="F6104" s="15">
        <v>1.0122</v>
      </c>
      <c r="G6104" s="11">
        <v>-0.0026</v>
      </c>
      <c r="H6104" s="9">
        <f>MAX($F$5907:F6104)</f>
        <v>1.0847</v>
      </c>
      <c r="I6104" s="11">
        <f t="shared" si="153"/>
        <v>0.0668387572600719</v>
      </c>
      <c r="J6104" s="9">
        <f>MAX($F$5953:F6104)</f>
        <v>1.0847</v>
      </c>
      <c r="K6104" s="11">
        <f t="shared" si="152"/>
        <v>0.0668387572600719</v>
      </c>
      <c r="L6104" s="9"/>
      <c r="M6104" s="11"/>
      <c r="N6104" s="9" t="s">
        <v>806</v>
      </c>
    </row>
    <row r="6105" ht="25" customHeight="1" spans="1:14">
      <c r="A6105" s="9" t="s">
        <v>244</v>
      </c>
      <c r="B6105" s="9" t="s">
        <v>243</v>
      </c>
      <c r="C6105" s="10">
        <v>46266</v>
      </c>
      <c r="D6105" s="15">
        <v>1.017</v>
      </c>
      <c r="E6105" s="15">
        <v>1.017</v>
      </c>
      <c r="F6105" s="15">
        <v>1.017</v>
      </c>
      <c r="G6105" s="11">
        <v>0.0047</v>
      </c>
      <c r="H6105" s="9">
        <f>MAX($F$5907:F6105)</f>
        <v>1.0847</v>
      </c>
      <c r="I6105" s="11">
        <f t="shared" si="153"/>
        <v>0.0624135705725086</v>
      </c>
      <c r="J6105" s="9">
        <f>MAX($F$5953:F6105)</f>
        <v>1.0847</v>
      </c>
      <c r="K6105" s="11">
        <f t="shared" si="152"/>
        <v>0.0624135705725086</v>
      </c>
      <c r="L6105" s="9"/>
      <c r="M6105" s="11"/>
      <c r="N6105" s="9" t="s">
        <v>806</v>
      </c>
    </row>
    <row r="6106" ht="25" customHeight="1" spans="1:14">
      <c r="A6106" s="9" t="s">
        <v>244</v>
      </c>
      <c r="B6106" s="9" t="s">
        <v>243</v>
      </c>
      <c r="C6106" s="10">
        <v>46267</v>
      </c>
      <c r="D6106" s="15">
        <v>1.0205</v>
      </c>
      <c r="E6106" s="15">
        <v>1.0205</v>
      </c>
      <c r="F6106" s="15">
        <v>1.0205</v>
      </c>
      <c r="G6106" s="11">
        <v>0.0034</v>
      </c>
      <c r="H6106" s="9">
        <f>MAX($F$5907:F6106)</f>
        <v>1.0847</v>
      </c>
      <c r="I6106" s="11">
        <f t="shared" si="153"/>
        <v>0.0591868719461602</v>
      </c>
      <c r="J6106" s="9">
        <f>MAX($F$5953:F6106)</f>
        <v>1.0847</v>
      </c>
      <c r="K6106" s="11">
        <f t="shared" si="152"/>
        <v>0.0591868719461602</v>
      </c>
      <c r="L6106" s="9"/>
      <c r="M6106" s="11"/>
      <c r="N6106" s="9" t="s">
        <v>806</v>
      </c>
    </row>
    <row r="6107" ht="25" customHeight="1" spans="1:14">
      <c r="A6107" s="9" t="s">
        <v>244</v>
      </c>
      <c r="B6107" s="9" t="s">
        <v>243</v>
      </c>
      <c r="C6107" s="10">
        <v>46268</v>
      </c>
      <c r="D6107" s="15">
        <v>1.0211</v>
      </c>
      <c r="E6107" s="15">
        <v>1.0211</v>
      </c>
      <c r="F6107" s="15">
        <v>1.0211</v>
      </c>
      <c r="G6107" s="11">
        <v>0.0006</v>
      </c>
      <c r="H6107" s="9">
        <f>MAX($F$5907:F6107)</f>
        <v>1.0847</v>
      </c>
      <c r="I6107" s="11">
        <f t="shared" si="153"/>
        <v>0.0586337236102149</v>
      </c>
      <c r="J6107" s="9">
        <f>MAX($F$5953:F6107)</f>
        <v>1.0847</v>
      </c>
      <c r="K6107" s="11">
        <f t="shared" si="152"/>
        <v>0.0586337236102149</v>
      </c>
      <c r="L6107" s="9"/>
      <c r="M6107" s="11"/>
      <c r="N6107" s="9" t="s">
        <v>806</v>
      </c>
    </row>
    <row r="6108" ht="25" customHeight="1" spans="1:14">
      <c r="A6108" s="9" t="s">
        <v>244</v>
      </c>
      <c r="B6108" s="9" t="s">
        <v>243</v>
      </c>
      <c r="C6108" s="10">
        <v>46269</v>
      </c>
      <c r="D6108" s="15">
        <v>1.0236</v>
      </c>
      <c r="E6108" s="15">
        <v>1.0236</v>
      </c>
      <c r="F6108" s="15">
        <v>1.0236</v>
      </c>
      <c r="G6108" s="11">
        <v>0.0024</v>
      </c>
      <c r="H6108" s="9">
        <f>MAX($F$5907:F6108)</f>
        <v>1.0847</v>
      </c>
      <c r="I6108" s="11">
        <f t="shared" si="153"/>
        <v>0.0563289388771088</v>
      </c>
      <c r="J6108" s="9">
        <f>MAX($F$5953:F6108)</f>
        <v>1.0847</v>
      </c>
      <c r="K6108" s="11">
        <f t="shared" si="152"/>
        <v>0.0563289388771088</v>
      </c>
      <c r="L6108" s="9"/>
      <c r="M6108" s="11"/>
      <c r="N6108" s="9" t="s">
        <v>806</v>
      </c>
    </row>
    <row r="6109" ht="25" customHeight="1" spans="1:14">
      <c r="A6109" s="9" t="s">
        <v>244</v>
      </c>
      <c r="B6109" s="9" t="s">
        <v>243</v>
      </c>
      <c r="C6109" s="10">
        <v>46272</v>
      </c>
      <c r="D6109" s="15">
        <v>1.0157</v>
      </c>
      <c r="E6109" s="15">
        <v>1.0157</v>
      </c>
      <c r="F6109" s="15">
        <v>1.0157</v>
      </c>
      <c r="G6109" s="11">
        <v>-0.0077</v>
      </c>
      <c r="H6109" s="9">
        <f>MAX($F$5907:F6109)</f>
        <v>1.0847</v>
      </c>
      <c r="I6109" s="11">
        <f t="shared" si="153"/>
        <v>0.0636120586337235</v>
      </c>
      <c r="J6109" s="9"/>
      <c r="K6109" s="11"/>
      <c r="L6109" s="9"/>
      <c r="M6109" s="11"/>
      <c r="N6109" s="9" t="s">
        <v>806</v>
      </c>
    </row>
    <row r="6110" ht="25" customHeight="1" spans="1:14">
      <c r="A6110" s="9" t="s">
        <v>244</v>
      </c>
      <c r="B6110" s="9" t="s">
        <v>243</v>
      </c>
      <c r="C6110" s="10">
        <v>46273</v>
      </c>
      <c r="D6110" s="15">
        <v>1.0187</v>
      </c>
      <c r="E6110" s="15">
        <v>1.0187</v>
      </c>
      <c r="F6110" s="15">
        <v>1.0187</v>
      </c>
      <c r="G6110" s="11">
        <v>0.003</v>
      </c>
      <c r="H6110" s="9">
        <f>MAX($F$5907:F6110)</f>
        <v>1.0847</v>
      </c>
      <c r="I6110" s="11">
        <f t="shared" si="153"/>
        <v>0.0608463169539966</v>
      </c>
      <c r="J6110" s="9"/>
      <c r="K6110" s="11"/>
      <c r="L6110" s="9"/>
      <c r="M6110" s="11"/>
      <c r="N6110" s="9" t="s">
        <v>806</v>
      </c>
    </row>
    <row r="6111" ht="25" customHeight="1" spans="1:14">
      <c r="A6111" s="9" t="s">
        <v>244</v>
      </c>
      <c r="B6111" s="9" t="s">
        <v>243</v>
      </c>
      <c r="C6111" s="10">
        <v>46274</v>
      </c>
      <c r="D6111" s="15">
        <v>1.0164</v>
      </c>
      <c r="E6111" s="15">
        <v>1.0164</v>
      </c>
      <c r="F6111" s="15">
        <v>1.0164</v>
      </c>
      <c r="G6111" s="11">
        <v>-0.0023</v>
      </c>
      <c r="H6111" s="9">
        <f>MAX($F$5907:F6111)</f>
        <v>1.0847</v>
      </c>
      <c r="I6111" s="11">
        <f t="shared" si="153"/>
        <v>0.062966718908454</v>
      </c>
      <c r="J6111" s="9"/>
      <c r="K6111" s="11"/>
      <c r="L6111" s="9"/>
      <c r="M6111" s="11"/>
      <c r="N6111" s="9" t="s">
        <v>806</v>
      </c>
    </row>
    <row r="6112" ht="25" customHeight="1" spans="1:14">
      <c r="A6112" s="9" t="s">
        <v>244</v>
      </c>
      <c r="B6112" s="9" t="s">
        <v>243</v>
      </c>
      <c r="C6112" s="10">
        <v>46275</v>
      </c>
      <c r="D6112" s="15">
        <v>1.0153</v>
      </c>
      <c r="E6112" s="15">
        <v>1.0153</v>
      </c>
      <c r="F6112" s="15">
        <v>1.0153</v>
      </c>
      <c r="G6112" s="11">
        <v>-0.0011</v>
      </c>
      <c r="H6112" s="9">
        <f>MAX($F$5907:F6112)</f>
        <v>1.0847</v>
      </c>
      <c r="I6112" s="11">
        <f t="shared" si="153"/>
        <v>0.0639808241910205</v>
      </c>
      <c r="J6112" s="9"/>
      <c r="K6112" s="11"/>
      <c r="L6112" s="9"/>
      <c r="M6112" s="11"/>
      <c r="N6112" s="9" t="s">
        <v>806</v>
      </c>
    </row>
    <row r="6113" ht="25" customHeight="1" spans="1:14">
      <c r="A6113" s="9" t="s">
        <v>207</v>
      </c>
      <c r="B6113" s="9" t="s">
        <v>206</v>
      </c>
      <c r="C6113" s="10">
        <v>45652</v>
      </c>
      <c r="D6113" s="15">
        <v>1</v>
      </c>
      <c r="E6113" s="15">
        <v>1</v>
      </c>
      <c r="F6113" s="15">
        <v>1</v>
      </c>
      <c r="G6113" s="11"/>
      <c r="H6113" s="9">
        <f>MAX($F$6113:F6113)</f>
        <v>1</v>
      </c>
      <c r="I6113" s="11">
        <f t="shared" si="153"/>
        <v>0</v>
      </c>
      <c r="J6113" s="9"/>
      <c r="K6113" s="11"/>
      <c r="L6113" s="9"/>
      <c r="M6113" s="11"/>
      <c r="N6113" s="9" t="s">
        <v>801</v>
      </c>
    </row>
    <row r="6114" ht="25" customHeight="1" spans="1:14">
      <c r="A6114" s="9" t="s">
        <v>207</v>
      </c>
      <c r="B6114" s="9" t="s">
        <v>206</v>
      </c>
      <c r="C6114" s="10">
        <v>45653</v>
      </c>
      <c r="D6114" s="15">
        <v>1</v>
      </c>
      <c r="E6114" s="15">
        <v>1</v>
      </c>
      <c r="F6114" s="15">
        <v>1</v>
      </c>
      <c r="G6114" s="11">
        <v>0</v>
      </c>
      <c r="H6114" s="9">
        <f>MAX($F$6113:F6114)</f>
        <v>1</v>
      </c>
      <c r="I6114" s="11">
        <f t="shared" si="153"/>
        <v>0</v>
      </c>
      <c r="J6114" s="9"/>
      <c r="K6114" s="11"/>
      <c r="L6114" s="9"/>
      <c r="M6114" s="11"/>
      <c r="N6114" s="9" t="s">
        <v>801</v>
      </c>
    </row>
    <row r="6115" ht="25" customHeight="1" spans="1:14">
      <c r="A6115" s="9" t="s">
        <v>207</v>
      </c>
      <c r="B6115" s="9" t="s">
        <v>206</v>
      </c>
      <c r="C6115" s="10">
        <v>45660</v>
      </c>
      <c r="D6115" s="15">
        <v>0.9997</v>
      </c>
      <c r="E6115" s="15">
        <v>0.9997</v>
      </c>
      <c r="F6115" s="15">
        <v>0.9997</v>
      </c>
      <c r="G6115" s="11">
        <v>-0.0003</v>
      </c>
      <c r="H6115" s="9">
        <f>MAX($F$6113:F6115)</f>
        <v>1</v>
      </c>
      <c r="I6115" s="11">
        <f t="shared" si="153"/>
        <v>0.000299999999999967</v>
      </c>
      <c r="J6115" s="9"/>
      <c r="K6115" s="11"/>
      <c r="L6115" s="9"/>
      <c r="M6115" s="11"/>
      <c r="N6115" s="9" t="s">
        <v>801</v>
      </c>
    </row>
    <row r="6116" ht="25" customHeight="1" spans="1:14">
      <c r="A6116" s="9" t="s">
        <v>207</v>
      </c>
      <c r="B6116" s="9" t="s">
        <v>206</v>
      </c>
      <c r="C6116" s="10">
        <v>45667</v>
      </c>
      <c r="D6116" s="15">
        <v>0.9994</v>
      </c>
      <c r="E6116" s="15">
        <v>0.9994</v>
      </c>
      <c r="F6116" s="15">
        <v>0.9994</v>
      </c>
      <c r="G6116" s="11">
        <v>-0.0003</v>
      </c>
      <c r="H6116" s="9">
        <f>MAX($F$6113:F6116)</f>
        <v>1</v>
      </c>
      <c r="I6116" s="11">
        <f t="shared" si="153"/>
        <v>0.000600000000000045</v>
      </c>
      <c r="J6116" s="9"/>
      <c r="K6116" s="11"/>
      <c r="L6116" s="9"/>
      <c r="M6116" s="11"/>
      <c r="N6116" s="9" t="s">
        <v>801</v>
      </c>
    </row>
    <row r="6117" ht="25" customHeight="1" spans="1:14">
      <c r="A6117" s="9" t="s">
        <v>207</v>
      </c>
      <c r="B6117" s="9" t="s">
        <v>206</v>
      </c>
      <c r="C6117" s="10">
        <v>45674</v>
      </c>
      <c r="D6117" s="15">
        <v>0.999</v>
      </c>
      <c r="E6117" s="15">
        <v>0.999</v>
      </c>
      <c r="F6117" s="15">
        <v>0.999</v>
      </c>
      <c r="G6117" s="11">
        <v>-0.0004</v>
      </c>
      <c r="H6117" s="9">
        <f>MAX($F$6113:F6117)</f>
        <v>1</v>
      </c>
      <c r="I6117" s="11">
        <f t="shared" si="153"/>
        <v>0.001</v>
      </c>
      <c r="J6117" s="9"/>
      <c r="K6117" s="11"/>
      <c r="L6117" s="9"/>
      <c r="M6117" s="11"/>
      <c r="N6117" s="9" t="s">
        <v>801</v>
      </c>
    </row>
    <row r="6118" ht="25" customHeight="1" spans="1:14">
      <c r="A6118" s="9" t="s">
        <v>207</v>
      </c>
      <c r="B6118" s="9" t="s">
        <v>206</v>
      </c>
      <c r="C6118" s="10">
        <v>45681</v>
      </c>
      <c r="D6118" s="15">
        <v>0.9988</v>
      </c>
      <c r="E6118" s="15">
        <v>0.9988</v>
      </c>
      <c r="F6118" s="15">
        <v>0.9988</v>
      </c>
      <c r="G6118" s="11">
        <v>-0.0002</v>
      </c>
      <c r="H6118" s="9">
        <f>MAX($F$6113:F6118)</f>
        <v>1</v>
      </c>
      <c r="I6118" s="11">
        <f t="shared" si="153"/>
        <v>0.00119999999999998</v>
      </c>
      <c r="J6118" s="9"/>
      <c r="K6118" s="11"/>
      <c r="L6118" s="9"/>
      <c r="M6118" s="11"/>
      <c r="N6118" s="9" t="s">
        <v>801</v>
      </c>
    </row>
    <row r="6119" ht="25" customHeight="1" spans="1:14">
      <c r="A6119" s="9" t="s">
        <v>207</v>
      </c>
      <c r="B6119" s="9" t="s">
        <v>206</v>
      </c>
      <c r="C6119" s="10">
        <v>45684</v>
      </c>
      <c r="D6119" s="15">
        <v>0.9987</v>
      </c>
      <c r="E6119" s="15">
        <v>0.9987</v>
      </c>
      <c r="F6119" s="15">
        <v>0.9987</v>
      </c>
      <c r="G6119" s="11">
        <v>-0.0001</v>
      </c>
      <c r="H6119" s="9">
        <f>MAX($F$6113:F6119)</f>
        <v>1</v>
      </c>
      <c r="I6119" s="11">
        <f t="shared" si="153"/>
        <v>0.00129999999999997</v>
      </c>
      <c r="J6119" s="9"/>
      <c r="K6119" s="11"/>
      <c r="L6119" s="9"/>
      <c r="M6119" s="11"/>
      <c r="N6119" s="9" t="s">
        <v>801</v>
      </c>
    </row>
    <row r="6120" ht="25" customHeight="1" spans="1:14">
      <c r="A6120" s="9" t="s">
        <v>207</v>
      </c>
      <c r="B6120" s="9" t="s">
        <v>206</v>
      </c>
      <c r="C6120" s="10">
        <v>45695</v>
      </c>
      <c r="D6120" s="15">
        <v>0.9982</v>
      </c>
      <c r="E6120" s="15">
        <v>0.9982</v>
      </c>
      <c r="F6120" s="15">
        <v>0.9982</v>
      </c>
      <c r="G6120" s="11">
        <v>-0.0005</v>
      </c>
      <c r="H6120" s="9">
        <f>MAX($F$6113:F6120)</f>
        <v>1</v>
      </c>
      <c r="I6120" s="11">
        <f t="shared" si="153"/>
        <v>0.00180000000000002</v>
      </c>
      <c r="J6120" s="9"/>
      <c r="K6120" s="11"/>
      <c r="L6120" s="9"/>
      <c r="M6120" s="11"/>
      <c r="N6120" s="9" t="s">
        <v>801</v>
      </c>
    </row>
    <row r="6121" ht="25" customHeight="1" spans="1:14">
      <c r="A6121" s="9" t="s">
        <v>207</v>
      </c>
      <c r="B6121" s="9" t="s">
        <v>206</v>
      </c>
      <c r="C6121" s="10">
        <v>45702</v>
      </c>
      <c r="D6121" s="15">
        <v>0.9994</v>
      </c>
      <c r="E6121" s="15">
        <v>0.9994</v>
      </c>
      <c r="F6121" s="15">
        <v>0.9994</v>
      </c>
      <c r="G6121" s="11">
        <v>0.0012</v>
      </c>
      <c r="H6121" s="9">
        <f>MAX($F$6113:F6121)</f>
        <v>1</v>
      </c>
      <c r="I6121" s="11">
        <f t="shared" si="153"/>
        <v>0.000600000000000045</v>
      </c>
      <c r="J6121" s="9"/>
      <c r="K6121" s="11"/>
      <c r="L6121" s="9"/>
      <c r="M6121" s="11"/>
      <c r="N6121" s="9" t="s">
        <v>801</v>
      </c>
    </row>
    <row r="6122" ht="25" customHeight="1" spans="1:14">
      <c r="A6122" s="9" t="s">
        <v>207</v>
      </c>
      <c r="B6122" s="9" t="s">
        <v>206</v>
      </c>
      <c r="C6122" s="10">
        <v>45709</v>
      </c>
      <c r="D6122" s="15">
        <v>0.9984</v>
      </c>
      <c r="E6122" s="15">
        <v>0.9984</v>
      </c>
      <c r="F6122" s="15">
        <v>0.9984</v>
      </c>
      <c r="G6122" s="11">
        <v>-0.001</v>
      </c>
      <c r="H6122" s="9">
        <f>MAX($F$6113:F6122)</f>
        <v>1</v>
      </c>
      <c r="I6122" s="11">
        <f t="shared" si="153"/>
        <v>0.00160000000000005</v>
      </c>
      <c r="J6122" s="9"/>
      <c r="K6122" s="11"/>
      <c r="L6122" s="9"/>
      <c r="M6122" s="11"/>
      <c r="N6122" s="9" t="s">
        <v>801</v>
      </c>
    </row>
    <row r="6123" ht="25" customHeight="1" spans="1:14">
      <c r="A6123" s="9" t="s">
        <v>207</v>
      </c>
      <c r="B6123" s="9" t="s">
        <v>206</v>
      </c>
      <c r="C6123" s="10">
        <v>45716</v>
      </c>
      <c r="D6123" s="15">
        <v>1.0037</v>
      </c>
      <c r="E6123" s="15">
        <v>1.0037</v>
      </c>
      <c r="F6123" s="15">
        <v>1.0037</v>
      </c>
      <c r="G6123" s="11">
        <v>0.0053</v>
      </c>
      <c r="H6123" s="9">
        <f>MAX($F$6113:F6123)</f>
        <v>1.0037</v>
      </c>
      <c r="I6123" s="11">
        <f t="shared" si="153"/>
        <v>0</v>
      </c>
      <c r="J6123" s="9"/>
      <c r="K6123" s="11"/>
      <c r="L6123" s="9"/>
      <c r="M6123" s="11"/>
      <c r="N6123" s="9" t="s">
        <v>801</v>
      </c>
    </row>
    <row r="6124" ht="25" customHeight="1" spans="1:14">
      <c r="A6124" s="9" t="s">
        <v>207</v>
      </c>
      <c r="B6124" s="9" t="s">
        <v>206</v>
      </c>
      <c r="C6124" s="10">
        <v>45723</v>
      </c>
      <c r="D6124" s="15">
        <v>1.008</v>
      </c>
      <c r="E6124" s="15">
        <v>1.008</v>
      </c>
      <c r="F6124" s="15">
        <v>1.008</v>
      </c>
      <c r="G6124" s="11">
        <v>0.0043</v>
      </c>
      <c r="H6124" s="9">
        <f>MAX($F$6113:F6124)</f>
        <v>1.008</v>
      </c>
      <c r="I6124" s="11">
        <f t="shared" si="153"/>
        <v>0</v>
      </c>
      <c r="J6124" s="9"/>
      <c r="K6124" s="11"/>
      <c r="L6124" s="9"/>
      <c r="M6124" s="11"/>
      <c r="N6124" s="9" t="s">
        <v>801</v>
      </c>
    </row>
    <row r="6125" ht="25" customHeight="1" spans="1:14">
      <c r="A6125" s="9" t="s">
        <v>207</v>
      </c>
      <c r="B6125" s="9" t="s">
        <v>206</v>
      </c>
      <c r="C6125" s="10">
        <v>45730</v>
      </c>
      <c r="D6125" s="15">
        <v>1.0124</v>
      </c>
      <c r="E6125" s="15">
        <v>1.0124</v>
      </c>
      <c r="F6125" s="15">
        <v>1.0124</v>
      </c>
      <c r="G6125" s="11">
        <v>0.0044</v>
      </c>
      <c r="H6125" s="9">
        <f>MAX($F$6113:F6125)</f>
        <v>1.0124</v>
      </c>
      <c r="I6125" s="11">
        <f t="shared" si="153"/>
        <v>0</v>
      </c>
      <c r="J6125" s="9"/>
      <c r="K6125" s="11"/>
      <c r="L6125" s="9"/>
      <c r="M6125" s="11"/>
      <c r="N6125" s="9" t="s">
        <v>801</v>
      </c>
    </row>
    <row r="6126" ht="25" customHeight="1" spans="1:14">
      <c r="A6126" s="9" t="s">
        <v>207</v>
      </c>
      <c r="B6126" s="9" t="s">
        <v>206</v>
      </c>
      <c r="C6126" s="10">
        <v>45737</v>
      </c>
      <c r="D6126" s="15">
        <v>1.0181</v>
      </c>
      <c r="E6126" s="15">
        <v>1.0181</v>
      </c>
      <c r="F6126" s="15">
        <v>1.0181</v>
      </c>
      <c r="G6126" s="11">
        <v>0.0056</v>
      </c>
      <c r="H6126" s="9">
        <f>MAX($F$6113:F6126)</f>
        <v>1.0181</v>
      </c>
      <c r="I6126" s="11">
        <f t="shared" si="153"/>
        <v>0</v>
      </c>
      <c r="J6126" s="9"/>
      <c r="K6126" s="11"/>
      <c r="L6126" s="9"/>
      <c r="M6126" s="11"/>
      <c r="N6126" s="9" t="s">
        <v>801</v>
      </c>
    </row>
    <row r="6127" ht="25" customHeight="1" spans="1:14">
      <c r="A6127" s="9" t="s">
        <v>207</v>
      </c>
      <c r="B6127" s="9" t="s">
        <v>206</v>
      </c>
      <c r="C6127" s="10">
        <v>45744</v>
      </c>
      <c r="D6127" s="15">
        <v>1.0228</v>
      </c>
      <c r="E6127" s="15">
        <v>1.0228</v>
      </c>
      <c r="F6127" s="15">
        <v>1.0228</v>
      </c>
      <c r="G6127" s="11">
        <v>0.0046</v>
      </c>
      <c r="H6127" s="9">
        <f>MAX($F$6113:F6127)</f>
        <v>1.0228</v>
      </c>
      <c r="I6127" s="11">
        <f t="shared" si="153"/>
        <v>0</v>
      </c>
      <c r="J6127" s="9"/>
      <c r="K6127" s="11"/>
      <c r="L6127" s="9"/>
      <c r="M6127" s="11"/>
      <c r="N6127" s="9" t="s">
        <v>801</v>
      </c>
    </row>
    <row r="6128" ht="25" customHeight="1" spans="1:14">
      <c r="A6128" s="9" t="s">
        <v>207</v>
      </c>
      <c r="B6128" s="9" t="s">
        <v>206</v>
      </c>
      <c r="C6128" s="10">
        <v>45750</v>
      </c>
      <c r="D6128" s="15">
        <v>1.0235</v>
      </c>
      <c r="E6128" s="15">
        <v>1.0235</v>
      </c>
      <c r="F6128" s="15">
        <v>1.0235</v>
      </c>
      <c r="G6128" s="11">
        <v>0.0007</v>
      </c>
      <c r="H6128" s="9">
        <f>MAX($F$6113:F6128)</f>
        <v>1.0235</v>
      </c>
      <c r="I6128" s="11">
        <f t="shared" si="153"/>
        <v>0</v>
      </c>
      <c r="J6128" s="9"/>
      <c r="K6128" s="11"/>
      <c r="L6128" s="9"/>
      <c r="M6128" s="11"/>
      <c r="N6128" s="9" t="s">
        <v>801</v>
      </c>
    </row>
    <row r="6129" ht="25" customHeight="1" spans="1:14">
      <c r="A6129" s="9" t="s">
        <v>207</v>
      </c>
      <c r="B6129" s="9" t="s">
        <v>206</v>
      </c>
      <c r="C6129" s="10">
        <v>45758</v>
      </c>
      <c r="D6129" s="15">
        <v>1.0362</v>
      </c>
      <c r="E6129" s="15">
        <v>1.0362</v>
      </c>
      <c r="F6129" s="15">
        <v>1.0362</v>
      </c>
      <c r="G6129" s="11">
        <v>0.0124</v>
      </c>
      <c r="H6129" s="9">
        <f>MAX($F$6113:F6129)</f>
        <v>1.0362</v>
      </c>
      <c r="I6129" s="11">
        <f t="shared" si="153"/>
        <v>0</v>
      </c>
      <c r="J6129" s="9"/>
      <c r="K6129" s="11"/>
      <c r="L6129" s="9"/>
      <c r="M6129" s="11"/>
      <c r="N6129" s="9" t="s">
        <v>801</v>
      </c>
    </row>
    <row r="6130" ht="25" customHeight="1" spans="1:14">
      <c r="A6130" s="9" t="s">
        <v>207</v>
      </c>
      <c r="B6130" s="9" t="s">
        <v>206</v>
      </c>
      <c r="C6130" s="10">
        <v>45765</v>
      </c>
      <c r="D6130" s="15">
        <v>1.0378</v>
      </c>
      <c r="E6130" s="15">
        <v>1.0378</v>
      </c>
      <c r="F6130" s="15">
        <v>1.0378</v>
      </c>
      <c r="G6130" s="11">
        <v>0.0015</v>
      </c>
      <c r="H6130" s="9">
        <f>MAX($F$6113:F6130)</f>
        <v>1.0378</v>
      </c>
      <c r="I6130" s="11">
        <f t="shared" si="153"/>
        <v>0</v>
      </c>
      <c r="J6130" s="9"/>
      <c r="K6130" s="11"/>
      <c r="L6130" s="9"/>
      <c r="M6130" s="11"/>
      <c r="N6130" s="9" t="s">
        <v>801</v>
      </c>
    </row>
    <row r="6131" ht="25" customHeight="1" spans="1:14">
      <c r="A6131" s="9" t="s">
        <v>207</v>
      </c>
      <c r="B6131" s="9" t="s">
        <v>206</v>
      </c>
      <c r="C6131" s="10">
        <v>45772</v>
      </c>
      <c r="D6131" s="15">
        <v>1.0406</v>
      </c>
      <c r="E6131" s="15">
        <v>1.0406</v>
      </c>
      <c r="F6131" s="15">
        <v>1.0406</v>
      </c>
      <c r="G6131" s="11">
        <v>0.0027</v>
      </c>
      <c r="H6131" s="9">
        <f>MAX($F$6113:F6131)</f>
        <v>1.0406</v>
      </c>
      <c r="I6131" s="11">
        <f t="shared" si="153"/>
        <v>0</v>
      </c>
      <c r="J6131" s="9"/>
      <c r="K6131" s="11"/>
      <c r="L6131" s="9"/>
      <c r="M6131" s="11"/>
      <c r="N6131" s="9" t="s">
        <v>801</v>
      </c>
    </row>
    <row r="6132" ht="25" customHeight="1" spans="1:14">
      <c r="A6132" s="9" t="s">
        <v>207</v>
      </c>
      <c r="B6132" s="9" t="s">
        <v>206</v>
      </c>
      <c r="C6132" s="10">
        <v>45777</v>
      </c>
      <c r="D6132" s="15">
        <v>1.043</v>
      </c>
      <c r="E6132" s="15">
        <v>1.043</v>
      </c>
      <c r="F6132" s="15">
        <v>1.043</v>
      </c>
      <c r="G6132" s="11">
        <v>0.0023</v>
      </c>
      <c r="H6132" s="9">
        <f>MAX($F$6113:F6132)</f>
        <v>1.043</v>
      </c>
      <c r="I6132" s="11">
        <f t="shared" si="153"/>
        <v>0</v>
      </c>
      <c r="J6132" s="9"/>
      <c r="K6132" s="11"/>
      <c r="L6132" s="9"/>
      <c r="M6132" s="11"/>
      <c r="N6132" s="9" t="s">
        <v>801</v>
      </c>
    </row>
    <row r="6133" ht="25" customHeight="1" spans="1:14">
      <c r="A6133" s="9" t="s">
        <v>207</v>
      </c>
      <c r="B6133" s="9" t="s">
        <v>206</v>
      </c>
      <c r="C6133" s="10">
        <v>45786</v>
      </c>
      <c r="D6133" s="15">
        <v>1.0432</v>
      </c>
      <c r="E6133" s="15">
        <v>1.0432</v>
      </c>
      <c r="F6133" s="15">
        <v>1.0432</v>
      </c>
      <c r="G6133" s="11">
        <v>0.0002</v>
      </c>
      <c r="H6133" s="9">
        <f>MAX($F$6113:F6133)</f>
        <v>1.0432</v>
      </c>
      <c r="I6133" s="11">
        <f t="shared" si="153"/>
        <v>0</v>
      </c>
      <c r="J6133" s="9"/>
      <c r="K6133" s="11"/>
      <c r="L6133" s="9"/>
      <c r="M6133" s="11"/>
      <c r="N6133" s="9" t="s">
        <v>801</v>
      </c>
    </row>
    <row r="6134" ht="25" customHeight="1" spans="1:14">
      <c r="A6134" s="9" t="s">
        <v>207</v>
      </c>
      <c r="B6134" s="9" t="s">
        <v>206</v>
      </c>
      <c r="C6134" s="10">
        <v>45793</v>
      </c>
      <c r="D6134" s="15">
        <v>1.0486</v>
      </c>
      <c r="E6134" s="15">
        <v>1.0486</v>
      </c>
      <c r="F6134" s="15">
        <v>1.0486</v>
      </c>
      <c r="G6134" s="11">
        <v>0.0052</v>
      </c>
      <c r="H6134" s="9">
        <f>MAX($F$6113:F6134)</f>
        <v>1.0486</v>
      </c>
      <c r="I6134" s="11">
        <f t="shared" si="153"/>
        <v>0</v>
      </c>
      <c r="J6134" s="9"/>
      <c r="K6134" s="11"/>
      <c r="L6134" s="9"/>
      <c r="M6134" s="11"/>
      <c r="N6134" s="9" t="s">
        <v>801</v>
      </c>
    </row>
    <row r="6135" ht="25" customHeight="1" spans="1:14">
      <c r="A6135" s="9" t="s">
        <v>207</v>
      </c>
      <c r="B6135" s="9" t="s">
        <v>206</v>
      </c>
      <c r="C6135" s="10">
        <v>45800</v>
      </c>
      <c r="D6135" s="15">
        <v>1.0482</v>
      </c>
      <c r="E6135" s="15">
        <v>1.0482</v>
      </c>
      <c r="F6135" s="15">
        <v>1.0482</v>
      </c>
      <c r="G6135" s="11">
        <v>-0.0004</v>
      </c>
      <c r="H6135" s="9">
        <f>MAX($F$6113:F6135)</f>
        <v>1.0486</v>
      </c>
      <c r="I6135" s="11">
        <f t="shared" si="153"/>
        <v>0.000381460995613203</v>
      </c>
      <c r="J6135" s="9"/>
      <c r="K6135" s="11"/>
      <c r="L6135" s="9"/>
      <c r="M6135" s="11"/>
      <c r="N6135" s="9" t="s">
        <v>801</v>
      </c>
    </row>
    <row r="6136" ht="25" customHeight="1" spans="1:14">
      <c r="A6136" s="9" t="s">
        <v>207</v>
      </c>
      <c r="B6136" s="9" t="s">
        <v>206</v>
      </c>
      <c r="C6136" s="10">
        <v>45807</v>
      </c>
      <c r="D6136" s="15">
        <v>1.0509</v>
      </c>
      <c r="E6136" s="15">
        <v>1.0509</v>
      </c>
      <c r="F6136" s="15">
        <v>1.0509</v>
      </c>
      <c r="G6136" s="11">
        <v>0.0026</v>
      </c>
      <c r="H6136" s="9">
        <f>MAX($F$6113:F6136)</f>
        <v>1.0509</v>
      </c>
      <c r="I6136" s="11">
        <f t="shared" si="153"/>
        <v>0</v>
      </c>
      <c r="J6136" s="9"/>
      <c r="K6136" s="11"/>
      <c r="L6136" s="9"/>
      <c r="M6136" s="11"/>
      <c r="N6136" s="9" t="s">
        <v>801</v>
      </c>
    </row>
    <row r="6137" ht="25" customHeight="1" spans="1:14">
      <c r="A6137" s="9" t="s">
        <v>207</v>
      </c>
      <c r="B6137" s="9" t="s">
        <v>206</v>
      </c>
      <c r="C6137" s="10">
        <v>45814</v>
      </c>
      <c r="D6137" s="15">
        <v>1.054</v>
      </c>
      <c r="E6137" s="15">
        <v>1.054</v>
      </c>
      <c r="F6137" s="15">
        <v>1.054</v>
      </c>
      <c r="G6137" s="11">
        <v>0.0029</v>
      </c>
      <c r="H6137" s="9">
        <f>MAX($F$6113:F6137)</f>
        <v>1.054</v>
      </c>
      <c r="I6137" s="11">
        <f t="shared" si="153"/>
        <v>0</v>
      </c>
      <c r="J6137" s="9"/>
      <c r="K6137" s="11"/>
      <c r="L6137" s="9"/>
      <c r="M6137" s="11"/>
      <c r="N6137" s="9" t="s">
        <v>801</v>
      </c>
    </row>
    <row r="6138" ht="25" customHeight="1" spans="1:14">
      <c r="A6138" s="9" t="s">
        <v>207</v>
      </c>
      <c r="B6138" s="9" t="s">
        <v>206</v>
      </c>
      <c r="C6138" s="10">
        <v>45821</v>
      </c>
      <c r="D6138" s="15">
        <v>1.0559</v>
      </c>
      <c r="E6138" s="15">
        <v>1.0559</v>
      </c>
      <c r="F6138" s="15">
        <v>1.0559</v>
      </c>
      <c r="G6138" s="11">
        <v>0.0018</v>
      </c>
      <c r="H6138" s="9">
        <f>MAX($F$6113:F6138)</f>
        <v>1.0559</v>
      </c>
      <c r="I6138" s="11">
        <f t="shared" si="153"/>
        <v>0</v>
      </c>
      <c r="J6138" s="9"/>
      <c r="K6138" s="11"/>
      <c r="L6138" s="9"/>
      <c r="M6138" s="11"/>
      <c r="N6138" s="9" t="s">
        <v>801</v>
      </c>
    </row>
    <row r="6139" ht="25" customHeight="1" spans="1:14">
      <c r="A6139" s="9" t="s">
        <v>207</v>
      </c>
      <c r="B6139" s="9" t="s">
        <v>206</v>
      </c>
      <c r="C6139" s="10">
        <v>45828</v>
      </c>
      <c r="D6139" s="15">
        <v>1.0492</v>
      </c>
      <c r="E6139" s="15">
        <v>1.0492</v>
      </c>
      <c r="F6139" s="15">
        <v>1.0492</v>
      </c>
      <c r="G6139" s="11">
        <v>-0.0063</v>
      </c>
      <c r="H6139" s="9">
        <f>MAX($F$6113:F6139)</f>
        <v>1.0559</v>
      </c>
      <c r="I6139" s="11">
        <f t="shared" si="153"/>
        <v>0.00634529785017535</v>
      </c>
      <c r="J6139" s="9"/>
      <c r="K6139" s="11"/>
      <c r="L6139" s="9"/>
      <c r="M6139" s="11"/>
      <c r="N6139" s="9" t="s">
        <v>801</v>
      </c>
    </row>
    <row r="6140" ht="25" customHeight="1" spans="1:14">
      <c r="A6140" s="9" t="s">
        <v>207</v>
      </c>
      <c r="B6140" s="9" t="s">
        <v>206</v>
      </c>
      <c r="C6140" s="10">
        <v>45835</v>
      </c>
      <c r="D6140" s="15">
        <v>1.0657</v>
      </c>
      <c r="E6140" s="15">
        <v>1.0657</v>
      </c>
      <c r="F6140" s="15">
        <v>1.0657</v>
      </c>
      <c r="G6140" s="11">
        <v>0.0157</v>
      </c>
      <c r="H6140" s="9">
        <f>MAX($F$6113:F6140)</f>
        <v>1.0657</v>
      </c>
      <c r="I6140" s="11">
        <f t="shared" si="153"/>
        <v>0</v>
      </c>
      <c r="J6140" s="9"/>
      <c r="K6140" s="11"/>
      <c r="L6140" s="9"/>
      <c r="M6140" s="11"/>
      <c r="N6140" s="9" t="s">
        <v>801</v>
      </c>
    </row>
    <row r="6141" ht="25" customHeight="1" spans="1:14">
      <c r="A6141" s="9" t="s">
        <v>207</v>
      </c>
      <c r="B6141" s="9" t="s">
        <v>206</v>
      </c>
      <c r="C6141" s="10">
        <v>45841</v>
      </c>
      <c r="D6141" s="15">
        <v>1.0532</v>
      </c>
      <c r="E6141" s="15">
        <v>1.0532</v>
      </c>
      <c r="F6141" s="15">
        <v>1.0532</v>
      </c>
      <c r="G6141" s="11">
        <v>-0.0117</v>
      </c>
      <c r="H6141" s="9">
        <f>MAX($F$6113:F6141)</f>
        <v>1.0657</v>
      </c>
      <c r="I6141" s="11">
        <f t="shared" si="153"/>
        <v>0.011729379750399</v>
      </c>
      <c r="J6141" s="9"/>
      <c r="K6141" s="11"/>
      <c r="L6141" s="9"/>
      <c r="M6141" s="11"/>
      <c r="N6141" s="9" t="s">
        <v>801</v>
      </c>
    </row>
    <row r="6142" ht="25" customHeight="1" spans="1:14">
      <c r="A6142" s="9" t="s">
        <v>207</v>
      </c>
      <c r="B6142" s="9" t="s">
        <v>206</v>
      </c>
      <c r="C6142" s="10">
        <v>45842</v>
      </c>
      <c r="D6142" s="15">
        <v>1.0576</v>
      </c>
      <c r="E6142" s="15">
        <v>1.0576</v>
      </c>
      <c r="F6142" s="15">
        <v>1.0576</v>
      </c>
      <c r="G6142" s="11">
        <v>0.0042</v>
      </c>
      <c r="H6142" s="9">
        <f>MAX($F$6113:F6142)</f>
        <v>1.0657</v>
      </c>
      <c r="I6142" s="11">
        <f t="shared" si="153"/>
        <v>0.00760063807825839</v>
      </c>
      <c r="J6142" s="9"/>
      <c r="K6142" s="11"/>
      <c r="L6142" s="9"/>
      <c r="M6142" s="11"/>
      <c r="N6142" s="9" t="s">
        <v>801</v>
      </c>
    </row>
    <row r="6143" ht="25" customHeight="1" spans="1:14">
      <c r="A6143" s="9" t="s">
        <v>207</v>
      </c>
      <c r="B6143" s="9" t="s">
        <v>206</v>
      </c>
      <c r="C6143" s="10">
        <v>45849</v>
      </c>
      <c r="D6143" s="15">
        <v>1.0598</v>
      </c>
      <c r="E6143" s="15">
        <v>1.0598</v>
      </c>
      <c r="F6143" s="15">
        <v>1.0598</v>
      </c>
      <c r="G6143" s="11">
        <v>0.0021</v>
      </c>
      <c r="H6143" s="9">
        <f>MAX($F$6113:F6143)</f>
        <v>1.0657</v>
      </c>
      <c r="I6143" s="11">
        <f t="shared" si="153"/>
        <v>0.00553626724218825</v>
      </c>
      <c r="J6143" s="9"/>
      <c r="K6143" s="11"/>
      <c r="L6143" s="9"/>
      <c r="M6143" s="11"/>
      <c r="N6143" s="9" t="s">
        <v>801</v>
      </c>
    </row>
    <row r="6144" ht="25" customHeight="1" spans="1:14">
      <c r="A6144" s="9" t="s">
        <v>207</v>
      </c>
      <c r="B6144" s="9" t="s">
        <v>206</v>
      </c>
      <c r="C6144" s="10">
        <v>45856</v>
      </c>
      <c r="D6144" s="15">
        <v>1.0678</v>
      </c>
      <c r="E6144" s="15">
        <v>1.0678</v>
      </c>
      <c r="F6144" s="15">
        <v>1.0678</v>
      </c>
      <c r="G6144" s="11">
        <v>0.0075</v>
      </c>
      <c r="H6144" s="9">
        <f>MAX($F$6113:F6144)</f>
        <v>1.0678</v>
      </c>
      <c r="I6144" s="11">
        <f t="shared" si="153"/>
        <v>0</v>
      </c>
      <c r="J6144" s="9"/>
      <c r="K6144" s="11"/>
      <c r="L6144" s="9"/>
      <c r="M6144" s="11"/>
      <c r="N6144" s="9" t="s">
        <v>801</v>
      </c>
    </row>
    <row r="6145" ht="25" customHeight="1" spans="1:14">
      <c r="A6145" s="9" t="s">
        <v>207</v>
      </c>
      <c r="B6145" s="9" t="s">
        <v>206</v>
      </c>
      <c r="C6145" s="10">
        <v>45863</v>
      </c>
      <c r="D6145" s="15">
        <v>1.022</v>
      </c>
      <c r="E6145" s="15">
        <v>1.022</v>
      </c>
      <c r="F6145" s="15">
        <v>1.022</v>
      </c>
      <c r="G6145" s="11">
        <v>-0.0429</v>
      </c>
      <c r="H6145" s="9">
        <f>MAX($F$6113:F6145)</f>
        <v>1.0678</v>
      </c>
      <c r="I6145" s="11">
        <f t="shared" si="153"/>
        <v>0.0428919273272149</v>
      </c>
      <c r="J6145" s="9"/>
      <c r="K6145" s="11"/>
      <c r="L6145" s="9"/>
      <c r="M6145" s="11"/>
      <c r="N6145" s="9" t="s">
        <v>801</v>
      </c>
    </row>
    <row r="6146" ht="25" customHeight="1" spans="1:14">
      <c r="A6146" s="9" t="s">
        <v>207</v>
      </c>
      <c r="B6146" s="9" t="s">
        <v>206</v>
      </c>
      <c r="C6146" s="10">
        <v>45869</v>
      </c>
      <c r="D6146" s="15">
        <v>1.0212</v>
      </c>
      <c r="E6146" s="15">
        <v>1.0212</v>
      </c>
      <c r="F6146" s="15">
        <v>1.0212</v>
      </c>
      <c r="G6146" s="11">
        <v>-0.0008</v>
      </c>
      <c r="H6146" s="9">
        <f>MAX($F$6113:F6146)</f>
        <v>1.0678</v>
      </c>
      <c r="I6146" s="11">
        <f t="shared" ref="I6146:I6209" si="154">1-F6146/H6146</f>
        <v>0.0436411312979958</v>
      </c>
      <c r="J6146" s="9"/>
      <c r="K6146" s="11"/>
      <c r="L6146" s="9"/>
      <c r="M6146" s="11"/>
      <c r="N6146" s="9" t="s">
        <v>801</v>
      </c>
    </row>
    <row r="6147" ht="25" customHeight="1" spans="1:14">
      <c r="A6147" s="9" t="s">
        <v>207</v>
      </c>
      <c r="B6147" s="9" t="s">
        <v>206</v>
      </c>
      <c r="C6147" s="10">
        <v>45870</v>
      </c>
      <c r="D6147" s="15">
        <v>1.028</v>
      </c>
      <c r="E6147" s="15">
        <v>1.028</v>
      </c>
      <c r="F6147" s="15">
        <v>1.028</v>
      </c>
      <c r="G6147" s="11">
        <v>0.0067</v>
      </c>
      <c r="H6147" s="9">
        <f>MAX($F$6113:F6147)</f>
        <v>1.0678</v>
      </c>
      <c r="I6147" s="11">
        <f t="shared" si="154"/>
        <v>0.0372728975463571</v>
      </c>
      <c r="J6147" s="9"/>
      <c r="K6147" s="11"/>
      <c r="L6147" s="9"/>
      <c r="M6147" s="11"/>
      <c r="N6147" s="9" t="s">
        <v>801</v>
      </c>
    </row>
    <row r="6148" ht="25" customHeight="1" spans="1:14">
      <c r="A6148" s="9" t="s">
        <v>207</v>
      </c>
      <c r="B6148" s="9" t="s">
        <v>206</v>
      </c>
      <c r="C6148" s="10">
        <v>45877</v>
      </c>
      <c r="D6148" s="15">
        <v>1.0235</v>
      </c>
      <c r="E6148" s="15">
        <v>1.0235</v>
      </c>
      <c r="F6148" s="15">
        <v>1.0235</v>
      </c>
      <c r="G6148" s="11">
        <v>-0.0044</v>
      </c>
      <c r="H6148" s="9">
        <f>MAX($F$6113:F6148)</f>
        <v>1.0678</v>
      </c>
      <c r="I6148" s="11">
        <f t="shared" si="154"/>
        <v>0.0414871698820004</v>
      </c>
      <c r="J6148" s="9"/>
      <c r="K6148" s="11"/>
      <c r="L6148" s="9"/>
      <c r="M6148" s="11"/>
      <c r="N6148" s="9" t="s">
        <v>801</v>
      </c>
    </row>
    <row r="6149" ht="25" customHeight="1" spans="1:14">
      <c r="A6149" s="9" t="s">
        <v>207</v>
      </c>
      <c r="B6149" s="9" t="s">
        <v>206</v>
      </c>
      <c r="C6149" s="10">
        <v>45884</v>
      </c>
      <c r="D6149" s="15">
        <v>1.0243</v>
      </c>
      <c r="E6149" s="15">
        <v>1.0243</v>
      </c>
      <c r="F6149" s="15">
        <v>1.0243</v>
      </c>
      <c r="G6149" s="11">
        <v>0.0008</v>
      </c>
      <c r="H6149" s="9">
        <f>MAX($F$6113:F6149)</f>
        <v>1.0678</v>
      </c>
      <c r="I6149" s="11">
        <f t="shared" si="154"/>
        <v>0.0407379659112194</v>
      </c>
      <c r="J6149" s="9"/>
      <c r="K6149" s="11"/>
      <c r="L6149" s="9"/>
      <c r="M6149" s="11"/>
      <c r="N6149" s="9" t="s">
        <v>801</v>
      </c>
    </row>
    <row r="6150" ht="25" customHeight="1" spans="1:14">
      <c r="A6150" s="9" t="s">
        <v>207</v>
      </c>
      <c r="B6150" s="9" t="s">
        <v>206</v>
      </c>
      <c r="C6150" s="10">
        <v>45891</v>
      </c>
      <c r="D6150" s="15">
        <v>1.0348</v>
      </c>
      <c r="E6150" s="15">
        <v>1.0348</v>
      </c>
      <c r="F6150" s="15">
        <v>1.0348</v>
      </c>
      <c r="G6150" s="11">
        <v>0.0103</v>
      </c>
      <c r="H6150" s="9">
        <f>MAX($F$6113:F6150)</f>
        <v>1.0678</v>
      </c>
      <c r="I6150" s="11">
        <f t="shared" si="154"/>
        <v>0.0309046637947182</v>
      </c>
      <c r="J6150" s="9"/>
      <c r="K6150" s="11"/>
      <c r="L6150" s="9"/>
      <c r="M6150" s="11"/>
      <c r="N6150" s="9" t="s">
        <v>801</v>
      </c>
    </row>
    <row r="6151" ht="25" customHeight="1" spans="1:14">
      <c r="A6151" s="9" t="s">
        <v>207</v>
      </c>
      <c r="B6151" s="9" t="s">
        <v>206</v>
      </c>
      <c r="C6151" s="10">
        <v>45898</v>
      </c>
      <c r="D6151" s="15">
        <v>1.0335</v>
      </c>
      <c r="E6151" s="15">
        <v>1.0335</v>
      </c>
      <c r="F6151" s="15">
        <v>1.0335</v>
      </c>
      <c r="G6151" s="11">
        <v>-0.0013</v>
      </c>
      <c r="H6151" s="9">
        <f>MAX($F$6113:F6151)</f>
        <v>1.0678</v>
      </c>
      <c r="I6151" s="11">
        <f t="shared" si="154"/>
        <v>0.0321221202472373</v>
      </c>
      <c r="J6151" s="9">
        <f>MAX($F$6151:F6151)</f>
        <v>1.0335</v>
      </c>
      <c r="K6151" s="11">
        <f t="shared" ref="K6151:K6209" si="155">1-F6151/J6151</f>
        <v>0</v>
      </c>
      <c r="L6151" s="9"/>
      <c r="M6151" s="11"/>
      <c r="N6151" s="9" t="s">
        <v>801</v>
      </c>
    </row>
    <row r="6152" ht="25" customHeight="1" spans="1:14">
      <c r="A6152" s="9" t="s">
        <v>207</v>
      </c>
      <c r="B6152" s="9" t="s">
        <v>206</v>
      </c>
      <c r="C6152" s="10">
        <v>45905</v>
      </c>
      <c r="D6152" s="15">
        <v>1.0413</v>
      </c>
      <c r="E6152" s="15">
        <v>1.0413</v>
      </c>
      <c r="F6152" s="15">
        <v>1.0413</v>
      </c>
      <c r="G6152" s="11">
        <v>0.0075</v>
      </c>
      <c r="H6152" s="9">
        <f>MAX($F$6113:F6152)</f>
        <v>1.0678</v>
      </c>
      <c r="I6152" s="11">
        <f t="shared" si="154"/>
        <v>0.0248173815321223</v>
      </c>
      <c r="J6152" s="9">
        <f>MAX($F$6151:F6152)</f>
        <v>1.0413</v>
      </c>
      <c r="K6152" s="11">
        <f t="shared" si="155"/>
        <v>0</v>
      </c>
      <c r="L6152" s="9"/>
      <c r="M6152" s="11"/>
      <c r="N6152" s="9" t="s">
        <v>801</v>
      </c>
    </row>
    <row r="6153" ht="25" customHeight="1" spans="1:14">
      <c r="A6153" s="9" t="s">
        <v>207</v>
      </c>
      <c r="B6153" s="9" t="s">
        <v>206</v>
      </c>
      <c r="C6153" s="10">
        <v>45912</v>
      </c>
      <c r="D6153" s="15">
        <v>1.0449</v>
      </c>
      <c r="E6153" s="15">
        <v>1.0449</v>
      </c>
      <c r="F6153" s="15">
        <v>1.0449</v>
      </c>
      <c r="G6153" s="11">
        <v>0.0035</v>
      </c>
      <c r="H6153" s="9">
        <f>MAX($F$6113:F6153)</f>
        <v>1.0678</v>
      </c>
      <c r="I6153" s="11">
        <f t="shared" si="154"/>
        <v>0.0214459636636075</v>
      </c>
      <c r="J6153" s="9">
        <f>MAX($F$6151:F6153)</f>
        <v>1.0449</v>
      </c>
      <c r="K6153" s="11">
        <f t="shared" si="155"/>
        <v>0</v>
      </c>
      <c r="L6153" s="9"/>
      <c r="M6153" s="11"/>
      <c r="N6153" s="9" t="s">
        <v>801</v>
      </c>
    </row>
    <row r="6154" ht="25" customHeight="1" spans="1:14">
      <c r="A6154" s="9" t="s">
        <v>207</v>
      </c>
      <c r="B6154" s="9" t="s">
        <v>206</v>
      </c>
      <c r="C6154" s="10">
        <v>45919</v>
      </c>
      <c r="D6154" s="15">
        <v>1.0402</v>
      </c>
      <c r="E6154" s="15">
        <v>1.0402</v>
      </c>
      <c r="F6154" s="15">
        <v>1.0402</v>
      </c>
      <c r="G6154" s="11">
        <v>-0.0045</v>
      </c>
      <c r="H6154" s="9">
        <f>MAX($F$6113:F6154)</f>
        <v>1.0678</v>
      </c>
      <c r="I6154" s="11">
        <f t="shared" si="154"/>
        <v>0.0258475369919461</v>
      </c>
      <c r="J6154" s="9">
        <f>MAX($F$6151:F6154)</f>
        <v>1.0449</v>
      </c>
      <c r="K6154" s="11">
        <f t="shared" si="155"/>
        <v>0.00449803808976934</v>
      </c>
      <c r="L6154" s="9"/>
      <c r="M6154" s="11"/>
      <c r="N6154" s="9" t="s">
        <v>801</v>
      </c>
    </row>
    <row r="6155" ht="25" customHeight="1" spans="1:14">
      <c r="A6155" s="9" t="s">
        <v>207</v>
      </c>
      <c r="B6155" s="9" t="s">
        <v>206</v>
      </c>
      <c r="C6155" s="10">
        <v>45926</v>
      </c>
      <c r="D6155" s="15">
        <v>1.0581</v>
      </c>
      <c r="E6155" s="15">
        <v>1.0581</v>
      </c>
      <c r="F6155" s="15">
        <v>1.0581</v>
      </c>
      <c r="G6155" s="11">
        <v>0.0172</v>
      </c>
      <c r="H6155" s="9">
        <f>MAX($F$6113:F6155)</f>
        <v>1.0678</v>
      </c>
      <c r="I6155" s="11">
        <f t="shared" si="154"/>
        <v>0.0090840981457202</v>
      </c>
      <c r="J6155" s="9">
        <f>MAX($F$6151:F6155)</f>
        <v>1.0581</v>
      </c>
      <c r="K6155" s="11">
        <f t="shared" si="155"/>
        <v>0</v>
      </c>
      <c r="L6155" s="9"/>
      <c r="M6155" s="11"/>
      <c r="N6155" s="9" t="s">
        <v>801</v>
      </c>
    </row>
    <row r="6156" ht="25" customHeight="1" spans="1:14">
      <c r="A6156" s="9" t="s">
        <v>207</v>
      </c>
      <c r="B6156" s="9" t="s">
        <v>206</v>
      </c>
      <c r="C6156" s="10">
        <v>45930</v>
      </c>
      <c r="D6156" s="15">
        <v>1.0577</v>
      </c>
      <c r="E6156" s="15">
        <v>1.0577</v>
      </c>
      <c r="F6156" s="15">
        <v>1.0577</v>
      </c>
      <c r="G6156" s="11">
        <v>-0.0004</v>
      </c>
      <c r="H6156" s="9">
        <f>MAX($F$6113:F6156)</f>
        <v>1.0678</v>
      </c>
      <c r="I6156" s="11">
        <f t="shared" si="154"/>
        <v>0.00945870013111072</v>
      </c>
      <c r="J6156" s="9">
        <f>MAX($F$6151:F6156)</f>
        <v>1.0581</v>
      </c>
      <c r="K6156" s="11">
        <f t="shared" si="155"/>
        <v>0.000378036102447687</v>
      </c>
      <c r="L6156" s="9"/>
      <c r="M6156" s="11"/>
      <c r="N6156" s="9" t="s">
        <v>801</v>
      </c>
    </row>
    <row r="6157" ht="25" customHeight="1" spans="1:14">
      <c r="A6157" s="9" t="s">
        <v>207</v>
      </c>
      <c r="B6157" s="9" t="s">
        <v>206</v>
      </c>
      <c r="C6157" s="10">
        <v>45940</v>
      </c>
      <c r="D6157" s="15">
        <v>1.052</v>
      </c>
      <c r="E6157" s="15">
        <v>1.052</v>
      </c>
      <c r="F6157" s="15">
        <v>1.052</v>
      </c>
      <c r="G6157" s="11">
        <v>-0.0054</v>
      </c>
      <c r="H6157" s="9">
        <f>MAX($F$6113:F6157)</f>
        <v>1.0678</v>
      </c>
      <c r="I6157" s="11">
        <f t="shared" si="154"/>
        <v>0.0147967784229257</v>
      </c>
      <c r="J6157" s="9">
        <f>MAX($F$6151:F6157)</f>
        <v>1.0581</v>
      </c>
      <c r="K6157" s="11">
        <f t="shared" si="155"/>
        <v>0.00576505056232868</v>
      </c>
      <c r="L6157" s="9"/>
      <c r="M6157" s="11"/>
      <c r="N6157" s="9" t="s">
        <v>801</v>
      </c>
    </row>
    <row r="6158" ht="25" customHeight="1" spans="1:14">
      <c r="A6158" s="9" t="s">
        <v>207</v>
      </c>
      <c r="B6158" s="9" t="s">
        <v>206</v>
      </c>
      <c r="C6158" s="10">
        <v>45947</v>
      </c>
      <c r="D6158" s="15">
        <v>1.0622</v>
      </c>
      <c r="E6158" s="15">
        <v>1.0622</v>
      </c>
      <c r="F6158" s="15">
        <v>1.0622</v>
      </c>
      <c r="G6158" s="11">
        <v>0.0097</v>
      </c>
      <c r="H6158" s="9">
        <f>MAX($F$6113:F6158)</f>
        <v>1.0678</v>
      </c>
      <c r="I6158" s="11">
        <f t="shared" si="154"/>
        <v>0.00524442779546741</v>
      </c>
      <c r="J6158" s="9">
        <f>MAX($F$6151:F6158)</f>
        <v>1.0622</v>
      </c>
      <c r="K6158" s="11">
        <f t="shared" si="155"/>
        <v>0</v>
      </c>
      <c r="L6158" s="9"/>
      <c r="M6158" s="11"/>
      <c r="N6158" s="9" t="s">
        <v>801</v>
      </c>
    </row>
    <row r="6159" ht="25" customHeight="1" spans="1:14">
      <c r="A6159" s="9" t="s">
        <v>207</v>
      </c>
      <c r="B6159" s="9" t="s">
        <v>206</v>
      </c>
      <c r="C6159" s="10">
        <v>45954</v>
      </c>
      <c r="D6159" s="15">
        <v>1.0648</v>
      </c>
      <c r="E6159" s="15">
        <v>1.0648</v>
      </c>
      <c r="F6159" s="15">
        <v>1.0648</v>
      </c>
      <c r="G6159" s="11">
        <v>0.0024</v>
      </c>
      <c r="H6159" s="9">
        <f>MAX($F$6113:F6159)</f>
        <v>1.0678</v>
      </c>
      <c r="I6159" s="11">
        <f t="shared" si="154"/>
        <v>0.00280951489042902</v>
      </c>
      <c r="J6159" s="9">
        <f>MAX($F$6151:F6159)</f>
        <v>1.0648</v>
      </c>
      <c r="K6159" s="11">
        <f t="shared" si="155"/>
        <v>0</v>
      </c>
      <c r="L6159" s="9"/>
      <c r="M6159" s="11"/>
      <c r="N6159" s="9" t="s">
        <v>801</v>
      </c>
    </row>
    <row r="6160" ht="25" customHeight="1" spans="1:14">
      <c r="A6160" s="9" t="s">
        <v>207</v>
      </c>
      <c r="B6160" s="9" t="s">
        <v>206</v>
      </c>
      <c r="C6160" s="10">
        <v>45961</v>
      </c>
      <c r="D6160" s="15">
        <v>1.0682</v>
      </c>
      <c r="E6160" s="15">
        <v>1.0682</v>
      </c>
      <c r="F6160" s="15">
        <v>1.0682</v>
      </c>
      <c r="G6160" s="11">
        <v>0.0032</v>
      </c>
      <c r="H6160" s="9">
        <f>MAX($F$6113:F6160)</f>
        <v>1.0682</v>
      </c>
      <c r="I6160" s="11">
        <f t="shared" si="154"/>
        <v>0</v>
      </c>
      <c r="J6160" s="9">
        <f>MAX($F$6151:F6160)</f>
        <v>1.0682</v>
      </c>
      <c r="K6160" s="11">
        <f t="shared" si="155"/>
        <v>0</v>
      </c>
      <c r="L6160" s="9"/>
      <c r="M6160" s="11"/>
      <c r="N6160" s="9" t="s">
        <v>801</v>
      </c>
    </row>
    <row r="6161" ht="25" customHeight="1" spans="1:14">
      <c r="A6161" s="9" t="s">
        <v>207</v>
      </c>
      <c r="B6161" s="9" t="s">
        <v>206</v>
      </c>
      <c r="C6161" s="10">
        <v>45968</v>
      </c>
      <c r="D6161" s="15">
        <v>1.0647</v>
      </c>
      <c r="E6161" s="15">
        <v>1.0647</v>
      </c>
      <c r="F6161" s="15">
        <v>1.0647</v>
      </c>
      <c r="G6161" s="11">
        <v>-0.0033</v>
      </c>
      <c r="H6161" s="9">
        <f>MAX($F$6113:F6161)</f>
        <v>1.0682</v>
      </c>
      <c r="I6161" s="11">
        <f t="shared" si="154"/>
        <v>0.00327653997378774</v>
      </c>
      <c r="J6161" s="9">
        <f>MAX($F$6151:F6161)</f>
        <v>1.0682</v>
      </c>
      <c r="K6161" s="11">
        <f t="shared" si="155"/>
        <v>0.00327653997378774</v>
      </c>
      <c r="L6161" s="9"/>
      <c r="M6161" s="11"/>
      <c r="N6161" s="9" t="s">
        <v>801</v>
      </c>
    </row>
    <row r="6162" ht="25" customHeight="1" spans="1:14">
      <c r="A6162" s="9" t="s">
        <v>207</v>
      </c>
      <c r="B6162" s="9" t="s">
        <v>206</v>
      </c>
      <c r="C6162" s="10">
        <v>45975</v>
      </c>
      <c r="D6162" s="15">
        <v>1.0684</v>
      </c>
      <c r="E6162" s="15">
        <v>1.0684</v>
      </c>
      <c r="F6162" s="15">
        <v>1.0684</v>
      </c>
      <c r="G6162" s="11">
        <v>0.0035</v>
      </c>
      <c r="H6162" s="9">
        <f>MAX($F$6113:F6162)</f>
        <v>1.0684</v>
      </c>
      <c r="I6162" s="11">
        <f t="shared" si="154"/>
        <v>0</v>
      </c>
      <c r="J6162" s="9">
        <f>MAX($F$6151:F6162)</f>
        <v>1.0684</v>
      </c>
      <c r="K6162" s="11">
        <f t="shared" si="155"/>
        <v>0</v>
      </c>
      <c r="L6162" s="9"/>
      <c r="M6162" s="11"/>
      <c r="N6162" s="9" t="s">
        <v>801</v>
      </c>
    </row>
    <row r="6163" ht="25" customHeight="1" spans="1:14">
      <c r="A6163" s="9" t="s">
        <v>207</v>
      </c>
      <c r="B6163" s="9" t="s">
        <v>206</v>
      </c>
      <c r="C6163" s="10">
        <v>45982</v>
      </c>
      <c r="D6163" s="15">
        <v>1.0861</v>
      </c>
      <c r="E6163" s="15">
        <v>1.0861</v>
      </c>
      <c r="F6163" s="15">
        <v>1.0861</v>
      </c>
      <c r="G6163" s="11">
        <v>0.0166</v>
      </c>
      <c r="H6163" s="9">
        <f>MAX($F$6113:F6163)</f>
        <v>1.0861</v>
      </c>
      <c r="I6163" s="11">
        <f t="shared" si="154"/>
        <v>0</v>
      </c>
      <c r="J6163" s="9">
        <f>MAX($F$6151:F6163)</f>
        <v>1.0861</v>
      </c>
      <c r="K6163" s="11">
        <f t="shared" si="155"/>
        <v>0</v>
      </c>
      <c r="L6163" s="9"/>
      <c r="M6163" s="11"/>
      <c r="N6163" s="9" t="s">
        <v>801</v>
      </c>
    </row>
    <row r="6164" ht="25" customHeight="1" spans="1:14">
      <c r="A6164" s="9" t="s">
        <v>207</v>
      </c>
      <c r="B6164" s="9" t="s">
        <v>206</v>
      </c>
      <c r="C6164" s="10">
        <v>45989</v>
      </c>
      <c r="D6164" s="15">
        <v>1.0785</v>
      </c>
      <c r="E6164" s="15">
        <v>1.0785</v>
      </c>
      <c r="F6164" s="15">
        <v>1.0785</v>
      </c>
      <c r="G6164" s="11">
        <v>-0.007</v>
      </c>
      <c r="H6164" s="9">
        <f>MAX($F$6113:F6164)</f>
        <v>1.0861</v>
      </c>
      <c r="I6164" s="11">
        <f t="shared" si="154"/>
        <v>0.00699751404106441</v>
      </c>
      <c r="J6164" s="9">
        <f>MAX($F$6151:F6164)</f>
        <v>1.0861</v>
      </c>
      <c r="K6164" s="11">
        <f t="shared" si="155"/>
        <v>0.00699751404106441</v>
      </c>
      <c r="L6164" s="9"/>
      <c r="M6164" s="11"/>
      <c r="N6164" s="9" t="s">
        <v>801</v>
      </c>
    </row>
    <row r="6165" ht="25" customHeight="1" spans="1:14">
      <c r="A6165" s="9" t="s">
        <v>207</v>
      </c>
      <c r="B6165" s="9" t="s">
        <v>206</v>
      </c>
      <c r="C6165" s="10">
        <v>45996</v>
      </c>
      <c r="D6165" s="15">
        <v>1.0709</v>
      </c>
      <c r="E6165" s="15">
        <v>1.0709</v>
      </c>
      <c r="F6165" s="15">
        <v>1.0709</v>
      </c>
      <c r="G6165" s="11">
        <v>-0.007</v>
      </c>
      <c r="H6165" s="9">
        <f>MAX($F$6113:F6165)</f>
        <v>1.0861</v>
      </c>
      <c r="I6165" s="11">
        <f t="shared" si="154"/>
        <v>0.0139950280821288</v>
      </c>
      <c r="J6165" s="9">
        <f>MAX($F$6151:F6165)</f>
        <v>1.0861</v>
      </c>
      <c r="K6165" s="11">
        <f t="shared" si="155"/>
        <v>0.0139950280821288</v>
      </c>
      <c r="L6165" s="9"/>
      <c r="M6165" s="11"/>
      <c r="N6165" s="9" t="s">
        <v>801</v>
      </c>
    </row>
    <row r="6166" ht="25" customHeight="1" spans="1:14">
      <c r="A6166" s="9" t="s">
        <v>207</v>
      </c>
      <c r="B6166" s="9" t="s">
        <v>206</v>
      </c>
      <c r="C6166" s="10">
        <v>46003</v>
      </c>
      <c r="D6166" s="15">
        <v>1.0786</v>
      </c>
      <c r="E6166" s="15">
        <v>1.0786</v>
      </c>
      <c r="F6166" s="15">
        <v>1.0786</v>
      </c>
      <c r="G6166" s="11">
        <v>0.0072</v>
      </c>
      <c r="H6166" s="9">
        <f>MAX($F$6113:F6166)</f>
        <v>1.0861</v>
      </c>
      <c r="I6166" s="11">
        <f t="shared" si="154"/>
        <v>0.00690544148789252</v>
      </c>
      <c r="J6166" s="9">
        <f>MAX($F$6151:F6166)</f>
        <v>1.0861</v>
      </c>
      <c r="K6166" s="11">
        <f t="shared" si="155"/>
        <v>0.00690544148789252</v>
      </c>
      <c r="L6166" s="9"/>
      <c r="M6166" s="11"/>
      <c r="N6166" s="9" t="s">
        <v>801</v>
      </c>
    </row>
    <row r="6167" ht="25" customHeight="1" spans="1:14">
      <c r="A6167" s="9" t="s">
        <v>207</v>
      </c>
      <c r="B6167" s="9" t="s">
        <v>206</v>
      </c>
      <c r="C6167" s="10">
        <v>46010</v>
      </c>
      <c r="D6167" s="15">
        <v>1.0907</v>
      </c>
      <c r="E6167" s="15">
        <v>1.0907</v>
      </c>
      <c r="F6167" s="15">
        <v>1.0907</v>
      </c>
      <c r="G6167" s="11">
        <v>0.0112</v>
      </c>
      <c r="H6167" s="9">
        <f>MAX($F$6113:F6167)</f>
        <v>1.0907</v>
      </c>
      <c r="I6167" s="11">
        <f t="shared" si="154"/>
        <v>0</v>
      </c>
      <c r="J6167" s="9">
        <f>MAX($F$6151:F6167)</f>
        <v>1.0907</v>
      </c>
      <c r="K6167" s="11">
        <f t="shared" si="155"/>
        <v>0</v>
      </c>
      <c r="L6167" s="9"/>
      <c r="M6167" s="11"/>
      <c r="N6167" s="9" t="s">
        <v>801</v>
      </c>
    </row>
    <row r="6168" ht="25" customHeight="1" spans="1:14">
      <c r="A6168" s="9" t="s">
        <v>207</v>
      </c>
      <c r="B6168" s="9" t="s">
        <v>206</v>
      </c>
      <c r="C6168" s="10">
        <v>46022</v>
      </c>
      <c r="D6168" s="15">
        <v>1.0685</v>
      </c>
      <c r="E6168" s="15">
        <v>1.0685</v>
      </c>
      <c r="F6168" s="15">
        <v>1.0685</v>
      </c>
      <c r="G6168" s="11">
        <v>-0.0204</v>
      </c>
      <c r="H6168" s="9">
        <f>MAX($F$6113:F6168)</f>
        <v>1.0907</v>
      </c>
      <c r="I6168" s="11">
        <f t="shared" si="154"/>
        <v>0.0203539011643898</v>
      </c>
      <c r="J6168" s="9">
        <f>MAX($F$6151:F6168)</f>
        <v>1.0907</v>
      </c>
      <c r="K6168" s="11">
        <f t="shared" si="155"/>
        <v>0.0203539011643898</v>
      </c>
      <c r="L6168" s="9"/>
      <c r="M6168" s="11"/>
      <c r="N6168" s="9" t="s">
        <v>801</v>
      </c>
    </row>
    <row r="6169" ht="25" customHeight="1" spans="1:14">
      <c r="A6169" s="9" t="s">
        <v>207</v>
      </c>
      <c r="B6169" s="9" t="s">
        <v>206</v>
      </c>
      <c r="C6169" s="10">
        <v>46031</v>
      </c>
      <c r="D6169" s="15">
        <v>1.084</v>
      </c>
      <c r="E6169" s="15">
        <v>1.084</v>
      </c>
      <c r="F6169" s="15">
        <v>1.084</v>
      </c>
      <c r="G6169" s="11">
        <v>0.0145</v>
      </c>
      <c r="H6169" s="9">
        <f>MAX($F$6113:F6169)</f>
        <v>1.0907</v>
      </c>
      <c r="I6169" s="11">
        <f t="shared" si="154"/>
        <v>0.00614284404510856</v>
      </c>
      <c r="J6169" s="9">
        <f>MAX($F$6151:F6169)</f>
        <v>1.0907</v>
      </c>
      <c r="K6169" s="11">
        <f t="shared" si="155"/>
        <v>0.00614284404510856</v>
      </c>
      <c r="L6169" s="9"/>
      <c r="M6169" s="11"/>
      <c r="N6169" s="9" t="s">
        <v>801</v>
      </c>
    </row>
    <row r="6170" ht="25" customHeight="1" spans="1:14">
      <c r="A6170" s="9" t="s">
        <v>207</v>
      </c>
      <c r="B6170" s="9" t="s">
        <v>206</v>
      </c>
      <c r="C6170" s="10">
        <v>46038</v>
      </c>
      <c r="D6170" s="15">
        <v>1.0794</v>
      </c>
      <c r="E6170" s="15">
        <v>1.0794</v>
      </c>
      <c r="F6170" s="15">
        <v>1.0794</v>
      </c>
      <c r="G6170" s="11">
        <v>-0.0042</v>
      </c>
      <c r="H6170" s="9">
        <f>MAX($F$6113:F6170)</f>
        <v>1.0907</v>
      </c>
      <c r="I6170" s="11">
        <f t="shared" si="154"/>
        <v>0.0103603190611534</v>
      </c>
      <c r="J6170" s="9">
        <f>MAX($F$6151:F6170)</f>
        <v>1.0907</v>
      </c>
      <c r="K6170" s="11">
        <f t="shared" si="155"/>
        <v>0.0103603190611534</v>
      </c>
      <c r="L6170" s="9"/>
      <c r="M6170" s="11"/>
      <c r="N6170" s="9" t="s">
        <v>801</v>
      </c>
    </row>
    <row r="6171" ht="25" customHeight="1" spans="1:14">
      <c r="A6171" s="9" t="s">
        <v>207</v>
      </c>
      <c r="B6171" s="9" t="s">
        <v>206</v>
      </c>
      <c r="C6171" s="10">
        <v>46045</v>
      </c>
      <c r="D6171" s="15">
        <v>1.0743</v>
      </c>
      <c r="E6171" s="15">
        <v>1.0743</v>
      </c>
      <c r="F6171" s="15">
        <v>1.0743</v>
      </c>
      <c r="G6171" s="11">
        <v>-0.0047</v>
      </c>
      <c r="H6171" s="9">
        <f>MAX($F$6113:F6171)</f>
        <v>1.0907</v>
      </c>
      <c r="I6171" s="11">
        <f t="shared" si="154"/>
        <v>0.0150362152745943</v>
      </c>
      <c r="J6171" s="9">
        <f>MAX($F$6151:F6171)</f>
        <v>1.0907</v>
      </c>
      <c r="K6171" s="11">
        <f t="shared" si="155"/>
        <v>0.0150362152745943</v>
      </c>
      <c r="L6171" s="9"/>
      <c r="M6171" s="11"/>
      <c r="N6171" s="9" t="s">
        <v>801</v>
      </c>
    </row>
    <row r="6172" ht="25" customHeight="1" spans="1:14">
      <c r="A6172" s="9" t="s">
        <v>207</v>
      </c>
      <c r="B6172" s="9" t="s">
        <v>206</v>
      </c>
      <c r="C6172" s="10">
        <v>46052</v>
      </c>
      <c r="D6172" s="15">
        <v>1.0392</v>
      </c>
      <c r="E6172" s="15">
        <v>1.0392</v>
      </c>
      <c r="F6172" s="15">
        <v>1.0392</v>
      </c>
      <c r="G6172" s="11">
        <v>-0.0327</v>
      </c>
      <c r="H6172" s="9">
        <f>MAX($F$6113:F6172)</f>
        <v>1.0907</v>
      </c>
      <c r="I6172" s="11">
        <f t="shared" si="154"/>
        <v>0.0472173833318054</v>
      </c>
      <c r="J6172" s="9">
        <f>MAX($F$6151:F6172)</f>
        <v>1.0907</v>
      </c>
      <c r="K6172" s="11">
        <f t="shared" si="155"/>
        <v>0.0472173833318054</v>
      </c>
      <c r="L6172" s="9"/>
      <c r="M6172" s="11"/>
      <c r="N6172" s="9" t="s">
        <v>801</v>
      </c>
    </row>
    <row r="6173" ht="25" customHeight="1" spans="1:14">
      <c r="A6173" s="9" t="s">
        <v>207</v>
      </c>
      <c r="B6173" s="9" t="s">
        <v>206</v>
      </c>
      <c r="C6173" s="10">
        <v>46059</v>
      </c>
      <c r="D6173" s="15">
        <v>1.0234</v>
      </c>
      <c r="E6173" s="15">
        <v>1.0234</v>
      </c>
      <c r="F6173" s="15">
        <v>1.0234</v>
      </c>
      <c r="G6173" s="11">
        <v>-0.0152</v>
      </c>
      <c r="H6173" s="9">
        <f>MAX($F$6113:F6173)</f>
        <v>1.0907</v>
      </c>
      <c r="I6173" s="11">
        <f t="shared" si="154"/>
        <v>0.0617034931695241</v>
      </c>
      <c r="J6173" s="9">
        <f>MAX($F$6151:F6173)</f>
        <v>1.0907</v>
      </c>
      <c r="K6173" s="11">
        <f t="shared" si="155"/>
        <v>0.0617034931695241</v>
      </c>
      <c r="L6173" s="9"/>
      <c r="M6173" s="11"/>
      <c r="N6173" s="9" t="s">
        <v>801</v>
      </c>
    </row>
    <row r="6174" ht="25" customHeight="1" spans="1:14">
      <c r="A6174" s="9" t="s">
        <v>207</v>
      </c>
      <c r="B6174" s="9" t="s">
        <v>206</v>
      </c>
      <c r="C6174" s="10">
        <v>46065</v>
      </c>
      <c r="D6174" s="15">
        <v>1.0493</v>
      </c>
      <c r="E6174" s="15">
        <v>1.0493</v>
      </c>
      <c r="F6174" s="15">
        <v>1.0493</v>
      </c>
      <c r="G6174" s="11">
        <v>0.0253</v>
      </c>
      <c r="H6174" s="9">
        <f>MAX($F$6113:F6174)</f>
        <v>1.0907</v>
      </c>
      <c r="I6174" s="11">
        <f t="shared" si="154"/>
        <v>0.0379572751444027</v>
      </c>
      <c r="J6174" s="9">
        <f>MAX($F$6151:F6174)</f>
        <v>1.0907</v>
      </c>
      <c r="K6174" s="11">
        <f t="shared" si="155"/>
        <v>0.0379572751444027</v>
      </c>
      <c r="L6174" s="9"/>
      <c r="M6174" s="11"/>
      <c r="N6174" s="9" t="s">
        <v>801</v>
      </c>
    </row>
    <row r="6175" ht="25" customHeight="1" spans="1:14">
      <c r="A6175" s="9" t="s">
        <v>207</v>
      </c>
      <c r="B6175" s="9" t="s">
        <v>206</v>
      </c>
      <c r="C6175" s="10">
        <v>46066</v>
      </c>
      <c r="D6175" s="15">
        <v>1.0511</v>
      </c>
      <c r="E6175" s="15">
        <v>1.0511</v>
      </c>
      <c r="F6175" s="15">
        <v>1.0511</v>
      </c>
      <c r="G6175" s="11">
        <v>0.0017</v>
      </c>
      <c r="H6175" s="9">
        <f>MAX($F$6113:F6175)</f>
        <v>1.0907</v>
      </c>
      <c r="I6175" s="11">
        <f t="shared" si="154"/>
        <v>0.0363069588337765</v>
      </c>
      <c r="J6175" s="9">
        <f>MAX($F$6151:F6175)</f>
        <v>1.0907</v>
      </c>
      <c r="K6175" s="11">
        <f t="shared" si="155"/>
        <v>0.0363069588337765</v>
      </c>
      <c r="L6175" s="9"/>
      <c r="M6175" s="11"/>
      <c r="N6175" s="9" t="s">
        <v>801</v>
      </c>
    </row>
    <row r="6176" ht="25" customHeight="1" spans="1:14">
      <c r="A6176" s="9" t="s">
        <v>207</v>
      </c>
      <c r="B6176" s="9" t="s">
        <v>206</v>
      </c>
      <c r="C6176" s="10">
        <v>46080</v>
      </c>
      <c r="D6176" s="15">
        <v>1.0629</v>
      </c>
      <c r="E6176" s="15">
        <v>1.0629</v>
      </c>
      <c r="F6176" s="15">
        <v>1.0629</v>
      </c>
      <c r="G6176" s="11">
        <v>0.0112</v>
      </c>
      <c r="H6176" s="9">
        <f>MAX($F$6113:F6176)</f>
        <v>1.0907</v>
      </c>
      <c r="I6176" s="11">
        <f t="shared" si="154"/>
        <v>0.025488218575227</v>
      </c>
      <c r="J6176" s="9">
        <f>MAX($F$6151:F6176)</f>
        <v>1.0907</v>
      </c>
      <c r="K6176" s="11">
        <f t="shared" si="155"/>
        <v>0.025488218575227</v>
      </c>
      <c r="L6176" s="9"/>
      <c r="M6176" s="11"/>
      <c r="N6176" s="9" t="s">
        <v>801</v>
      </c>
    </row>
    <row r="6177" ht="25" customHeight="1" spans="1:14">
      <c r="A6177" s="9" t="s">
        <v>207</v>
      </c>
      <c r="B6177" s="9" t="s">
        <v>206</v>
      </c>
      <c r="C6177" s="10">
        <v>46087</v>
      </c>
      <c r="D6177" s="15">
        <v>1.0618</v>
      </c>
      <c r="E6177" s="15">
        <v>1.0618</v>
      </c>
      <c r="F6177" s="15">
        <v>1.0618</v>
      </c>
      <c r="G6177" s="11">
        <v>-0.001</v>
      </c>
      <c r="H6177" s="9">
        <f>MAX($F$6113:F6177)</f>
        <v>1.0907</v>
      </c>
      <c r="I6177" s="11">
        <f t="shared" si="154"/>
        <v>0.0264967452094984</v>
      </c>
      <c r="J6177" s="9">
        <f>MAX($F$6151:F6177)</f>
        <v>1.0907</v>
      </c>
      <c r="K6177" s="11">
        <f t="shared" si="155"/>
        <v>0.0264967452094984</v>
      </c>
      <c r="L6177" s="9"/>
      <c r="M6177" s="11"/>
      <c r="N6177" s="9" t="s">
        <v>801</v>
      </c>
    </row>
    <row r="6178" ht="25" customHeight="1" spans="1:14">
      <c r="A6178" s="9" t="s">
        <v>207</v>
      </c>
      <c r="B6178" s="9" t="s">
        <v>206</v>
      </c>
      <c r="C6178" s="10">
        <v>46094</v>
      </c>
      <c r="D6178" s="15">
        <v>1.0817</v>
      </c>
      <c r="E6178" s="15">
        <v>1.0817</v>
      </c>
      <c r="F6178" s="15">
        <v>1.0817</v>
      </c>
      <c r="G6178" s="11">
        <v>0.0187</v>
      </c>
      <c r="H6178" s="9">
        <f>MAX($F$6113:F6178)</f>
        <v>1.0907</v>
      </c>
      <c r="I6178" s="11">
        <f t="shared" si="154"/>
        <v>0.00825158155313088</v>
      </c>
      <c r="J6178" s="9">
        <f>MAX($F$6151:F6178)</f>
        <v>1.0907</v>
      </c>
      <c r="K6178" s="11">
        <f t="shared" si="155"/>
        <v>0.00825158155313088</v>
      </c>
      <c r="L6178" s="9"/>
      <c r="M6178" s="11"/>
      <c r="N6178" s="9" t="s">
        <v>801</v>
      </c>
    </row>
    <row r="6179" ht="25" customHeight="1" spans="1:14">
      <c r="A6179" s="9" t="s">
        <v>207</v>
      </c>
      <c r="B6179" s="9" t="s">
        <v>206</v>
      </c>
      <c r="C6179" s="10">
        <v>46101</v>
      </c>
      <c r="D6179" s="15">
        <v>1.1056</v>
      </c>
      <c r="E6179" s="15">
        <v>1.1056</v>
      </c>
      <c r="F6179" s="15">
        <v>1.1056</v>
      </c>
      <c r="G6179" s="11">
        <v>0.0221</v>
      </c>
      <c r="H6179" s="9">
        <f>MAX($F$6113:F6179)</f>
        <v>1.1056</v>
      </c>
      <c r="I6179" s="11">
        <f t="shared" si="154"/>
        <v>0</v>
      </c>
      <c r="J6179" s="9">
        <f>MAX($F$6151:F6179)</f>
        <v>1.1056</v>
      </c>
      <c r="K6179" s="11">
        <f t="shared" si="155"/>
        <v>0</v>
      </c>
      <c r="L6179" s="9"/>
      <c r="M6179" s="11"/>
      <c r="N6179" s="9" t="s">
        <v>801</v>
      </c>
    </row>
    <row r="6180" ht="25" customHeight="1" spans="1:14">
      <c r="A6180" s="9" t="s">
        <v>207</v>
      </c>
      <c r="B6180" s="9" t="s">
        <v>206</v>
      </c>
      <c r="C6180" s="10">
        <v>46108</v>
      </c>
      <c r="D6180" s="15">
        <v>1.1186</v>
      </c>
      <c r="E6180" s="15">
        <v>1.1186</v>
      </c>
      <c r="F6180" s="15">
        <v>1.1186</v>
      </c>
      <c r="G6180" s="11">
        <v>0.0118</v>
      </c>
      <c r="H6180" s="9">
        <f>MAX($F$6113:F6180)</f>
        <v>1.1186</v>
      </c>
      <c r="I6180" s="11">
        <f t="shared" si="154"/>
        <v>0</v>
      </c>
      <c r="J6180" s="9">
        <f>MAX($F$6151:F6180)</f>
        <v>1.1186</v>
      </c>
      <c r="K6180" s="11">
        <f t="shared" si="155"/>
        <v>0</v>
      </c>
      <c r="L6180" s="9"/>
      <c r="M6180" s="11"/>
      <c r="N6180" s="9" t="s">
        <v>801</v>
      </c>
    </row>
    <row r="6181" ht="25" customHeight="1" spans="1:14">
      <c r="A6181" s="9" t="s">
        <v>207</v>
      </c>
      <c r="B6181" s="9" t="s">
        <v>206</v>
      </c>
      <c r="C6181" s="10">
        <v>46112</v>
      </c>
      <c r="D6181" s="15">
        <v>1.1197</v>
      </c>
      <c r="E6181" s="15">
        <v>1.1197</v>
      </c>
      <c r="F6181" s="15">
        <v>1.1197</v>
      </c>
      <c r="G6181" s="11">
        <v>0.001</v>
      </c>
      <c r="H6181" s="9">
        <f>MAX($F$6113:F6181)</f>
        <v>1.1197</v>
      </c>
      <c r="I6181" s="11">
        <f t="shared" si="154"/>
        <v>0</v>
      </c>
      <c r="J6181" s="9">
        <f>MAX($F$6151:F6181)</f>
        <v>1.1197</v>
      </c>
      <c r="K6181" s="11">
        <f t="shared" si="155"/>
        <v>0</v>
      </c>
      <c r="L6181" s="9"/>
      <c r="M6181" s="11"/>
      <c r="N6181" s="9" t="s">
        <v>801</v>
      </c>
    </row>
    <row r="6182" ht="25" customHeight="1" spans="1:14">
      <c r="A6182" s="9" t="s">
        <v>207</v>
      </c>
      <c r="B6182" s="9" t="s">
        <v>206</v>
      </c>
      <c r="C6182" s="10">
        <v>46115</v>
      </c>
      <c r="D6182" s="15">
        <v>1.1206</v>
      </c>
      <c r="E6182" s="15">
        <v>1.1206</v>
      </c>
      <c r="F6182" s="15">
        <v>1.1206</v>
      </c>
      <c r="G6182" s="11">
        <v>0.0008</v>
      </c>
      <c r="H6182" s="9">
        <f>MAX($F$6113:F6182)</f>
        <v>1.1206</v>
      </c>
      <c r="I6182" s="11">
        <f t="shared" si="154"/>
        <v>0</v>
      </c>
      <c r="J6182" s="9">
        <f>MAX($F$6151:F6182)</f>
        <v>1.1206</v>
      </c>
      <c r="K6182" s="11">
        <f t="shared" si="155"/>
        <v>0</v>
      </c>
      <c r="L6182" s="9"/>
      <c r="M6182" s="11"/>
      <c r="N6182" s="9" t="s">
        <v>801</v>
      </c>
    </row>
    <row r="6183" ht="25" customHeight="1" spans="1:14">
      <c r="A6183" s="9" t="s">
        <v>207</v>
      </c>
      <c r="B6183" s="9" t="s">
        <v>206</v>
      </c>
      <c r="C6183" s="10">
        <v>46122</v>
      </c>
      <c r="D6183" s="15">
        <v>1.108</v>
      </c>
      <c r="E6183" s="15">
        <v>1.108</v>
      </c>
      <c r="F6183" s="15">
        <v>1.108</v>
      </c>
      <c r="G6183" s="11">
        <v>-0.0112</v>
      </c>
      <c r="H6183" s="9">
        <f>MAX($F$6113:F6183)</f>
        <v>1.1206</v>
      </c>
      <c r="I6183" s="11">
        <f t="shared" si="154"/>
        <v>0.0112439764411921</v>
      </c>
      <c r="J6183" s="9">
        <f>MAX($F$6151:F6183)</f>
        <v>1.1206</v>
      </c>
      <c r="K6183" s="11">
        <f t="shared" si="155"/>
        <v>0.0112439764411921</v>
      </c>
      <c r="L6183" s="9"/>
      <c r="M6183" s="11"/>
      <c r="N6183" s="9" t="s">
        <v>801</v>
      </c>
    </row>
    <row r="6184" ht="25" customHeight="1" spans="1:14">
      <c r="A6184" s="9" t="s">
        <v>207</v>
      </c>
      <c r="B6184" s="9" t="s">
        <v>206</v>
      </c>
      <c r="C6184" s="10">
        <v>46129</v>
      </c>
      <c r="D6184" s="15">
        <v>1.1061</v>
      </c>
      <c r="E6184" s="15">
        <v>1.1061</v>
      </c>
      <c r="F6184" s="15">
        <v>1.1061</v>
      </c>
      <c r="G6184" s="11">
        <v>-0.0017</v>
      </c>
      <c r="H6184" s="9">
        <f>MAX($F$6113:F6184)</f>
        <v>1.1206</v>
      </c>
      <c r="I6184" s="11">
        <f t="shared" si="154"/>
        <v>0.0129394966981974</v>
      </c>
      <c r="J6184" s="9">
        <f>MAX($F$6151:F6184)</f>
        <v>1.1206</v>
      </c>
      <c r="K6184" s="11">
        <f t="shared" si="155"/>
        <v>0.0129394966981974</v>
      </c>
      <c r="L6184" s="9"/>
      <c r="M6184" s="11"/>
      <c r="N6184" s="9" t="s">
        <v>801</v>
      </c>
    </row>
    <row r="6185" ht="25" customHeight="1" spans="1:14">
      <c r="A6185" s="9" t="s">
        <v>207</v>
      </c>
      <c r="B6185" s="9" t="s">
        <v>206</v>
      </c>
      <c r="C6185" s="10">
        <v>46136</v>
      </c>
      <c r="D6185" s="15">
        <v>1.1049</v>
      </c>
      <c r="E6185" s="15">
        <v>1.1049</v>
      </c>
      <c r="F6185" s="15">
        <v>1.1049</v>
      </c>
      <c r="G6185" s="11">
        <v>-0.0011</v>
      </c>
      <c r="H6185" s="9">
        <f>MAX($F$6113:F6185)</f>
        <v>1.1206</v>
      </c>
      <c r="I6185" s="11">
        <f t="shared" si="154"/>
        <v>0.0140103515973586</v>
      </c>
      <c r="J6185" s="9">
        <f>MAX($F$6151:F6185)</f>
        <v>1.1206</v>
      </c>
      <c r="K6185" s="11">
        <f t="shared" si="155"/>
        <v>0.0140103515973586</v>
      </c>
      <c r="L6185" s="9"/>
      <c r="M6185" s="11"/>
      <c r="N6185" s="9" t="s">
        <v>801</v>
      </c>
    </row>
    <row r="6186" ht="25" customHeight="1" spans="1:14">
      <c r="A6186" s="9" t="s">
        <v>207</v>
      </c>
      <c r="B6186" s="9" t="s">
        <v>206</v>
      </c>
      <c r="C6186" s="10">
        <v>46142</v>
      </c>
      <c r="D6186" s="15">
        <v>1.091</v>
      </c>
      <c r="E6186" s="15">
        <v>1.091</v>
      </c>
      <c r="F6186" s="15">
        <v>1.091</v>
      </c>
      <c r="G6186" s="11">
        <v>-0.0126</v>
      </c>
      <c r="H6186" s="9">
        <f>MAX($F$6113:F6186)</f>
        <v>1.1206</v>
      </c>
      <c r="I6186" s="11">
        <f t="shared" si="154"/>
        <v>0.0264144208459755</v>
      </c>
      <c r="J6186" s="9">
        <f>MAX($F$6151:F6186)</f>
        <v>1.1206</v>
      </c>
      <c r="K6186" s="11">
        <f t="shared" si="155"/>
        <v>0.0264144208459755</v>
      </c>
      <c r="L6186" s="9"/>
      <c r="M6186" s="11"/>
      <c r="N6186" s="9" t="s">
        <v>801</v>
      </c>
    </row>
    <row r="6187" ht="25" customHeight="1" spans="1:14">
      <c r="A6187" s="9" t="s">
        <v>207</v>
      </c>
      <c r="B6187" s="9" t="s">
        <v>206</v>
      </c>
      <c r="C6187" s="10">
        <v>46150</v>
      </c>
      <c r="D6187" s="15">
        <v>1.0875</v>
      </c>
      <c r="E6187" s="15">
        <v>1.0875</v>
      </c>
      <c r="F6187" s="15">
        <v>1.0875</v>
      </c>
      <c r="G6187" s="11">
        <v>-0.0032</v>
      </c>
      <c r="H6187" s="9">
        <f>MAX($F$6113:F6187)</f>
        <v>1.1206</v>
      </c>
      <c r="I6187" s="11">
        <f t="shared" si="154"/>
        <v>0.0295377476351956</v>
      </c>
      <c r="J6187" s="9">
        <f>MAX($F$6151:F6187)</f>
        <v>1.1206</v>
      </c>
      <c r="K6187" s="11">
        <f t="shared" si="155"/>
        <v>0.0295377476351956</v>
      </c>
      <c r="L6187" s="9"/>
      <c r="M6187" s="11"/>
      <c r="N6187" s="9" t="s">
        <v>801</v>
      </c>
    </row>
    <row r="6188" ht="25" customHeight="1" spans="1:14">
      <c r="A6188" s="9" t="s">
        <v>207</v>
      </c>
      <c r="B6188" s="9" t="s">
        <v>206</v>
      </c>
      <c r="C6188" s="10">
        <v>46157</v>
      </c>
      <c r="D6188" s="15">
        <v>1.0978</v>
      </c>
      <c r="E6188" s="15">
        <v>1.0978</v>
      </c>
      <c r="F6188" s="15">
        <v>1.0978</v>
      </c>
      <c r="G6188" s="11">
        <v>0.0095</v>
      </c>
      <c r="H6188" s="9">
        <f>MAX($F$6113:F6188)</f>
        <v>1.1206</v>
      </c>
      <c r="I6188" s="11">
        <f t="shared" si="154"/>
        <v>0.0203462430840621</v>
      </c>
      <c r="J6188" s="9">
        <f>MAX($F$6151:F6188)</f>
        <v>1.1206</v>
      </c>
      <c r="K6188" s="11">
        <f t="shared" si="155"/>
        <v>0.0203462430840621</v>
      </c>
      <c r="L6188" s="9"/>
      <c r="M6188" s="11"/>
      <c r="N6188" s="9" t="s">
        <v>801</v>
      </c>
    </row>
    <row r="6189" ht="25" customHeight="1" spans="1:14">
      <c r="A6189" s="9" t="s">
        <v>207</v>
      </c>
      <c r="B6189" s="9" t="s">
        <v>206</v>
      </c>
      <c r="C6189" s="10">
        <v>46164</v>
      </c>
      <c r="D6189" s="15">
        <v>1.085</v>
      </c>
      <c r="E6189" s="15">
        <v>1.085</v>
      </c>
      <c r="F6189" s="15">
        <v>1.085</v>
      </c>
      <c r="G6189" s="11">
        <v>-0.0117</v>
      </c>
      <c r="H6189" s="9">
        <f>MAX($F$6113:F6189)</f>
        <v>1.1206</v>
      </c>
      <c r="I6189" s="11">
        <f t="shared" si="154"/>
        <v>0.0317686953417813</v>
      </c>
      <c r="J6189" s="9">
        <f>MAX($F$6151:F6189)</f>
        <v>1.1206</v>
      </c>
      <c r="K6189" s="11">
        <f t="shared" si="155"/>
        <v>0.0317686953417813</v>
      </c>
      <c r="L6189" s="9"/>
      <c r="M6189" s="11"/>
      <c r="N6189" s="9" t="s">
        <v>801</v>
      </c>
    </row>
    <row r="6190" ht="25" customHeight="1" spans="1:14">
      <c r="A6190" s="9" t="s">
        <v>207</v>
      </c>
      <c r="B6190" s="9" t="s">
        <v>206</v>
      </c>
      <c r="C6190" s="10">
        <v>46171</v>
      </c>
      <c r="D6190" s="15">
        <v>1.0796</v>
      </c>
      <c r="E6190" s="15">
        <v>1.0796</v>
      </c>
      <c r="F6190" s="15">
        <v>1.0796</v>
      </c>
      <c r="G6190" s="11">
        <v>-0.005</v>
      </c>
      <c r="H6190" s="9">
        <f>MAX($F$6113:F6190)</f>
        <v>1.1206</v>
      </c>
      <c r="I6190" s="11">
        <f t="shared" si="154"/>
        <v>0.0365875423880065</v>
      </c>
      <c r="J6190" s="9">
        <f>MAX($F$6151:F6190)</f>
        <v>1.1206</v>
      </c>
      <c r="K6190" s="11">
        <f t="shared" si="155"/>
        <v>0.0365875423880065</v>
      </c>
      <c r="L6190" s="9"/>
      <c r="M6190" s="11"/>
      <c r="N6190" s="9" t="s">
        <v>801</v>
      </c>
    </row>
    <row r="6191" ht="25" customHeight="1" spans="1:14">
      <c r="A6191" s="9" t="s">
        <v>207</v>
      </c>
      <c r="B6191" s="9" t="s">
        <v>206</v>
      </c>
      <c r="C6191" s="10">
        <v>46178</v>
      </c>
      <c r="D6191" s="15">
        <v>1.0892</v>
      </c>
      <c r="E6191" s="15">
        <v>1.0892</v>
      </c>
      <c r="F6191" s="15">
        <v>1.0892</v>
      </c>
      <c r="G6191" s="11">
        <v>0.0089</v>
      </c>
      <c r="H6191" s="9">
        <f>MAX($F$6113:F6191)</f>
        <v>1.1206</v>
      </c>
      <c r="I6191" s="11">
        <f t="shared" si="154"/>
        <v>0.0280207031947172</v>
      </c>
      <c r="J6191" s="9">
        <f>MAX($F$6151:F6191)</f>
        <v>1.1206</v>
      </c>
      <c r="K6191" s="11">
        <f t="shared" si="155"/>
        <v>0.0280207031947172</v>
      </c>
      <c r="L6191" s="9"/>
      <c r="M6191" s="11"/>
      <c r="N6191" s="9" t="s">
        <v>801</v>
      </c>
    </row>
    <row r="6192" ht="25" customHeight="1" spans="1:14">
      <c r="A6192" s="9" t="s">
        <v>207</v>
      </c>
      <c r="B6192" s="9" t="s">
        <v>206</v>
      </c>
      <c r="C6192" s="10">
        <v>46185</v>
      </c>
      <c r="D6192" s="15">
        <v>1.0827</v>
      </c>
      <c r="E6192" s="15">
        <v>1.0827</v>
      </c>
      <c r="F6192" s="15">
        <v>1.0827</v>
      </c>
      <c r="G6192" s="11">
        <v>-0.006</v>
      </c>
      <c r="H6192" s="9">
        <f>MAX($F$6113:F6192)</f>
        <v>1.1206</v>
      </c>
      <c r="I6192" s="11">
        <f t="shared" si="154"/>
        <v>0.0338211672318401</v>
      </c>
      <c r="J6192" s="9">
        <f>MAX($F$6151:F6192)</f>
        <v>1.1206</v>
      </c>
      <c r="K6192" s="11">
        <f t="shared" si="155"/>
        <v>0.0338211672318401</v>
      </c>
      <c r="L6192" s="9"/>
      <c r="M6192" s="11"/>
      <c r="N6192" s="9" t="s">
        <v>801</v>
      </c>
    </row>
    <row r="6193" ht="25" customHeight="1" spans="1:14">
      <c r="A6193" s="9" t="s">
        <v>207</v>
      </c>
      <c r="B6193" s="9" t="s">
        <v>206</v>
      </c>
      <c r="C6193" s="10">
        <v>46191</v>
      </c>
      <c r="D6193" s="15">
        <v>1.095</v>
      </c>
      <c r="E6193" s="15">
        <v>1.095</v>
      </c>
      <c r="F6193" s="15">
        <v>1.095</v>
      </c>
      <c r="G6193" s="11">
        <v>0.0114</v>
      </c>
      <c r="H6193" s="9">
        <f>MAX($F$6113:F6193)</f>
        <v>1.1206</v>
      </c>
      <c r="I6193" s="11">
        <f t="shared" si="154"/>
        <v>0.0228449045154382</v>
      </c>
      <c r="J6193" s="9">
        <f>MAX($F$6151:F6193)</f>
        <v>1.1206</v>
      </c>
      <c r="K6193" s="11">
        <f t="shared" si="155"/>
        <v>0.0228449045154382</v>
      </c>
      <c r="L6193" s="9"/>
      <c r="M6193" s="11"/>
      <c r="N6193" s="9" t="s">
        <v>801</v>
      </c>
    </row>
    <row r="6194" ht="25" customHeight="1" spans="1:14">
      <c r="A6194" s="9" t="s">
        <v>207</v>
      </c>
      <c r="B6194" s="9" t="s">
        <v>206</v>
      </c>
      <c r="C6194" s="10">
        <v>46195</v>
      </c>
      <c r="D6194" s="15">
        <v>1.0904</v>
      </c>
      <c r="E6194" s="15">
        <v>1.0904</v>
      </c>
      <c r="F6194" s="15">
        <v>1.0904</v>
      </c>
      <c r="G6194" s="11">
        <v>-0.0042</v>
      </c>
      <c r="H6194" s="9">
        <f>MAX($F$6113:F6194)</f>
        <v>1.1206</v>
      </c>
      <c r="I6194" s="11">
        <f t="shared" si="154"/>
        <v>0.0269498482955559</v>
      </c>
      <c r="J6194" s="9">
        <f>MAX($F$6151:F6194)</f>
        <v>1.1206</v>
      </c>
      <c r="K6194" s="11">
        <f t="shared" si="155"/>
        <v>0.0269498482955559</v>
      </c>
      <c r="L6194" s="9"/>
      <c r="M6194" s="11"/>
      <c r="N6194" s="9" t="s">
        <v>801</v>
      </c>
    </row>
    <row r="6195" ht="25" customHeight="1" spans="1:14">
      <c r="A6195" s="9" t="s">
        <v>207</v>
      </c>
      <c r="B6195" s="9" t="s">
        <v>206</v>
      </c>
      <c r="C6195" s="10">
        <v>46199</v>
      </c>
      <c r="D6195" s="15">
        <v>1.0866</v>
      </c>
      <c r="E6195" s="15">
        <v>1.0866</v>
      </c>
      <c r="F6195" s="15">
        <v>1.0866</v>
      </c>
      <c r="G6195" s="11">
        <v>-0.0035</v>
      </c>
      <c r="H6195" s="9">
        <f>MAX($F$6113:F6195)</f>
        <v>1.1206</v>
      </c>
      <c r="I6195" s="11">
        <f t="shared" si="154"/>
        <v>0.0303408888095663</v>
      </c>
      <c r="J6195" s="9">
        <f>MAX($F$6151:F6195)</f>
        <v>1.1206</v>
      </c>
      <c r="K6195" s="11">
        <f t="shared" si="155"/>
        <v>0.0303408888095663</v>
      </c>
      <c r="L6195" s="9"/>
      <c r="M6195" s="11"/>
      <c r="N6195" s="9" t="s">
        <v>801</v>
      </c>
    </row>
    <row r="6196" ht="25" customHeight="1" spans="1:14">
      <c r="A6196" s="9" t="s">
        <v>207</v>
      </c>
      <c r="B6196" s="9" t="s">
        <v>206</v>
      </c>
      <c r="C6196" s="10">
        <v>46203</v>
      </c>
      <c r="D6196" s="15">
        <v>1.0856</v>
      </c>
      <c r="E6196" s="15">
        <v>1.0856</v>
      </c>
      <c r="F6196" s="15">
        <v>1.0856</v>
      </c>
      <c r="G6196" s="11">
        <v>-0.0009</v>
      </c>
      <c r="H6196" s="9">
        <f>MAX($F$6113:F6196)</f>
        <v>1.1206</v>
      </c>
      <c r="I6196" s="11">
        <f t="shared" si="154"/>
        <v>0.0312332678922007</v>
      </c>
      <c r="J6196" s="9">
        <f>MAX($F$6151:F6196)</f>
        <v>1.1206</v>
      </c>
      <c r="K6196" s="11">
        <f t="shared" si="155"/>
        <v>0.0312332678922007</v>
      </c>
      <c r="L6196" s="9"/>
      <c r="M6196" s="11"/>
      <c r="N6196" s="9" t="s">
        <v>801</v>
      </c>
    </row>
    <row r="6197" ht="25" customHeight="1" spans="1:14">
      <c r="A6197" s="9" t="s">
        <v>207</v>
      </c>
      <c r="B6197" s="9" t="s">
        <v>206</v>
      </c>
      <c r="C6197" s="10">
        <v>46206</v>
      </c>
      <c r="D6197" s="15">
        <v>1.1074</v>
      </c>
      <c r="E6197" s="15">
        <v>1.1074</v>
      </c>
      <c r="F6197" s="15">
        <v>1.1074</v>
      </c>
      <c r="G6197" s="11">
        <v>0.0201</v>
      </c>
      <c r="H6197" s="9">
        <f>MAX($F$6113:F6197)</f>
        <v>1.1206</v>
      </c>
      <c r="I6197" s="11">
        <f t="shared" si="154"/>
        <v>0.0117794038907729</v>
      </c>
      <c r="J6197" s="9">
        <f>MAX($F$6151:F6197)</f>
        <v>1.1206</v>
      </c>
      <c r="K6197" s="11">
        <f t="shared" si="155"/>
        <v>0.0117794038907729</v>
      </c>
      <c r="L6197" s="9"/>
      <c r="M6197" s="11"/>
      <c r="N6197" s="9" t="s">
        <v>801</v>
      </c>
    </row>
    <row r="6198" ht="25" customHeight="1" spans="1:14">
      <c r="A6198" s="9" t="s">
        <v>207</v>
      </c>
      <c r="B6198" s="9" t="s">
        <v>206</v>
      </c>
      <c r="C6198" s="10">
        <v>46213</v>
      </c>
      <c r="D6198" s="15">
        <v>1.0988</v>
      </c>
      <c r="E6198" s="15">
        <v>1.0988</v>
      </c>
      <c r="F6198" s="15">
        <v>1.0988</v>
      </c>
      <c r="G6198" s="11">
        <v>-0.0078</v>
      </c>
      <c r="H6198" s="9">
        <f>MAX($F$6113:F6198)</f>
        <v>1.1206</v>
      </c>
      <c r="I6198" s="11">
        <f t="shared" si="154"/>
        <v>0.0194538640014278</v>
      </c>
      <c r="J6198" s="9">
        <f>MAX($F$6151:F6198)</f>
        <v>1.1206</v>
      </c>
      <c r="K6198" s="11">
        <f t="shared" si="155"/>
        <v>0.0194538640014278</v>
      </c>
      <c r="L6198" s="9"/>
      <c r="M6198" s="11"/>
      <c r="N6198" s="9" t="s">
        <v>801</v>
      </c>
    </row>
    <row r="6199" ht="25" customHeight="1" spans="1:14">
      <c r="A6199" s="9" t="s">
        <v>207</v>
      </c>
      <c r="B6199" s="9" t="s">
        <v>206</v>
      </c>
      <c r="C6199" s="10">
        <v>46220</v>
      </c>
      <c r="D6199" s="15">
        <v>1.0926</v>
      </c>
      <c r="E6199" s="15">
        <v>1.0926</v>
      </c>
      <c r="F6199" s="15">
        <v>1.0926</v>
      </c>
      <c r="G6199" s="11">
        <v>-0.0056</v>
      </c>
      <c r="H6199" s="9">
        <f>MAX($F$6113:F6199)</f>
        <v>1.1206</v>
      </c>
      <c r="I6199" s="11">
        <f t="shared" si="154"/>
        <v>0.0249866143137605</v>
      </c>
      <c r="J6199" s="9">
        <f>MAX($F$6151:F6199)</f>
        <v>1.1206</v>
      </c>
      <c r="K6199" s="11">
        <f t="shared" si="155"/>
        <v>0.0249866143137605</v>
      </c>
      <c r="L6199" s="9"/>
      <c r="M6199" s="11"/>
      <c r="N6199" s="9" t="s">
        <v>801</v>
      </c>
    </row>
    <row r="6200" ht="25" customHeight="1" spans="1:14">
      <c r="A6200" s="9" t="s">
        <v>207</v>
      </c>
      <c r="B6200" s="9" t="s">
        <v>206</v>
      </c>
      <c r="C6200" s="10">
        <v>46226</v>
      </c>
      <c r="D6200" s="15">
        <v>1.0533</v>
      </c>
      <c r="E6200" s="15">
        <v>1.0533</v>
      </c>
      <c r="F6200" s="15">
        <v>1.0533</v>
      </c>
      <c r="G6200" s="11">
        <v>-0.036</v>
      </c>
      <c r="H6200" s="9">
        <f>MAX($F$6113:F6200)</f>
        <v>1.1206</v>
      </c>
      <c r="I6200" s="11">
        <f t="shared" si="154"/>
        <v>0.0600571122612887</v>
      </c>
      <c r="J6200" s="9">
        <f>MAX($F$6151:F6200)</f>
        <v>1.1206</v>
      </c>
      <c r="K6200" s="11">
        <f t="shared" si="155"/>
        <v>0.0600571122612887</v>
      </c>
      <c r="L6200" s="9"/>
      <c r="M6200" s="11"/>
      <c r="N6200" s="9" t="s">
        <v>801</v>
      </c>
    </row>
    <row r="6201" ht="25" customHeight="1" spans="1:14">
      <c r="A6201" s="9" t="s">
        <v>207</v>
      </c>
      <c r="B6201" s="9" t="s">
        <v>206</v>
      </c>
      <c r="C6201" s="10">
        <v>46227</v>
      </c>
      <c r="D6201" s="15">
        <v>1.0535</v>
      </c>
      <c r="E6201" s="15">
        <v>1.0535</v>
      </c>
      <c r="F6201" s="15">
        <v>1.0535</v>
      </c>
      <c r="G6201" s="11">
        <v>0.0002</v>
      </c>
      <c r="H6201" s="9">
        <f>MAX($F$6113:F6201)</f>
        <v>1.1206</v>
      </c>
      <c r="I6201" s="11">
        <f t="shared" si="154"/>
        <v>0.0598786364447617</v>
      </c>
      <c r="J6201" s="9">
        <f>MAX($F$6151:F6201)</f>
        <v>1.1206</v>
      </c>
      <c r="K6201" s="11">
        <f t="shared" si="155"/>
        <v>0.0598786364447617</v>
      </c>
      <c r="L6201" s="9"/>
      <c r="M6201" s="11"/>
      <c r="N6201" s="9" t="s">
        <v>801</v>
      </c>
    </row>
    <row r="6202" ht="25" customHeight="1" spans="1:14">
      <c r="A6202" s="9" t="s">
        <v>207</v>
      </c>
      <c r="B6202" s="9" t="s">
        <v>206</v>
      </c>
      <c r="C6202" s="10">
        <v>46234</v>
      </c>
      <c r="D6202" s="15">
        <v>1.0446</v>
      </c>
      <c r="E6202" s="15">
        <v>1.0446</v>
      </c>
      <c r="F6202" s="15">
        <v>1.0446</v>
      </c>
      <c r="G6202" s="11">
        <v>-0.0084</v>
      </c>
      <c r="H6202" s="9">
        <f>MAX($F$6113:F6202)</f>
        <v>1.1206</v>
      </c>
      <c r="I6202" s="11">
        <f t="shared" si="154"/>
        <v>0.0678208102802071</v>
      </c>
      <c r="J6202" s="9">
        <f>MAX($F$6151:F6202)</f>
        <v>1.1206</v>
      </c>
      <c r="K6202" s="11">
        <f t="shared" si="155"/>
        <v>0.0678208102802071</v>
      </c>
      <c r="L6202" s="9"/>
      <c r="M6202" s="11"/>
      <c r="N6202" s="9" t="s">
        <v>801</v>
      </c>
    </row>
    <row r="6203" ht="25" customHeight="1" spans="1:14">
      <c r="A6203" s="9" t="s">
        <v>207</v>
      </c>
      <c r="B6203" s="9" t="s">
        <v>206</v>
      </c>
      <c r="C6203" s="10">
        <v>46241</v>
      </c>
      <c r="D6203" s="15">
        <v>1.0677</v>
      </c>
      <c r="E6203" s="15">
        <v>1.0677</v>
      </c>
      <c r="F6203" s="15">
        <v>1.0677</v>
      </c>
      <c r="G6203" s="11">
        <v>0.0221</v>
      </c>
      <c r="H6203" s="9">
        <f>MAX($F$6113:F6203)</f>
        <v>1.1206</v>
      </c>
      <c r="I6203" s="11">
        <f t="shared" si="154"/>
        <v>0.0472068534713546</v>
      </c>
      <c r="J6203" s="9">
        <f>MAX($F$6151:F6203)</f>
        <v>1.1206</v>
      </c>
      <c r="K6203" s="11">
        <f t="shared" si="155"/>
        <v>0.0472068534713546</v>
      </c>
      <c r="L6203" s="9"/>
      <c r="M6203" s="11"/>
      <c r="N6203" s="9" t="s">
        <v>801</v>
      </c>
    </row>
    <row r="6204" ht="25" customHeight="1" spans="1:14">
      <c r="A6204" s="9" t="s">
        <v>207</v>
      </c>
      <c r="B6204" s="9" t="s">
        <v>206</v>
      </c>
      <c r="C6204" s="10">
        <v>46248</v>
      </c>
      <c r="D6204" s="15">
        <v>1.0566</v>
      </c>
      <c r="E6204" s="15">
        <v>1.0566</v>
      </c>
      <c r="F6204" s="15">
        <v>1.0566</v>
      </c>
      <c r="G6204" s="11">
        <v>-0.0104</v>
      </c>
      <c r="H6204" s="9">
        <f>MAX($F$6113:F6204)</f>
        <v>1.1206</v>
      </c>
      <c r="I6204" s="11">
        <f t="shared" si="154"/>
        <v>0.0571122612885955</v>
      </c>
      <c r="J6204" s="9">
        <f>MAX($F$6151:F6204)</f>
        <v>1.1206</v>
      </c>
      <c r="K6204" s="11">
        <f t="shared" si="155"/>
        <v>0.0571122612885955</v>
      </c>
      <c r="L6204" s="9"/>
      <c r="M6204" s="11"/>
      <c r="N6204" s="9" t="s">
        <v>801</v>
      </c>
    </row>
    <row r="6205" ht="25" customHeight="1" spans="1:14">
      <c r="A6205" s="9" t="s">
        <v>207</v>
      </c>
      <c r="B6205" s="9" t="s">
        <v>206</v>
      </c>
      <c r="C6205" s="10">
        <v>46255</v>
      </c>
      <c r="D6205" s="15">
        <v>1.0994</v>
      </c>
      <c r="E6205" s="15">
        <v>1.0994</v>
      </c>
      <c r="F6205" s="15">
        <v>1.0994</v>
      </c>
      <c r="G6205" s="11">
        <v>0.0405</v>
      </c>
      <c r="H6205" s="9">
        <f>MAX($F$6113:F6205)</f>
        <v>1.1206</v>
      </c>
      <c r="I6205" s="11">
        <f t="shared" si="154"/>
        <v>0.0189184365518473</v>
      </c>
      <c r="J6205" s="9">
        <f>MAX($F$6151:F6205)</f>
        <v>1.1206</v>
      </c>
      <c r="K6205" s="11">
        <f t="shared" si="155"/>
        <v>0.0189184365518473</v>
      </c>
      <c r="L6205" s="9"/>
      <c r="M6205" s="11"/>
      <c r="N6205" s="9" t="s">
        <v>801</v>
      </c>
    </row>
    <row r="6206" ht="25" customHeight="1" spans="1:14">
      <c r="A6206" s="9" t="s">
        <v>207</v>
      </c>
      <c r="B6206" s="9" t="s">
        <v>206</v>
      </c>
      <c r="C6206" s="10">
        <v>46262</v>
      </c>
      <c r="D6206" s="15">
        <v>1.1003</v>
      </c>
      <c r="E6206" s="15">
        <v>1.1003</v>
      </c>
      <c r="F6206" s="15">
        <v>1.1003</v>
      </c>
      <c r="G6206" s="11">
        <v>0.0008</v>
      </c>
      <c r="H6206" s="9">
        <f>MAX($F$6113:F6206)</f>
        <v>1.1206</v>
      </c>
      <c r="I6206" s="11">
        <f t="shared" si="154"/>
        <v>0.0181152953774764</v>
      </c>
      <c r="J6206" s="9">
        <f>MAX($F$6151:F6206)</f>
        <v>1.1206</v>
      </c>
      <c r="K6206" s="11">
        <f t="shared" si="155"/>
        <v>0.0181152953774764</v>
      </c>
      <c r="L6206" s="9"/>
      <c r="M6206" s="11"/>
      <c r="N6206" s="9" t="s">
        <v>801</v>
      </c>
    </row>
    <row r="6207" ht="25" customHeight="1" spans="1:14">
      <c r="A6207" s="9" t="s">
        <v>207</v>
      </c>
      <c r="B6207" s="9" t="s">
        <v>206</v>
      </c>
      <c r="C6207" s="10">
        <v>46265</v>
      </c>
      <c r="D6207" s="15">
        <v>1.1126</v>
      </c>
      <c r="E6207" s="15">
        <v>1.1126</v>
      </c>
      <c r="F6207" s="15">
        <v>1.1126</v>
      </c>
      <c r="G6207" s="11">
        <v>0.0112</v>
      </c>
      <c r="H6207" s="9">
        <f>MAX($F$6113:F6207)</f>
        <v>1.1206</v>
      </c>
      <c r="I6207" s="11">
        <f t="shared" si="154"/>
        <v>0.00713903266107441</v>
      </c>
      <c r="J6207" s="9">
        <f>MAX($F$6151:F6207)</f>
        <v>1.1206</v>
      </c>
      <c r="K6207" s="11">
        <f t="shared" si="155"/>
        <v>0.00713903266107441</v>
      </c>
      <c r="L6207" s="9"/>
      <c r="M6207" s="11"/>
      <c r="N6207" s="9" t="s">
        <v>801</v>
      </c>
    </row>
    <row r="6208" ht="25" customHeight="1" spans="1:14">
      <c r="A6208" s="9" t="s">
        <v>207</v>
      </c>
      <c r="B6208" s="9" t="s">
        <v>206</v>
      </c>
      <c r="C6208" s="10">
        <v>46268</v>
      </c>
      <c r="D6208" s="15">
        <v>1.0688</v>
      </c>
      <c r="E6208" s="15">
        <v>1.0688</v>
      </c>
      <c r="F6208" s="15">
        <v>1.0688</v>
      </c>
      <c r="G6208" s="11">
        <v>-0.0394</v>
      </c>
      <c r="H6208" s="9">
        <f>MAX($F$6113:F6208)</f>
        <v>1.1206</v>
      </c>
      <c r="I6208" s="11">
        <f t="shared" si="154"/>
        <v>0.046225236480457</v>
      </c>
      <c r="J6208" s="9">
        <f>MAX($F$6151:F6208)</f>
        <v>1.1206</v>
      </c>
      <c r="K6208" s="11">
        <f t="shared" si="155"/>
        <v>0.046225236480457</v>
      </c>
      <c r="L6208" s="9"/>
      <c r="M6208" s="11"/>
      <c r="N6208" s="9" t="s">
        <v>801</v>
      </c>
    </row>
    <row r="6209" ht="25" customHeight="1" spans="1:14">
      <c r="A6209" s="9" t="s">
        <v>207</v>
      </c>
      <c r="B6209" s="9" t="s">
        <v>206</v>
      </c>
      <c r="C6209" s="10">
        <v>46269</v>
      </c>
      <c r="D6209" s="15">
        <v>1.0458</v>
      </c>
      <c r="E6209" s="15">
        <v>1.0458</v>
      </c>
      <c r="F6209" s="15">
        <v>1.0458</v>
      </c>
      <c r="G6209" s="11">
        <v>-0.0215</v>
      </c>
      <c r="H6209" s="9">
        <f>MAX($F$6113:F6209)</f>
        <v>1.1206</v>
      </c>
      <c r="I6209" s="11">
        <f t="shared" si="154"/>
        <v>0.0667499553810459</v>
      </c>
      <c r="J6209" s="9">
        <f>MAX($F$6151:F6209)</f>
        <v>1.1206</v>
      </c>
      <c r="K6209" s="11">
        <f t="shared" si="155"/>
        <v>0.0667499553810459</v>
      </c>
      <c r="L6209" s="9"/>
      <c r="M6209" s="11"/>
      <c r="N6209" s="9" t="s">
        <v>801</v>
      </c>
    </row>
    <row r="6210" ht="25" customHeight="1" spans="1:14">
      <c r="A6210" s="9" t="s">
        <v>207</v>
      </c>
      <c r="B6210" s="9" t="s">
        <v>206</v>
      </c>
      <c r="C6210" s="10">
        <v>46275</v>
      </c>
      <c r="D6210" s="15">
        <v>1.0306</v>
      </c>
      <c r="E6210" s="15">
        <v>1.0306</v>
      </c>
      <c r="F6210" s="15">
        <v>1.0306</v>
      </c>
      <c r="G6210" s="11">
        <v>-0.0145</v>
      </c>
      <c r="H6210" s="9">
        <f>MAX($F$6113:F6210)</f>
        <v>1.1206</v>
      </c>
      <c r="I6210" s="11">
        <f t="shared" ref="I6210:I6273" si="156">1-F6210/H6210</f>
        <v>0.0803141174370874</v>
      </c>
      <c r="J6210" s="9"/>
      <c r="K6210" s="11"/>
      <c r="L6210" s="9"/>
      <c r="M6210" s="11"/>
      <c r="N6210" s="9" t="s">
        <v>801</v>
      </c>
    </row>
    <row r="6211" ht="25" customHeight="1" spans="1:14">
      <c r="A6211" s="9" t="s">
        <v>231</v>
      </c>
      <c r="B6211" s="9" t="s">
        <v>229</v>
      </c>
      <c r="C6211" s="10">
        <v>44323</v>
      </c>
      <c r="D6211" s="15">
        <v>1</v>
      </c>
      <c r="E6211" s="15">
        <v>1</v>
      </c>
      <c r="F6211" s="15">
        <v>1</v>
      </c>
      <c r="G6211" s="11"/>
      <c r="H6211" s="9">
        <f>MAX($F$6211:F6211)</f>
        <v>1</v>
      </c>
      <c r="I6211" s="11">
        <f t="shared" si="156"/>
        <v>0</v>
      </c>
      <c r="J6211" s="9"/>
      <c r="K6211" s="11"/>
      <c r="L6211" s="9"/>
      <c r="M6211" s="11"/>
      <c r="N6211" s="9" t="s">
        <v>804</v>
      </c>
    </row>
    <row r="6212" ht="25" customHeight="1" spans="1:14">
      <c r="A6212" s="9" t="s">
        <v>231</v>
      </c>
      <c r="B6212" s="9" t="s">
        <v>229</v>
      </c>
      <c r="C6212" s="10">
        <v>44326</v>
      </c>
      <c r="D6212" s="15">
        <v>0.9999</v>
      </c>
      <c r="E6212" s="15">
        <v>0.9999</v>
      </c>
      <c r="F6212" s="15">
        <v>0.9999</v>
      </c>
      <c r="G6212" s="11">
        <v>-0.0001</v>
      </c>
      <c r="H6212" s="9">
        <f>MAX($F$6211:F6212)</f>
        <v>1</v>
      </c>
      <c r="I6212" s="11">
        <f t="shared" si="156"/>
        <v>9.9999999999989e-5</v>
      </c>
      <c r="J6212" s="9"/>
      <c r="K6212" s="11"/>
      <c r="L6212" s="9"/>
      <c r="M6212" s="11"/>
      <c r="N6212" s="9" t="s">
        <v>804</v>
      </c>
    </row>
    <row r="6213" ht="25" customHeight="1" spans="1:14">
      <c r="A6213" s="9" t="s">
        <v>231</v>
      </c>
      <c r="B6213" s="9" t="s">
        <v>229</v>
      </c>
      <c r="C6213" s="10">
        <v>44327</v>
      </c>
      <c r="D6213" s="15">
        <v>0.9999</v>
      </c>
      <c r="E6213" s="15">
        <v>0.9999</v>
      </c>
      <c r="F6213" s="15">
        <v>0.9999</v>
      </c>
      <c r="G6213" s="11">
        <v>0</v>
      </c>
      <c r="H6213" s="9">
        <f>MAX($F$6211:F6213)</f>
        <v>1</v>
      </c>
      <c r="I6213" s="11">
        <f t="shared" si="156"/>
        <v>9.9999999999989e-5</v>
      </c>
      <c r="J6213" s="9"/>
      <c r="K6213" s="11"/>
      <c r="L6213" s="9"/>
      <c r="M6213" s="11"/>
      <c r="N6213" s="9" t="s">
        <v>804</v>
      </c>
    </row>
    <row r="6214" ht="25" customHeight="1" spans="1:14">
      <c r="A6214" s="9" t="s">
        <v>231</v>
      </c>
      <c r="B6214" s="9" t="s">
        <v>229</v>
      </c>
      <c r="C6214" s="10">
        <v>44328</v>
      </c>
      <c r="D6214" s="15">
        <v>0.9999</v>
      </c>
      <c r="E6214" s="15">
        <v>0.9999</v>
      </c>
      <c r="F6214" s="15">
        <v>0.9999</v>
      </c>
      <c r="G6214" s="11">
        <v>0</v>
      </c>
      <c r="H6214" s="9">
        <f>MAX($F$6211:F6214)</f>
        <v>1</v>
      </c>
      <c r="I6214" s="11">
        <f t="shared" si="156"/>
        <v>9.9999999999989e-5</v>
      </c>
      <c r="J6214" s="9"/>
      <c r="K6214" s="11"/>
      <c r="L6214" s="9"/>
      <c r="M6214" s="11"/>
      <c r="N6214" s="9" t="s">
        <v>804</v>
      </c>
    </row>
    <row r="6215" ht="25" customHeight="1" spans="1:14">
      <c r="A6215" s="9" t="s">
        <v>231</v>
      </c>
      <c r="B6215" s="9" t="s">
        <v>229</v>
      </c>
      <c r="C6215" s="10">
        <v>44329</v>
      </c>
      <c r="D6215" s="15">
        <v>0.9998</v>
      </c>
      <c r="E6215" s="15">
        <v>0.9998</v>
      </c>
      <c r="F6215" s="15">
        <v>0.9998</v>
      </c>
      <c r="G6215" s="11">
        <v>-0.0001</v>
      </c>
      <c r="H6215" s="9">
        <f>MAX($F$6211:F6215)</f>
        <v>1</v>
      </c>
      <c r="I6215" s="11">
        <f t="shared" si="156"/>
        <v>0.000199999999999978</v>
      </c>
      <c r="J6215" s="9"/>
      <c r="K6215" s="11"/>
      <c r="L6215" s="9"/>
      <c r="M6215" s="11"/>
      <c r="N6215" s="9" t="s">
        <v>804</v>
      </c>
    </row>
    <row r="6216" ht="25" customHeight="1" spans="1:14">
      <c r="A6216" s="9" t="s">
        <v>231</v>
      </c>
      <c r="B6216" s="9" t="s">
        <v>229</v>
      </c>
      <c r="C6216" s="10">
        <v>44330</v>
      </c>
      <c r="D6216" s="15">
        <v>0.9998</v>
      </c>
      <c r="E6216" s="15">
        <v>0.9998</v>
      </c>
      <c r="F6216" s="15">
        <v>0.9998</v>
      </c>
      <c r="G6216" s="11">
        <v>0</v>
      </c>
      <c r="H6216" s="9">
        <f>MAX($F$6211:F6216)</f>
        <v>1</v>
      </c>
      <c r="I6216" s="11">
        <f t="shared" si="156"/>
        <v>0.000199999999999978</v>
      </c>
      <c r="J6216" s="9"/>
      <c r="K6216" s="11"/>
      <c r="L6216" s="9"/>
      <c r="M6216" s="11"/>
      <c r="N6216" s="9" t="s">
        <v>804</v>
      </c>
    </row>
    <row r="6217" ht="25" customHeight="1" spans="1:14">
      <c r="A6217" s="9" t="s">
        <v>231</v>
      </c>
      <c r="B6217" s="9" t="s">
        <v>229</v>
      </c>
      <c r="C6217" s="10">
        <v>44333</v>
      </c>
      <c r="D6217" s="15">
        <v>0.9997</v>
      </c>
      <c r="E6217" s="15">
        <v>0.9997</v>
      </c>
      <c r="F6217" s="15">
        <v>0.9997</v>
      </c>
      <c r="G6217" s="11">
        <v>-0.0001</v>
      </c>
      <c r="H6217" s="9">
        <f>MAX($F$6211:F6217)</f>
        <v>1</v>
      </c>
      <c r="I6217" s="11">
        <f t="shared" si="156"/>
        <v>0.000299999999999967</v>
      </c>
      <c r="J6217" s="9"/>
      <c r="K6217" s="11"/>
      <c r="L6217" s="9"/>
      <c r="M6217" s="11"/>
      <c r="N6217" s="9" t="s">
        <v>804</v>
      </c>
    </row>
    <row r="6218" ht="25" customHeight="1" spans="1:14">
      <c r="A6218" s="9" t="s">
        <v>231</v>
      </c>
      <c r="B6218" s="9" t="s">
        <v>229</v>
      </c>
      <c r="C6218" s="10">
        <v>44334</v>
      </c>
      <c r="D6218" s="15">
        <v>0.9997</v>
      </c>
      <c r="E6218" s="15">
        <v>0.9997</v>
      </c>
      <c r="F6218" s="15">
        <v>0.9997</v>
      </c>
      <c r="G6218" s="11">
        <v>0</v>
      </c>
      <c r="H6218" s="9">
        <f>MAX($F$6211:F6218)</f>
        <v>1</v>
      </c>
      <c r="I6218" s="11">
        <f t="shared" si="156"/>
        <v>0.000299999999999967</v>
      </c>
      <c r="J6218" s="9"/>
      <c r="K6218" s="11"/>
      <c r="L6218" s="9"/>
      <c r="M6218" s="11"/>
      <c r="N6218" s="9" t="s">
        <v>804</v>
      </c>
    </row>
    <row r="6219" ht="25" customHeight="1" spans="1:14">
      <c r="A6219" s="9" t="s">
        <v>231</v>
      </c>
      <c r="B6219" s="9" t="s">
        <v>229</v>
      </c>
      <c r="C6219" s="10">
        <v>44335</v>
      </c>
      <c r="D6219" s="15">
        <v>0.9997</v>
      </c>
      <c r="E6219" s="15">
        <v>0.9997</v>
      </c>
      <c r="F6219" s="15">
        <v>0.9997</v>
      </c>
      <c r="G6219" s="11">
        <v>0</v>
      </c>
      <c r="H6219" s="9">
        <f>MAX($F$6211:F6219)</f>
        <v>1</v>
      </c>
      <c r="I6219" s="11">
        <f t="shared" si="156"/>
        <v>0.000299999999999967</v>
      </c>
      <c r="J6219" s="9"/>
      <c r="K6219" s="11"/>
      <c r="L6219" s="9"/>
      <c r="M6219" s="11"/>
      <c r="N6219" s="9" t="s">
        <v>804</v>
      </c>
    </row>
    <row r="6220" ht="25" customHeight="1" spans="1:14">
      <c r="A6220" s="9" t="s">
        <v>231</v>
      </c>
      <c r="B6220" s="9" t="s">
        <v>229</v>
      </c>
      <c r="C6220" s="10">
        <v>44336</v>
      </c>
      <c r="D6220" s="15">
        <v>0.9996</v>
      </c>
      <c r="E6220" s="15">
        <v>0.9996</v>
      </c>
      <c r="F6220" s="15">
        <v>0.9996</v>
      </c>
      <c r="G6220" s="11">
        <v>-0.0001</v>
      </c>
      <c r="H6220" s="9">
        <f>MAX($F$6211:F6220)</f>
        <v>1</v>
      </c>
      <c r="I6220" s="11">
        <f t="shared" si="156"/>
        <v>0.000399999999999956</v>
      </c>
      <c r="J6220" s="9"/>
      <c r="K6220" s="11"/>
      <c r="L6220" s="9"/>
      <c r="M6220" s="11"/>
      <c r="N6220" s="9" t="s">
        <v>804</v>
      </c>
    </row>
    <row r="6221" ht="25" customHeight="1" spans="1:14">
      <c r="A6221" s="9" t="s">
        <v>231</v>
      </c>
      <c r="B6221" s="9" t="s">
        <v>229</v>
      </c>
      <c r="C6221" s="10">
        <v>44337</v>
      </c>
      <c r="D6221" s="15">
        <v>0.9996</v>
      </c>
      <c r="E6221" s="15">
        <v>0.9996</v>
      </c>
      <c r="F6221" s="15">
        <v>0.9996</v>
      </c>
      <c r="G6221" s="11">
        <v>0</v>
      </c>
      <c r="H6221" s="9">
        <f>MAX($F$6211:F6221)</f>
        <v>1</v>
      </c>
      <c r="I6221" s="11">
        <f t="shared" si="156"/>
        <v>0.000399999999999956</v>
      </c>
      <c r="J6221" s="9"/>
      <c r="K6221" s="11"/>
      <c r="L6221" s="9"/>
      <c r="M6221" s="11"/>
      <c r="N6221" s="9" t="s">
        <v>804</v>
      </c>
    </row>
    <row r="6222" ht="25" customHeight="1" spans="1:14">
      <c r="A6222" s="9" t="s">
        <v>231</v>
      </c>
      <c r="B6222" s="9" t="s">
        <v>229</v>
      </c>
      <c r="C6222" s="10">
        <v>44340</v>
      </c>
      <c r="D6222" s="15">
        <v>0.9995</v>
      </c>
      <c r="E6222" s="15">
        <v>0.9995</v>
      </c>
      <c r="F6222" s="15">
        <v>0.9995</v>
      </c>
      <c r="G6222" s="11">
        <v>-0.0001</v>
      </c>
      <c r="H6222" s="9">
        <f>MAX($F$6211:F6222)</f>
        <v>1</v>
      </c>
      <c r="I6222" s="11">
        <f t="shared" si="156"/>
        <v>0.000499999999999945</v>
      </c>
      <c r="J6222" s="9"/>
      <c r="K6222" s="11"/>
      <c r="L6222" s="9"/>
      <c r="M6222" s="11"/>
      <c r="N6222" s="9" t="s">
        <v>804</v>
      </c>
    </row>
    <row r="6223" ht="25" customHeight="1" spans="1:14">
      <c r="A6223" s="9" t="s">
        <v>231</v>
      </c>
      <c r="B6223" s="9" t="s">
        <v>229</v>
      </c>
      <c r="C6223" s="10">
        <v>44341</v>
      </c>
      <c r="D6223" s="15">
        <v>0.9995</v>
      </c>
      <c r="E6223" s="15">
        <v>0.9995</v>
      </c>
      <c r="F6223" s="15">
        <v>0.9995</v>
      </c>
      <c r="G6223" s="11">
        <v>0</v>
      </c>
      <c r="H6223" s="9">
        <f>MAX($F$6211:F6223)</f>
        <v>1</v>
      </c>
      <c r="I6223" s="11">
        <f t="shared" si="156"/>
        <v>0.000499999999999945</v>
      </c>
      <c r="J6223" s="9"/>
      <c r="K6223" s="11"/>
      <c r="L6223" s="9"/>
      <c r="M6223" s="11"/>
      <c r="N6223" s="9" t="s">
        <v>804</v>
      </c>
    </row>
    <row r="6224" ht="25" customHeight="1" spans="1:14">
      <c r="A6224" s="9" t="s">
        <v>231</v>
      </c>
      <c r="B6224" s="9" t="s">
        <v>229</v>
      </c>
      <c r="C6224" s="10">
        <v>44342</v>
      </c>
      <c r="D6224" s="15">
        <v>1.0163</v>
      </c>
      <c r="E6224" s="15">
        <v>1.0163</v>
      </c>
      <c r="F6224" s="15">
        <v>1.0163</v>
      </c>
      <c r="G6224" s="11">
        <v>0.0168</v>
      </c>
      <c r="H6224" s="9">
        <f>MAX($F$6211:F6224)</f>
        <v>1.0163</v>
      </c>
      <c r="I6224" s="11">
        <f t="shared" si="156"/>
        <v>0</v>
      </c>
      <c r="J6224" s="9"/>
      <c r="K6224" s="11"/>
      <c r="L6224" s="9"/>
      <c r="M6224" s="11"/>
      <c r="N6224" s="9" t="s">
        <v>804</v>
      </c>
    </row>
    <row r="6225" ht="25" customHeight="1" spans="1:14">
      <c r="A6225" s="9" t="s">
        <v>231</v>
      </c>
      <c r="B6225" s="9" t="s">
        <v>229</v>
      </c>
      <c r="C6225" s="10">
        <v>44343</v>
      </c>
      <c r="D6225" s="15">
        <v>1.0161</v>
      </c>
      <c r="E6225" s="15">
        <v>1.0161</v>
      </c>
      <c r="F6225" s="15">
        <v>1.0161</v>
      </c>
      <c r="G6225" s="11">
        <v>-0.0002</v>
      </c>
      <c r="H6225" s="9">
        <f>MAX($F$6211:F6225)</f>
        <v>1.0163</v>
      </c>
      <c r="I6225" s="11">
        <f t="shared" si="156"/>
        <v>0.000196792285742431</v>
      </c>
      <c r="J6225" s="9"/>
      <c r="K6225" s="11"/>
      <c r="L6225" s="9"/>
      <c r="M6225" s="11"/>
      <c r="N6225" s="9" t="s">
        <v>804</v>
      </c>
    </row>
    <row r="6226" ht="25" customHeight="1" spans="1:14">
      <c r="A6226" s="9" t="s">
        <v>231</v>
      </c>
      <c r="B6226" s="9" t="s">
        <v>229</v>
      </c>
      <c r="C6226" s="10">
        <v>44344</v>
      </c>
      <c r="D6226" s="15">
        <v>1.0178</v>
      </c>
      <c r="E6226" s="15">
        <v>1.0178</v>
      </c>
      <c r="F6226" s="15">
        <v>1.0178</v>
      </c>
      <c r="G6226" s="11">
        <v>0.0017</v>
      </c>
      <c r="H6226" s="9">
        <f>MAX($F$6211:F6226)</f>
        <v>1.0178</v>
      </c>
      <c r="I6226" s="11">
        <f t="shared" si="156"/>
        <v>0</v>
      </c>
      <c r="J6226" s="9"/>
      <c r="K6226" s="11"/>
      <c r="L6226" s="9"/>
      <c r="M6226" s="11"/>
      <c r="N6226" s="9" t="s">
        <v>804</v>
      </c>
    </row>
    <row r="6227" ht="25" customHeight="1" spans="1:14">
      <c r="A6227" s="9" t="s">
        <v>231</v>
      </c>
      <c r="B6227" s="9" t="s">
        <v>229</v>
      </c>
      <c r="C6227" s="10">
        <v>44347</v>
      </c>
      <c r="D6227" s="15">
        <v>1.0187</v>
      </c>
      <c r="E6227" s="15">
        <v>1.0187</v>
      </c>
      <c r="F6227" s="15">
        <v>1.0187</v>
      </c>
      <c r="G6227" s="11">
        <v>0.0009</v>
      </c>
      <c r="H6227" s="9">
        <f>MAX($F$6211:F6227)</f>
        <v>1.0187</v>
      </c>
      <c r="I6227" s="11">
        <f t="shared" si="156"/>
        <v>0</v>
      </c>
      <c r="J6227" s="9"/>
      <c r="K6227" s="11"/>
      <c r="L6227" s="9"/>
      <c r="M6227" s="11"/>
      <c r="N6227" s="9" t="s">
        <v>804</v>
      </c>
    </row>
    <row r="6228" ht="25" customHeight="1" spans="1:14">
      <c r="A6228" s="9" t="s">
        <v>231</v>
      </c>
      <c r="B6228" s="9" t="s">
        <v>229</v>
      </c>
      <c r="C6228" s="10">
        <v>44348</v>
      </c>
      <c r="D6228" s="15">
        <v>1.0191</v>
      </c>
      <c r="E6228" s="15">
        <v>1.0191</v>
      </c>
      <c r="F6228" s="15">
        <v>1.0191</v>
      </c>
      <c r="G6228" s="11">
        <v>0.0004</v>
      </c>
      <c r="H6228" s="9">
        <f>MAX($F$6211:F6228)</f>
        <v>1.0191</v>
      </c>
      <c r="I6228" s="11">
        <f t="shared" si="156"/>
        <v>0</v>
      </c>
      <c r="J6228" s="9"/>
      <c r="K6228" s="11"/>
      <c r="L6228" s="9"/>
      <c r="M6228" s="11"/>
      <c r="N6228" s="9" t="s">
        <v>804</v>
      </c>
    </row>
    <row r="6229" ht="25" customHeight="1" spans="1:14">
      <c r="A6229" s="9" t="s">
        <v>231</v>
      </c>
      <c r="B6229" s="9" t="s">
        <v>229</v>
      </c>
      <c r="C6229" s="10">
        <v>44349</v>
      </c>
      <c r="D6229" s="15">
        <v>1.0189</v>
      </c>
      <c r="E6229" s="15">
        <v>1.0189</v>
      </c>
      <c r="F6229" s="15">
        <v>1.0189</v>
      </c>
      <c r="G6229" s="11">
        <v>-0.0002</v>
      </c>
      <c r="H6229" s="9">
        <f>MAX($F$6211:F6229)</f>
        <v>1.0191</v>
      </c>
      <c r="I6229" s="11">
        <f t="shared" si="156"/>
        <v>0.000196251594544172</v>
      </c>
      <c r="J6229" s="9"/>
      <c r="K6229" s="11"/>
      <c r="L6229" s="9"/>
      <c r="M6229" s="11"/>
      <c r="N6229" s="9" t="s">
        <v>804</v>
      </c>
    </row>
    <row r="6230" ht="25" customHeight="1" spans="1:14">
      <c r="A6230" s="9" t="s">
        <v>231</v>
      </c>
      <c r="B6230" s="9" t="s">
        <v>229</v>
      </c>
      <c r="C6230" s="10">
        <v>44350</v>
      </c>
      <c r="D6230" s="15">
        <v>1.0193</v>
      </c>
      <c r="E6230" s="15">
        <v>1.0193</v>
      </c>
      <c r="F6230" s="15">
        <v>1.0193</v>
      </c>
      <c r="G6230" s="11">
        <v>0.0004</v>
      </c>
      <c r="H6230" s="9">
        <f>MAX($F$6211:F6230)</f>
        <v>1.0193</v>
      </c>
      <c r="I6230" s="11">
        <f t="shared" si="156"/>
        <v>0</v>
      </c>
      <c r="J6230" s="9"/>
      <c r="K6230" s="11"/>
      <c r="L6230" s="9"/>
      <c r="M6230" s="11"/>
      <c r="N6230" s="9" t="s">
        <v>804</v>
      </c>
    </row>
    <row r="6231" ht="25" customHeight="1" spans="1:14">
      <c r="A6231" s="9" t="s">
        <v>231</v>
      </c>
      <c r="B6231" s="9" t="s">
        <v>229</v>
      </c>
      <c r="C6231" s="10">
        <v>44351</v>
      </c>
      <c r="D6231" s="15">
        <v>1.0198</v>
      </c>
      <c r="E6231" s="15">
        <v>1.0198</v>
      </c>
      <c r="F6231" s="15">
        <v>1.0198</v>
      </c>
      <c r="G6231" s="11">
        <v>0.0005</v>
      </c>
      <c r="H6231" s="9">
        <f>MAX($F$6211:F6231)</f>
        <v>1.0198</v>
      </c>
      <c r="I6231" s="11">
        <f t="shared" si="156"/>
        <v>0</v>
      </c>
      <c r="J6231" s="9"/>
      <c r="K6231" s="11"/>
      <c r="L6231" s="9"/>
      <c r="M6231" s="11"/>
      <c r="N6231" s="9" t="s">
        <v>804</v>
      </c>
    </row>
    <row r="6232" ht="25" customHeight="1" spans="1:14">
      <c r="A6232" s="9" t="s">
        <v>231</v>
      </c>
      <c r="B6232" s="9" t="s">
        <v>229</v>
      </c>
      <c r="C6232" s="10">
        <v>44354</v>
      </c>
      <c r="D6232" s="15">
        <v>1.0207</v>
      </c>
      <c r="E6232" s="15">
        <v>1.0207</v>
      </c>
      <c r="F6232" s="15">
        <v>1.0207</v>
      </c>
      <c r="G6232" s="11">
        <v>0.0009</v>
      </c>
      <c r="H6232" s="9">
        <f>MAX($F$6211:F6232)</f>
        <v>1.0207</v>
      </c>
      <c r="I6232" s="11">
        <f t="shared" si="156"/>
        <v>0</v>
      </c>
      <c r="J6232" s="9"/>
      <c r="K6232" s="11"/>
      <c r="L6232" s="9"/>
      <c r="M6232" s="11"/>
      <c r="N6232" s="9" t="s">
        <v>804</v>
      </c>
    </row>
    <row r="6233" ht="25" customHeight="1" spans="1:14">
      <c r="A6233" s="9" t="s">
        <v>231</v>
      </c>
      <c r="B6233" s="9" t="s">
        <v>229</v>
      </c>
      <c r="C6233" s="10">
        <v>44355</v>
      </c>
      <c r="D6233" s="15">
        <v>1.0206</v>
      </c>
      <c r="E6233" s="15">
        <v>1.0206</v>
      </c>
      <c r="F6233" s="15">
        <v>1.0206</v>
      </c>
      <c r="G6233" s="11">
        <v>-0.0001</v>
      </c>
      <c r="H6233" s="9">
        <f>MAX($F$6211:F6233)</f>
        <v>1.0207</v>
      </c>
      <c r="I6233" s="11">
        <f t="shared" si="156"/>
        <v>9.79719800137113e-5</v>
      </c>
      <c r="J6233" s="9"/>
      <c r="K6233" s="11"/>
      <c r="L6233" s="9"/>
      <c r="M6233" s="11"/>
      <c r="N6233" s="9" t="s">
        <v>804</v>
      </c>
    </row>
    <row r="6234" ht="25" customHeight="1" spans="1:14">
      <c r="A6234" s="9" t="s">
        <v>231</v>
      </c>
      <c r="B6234" s="9" t="s">
        <v>229</v>
      </c>
      <c r="C6234" s="10">
        <v>44356</v>
      </c>
      <c r="D6234" s="15">
        <v>1.0205</v>
      </c>
      <c r="E6234" s="15">
        <v>1.0205</v>
      </c>
      <c r="F6234" s="15">
        <v>1.0205</v>
      </c>
      <c r="G6234" s="11">
        <v>-0.0001</v>
      </c>
      <c r="H6234" s="9">
        <f>MAX($F$6211:F6234)</f>
        <v>1.0207</v>
      </c>
      <c r="I6234" s="11">
        <f t="shared" si="156"/>
        <v>0.000195943960027423</v>
      </c>
      <c r="J6234" s="9"/>
      <c r="K6234" s="11"/>
      <c r="L6234" s="9"/>
      <c r="M6234" s="11"/>
      <c r="N6234" s="9" t="s">
        <v>804</v>
      </c>
    </row>
    <row r="6235" ht="25" customHeight="1" spans="1:14">
      <c r="A6235" s="9" t="s">
        <v>231</v>
      </c>
      <c r="B6235" s="9" t="s">
        <v>229</v>
      </c>
      <c r="C6235" s="10">
        <v>44357</v>
      </c>
      <c r="D6235" s="15">
        <v>1.0208</v>
      </c>
      <c r="E6235" s="15">
        <v>1.0208</v>
      </c>
      <c r="F6235" s="15">
        <v>1.0208</v>
      </c>
      <c r="G6235" s="11">
        <v>0.0003</v>
      </c>
      <c r="H6235" s="9">
        <f>MAX($F$6211:F6235)</f>
        <v>1.0208</v>
      </c>
      <c r="I6235" s="11">
        <f t="shared" si="156"/>
        <v>0</v>
      </c>
      <c r="J6235" s="9"/>
      <c r="K6235" s="11"/>
      <c r="L6235" s="9"/>
      <c r="M6235" s="11"/>
      <c r="N6235" s="9" t="s">
        <v>804</v>
      </c>
    </row>
    <row r="6236" ht="25" customHeight="1" spans="1:14">
      <c r="A6236" s="9" t="s">
        <v>231</v>
      </c>
      <c r="B6236" s="9" t="s">
        <v>229</v>
      </c>
      <c r="C6236" s="10">
        <v>44358</v>
      </c>
      <c r="D6236" s="15">
        <v>1.021</v>
      </c>
      <c r="E6236" s="15">
        <v>1.021</v>
      </c>
      <c r="F6236" s="15">
        <v>1.021</v>
      </c>
      <c r="G6236" s="11">
        <v>0.0002</v>
      </c>
      <c r="H6236" s="9">
        <f>MAX($F$6211:F6236)</f>
        <v>1.021</v>
      </c>
      <c r="I6236" s="11">
        <f t="shared" si="156"/>
        <v>0</v>
      </c>
      <c r="J6236" s="9"/>
      <c r="K6236" s="11"/>
      <c r="L6236" s="9"/>
      <c r="M6236" s="11"/>
      <c r="N6236" s="9" t="s">
        <v>804</v>
      </c>
    </row>
    <row r="6237" ht="25" customHeight="1" spans="1:14">
      <c r="A6237" s="9" t="s">
        <v>231</v>
      </c>
      <c r="B6237" s="9" t="s">
        <v>229</v>
      </c>
      <c r="C6237" s="10">
        <v>44362</v>
      </c>
      <c r="D6237" s="15">
        <v>1.0206</v>
      </c>
      <c r="E6237" s="15">
        <v>1.0206</v>
      </c>
      <c r="F6237" s="15">
        <v>1.0206</v>
      </c>
      <c r="G6237" s="11">
        <v>-0.0004</v>
      </c>
      <c r="H6237" s="9">
        <f>MAX($F$6211:F6237)</f>
        <v>1.021</v>
      </c>
      <c r="I6237" s="11">
        <f t="shared" si="156"/>
        <v>0.000391772771792365</v>
      </c>
      <c r="J6237" s="9"/>
      <c r="K6237" s="11"/>
      <c r="L6237" s="9"/>
      <c r="M6237" s="11"/>
      <c r="N6237" s="9" t="s">
        <v>804</v>
      </c>
    </row>
    <row r="6238" ht="25" customHeight="1" spans="1:14">
      <c r="A6238" s="9" t="s">
        <v>231</v>
      </c>
      <c r="B6238" s="9" t="s">
        <v>229</v>
      </c>
      <c r="C6238" s="10">
        <v>44363</v>
      </c>
      <c r="D6238" s="15">
        <v>1.0212</v>
      </c>
      <c r="E6238" s="15">
        <v>1.0212</v>
      </c>
      <c r="F6238" s="15">
        <v>1.0212</v>
      </c>
      <c r="G6238" s="11">
        <v>0.0006</v>
      </c>
      <c r="H6238" s="9">
        <f>MAX($F$6211:F6238)</f>
        <v>1.0212</v>
      </c>
      <c r="I6238" s="11">
        <f t="shared" si="156"/>
        <v>0</v>
      </c>
      <c r="J6238" s="9"/>
      <c r="K6238" s="11"/>
      <c r="L6238" s="9"/>
      <c r="M6238" s="11"/>
      <c r="N6238" s="9" t="s">
        <v>804</v>
      </c>
    </row>
    <row r="6239" ht="25" customHeight="1" spans="1:14">
      <c r="A6239" s="9" t="s">
        <v>231</v>
      </c>
      <c r="B6239" s="9" t="s">
        <v>229</v>
      </c>
      <c r="C6239" s="10">
        <v>44364</v>
      </c>
      <c r="D6239" s="15">
        <v>1.0214</v>
      </c>
      <c r="E6239" s="15">
        <v>1.0214</v>
      </c>
      <c r="F6239" s="15">
        <v>1.0214</v>
      </c>
      <c r="G6239" s="11">
        <v>0.0002</v>
      </c>
      <c r="H6239" s="9">
        <f>MAX($F$6211:F6239)</f>
        <v>1.0214</v>
      </c>
      <c r="I6239" s="11">
        <f t="shared" si="156"/>
        <v>0</v>
      </c>
      <c r="J6239" s="9"/>
      <c r="K6239" s="11"/>
      <c r="L6239" s="9"/>
      <c r="M6239" s="11"/>
      <c r="N6239" s="9" t="s">
        <v>804</v>
      </c>
    </row>
    <row r="6240" ht="25" customHeight="1" spans="1:14">
      <c r="A6240" s="9" t="s">
        <v>231</v>
      </c>
      <c r="B6240" s="9" t="s">
        <v>229</v>
      </c>
      <c r="C6240" s="10">
        <v>44365</v>
      </c>
      <c r="D6240" s="15">
        <v>1.0143</v>
      </c>
      <c r="E6240" s="15">
        <v>1.0143</v>
      </c>
      <c r="F6240" s="15">
        <v>1.0143</v>
      </c>
      <c r="G6240" s="11">
        <v>-0.007</v>
      </c>
      <c r="H6240" s="9">
        <f>MAX($F$6211:F6240)</f>
        <v>1.0214</v>
      </c>
      <c r="I6240" s="11">
        <f t="shared" si="156"/>
        <v>0.00695124339142361</v>
      </c>
      <c r="J6240" s="9"/>
      <c r="K6240" s="11"/>
      <c r="L6240" s="9"/>
      <c r="M6240" s="11"/>
      <c r="N6240" s="9" t="s">
        <v>804</v>
      </c>
    </row>
    <row r="6241" ht="25" customHeight="1" spans="1:14">
      <c r="A6241" s="9" t="s">
        <v>231</v>
      </c>
      <c r="B6241" s="9" t="s">
        <v>229</v>
      </c>
      <c r="C6241" s="10">
        <v>44368</v>
      </c>
      <c r="D6241" s="15">
        <v>1.0146</v>
      </c>
      <c r="E6241" s="15">
        <v>1.0146</v>
      </c>
      <c r="F6241" s="15">
        <v>1.0146</v>
      </c>
      <c r="G6241" s="11">
        <v>0.0003</v>
      </c>
      <c r="H6241" s="9">
        <f>MAX($F$6211:F6241)</f>
        <v>1.0214</v>
      </c>
      <c r="I6241" s="11">
        <f t="shared" si="156"/>
        <v>0.00665752888192694</v>
      </c>
      <c r="J6241" s="9"/>
      <c r="K6241" s="11"/>
      <c r="L6241" s="9"/>
      <c r="M6241" s="11"/>
      <c r="N6241" s="9" t="s">
        <v>804</v>
      </c>
    </row>
    <row r="6242" ht="25" customHeight="1" spans="1:14">
      <c r="A6242" s="9" t="s">
        <v>231</v>
      </c>
      <c r="B6242" s="9" t="s">
        <v>229</v>
      </c>
      <c r="C6242" s="10">
        <v>44369</v>
      </c>
      <c r="D6242" s="15">
        <v>1.0149</v>
      </c>
      <c r="E6242" s="15">
        <v>1.0149</v>
      </c>
      <c r="F6242" s="15">
        <v>1.0149</v>
      </c>
      <c r="G6242" s="11">
        <v>0.0003</v>
      </c>
      <c r="H6242" s="9">
        <f>MAX($F$6211:F6242)</f>
        <v>1.0214</v>
      </c>
      <c r="I6242" s="11">
        <f t="shared" si="156"/>
        <v>0.00636381437243017</v>
      </c>
      <c r="J6242" s="9"/>
      <c r="K6242" s="11"/>
      <c r="L6242" s="9"/>
      <c r="M6242" s="11"/>
      <c r="N6242" s="9" t="s">
        <v>804</v>
      </c>
    </row>
    <row r="6243" ht="25" customHeight="1" spans="1:14">
      <c r="A6243" s="9" t="s">
        <v>231</v>
      </c>
      <c r="B6243" s="9" t="s">
        <v>229</v>
      </c>
      <c r="C6243" s="10">
        <v>44370</v>
      </c>
      <c r="D6243" s="15">
        <v>1.0155</v>
      </c>
      <c r="E6243" s="15">
        <v>1.0155</v>
      </c>
      <c r="F6243" s="15">
        <v>1.0155</v>
      </c>
      <c r="G6243" s="11">
        <v>0.0006</v>
      </c>
      <c r="H6243" s="9">
        <f>MAX($F$6211:F6243)</f>
        <v>1.0214</v>
      </c>
      <c r="I6243" s="11">
        <f t="shared" si="156"/>
        <v>0.0057763853534365</v>
      </c>
      <c r="J6243" s="9"/>
      <c r="K6243" s="11"/>
      <c r="L6243" s="9"/>
      <c r="M6243" s="11"/>
      <c r="N6243" s="9" t="s">
        <v>804</v>
      </c>
    </row>
    <row r="6244" ht="25" customHeight="1" spans="1:14">
      <c r="A6244" s="9" t="s">
        <v>231</v>
      </c>
      <c r="B6244" s="9" t="s">
        <v>229</v>
      </c>
      <c r="C6244" s="10">
        <v>44371</v>
      </c>
      <c r="D6244" s="15">
        <v>1.0164</v>
      </c>
      <c r="E6244" s="15">
        <v>1.0164</v>
      </c>
      <c r="F6244" s="15">
        <v>1.0164</v>
      </c>
      <c r="G6244" s="11">
        <v>0.0009</v>
      </c>
      <c r="H6244" s="9">
        <f>MAX($F$6211:F6244)</f>
        <v>1.0214</v>
      </c>
      <c r="I6244" s="11">
        <f t="shared" si="156"/>
        <v>0.00489524182494627</v>
      </c>
      <c r="J6244" s="9"/>
      <c r="K6244" s="11"/>
      <c r="L6244" s="9"/>
      <c r="M6244" s="11"/>
      <c r="N6244" s="9" t="s">
        <v>804</v>
      </c>
    </row>
    <row r="6245" ht="25" customHeight="1" spans="1:14">
      <c r="A6245" s="9" t="s">
        <v>231</v>
      </c>
      <c r="B6245" s="9" t="s">
        <v>229</v>
      </c>
      <c r="C6245" s="10">
        <v>44372</v>
      </c>
      <c r="D6245" s="15">
        <v>1.0171</v>
      </c>
      <c r="E6245" s="15">
        <v>1.0171</v>
      </c>
      <c r="F6245" s="15">
        <v>1.0171</v>
      </c>
      <c r="G6245" s="11">
        <v>0.0007</v>
      </c>
      <c r="H6245" s="9">
        <f>MAX($F$6211:F6245)</f>
        <v>1.0214</v>
      </c>
      <c r="I6245" s="11">
        <f t="shared" si="156"/>
        <v>0.00420990796945386</v>
      </c>
      <c r="J6245" s="9"/>
      <c r="K6245" s="11"/>
      <c r="L6245" s="9"/>
      <c r="M6245" s="11"/>
      <c r="N6245" s="9" t="s">
        <v>804</v>
      </c>
    </row>
    <row r="6246" ht="25" customHeight="1" spans="1:14">
      <c r="A6246" s="9" t="s">
        <v>231</v>
      </c>
      <c r="B6246" s="9" t="s">
        <v>229</v>
      </c>
      <c r="C6246" s="10">
        <v>44375</v>
      </c>
      <c r="D6246" s="15">
        <v>1.0174</v>
      </c>
      <c r="E6246" s="15">
        <v>1.0174</v>
      </c>
      <c r="F6246" s="15">
        <v>1.0174</v>
      </c>
      <c r="G6246" s="11">
        <v>0.0003</v>
      </c>
      <c r="H6246" s="9">
        <f>MAX($F$6211:F6246)</f>
        <v>1.0214</v>
      </c>
      <c r="I6246" s="11">
        <f t="shared" si="156"/>
        <v>0.00391619345995697</v>
      </c>
      <c r="J6246" s="9"/>
      <c r="K6246" s="11"/>
      <c r="L6246" s="9"/>
      <c r="M6246" s="11"/>
      <c r="N6246" s="9" t="s">
        <v>804</v>
      </c>
    </row>
    <row r="6247" ht="25" customHeight="1" spans="1:14">
      <c r="A6247" s="9" t="s">
        <v>231</v>
      </c>
      <c r="B6247" s="9" t="s">
        <v>229</v>
      </c>
      <c r="C6247" s="10">
        <v>44376</v>
      </c>
      <c r="D6247" s="15">
        <v>1.0175</v>
      </c>
      <c r="E6247" s="15">
        <v>1.0175</v>
      </c>
      <c r="F6247" s="15">
        <v>1.0175</v>
      </c>
      <c r="G6247" s="11">
        <v>0.0001</v>
      </c>
      <c r="H6247" s="9">
        <f>MAX($F$6211:F6247)</f>
        <v>1.0214</v>
      </c>
      <c r="I6247" s="11">
        <f t="shared" si="156"/>
        <v>0.00381828862345801</v>
      </c>
      <c r="J6247" s="9"/>
      <c r="K6247" s="11"/>
      <c r="L6247" s="9"/>
      <c r="M6247" s="11"/>
      <c r="N6247" s="9" t="s">
        <v>804</v>
      </c>
    </row>
    <row r="6248" ht="25" customHeight="1" spans="1:14">
      <c r="A6248" s="9" t="s">
        <v>231</v>
      </c>
      <c r="B6248" s="9" t="s">
        <v>229</v>
      </c>
      <c r="C6248" s="10">
        <v>44377</v>
      </c>
      <c r="D6248" s="15">
        <v>1.0176</v>
      </c>
      <c r="E6248" s="15">
        <v>1.0176</v>
      </c>
      <c r="F6248" s="15">
        <v>1.0176</v>
      </c>
      <c r="G6248" s="11">
        <v>0.0001</v>
      </c>
      <c r="H6248" s="9">
        <f>MAX($F$6211:F6248)</f>
        <v>1.0214</v>
      </c>
      <c r="I6248" s="11">
        <f t="shared" si="156"/>
        <v>0.00372038378695905</v>
      </c>
      <c r="J6248" s="9"/>
      <c r="K6248" s="11"/>
      <c r="L6248" s="9"/>
      <c r="M6248" s="11"/>
      <c r="N6248" s="9" t="s">
        <v>804</v>
      </c>
    </row>
    <row r="6249" ht="25" customHeight="1" spans="1:14">
      <c r="A6249" s="9" t="s">
        <v>231</v>
      </c>
      <c r="B6249" s="9" t="s">
        <v>229</v>
      </c>
      <c r="C6249" s="10">
        <v>44378</v>
      </c>
      <c r="D6249" s="15">
        <v>1.0182</v>
      </c>
      <c r="E6249" s="15">
        <v>1.0182</v>
      </c>
      <c r="F6249" s="15">
        <v>1.0182</v>
      </c>
      <c r="G6249" s="11">
        <v>0.0006</v>
      </c>
      <c r="H6249" s="9">
        <f>MAX($F$6211:F6249)</f>
        <v>1.0214</v>
      </c>
      <c r="I6249" s="11">
        <f t="shared" si="156"/>
        <v>0.0031329547679656</v>
      </c>
      <c r="J6249" s="9"/>
      <c r="K6249" s="11"/>
      <c r="L6249" s="9"/>
      <c r="M6249" s="11"/>
      <c r="N6249" s="9" t="s">
        <v>804</v>
      </c>
    </row>
    <row r="6250" ht="25" customHeight="1" spans="1:14">
      <c r="A6250" s="9" t="s">
        <v>231</v>
      </c>
      <c r="B6250" s="9" t="s">
        <v>229</v>
      </c>
      <c r="C6250" s="10">
        <v>44379</v>
      </c>
      <c r="D6250" s="15">
        <v>1.0184</v>
      </c>
      <c r="E6250" s="15">
        <v>1.0184</v>
      </c>
      <c r="F6250" s="15">
        <v>1.0184</v>
      </c>
      <c r="G6250" s="11">
        <v>0.0002</v>
      </c>
      <c r="H6250" s="9">
        <f>MAX($F$6211:F6250)</f>
        <v>1.0214</v>
      </c>
      <c r="I6250" s="11">
        <f t="shared" si="156"/>
        <v>0.00293714509496779</v>
      </c>
      <c r="J6250" s="9"/>
      <c r="K6250" s="11"/>
      <c r="L6250" s="9"/>
      <c r="M6250" s="11"/>
      <c r="N6250" s="9" t="s">
        <v>804</v>
      </c>
    </row>
    <row r="6251" ht="25" customHeight="1" spans="1:14">
      <c r="A6251" s="9" t="s">
        <v>231</v>
      </c>
      <c r="B6251" s="9" t="s">
        <v>229</v>
      </c>
      <c r="C6251" s="10">
        <v>44382</v>
      </c>
      <c r="D6251" s="15">
        <v>1.0181</v>
      </c>
      <c r="E6251" s="15">
        <v>1.0181</v>
      </c>
      <c r="F6251" s="15">
        <v>1.0181</v>
      </c>
      <c r="G6251" s="11">
        <v>-0.0003</v>
      </c>
      <c r="H6251" s="9">
        <f>MAX($F$6211:F6251)</f>
        <v>1.0214</v>
      </c>
      <c r="I6251" s="11">
        <f t="shared" si="156"/>
        <v>0.00323085960446456</v>
      </c>
      <c r="J6251" s="9"/>
      <c r="K6251" s="11"/>
      <c r="L6251" s="9"/>
      <c r="M6251" s="11"/>
      <c r="N6251" s="9" t="s">
        <v>804</v>
      </c>
    </row>
    <row r="6252" ht="25" customHeight="1" spans="1:14">
      <c r="A6252" s="9" t="s">
        <v>231</v>
      </c>
      <c r="B6252" s="9" t="s">
        <v>229</v>
      </c>
      <c r="C6252" s="10">
        <v>44383</v>
      </c>
      <c r="D6252" s="15">
        <v>1.0188</v>
      </c>
      <c r="E6252" s="15">
        <v>1.0188</v>
      </c>
      <c r="F6252" s="15">
        <v>1.0188</v>
      </c>
      <c r="G6252" s="11">
        <v>0.0007</v>
      </c>
      <c r="H6252" s="9">
        <f>MAX($F$6211:F6252)</f>
        <v>1.0214</v>
      </c>
      <c r="I6252" s="11">
        <f t="shared" si="156"/>
        <v>0.00254552574897216</v>
      </c>
      <c r="J6252" s="9"/>
      <c r="K6252" s="11"/>
      <c r="L6252" s="9"/>
      <c r="M6252" s="11"/>
      <c r="N6252" s="9" t="s">
        <v>804</v>
      </c>
    </row>
    <row r="6253" ht="25" customHeight="1" spans="1:14">
      <c r="A6253" s="9" t="s">
        <v>231</v>
      </c>
      <c r="B6253" s="9" t="s">
        <v>229</v>
      </c>
      <c r="C6253" s="10">
        <v>44384</v>
      </c>
      <c r="D6253" s="15">
        <v>1.0188</v>
      </c>
      <c r="E6253" s="15">
        <v>1.0188</v>
      </c>
      <c r="F6253" s="15">
        <v>1.0188</v>
      </c>
      <c r="G6253" s="11">
        <v>0</v>
      </c>
      <c r="H6253" s="9">
        <f>MAX($F$6211:F6253)</f>
        <v>1.0214</v>
      </c>
      <c r="I6253" s="11">
        <f t="shared" si="156"/>
        <v>0.00254552574897216</v>
      </c>
      <c r="J6253" s="9"/>
      <c r="K6253" s="11"/>
      <c r="L6253" s="9"/>
      <c r="M6253" s="11"/>
      <c r="N6253" s="9" t="s">
        <v>804</v>
      </c>
    </row>
    <row r="6254" ht="25" customHeight="1" spans="1:14">
      <c r="A6254" s="9" t="s">
        <v>231</v>
      </c>
      <c r="B6254" s="9" t="s">
        <v>229</v>
      </c>
      <c r="C6254" s="10">
        <v>44385</v>
      </c>
      <c r="D6254" s="15">
        <v>1.0189</v>
      </c>
      <c r="E6254" s="15">
        <v>1.0189</v>
      </c>
      <c r="F6254" s="15">
        <v>1.0189</v>
      </c>
      <c r="G6254" s="11">
        <v>0.0001</v>
      </c>
      <c r="H6254" s="9">
        <f>MAX($F$6211:F6254)</f>
        <v>1.0214</v>
      </c>
      <c r="I6254" s="11">
        <f t="shared" si="156"/>
        <v>0.00244762091247319</v>
      </c>
      <c r="J6254" s="9"/>
      <c r="K6254" s="11"/>
      <c r="L6254" s="9"/>
      <c r="M6254" s="11"/>
      <c r="N6254" s="9" t="s">
        <v>804</v>
      </c>
    </row>
    <row r="6255" ht="25" customHeight="1" spans="1:14">
      <c r="A6255" s="9" t="s">
        <v>231</v>
      </c>
      <c r="B6255" s="9" t="s">
        <v>229</v>
      </c>
      <c r="C6255" s="10">
        <v>44386</v>
      </c>
      <c r="D6255" s="15">
        <v>1.019</v>
      </c>
      <c r="E6255" s="15">
        <v>1.019</v>
      </c>
      <c r="F6255" s="15">
        <v>1.019</v>
      </c>
      <c r="G6255" s="11">
        <v>0.0001</v>
      </c>
      <c r="H6255" s="9">
        <f>MAX($F$6211:F6255)</f>
        <v>1.0214</v>
      </c>
      <c r="I6255" s="11">
        <f t="shared" si="156"/>
        <v>0.00234971607597434</v>
      </c>
      <c r="J6255" s="9"/>
      <c r="K6255" s="11"/>
      <c r="L6255" s="9"/>
      <c r="M6255" s="11"/>
      <c r="N6255" s="9" t="s">
        <v>804</v>
      </c>
    </row>
    <row r="6256" ht="25" customHeight="1" spans="1:14">
      <c r="A6256" s="9" t="s">
        <v>231</v>
      </c>
      <c r="B6256" s="9" t="s">
        <v>229</v>
      </c>
      <c r="C6256" s="10">
        <v>44389</v>
      </c>
      <c r="D6256" s="15">
        <v>1.0188</v>
      </c>
      <c r="E6256" s="15">
        <v>1.0188</v>
      </c>
      <c r="F6256" s="15">
        <v>1.0188</v>
      </c>
      <c r="G6256" s="11">
        <v>-0.0002</v>
      </c>
      <c r="H6256" s="9">
        <f>MAX($F$6211:F6256)</f>
        <v>1.0214</v>
      </c>
      <c r="I6256" s="11">
        <f t="shared" si="156"/>
        <v>0.00254552574897216</v>
      </c>
      <c r="J6256" s="9"/>
      <c r="K6256" s="11"/>
      <c r="L6256" s="9"/>
      <c r="M6256" s="11"/>
      <c r="N6256" s="9" t="s">
        <v>804</v>
      </c>
    </row>
    <row r="6257" ht="25" customHeight="1" spans="1:14">
      <c r="A6257" s="9" t="s">
        <v>231</v>
      </c>
      <c r="B6257" s="9" t="s">
        <v>229</v>
      </c>
      <c r="C6257" s="10">
        <v>44390</v>
      </c>
      <c r="D6257" s="15">
        <v>1.0188</v>
      </c>
      <c r="E6257" s="15">
        <v>1.0188</v>
      </c>
      <c r="F6257" s="15">
        <v>1.0188</v>
      </c>
      <c r="G6257" s="11">
        <v>0</v>
      </c>
      <c r="H6257" s="9">
        <f>MAX($F$6211:F6257)</f>
        <v>1.0214</v>
      </c>
      <c r="I6257" s="11">
        <f t="shared" si="156"/>
        <v>0.00254552574897216</v>
      </c>
      <c r="J6257" s="9"/>
      <c r="K6257" s="11"/>
      <c r="L6257" s="9"/>
      <c r="M6257" s="11"/>
      <c r="N6257" s="9" t="s">
        <v>804</v>
      </c>
    </row>
    <row r="6258" ht="25" customHeight="1" spans="1:14">
      <c r="A6258" s="9" t="s">
        <v>231</v>
      </c>
      <c r="B6258" s="9" t="s">
        <v>229</v>
      </c>
      <c r="C6258" s="10">
        <v>44391</v>
      </c>
      <c r="D6258" s="15">
        <v>1.0196</v>
      </c>
      <c r="E6258" s="15">
        <v>1.0196</v>
      </c>
      <c r="F6258" s="15">
        <v>1.0196</v>
      </c>
      <c r="G6258" s="11">
        <v>0.0008</v>
      </c>
      <c r="H6258" s="9">
        <f>MAX($F$6211:F6258)</f>
        <v>1.0214</v>
      </c>
      <c r="I6258" s="11">
        <f t="shared" si="156"/>
        <v>0.00176228705698067</v>
      </c>
      <c r="J6258" s="9"/>
      <c r="K6258" s="11"/>
      <c r="L6258" s="9"/>
      <c r="M6258" s="11"/>
      <c r="N6258" s="9" t="s">
        <v>804</v>
      </c>
    </row>
    <row r="6259" ht="25" customHeight="1" spans="1:14">
      <c r="A6259" s="9" t="s">
        <v>231</v>
      </c>
      <c r="B6259" s="9" t="s">
        <v>229</v>
      </c>
      <c r="C6259" s="10">
        <v>44392</v>
      </c>
      <c r="D6259" s="15">
        <v>1.02</v>
      </c>
      <c r="E6259" s="15">
        <v>1.02</v>
      </c>
      <c r="F6259" s="15">
        <v>1.02</v>
      </c>
      <c r="G6259" s="11">
        <v>0.0004</v>
      </c>
      <c r="H6259" s="9">
        <f>MAX($F$6211:F6259)</f>
        <v>1.0214</v>
      </c>
      <c r="I6259" s="11">
        <f t="shared" si="156"/>
        <v>0.00137066771098504</v>
      </c>
      <c r="J6259" s="9"/>
      <c r="K6259" s="11"/>
      <c r="L6259" s="9"/>
      <c r="M6259" s="11"/>
      <c r="N6259" s="9" t="s">
        <v>804</v>
      </c>
    </row>
    <row r="6260" ht="25" customHeight="1" spans="1:14">
      <c r="A6260" s="9" t="s">
        <v>231</v>
      </c>
      <c r="B6260" s="9" t="s">
        <v>229</v>
      </c>
      <c r="C6260" s="10">
        <v>44393</v>
      </c>
      <c r="D6260" s="15">
        <v>1.0225</v>
      </c>
      <c r="E6260" s="15">
        <v>1.0225</v>
      </c>
      <c r="F6260" s="15">
        <v>1.0225</v>
      </c>
      <c r="G6260" s="11">
        <v>0.0025</v>
      </c>
      <c r="H6260" s="9">
        <f>MAX($F$6211:F6260)</f>
        <v>1.0225</v>
      </c>
      <c r="I6260" s="11">
        <f t="shared" si="156"/>
        <v>0</v>
      </c>
      <c r="J6260" s="9"/>
      <c r="K6260" s="11"/>
      <c r="L6260" s="9"/>
      <c r="M6260" s="11"/>
      <c r="N6260" s="9" t="s">
        <v>804</v>
      </c>
    </row>
    <row r="6261" ht="25" customHeight="1" spans="1:14">
      <c r="A6261" s="9" t="s">
        <v>231</v>
      </c>
      <c r="B6261" s="9" t="s">
        <v>229</v>
      </c>
      <c r="C6261" s="10">
        <v>44396</v>
      </c>
      <c r="D6261" s="15">
        <v>1.0227</v>
      </c>
      <c r="E6261" s="15">
        <v>1.0227</v>
      </c>
      <c r="F6261" s="15">
        <v>1.0227</v>
      </c>
      <c r="G6261" s="11">
        <v>0.0002</v>
      </c>
      <c r="H6261" s="9">
        <f>MAX($F$6211:F6261)</f>
        <v>1.0227</v>
      </c>
      <c r="I6261" s="11">
        <f t="shared" si="156"/>
        <v>0</v>
      </c>
      <c r="J6261" s="9"/>
      <c r="K6261" s="11"/>
      <c r="L6261" s="9"/>
      <c r="M6261" s="11"/>
      <c r="N6261" s="9" t="s">
        <v>804</v>
      </c>
    </row>
    <row r="6262" ht="25" customHeight="1" spans="1:14">
      <c r="A6262" s="9" t="s">
        <v>231</v>
      </c>
      <c r="B6262" s="9" t="s">
        <v>229</v>
      </c>
      <c r="C6262" s="10">
        <v>44397</v>
      </c>
      <c r="D6262" s="15">
        <v>1.0231</v>
      </c>
      <c r="E6262" s="15">
        <v>1.0231</v>
      </c>
      <c r="F6262" s="15">
        <v>1.0231</v>
      </c>
      <c r="G6262" s="11">
        <v>0.0004</v>
      </c>
      <c r="H6262" s="9">
        <f>MAX($F$6211:F6262)</f>
        <v>1.0231</v>
      </c>
      <c r="I6262" s="11">
        <f t="shared" si="156"/>
        <v>0</v>
      </c>
      <c r="J6262" s="9"/>
      <c r="K6262" s="11"/>
      <c r="L6262" s="9"/>
      <c r="M6262" s="11"/>
      <c r="N6262" s="9" t="s">
        <v>804</v>
      </c>
    </row>
    <row r="6263" ht="25" customHeight="1" spans="1:14">
      <c r="A6263" s="9" t="s">
        <v>231</v>
      </c>
      <c r="B6263" s="9" t="s">
        <v>229</v>
      </c>
      <c r="C6263" s="10">
        <v>44398</v>
      </c>
      <c r="D6263" s="15">
        <v>1.0245</v>
      </c>
      <c r="E6263" s="15">
        <v>1.0245</v>
      </c>
      <c r="F6263" s="15">
        <v>1.0245</v>
      </c>
      <c r="G6263" s="11">
        <v>0.0014</v>
      </c>
      <c r="H6263" s="9">
        <f>MAX($F$6211:F6263)</f>
        <v>1.0245</v>
      </c>
      <c r="I6263" s="11">
        <f t="shared" si="156"/>
        <v>0</v>
      </c>
      <c r="J6263" s="9"/>
      <c r="K6263" s="11"/>
      <c r="L6263" s="9"/>
      <c r="M6263" s="11"/>
      <c r="N6263" s="9" t="s">
        <v>804</v>
      </c>
    </row>
    <row r="6264" ht="25" customHeight="1" spans="1:14">
      <c r="A6264" s="9" t="s">
        <v>231</v>
      </c>
      <c r="B6264" s="9" t="s">
        <v>229</v>
      </c>
      <c r="C6264" s="10">
        <v>44399</v>
      </c>
      <c r="D6264" s="15">
        <v>1.0247</v>
      </c>
      <c r="E6264" s="15">
        <v>1.0247</v>
      </c>
      <c r="F6264" s="15">
        <v>1.0247</v>
      </c>
      <c r="G6264" s="11">
        <v>0.0002</v>
      </c>
      <c r="H6264" s="9">
        <f>MAX($F$6211:F6264)</f>
        <v>1.0247</v>
      </c>
      <c r="I6264" s="11">
        <f t="shared" si="156"/>
        <v>0</v>
      </c>
      <c r="J6264" s="9"/>
      <c r="K6264" s="11"/>
      <c r="L6264" s="9"/>
      <c r="M6264" s="11"/>
      <c r="N6264" s="9" t="s">
        <v>804</v>
      </c>
    </row>
    <row r="6265" ht="25" customHeight="1" spans="1:14">
      <c r="A6265" s="9" t="s">
        <v>231</v>
      </c>
      <c r="B6265" s="9" t="s">
        <v>229</v>
      </c>
      <c r="C6265" s="10">
        <v>44400</v>
      </c>
      <c r="D6265" s="15">
        <v>1.0246</v>
      </c>
      <c r="E6265" s="15">
        <v>1.0246</v>
      </c>
      <c r="F6265" s="15">
        <v>1.0246</v>
      </c>
      <c r="G6265" s="11">
        <v>-0.0001</v>
      </c>
      <c r="H6265" s="9">
        <f>MAX($F$6211:F6265)</f>
        <v>1.0247</v>
      </c>
      <c r="I6265" s="11">
        <f t="shared" si="156"/>
        <v>9.75895384014436e-5</v>
      </c>
      <c r="J6265" s="9"/>
      <c r="K6265" s="11"/>
      <c r="L6265" s="9"/>
      <c r="M6265" s="11"/>
      <c r="N6265" s="9" t="s">
        <v>804</v>
      </c>
    </row>
    <row r="6266" ht="25" customHeight="1" spans="1:14">
      <c r="A6266" s="9" t="s">
        <v>231</v>
      </c>
      <c r="B6266" s="9" t="s">
        <v>229</v>
      </c>
      <c r="C6266" s="10">
        <v>44403</v>
      </c>
      <c r="D6266" s="15">
        <v>1.0249</v>
      </c>
      <c r="E6266" s="15">
        <v>1.0249</v>
      </c>
      <c r="F6266" s="15">
        <v>1.0249</v>
      </c>
      <c r="G6266" s="11">
        <v>0.0003</v>
      </c>
      <c r="H6266" s="9">
        <f>MAX($F$6211:F6266)</f>
        <v>1.0249</v>
      </c>
      <c r="I6266" s="11">
        <f t="shared" si="156"/>
        <v>0</v>
      </c>
      <c r="J6266" s="9"/>
      <c r="K6266" s="11"/>
      <c r="L6266" s="9"/>
      <c r="M6266" s="11"/>
      <c r="N6266" s="9" t="s">
        <v>804</v>
      </c>
    </row>
    <row r="6267" ht="25" customHeight="1" spans="1:14">
      <c r="A6267" s="9" t="s">
        <v>231</v>
      </c>
      <c r="B6267" s="9" t="s">
        <v>229</v>
      </c>
      <c r="C6267" s="10">
        <v>44404</v>
      </c>
      <c r="D6267" s="15">
        <v>1.0252</v>
      </c>
      <c r="E6267" s="15">
        <v>1.0252</v>
      </c>
      <c r="F6267" s="15">
        <v>1.0252</v>
      </c>
      <c r="G6267" s="11">
        <v>0.0003</v>
      </c>
      <c r="H6267" s="9">
        <f>MAX($F$6211:F6267)</f>
        <v>1.0252</v>
      </c>
      <c r="I6267" s="11">
        <f t="shared" si="156"/>
        <v>0</v>
      </c>
      <c r="J6267" s="9"/>
      <c r="K6267" s="11"/>
      <c r="L6267" s="9"/>
      <c r="M6267" s="11"/>
      <c r="N6267" s="9" t="s">
        <v>804</v>
      </c>
    </row>
    <row r="6268" ht="25" customHeight="1" spans="1:14">
      <c r="A6268" s="9" t="s">
        <v>231</v>
      </c>
      <c r="B6268" s="9" t="s">
        <v>229</v>
      </c>
      <c r="C6268" s="10">
        <v>44405</v>
      </c>
      <c r="D6268" s="15">
        <v>1.0263</v>
      </c>
      <c r="E6268" s="15">
        <v>1.0263</v>
      </c>
      <c r="F6268" s="15">
        <v>1.0263</v>
      </c>
      <c r="G6268" s="11">
        <v>0.0011</v>
      </c>
      <c r="H6268" s="9">
        <f>MAX($F$6211:F6268)</f>
        <v>1.0263</v>
      </c>
      <c r="I6268" s="11">
        <f t="shared" si="156"/>
        <v>0</v>
      </c>
      <c r="J6268" s="9"/>
      <c r="K6268" s="11"/>
      <c r="L6268" s="9"/>
      <c r="M6268" s="11"/>
      <c r="N6268" s="9" t="s">
        <v>804</v>
      </c>
    </row>
    <row r="6269" ht="25" customHeight="1" spans="1:14">
      <c r="A6269" s="9" t="s">
        <v>231</v>
      </c>
      <c r="B6269" s="9" t="s">
        <v>229</v>
      </c>
      <c r="C6269" s="10">
        <v>44406</v>
      </c>
      <c r="D6269" s="15">
        <v>1.0267</v>
      </c>
      <c r="E6269" s="15">
        <v>1.0267</v>
      </c>
      <c r="F6269" s="15">
        <v>1.0267</v>
      </c>
      <c r="G6269" s="11">
        <v>0.0004</v>
      </c>
      <c r="H6269" s="9">
        <f>MAX($F$6211:F6269)</f>
        <v>1.0267</v>
      </c>
      <c r="I6269" s="11">
        <f t="shared" si="156"/>
        <v>0</v>
      </c>
      <c r="J6269" s="9"/>
      <c r="K6269" s="11"/>
      <c r="L6269" s="9"/>
      <c r="M6269" s="11"/>
      <c r="N6269" s="9" t="s">
        <v>804</v>
      </c>
    </row>
    <row r="6270" ht="25" customHeight="1" spans="1:14">
      <c r="A6270" s="9" t="s">
        <v>231</v>
      </c>
      <c r="B6270" s="9" t="s">
        <v>229</v>
      </c>
      <c r="C6270" s="10">
        <v>44407</v>
      </c>
      <c r="D6270" s="15">
        <v>1.0271</v>
      </c>
      <c r="E6270" s="15">
        <v>1.0271</v>
      </c>
      <c r="F6270" s="15">
        <v>1.0271</v>
      </c>
      <c r="G6270" s="11">
        <v>0.0004</v>
      </c>
      <c r="H6270" s="9">
        <f>MAX($F$6211:F6270)</f>
        <v>1.0271</v>
      </c>
      <c r="I6270" s="11">
        <f t="shared" si="156"/>
        <v>0</v>
      </c>
      <c r="J6270" s="9"/>
      <c r="K6270" s="11"/>
      <c r="L6270" s="9"/>
      <c r="M6270" s="11"/>
      <c r="N6270" s="9" t="s">
        <v>804</v>
      </c>
    </row>
    <row r="6271" ht="25" customHeight="1" spans="1:14">
      <c r="A6271" s="9" t="s">
        <v>231</v>
      </c>
      <c r="B6271" s="9" t="s">
        <v>229</v>
      </c>
      <c r="C6271" s="10">
        <v>44410</v>
      </c>
      <c r="D6271" s="15">
        <v>1.027</v>
      </c>
      <c r="E6271" s="15">
        <v>1.027</v>
      </c>
      <c r="F6271" s="15">
        <v>1.027</v>
      </c>
      <c r="G6271" s="11">
        <v>-0.0001</v>
      </c>
      <c r="H6271" s="9">
        <f>MAX($F$6211:F6271)</f>
        <v>1.0271</v>
      </c>
      <c r="I6271" s="11">
        <f t="shared" si="156"/>
        <v>9.73615032615616e-5</v>
      </c>
      <c r="J6271" s="9"/>
      <c r="K6271" s="11"/>
      <c r="L6271" s="9"/>
      <c r="M6271" s="11"/>
      <c r="N6271" s="9" t="s">
        <v>804</v>
      </c>
    </row>
    <row r="6272" ht="25" customHeight="1" spans="1:14">
      <c r="A6272" s="9" t="s">
        <v>231</v>
      </c>
      <c r="B6272" s="9" t="s">
        <v>229</v>
      </c>
      <c r="C6272" s="10">
        <v>44411</v>
      </c>
      <c r="D6272" s="15">
        <v>1.0272</v>
      </c>
      <c r="E6272" s="15">
        <v>1.0272</v>
      </c>
      <c r="F6272" s="15">
        <v>1.0272</v>
      </c>
      <c r="G6272" s="11">
        <v>0.0002</v>
      </c>
      <c r="H6272" s="9">
        <f>MAX($F$6211:F6272)</f>
        <v>1.0272</v>
      </c>
      <c r="I6272" s="11">
        <f t="shared" si="156"/>
        <v>0</v>
      </c>
      <c r="J6272" s="9"/>
      <c r="K6272" s="11"/>
      <c r="L6272" s="9"/>
      <c r="M6272" s="11"/>
      <c r="N6272" s="9" t="s">
        <v>804</v>
      </c>
    </row>
    <row r="6273" ht="25" customHeight="1" spans="1:14">
      <c r="A6273" s="9" t="s">
        <v>231</v>
      </c>
      <c r="B6273" s="9" t="s">
        <v>229</v>
      </c>
      <c r="C6273" s="10">
        <v>44412</v>
      </c>
      <c r="D6273" s="15">
        <v>1.028</v>
      </c>
      <c r="E6273" s="15">
        <v>1.028</v>
      </c>
      <c r="F6273" s="15">
        <v>1.028</v>
      </c>
      <c r="G6273" s="11">
        <v>0.0008</v>
      </c>
      <c r="H6273" s="9">
        <f>MAX($F$6211:F6273)</f>
        <v>1.028</v>
      </c>
      <c r="I6273" s="11">
        <f t="shared" si="156"/>
        <v>0</v>
      </c>
      <c r="J6273" s="9"/>
      <c r="K6273" s="11"/>
      <c r="L6273" s="9"/>
      <c r="M6273" s="11"/>
      <c r="N6273" s="9" t="s">
        <v>804</v>
      </c>
    </row>
    <row r="6274" ht="25" customHeight="1" spans="1:14">
      <c r="A6274" s="9" t="s">
        <v>231</v>
      </c>
      <c r="B6274" s="9" t="s">
        <v>229</v>
      </c>
      <c r="C6274" s="10">
        <v>44413</v>
      </c>
      <c r="D6274" s="15">
        <v>1.028</v>
      </c>
      <c r="E6274" s="15">
        <v>1.028</v>
      </c>
      <c r="F6274" s="15">
        <v>1.028</v>
      </c>
      <c r="G6274" s="11">
        <v>0</v>
      </c>
      <c r="H6274" s="9">
        <f>MAX($F$6211:F6274)</f>
        <v>1.028</v>
      </c>
      <c r="I6274" s="11">
        <f t="shared" ref="I6274:I6337" si="157">1-F6274/H6274</f>
        <v>0</v>
      </c>
      <c r="J6274" s="9"/>
      <c r="K6274" s="11"/>
      <c r="L6274" s="9"/>
      <c r="M6274" s="11"/>
      <c r="N6274" s="9" t="s">
        <v>804</v>
      </c>
    </row>
    <row r="6275" ht="25" customHeight="1" spans="1:14">
      <c r="A6275" s="9" t="s">
        <v>231</v>
      </c>
      <c r="B6275" s="9" t="s">
        <v>229</v>
      </c>
      <c r="C6275" s="10">
        <v>44414</v>
      </c>
      <c r="D6275" s="15">
        <v>1.0283</v>
      </c>
      <c r="E6275" s="15">
        <v>1.0283</v>
      </c>
      <c r="F6275" s="15">
        <v>1.0283</v>
      </c>
      <c r="G6275" s="11">
        <v>0.0003</v>
      </c>
      <c r="H6275" s="9">
        <f>MAX($F$6211:F6275)</f>
        <v>1.0283</v>
      </c>
      <c r="I6275" s="11">
        <f t="shared" si="157"/>
        <v>0</v>
      </c>
      <c r="J6275" s="9"/>
      <c r="K6275" s="11"/>
      <c r="L6275" s="9"/>
      <c r="M6275" s="11"/>
      <c r="N6275" s="9" t="s">
        <v>804</v>
      </c>
    </row>
    <row r="6276" ht="25" customHeight="1" spans="1:14">
      <c r="A6276" s="9" t="s">
        <v>231</v>
      </c>
      <c r="B6276" s="9" t="s">
        <v>229</v>
      </c>
      <c r="C6276" s="10">
        <v>44417</v>
      </c>
      <c r="D6276" s="15">
        <v>1.0259</v>
      </c>
      <c r="E6276" s="15">
        <v>1.0259</v>
      </c>
      <c r="F6276" s="15">
        <v>1.0259</v>
      </c>
      <c r="G6276" s="11">
        <v>-0.0023</v>
      </c>
      <c r="H6276" s="9">
        <f>MAX($F$6211:F6276)</f>
        <v>1.0283</v>
      </c>
      <c r="I6276" s="11">
        <f t="shared" si="157"/>
        <v>0.00233394923660402</v>
      </c>
      <c r="J6276" s="9"/>
      <c r="K6276" s="11"/>
      <c r="L6276" s="9"/>
      <c r="M6276" s="11"/>
      <c r="N6276" s="9" t="s">
        <v>804</v>
      </c>
    </row>
    <row r="6277" ht="25" customHeight="1" spans="1:14">
      <c r="A6277" s="9" t="s">
        <v>231</v>
      </c>
      <c r="B6277" s="9" t="s">
        <v>229</v>
      </c>
      <c r="C6277" s="10">
        <v>44418</v>
      </c>
      <c r="D6277" s="15">
        <v>1.026</v>
      </c>
      <c r="E6277" s="15">
        <v>1.026</v>
      </c>
      <c r="F6277" s="15">
        <v>1.026</v>
      </c>
      <c r="G6277" s="11">
        <v>0.0001</v>
      </c>
      <c r="H6277" s="9">
        <f>MAX($F$6211:F6277)</f>
        <v>1.0283</v>
      </c>
      <c r="I6277" s="11">
        <f t="shared" si="157"/>
        <v>0.00223670135174558</v>
      </c>
      <c r="J6277" s="9"/>
      <c r="K6277" s="11"/>
      <c r="L6277" s="9"/>
      <c r="M6277" s="11"/>
      <c r="N6277" s="9" t="s">
        <v>804</v>
      </c>
    </row>
    <row r="6278" ht="25" customHeight="1" spans="1:14">
      <c r="A6278" s="9" t="s">
        <v>231</v>
      </c>
      <c r="B6278" s="9" t="s">
        <v>229</v>
      </c>
      <c r="C6278" s="10">
        <v>44419</v>
      </c>
      <c r="D6278" s="15">
        <v>1.0261</v>
      </c>
      <c r="E6278" s="15">
        <v>1.0261</v>
      </c>
      <c r="F6278" s="15">
        <v>1.0261</v>
      </c>
      <c r="G6278" s="11">
        <v>0.0001</v>
      </c>
      <c r="H6278" s="9">
        <f>MAX($F$6211:F6278)</f>
        <v>1.0283</v>
      </c>
      <c r="I6278" s="11">
        <f t="shared" si="157"/>
        <v>0.00213945346688704</v>
      </c>
      <c r="J6278" s="9"/>
      <c r="K6278" s="11"/>
      <c r="L6278" s="9"/>
      <c r="M6278" s="11"/>
      <c r="N6278" s="9" t="s">
        <v>804</v>
      </c>
    </row>
    <row r="6279" ht="25" customHeight="1" spans="1:14">
      <c r="A6279" s="9" t="s">
        <v>231</v>
      </c>
      <c r="B6279" s="9" t="s">
        <v>229</v>
      </c>
      <c r="C6279" s="10">
        <v>44420</v>
      </c>
      <c r="D6279" s="15">
        <v>1.026</v>
      </c>
      <c r="E6279" s="15">
        <v>1.026</v>
      </c>
      <c r="F6279" s="15">
        <v>1.026</v>
      </c>
      <c r="G6279" s="11">
        <v>-0.0001</v>
      </c>
      <c r="H6279" s="9">
        <f>MAX($F$6211:F6279)</f>
        <v>1.0283</v>
      </c>
      <c r="I6279" s="11">
        <f t="shared" si="157"/>
        <v>0.00223670135174558</v>
      </c>
      <c r="J6279" s="9"/>
      <c r="K6279" s="11"/>
      <c r="L6279" s="9"/>
      <c r="M6279" s="11"/>
      <c r="N6279" s="9" t="s">
        <v>804</v>
      </c>
    </row>
    <row r="6280" ht="25" customHeight="1" spans="1:14">
      <c r="A6280" s="9" t="s">
        <v>231</v>
      </c>
      <c r="B6280" s="9" t="s">
        <v>229</v>
      </c>
      <c r="C6280" s="10">
        <v>44421</v>
      </c>
      <c r="D6280" s="15">
        <v>1.0262</v>
      </c>
      <c r="E6280" s="15">
        <v>1.0262</v>
      </c>
      <c r="F6280" s="15">
        <v>1.0262</v>
      </c>
      <c r="G6280" s="11">
        <v>0.0002</v>
      </c>
      <c r="H6280" s="9">
        <f>MAX($F$6211:F6280)</f>
        <v>1.0283</v>
      </c>
      <c r="I6280" s="11">
        <f t="shared" si="157"/>
        <v>0.00204220558202861</v>
      </c>
      <c r="J6280" s="9"/>
      <c r="K6280" s="11"/>
      <c r="L6280" s="9"/>
      <c r="M6280" s="11"/>
      <c r="N6280" s="9" t="s">
        <v>804</v>
      </c>
    </row>
    <row r="6281" ht="25" customHeight="1" spans="1:14">
      <c r="A6281" s="9" t="s">
        <v>231</v>
      </c>
      <c r="B6281" s="9" t="s">
        <v>229</v>
      </c>
      <c r="C6281" s="10">
        <v>44424</v>
      </c>
      <c r="D6281" s="15">
        <v>1.0267</v>
      </c>
      <c r="E6281" s="15">
        <v>1.0267</v>
      </c>
      <c r="F6281" s="15">
        <v>1.0267</v>
      </c>
      <c r="G6281" s="11">
        <v>0.0005</v>
      </c>
      <c r="H6281" s="9">
        <f>MAX($F$6211:F6281)</f>
        <v>1.0283</v>
      </c>
      <c r="I6281" s="11">
        <f t="shared" si="157"/>
        <v>0.00155596615773612</v>
      </c>
      <c r="J6281" s="9"/>
      <c r="K6281" s="11"/>
      <c r="L6281" s="9"/>
      <c r="M6281" s="11"/>
      <c r="N6281" s="9" t="s">
        <v>804</v>
      </c>
    </row>
    <row r="6282" ht="25" customHeight="1" spans="1:14">
      <c r="A6282" s="9" t="s">
        <v>231</v>
      </c>
      <c r="B6282" s="9" t="s">
        <v>229</v>
      </c>
      <c r="C6282" s="10">
        <v>44425</v>
      </c>
      <c r="D6282" s="15">
        <v>1.0287</v>
      </c>
      <c r="E6282" s="15">
        <v>1.0287</v>
      </c>
      <c r="F6282" s="15">
        <v>1.0287</v>
      </c>
      <c r="G6282" s="11">
        <v>0.0019</v>
      </c>
      <c r="H6282" s="9">
        <f>MAX($F$6211:F6282)</f>
        <v>1.0287</v>
      </c>
      <c r="I6282" s="11">
        <f t="shared" si="157"/>
        <v>0</v>
      </c>
      <c r="J6282" s="9"/>
      <c r="K6282" s="11"/>
      <c r="L6282" s="9"/>
      <c r="M6282" s="11"/>
      <c r="N6282" s="9" t="s">
        <v>804</v>
      </c>
    </row>
    <row r="6283" ht="25" customHeight="1" spans="1:14">
      <c r="A6283" s="9" t="s">
        <v>231</v>
      </c>
      <c r="B6283" s="9" t="s">
        <v>229</v>
      </c>
      <c r="C6283" s="10">
        <v>44426</v>
      </c>
      <c r="D6283" s="15">
        <v>1.0288</v>
      </c>
      <c r="E6283" s="15">
        <v>1.0288</v>
      </c>
      <c r="F6283" s="15">
        <v>1.0288</v>
      </c>
      <c r="G6283" s="11">
        <v>0.0001</v>
      </c>
      <c r="H6283" s="9">
        <f>MAX($F$6211:F6283)</f>
        <v>1.0288</v>
      </c>
      <c r="I6283" s="11">
        <f t="shared" si="157"/>
        <v>0</v>
      </c>
      <c r="J6283" s="9"/>
      <c r="K6283" s="11"/>
      <c r="L6283" s="9"/>
      <c r="M6283" s="11"/>
      <c r="N6283" s="9" t="s">
        <v>804</v>
      </c>
    </row>
    <row r="6284" ht="25" customHeight="1" spans="1:14">
      <c r="A6284" s="9" t="s">
        <v>231</v>
      </c>
      <c r="B6284" s="9" t="s">
        <v>229</v>
      </c>
      <c r="C6284" s="10">
        <v>44427</v>
      </c>
      <c r="D6284" s="15">
        <v>1.0296</v>
      </c>
      <c r="E6284" s="15">
        <v>1.0296</v>
      </c>
      <c r="F6284" s="15">
        <v>1.0296</v>
      </c>
      <c r="G6284" s="11">
        <v>0.0008</v>
      </c>
      <c r="H6284" s="9">
        <f>MAX($F$6211:F6284)</f>
        <v>1.0296</v>
      </c>
      <c r="I6284" s="11">
        <f t="shared" si="157"/>
        <v>0</v>
      </c>
      <c r="J6284" s="9"/>
      <c r="K6284" s="11"/>
      <c r="L6284" s="9"/>
      <c r="M6284" s="11"/>
      <c r="N6284" s="9" t="s">
        <v>804</v>
      </c>
    </row>
    <row r="6285" ht="25" customHeight="1" spans="1:14">
      <c r="A6285" s="9" t="s">
        <v>231</v>
      </c>
      <c r="B6285" s="9" t="s">
        <v>229</v>
      </c>
      <c r="C6285" s="10">
        <v>44428</v>
      </c>
      <c r="D6285" s="15">
        <v>1.0306</v>
      </c>
      <c r="E6285" s="15">
        <v>1.0306</v>
      </c>
      <c r="F6285" s="15">
        <v>1.0306</v>
      </c>
      <c r="G6285" s="11">
        <v>0.001</v>
      </c>
      <c r="H6285" s="9">
        <f>MAX($F$6211:F6285)</f>
        <v>1.0306</v>
      </c>
      <c r="I6285" s="11">
        <f t="shared" si="157"/>
        <v>0</v>
      </c>
      <c r="J6285" s="9"/>
      <c r="K6285" s="11"/>
      <c r="L6285" s="9"/>
      <c r="M6285" s="11"/>
      <c r="N6285" s="9" t="s">
        <v>804</v>
      </c>
    </row>
    <row r="6286" ht="25" customHeight="1" spans="1:14">
      <c r="A6286" s="9" t="s">
        <v>231</v>
      </c>
      <c r="B6286" s="9" t="s">
        <v>229</v>
      </c>
      <c r="C6286" s="10">
        <v>44431</v>
      </c>
      <c r="D6286" s="15">
        <v>1.0316</v>
      </c>
      <c r="E6286" s="15">
        <v>1.0316</v>
      </c>
      <c r="F6286" s="15">
        <v>1.0316</v>
      </c>
      <c r="G6286" s="11">
        <v>0.001</v>
      </c>
      <c r="H6286" s="9">
        <f>MAX($F$6211:F6286)</f>
        <v>1.0316</v>
      </c>
      <c r="I6286" s="11">
        <f t="shared" si="157"/>
        <v>0</v>
      </c>
      <c r="J6286" s="9"/>
      <c r="K6286" s="11"/>
      <c r="L6286" s="9"/>
      <c r="M6286" s="11"/>
      <c r="N6286" s="9" t="s">
        <v>804</v>
      </c>
    </row>
    <row r="6287" ht="25" customHeight="1" spans="1:14">
      <c r="A6287" s="9" t="s">
        <v>231</v>
      </c>
      <c r="B6287" s="9" t="s">
        <v>229</v>
      </c>
      <c r="C6287" s="10">
        <v>44432</v>
      </c>
      <c r="D6287" s="15">
        <v>1.0317</v>
      </c>
      <c r="E6287" s="15">
        <v>1.0317</v>
      </c>
      <c r="F6287" s="15">
        <v>1.0317</v>
      </c>
      <c r="G6287" s="11">
        <v>0.0001</v>
      </c>
      <c r="H6287" s="9">
        <f>MAX($F$6211:F6287)</f>
        <v>1.0317</v>
      </c>
      <c r="I6287" s="11">
        <f t="shared" si="157"/>
        <v>0</v>
      </c>
      <c r="J6287" s="9"/>
      <c r="K6287" s="11"/>
      <c r="L6287" s="9"/>
      <c r="M6287" s="11"/>
      <c r="N6287" s="9" t="s">
        <v>804</v>
      </c>
    </row>
    <row r="6288" ht="25" customHeight="1" spans="1:14">
      <c r="A6288" s="9" t="s">
        <v>231</v>
      </c>
      <c r="B6288" s="9" t="s">
        <v>229</v>
      </c>
      <c r="C6288" s="10">
        <v>44433</v>
      </c>
      <c r="D6288" s="15">
        <v>1.0321</v>
      </c>
      <c r="E6288" s="15">
        <v>1.0321</v>
      </c>
      <c r="F6288" s="15">
        <v>1.0321</v>
      </c>
      <c r="G6288" s="11">
        <v>0.0004</v>
      </c>
      <c r="H6288" s="9">
        <f>MAX($F$6211:F6288)</f>
        <v>1.0321</v>
      </c>
      <c r="I6288" s="11">
        <f t="shared" si="157"/>
        <v>0</v>
      </c>
      <c r="J6288" s="9"/>
      <c r="K6288" s="11"/>
      <c r="L6288" s="9"/>
      <c r="M6288" s="11"/>
      <c r="N6288" s="9" t="s">
        <v>804</v>
      </c>
    </row>
    <row r="6289" ht="25" customHeight="1" spans="1:14">
      <c r="A6289" s="9" t="s">
        <v>231</v>
      </c>
      <c r="B6289" s="9" t="s">
        <v>229</v>
      </c>
      <c r="C6289" s="10">
        <v>44434</v>
      </c>
      <c r="D6289" s="15">
        <v>1.0321</v>
      </c>
      <c r="E6289" s="15">
        <v>1.0321</v>
      </c>
      <c r="F6289" s="15">
        <v>1.0321</v>
      </c>
      <c r="G6289" s="11">
        <v>0</v>
      </c>
      <c r="H6289" s="9">
        <f>MAX($F$6211:F6289)</f>
        <v>1.0321</v>
      </c>
      <c r="I6289" s="11">
        <f t="shared" si="157"/>
        <v>0</v>
      </c>
      <c r="J6289" s="9"/>
      <c r="K6289" s="11"/>
      <c r="L6289" s="9"/>
      <c r="M6289" s="11"/>
      <c r="N6289" s="9" t="s">
        <v>804</v>
      </c>
    </row>
    <row r="6290" ht="25" customHeight="1" spans="1:14">
      <c r="A6290" s="9" t="s">
        <v>231</v>
      </c>
      <c r="B6290" s="9" t="s">
        <v>229</v>
      </c>
      <c r="C6290" s="10">
        <v>44435</v>
      </c>
      <c r="D6290" s="15">
        <v>1.0334</v>
      </c>
      <c r="E6290" s="15">
        <v>1.0334</v>
      </c>
      <c r="F6290" s="15">
        <v>1.0334</v>
      </c>
      <c r="G6290" s="11">
        <v>0.0013</v>
      </c>
      <c r="H6290" s="9">
        <f>MAX($F$6211:F6290)</f>
        <v>1.0334</v>
      </c>
      <c r="I6290" s="11">
        <f t="shared" si="157"/>
        <v>0</v>
      </c>
      <c r="J6290" s="9"/>
      <c r="K6290" s="11"/>
      <c r="L6290" s="9"/>
      <c r="M6290" s="11"/>
      <c r="N6290" s="9" t="s">
        <v>804</v>
      </c>
    </row>
    <row r="6291" ht="25" customHeight="1" spans="1:14">
      <c r="A6291" s="9" t="s">
        <v>231</v>
      </c>
      <c r="B6291" s="9" t="s">
        <v>229</v>
      </c>
      <c r="C6291" s="10">
        <v>44438</v>
      </c>
      <c r="D6291" s="15">
        <v>1.0336</v>
      </c>
      <c r="E6291" s="15">
        <v>1.0336</v>
      </c>
      <c r="F6291" s="15">
        <v>1.0336</v>
      </c>
      <c r="G6291" s="11">
        <v>0.0002</v>
      </c>
      <c r="H6291" s="9">
        <f>MAX($F$6211:F6291)</f>
        <v>1.0336</v>
      </c>
      <c r="I6291" s="11">
        <f t="shared" si="157"/>
        <v>0</v>
      </c>
      <c r="J6291" s="9"/>
      <c r="K6291" s="11"/>
      <c r="L6291" s="9"/>
      <c r="M6291" s="11"/>
      <c r="N6291" s="9" t="s">
        <v>804</v>
      </c>
    </row>
    <row r="6292" ht="25" customHeight="1" spans="1:14">
      <c r="A6292" s="9" t="s">
        <v>231</v>
      </c>
      <c r="B6292" s="9" t="s">
        <v>229</v>
      </c>
      <c r="C6292" s="10">
        <v>44439</v>
      </c>
      <c r="D6292" s="15">
        <v>1.0337</v>
      </c>
      <c r="E6292" s="15">
        <v>1.0337</v>
      </c>
      <c r="F6292" s="15">
        <v>1.0337</v>
      </c>
      <c r="G6292" s="11">
        <v>0.0001</v>
      </c>
      <c r="H6292" s="9">
        <f>MAX($F$6211:F6292)</f>
        <v>1.0337</v>
      </c>
      <c r="I6292" s="11">
        <f t="shared" si="157"/>
        <v>0</v>
      </c>
      <c r="J6292" s="9"/>
      <c r="K6292" s="11"/>
      <c r="L6292" s="9"/>
      <c r="M6292" s="11"/>
      <c r="N6292" s="9" t="s">
        <v>804</v>
      </c>
    </row>
    <row r="6293" ht="25" customHeight="1" spans="1:14">
      <c r="A6293" s="9" t="s">
        <v>231</v>
      </c>
      <c r="B6293" s="9" t="s">
        <v>229</v>
      </c>
      <c r="C6293" s="10">
        <v>44440</v>
      </c>
      <c r="D6293" s="15">
        <v>1.035</v>
      </c>
      <c r="E6293" s="15">
        <v>1.035</v>
      </c>
      <c r="F6293" s="15">
        <v>1.035</v>
      </c>
      <c r="G6293" s="11">
        <v>0.0013</v>
      </c>
      <c r="H6293" s="9">
        <f>MAX($F$6211:F6293)</f>
        <v>1.035</v>
      </c>
      <c r="I6293" s="11">
        <f t="shared" si="157"/>
        <v>0</v>
      </c>
      <c r="J6293" s="9"/>
      <c r="K6293" s="11"/>
      <c r="L6293" s="9"/>
      <c r="M6293" s="11"/>
      <c r="N6293" s="9" t="s">
        <v>804</v>
      </c>
    </row>
    <row r="6294" ht="25" customHeight="1" spans="1:14">
      <c r="A6294" s="9" t="s">
        <v>231</v>
      </c>
      <c r="B6294" s="9" t="s">
        <v>229</v>
      </c>
      <c r="C6294" s="10">
        <v>44441</v>
      </c>
      <c r="D6294" s="15">
        <v>1.035</v>
      </c>
      <c r="E6294" s="15">
        <v>1.035</v>
      </c>
      <c r="F6294" s="15">
        <v>1.035</v>
      </c>
      <c r="G6294" s="11">
        <v>0</v>
      </c>
      <c r="H6294" s="9">
        <f>MAX($F$6211:F6294)</f>
        <v>1.035</v>
      </c>
      <c r="I6294" s="11">
        <f t="shared" si="157"/>
        <v>0</v>
      </c>
      <c r="J6294" s="9"/>
      <c r="K6294" s="11"/>
      <c r="L6294" s="9"/>
      <c r="M6294" s="11"/>
      <c r="N6294" s="9" t="s">
        <v>804</v>
      </c>
    </row>
    <row r="6295" ht="25" customHeight="1" spans="1:14">
      <c r="A6295" s="9" t="s">
        <v>231</v>
      </c>
      <c r="B6295" s="9" t="s">
        <v>229</v>
      </c>
      <c r="C6295" s="10">
        <v>44442</v>
      </c>
      <c r="D6295" s="15">
        <v>1.0353</v>
      </c>
      <c r="E6295" s="15">
        <v>1.0353</v>
      </c>
      <c r="F6295" s="15">
        <v>1.0353</v>
      </c>
      <c r="G6295" s="11">
        <v>0.0003</v>
      </c>
      <c r="H6295" s="9">
        <f>MAX($F$6211:F6295)</f>
        <v>1.0353</v>
      </c>
      <c r="I6295" s="11">
        <f t="shared" si="157"/>
        <v>0</v>
      </c>
      <c r="J6295" s="9"/>
      <c r="K6295" s="11"/>
      <c r="L6295" s="9"/>
      <c r="M6295" s="11"/>
      <c r="N6295" s="9" t="s">
        <v>804</v>
      </c>
    </row>
    <row r="6296" ht="25" customHeight="1" spans="1:14">
      <c r="A6296" s="9" t="s">
        <v>231</v>
      </c>
      <c r="B6296" s="9" t="s">
        <v>229</v>
      </c>
      <c r="C6296" s="10">
        <v>44445</v>
      </c>
      <c r="D6296" s="15">
        <v>1.0353</v>
      </c>
      <c r="E6296" s="15">
        <v>1.0353</v>
      </c>
      <c r="F6296" s="15">
        <v>1.0353</v>
      </c>
      <c r="G6296" s="11">
        <v>0</v>
      </c>
      <c r="H6296" s="9">
        <f>MAX($F$6211:F6296)</f>
        <v>1.0353</v>
      </c>
      <c r="I6296" s="11">
        <f t="shared" si="157"/>
        <v>0</v>
      </c>
      <c r="J6296" s="9"/>
      <c r="K6296" s="11"/>
      <c r="L6296" s="9"/>
      <c r="M6296" s="11"/>
      <c r="N6296" s="9" t="s">
        <v>804</v>
      </c>
    </row>
    <row r="6297" ht="25" customHeight="1" spans="1:14">
      <c r="A6297" s="9" t="s">
        <v>231</v>
      </c>
      <c r="B6297" s="9" t="s">
        <v>229</v>
      </c>
      <c r="C6297" s="10">
        <v>44446</v>
      </c>
      <c r="D6297" s="15">
        <v>1.0356</v>
      </c>
      <c r="E6297" s="15">
        <v>1.0356</v>
      </c>
      <c r="F6297" s="15">
        <v>1.0356</v>
      </c>
      <c r="G6297" s="11">
        <v>0.0003</v>
      </c>
      <c r="H6297" s="9">
        <f>MAX($F$6211:F6297)</f>
        <v>1.0356</v>
      </c>
      <c r="I6297" s="11">
        <f t="shared" si="157"/>
        <v>0</v>
      </c>
      <c r="J6297" s="9"/>
      <c r="K6297" s="11"/>
      <c r="L6297" s="9"/>
      <c r="M6297" s="11"/>
      <c r="N6297" s="9" t="s">
        <v>804</v>
      </c>
    </row>
    <row r="6298" ht="25" customHeight="1" spans="1:14">
      <c r="A6298" s="9" t="s">
        <v>231</v>
      </c>
      <c r="B6298" s="9" t="s">
        <v>229</v>
      </c>
      <c r="C6298" s="10">
        <v>44447</v>
      </c>
      <c r="D6298" s="15">
        <v>1.0353</v>
      </c>
      <c r="E6298" s="15">
        <v>1.0353</v>
      </c>
      <c r="F6298" s="15">
        <v>1.0353</v>
      </c>
      <c r="G6298" s="11">
        <v>-0.0003</v>
      </c>
      <c r="H6298" s="9">
        <f>MAX($F$6211:F6298)</f>
        <v>1.0356</v>
      </c>
      <c r="I6298" s="11">
        <f t="shared" si="157"/>
        <v>0.000289687137891015</v>
      </c>
      <c r="J6298" s="9"/>
      <c r="K6298" s="11"/>
      <c r="L6298" s="9"/>
      <c r="M6298" s="11"/>
      <c r="N6298" s="9" t="s">
        <v>804</v>
      </c>
    </row>
    <row r="6299" ht="25" customHeight="1" spans="1:14">
      <c r="A6299" s="9" t="s">
        <v>231</v>
      </c>
      <c r="B6299" s="9" t="s">
        <v>229</v>
      </c>
      <c r="C6299" s="10">
        <v>44448</v>
      </c>
      <c r="D6299" s="15">
        <v>1.0355</v>
      </c>
      <c r="E6299" s="15">
        <v>1.0355</v>
      </c>
      <c r="F6299" s="15">
        <v>1.0355</v>
      </c>
      <c r="G6299" s="11">
        <v>0.0002</v>
      </c>
      <c r="H6299" s="9">
        <f>MAX($F$6211:F6299)</f>
        <v>1.0356</v>
      </c>
      <c r="I6299" s="11">
        <f t="shared" si="157"/>
        <v>9.6562379297005e-5</v>
      </c>
      <c r="J6299" s="9"/>
      <c r="K6299" s="11"/>
      <c r="L6299" s="9"/>
      <c r="M6299" s="11"/>
      <c r="N6299" s="9" t="s">
        <v>804</v>
      </c>
    </row>
    <row r="6300" ht="25" customHeight="1" spans="1:14">
      <c r="A6300" s="9" t="s">
        <v>231</v>
      </c>
      <c r="B6300" s="9" t="s">
        <v>229</v>
      </c>
      <c r="C6300" s="10">
        <v>44449</v>
      </c>
      <c r="D6300" s="15">
        <v>1.0356</v>
      </c>
      <c r="E6300" s="15">
        <v>1.0356</v>
      </c>
      <c r="F6300" s="15">
        <v>1.0356</v>
      </c>
      <c r="G6300" s="11">
        <v>0.0001</v>
      </c>
      <c r="H6300" s="9">
        <f>MAX($F$6211:F6300)</f>
        <v>1.0356</v>
      </c>
      <c r="I6300" s="11">
        <f t="shared" si="157"/>
        <v>0</v>
      </c>
      <c r="J6300" s="9"/>
      <c r="K6300" s="11"/>
      <c r="L6300" s="9"/>
      <c r="M6300" s="11"/>
      <c r="N6300" s="9" t="s">
        <v>804</v>
      </c>
    </row>
    <row r="6301" ht="25" customHeight="1" spans="1:14">
      <c r="A6301" s="9" t="s">
        <v>231</v>
      </c>
      <c r="B6301" s="9" t="s">
        <v>229</v>
      </c>
      <c r="C6301" s="10">
        <v>44452</v>
      </c>
      <c r="D6301" s="15">
        <v>1.0364</v>
      </c>
      <c r="E6301" s="15">
        <v>1.0364</v>
      </c>
      <c r="F6301" s="15">
        <v>1.0364</v>
      </c>
      <c r="G6301" s="11">
        <v>0.0008</v>
      </c>
      <c r="H6301" s="9">
        <f>MAX($F$6211:F6301)</f>
        <v>1.0364</v>
      </c>
      <c r="I6301" s="11">
        <f t="shared" si="157"/>
        <v>0</v>
      </c>
      <c r="J6301" s="9"/>
      <c r="K6301" s="11"/>
      <c r="L6301" s="9"/>
      <c r="M6301" s="11"/>
      <c r="N6301" s="9" t="s">
        <v>804</v>
      </c>
    </row>
    <row r="6302" ht="25" customHeight="1" spans="1:14">
      <c r="A6302" s="9" t="s">
        <v>231</v>
      </c>
      <c r="B6302" s="9" t="s">
        <v>229</v>
      </c>
      <c r="C6302" s="10">
        <v>44453</v>
      </c>
      <c r="D6302" s="15">
        <v>1.0375</v>
      </c>
      <c r="E6302" s="15">
        <v>1.0375</v>
      </c>
      <c r="F6302" s="15">
        <v>1.0375</v>
      </c>
      <c r="G6302" s="11">
        <v>0.0011</v>
      </c>
      <c r="H6302" s="9">
        <f>MAX($F$6211:F6302)</f>
        <v>1.0375</v>
      </c>
      <c r="I6302" s="11">
        <f t="shared" si="157"/>
        <v>0</v>
      </c>
      <c r="J6302" s="9"/>
      <c r="K6302" s="11"/>
      <c r="L6302" s="9"/>
      <c r="M6302" s="11"/>
      <c r="N6302" s="9" t="s">
        <v>804</v>
      </c>
    </row>
    <row r="6303" ht="25" customHeight="1" spans="1:14">
      <c r="A6303" s="9" t="s">
        <v>231</v>
      </c>
      <c r="B6303" s="9" t="s">
        <v>229</v>
      </c>
      <c r="C6303" s="10">
        <v>44454</v>
      </c>
      <c r="D6303" s="15">
        <v>1.0379</v>
      </c>
      <c r="E6303" s="15">
        <v>1.0379</v>
      </c>
      <c r="F6303" s="15">
        <v>1.0379</v>
      </c>
      <c r="G6303" s="11">
        <v>0.0004</v>
      </c>
      <c r="H6303" s="9">
        <f>MAX($F$6211:F6303)</f>
        <v>1.0379</v>
      </c>
      <c r="I6303" s="11">
        <f t="shared" si="157"/>
        <v>0</v>
      </c>
      <c r="J6303" s="9"/>
      <c r="K6303" s="11"/>
      <c r="L6303" s="9"/>
      <c r="M6303" s="11"/>
      <c r="N6303" s="9" t="s">
        <v>804</v>
      </c>
    </row>
    <row r="6304" ht="25" customHeight="1" spans="1:14">
      <c r="A6304" s="9" t="s">
        <v>231</v>
      </c>
      <c r="B6304" s="9" t="s">
        <v>229</v>
      </c>
      <c r="C6304" s="10">
        <v>44455</v>
      </c>
      <c r="D6304" s="15">
        <v>1.0383</v>
      </c>
      <c r="E6304" s="15">
        <v>1.0383</v>
      </c>
      <c r="F6304" s="15">
        <v>1.0383</v>
      </c>
      <c r="G6304" s="11">
        <v>0.0004</v>
      </c>
      <c r="H6304" s="9">
        <f>MAX($F$6211:F6304)</f>
        <v>1.0383</v>
      </c>
      <c r="I6304" s="11">
        <f t="shared" si="157"/>
        <v>0</v>
      </c>
      <c r="J6304" s="9"/>
      <c r="K6304" s="11"/>
      <c r="L6304" s="9"/>
      <c r="M6304" s="11"/>
      <c r="N6304" s="9" t="s">
        <v>804</v>
      </c>
    </row>
    <row r="6305" ht="25" customHeight="1" spans="1:14">
      <c r="A6305" s="9" t="s">
        <v>231</v>
      </c>
      <c r="B6305" s="9" t="s">
        <v>229</v>
      </c>
      <c r="C6305" s="10">
        <v>44456</v>
      </c>
      <c r="D6305" s="15">
        <v>1.0392</v>
      </c>
      <c r="E6305" s="15">
        <v>1.0392</v>
      </c>
      <c r="F6305" s="15">
        <v>1.0392</v>
      </c>
      <c r="G6305" s="11">
        <v>0.0009</v>
      </c>
      <c r="H6305" s="9">
        <f>MAX($F$6211:F6305)</f>
        <v>1.0392</v>
      </c>
      <c r="I6305" s="11">
        <f t="shared" si="157"/>
        <v>0</v>
      </c>
      <c r="J6305" s="9"/>
      <c r="K6305" s="11"/>
      <c r="L6305" s="9"/>
      <c r="M6305" s="11"/>
      <c r="N6305" s="9" t="s">
        <v>804</v>
      </c>
    </row>
    <row r="6306" ht="25" customHeight="1" spans="1:14">
      <c r="A6306" s="9" t="s">
        <v>231</v>
      </c>
      <c r="B6306" s="9" t="s">
        <v>229</v>
      </c>
      <c r="C6306" s="10">
        <v>44461</v>
      </c>
      <c r="D6306" s="15">
        <v>1.0391</v>
      </c>
      <c r="E6306" s="15">
        <v>1.0391</v>
      </c>
      <c r="F6306" s="15">
        <v>1.0391</v>
      </c>
      <c r="G6306" s="11">
        <v>-0.0001</v>
      </c>
      <c r="H6306" s="9">
        <f>MAX($F$6211:F6306)</f>
        <v>1.0392</v>
      </c>
      <c r="I6306" s="11">
        <f t="shared" si="157"/>
        <v>9.62278675904482e-5</v>
      </c>
      <c r="J6306" s="9"/>
      <c r="K6306" s="11"/>
      <c r="L6306" s="9"/>
      <c r="M6306" s="11"/>
      <c r="N6306" s="9" t="s">
        <v>804</v>
      </c>
    </row>
    <row r="6307" ht="25" customHeight="1" spans="1:14">
      <c r="A6307" s="9" t="s">
        <v>231</v>
      </c>
      <c r="B6307" s="9" t="s">
        <v>229</v>
      </c>
      <c r="C6307" s="10">
        <v>44462</v>
      </c>
      <c r="D6307" s="15">
        <v>1.0389</v>
      </c>
      <c r="E6307" s="15">
        <v>1.0389</v>
      </c>
      <c r="F6307" s="15">
        <v>1.0389</v>
      </c>
      <c r="G6307" s="11">
        <v>-0.0002</v>
      </c>
      <c r="H6307" s="9">
        <f>MAX($F$6211:F6307)</f>
        <v>1.0392</v>
      </c>
      <c r="I6307" s="11">
        <f t="shared" si="157"/>
        <v>0.000288683602771345</v>
      </c>
      <c r="J6307" s="9"/>
      <c r="K6307" s="11"/>
      <c r="L6307" s="9"/>
      <c r="M6307" s="11"/>
      <c r="N6307" s="9" t="s">
        <v>804</v>
      </c>
    </row>
    <row r="6308" ht="25" customHeight="1" spans="1:14">
      <c r="A6308" s="9" t="s">
        <v>231</v>
      </c>
      <c r="B6308" s="9" t="s">
        <v>229</v>
      </c>
      <c r="C6308" s="10">
        <v>44463</v>
      </c>
      <c r="D6308" s="15">
        <v>1.0418</v>
      </c>
      <c r="E6308" s="15">
        <v>1.0418</v>
      </c>
      <c r="F6308" s="15">
        <v>1.0418</v>
      </c>
      <c r="G6308" s="11">
        <v>0.0028</v>
      </c>
      <c r="H6308" s="9">
        <f>MAX($F$6211:F6308)</f>
        <v>1.0418</v>
      </c>
      <c r="I6308" s="11">
        <f t="shared" si="157"/>
        <v>0</v>
      </c>
      <c r="J6308" s="9"/>
      <c r="K6308" s="11"/>
      <c r="L6308" s="9"/>
      <c r="M6308" s="11"/>
      <c r="N6308" s="9" t="s">
        <v>804</v>
      </c>
    </row>
    <row r="6309" ht="25" customHeight="1" spans="1:14">
      <c r="A6309" s="9" t="s">
        <v>231</v>
      </c>
      <c r="B6309" s="9" t="s">
        <v>229</v>
      </c>
      <c r="C6309" s="10">
        <v>44466</v>
      </c>
      <c r="D6309" s="15">
        <v>1.0415</v>
      </c>
      <c r="E6309" s="15">
        <v>1.0415</v>
      </c>
      <c r="F6309" s="15">
        <v>1.0415</v>
      </c>
      <c r="G6309" s="11">
        <v>-0.0003</v>
      </c>
      <c r="H6309" s="9">
        <f>MAX($F$6211:F6309)</f>
        <v>1.0418</v>
      </c>
      <c r="I6309" s="11">
        <f t="shared" si="157"/>
        <v>0.000287963140717995</v>
      </c>
      <c r="J6309" s="9"/>
      <c r="K6309" s="11"/>
      <c r="L6309" s="9"/>
      <c r="M6309" s="11"/>
      <c r="N6309" s="9" t="s">
        <v>804</v>
      </c>
    </row>
    <row r="6310" ht="25" customHeight="1" spans="1:14">
      <c r="A6310" s="9" t="s">
        <v>231</v>
      </c>
      <c r="B6310" s="9" t="s">
        <v>229</v>
      </c>
      <c r="C6310" s="10">
        <v>44467</v>
      </c>
      <c r="D6310" s="15">
        <v>1.042</v>
      </c>
      <c r="E6310" s="15">
        <v>1.042</v>
      </c>
      <c r="F6310" s="15">
        <v>1.042</v>
      </c>
      <c r="G6310" s="11">
        <v>0.0005</v>
      </c>
      <c r="H6310" s="9">
        <f>MAX($F$6211:F6310)</f>
        <v>1.042</v>
      </c>
      <c r="I6310" s="11">
        <f t="shared" si="157"/>
        <v>0</v>
      </c>
      <c r="J6310" s="9"/>
      <c r="K6310" s="11"/>
      <c r="L6310" s="9"/>
      <c r="M6310" s="11"/>
      <c r="N6310" s="9" t="s">
        <v>804</v>
      </c>
    </row>
    <row r="6311" ht="25" customHeight="1" spans="1:14">
      <c r="A6311" s="9" t="s">
        <v>231</v>
      </c>
      <c r="B6311" s="9" t="s">
        <v>229</v>
      </c>
      <c r="C6311" s="10">
        <v>44468</v>
      </c>
      <c r="D6311" s="15">
        <v>1.0455</v>
      </c>
      <c r="E6311" s="15">
        <v>1.0455</v>
      </c>
      <c r="F6311" s="15">
        <v>1.0455</v>
      </c>
      <c r="G6311" s="11">
        <v>0.0034</v>
      </c>
      <c r="H6311" s="9">
        <f>MAX($F$6211:F6311)</f>
        <v>1.0455</v>
      </c>
      <c r="I6311" s="11">
        <f t="shared" si="157"/>
        <v>0</v>
      </c>
      <c r="J6311" s="9"/>
      <c r="K6311" s="11"/>
      <c r="L6311" s="9"/>
      <c r="M6311" s="11"/>
      <c r="N6311" s="9" t="s">
        <v>804</v>
      </c>
    </row>
    <row r="6312" ht="25" customHeight="1" spans="1:14">
      <c r="A6312" s="9" t="s">
        <v>231</v>
      </c>
      <c r="B6312" s="9" t="s">
        <v>229</v>
      </c>
      <c r="C6312" s="10">
        <v>44469</v>
      </c>
      <c r="D6312" s="15">
        <v>1.0461</v>
      </c>
      <c r="E6312" s="15">
        <v>1.0461</v>
      </c>
      <c r="F6312" s="15">
        <v>1.0461</v>
      </c>
      <c r="G6312" s="11">
        <v>0.0006</v>
      </c>
      <c r="H6312" s="9">
        <f>MAX($F$6211:F6312)</f>
        <v>1.0461</v>
      </c>
      <c r="I6312" s="11">
        <f t="shared" si="157"/>
        <v>0</v>
      </c>
      <c r="J6312" s="9"/>
      <c r="K6312" s="11"/>
      <c r="L6312" s="9"/>
      <c r="M6312" s="11"/>
      <c r="N6312" s="9" t="s">
        <v>804</v>
      </c>
    </row>
    <row r="6313" ht="25" customHeight="1" spans="1:14">
      <c r="A6313" s="9" t="s">
        <v>231</v>
      </c>
      <c r="B6313" s="9" t="s">
        <v>229</v>
      </c>
      <c r="C6313" s="10">
        <v>44477</v>
      </c>
      <c r="D6313" s="15">
        <v>1.0461</v>
      </c>
      <c r="E6313" s="15">
        <v>1.0461</v>
      </c>
      <c r="F6313" s="15">
        <v>1.0461</v>
      </c>
      <c r="G6313" s="11">
        <v>0</v>
      </c>
      <c r="H6313" s="9">
        <f>MAX($F$6211:F6313)</f>
        <v>1.0461</v>
      </c>
      <c r="I6313" s="11">
        <f t="shared" si="157"/>
        <v>0</v>
      </c>
      <c r="J6313" s="9"/>
      <c r="K6313" s="11"/>
      <c r="L6313" s="9"/>
      <c r="M6313" s="11"/>
      <c r="N6313" s="9" t="s">
        <v>804</v>
      </c>
    </row>
    <row r="6314" ht="25" customHeight="1" spans="1:14">
      <c r="A6314" s="9" t="s">
        <v>231</v>
      </c>
      <c r="B6314" s="9" t="s">
        <v>229</v>
      </c>
      <c r="C6314" s="10">
        <v>44480</v>
      </c>
      <c r="D6314" s="15">
        <v>1.0481</v>
      </c>
      <c r="E6314" s="15">
        <v>1.0481</v>
      </c>
      <c r="F6314" s="15">
        <v>1.0481</v>
      </c>
      <c r="G6314" s="11">
        <v>0.0019</v>
      </c>
      <c r="H6314" s="9">
        <f>MAX($F$6211:F6314)</f>
        <v>1.0481</v>
      </c>
      <c r="I6314" s="11">
        <f t="shared" si="157"/>
        <v>0</v>
      </c>
      <c r="J6314" s="9"/>
      <c r="K6314" s="11"/>
      <c r="L6314" s="9"/>
      <c r="M6314" s="11"/>
      <c r="N6314" s="9" t="s">
        <v>804</v>
      </c>
    </row>
    <row r="6315" ht="25" customHeight="1" spans="1:14">
      <c r="A6315" s="9" t="s">
        <v>231</v>
      </c>
      <c r="B6315" s="9" t="s">
        <v>229</v>
      </c>
      <c r="C6315" s="10">
        <v>44481</v>
      </c>
      <c r="D6315" s="15">
        <v>1.0475</v>
      </c>
      <c r="E6315" s="15">
        <v>1.0475</v>
      </c>
      <c r="F6315" s="15">
        <v>1.0475</v>
      </c>
      <c r="G6315" s="11">
        <v>-0.0006</v>
      </c>
      <c r="H6315" s="9">
        <f>MAX($F$6211:F6315)</f>
        <v>1.0481</v>
      </c>
      <c r="I6315" s="11">
        <f t="shared" si="157"/>
        <v>0.000572464459498101</v>
      </c>
      <c r="J6315" s="9"/>
      <c r="K6315" s="11"/>
      <c r="L6315" s="9"/>
      <c r="M6315" s="11"/>
      <c r="N6315" s="9" t="s">
        <v>804</v>
      </c>
    </row>
    <row r="6316" ht="25" customHeight="1" spans="1:14">
      <c r="A6316" s="9" t="s">
        <v>231</v>
      </c>
      <c r="B6316" s="9" t="s">
        <v>229</v>
      </c>
      <c r="C6316" s="10">
        <v>44482</v>
      </c>
      <c r="D6316" s="15">
        <v>1.0485</v>
      </c>
      <c r="E6316" s="15">
        <v>1.0485</v>
      </c>
      <c r="F6316" s="15">
        <v>1.0485</v>
      </c>
      <c r="G6316" s="11">
        <v>0.001</v>
      </c>
      <c r="H6316" s="9">
        <f>MAX($F$6211:F6316)</f>
        <v>1.0485</v>
      </c>
      <c r="I6316" s="11">
        <f t="shared" si="157"/>
        <v>0</v>
      </c>
      <c r="J6316" s="9"/>
      <c r="K6316" s="11"/>
      <c r="L6316" s="9"/>
      <c r="M6316" s="11"/>
      <c r="N6316" s="9" t="s">
        <v>804</v>
      </c>
    </row>
    <row r="6317" ht="25" customHeight="1" spans="1:14">
      <c r="A6317" s="9" t="s">
        <v>231</v>
      </c>
      <c r="B6317" s="9" t="s">
        <v>229</v>
      </c>
      <c r="C6317" s="10">
        <v>44483</v>
      </c>
      <c r="D6317" s="15">
        <v>1.0468</v>
      </c>
      <c r="E6317" s="15">
        <v>1.0468</v>
      </c>
      <c r="F6317" s="15">
        <v>1.0468</v>
      </c>
      <c r="G6317" s="11">
        <v>-0.0016</v>
      </c>
      <c r="H6317" s="9">
        <f>MAX($F$6211:F6317)</f>
        <v>1.0485</v>
      </c>
      <c r="I6317" s="11">
        <f t="shared" si="157"/>
        <v>0.0016213638531235</v>
      </c>
      <c r="J6317" s="9"/>
      <c r="K6317" s="11"/>
      <c r="L6317" s="9"/>
      <c r="M6317" s="11"/>
      <c r="N6317" s="9" t="s">
        <v>804</v>
      </c>
    </row>
    <row r="6318" ht="25" customHeight="1" spans="1:14">
      <c r="A6318" s="9" t="s">
        <v>231</v>
      </c>
      <c r="B6318" s="9" t="s">
        <v>229</v>
      </c>
      <c r="C6318" s="10">
        <v>44484</v>
      </c>
      <c r="D6318" s="15">
        <v>1.0479</v>
      </c>
      <c r="E6318" s="15">
        <v>1.0479</v>
      </c>
      <c r="F6318" s="15">
        <v>1.0479</v>
      </c>
      <c r="G6318" s="11">
        <v>0.0011</v>
      </c>
      <c r="H6318" s="9">
        <f>MAX($F$6211:F6318)</f>
        <v>1.0485</v>
      </c>
      <c r="I6318" s="11">
        <f t="shared" si="157"/>
        <v>0.000572246065808191</v>
      </c>
      <c r="J6318" s="9"/>
      <c r="K6318" s="11"/>
      <c r="L6318" s="9"/>
      <c r="M6318" s="11"/>
      <c r="N6318" s="9" t="s">
        <v>804</v>
      </c>
    </row>
    <row r="6319" ht="25" customHeight="1" spans="1:14">
      <c r="A6319" s="9" t="s">
        <v>231</v>
      </c>
      <c r="B6319" s="9" t="s">
        <v>229</v>
      </c>
      <c r="C6319" s="10">
        <v>44487</v>
      </c>
      <c r="D6319" s="15">
        <v>1.0485</v>
      </c>
      <c r="E6319" s="15">
        <v>1.0485</v>
      </c>
      <c r="F6319" s="15">
        <v>1.0485</v>
      </c>
      <c r="G6319" s="11">
        <v>0.0006</v>
      </c>
      <c r="H6319" s="9">
        <f>MAX($F$6211:F6319)</f>
        <v>1.0485</v>
      </c>
      <c r="I6319" s="11">
        <f t="shared" si="157"/>
        <v>0</v>
      </c>
      <c r="J6319" s="9"/>
      <c r="K6319" s="11"/>
      <c r="L6319" s="9"/>
      <c r="M6319" s="11"/>
      <c r="N6319" s="9" t="s">
        <v>804</v>
      </c>
    </row>
    <row r="6320" ht="25" customHeight="1" spans="1:14">
      <c r="A6320" s="9" t="s">
        <v>231</v>
      </c>
      <c r="B6320" s="9" t="s">
        <v>229</v>
      </c>
      <c r="C6320" s="10">
        <v>44488</v>
      </c>
      <c r="D6320" s="15">
        <v>1.0492</v>
      </c>
      <c r="E6320" s="15">
        <v>1.0492</v>
      </c>
      <c r="F6320" s="15">
        <v>1.0492</v>
      </c>
      <c r="G6320" s="11">
        <v>0.0007</v>
      </c>
      <c r="H6320" s="9">
        <f>MAX($F$6211:F6320)</f>
        <v>1.0492</v>
      </c>
      <c r="I6320" s="11">
        <f t="shared" si="157"/>
        <v>0</v>
      </c>
      <c r="J6320" s="9"/>
      <c r="K6320" s="11"/>
      <c r="L6320" s="9"/>
      <c r="M6320" s="11"/>
      <c r="N6320" s="9" t="s">
        <v>804</v>
      </c>
    </row>
    <row r="6321" ht="25" customHeight="1" spans="1:14">
      <c r="A6321" s="9" t="s">
        <v>231</v>
      </c>
      <c r="B6321" s="9" t="s">
        <v>229</v>
      </c>
      <c r="C6321" s="10">
        <v>44489</v>
      </c>
      <c r="D6321" s="15">
        <v>1.0523</v>
      </c>
      <c r="E6321" s="15">
        <v>1.0523</v>
      </c>
      <c r="F6321" s="15">
        <v>1.0523</v>
      </c>
      <c r="G6321" s="11">
        <v>0.003</v>
      </c>
      <c r="H6321" s="9">
        <f>MAX($F$6211:F6321)</f>
        <v>1.0523</v>
      </c>
      <c r="I6321" s="11">
        <f t="shared" si="157"/>
        <v>0</v>
      </c>
      <c r="J6321" s="9"/>
      <c r="K6321" s="11"/>
      <c r="L6321" s="9"/>
      <c r="M6321" s="11"/>
      <c r="N6321" s="9" t="s">
        <v>804</v>
      </c>
    </row>
    <row r="6322" ht="25" customHeight="1" spans="1:14">
      <c r="A6322" s="9" t="s">
        <v>231</v>
      </c>
      <c r="B6322" s="9" t="s">
        <v>229</v>
      </c>
      <c r="C6322" s="10">
        <v>44490</v>
      </c>
      <c r="D6322" s="15">
        <v>1.0546</v>
      </c>
      <c r="E6322" s="15">
        <v>1.0546</v>
      </c>
      <c r="F6322" s="15">
        <v>1.0546</v>
      </c>
      <c r="G6322" s="11">
        <v>0.0022</v>
      </c>
      <c r="H6322" s="9">
        <f>MAX($F$6211:F6322)</f>
        <v>1.0546</v>
      </c>
      <c r="I6322" s="11">
        <f t="shared" si="157"/>
        <v>0</v>
      </c>
      <c r="J6322" s="9"/>
      <c r="K6322" s="11"/>
      <c r="L6322" s="9"/>
      <c r="M6322" s="11"/>
      <c r="N6322" s="9" t="s">
        <v>804</v>
      </c>
    </row>
    <row r="6323" ht="25" customHeight="1" spans="1:14">
      <c r="A6323" s="9" t="s">
        <v>231</v>
      </c>
      <c r="B6323" s="9" t="s">
        <v>229</v>
      </c>
      <c r="C6323" s="10">
        <v>44491</v>
      </c>
      <c r="D6323" s="15">
        <v>1.0556</v>
      </c>
      <c r="E6323" s="15">
        <v>1.0556</v>
      </c>
      <c r="F6323" s="15">
        <v>1.0556</v>
      </c>
      <c r="G6323" s="11">
        <v>0.0009</v>
      </c>
      <c r="H6323" s="9">
        <f>MAX($F$6211:F6323)</f>
        <v>1.0556</v>
      </c>
      <c r="I6323" s="11">
        <f t="shared" si="157"/>
        <v>0</v>
      </c>
      <c r="J6323" s="9"/>
      <c r="K6323" s="11"/>
      <c r="L6323" s="9"/>
      <c r="M6323" s="11"/>
      <c r="N6323" s="9" t="s">
        <v>804</v>
      </c>
    </row>
    <row r="6324" ht="25" customHeight="1" spans="1:14">
      <c r="A6324" s="9" t="s">
        <v>231</v>
      </c>
      <c r="B6324" s="9" t="s">
        <v>229</v>
      </c>
      <c r="C6324" s="10">
        <v>44494</v>
      </c>
      <c r="D6324" s="15">
        <v>1.0557</v>
      </c>
      <c r="E6324" s="15">
        <v>1.0557</v>
      </c>
      <c r="F6324" s="15">
        <v>1.0557</v>
      </c>
      <c r="G6324" s="11">
        <v>0.0001</v>
      </c>
      <c r="H6324" s="9">
        <f>MAX($F$6211:F6324)</f>
        <v>1.0557</v>
      </c>
      <c r="I6324" s="11">
        <f t="shared" si="157"/>
        <v>0</v>
      </c>
      <c r="J6324" s="9"/>
      <c r="K6324" s="11"/>
      <c r="L6324" s="9"/>
      <c r="M6324" s="11"/>
      <c r="N6324" s="9" t="s">
        <v>804</v>
      </c>
    </row>
    <row r="6325" ht="25" customHeight="1" spans="1:14">
      <c r="A6325" s="9" t="s">
        <v>231</v>
      </c>
      <c r="B6325" s="9" t="s">
        <v>229</v>
      </c>
      <c r="C6325" s="10">
        <v>44495</v>
      </c>
      <c r="D6325" s="15">
        <v>1.0583</v>
      </c>
      <c r="E6325" s="15">
        <v>1.0583</v>
      </c>
      <c r="F6325" s="15">
        <v>1.0583</v>
      </c>
      <c r="G6325" s="11">
        <v>0.0025</v>
      </c>
      <c r="H6325" s="9">
        <f>MAX($F$6211:F6325)</f>
        <v>1.0583</v>
      </c>
      <c r="I6325" s="11">
        <f t="shared" si="157"/>
        <v>0</v>
      </c>
      <c r="J6325" s="9"/>
      <c r="K6325" s="11"/>
      <c r="L6325" s="9"/>
      <c r="M6325" s="11"/>
      <c r="N6325" s="9" t="s">
        <v>804</v>
      </c>
    </row>
    <row r="6326" ht="25" customHeight="1" spans="1:14">
      <c r="A6326" s="9" t="s">
        <v>231</v>
      </c>
      <c r="B6326" s="9" t="s">
        <v>229</v>
      </c>
      <c r="C6326" s="10">
        <v>44496</v>
      </c>
      <c r="D6326" s="15">
        <v>1.059</v>
      </c>
      <c r="E6326" s="15">
        <v>1.059</v>
      </c>
      <c r="F6326" s="15">
        <v>1.059</v>
      </c>
      <c r="G6326" s="11">
        <v>0.0007</v>
      </c>
      <c r="H6326" s="9">
        <f>MAX($F$6211:F6326)</f>
        <v>1.059</v>
      </c>
      <c r="I6326" s="11">
        <f t="shared" si="157"/>
        <v>0</v>
      </c>
      <c r="J6326" s="9"/>
      <c r="K6326" s="11"/>
      <c r="L6326" s="9"/>
      <c r="M6326" s="11"/>
      <c r="N6326" s="9" t="s">
        <v>804</v>
      </c>
    </row>
    <row r="6327" ht="25" customHeight="1" spans="1:14">
      <c r="A6327" s="9" t="s">
        <v>231</v>
      </c>
      <c r="B6327" s="9" t="s">
        <v>229</v>
      </c>
      <c r="C6327" s="10">
        <v>44497</v>
      </c>
      <c r="D6327" s="15">
        <v>1.0595</v>
      </c>
      <c r="E6327" s="15">
        <v>1.0595</v>
      </c>
      <c r="F6327" s="15">
        <v>1.0595</v>
      </c>
      <c r="G6327" s="11">
        <v>0.0005</v>
      </c>
      <c r="H6327" s="9">
        <f>MAX($F$6211:F6327)</f>
        <v>1.0595</v>
      </c>
      <c r="I6327" s="11">
        <f t="shared" si="157"/>
        <v>0</v>
      </c>
      <c r="J6327" s="9"/>
      <c r="K6327" s="11"/>
      <c r="L6327" s="9"/>
      <c r="M6327" s="11"/>
      <c r="N6327" s="9" t="s">
        <v>804</v>
      </c>
    </row>
    <row r="6328" ht="25" customHeight="1" spans="1:14">
      <c r="A6328" s="9" t="s">
        <v>231</v>
      </c>
      <c r="B6328" s="9" t="s">
        <v>229</v>
      </c>
      <c r="C6328" s="10">
        <v>44498</v>
      </c>
      <c r="D6328" s="15">
        <v>1.0602</v>
      </c>
      <c r="E6328" s="15">
        <v>1.0602</v>
      </c>
      <c r="F6328" s="15">
        <v>1.0602</v>
      </c>
      <c r="G6328" s="11">
        <v>0.0007</v>
      </c>
      <c r="H6328" s="9">
        <f>MAX($F$6211:F6328)</f>
        <v>1.0602</v>
      </c>
      <c r="I6328" s="11">
        <f t="shared" si="157"/>
        <v>0</v>
      </c>
      <c r="J6328" s="9"/>
      <c r="K6328" s="11"/>
      <c r="L6328" s="9"/>
      <c r="M6328" s="11"/>
      <c r="N6328" s="9" t="s">
        <v>804</v>
      </c>
    </row>
    <row r="6329" ht="25" customHeight="1" spans="1:14">
      <c r="A6329" s="9" t="s">
        <v>231</v>
      </c>
      <c r="B6329" s="9" t="s">
        <v>229</v>
      </c>
      <c r="C6329" s="10">
        <v>44501</v>
      </c>
      <c r="D6329" s="15">
        <v>1.0613</v>
      </c>
      <c r="E6329" s="15">
        <v>1.0613</v>
      </c>
      <c r="F6329" s="15">
        <v>1.0613</v>
      </c>
      <c r="G6329" s="11">
        <v>0.001</v>
      </c>
      <c r="H6329" s="9">
        <f>MAX($F$6211:F6329)</f>
        <v>1.0613</v>
      </c>
      <c r="I6329" s="11">
        <f t="shared" si="157"/>
        <v>0</v>
      </c>
      <c r="J6329" s="9"/>
      <c r="K6329" s="11"/>
      <c r="L6329" s="9"/>
      <c r="M6329" s="11"/>
      <c r="N6329" s="9" t="s">
        <v>804</v>
      </c>
    </row>
    <row r="6330" ht="25" customHeight="1" spans="1:14">
      <c r="A6330" s="9" t="s">
        <v>231</v>
      </c>
      <c r="B6330" s="9" t="s">
        <v>229</v>
      </c>
      <c r="C6330" s="10">
        <v>44502</v>
      </c>
      <c r="D6330" s="15">
        <v>1.0623</v>
      </c>
      <c r="E6330" s="15">
        <v>1.0623</v>
      </c>
      <c r="F6330" s="15">
        <v>1.0623</v>
      </c>
      <c r="G6330" s="11">
        <v>0.0009</v>
      </c>
      <c r="H6330" s="9">
        <f>MAX($F$6211:F6330)</f>
        <v>1.0623</v>
      </c>
      <c r="I6330" s="11">
        <f t="shared" si="157"/>
        <v>0</v>
      </c>
      <c r="J6330" s="9"/>
      <c r="K6330" s="11"/>
      <c r="L6330" s="9"/>
      <c r="M6330" s="11"/>
      <c r="N6330" s="9" t="s">
        <v>804</v>
      </c>
    </row>
    <row r="6331" ht="25" customHeight="1" spans="1:14">
      <c r="A6331" s="9" t="s">
        <v>231</v>
      </c>
      <c r="B6331" s="9" t="s">
        <v>229</v>
      </c>
      <c r="C6331" s="10">
        <v>44503</v>
      </c>
      <c r="D6331" s="15">
        <v>1.0639</v>
      </c>
      <c r="E6331" s="15">
        <v>1.0639</v>
      </c>
      <c r="F6331" s="15">
        <v>1.0639</v>
      </c>
      <c r="G6331" s="11">
        <v>0.0015</v>
      </c>
      <c r="H6331" s="9">
        <f>MAX($F$6211:F6331)</f>
        <v>1.0639</v>
      </c>
      <c r="I6331" s="11">
        <f t="shared" si="157"/>
        <v>0</v>
      </c>
      <c r="J6331" s="9"/>
      <c r="K6331" s="11"/>
      <c r="L6331" s="9"/>
      <c r="M6331" s="11"/>
      <c r="N6331" s="9" t="s">
        <v>804</v>
      </c>
    </row>
    <row r="6332" ht="25" customHeight="1" spans="1:14">
      <c r="A6332" s="9" t="s">
        <v>231</v>
      </c>
      <c r="B6332" s="9" t="s">
        <v>229</v>
      </c>
      <c r="C6332" s="10">
        <v>44504</v>
      </c>
      <c r="D6332" s="15">
        <v>1.0647</v>
      </c>
      <c r="E6332" s="15">
        <v>1.0647</v>
      </c>
      <c r="F6332" s="15">
        <v>1.0647</v>
      </c>
      <c r="G6332" s="11">
        <v>0.0008</v>
      </c>
      <c r="H6332" s="9">
        <f>MAX($F$6211:F6332)</f>
        <v>1.0647</v>
      </c>
      <c r="I6332" s="11">
        <f t="shared" si="157"/>
        <v>0</v>
      </c>
      <c r="J6332" s="9"/>
      <c r="K6332" s="11"/>
      <c r="L6332" s="9"/>
      <c r="M6332" s="11"/>
      <c r="N6332" s="9" t="s">
        <v>804</v>
      </c>
    </row>
    <row r="6333" ht="25" customHeight="1" spans="1:14">
      <c r="A6333" s="9" t="s">
        <v>231</v>
      </c>
      <c r="B6333" s="9" t="s">
        <v>229</v>
      </c>
      <c r="C6333" s="10">
        <v>44505</v>
      </c>
      <c r="D6333" s="15">
        <v>1.0661</v>
      </c>
      <c r="E6333" s="15">
        <v>1.0661</v>
      </c>
      <c r="F6333" s="15">
        <v>1.0661</v>
      </c>
      <c r="G6333" s="11">
        <v>0.0013</v>
      </c>
      <c r="H6333" s="9">
        <f>MAX($F$6211:F6333)</f>
        <v>1.0661</v>
      </c>
      <c r="I6333" s="11">
        <f t="shared" si="157"/>
        <v>0</v>
      </c>
      <c r="J6333" s="9"/>
      <c r="K6333" s="11"/>
      <c r="L6333" s="9"/>
      <c r="M6333" s="11"/>
      <c r="N6333" s="9" t="s">
        <v>804</v>
      </c>
    </row>
    <row r="6334" ht="25" customHeight="1" spans="1:14">
      <c r="A6334" s="9" t="s">
        <v>231</v>
      </c>
      <c r="B6334" s="9" t="s">
        <v>229</v>
      </c>
      <c r="C6334" s="10">
        <v>44508</v>
      </c>
      <c r="D6334" s="15">
        <v>1.0675</v>
      </c>
      <c r="E6334" s="15">
        <v>1.0675</v>
      </c>
      <c r="F6334" s="15">
        <v>1.0675</v>
      </c>
      <c r="G6334" s="11">
        <v>0.0013</v>
      </c>
      <c r="H6334" s="9">
        <f>MAX($F$6211:F6334)</f>
        <v>1.0675</v>
      </c>
      <c r="I6334" s="11">
        <f t="shared" si="157"/>
        <v>0</v>
      </c>
      <c r="J6334" s="9"/>
      <c r="K6334" s="11"/>
      <c r="L6334" s="9"/>
      <c r="M6334" s="11"/>
      <c r="N6334" s="9" t="s">
        <v>804</v>
      </c>
    </row>
    <row r="6335" ht="25" customHeight="1" spans="1:14">
      <c r="A6335" s="9" t="s">
        <v>231</v>
      </c>
      <c r="B6335" s="9" t="s">
        <v>229</v>
      </c>
      <c r="C6335" s="10">
        <v>44509</v>
      </c>
      <c r="D6335" s="15">
        <v>1.0686</v>
      </c>
      <c r="E6335" s="15">
        <v>1.0686</v>
      </c>
      <c r="F6335" s="15">
        <v>1.0686</v>
      </c>
      <c r="G6335" s="11">
        <v>0.001</v>
      </c>
      <c r="H6335" s="9">
        <f>MAX($F$6211:F6335)</f>
        <v>1.0686</v>
      </c>
      <c r="I6335" s="11">
        <f t="shared" si="157"/>
        <v>0</v>
      </c>
      <c r="J6335" s="9"/>
      <c r="K6335" s="11"/>
      <c r="L6335" s="9"/>
      <c r="M6335" s="11"/>
      <c r="N6335" s="9" t="s">
        <v>804</v>
      </c>
    </row>
    <row r="6336" ht="25" customHeight="1" spans="1:14">
      <c r="A6336" s="9" t="s">
        <v>231</v>
      </c>
      <c r="B6336" s="9" t="s">
        <v>229</v>
      </c>
      <c r="C6336" s="10">
        <v>44510</v>
      </c>
      <c r="D6336" s="15">
        <v>1.0692</v>
      </c>
      <c r="E6336" s="15">
        <v>1.0692</v>
      </c>
      <c r="F6336" s="15">
        <v>1.0692</v>
      </c>
      <c r="G6336" s="11">
        <v>0.0006</v>
      </c>
      <c r="H6336" s="9">
        <f>MAX($F$6211:F6336)</f>
        <v>1.0692</v>
      </c>
      <c r="I6336" s="11">
        <f t="shared" si="157"/>
        <v>0</v>
      </c>
      <c r="J6336" s="9"/>
      <c r="K6336" s="11"/>
      <c r="L6336" s="9"/>
      <c r="M6336" s="11"/>
      <c r="N6336" s="9" t="s">
        <v>804</v>
      </c>
    </row>
    <row r="6337" ht="25" customHeight="1" spans="1:14">
      <c r="A6337" s="9" t="s">
        <v>231</v>
      </c>
      <c r="B6337" s="9" t="s">
        <v>229</v>
      </c>
      <c r="C6337" s="10">
        <v>44511</v>
      </c>
      <c r="D6337" s="15">
        <v>1.0697</v>
      </c>
      <c r="E6337" s="15">
        <v>1.0697</v>
      </c>
      <c r="F6337" s="15">
        <v>1.0697</v>
      </c>
      <c r="G6337" s="11">
        <v>0.0005</v>
      </c>
      <c r="H6337" s="9">
        <f>MAX($F$6211:F6337)</f>
        <v>1.0697</v>
      </c>
      <c r="I6337" s="11">
        <f t="shared" si="157"/>
        <v>0</v>
      </c>
      <c r="J6337" s="9"/>
      <c r="K6337" s="11"/>
      <c r="L6337" s="9"/>
      <c r="M6337" s="11"/>
      <c r="N6337" s="9" t="s">
        <v>804</v>
      </c>
    </row>
    <row r="6338" ht="25" customHeight="1" spans="1:14">
      <c r="A6338" s="9" t="s">
        <v>231</v>
      </c>
      <c r="B6338" s="9" t="s">
        <v>229</v>
      </c>
      <c r="C6338" s="10">
        <v>44512</v>
      </c>
      <c r="D6338" s="15">
        <v>1.07</v>
      </c>
      <c r="E6338" s="15">
        <v>1.07</v>
      </c>
      <c r="F6338" s="15">
        <v>1.07</v>
      </c>
      <c r="G6338" s="11">
        <v>0.0003</v>
      </c>
      <c r="H6338" s="9">
        <f>MAX($F$6211:F6338)</f>
        <v>1.07</v>
      </c>
      <c r="I6338" s="11">
        <f t="shared" ref="I6338:I6401" si="158">1-F6338/H6338</f>
        <v>0</v>
      </c>
      <c r="J6338" s="9"/>
      <c r="K6338" s="11"/>
      <c r="L6338" s="9"/>
      <c r="M6338" s="11"/>
      <c r="N6338" s="9" t="s">
        <v>804</v>
      </c>
    </row>
    <row r="6339" ht="25" customHeight="1" spans="1:14">
      <c r="A6339" s="9" t="s">
        <v>231</v>
      </c>
      <c r="B6339" s="9" t="s">
        <v>229</v>
      </c>
      <c r="C6339" s="10">
        <v>44515</v>
      </c>
      <c r="D6339" s="15">
        <v>1.0709</v>
      </c>
      <c r="E6339" s="15">
        <v>1.0709</v>
      </c>
      <c r="F6339" s="15">
        <v>1.0709</v>
      </c>
      <c r="G6339" s="11">
        <v>0.0008</v>
      </c>
      <c r="H6339" s="9">
        <f>MAX($F$6211:F6339)</f>
        <v>1.0709</v>
      </c>
      <c r="I6339" s="11">
        <f t="shared" si="158"/>
        <v>0</v>
      </c>
      <c r="J6339" s="9"/>
      <c r="K6339" s="11"/>
      <c r="L6339" s="9"/>
      <c r="M6339" s="11"/>
      <c r="N6339" s="9" t="s">
        <v>804</v>
      </c>
    </row>
    <row r="6340" ht="25" customHeight="1" spans="1:14">
      <c r="A6340" s="9" t="s">
        <v>231</v>
      </c>
      <c r="B6340" s="9" t="s">
        <v>229</v>
      </c>
      <c r="C6340" s="10">
        <v>44516</v>
      </c>
      <c r="D6340" s="15">
        <v>1.071</v>
      </c>
      <c r="E6340" s="15">
        <v>1.071</v>
      </c>
      <c r="F6340" s="15">
        <v>1.071</v>
      </c>
      <c r="G6340" s="11">
        <v>0.0001</v>
      </c>
      <c r="H6340" s="9">
        <f>MAX($F$6211:F6340)</f>
        <v>1.071</v>
      </c>
      <c r="I6340" s="11">
        <f t="shared" si="158"/>
        <v>0</v>
      </c>
      <c r="J6340" s="9"/>
      <c r="K6340" s="11"/>
      <c r="L6340" s="9"/>
      <c r="M6340" s="11"/>
      <c r="N6340" s="9" t="s">
        <v>804</v>
      </c>
    </row>
    <row r="6341" ht="25" customHeight="1" spans="1:14">
      <c r="A6341" s="9" t="s">
        <v>231</v>
      </c>
      <c r="B6341" s="9" t="s">
        <v>229</v>
      </c>
      <c r="C6341" s="10">
        <v>44517</v>
      </c>
      <c r="D6341" s="15">
        <v>1.0719</v>
      </c>
      <c r="E6341" s="15">
        <v>1.0719</v>
      </c>
      <c r="F6341" s="15">
        <v>1.0719</v>
      </c>
      <c r="G6341" s="11">
        <v>0.0008</v>
      </c>
      <c r="H6341" s="9">
        <f>MAX($F$6211:F6341)</f>
        <v>1.0719</v>
      </c>
      <c r="I6341" s="11">
        <f t="shared" si="158"/>
        <v>0</v>
      </c>
      <c r="J6341" s="9"/>
      <c r="K6341" s="11"/>
      <c r="L6341" s="9"/>
      <c r="M6341" s="11"/>
      <c r="N6341" s="9" t="s">
        <v>804</v>
      </c>
    </row>
    <row r="6342" ht="25" customHeight="1" spans="1:14">
      <c r="A6342" s="9" t="s">
        <v>231</v>
      </c>
      <c r="B6342" s="9" t="s">
        <v>229</v>
      </c>
      <c r="C6342" s="10">
        <v>44518</v>
      </c>
      <c r="D6342" s="15">
        <v>1.0726</v>
      </c>
      <c r="E6342" s="15">
        <v>1.0726</v>
      </c>
      <c r="F6342" s="15">
        <v>1.0726</v>
      </c>
      <c r="G6342" s="11">
        <v>0.0007</v>
      </c>
      <c r="H6342" s="9">
        <f>MAX($F$6211:F6342)</f>
        <v>1.0726</v>
      </c>
      <c r="I6342" s="11">
        <f t="shared" si="158"/>
        <v>0</v>
      </c>
      <c r="J6342" s="9"/>
      <c r="K6342" s="11"/>
      <c r="L6342" s="9"/>
      <c r="M6342" s="11"/>
      <c r="N6342" s="9" t="s">
        <v>804</v>
      </c>
    </row>
    <row r="6343" ht="25" customHeight="1" spans="1:14">
      <c r="A6343" s="9" t="s">
        <v>231</v>
      </c>
      <c r="B6343" s="9" t="s">
        <v>229</v>
      </c>
      <c r="C6343" s="10">
        <v>44519</v>
      </c>
      <c r="D6343" s="15">
        <v>1.0737</v>
      </c>
      <c r="E6343" s="15">
        <v>1.0737</v>
      </c>
      <c r="F6343" s="15">
        <v>1.0737</v>
      </c>
      <c r="G6343" s="11">
        <v>0.001</v>
      </c>
      <c r="H6343" s="9">
        <f>MAX($F$6211:F6343)</f>
        <v>1.0737</v>
      </c>
      <c r="I6343" s="11">
        <f t="shared" si="158"/>
        <v>0</v>
      </c>
      <c r="J6343" s="9"/>
      <c r="K6343" s="11"/>
      <c r="L6343" s="9"/>
      <c r="M6343" s="11"/>
      <c r="N6343" s="9" t="s">
        <v>804</v>
      </c>
    </row>
    <row r="6344" ht="25" customHeight="1" spans="1:14">
      <c r="A6344" s="9" t="s">
        <v>231</v>
      </c>
      <c r="B6344" s="9" t="s">
        <v>229</v>
      </c>
      <c r="C6344" s="10">
        <v>44522</v>
      </c>
      <c r="D6344" s="15">
        <v>1.0744</v>
      </c>
      <c r="E6344" s="15">
        <v>1.0744</v>
      </c>
      <c r="F6344" s="15">
        <v>1.0744</v>
      </c>
      <c r="G6344" s="11">
        <v>0.0007</v>
      </c>
      <c r="H6344" s="9">
        <f>MAX($F$6211:F6344)</f>
        <v>1.0744</v>
      </c>
      <c r="I6344" s="11">
        <f t="shared" si="158"/>
        <v>0</v>
      </c>
      <c r="J6344" s="9"/>
      <c r="K6344" s="11"/>
      <c r="L6344" s="9"/>
      <c r="M6344" s="11"/>
      <c r="N6344" s="9" t="s">
        <v>804</v>
      </c>
    </row>
    <row r="6345" ht="25" customHeight="1" spans="1:14">
      <c r="A6345" s="9" t="s">
        <v>231</v>
      </c>
      <c r="B6345" s="9" t="s">
        <v>229</v>
      </c>
      <c r="C6345" s="10">
        <v>44523</v>
      </c>
      <c r="D6345" s="15">
        <v>1.0754</v>
      </c>
      <c r="E6345" s="15">
        <v>1.0754</v>
      </c>
      <c r="F6345" s="15">
        <v>1.0754</v>
      </c>
      <c r="G6345" s="11">
        <v>0.0009</v>
      </c>
      <c r="H6345" s="9">
        <f>MAX($F$6211:F6345)</f>
        <v>1.0754</v>
      </c>
      <c r="I6345" s="11">
        <f t="shared" si="158"/>
        <v>0</v>
      </c>
      <c r="J6345" s="9"/>
      <c r="K6345" s="11"/>
      <c r="L6345" s="9"/>
      <c r="M6345" s="11"/>
      <c r="N6345" s="9" t="s">
        <v>804</v>
      </c>
    </row>
    <row r="6346" ht="25" customHeight="1" spans="1:14">
      <c r="A6346" s="9" t="s">
        <v>231</v>
      </c>
      <c r="B6346" s="9" t="s">
        <v>229</v>
      </c>
      <c r="C6346" s="10">
        <v>44524</v>
      </c>
      <c r="D6346" s="15">
        <v>1.0759</v>
      </c>
      <c r="E6346" s="15">
        <v>1.0759</v>
      </c>
      <c r="F6346" s="15">
        <v>1.0759</v>
      </c>
      <c r="G6346" s="11">
        <v>0.0005</v>
      </c>
      <c r="H6346" s="9">
        <f>MAX($F$6211:F6346)</f>
        <v>1.0759</v>
      </c>
      <c r="I6346" s="11">
        <f t="shared" si="158"/>
        <v>0</v>
      </c>
      <c r="J6346" s="9"/>
      <c r="K6346" s="11"/>
      <c r="L6346" s="9"/>
      <c r="M6346" s="11"/>
      <c r="N6346" s="9" t="s">
        <v>804</v>
      </c>
    </row>
    <row r="6347" ht="25" customHeight="1" spans="1:14">
      <c r="A6347" s="9" t="s">
        <v>231</v>
      </c>
      <c r="B6347" s="9" t="s">
        <v>229</v>
      </c>
      <c r="C6347" s="10">
        <v>44525</v>
      </c>
      <c r="D6347" s="15">
        <v>1.0766</v>
      </c>
      <c r="E6347" s="15">
        <v>1.0766</v>
      </c>
      <c r="F6347" s="15">
        <v>1.0766</v>
      </c>
      <c r="G6347" s="11">
        <v>0.0007</v>
      </c>
      <c r="H6347" s="9">
        <f>MAX($F$6211:F6347)</f>
        <v>1.0766</v>
      </c>
      <c r="I6347" s="11">
        <f t="shared" si="158"/>
        <v>0</v>
      </c>
      <c r="J6347" s="9"/>
      <c r="K6347" s="11"/>
      <c r="L6347" s="9"/>
      <c r="M6347" s="11"/>
      <c r="N6347" s="9" t="s">
        <v>804</v>
      </c>
    </row>
    <row r="6348" ht="25" customHeight="1" spans="1:14">
      <c r="A6348" s="9" t="s">
        <v>231</v>
      </c>
      <c r="B6348" s="9" t="s">
        <v>229</v>
      </c>
      <c r="C6348" s="10">
        <v>44526</v>
      </c>
      <c r="D6348" s="15">
        <v>1.0772</v>
      </c>
      <c r="E6348" s="15">
        <v>1.0772</v>
      </c>
      <c r="F6348" s="15">
        <v>1.0772</v>
      </c>
      <c r="G6348" s="11">
        <v>0.0006</v>
      </c>
      <c r="H6348" s="9">
        <f>MAX($F$6211:F6348)</f>
        <v>1.0772</v>
      </c>
      <c r="I6348" s="11">
        <f t="shared" si="158"/>
        <v>0</v>
      </c>
      <c r="J6348" s="9"/>
      <c r="K6348" s="11"/>
      <c r="L6348" s="9"/>
      <c r="M6348" s="11"/>
      <c r="N6348" s="9" t="s">
        <v>804</v>
      </c>
    </row>
    <row r="6349" ht="25" customHeight="1" spans="1:14">
      <c r="A6349" s="9" t="s">
        <v>231</v>
      </c>
      <c r="B6349" s="9" t="s">
        <v>229</v>
      </c>
      <c r="C6349" s="10">
        <v>44529</v>
      </c>
      <c r="D6349" s="15">
        <v>1.0779</v>
      </c>
      <c r="E6349" s="15">
        <v>1.0779</v>
      </c>
      <c r="F6349" s="15">
        <v>1.0779</v>
      </c>
      <c r="G6349" s="11">
        <v>0.0006</v>
      </c>
      <c r="H6349" s="9">
        <f>MAX($F$6211:F6349)</f>
        <v>1.0779</v>
      </c>
      <c r="I6349" s="11">
        <f t="shared" si="158"/>
        <v>0</v>
      </c>
      <c r="J6349" s="9"/>
      <c r="K6349" s="11"/>
      <c r="L6349" s="9"/>
      <c r="M6349" s="11"/>
      <c r="N6349" s="9" t="s">
        <v>804</v>
      </c>
    </row>
    <row r="6350" ht="25" customHeight="1" spans="1:14">
      <c r="A6350" s="9" t="s">
        <v>231</v>
      </c>
      <c r="B6350" s="9" t="s">
        <v>229</v>
      </c>
      <c r="C6350" s="10">
        <v>44530</v>
      </c>
      <c r="D6350" s="15">
        <v>1.0807</v>
      </c>
      <c r="E6350" s="15">
        <v>1.0807</v>
      </c>
      <c r="F6350" s="15">
        <v>1.0807</v>
      </c>
      <c r="G6350" s="11">
        <v>0.0026</v>
      </c>
      <c r="H6350" s="9">
        <f>MAX($F$6211:F6350)</f>
        <v>1.0807</v>
      </c>
      <c r="I6350" s="11">
        <f t="shared" si="158"/>
        <v>0</v>
      </c>
      <c r="J6350" s="9"/>
      <c r="K6350" s="11"/>
      <c r="L6350" s="9"/>
      <c r="M6350" s="11"/>
      <c r="N6350" s="9" t="s">
        <v>804</v>
      </c>
    </row>
    <row r="6351" ht="25" customHeight="1" spans="1:14">
      <c r="A6351" s="9" t="s">
        <v>231</v>
      </c>
      <c r="B6351" s="9" t="s">
        <v>229</v>
      </c>
      <c r="C6351" s="10">
        <v>44531</v>
      </c>
      <c r="D6351" s="15">
        <v>1.0813</v>
      </c>
      <c r="E6351" s="15">
        <v>1.0813</v>
      </c>
      <c r="F6351" s="15">
        <v>1.0813</v>
      </c>
      <c r="G6351" s="11">
        <v>0.0006</v>
      </c>
      <c r="H6351" s="9">
        <f>MAX($F$6211:F6351)</f>
        <v>1.0813</v>
      </c>
      <c r="I6351" s="11">
        <f t="shared" si="158"/>
        <v>0</v>
      </c>
      <c r="J6351" s="9"/>
      <c r="K6351" s="11"/>
      <c r="L6351" s="9"/>
      <c r="M6351" s="11"/>
      <c r="N6351" s="9" t="s">
        <v>804</v>
      </c>
    </row>
    <row r="6352" ht="25" customHeight="1" spans="1:14">
      <c r="A6352" s="9" t="s">
        <v>231</v>
      </c>
      <c r="B6352" s="9" t="s">
        <v>229</v>
      </c>
      <c r="C6352" s="10">
        <v>44532</v>
      </c>
      <c r="D6352" s="15">
        <v>1.0826</v>
      </c>
      <c r="E6352" s="15">
        <v>1.0826</v>
      </c>
      <c r="F6352" s="15">
        <v>1.0826</v>
      </c>
      <c r="G6352" s="11">
        <v>0.0012</v>
      </c>
      <c r="H6352" s="9">
        <f>MAX($F$6211:F6352)</f>
        <v>1.0826</v>
      </c>
      <c r="I6352" s="11">
        <f t="shared" si="158"/>
        <v>0</v>
      </c>
      <c r="J6352" s="9"/>
      <c r="K6352" s="11"/>
      <c r="L6352" s="9"/>
      <c r="M6352" s="11"/>
      <c r="N6352" s="9" t="s">
        <v>804</v>
      </c>
    </row>
    <row r="6353" ht="25" customHeight="1" spans="1:14">
      <c r="A6353" s="9" t="s">
        <v>231</v>
      </c>
      <c r="B6353" s="9" t="s">
        <v>229</v>
      </c>
      <c r="C6353" s="10">
        <v>44533</v>
      </c>
      <c r="D6353" s="15">
        <v>1.0833</v>
      </c>
      <c r="E6353" s="15">
        <v>1.0833</v>
      </c>
      <c r="F6353" s="15">
        <v>1.0833</v>
      </c>
      <c r="G6353" s="11">
        <v>0.0006</v>
      </c>
      <c r="H6353" s="9">
        <f>MAX($F$6211:F6353)</f>
        <v>1.0833</v>
      </c>
      <c r="I6353" s="11">
        <f t="shared" si="158"/>
        <v>0</v>
      </c>
      <c r="J6353" s="9"/>
      <c r="K6353" s="11"/>
      <c r="L6353" s="9"/>
      <c r="M6353" s="11"/>
      <c r="N6353" s="9" t="s">
        <v>804</v>
      </c>
    </row>
    <row r="6354" ht="25" customHeight="1" spans="1:14">
      <c r="A6354" s="9" t="s">
        <v>231</v>
      </c>
      <c r="B6354" s="9" t="s">
        <v>229</v>
      </c>
      <c r="C6354" s="10">
        <v>44536</v>
      </c>
      <c r="D6354" s="15">
        <v>1.0833</v>
      </c>
      <c r="E6354" s="15">
        <v>1.0833</v>
      </c>
      <c r="F6354" s="15">
        <v>1.0833</v>
      </c>
      <c r="G6354" s="11">
        <v>0</v>
      </c>
      <c r="H6354" s="9">
        <f>MAX($F$6211:F6354)</f>
        <v>1.0833</v>
      </c>
      <c r="I6354" s="11">
        <f t="shared" si="158"/>
        <v>0</v>
      </c>
      <c r="J6354" s="9"/>
      <c r="K6354" s="11"/>
      <c r="L6354" s="9"/>
      <c r="M6354" s="11"/>
      <c r="N6354" s="9" t="s">
        <v>804</v>
      </c>
    </row>
    <row r="6355" ht="25" customHeight="1" spans="1:14">
      <c r="A6355" s="9" t="s">
        <v>231</v>
      </c>
      <c r="B6355" s="9" t="s">
        <v>229</v>
      </c>
      <c r="C6355" s="10">
        <v>44537</v>
      </c>
      <c r="D6355" s="15">
        <v>1.0841</v>
      </c>
      <c r="E6355" s="15">
        <v>1.0841</v>
      </c>
      <c r="F6355" s="15">
        <v>1.0841</v>
      </c>
      <c r="G6355" s="11">
        <v>0.0007</v>
      </c>
      <c r="H6355" s="9">
        <f>MAX($F$6211:F6355)</f>
        <v>1.0841</v>
      </c>
      <c r="I6355" s="11">
        <f t="shared" si="158"/>
        <v>0</v>
      </c>
      <c r="J6355" s="9"/>
      <c r="K6355" s="11"/>
      <c r="L6355" s="9"/>
      <c r="M6355" s="11"/>
      <c r="N6355" s="9" t="s">
        <v>804</v>
      </c>
    </row>
    <row r="6356" ht="25" customHeight="1" spans="1:14">
      <c r="A6356" s="9" t="s">
        <v>231</v>
      </c>
      <c r="B6356" s="9" t="s">
        <v>229</v>
      </c>
      <c r="C6356" s="10">
        <v>44538</v>
      </c>
      <c r="D6356" s="15">
        <v>1.0837</v>
      </c>
      <c r="E6356" s="15">
        <v>1.0837</v>
      </c>
      <c r="F6356" s="15">
        <v>1.0837</v>
      </c>
      <c r="G6356" s="11">
        <v>-0.0004</v>
      </c>
      <c r="H6356" s="9">
        <f>MAX($F$6211:F6356)</f>
        <v>1.0841</v>
      </c>
      <c r="I6356" s="11">
        <f t="shared" si="158"/>
        <v>0.000368969652246087</v>
      </c>
      <c r="J6356" s="9"/>
      <c r="K6356" s="11"/>
      <c r="L6356" s="9"/>
      <c r="M6356" s="11"/>
      <c r="N6356" s="9" t="s">
        <v>804</v>
      </c>
    </row>
    <row r="6357" ht="25" customHeight="1" spans="1:14">
      <c r="A6357" s="9" t="s">
        <v>231</v>
      </c>
      <c r="B6357" s="9" t="s">
        <v>229</v>
      </c>
      <c r="C6357" s="10">
        <v>44539</v>
      </c>
      <c r="D6357" s="15">
        <v>1.0836</v>
      </c>
      <c r="E6357" s="15">
        <v>1.0836</v>
      </c>
      <c r="F6357" s="15">
        <v>1.0836</v>
      </c>
      <c r="G6357" s="11">
        <v>-0.0001</v>
      </c>
      <c r="H6357" s="9">
        <f>MAX($F$6211:F6357)</f>
        <v>1.0841</v>
      </c>
      <c r="I6357" s="11">
        <f t="shared" si="158"/>
        <v>0.000461212065307803</v>
      </c>
      <c r="J6357" s="9"/>
      <c r="K6357" s="11"/>
      <c r="L6357" s="9"/>
      <c r="M6357" s="11"/>
      <c r="N6357" s="9" t="s">
        <v>804</v>
      </c>
    </row>
    <row r="6358" ht="25" customHeight="1" spans="1:14">
      <c r="A6358" s="9" t="s">
        <v>231</v>
      </c>
      <c r="B6358" s="9" t="s">
        <v>229</v>
      </c>
      <c r="C6358" s="10">
        <v>44540</v>
      </c>
      <c r="D6358" s="15">
        <v>1.0839</v>
      </c>
      <c r="E6358" s="15">
        <v>1.0839</v>
      </c>
      <c r="F6358" s="15">
        <v>1.0839</v>
      </c>
      <c r="G6358" s="11">
        <v>0.0003</v>
      </c>
      <c r="H6358" s="9">
        <f>MAX($F$6211:F6358)</f>
        <v>1.0841</v>
      </c>
      <c r="I6358" s="11">
        <f t="shared" si="158"/>
        <v>0.000184484826122988</v>
      </c>
      <c r="J6358" s="9"/>
      <c r="K6358" s="11"/>
      <c r="L6358" s="9"/>
      <c r="M6358" s="11"/>
      <c r="N6358" s="9" t="s">
        <v>804</v>
      </c>
    </row>
    <row r="6359" ht="25" customHeight="1" spans="1:14">
      <c r="A6359" s="9" t="s">
        <v>231</v>
      </c>
      <c r="B6359" s="9" t="s">
        <v>229</v>
      </c>
      <c r="C6359" s="10">
        <v>44543</v>
      </c>
      <c r="D6359" s="15">
        <v>1.0838</v>
      </c>
      <c r="E6359" s="15">
        <v>1.0838</v>
      </c>
      <c r="F6359" s="15">
        <v>1.0838</v>
      </c>
      <c r="G6359" s="11">
        <v>-0.0001</v>
      </c>
      <c r="H6359" s="9">
        <f>MAX($F$6211:F6359)</f>
        <v>1.0841</v>
      </c>
      <c r="I6359" s="11">
        <f t="shared" si="158"/>
        <v>0.000276727239184593</v>
      </c>
      <c r="J6359" s="9"/>
      <c r="K6359" s="11"/>
      <c r="L6359" s="9"/>
      <c r="M6359" s="11"/>
      <c r="N6359" s="9" t="s">
        <v>804</v>
      </c>
    </row>
    <row r="6360" ht="25" customHeight="1" spans="1:14">
      <c r="A6360" s="9" t="s">
        <v>231</v>
      </c>
      <c r="B6360" s="9" t="s">
        <v>229</v>
      </c>
      <c r="C6360" s="10">
        <v>44544</v>
      </c>
      <c r="D6360" s="15">
        <v>1.0841</v>
      </c>
      <c r="E6360" s="15">
        <v>1.0841</v>
      </c>
      <c r="F6360" s="15">
        <v>1.0841</v>
      </c>
      <c r="G6360" s="11">
        <v>0.0003</v>
      </c>
      <c r="H6360" s="9">
        <f>MAX($F$6211:F6360)</f>
        <v>1.0841</v>
      </c>
      <c r="I6360" s="11">
        <f t="shared" si="158"/>
        <v>0</v>
      </c>
      <c r="J6360" s="9"/>
      <c r="K6360" s="11"/>
      <c r="L6360" s="9"/>
      <c r="M6360" s="11"/>
      <c r="N6360" s="9" t="s">
        <v>804</v>
      </c>
    </row>
    <row r="6361" ht="25" customHeight="1" spans="1:14">
      <c r="A6361" s="9" t="s">
        <v>231</v>
      </c>
      <c r="B6361" s="9" t="s">
        <v>229</v>
      </c>
      <c r="C6361" s="10">
        <v>44545</v>
      </c>
      <c r="D6361" s="15">
        <v>1.0843</v>
      </c>
      <c r="E6361" s="15">
        <v>1.0843</v>
      </c>
      <c r="F6361" s="15">
        <v>1.0843</v>
      </c>
      <c r="G6361" s="11">
        <v>0.0002</v>
      </c>
      <c r="H6361" s="9">
        <f>MAX($F$6211:F6361)</f>
        <v>1.0843</v>
      </c>
      <c r="I6361" s="11">
        <f t="shared" si="158"/>
        <v>0</v>
      </c>
      <c r="J6361" s="9"/>
      <c r="K6361" s="11"/>
      <c r="L6361" s="9"/>
      <c r="M6361" s="11"/>
      <c r="N6361" s="9" t="s">
        <v>804</v>
      </c>
    </row>
    <row r="6362" ht="25" customHeight="1" spans="1:14">
      <c r="A6362" s="9" t="s">
        <v>231</v>
      </c>
      <c r="B6362" s="9" t="s">
        <v>229</v>
      </c>
      <c r="C6362" s="10">
        <v>44546</v>
      </c>
      <c r="D6362" s="15">
        <v>1.0845</v>
      </c>
      <c r="E6362" s="15">
        <v>1.0845</v>
      </c>
      <c r="F6362" s="15">
        <v>1.0845</v>
      </c>
      <c r="G6362" s="11">
        <v>0.0002</v>
      </c>
      <c r="H6362" s="9">
        <f>MAX($F$6211:F6362)</f>
        <v>1.0845</v>
      </c>
      <c r="I6362" s="11">
        <f t="shared" si="158"/>
        <v>0</v>
      </c>
      <c r="J6362" s="9"/>
      <c r="K6362" s="11"/>
      <c r="L6362" s="9"/>
      <c r="M6362" s="11"/>
      <c r="N6362" s="9" t="s">
        <v>804</v>
      </c>
    </row>
    <row r="6363" ht="25" customHeight="1" spans="1:14">
      <c r="A6363" s="9" t="s">
        <v>231</v>
      </c>
      <c r="B6363" s="9" t="s">
        <v>229</v>
      </c>
      <c r="C6363" s="10">
        <v>44547</v>
      </c>
      <c r="D6363" s="15">
        <v>1.0841</v>
      </c>
      <c r="E6363" s="15">
        <v>1.0841</v>
      </c>
      <c r="F6363" s="15">
        <v>1.0841</v>
      </c>
      <c r="G6363" s="11">
        <v>-0.0004</v>
      </c>
      <c r="H6363" s="9">
        <f>MAX($F$6211:F6363)</f>
        <v>1.0845</v>
      </c>
      <c r="I6363" s="11">
        <f t="shared" si="158"/>
        <v>0.000368833563854309</v>
      </c>
      <c r="J6363" s="9"/>
      <c r="K6363" s="11"/>
      <c r="L6363" s="9"/>
      <c r="M6363" s="11"/>
      <c r="N6363" s="9" t="s">
        <v>804</v>
      </c>
    </row>
    <row r="6364" ht="25" customHeight="1" spans="1:14">
      <c r="A6364" s="9" t="s">
        <v>231</v>
      </c>
      <c r="B6364" s="9" t="s">
        <v>229</v>
      </c>
      <c r="C6364" s="10">
        <v>44550</v>
      </c>
      <c r="D6364" s="15">
        <v>1.0841</v>
      </c>
      <c r="E6364" s="15">
        <v>1.0841</v>
      </c>
      <c r="F6364" s="15">
        <v>1.0841</v>
      </c>
      <c r="G6364" s="11">
        <v>0</v>
      </c>
      <c r="H6364" s="9">
        <f>MAX($F$6211:F6364)</f>
        <v>1.0845</v>
      </c>
      <c r="I6364" s="11">
        <f t="shared" si="158"/>
        <v>0.000368833563854309</v>
      </c>
      <c r="J6364" s="9"/>
      <c r="K6364" s="11"/>
      <c r="L6364" s="9"/>
      <c r="M6364" s="11"/>
      <c r="N6364" s="9" t="s">
        <v>804</v>
      </c>
    </row>
    <row r="6365" ht="25" customHeight="1" spans="1:14">
      <c r="A6365" s="9" t="s">
        <v>231</v>
      </c>
      <c r="B6365" s="9" t="s">
        <v>229</v>
      </c>
      <c r="C6365" s="10">
        <v>44551</v>
      </c>
      <c r="D6365" s="15">
        <v>1.0843</v>
      </c>
      <c r="E6365" s="15">
        <v>1.0843</v>
      </c>
      <c r="F6365" s="15">
        <v>1.0843</v>
      </c>
      <c r="G6365" s="11">
        <v>0.0002</v>
      </c>
      <c r="H6365" s="9">
        <f>MAX($F$6211:F6365)</f>
        <v>1.0845</v>
      </c>
      <c r="I6365" s="11">
        <f t="shared" si="158"/>
        <v>0.000184416781927155</v>
      </c>
      <c r="J6365" s="9"/>
      <c r="K6365" s="11"/>
      <c r="L6365" s="9"/>
      <c r="M6365" s="11"/>
      <c r="N6365" s="9" t="s">
        <v>804</v>
      </c>
    </row>
    <row r="6366" ht="25" customHeight="1" spans="1:14">
      <c r="A6366" s="9" t="s">
        <v>231</v>
      </c>
      <c r="B6366" s="9" t="s">
        <v>229</v>
      </c>
      <c r="C6366" s="10">
        <v>44552</v>
      </c>
      <c r="D6366" s="15">
        <v>1.086</v>
      </c>
      <c r="E6366" s="15">
        <v>1.086</v>
      </c>
      <c r="F6366" s="15">
        <v>1.086</v>
      </c>
      <c r="G6366" s="11">
        <v>0.0016</v>
      </c>
      <c r="H6366" s="9">
        <f>MAX($F$6211:F6366)</f>
        <v>1.086</v>
      </c>
      <c r="I6366" s="11">
        <f t="shared" si="158"/>
        <v>0</v>
      </c>
      <c r="J6366" s="9"/>
      <c r="K6366" s="11"/>
      <c r="L6366" s="9"/>
      <c r="M6366" s="11"/>
      <c r="N6366" s="9" t="s">
        <v>804</v>
      </c>
    </row>
    <row r="6367" ht="25" customHeight="1" spans="1:14">
      <c r="A6367" s="9" t="s">
        <v>231</v>
      </c>
      <c r="B6367" s="9" t="s">
        <v>229</v>
      </c>
      <c r="C6367" s="10">
        <v>44553</v>
      </c>
      <c r="D6367" s="15">
        <v>1.0863</v>
      </c>
      <c r="E6367" s="15">
        <v>1.0863</v>
      </c>
      <c r="F6367" s="15">
        <v>1.0863</v>
      </c>
      <c r="G6367" s="11">
        <v>0.0003</v>
      </c>
      <c r="H6367" s="9">
        <f>MAX($F$6211:F6367)</f>
        <v>1.0863</v>
      </c>
      <c r="I6367" s="11">
        <f t="shared" si="158"/>
        <v>0</v>
      </c>
      <c r="J6367" s="9"/>
      <c r="K6367" s="11"/>
      <c r="L6367" s="9"/>
      <c r="M6367" s="11"/>
      <c r="N6367" s="9" t="s">
        <v>804</v>
      </c>
    </row>
    <row r="6368" ht="25" customHeight="1" spans="1:14">
      <c r="A6368" s="9" t="s">
        <v>231</v>
      </c>
      <c r="B6368" s="9" t="s">
        <v>229</v>
      </c>
      <c r="C6368" s="10">
        <v>44554</v>
      </c>
      <c r="D6368" s="15">
        <v>1.0866</v>
      </c>
      <c r="E6368" s="15">
        <v>1.0866</v>
      </c>
      <c r="F6368" s="15">
        <v>1.0866</v>
      </c>
      <c r="G6368" s="11">
        <v>0.0003</v>
      </c>
      <c r="H6368" s="9">
        <f>MAX($F$6211:F6368)</f>
        <v>1.0866</v>
      </c>
      <c r="I6368" s="11">
        <f t="shared" si="158"/>
        <v>0</v>
      </c>
      <c r="J6368" s="9"/>
      <c r="K6368" s="11"/>
      <c r="L6368" s="9"/>
      <c r="M6368" s="11"/>
      <c r="N6368" s="9" t="s">
        <v>804</v>
      </c>
    </row>
    <row r="6369" ht="25" customHeight="1" spans="1:14">
      <c r="A6369" s="9" t="s">
        <v>231</v>
      </c>
      <c r="B6369" s="9" t="s">
        <v>229</v>
      </c>
      <c r="C6369" s="10">
        <v>44557</v>
      </c>
      <c r="D6369" s="15">
        <v>1.087</v>
      </c>
      <c r="E6369" s="15">
        <v>1.087</v>
      </c>
      <c r="F6369" s="15">
        <v>1.087</v>
      </c>
      <c r="G6369" s="11">
        <v>0.0004</v>
      </c>
      <c r="H6369" s="9">
        <f>MAX($F$6211:F6369)</f>
        <v>1.087</v>
      </c>
      <c r="I6369" s="11">
        <f t="shared" si="158"/>
        <v>0</v>
      </c>
      <c r="J6369" s="9"/>
      <c r="K6369" s="11"/>
      <c r="L6369" s="9"/>
      <c r="M6369" s="11"/>
      <c r="N6369" s="9" t="s">
        <v>804</v>
      </c>
    </row>
    <row r="6370" ht="25" customHeight="1" spans="1:14">
      <c r="A6370" s="9" t="s">
        <v>231</v>
      </c>
      <c r="B6370" s="9" t="s">
        <v>229</v>
      </c>
      <c r="C6370" s="10">
        <v>44558</v>
      </c>
      <c r="D6370" s="15">
        <v>1.0872</v>
      </c>
      <c r="E6370" s="15">
        <v>1.0872</v>
      </c>
      <c r="F6370" s="15">
        <v>1.0872</v>
      </c>
      <c r="G6370" s="11">
        <v>0.0002</v>
      </c>
      <c r="H6370" s="9">
        <f>MAX($F$6211:F6370)</f>
        <v>1.0872</v>
      </c>
      <c r="I6370" s="11">
        <f t="shared" si="158"/>
        <v>0</v>
      </c>
      <c r="J6370" s="9"/>
      <c r="K6370" s="11"/>
      <c r="L6370" s="9"/>
      <c r="M6370" s="11"/>
      <c r="N6370" s="9" t="s">
        <v>804</v>
      </c>
    </row>
    <row r="6371" ht="25" customHeight="1" spans="1:14">
      <c r="A6371" s="9" t="s">
        <v>231</v>
      </c>
      <c r="B6371" s="9" t="s">
        <v>229</v>
      </c>
      <c r="C6371" s="10">
        <v>44559</v>
      </c>
      <c r="D6371" s="15">
        <v>1.0896</v>
      </c>
      <c r="E6371" s="15">
        <v>1.0896</v>
      </c>
      <c r="F6371" s="15">
        <v>1.0896</v>
      </c>
      <c r="G6371" s="11">
        <v>0.0022</v>
      </c>
      <c r="H6371" s="9">
        <f>MAX($F$6211:F6371)</f>
        <v>1.0896</v>
      </c>
      <c r="I6371" s="11">
        <f t="shared" si="158"/>
        <v>0</v>
      </c>
      <c r="J6371" s="9"/>
      <c r="K6371" s="11"/>
      <c r="L6371" s="9"/>
      <c r="M6371" s="11"/>
      <c r="N6371" s="9" t="s">
        <v>804</v>
      </c>
    </row>
    <row r="6372" ht="25" customHeight="1" spans="1:14">
      <c r="A6372" s="9" t="s">
        <v>231</v>
      </c>
      <c r="B6372" s="9" t="s">
        <v>229</v>
      </c>
      <c r="C6372" s="10">
        <v>44560</v>
      </c>
      <c r="D6372" s="15">
        <v>1.0906</v>
      </c>
      <c r="E6372" s="15">
        <v>1.0906</v>
      </c>
      <c r="F6372" s="15">
        <v>1.0906</v>
      </c>
      <c r="G6372" s="11">
        <v>0.0009</v>
      </c>
      <c r="H6372" s="9">
        <f>MAX($F$6211:F6372)</f>
        <v>1.0906</v>
      </c>
      <c r="I6372" s="11">
        <f t="shared" si="158"/>
        <v>0</v>
      </c>
      <c r="J6372" s="9"/>
      <c r="K6372" s="11"/>
      <c r="L6372" s="9"/>
      <c r="M6372" s="11"/>
      <c r="N6372" s="9" t="s">
        <v>804</v>
      </c>
    </row>
    <row r="6373" ht="25" customHeight="1" spans="1:14">
      <c r="A6373" s="9" t="s">
        <v>231</v>
      </c>
      <c r="B6373" s="9" t="s">
        <v>229</v>
      </c>
      <c r="C6373" s="10">
        <v>44561</v>
      </c>
      <c r="D6373" s="15">
        <v>1.0908</v>
      </c>
      <c r="E6373" s="15">
        <v>1.0908</v>
      </c>
      <c r="F6373" s="15">
        <v>1.0908</v>
      </c>
      <c r="G6373" s="11">
        <v>0.0002</v>
      </c>
      <c r="H6373" s="9">
        <f>MAX($F$6211:F6373)</f>
        <v>1.0908</v>
      </c>
      <c r="I6373" s="11">
        <f t="shared" si="158"/>
        <v>0</v>
      </c>
      <c r="J6373" s="9"/>
      <c r="K6373" s="11"/>
      <c r="L6373" s="9"/>
      <c r="M6373" s="11"/>
      <c r="N6373" s="9" t="s">
        <v>804</v>
      </c>
    </row>
    <row r="6374" ht="25" customHeight="1" spans="1:14">
      <c r="A6374" s="9" t="s">
        <v>231</v>
      </c>
      <c r="B6374" s="9" t="s">
        <v>229</v>
      </c>
      <c r="C6374" s="10">
        <v>44565</v>
      </c>
      <c r="D6374" s="15">
        <v>1.0913</v>
      </c>
      <c r="E6374" s="15">
        <v>1.0913</v>
      </c>
      <c r="F6374" s="15">
        <v>1.0913</v>
      </c>
      <c r="G6374" s="11">
        <v>0.0005</v>
      </c>
      <c r="H6374" s="9">
        <f>MAX($F$6211:F6374)</f>
        <v>1.0913</v>
      </c>
      <c r="I6374" s="11">
        <f t="shared" si="158"/>
        <v>0</v>
      </c>
      <c r="J6374" s="9"/>
      <c r="K6374" s="11"/>
      <c r="L6374" s="9"/>
      <c r="M6374" s="11"/>
      <c r="N6374" s="9" t="s">
        <v>804</v>
      </c>
    </row>
    <row r="6375" ht="25" customHeight="1" spans="1:14">
      <c r="A6375" s="9" t="s">
        <v>231</v>
      </c>
      <c r="B6375" s="9" t="s">
        <v>229</v>
      </c>
      <c r="C6375" s="10">
        <v>44566</v>
      </c>
      <c r="D6375" s="15">
        <v>1.0915</v>
      </c>
      <c r="E6375" s="15">
        <v>1.0915</v>
      </c>
      <c r="F6375" s="15">
        <v>1.0915</v>
      </c>
      <c r="G6375" s="11">
        <v>0.0002</v>
      </c>
      <c r="H6375" s="9">
        <f>MAX($F$6211:F6375)</f>
        <v>1.0915</v>
      </c>
      <c r="I6375" s="11">
        <f t="shared" si="158"/>
        <v>0</v>
      </c>
      <c r="J6375" s="9"/>
      <c r="K6375" s="11"/>
      <c r="L6375" s="9"/>
      <c r="M6375" s="11"/>
      <c r="N6375" s="9" t="s">
        <v>804</v>
      </c>
    </row>
    <row r="6376" ht="25" customHeight="1" spans="1:14">
      <c r="A6376" s="9" t="s">
        <v>231</v>
      </c>
      <c r="B6376" s="9" t="s">
        <v>229</v>
      </c>
      <c r="C6376" s="10">
        <v>44567</v>
      </c>
      <c r="D6376" s="15">
        <v>1.0915</v>
      </c>
      <c r="E6376" s="15">
        <v>1.0915</v>
      </c>
      <c r="F6376" s="15">
        <v>1.0915</v>
      </c>
      <c r="G6376" s="11">
        <v>0</v>
      </c>
      <c r="H6376" s="9">
        <f>MAX($F$6211:F6376)</f>
        <v>1.0915</v>
      </c>
      <c r="I6376" s="11">
        <f t="shared" si="158"/>
        <v>0</v>
      </c>
      <c r="J6376" s="9"/>
      <c r="K6376" s="11"/>
      <c r="L6376" s="9"/>
      <c r="M6376" s="11"/>
      <c r="N6376" s="9" t="s">
        <v>804</v>
      </c>
    </row>
    <row r="6377" ht="25" customHeight="1" spans="1:14">
      <c r="A6377" s="9" t="s">
        <v>231</v>
      </c>
      <c r="B6377" s="9" t="s">
        <v>229</v>
      </c>
      <c r="C6377" s="10">
        <v>44568</v>
      </c>
      <c r="D6377" s="15">
        <v>1.0916</v>
      </c>
      <c r="E6377" s="15">
        <v>1.0916</v>
      </c>
      <c r="F6377" s="15">
        <v>1.0916</v>
      </c>
      <c r="G6377" s="11">
        <v>0.0001</v>
      </c>
      <c r="H6377" s="9">
        <f>MAX($F$6211:F6377)</f>
        <v>1.0916</v>
      </c>
      <c r="I6377" s="11">
        <f t="shared" si="158"/>
        <v>0</v>
      </c>
      <c r="J6377" s="9"/>
      <c r="K6377" s="11"/>
      <c r="L6377" s="9"/>
      <c r="M6377" s="11"/>
      <c r="N6377" s="9" t="s">
        <v>804</v>
      </c>
    </row>
    <row r="6378" ht="25" customHeight="1" spans="1:14">
      <c r="A6378" s="9" t="s">
        <v>231</v>
      </c>
      <c r="B6378" s="9" t="s">
        <v>229</v>
      </c>
      <c r="C6378" s="10">
        <v>44571</v>
      </c>
      <c r="D6378" s="15">
        <v>1.0927</v>
      </c>
      <c r="E6378" s="15">
        <v>1.0927</v>
      </c>
      <c r="F6378" s="15">
        <v>1.0927</v>
      </c>
      <c r="G6378" s="11">
        <v>0.001</v>
      </c>
      <c r="H6378" s="9">
        <f>MAX($F$6211:F6378)</f>
        <v>1.0927</v>
      </c>
      <c r="I6378" s="11">
        <f t="shared" si="158"/>
        <v>0</v>
      </c>
      <c r="J6378" s="9"/>
      <c r="K6378" s="11"/>
      <c r="L6378" s="9"/>
      <c r="M6378" s="11"/>
      <c r="N6378" s="9" t="s">
        <v>804</v>
      </c>
    </row>
    <row r="6379" ht="25" customHeight="1" spans="1:14">
      <c r="A6379" s="9" t="s">
        <v>231</v>
      </c>
      <c r="B6379" s="9" t="s">
        <v>229</v>
      </c>
      <c r="C6379" s="10">
        <v>44572</v>
      </c>
      <c r="D6379" s="15">
        <v>1.0935</v>
      </c>
      <c r="E6379" s="15">
        <v>1.0935</v>
      </c>
      <c r="F6379" s="15">
        <v>1.0935</v>
      </c>
      <c r="G6379" s="11">
        <v>0.0007</v>
      </c>
      <c r="H6379" s="9">
        <f>MAX($F$6211:F6379)</f>
        <v>1.0935</v>
      </c>
      <c r="I6379" s="11">
        <f t="shared" si="158"/>
        <v>0</v>
      </c>
      <c r="J6379" s="9"/>
      <c r="K6379" s="11"/>
      <c r="L6379" s="9"/>
      <c r="M6379" s="11"/>
      <c r="N6379" s="9" t="s">
        <v>804</v>
      </c>
    </row>
    <row r="6380" ht="25" customHeight="1" spans="1:14">
      <c r="A6380" s="9" t="s">
        <v>231</v>
      </c>
      <c r="B6380" s="9" t="s">
        <v>229</v>
      </c>
      <c r="C6380" s="10">
        <v>44573</v>
      </c>
      <c r="D6380" s="15">
        <v>1.0936</v>
      </c>
      <c r="E6380" s="15">
        <v>1.0936</v>
      </c>
      <c r="F6380" s="15">
        <v>1.0936</v>
      </c>
      <c r="G6380" s="11">
        <v>0.0001</v>
      </c>
      <c r="H6380" s="9">
        <f>MAX($F$6211:F6380)</f>
        <v>1.0936</v>
      </c>
      <c r="I6380" s="11">
        <f t="shared" si="158"/>
        <v>0</v>
      </c>
      <c r="J6380" s="9"/>
      <c r="K6380" s="11"/>
      <c r="L6380" s="9"/>
      <c r="M6380" s="11"/>
      <c r="N6380" s="9" t="s">
        <v>804</v>
      </c>
    </row>
    <row r="6381" ht="25" customHeight="1" spans="1:14">
      <c r="A6381" s="9" t="s">
        <v>231</v>
      </c>
      <c r="B6381" s="9" t="s">
        <v>229</v>
      </c>
      <c r="C6381" s="10">
        <v>44574</v>
      </c>
      <c r="D6381" s="15">
        <v>1.0942</v>
      </c>
      <c r="E6381" s="15">
        <v>1.0942</v>
      </c>
      <c r="F6381" s="15">
        <v>1.0942</v>
      </c>
      <c r="G6381" s="11">
        <v>0.0005</v>
      </c>
      <c r="H6381" s="9">
        <f>MAX($F$6211:F6381)</f>
        <v>1.0942</v>
      </c>
      <c r="I6381" s="11">
        <f t="shared" si="158"/>
        <v>0</v>
      </c>
      <c r="J6381" s="9"/>
      <c r="K6381" s="11"/>
      <c r="L6381" s="9"/>
      <c r="M6381" s="11"/>
      <c r="N6381" s="9" t="s">
        <v>804</v>
      </c>
    </row>
    <row r="6382" ht="25" customHeight="1" spans="1:14">
      <c r="A6382" s="9" t="s">
        <v>231</v>
      </c>
      <c r="B6382" s="9" t="s">
        <v>229</v>
      </c>
      <c r="C6382" s="10">
        <v>44575</v>
      </c>
      <c r="D6382" s="15">
        <v>1.0947</v>
      </c>
      <c r="E6382" s="15">
        <v>1.0947</v>
      </c>
      <c r="F6382" s="15">
        <v>1.0947</v>
      </c>
      <c r="G6382" s="11">
        <v>0.0005</v>
      </c>
      <c r="H6382" s="9">
        <f>MAX($F$6211:F6382)</f>
        <v>1.0947</v>
      </c>
      <c r="I6382" s="11">
        <f t="shared" si="158"/>
        <v>0</v>
      </c>
      <c r="J6382" s="9"/>
      <c r="K6382" s="11"/>
      <c r="L6382" s="9"/>
      <c r="M6382" s="11"/>
      <c r="N6382" s="9" t="s">
        <v>804</v>
      </c>
    </row>
    <row r="6383" ht="25" customHeight="1" spans="1:14">
      <c r="A6383" s="9" t="s">
        <v>231</v>
      </c>
      <c r="B6383" s="9" t="s">
        <v>229</v>
      </c>
      <c r="C6383" s="10">
        <v>44578</v>
      </c>
      <c r="D6383" s="15">
        <v>1.0949</v>
      </c>
      <c r="E6383" s="15">
        <v>1.0949</v>
      </c>
      <c r="F6383" s="15">
        <v>1.0949</v>
      </c>
      <c r="G6383" s="11">
        <v>0.0002</v>
      </c>
      <c r="H6383" s="9">
        <f>MAX($F$6211:F6383)</f>
        <v>1.0949</v>
      </c>
      <c r="I6383" s="11">
        <f t="shared" si="158"/>
        <v>0</v>
      </c>
      <c r="J6383" s="9"/>
      <c r="K6383" s="11"/>
      <c r="L6383" s="9"/>
      <c r="M6383" s="11"/>
      <c r="N6383" s="9" t="s">
        <v>804</v>
      </c>
    </row>
    <row r="6384" ht="25" customHeight="1" spans="1:14">
      <c r="A6384" s="9" t="s">
        <v>231</v>
      </c>
      <c r="B6384" s="9" t="s">
        <v>229</v>
      </c>
      <c r="C6384" s="10">
        <v>44579</v>
      </c>
      <c r="D6384" s="15">
        <v>1.095</v>
      </c>
      <c r="E6384" s="15">
        <v>1.095</v>
      </c>
      <c r="F6384" s="15">
        <v>1.095</v>
      </c>
      <c r="G6384" s="11">
        <v>0.0001</v>
      </c>
      <c r="H6384" s="9">
        <f>MAX($F$6211:F6384)</f>
        <v>1.095</v>
      </c>
      <c r="I6384" s="11">
        <f t="shared" si="158"/>
        <v>0</v>
      </c>
      <c r="J6384" s="9"/>
      <c r="K6384" s="11"/>
      <c r="L6384" s="9"/>
      <c r="M6384" s="11"/>
      <c r="N6384" s="9" t="s">
        <v>804</v>
      </c>
    </row>
    <row r="6385" ht="25" customHeight="1" spans="1:14">
      <c r="A6385" s="9" t="s">
        <v>231</v>
      </c>
      <c r="B6385" s="9" t="s">
        <v>229</v>
      </c>
      <c r="C6385" s="10">
        <v>44580</v>
      </c>
      <c r="D6385" s="15">
        <v>1.0952</v>
      </c>
      <c r="E6385" s="15">
        <v>1.0952</v>
      </c>
      <c r="F6385" s="15">
        <v>1.0952</v>
      </c>
      <c r="G6385" s="11">
        <v>0.0002</v>
      </c>
      <c r="H6385" s="9">
        <f>MAX($F$6211:F6385)</f>
        <v>1.0952</v>
      </c>
      <c r="I6385" s="11">
        <f t="shared" si="158"/>
        <v>0</v>
      </c>
      <c r="J6385" s="9"/>
      <c r="K6385" s="11"/>
      <c r="L6385" s="9"/>
      <c r="M6385" s="11"/>
      <c r="N6385" s="9" t="s">
        <v>804</v>
      </c>
    </row>
    <row r="6386" ht="25" customHeight="1" spans="1:14">
      <c r="A6386" s="9" t="s">
        <v>231</v>
      </c>
      <c r="B6386" s="9" t="s">
        <v>229</v>
      </c>
      <c r="C6386" s="10">
        <v>44581</v>
      </c>
      <c r="D6386" s="15">
        <v>1.0963</v>
      </c>
      <c r="E6386" s="15">
        <v>1.0963</v>
      </c>
      <c r="F6386" s="15">
        <v>1.0963</v>
      </c>
      <c r="G6386" s="11">
        <v>0.001</v>
      </c>
      <c r="H6386" s="9">
        <f>MAX($F$6211:F6386)</f>
        <v>1.0963</v>
      </c>
      <c r="I6386" s="11">
        <f t="shared" si="158"/>
        <v>0</v>
      </c>
      <c r="J6386" s="9"/>
      <c r="K6386" s="11"/>
      <c r="L6386" s="9"/>
      <c r="M6386" s="11"/>
      <c r="N6386" s="9" t="s">
        <v>804</v>
      </c>
    </row>
    <row r="6387" ht="25" customHeight="1" spans="1:14">
      <c r="A6387" s="9" t="s">
        <v>231</v>
      </c>
      <c r="B6387" s="9" t="s">
        <v>229</v>
      </c>
      <c r="C6387" s="10">
        <v>44582</v>
      </c>
      <c r="D6387" s="15">
        <v>1.0968</v>
      </c>
      <c r="E6387" s="15">
        <v>1.0968</v>
      </c>
      <c r="F6387" s="15">
        <v>1.0968</v>
      </c>
      <c r="G6387" s="11">
        <v>0.0005</v>
      </c>
      <c r="H6387" s="9">
        <f>MAX($F$6211:F6387)</f>
        <v>1.0968</v>
      </c>
      <c r="I6387" s="11">
        <f t="shared" si="158"/>
        <v>0</v>
      </c>
      <c r="J6387" s="9"/>
      <c r="K6387" s="11"/>
      <c r="L6387" s="9"/>
      <c r="M6387" s="11"/>
      <c r="N6387" s="9" t="s">
        <v>804</v>
      </c>
    </row>
    <row r="6388" ht="25" customHeight="1" spans="1:14">
      <c r="A6388" s="9" t="s">
        <v>231</v>
      </c>
      <c r="B6388" s="9" t="s">
        <v>229</v>
      </c>
      <c r="C6388" s="10">
        <v>44585</v>
      </c>
      <c r="D6388" s="15">
        <v>1.0979</v>
      </c>
      <c r="E6388" s="15">
        <v>1.0979</v>
      </c>
      <c r="F6388" s="15">
        <v>1.0979</v>
      </c>
      <c r="G6388" s="11">
        <v>0.001</v>
      </c>
      <c r="H6388" s="9">
        <f>MAX($F$6211:F6388)</f>
        <v>1.0979</v>
      </c>
      <c r="I6388" s="11">
        <f t="shared" si="158"/>
        <v>0</v>
      </c>
      <c r="J6388" s="9"/>
      <c r="K6388" s="11"/>
      <c r="L6388" s="9"/>
      <c r="M6388" s="11"/>
      <c r="N6388" s="9" t="s">
        <v>804</v>
      </c>
    </row>
    <row r="6389" ht="25" customHeight="1" spans="1:14">
      <c r="A6389" s="9" t="s">
        <v>231</v>
      </c>
      <c r="B6389" s="9" t="s">
        <v>229</v>
      </c>
      <c r="C6389" s="10">
        <v>44586</v>
      </c>
      <c r="D6389" s="15">
        <v>1.0985</v>
      </c>
      <c r="E6389" s="15">
        <v>1.0985</v>
      </c>
      <c r="F6389" s="15">
        <v>1.0985</v>
      </c>
      <c r="G6389" s="11">
        <v>0.0005</v>
      </c>
      <c r="H6389" s="9">
        <f>MAX($F$6211:F6389)</f>
        <v>1.0985</v>
      </c>
      <c r="I6389" s="11">
        <f t="shared" si="158"/>
        <v>0</v>
      </c>
      <c r="J6389" s="9"/>
      <c r="K6389" s="11"/>
      <c r="L6389" s="9"/>
      <c r="M6389" s="11"/>
      <c r="N6389" s="9" t="s">
        <v>804</v>
      </c>
    </row>
    <row r="6390" ht="25" customHeight="1" spans="1:14">
      <c r="A6390" s="9" t="s">
        <v>231</v>
      </c>
      <c r="B6390" s="9" t="s">
        <v>229</v>
      </c>
      <c r="C6390" s="10">
        <v>44587</v>
      </c>
      <c r="D6390" s="15">
        <v>1.0988</v>
      </c>
      <c r="E6390" s="15">
        <v>1.0988</v>
      </c>
      <c r="F6390" s="15">
        <v>1.0988</v>
      </c>
      <c r="G6390" s="11">
        <v>0.0003</v>
      </c>
      <c r="H6390" s="9">
        <f>MAX($F$6211:F6390)</f>
        <v>1.0988</v>
      </c>
      <c r="I6390" s="11">
        <f t="shared" si="158"/>
        <v>0</v>
      </c>
      <c r="J6390" s="9"/>
      <c r="K6390" s="11"/>
      <c r="L6390" s="9"/>
      <c r="M6390" s="11"/>
      <c r="N6390" s="9" t="s">
        <v>804</v>
      </c>
    </row>
    <row r="6391" ht="25" customHeight="1" spans="1:14">
      <c r="A6391" s="9" t="s">
        <v>231</v>
      </c>
      <c r="B6391" s="9" t="s">
        <v>229</v>
      </c>
      <c r="C6391" s="10">
        <v>44588</v>
      </c>
      <c r="D6391" s="15">
        <v>1.0994</v>
      </c>
      <c r="E6391" s="15">
        <v>1.0994</v>
      </c>
      <c r="F6391" s="15">
        <v>1.0994</v>
      </c>
      <c r="G6391" s="11">
        <v>0.0005</v>
      </c>
      <c r="H6391" s="9">
        <f>MAX($F$6211:F6391)</f>
        <v>1.0994</v>
      </c>
      <c r="I6391" s="11">
        <f t="shared" si="158"/>
        <v>0</v>
      </c>
      <c r="J6391" s="9"/>
      <c r="K6391" s="11"/>
      <c r="L6391" s="9"/>
      <c r="M6391" s="11"/>
      <c r="N6391" s="9" t="s">
        <v>804</v>
      </c>
    </row>
    <row r="6392" ht="25" customHeight="1" spans="1:14">
      <c r="A6392" s="9" t="s">
        <v>231</v>
      </c>
      <c r="B6392" s="9" t="s">
        <v>229</v>
      </c>
      <c r="C6392" s="10">
        <v>44589</v>
      </c>
      <c r="D6392" s="15">
        <v>1.0995</v>
      </c>
      <c r="E6392" s="15">
        <v>1.0995</v>
      </c>
      <c r="F6392" s="15">
        <v>1.0995</v>
      </c>
      <c r="G6392" s="11">
        <v>0.0001</v>
      </c>
      <c r="H6392" s="9">
        <f>MAX($F$6211:F6392)</f>
        <v>1.0995</v>
      </c>
      <c r="I6392" s="11">
        <f t="shared" si="158"/>
        <v>0</v>
      </c>
      <c r="J6392" s="9"/>
      <c r="K6392" s="11"/>
      <c r="L6392" s="9"/>
      <c r="M6392" s="11"/>
      <c r="N6392" s="9" t="s">
        <v>804</v>
      </c>
    </row>
    <row r="6393" ht="25" customHeight="1" spans="1:14">
      <c r="A6393" s="9" t="s">
        <v>231</v>
      </c>
      <c r="B6393" s="9" t="s">
        <v>229</v>
      </c>
      <c r="C6393" s="10">
        <v>44599</v>
      </c>
      <c r="D6393" s="15">
        <v>1.0992</v>
      </c>
      <c r="E6393" s="15">
        <v>1.0992</v>
      </c>
      <c r="F6393" s="15">
        <v>1.0992</v>
      </c>
      <c r="G6393" s="11">
        <v>-0.0003</v>
      </c>
      <c r="H6393" s="9">
        <f>MAX($F$6211:F6393)</f>
        <v>1.0995</v>
      </c>
      <c r="I6393" s="11">
        <f t="shared" si="158"/>
        <v>0.000272851296043597</v>
      </c>
      <c r="J6393" s="9"/>
      <c r="K6393" s="11"/>
      <c r="L6393" s="9"/>
      <c r="M6393" s="11"/>
      <c r="N6393" s="9" t="s">
        <v>804</v>
      </c>
    </row>
    <row r="6394" ht="25" customHeight="1" spans="1:14">
      <c r="A6394" s="9" t="s">
        <v>231</v>
      </c>
      <c r="B6394" s="9" t="s">
        <v>229</v>
      </c>
      <c r="C6394" s="10">
        <v>44600</v>
      </c>
      <c r="D6394" s="15">
        <v>1.0993</v>
      </c>
      <c r="E6394" s="15">
        <v>1.0993</v>
      </c>
      <c r="F6394" s="15">
        <v>1.0993</v>
      </c>
      <c r="G6394" s="11">
        <v>0.0001</v>
      </c>
      <c r="H6394" s="9">
        <f>MAX($F$6211:F6394)</f>
        <v>1.0995</v>
      </c>
      <c r="I6394" s="11">
        <f t="shared" si="158"/>
        <v>0.000181900864029139</v>
      </c>
      <c r="J6394" s="9"/>
      <c r="K6394" s="11"/>
      <c r="L6394" s="9"/>
      <c r="M6394" s="11"/>
      <c r="N6394" s="9" t="s">
        <v>804</v>
      </c>
    </row>
    <row r="6395" ht="25" customHeight="1" spans="1:14">
      <c r="A6395" s="9" t="s">
        <v>231</v>
      </c>
      <c r="B6395" s="9" t="s">
        <v>229</v>
      </c>
      <c r="C6395" s="10">
        <v>44601</v>
      </c>
      <c r="D6395" s="15">
        <v>1.0998</v>
      </c>
      <c r="E6395" s="15">
        <v>1.0998</v>
      </c>
      <c r="F6395" s="15">
        <v>1.0998</v>
      </c>
      <c r="G6395" s="11">
        <v>0.0005</v>
      </c>
      <c r="H6395" s="9">
        <f>MAX($F$6211:F6395)</f>
        <v>1.0998</v>
      </c>
      <c r="I6395" s="11">
        <f t="shared" si="158"/>
        <v>0</v>
      </c>
      <c r="J6395" s="9"/>
      <c r="K6395" s="11"/>
      <c r="L6395" s="9"/>
      <c r="M6395" s="11"/>
      <c r="N6395" s="9" t="s">
        <v>804</v>
      </c>
    </row>
    <row r="6396" ht="25" customHeight="1" spans="1:14">
      <c r="A6396" s="9" t="s">
        <v>231</v>
      </c>
      <c r="B6396" s="9" t="s">
        <v>229</v>
      </c>
      <c r="C6396" s="10">
        <v>44602</v>
      </c>
      <c r="D6396" s="15">
        <v>1.1</v>
      </c>
      <c r="E6396" s="15">
        <v>1.1</v>
      </c>
      <c r="F6396" s="15">
        <v>1.1</v>
      </c>
      <c r="G6396" s="11">
        <v>0.0002</v>
      </c>
      <c r="H6396" s="9">
        <f>MAX($F$6211:F6396)</f>
        <v>1.1</v>
      </c>
      <c r="I6396" s="11">
        <f t="shared" si="158"/>
        <v>0</v>
      </c>
      <c r="J6396" s="9"/>
      <c r="K6396" s="11"/>
      <c r="L6396" s="9"/>
      <c r="M6396" s="11"/>
      <c r="N6396" s="9" t="s">
        <v>804</v>
      </c>
    </row>
    <row r="6397" ht="25" customHeight="1" spans="1:14">
      <c r="A6397" s="9" t="s">
        <v>231</v>
      </c>
      <c r="B6397" s="9" t="s">
        <v>229</v>
      </c>
      <c r="C6397" s="10">
        <v>44603</v>
      </c>
      <c r="D6397" s="15">
        <v>1.1005</v>
      </c>
      <c r="E6397" s="15">
        <v>1.1005</v>
      </c>
      <c r="F6397" s="15">
        <v>1.1005</v>
      </c>
      <c r="G6397" s="11">
        <v>0.0005</v>
      </c>
      <c r="H6397" s="9">
        <f>MAX($F$6211:F6397)</f>
        <v>1.1005</v>
      </c>
      <c r="I6397" s="11">
        <f t="shared" si="158"/>
        <v>0</v>
      </c>
      <c r="J6397" s="9"/>
      <c r="K6397" s="11"/>
      <c r="L6397" s="9"/>
      <c r="M6397" s="11"/>
      <c r="N6397" s="9" t="s">
        <v>804</v>
      </c>
    </row>
    <row r="6398" ht="25" customHeight="1" spans="1:14">
      <c r="A6398" s="9" t="s">
        <v>231</v>
      </c>
      <c r="B6398" s="9" t="s">
        <v>229</v>
      </c>
      <c r="C6398" s="10">
        <v>44606</v>
      </c>
      <c r="D6398" s="15">
        <v>1.1005</v>
      </c>
      <c r="E6398" s="15">
        <v>1.1005</v>
      </c>
      <c r="F6398" s="15">
        <v>1.1005</v>
      </c>
      <c r="G6398" s="11">
        <v>0</v>
      </c>
      <c r="H6398" s="9">
        <f>MAX($F$6211:F6398)</f>
        <v>1.1005</v>
      </c>
      <c r="I6398" s="11">
        <f t="shared" si="158"/>
        <v>0</v>
      </c>
      <c r="J6398" s="9"/>
      <c r="K6398" s="11"/>
      <c r="L6398" s="9"/>
      <c r="M6398" s="11"/>
      <c r="N6398" s="9" t="s">
        <v>804</v>
      </c>
    </row>
    <row r="6399" ht="25" customHeight="1" spans="1:14">
      <c r="A6399" s="9" t="s">
        <v>231</v>
      </c>
      <c r="B6399" s="9" t="s">
        <v>229</v>
      </c>
      <c r="C6399" s="10">
        <v>44607</v>
      </c>
      <c r="D6399" s="15">
        <v>1.1008</v>
      </c>
      <c r="E6399" s="15">
        <v>1.1008</v>
      </c>
      <c r="F6399" s="15">
        <v>1.1008</v>
      </c>
      <c r="G6399" s="11">
        <v>0.0003</v>
      </c>
      <c r="H6399" s="9">
        <f>MAX($F$6211:F6399)</f>
        <v>1.1008</v>
      </c>
      <c r="I6399" s="11">
        <f t="shared" si="158"/>
        <v>0</v>
      </c>
      <c r="J6399" s="9"/>
      <c r="K6399" s="11"/>
      <c r="L6399" s="9"/>
      <c r="M6399" s="11"/>
      <c r="N6399" s="9" t="s">
        <v>804</v>
      </c>
    </row>
    <row r="6400" ht="25" customHeight="1" spans="1:14">
      <c r="A6400" s="9" t="s">
        <v>231</v>
      </c>
      <c r="B6400" s="9" t="s">
        <v>229</v>
      </c>
      <c r="C6400" s="10">
        <v>44608</v>
      </c>
      <c r="D6400" s="15">
        <v>1.101</v>
      </c>
      <c r="E6400" s="15">
        <v>1.101</v>
      </c>
      <c r="F6400" s="15">
        <v>1.101</v>
      </c>
      <c r="G6400" s="11">
        <v>0.0002</v>
      </c>
      <c r="H6400" s="9">
        <f>MAX($F$6211:F6400)</f>
        <v>1.101</v>
      </c>
      <c r="I6400" s="11">
        <f t="shared" si="158"/>
        <v>0</v>
      </c>
      <c r="J6400" s="9"/>
      <c r="K6400" s="11"/>
      <c r="L6400" s="9"/>
      <c r="M6400" s="11"/>
      <c r="N6400" s="9" t="s">
        <v>804</v>
      </c>
    </row>
    <row r="6401" ht="25" customHeight="1" spans="1:14">
      <c r="A6401" s="9" t="s">
        <v>231</v>
      </c>
      <c r="B6401" s="9" t="s">
        <v>229</v>
      </c>
      <c r="C6401" s="10">
        <v>44609</v>
      </c>
      <c r="D6401" s="15">
        <v>1.101</v>
      </c>
      <c r="E6401" s="15">
        <v>1.101</v>
      </c>
      <c r="F6401" s="15">
        <v>1.101</v>
      </c>
      <c r="G6401" s="11">
        <v>0</v>
      </c>
      <c r="H6401" s="9">
        <f>MAX($F$6211:F6401)</f>
        <v>1.101</v>
      </c>
      <c r="I6401" s="11">
        <f t="shared" si="158"/>
        <v>0</v>
      </c>
      <c r="J6401" s="9"/>
      <c r="K6401" s="11"/>
      <c r="L6401" s="9"/>
      <c r="M6401" s="11"/>
      <c r="N6401" s="9" t="s">
        <v>804</v>
      </c>
    </row>
    <row r="6402" ht="25" customHeight="1" spans="1:14">
      <c r="A6402" s="9" t="s">
        <v>231</v>
      </c>
      <c r="B6402" s="9" t="s">
        <v>229</v>
      </c>
      <c r="C6402" s="10">
        <v>44610</v>
      </c>
      <c r="D6402" s="15">
        <v>1.1012</v>
      </c>
      <c r="E6402" s="15">
        <v>1.1012</v>
      </c>
      <c r="F6402" s="15">
        <v>1.1012</v>
      </c>
      <c r="G6402" s="11">
        <v>0.0002</v>
      </c>
      <c r="H6402" s="9">
        <f>MAX($F$6211:F6402)</f>
        <v>1.1012</v>
      </c>
      <c r="I6402" s="11">
        <f t="shared" ref="I6402:I6465" si="159">1-F6402/H6402</f>
        <v>0</v>
      </c>
      <c r="J6402" s="9"/>
      <c r="K6402" s="11"/>
      <c r="L6402" s="9"/>
      <c r="M6402" s="11"/>
      <c r="N6402" s="9" t="s">
        <v>804</v>
      </c>
    </row>
    <row r="6403" ht="25" customHeight="1" spans="1:14">
      <c r="A6403" s="9" t="s">
        <v>231</v>
      </c>
      <c r="B6403" s="9" t="s">
        <v>229</v>
      </c>
      <c r="C6403" s="10">
        <v>44613</v>
      </c>
      <c r="D6403" s="15">
        <v>1.1016</v>
      </c>
      <c r="E6403" s="15">
        <v>1.1016</v>
      </c>
      <c r="F6403" s="15">
        <v>1.1016</v>
      </c>
      <c r="G6403" s="11">
        <v>0.0004</v>
      </c>
      <c r="H6403" s="9">
        <f>MAX($F$6211:F6403)</f>
        <v>1.1016</v>
      </c>
      <c r="I6403" s="11">
        <f t="shared" si="159"/>
        <v>0</v>
      </c>
      <c r="J6403" s="9"/>
      <c r="K6403" s="11"/>
      <c r="L6403" s="9"/>
      <c r="M6403" s="11"/>
      <c r="N6403" s="9" t="s">
        <v>804</v>
      </c>
    </row>
    <row r="6404" ht="25" customHeight="1" spans="1:14">
      <c r="A6404" s="9" t="s">
        <v>231</v>
      </c>
      <c r="B6404" s="9" t="s">
        <v>229</v>
      </c>
      <c r="C6404" s="10">
        <v>44614</v>
      </c>
      <c r="D6404" s="15">
        <v>1.102</v>
      </c>
      <c r="E6404" s="15">
        <v>1.102</v>
      </c>
      <c r="F6404" s="15">
        <v>1.102</v>
      </c>
      <c r="G6404" s="11">
        <v>0.0004</v>
      </c>
      <c r="H6404" s="9">
        <f>MAX($F$6211:F6404)</f>
        <v>1.102</v>
      </c>
      <c r="I6404" s="11">
        <f t="shared" si="159"/>
        <v>0</v>
      </c>
      <c r="J6404" s="9"/>
      <c r="K6404" s="11"/>
      <c r="L6404" s="9"/>
      <c r="M6404" s="11"/>
      <c r="N6404" s="9" t="s">
        <v>804</v>
      </c>
    </row>
    <row r="6405" ht="25" customHeight="1" spans="1:14">
      <c r="A6405" s="9" t="s">
        <v>231</v>
      </c>
      <c r="B6405" s="9" t="s">
        <v>229</v>
      </c>
      <c r="C6405" s="10">
        <v>44615</v>
      </c>
      <c r="D6405" s="15">
        <v>1.1026</v>
      </c>
      <c r="E6405" s="15">
        <v>1.1026</v>
      </c>
      <c r="F6405" s="15">
        <v>1.1026</v>
      </c>
      <c r="G6405" s="11">
        <v>0.0005</v>
      </c>
      <c r="H6405" s="9">
        <f>MAX($F$6211:F6405)</f>
        <v>1.1026</v>
      </c>
      <c r="I6405" s="11">
        <f t="shared" si="159"/>
        <v>0</v>
      </c>
      <c r="J6405" s="9"/>
      <c r="K6405" s="11"/>
      <c r="L6405" s="9"/>
      <c r="M6405" s="11"/>
      <c r="N6405" s="9" t="s">
        <v>804</v>
      </c>
    </row>
    <row r="6406" ht="25" customHeight="1" spans="1:14">
      <c r="A6406" s="9" t="s">
        <v>231</v>
      </c>
      <c r="B6406" s="9" t="s">
        <v>229</v>
      </c>
      <c r="C6406" s="10">
        <v>44616</v>
      </c>
      <c r="D6406" s="15">
        <v>1.103</v>
      </c>
      <c r="E6406" s="15">
        <v>1.103</v>
      </c>
      <c r="F6406" s="15">
        <v>1.103</v>
      </c>
      <c r="G6406" s="11">
        <v>0.0004</v>
      </c>
      <c r="H6406" s="9">
        <f>MAX($F$6211:F6406)</f>
        <v>1.103</v>
      </c>
      <c r="I6406" s="11">
        <f t="shared" si="159"/>
        <v>0</v>
      </c>
      <c r="J6406" s="9"/>
      <c r="K6406" s="11"/>
      <c r="L6406" s="9"/>
      <c r="M6406" s="11"/>
      <c r="N6406" s="9" t="s">
        <v>804</v>
      </c>
    </row>
    <row r="6407" ht="25" customHeight="1" spans="1:14">
      <c r="A6407" s="9" t="s">
        <v>231</v>
      </c>
      <c r="B6407" s="9" t="s">
        <v>229</v>
      </c>
      <c r="C6407" s="10">
        <v>44617</v>
      </c>
      <c r="D6407" s="15">
        <v>1.1048</v>
      </c>
      <c r="E6407" s="15">
        <v>1.1048</v>
      </c>
      <c r="F6407" s="15">
        <v>1.1048</v>
      </c>
      <c r="G6407" s="11">
        <v>0.0016</v>
      </c>
      <c r="H6407" s="9">
        <f>MAX($F$6211:F6407)</f>
        <v>1.1048</v>
      </c>
      <c r="I6407" s="11">
        <f t="shared" si="159"/>
        <v>0</v>
      </c>
      <c r="J6407" s="9"/>
      <c r="K6407" s="11"/>
      <c r="L6407" s="9"/>
      <c r="M6407" s="11"/>
      <c r="N6407" s="9" t="s">
        <v>804</v>
      </c>
    </row>
    <row r="6408" ht="25" customHeight="1" spans="1:14">
      <c r="A6408" s="9" t="s">
        <v>231</v>
      </c>
      <c r="B6408" s="9" t="s">
        <v>229</v>
      </c>
      <c r="C6408" s="10">
        <v>44620</v>
      </c>
      <c r="D6408" s="15">
        <v>1.1049</v>
      </c>
      <c r="E6408" s="15">
        <v>1.1049</v>
      </c>
      <c r="F6408" s="15">
        <v>1.1049</v>
      </c>
      <c r="G6408" s="11">
        <v>0.0001</v>
      </c>
      <c r="H6408" s="9">
        <f>MAX($F$6211:F6408)</f>
        <v>1.1049</v>
      </c>
      <c r="I6408" s="11">
        <f t="shared" si="159"/>
        <v>0</v>
      </c>
      <c r="J6408" s="9"/>
      <c r="K6408" s="11"/>
      <c r="L6408" s="9"/>
      <c r="M6408" s="11"/>
      <c r="N6408" s="9" t="s">
        <v>804</v>
      </c>
    </row>
    <row r="6409" ht="25" customHeight="1" spans="1:14">
      <c r="A6409" s="9" t="s">
        <v>231</v>
      </c>
      <c r="B6409" s="9" t="s">
        <v>229</v>
      </c>
      <c r="C6409" s="10">
        <v>44621</v>
      </c>
      <c r="D6409" s="15">
        <v>1.1052</v>
      </c>
      <c r="E6409" s="15">
        <v>1.1052</v>
      </c>
      <c r="F6409" s="15">
        <v>1.1052</v>
      </c>
      <c r="G6409" s="11">
        <v>0.0003</v>
      </c>
      <c r="H6409" s="9">
        <f>MAX($F$6211:F6409)</f>
        <v>1.1052</v>
      </c>
      <c r="I6409" s="11">
        <f t="shared" si="159"/>
        <v>0</v>
      </c>
      <c r="J6409" s="9"/>
      <c r="K6409" s="11"/>
      <c r="L6409" s="9"/>
      <c r="M6409" s="11"/>
      <c r="N6409" s="9" t="s">
        <v>804</v>
      </c>
    </row>
    <row r="6410" ht="25" customHeight="1" spans="1:14">
      <c r="A6410" s="9" t="s">
        <v>231</v>
      </c>
      <c r="B6410" s="9" t="s">
        <v>229</v>
      </c>
      <c r="C6410" s="10">
        <v>44622</v>
      </c>
      <c r="D6410" s="15">
        <v>1.106</v>
      </c>
      <c r="E6410" s="15">
        <v>1.106</v>
      </c>
      <c r="F6410" s="15">
        <v>1.106</v>
      </c>
      <c r="G6410" s="11">
        <v>0.0007</v>
      </c>
      <c r="H6410" s="9">
        <f>MAX($F$6211:F6410)</f>
        <v>1.106</v>
      </c>
      <c r="I6410" s="11">
        <f t="shared" si="159"/>
        <v>0</v>
      </c>
      <c r="J6410" s="9"/>
      <c r="K6410" s="11"/>
      <c r="L6410" s="9"/>
      <c r="M6410" s="11"/>
      <c r="N6410" s="9" t="s">
        <v>804</v>
      </c>
    </row>
    <row r="6411" ht="25" customHeight="1" spans="1:14">
      <c r="A6411" s="9" t="s">
        <v>231</v>
      </c>
      <c r="B6411" s="9" t="s">
        <v>229</v>
      </c>
      <c r="C6411" s="10">
        <v>44623</v>
      </c>
      <c r="D6411" s="15">
        <v>1.1062</v>
      </c>
      <c r="E6411" s="15">
        <v>1.1062</v>
      </c>
      <c r="F6411" s="15">
        <v>1.1062</v>
      </c>
      <c r="G6411" s="11">
        <v>0.0002</v>
      </c>
      <c r="H6411" s="9">
        <f>MAX($F$6211:F6411)</f>
        <v>1.1062</v>
      </c>
      <c r="I6411" s="11">
        <f t="shared" si="159"/>
        <v>0</v>
      </c>
      <c r="J6411" s="9"/>
      <c r="K6411" s="11"/>
      <c r="L6411" s="9"/>
      <c r="M6411" s="11"/>
      <c r="N6411" s="9" t="s">
        <v>804</v>
      </c>
    </row>
    <row r="6412" ht="25" customHeight="1" spans="1:14">
      <c r="A6412" s="9" t="s">
        <v>231</v>
      </c>
      <c r="B6412" s="9" t="s">
        <v>229</v>
      </c>
      <c r="C6412" s="10">
        <v>44624</v>
      </c>
      <c r="D6412" s="15">
        <v>1.1066</v>
      </c>
      <c r="E6412" s="15">
        <v>1.1066</v>
      </c>
      <c r="F6412" s="15">
        <v>1.1066</v>
      </c>
      <c r="G6412" s="11">
        <v>0.0004</v>
      </c>
      <c r="H6412" s="9">
        <f>MAX($F$6211:F6412)</f>
        <v>1.1066</v>
      </c>
      <c r="I6412" s="11">
        <f t="shared" si="159"/>
        <v>0</v>
      </c>
      <c r="J6412" s="9"/>
      <c r="K6412" s="11"/>
      <c r="L6412" s="9"/>
      <c r="M6412" s="11"/>
      <c r="N6412" s="9" t="s">
        <v>804</v>
      </c>
    </row>
    <row r="6413" ht="25" customHeight="1" spans="1:14">
      <c r="A6413" s="9" t="s">
        <v>231</v>
      </c>
      <c r="B6413" s="9" t="s">
        <v>229</v>
      </c>
      <c r="C6413" s="10">
        <v>44627</v>
      </c>
      <c r="D6413" s="15">
        <v>1.1079</v>
      </c>
      <c r="E6413" s="15">
        <v>1.1079</v>
      </c>
      <c r="F6413" s="15">
        <v>1.1079</v>
      </c>
      <c r="G6413" s="11">
        <v>0.0012</v>
      </c>
      <c r="H6413" s="9">
        <f>MAX($F$6211:F6413)</f>
        <v>1.1079</v>
      </c>
      <c r="I6413" s="11">
        <f t="shared" si="159"/>
        <v>0</v>
      </c>
      <c r="J6413" s="9"/>
      <c r="K6413" s="11"/>
      <c r="L6413" s="9"/>
      <c r="M6413" s="11"/>
      <c r="N6413" s="9" t="s">
        <v>804</v>
      </c>
    </row>
    <row r="6414" ht="25" customHeight="1" spans="1:14">
      <c r="A6414" s="9" t="s">
        <v>231</v>
      </c>
      <c r="B6414" s="9" t="s">
        <v>229</v>
      </c>
      <c r="C6414" s="10">
        <v>44628</v>
      </c>
      <c r="D6414" s="15">
        <v>1.1062</v>
      </c>
      <c r="E6414" s="15">
        <v>1.1062</v>
      </c>
      <c r="F6414" s="15">
        <v>1.1062</v>
      </c>
      <c r="G6414" s="11">
        <v>-0.0015</v>
      </c>
      <c r="H6414" s="9">
        <f>MAX($F$6211:F6414)</f>
        <v>1.1079</v>
      </c>
      <c r="I6414" s="11">
        <f t="shared" si="159"/>
        <v>0.00153443451575053</v>
      </c>
      <c r="J6414" s="9"/>
      <c r="K6414" s="11"/>
      <c r="L6414" s="9"/>
      <c r="M6414" s="11"/>
      <c r="N6414" s="9" t="s">
        <v>804</v>
      </c>
    </row>
    <row r="6415" ht="25" customHeight="1" spans="1:14">
      <c r="A6415" s="9" t="s">
        <v>231</v>
      </c>
      <c r="B6415" s="9" t="s">
        <v>229</v>
      </c>
      <c r="C6415" s="10">
        <v>44629</v>
      </c>
      <c r="D6415" s="15">
        <v>1.107</v>
      </c>
      <c r="E6415" s="15">
        <v>1.107</v>
      </c>
      <c r="F6415" s="15">
        <v>1.107</v>
      </c>
      <c r="G6415" s="11">
        <v>0.0007</v>
      </c>
      <c r="H6415" s="9">
        <f>MAX($F$6211:F6415)</f>
        <v>1.1079</v>
      </c>
      <c r="I6415" s="11">
        <f t="shared" si="159"/>
        <v>0.0008123476848092</v>
      </c>
      <c r="J6415" s="9"/>
      <c r="K6415" s="11"/>
      <c r="L6415" s="9"/>
      <c r="M6415" s="11"/>
      <c r="N6415" s="9" t="s">
        <v>804</v>
      </c>
    </row>
    <row r="6416" ht="25" customHeight="1" spans="1:14">
      <c r="A6416" s="9" t="s">
        <v>231</v>
      </c>
      <c r="B6416" s="9" t="s">
        <v>229</v>
      </c>
      <c r="C6416" s="10">
        <v>44630</v>
      </c>
      <c r="D6416" s="15">
        <v>1.1082</v>
      </c>
      <c r="E6416" s="15">
        <v>1.1082</v>
      </c>
      <c r="F6416" s="15">
        <v>1.1082</v>
      </c>
      <c r="G6416" s="11">
        <v>0.0011</v>
      </c>
      <c r="H6416" s="9">
        <f>MAX($F$6211:F6416)</f>
        <v>1.1082</v>
      </c>
      <c r="I6416" s="11">
        <f t="shared" si="159"/>
        <v>0</v>
      </c>
      <c r="J6416" s="9"/>
      <c r="K6416" s="11"/>
      <c r="L6416" s="9"/>
      <c r="M6416" s="11"/>
      <c r="N6416" s="9" t="s">
        <v>804</v>
      </c>
    </row>
    <row r="6417" ht="25" customHeight="1" spans="1:14">
      <c r="A6417" s="9" t="s">
        <v>231</v>
      </c>
      <c r="B6417" s="9" t="s">
        <v>229</v>
      </c>
      <c r="C6417" s="10">
        <v>44631</v>
      </c>
      <c r="D6417" s="15">
        <v>1.1087</v>
      </c>
      <c r="E6417" s="15">
        <v>1.1087</v>
      </c>
      <c r="F6417" s="15">
        <v>1.1087</v>
      </c>
      <c r="G6417" s="11">
        <v>0.0005</v>
      </c>
      <c r="H6417" s="9">
        <f>MAX($F$6211:F6417)</f>
        <v>1.1087</v>
      </c>
      <c r="I6417" s="11">
        <f t="shared" si="159"/>
        <v>0</v>
      </c>
      <c r="J6417" s="9"/>
      <c r="K6417" s="11"/>
      <c r="L6417" s="9"/>
      <c r="M6417" s="11"/>
      <c r="N6417" s="9" t="s">
        <v>804</v>
      </c>
    </row>
    <row r="6418" ht="25" customHeight="1" spans="1:14">
      <c r="A6418" s="9" t="s">
        <v>231</v>
      </c>
      <c r="B6418" s="9" t="s">
        <v>229</v>
      </c>
      <c r="C6418" s="10">
        <v>44634</v>
      </c>
      <c r="D6418" s="15">
        <v>1.1093</v>
      </c>
      <c r="E6418" s="15">
        <v>1.1093</v>
      </c>
      <c r="F6418" s="15">
        <v>1.1093</v>
      </c>
      <c r="G6418" s="11">
        <v>0.0005</v>
      </c>
      <c r="H6418" s="9">
        <f>MAX($F$6211:F6418)</f>
        <v>1.1093</v>
      </c>
      <c r="I6418" s="11">
        <f t="shared" si="159"/>
        <v>0</v>
      </c>
      <c r="J6418" s="9"/>
      <c r="K6418" s="11"/>
      <c r="L6418" s="9"/>
      <c r="M6418" s="11"/>
      <c r="N6418" s="9" t="s">
        <v>804</v>
      </c>
    </row>
    <row r="6419" ht="25" customHeight="1" spans="1:14">
      <c r="A6419" s="9" t="s">
        <v>231</v>
      </c>
      <c r="B6419" s="9" t="s">
        <v>229</v>
      </c>
      <c r="C6419" s="10">
        <v>44635</v>
      </c>
      <c r="D6419" s="15">
        <v>1.1097</v>
      </c>
      <c r="E6419" s="15">
        <v>1.1097</v>
      </c>
      <c r="F6419" s="15">
        <v>1.1097</v>
      </c>
      <c r="G6419" s="11">
        <v>0.0004</v>
      </c>
      <c r="H6419" s="9">
        <f>MAX($F$6211:F6419)</f>
        <v>1.1097</v>
      </c>
      <c r="I6419" s="11">
        <f t="shared" si="159"/>
        <v>0</v>
      </c>
      <c r="J6419" s="9"/>
      <c r="K6419" s="11"/>
      <c r="L6419" s="9"/>
      <c r="M6419" s="11"/>
      <c r="N6419" s="9" t="s">
        <v>804</v>
      </c>
    </row>
    <row r="6420" ht="25" customHeight="1" spans="1:14">
      <c r="A6420" s="9" t="s">
        <v>231</v>
      </c>
      <c r="B6420" s="9" t="s">
        <v>229</v>
      </c>
      <c r="C6420" s="10">
        <v>44636</v>
      </c>
      <c r="D6420" s="15">
        <v>1.1099</v>
      </c>
      <c r="E6420" s="15">
        <v>1.1099</v>
      </c>
      <c r="F6420" s="15">
        <v>1.1099</v>
      </c>
      <c r="G6420" s="11">
        <v>0.0002</v>
      </c>
      <c r="H6420" s="9">
        <f>MAX($F$6211:F6420)</f>
        <v>1.1099</v>
      </c>
      <c r="I6420" s="11">
        <f t="shared" si="159"/>
        <v>0</v>
      </c>
      <c r="J6420" s="9"/>
      <c r="K6420" s="11"/>
      <c r="L6420" s="9"/>
      <c r="M6420" s="11"/>
      <c r="N6420" s="9" t="s">
        <v>804</v>
      </c>
    </row>
    <row r="6421" ht="25" customHeight="1" spans="1:14">
      <c r="A6421" s="9" t="s">
        <v>231</v>
      </c>
      <c r="B6421" s="9" t="s">
        <v>229</v>
      </c>
      <c r="C6421" s="10">
        <v>44637</v>
      </c>
      <c r="D6421" s="15">
        <v>1.1106</v>
      </c>
      <c r="E6421" s="15">
        <v>1.1106</v>
      </c>
      <c r="F6421" s="15">
        <v>1.1106</v>
      </c>
      <c r="G6421" s="11">
        <v>0.0006</v>
      </c>
      <c r="H6421" s="9">
        <f>MAX($F$6211:F6421)</f>
        <v>1.1106</v>
      </c>
      <c r="I6421" s="11">
        <f t="shared" si="159"/>
        <v>0</v>
      </c>
      <c r="J6421" s="9"/>
      <c r="K6421" s="11"/>
      <c r="L6421" s="9"/>
      <c r="M6421" s="11"/>
      <c r="N6421" s="9" t="s">
        <v>804</v>
      </c>
    </row>
    <row r="6422" ht="25" customHeight="1" spans="1:14">
      <c r="A6422" s="9" t="s">
        <v>231</v>
      </c>
      <c r="B6422" s="9" t="s">
        <v>229</v>
      </c>
      <c r="C6422" s="10">
        <v>44638</v>
      </c>
      <c r="D6422" s="15">
        <v>1.1116</v>
      </c>
      <c r="E6422" s="15">
        <v>1.1116</v>
      </c>
      <c r="F6422" s="15">
        <v>1.1116</v>
      </c>
      <c r="G6422" s="11">
        <v>0.0009</v>
      </c>
      <c r="H6422" s="9">
        <f>MAX($F$6211:F6422)</f>
        <v>1.1116</v>
      </c>
      <c r="I6422" s="11">
        <f t="shared" si="159"/>
        <v>0</v>
      </c>
      <c r="J6422" s="9"/>
      <c r="K6422" s="11"/>
      <c r="L6422" s="9"/>
      <c r="M6422" s="11"/>
      <c r="N6422" s="9" t="s">
        <v>804</v>
      </c>
    </row>
    <row r="6423" ht="25" customHeight="1" spans="1:14">
      <c r="A6423" s="9" t="s">
        <v>231</v>
      </c>
      <c r="B6423" s="9" t="s">
        <v>229</v>
      </c>
      <c r="C6423" s="10">
        <v>44641</v>
      </c>
      <c r="D6423" s="15">
        <v>1.1117</v>
      </c>
      <c r="E6423" s="15">
        <v>1.1117</v>
      </c>
      <c r="F6423" s="15">
        <v>1.1117</v>
      </c>
      <c r="G6423" s="11">
        <v>0.0001</v>
      </c>
      <c r="H6423" s="9">
        <f>MAX($F$6211:F6423)</f>
        <v>1.1117</v>
      </c>
      <c r="I6423" s="11">
        <f t="shared" si="159"/>
        <v>0</v>
      </c>
      <c r="J6423" s="9"/>
      <c r="K6423" s="11"/>
      <c r="L6423" s="9"/>
      <c r="M6423" s="11"/>
      <c r="N6423" s="9" t="s">
        <v>804</v>
      </c>
    </row>
    <row r="6424" ht="25" customHeight="1" spans="1:14">
      <c r="A6424" s="9" t="s">
        <v>231</v>
      </c>
      <c r="B6424" s="9" t="s">
        <v>229</v>
      </c>
      <c r="C6424" s="10">
        <v>44642</v>
      </c>
      <c r="D6424" s="15">
        <v>1.112</v>
      </c>
      <c r="E6424" s="15">
        <v>1.112</v>
      </c>
      <c r="F6424" s="15">
        <v>1.112</v>
      </c>
      <c r="G6424" s="11">
        <v>0.0003</v>
      </c>
      <c r="H6424" s="9">
        <f>MAX($F$6211:F6424)</f>
        <v>1.112</v>
      </c>
      <c r="I6424" s="11">
        <f t="shared" si="159"/>
        <v>0</v>
      </c>
      <c r="J6424" s="9"/>
      <c r="K6424" s="11"/>
      <c r="L6424" s="9"/>
      <c r="M6424" s="11"/>
      <c r="N6424" s="9" t="s">
        <v>804</v>
      </c>
    </row>
    <row r="6425" ht="25" customHeight="1" spans="1:14">
      <c r="A6425" s="9" t="s">
        <v>231</v>
      </c>
      <c r="B6425" s="9" t="s">
        <v>229</v>
      </c>
      <c r="C6425" s="10">
        <v>44643</v>
      </c>
      <c r="D6425" s="15">
        <v>1.1125</v>
      </c>
      <c r="E6425" s="15">
        <v>1.1125</v>
      </c>
      <c r="F6425" s="15">
        <v>1.1125</v>
      </c>
      <c r="G6425" s="11">
        <v>0.0004</v>
      </c>
      <c r="H6425" s="9">
        <f>MAX($F$6211:F6425)</f>
        <v>1.1125</v>
      </c>
      <c r="I6425" s="11">
        <f t="shared" si="159"/>
        <v>0</v>
      </c>
      <c r="J6425" s="9"/>
      <c r="K6425" s="11"/>
      <c r="L6425" s="9"/>
      <c r="M6425" s="11"/>
      <c r="N6425" s="9" t="s">
        <v>804</v>
      </c>
    </row>
    <row r="6426" ht="25" customHeight="1" spans="1:14">
      <c r="A6426" s="9" t="s">
        <v>231</v>
      </c>
      <c r="B6426" s="9" t="s">
        <v>229</v>
      </c>
      <c r="C6426" s="10">
        <v>44644</v>
      </c>
      <c r="D6426" s="15">
        <v>1.113</v>
      </c>
      <c r="E6426" s="15">
        <v>1.113</v>
      </c>
      <c r="F6426" s="15">
        <v>1.113</v>
      </c>
      <c r="G6426" s="11">
        <v>0.0004</v>
      </c>
      <c r="H6426" s="9">
        <f>MAX($F$6211:F6426)</f>
        <v>1.113</v>
      </c>
      <c r="I6426" s="11">
        <f t="shared" si="159"/>
        <v>0</v>
      </c>
      <c r="J6426" s="9"/>
      <c r="K6426" s="11"/>
      <c r="L6426" s="9"/>
      <c r="M6426" s="11"/>
      <c r="N6426" s="9" t="s">
        <v>804</v>
      </c>
    </row>
    <row r="6427" ht="25" customHeight="1" spans="1:14">
      <c r="A6427" s="9" t="s">
        <v>231</v>
      </c>
      <c r="B6427" s="9" t="s">
        <v>229</v>
      </c>
      <c r="C6427" s="10">
        <v>44645</v>
      </c>
      <c r="D6427" s="15">
        <v>1.113</v>
      </c>
      <c r="E6427" s="15">
        <v>1.113</v>
      </c>
      <c r="F6427" s="15">
        <v>1.113</v>
      </c>
      <c r="G6427" s="11">
        <v>0</v>
      </c>
      <c r="H6427" s="9">
        <f>MAX($F$6211:F6427)</f>
        <v>1.113</v>
      </c>
      <c r="I6427" s="11">
        <f t="shared" si="159"/>
        <v>0</v>
      </c>
      <c r="J6427" s="9"/>
      <c r="K6427" s="11"/>
      <c r="L6427" s="9"/>
      <c r="M6427" s="11"/>
      <c r="N6427" s="9" t="s">
        <v>804</v>
      </c>
    </row>
    <row r="6428" ht="25" customHeight="1" spans="1:14">
      <c r="A6428" s="9" t="s">
        <v>231</v>
      </c>
      <c r="B6428" s="9" t="s">
        <v>229</v>
      </c>
      <c r="C6428" s="10">
        <v>44648</v>
      </c>
      <c r="D6428" s="15">
        <v>1.1132</v>
      </c>
      <c r="E6428" s="15">
        <v>1.1132</v>
      </c>
      <c r="F6428" s="15">
        <v>1.1132</v>
      </c>
      <c r="G6428" s="11">
        <v>0.0002</v>
      </c>
      <c r="H6428" s="9">
        <f>MAX($F$6211:F6428)</f>
        <v>1.1132</v>
      </c>
      <c r="I6428" s="11">
        <f t="shared" si="159"/>
        <v>0</v>
      </c>
      <c r="J6428" s="9"/>
      <c r="K6428" s="11"/>
      <c r="L6428" s="9"/>
      <c r="M6428" s="11"/>
      <c r="N6428" s="9" t="s">
        <v>804</v>
      </c>
    </row>
    <row r="6429" ht="25" customHeight="1" spans="1:14">
      <c r="A6429" s="9" t="s">
        <v>231</v>
      </c>
      <c r="B6429" s="9" t="s">
        <v>229</v>
      </c>
      <c r="C6429" s="10">
        <v>44649</v>
      </c>
      <c r="D6429" s="15">
        <v>1.1137</v>
      </c>
      <c r="E6429" s="15">
        <v>1.1137</v>
      </c>
      <c r="F6429" s="15">
        <v>1.1137</v>
      </c>
      <c r="G6429" s="11">
        <v>0.0004</v>
      </c>
      <c r="H6429" s="9">
        <f>MAX($F$6211:F6429)</f>
        <v>1.1137</v>
      </c>
      <c r="I6429" s="11">
        <f t="shared" si="159"/>
        <v>0</v>
      </c>
      <c r="J6429" s="9"/>
      <c r="K6429" s="11"/>
      <c r="L6429" s="9"/>
      <c r="M6429" s="11"/>
      <c r="N6429" s="9" t="s">
        <v>804</v>
      </c>
    </row>
    <row r="6430" ht="25" customHeight="1" spans="1:14">
      <c r="A6430" s="9" t="s">
        <v>231</v>
      </c>
      <c r="B6430" s="9" t="s">
        <v>229</v>
      </c>
      <c r="C6430" s="10">
        <v>44650</v>
      </c>
      <c r="D6430" s="15">
        <v>1.1156</v>
      </c>
      <c r="E6430" s="15">
        <v>1.1156</v>
      </c>
      <c r="F6430" s="15">
        <v>1.1156</v>
      </c>
      <c r="G6430" s="11">
        <v>0.0017</v>
      </c>
      <c r="H6430" s="9">
        <f>MAX($F$6211:F6430)</f>
        <v>1.1156</v>
      </c>
      <c r="I6430" s="11">
        <f t="shared" si="159"/>
        <v>0</v>
      </c>
      <c r="J6430" s="9"/>
      <c r="K6430" s="11"/>
      <c r="L6430" s="9"/>
      <c r="M6430" s="11"/>
      <c r="N6430" s="9" t="s">
        <v>804</v>
      </c>
    </row>
    <row r="6431" ht="25" customHeight="1" spans="1:14">
      <c r="A6431" s="9" t="s">
        <v>231</v>
      </c>
      <c r="B6431" s="9" t="s">
        <v>229</v>
      </c>
      <c r="C6431" s="10">
        <v>44651</v>
      </c>
      <c r="D6431" s="15">
        <v>1.1158</v>
      </c>
      <c r="E6431" s="15">
        <v>1.1158</v>
      </c>
      <c r="F6431" s="15">
        <v>1.1158</v>
      </c>
      <c r="G6431" s="11">
        <v>0.0002</v>
      </c>
      <c r="H6431" s="9">
        <f>MAX($F$6211:F6431)</f>
        <v>1.1158</v>
      </c>
      <c r="I6431" s="11">
        <f t="shared" si="159"/>
        <v>0</v>
      </c>
      <c r="J6431" s="9"/>
      <c r="K6431" s="11"/>
      <c r="L6431" s="9"/>
      <c r="M6431" s="11"/>
      <c r="N6431" s="9" t="s">
        <v>804</v>
      </c>
    </row>
    <row r="6432" ht="25" customHeight="1" spans="1:14">
      <c r="A6432" s="9" t="s">
        <v>231</v>
      </c>
      <c r="B6432" s="9" t="s">
        <v>229</v>
      </c>
      <c r="C6432" s="10">
        <v>44652</v>
      </c>
      <c r="D6432" s="15">
        <v>1.1158</v>
      </c>
      <c r="E6432" s="15">
        <v>1.1158</v>
      </c>
      <c r="F6432" s="15">
        <v>1.1158</v>
      </c>
      <c r="G6432" s="11">
        <v>0</v>
      </c>
      <c r="H6432" s="9">
        <f>MAX($F$6211:F6432)</f>
        <v>1.1158</v>
      </c>
      <c r="I6432" s="11">
        <f t="shared" si="159"/>
        <v>0</v>
      </c>
      <c r="J6432" s="9"/>
      <c r="K6432" s="11"/>
      <c r="L6432" s="9"/>
      <c r="M6432" s="11"/>
      <c r="N6432" s="9" t="s">
        <v>804</v>
      </c>
    </row>
    <row r="6433" ht="25" customHeight="1" spans="1:14">
      <c r="A6433" s="9" t="s">
        <v>231</v>
      </c>
      <c r="B6433" s="9" t="s">
        <v>229</v>
      </c>
      <c r="C6433" s="10">
        <v>44657</v>
      </c>
      <c r="D6433" s="15">
        <v>1.116</v>
      </c>
      <c r="E6433" s="15">
        <v>1.116</v>
      </c>
      <c r="F6433" s="15">
        <v>1.116</v>
      </c>
      <c r="G6433" s="11">
        <v>0.0002</v>
      </c>
      <c r="H6433" s="9">
        <f>MAX($F$6211:F6433)</f>
        <v>1.116</v>
      </c>
      <c r="I6433" s="11">
        <f t="shared" si="159"/>
        <v>0</v>
      </c>
      <c r="J6433" s="9"/>
      <c r="K6433" s="11"/>
      <c r="L6433" s="9"/>
      <c r="M6433" s="11"/>
      <c r="N6433" s="9" t="s">
        <v>804</v>
      </c>
    </row>
    <row r="6434" ht="25" customHeight="1" spans="1:14">
      <c r="A6434" s="9" t="s">
        <v>231</v>
      </c>
      <c r="B6434" s="9" t="s">
        <v>229</v>
      </c>
      <c r="C6434" s="10">
        <v>44658</v>
      </c>
      <c r="D6434" s="15">
        <v>1.1164</v>
      </c>
      <c r="E6434" s="15">
        <v>1.1164</v>
      </c>
      <c r="F6434" s="15">
        <v>1.1164</v>
      </c>
      <c r="G6434" s="11">
        <v>0.0004</v>
      </c>
      <c r="H6434" s="9">
        <f>MAX($F$6211:F6434)</f>
        <v>1.1164</v>
      </c>
      <c r="I6434" s="11">
        <f t="shared" si="159"/>
        <v>0</v>
      </c>
      <c r="J6434" s="9"/>
      <c r="K6434" s="11"/>
      <c r="L6434" s="9"/>
      <c r="M6434" s="11"/>
      <c r="N6434" s="9" t="s">
        <v>804</v>
      </c>
    </row>
    <row r="6435" ht="25" customHeight="1" spans="1:14">
      <c r="A6435" s="9" t="s">
        <v>231</v>
      </c>
      <c r="B6435" s="9" t="s">
        <v>229</v>
      </c>
      <c r="C6435" s="10">
        <v>44659</v>
      </c>
      <c r="D6435" s="15">
        <v>1.1165</v>
      </c>
      <c r="E6435" s="15">
        <v>1.1165</v>
      </c>
      <c r="F6435" s="15">
        <v>1.1165</v>
      </c>
      <c r="G6435" s="11">
        <v>0.0001</v>
      </c>
      <c r="H6435" s="9">
        <f>MAX($F$6211:F6435)</f>
        <v>1.1165</v>
      </c>
      <c r="I6435" s="11">
        <f t="shared" si="159"/>
        <v>0</v>
      </c>
      <c r="J6435" s="9"/>
      <c r="K6435" s="11"/>
      <c r="L6435" s="9"/>
      <c r="M6435" s="11"/>
      <c r="N6435" s="9" t="s">
        <v>804</v>
      </c>
    </row>
    <row r="6436" ht="25" customHeight="1" spans="1:14">
      <c r="A6436" s="9" t="s">
        <v>231</v>
      </c>
      <c r="B6436" s="9" t="s">
        <v>229</v>
      </c>
      <c r="C6436" s="10">
        <v>44662</v>
      </c>
      <c r="D6436" s="15">
        <v>1.1179</v>
      </c>
      <c r="E6436" s="15">
        <v>1.1179</v>
      </c>
      <c r="F6436" s="15">
        <v>1.1179</v>
      </c>
      <c r="G6436" s="11">
        <v>0.0013</v>
      </c>
      <c r="H6436" s="9">
        <f>MAX($F$6211:F6436)</f>
        <v>1.1179</v>
      </c>
      <c r="I6436" s="11">
        <f t="shared" si="159"/>
        <v>0</v>
      </c>
      <c r="J6436" s="9"/>
      <c r="K6436" s="11"/>
      <c r="L6436" s="9"/>
      <c r="M6436" s="11"/>
      <c r="N6436" s="9" t="s">
        <v>804</v>
      </c>
    </row>
    <row r="6437" ht="25" customHeight="1" spans="1:14">
      <c r="A6437" s="9" t="s">
        <v>231</v>
      </c>
      <c r="B6437" s="9" t="s">
        <v>229</v>
      </c>
      <c r="C6437" s="10">
        <v>44663</v>
      </c>
      <c r="D6437" s="15">
        <v>1.1184</v>
      </c>
      <c r="E6437" s="15">
        <v>1.1184</v>
      </c>
      <c r="F6437" s="15">
        <v>1.1184</v>
      </c>
      <c r="G6437" s="11">
        <v>0.0004</v>
      </c>
      <c r="H6437" s="9">
        <f>MAX($F$6211:F6437)</f>
        <v>1.1184</v>
      </c>
      <c r="I6437" s="11">
        <f t="shared" si="159"/>
        <v>0</v>
      </c>
      <c r="J6437" s="9"/>
      <c r="K6437" s="11"/>
      <c r="L6437" s="9"/>
      <c r="M6437" s="11"/>
      <c r="N6437" s="9" t="s">
        <v>804</v>
      </c>
    </row>
    <row r="6438" ht="25" customHeight="1" spans="1:14">
      <c r="A6438" s="9" t="s">
        <v>231</v>
      </c>
      <c r="B6438" s="9" t="s">
        <v>229</v>
      </c>
      <c r="C6438" s="10">
        <v>44664</v>
      </c>
      <c r="D6438" s="15">
        <v>1.1187</v>
      </c>
      <c r="E6438" s="15">
        <v>1.1187</v>
      </c>
      <c r="F6438" s="15">
        <v>1.1187</v>
      </c>
      <c r="G6438" s="11">
        <v>0.0003</v>
      </c>
      <c r="H6438" s="9">
        <f>MAX($F$6211:F6438)</f>
        <v>1.1187</v>
      </c>
      <c r="I6438" s="11">
        <f t="shared" si="159"/>
        <v>0</v>
      </c>
      <c r="J6438" s="9"/>
      <c r="K6438" s="11"/>
      <c r="L6438" s="9"/>
      <c r="M6438" s="11"/>
      <c r="N6438" s="9" t="s">
        <v>804</v>
      </c>
    </row>
    <row r="6439" ht="25" customHeight="1" spans="1:14">
      <c r="A6439" s="9" t="s">
        <v>231</v>
      </c>
      <c r="B6439" s="9" t="s">
        <v>229</v>
      </c>
      <c r="C6439" s="10">
        <v>44665</v>
      </c>
      <c r="D6439" s="15">
        <v>1.1193</v>
      </c>
      <c r="E6439" s="15">
        <v>1.1193</v>
      </c>
      <c r="F6439" s="15">
        <v>1.1193</v>
      </c>
      <c r="G6439" s="11">
        <v>0.0005</v>
      </c>
      <c r="H6439" s="9">
        <f>MAX($F$6211:F6439)</f>
        <v>1.1193</v>
      </c>
      <c r="I6439" s="11">
        <f t="shared" si="159"/>
        <v>0</v>
      </c>
      <c r="J6439" s="9"/>
      <c r="K6439" s="11"/>
      <c r="L6439" s="9"/>
      <c r="M6439" s="11"/>
      <c r="N6439" s="9" t="s">
        <v>804</v>
      </c>
    </row>
    <row r="6440" ht="25" customHeight="1" spans="1:14">
      <c r="A6440" s="9" t="s">
        <v>231</v>
      </c>
      <c r="B6440" s="9" t="s">
        <v>229</v>
      </c>
      <c r="C6440" s="10">
        <v>44666</v>
      </c>
      <c r="D6440" s="15">
        <v>1.1196</v>
      </c>
      <c r="E6440" s="15">
        <v>1.1196</v>
      </c>
      <c r="F6440" s="15">
        <v>1.1196</v>
      </c>
      <c r="G6440" s="11">
        <v>0.0003</v>
      </c>
      <c r="H6440" s="9">
        <f>MAX($F$6211:F6440)</f>
        <v>1.1196</v>
      </c>
      <c r="I6440" s="11">
        <f t="shared" si="159"/>
        <v>0</v>
      </c>
      <c r="J6440" s="9"/>
      <c r="K6440" s="11"/>
      <c r="L6440" s="9"/>
      <c r="M6440" s="11"/>
      <c r="N6440" s="9" t="s">
        <v>804</v>
      </c>
    </row>
    <row r="6441" ht="25" customHeight="1" spans="1:14">
      <c r="A6441" s="9" t="s">
        <v>231</v>
      </c>
      <c r="B6441" s="9" t="s">
        <v>229</v>
      </c>
      <c r="C6441" s="10">
        <v>44669</v>
      </c>
      <c r="D6441" s="15">
        <v>1.1201</v>
      </c>
      <c r="E6441" s="15">
        <v>1.1201</v>
      </c>
      <c r="F6441" s="15">
        <v>1.1201</v>
      </c>
      <c r="G6441" s="11">
        <v>0.0004</v>
      </c>
      <c r="H6441" s="9">
        <f>MAX($F$6211:F6441)</f>
        <v>1.1201</v>
      </c>
      <c r="I6441" s="11">
        <f t="shared" si="159"/>
        <v>0</v>
      </c>
      <c r="J6441" s="9"/>
      <c r="K6441" s="11"/>
      <c r="L6441" s="9"/>
      <c r="M6441" s="11"/>
      <c r="N6441" s="9" t="s">
        <v>804</v>
      </c>
    </row>
    <row r="6442" ht="25" customHeight="1" spans="1:14">
      <c r="A6442" s="9" t="s">
        <v>231</v>
      </c>
      <c r="B6442" s="9" t="s">
        <v>229</v>
      </c>
      <c r="C6442" s="10">
        <v>44670</v>
      </c>
      <c r="D6442" s="15">
        <v>1.1205</v>
      </c>
      <c r="E6442" s="15">
        <v>1.1205</v>
      </c>
      <c r="F6442" s="15">
        <v>1.1205</v>
      </c>
      <c r="G6442" s="11">
        <v>0.0004</v>
      </c>
      <c r="H6442" s="9">
        <f>MAX($F$6211:F6442)</f>
        <v>1.1205</v>
      </c>
      <c r="I6442" s="11">
        <f t="shared" si="159"/>
        <v>0</v>
      </c>
      <c r="J6442" s="9"/>
      <c r="K6442" s="11"/>
      <c r="L6442" s="9"/>
      <c r="M6442" s="11"/>
      <c r="N6442" s="9" t="s">
        <v>804</v>
      </c>
    </row>
    <row r="6443" ht="25" customHeight="1" spans="1:14">
      <c r="A6443" s="9" t="s">
        <v>231</v>
      </c>
      <c r="B6443" s="9" t="s">
        <v>229</v>
      </c>
      <c r="C6443" s="10">
        <v>44671</v>
      </c>
      <c r="D6443" s="15">
        <v>1.1214</v>
      </c>
      <c r="E6443" s="15">
        <v>1.1214</v>
      </c>
      <c r="F6443" s="15">
        <v>1.1214</v>
      </c>
      <c r="G6443" s="11">
        <v>0.0008</v>
      </c>
      <c r="H6443" s="9">
        <f>MAX($F$6211:F6443)</f>
        <v>1.1214</v>
      </c>
      <c r="I6443" s="11">
        <f t="shared" si="159"/>
        <v>0</v>
      </c>
      <c r="J6443" s="9"/>
      <c r="K6443" s="11"/>
      <c r="L6443" s="9"/>
      <c r="M6443" s="11"/>
      <c r="N6443" s="9" t="s">
        <v>804</v>
      </c>
    </row>
    <row r="6444" ht="25" customHeight="1" spans="1:14">
      <c r="A6444" s="9" t="s">
        <v>231</v>
      </c>
      <c r="B6444" s="9" t="s">
        <v>229</v>
      </c>
      <c r="C6444" s="10">
        <v>44672</v>
      </c>
      <c r="D6444" s="15">
        <v>1.1214</v>
      </c>
      <c r="E6444" s="15">
        <v>1.1214</v>
      </c>
      <c r="F6444" s="15">
        <v>1.1214</v>
      </c>
      <c r="G6444" s="11">
        <v>0</v>
      </c>
      <c r="H6444" s="9">
        <f>MAX($F$6211:F6444)</f>
        <v>1.1214</v>
      </c>
      <c r="I6444" s="11">
        <f t="shared" si="159"/>
        <v>0</v>
      </c>
      <c r="J6444" s="9"/>
      <c r="K6444" s="11"/>
      <c r="L6444" s="9"/>
      <c r="M6444" s="11"/>
      <c r="N6444" s="9" t="s">
        <v>804</v>
      </c>
    </row>
    <row r="6445" ht="25" customHeight="1" spans="1:14">
      <c r="A6445" s="9" t="s">
        <v>231</v>
      </c>
      <c r="B6445" s="9" t="s">
        <v>229</v>
      </c>
      <c r="C6445" s="10">
        <v>44673</v>
      </c>
      <c r="D6445" s="15">
        <v>1.1219</v>
      </c>
      <c r="E6445" s="15">
        <v>1.1219</v>
      </c>
      <c r="F6445" s="15">
        <v>1.1219</v>
      </c>
      <c r="G6445" s="11">
        <v>0.0004</v>
      </c>
      <c r="H6445" s="9">
        <f>MAX($F$6211:F6445)</f>
        <v>1.1219</v>
      </c>
      <c r="I6445" s="11">
        <f t="shared" si="159"/>
        <v>0</v>
      </c>
      <c r="J6445" s="9"/>
      <c r="K6445" s="11"/>
      <c r="L6445" s="9"/>
      <c r="M6445" s="11"/>
      <c r="N6445" s="9" t="s">
        <v>804</v>
      </c>
    </row>
    <row r="6446" ht="25" customHeight="1" spans="1:14">
      <c r="A6446" s="9" t="s">
        <v>231</v>
      </c>
      <c r="B6446" s="9" t="s">
        <v>229</v>
      </c>
      <c r="C6446" s="10">
        <v>44676</v>
      </c>
      <c r="D6446" s="15">
        <v>1.1221</v>
      </c>
      <c r="E6446" s="15">
        <v>1.1221</v>
      </c>
      <c r="F6446" s="15">
        <v>1.1221</v>
      </c>
      <c r="G6446" s="11">
        <v>0.0002</v>
      </c>
      <c r="H6446" s="9">
        <f>MAX($F$6211:F6446)</f>
        <v>1.1221</v>
      </c>
      <c r="I6446" s="11">
        <f t="shared" si="159"/>
        <v>0</v>
      </c>
      <c r="J6446" s="9"/>
      <c r="K6446" s="11"/>
      <c r="L6446" s="9"/>
      <c r="M6446" s="11"/>
      <c r="N6446" s="9" t="s">
        <v>804</v>
      </c>
    </row>
    <row r="6447" ht="25" customHeight="1" spans="1:14">
      <c r="A6447" s="9" t="s">
        <v>231</v>
      </c>
      <c r="B6447" s="9" t="s">
        <v>229</v>
      </c>
      <c r="C6447" s="10">
        <v>44677</v>
      </c>
      <c r="D6447" s="15">
        <v>1.1224</v>
      </c>
      <c r="E6447" s="15">
        <v>1.1224</v>
      </c>
      <c r="F6447" s="15">
        <v>1.1224</v>
      </c>
      <c r="G6447" s="11">
        <v>0.0003</v>
      </c>
      <c r="H6447" s="9">
        <f>MAX($F$6211:F6447)</f>
        <v>1.1224</v>
      </c>
      <c r="I6447" s="11">
        <f t="shared" si="159"/>
        <v>0</v>
      </c>
      <c r="J6447" s="9"/>
      <c r="K6447" s="11"/>
      <c r="L6447" s="9"/>
      <c r="M6447" s="11"/>
      <c r="N6447" s="9" t="s">
        <v>804</v>
      </c>
    </row>
    <row r="6448" ht="25" customHeight="1" spans="1:14">
      <c r="A6448" s="9" t="s">
        <v>231</v>
      </c>
      <c r="B6448" s="9" t="s">
        <v>229</v>
      </c>
      <c r="C6448" s="10">
        <v>44678</v>
      </c>
      <c r="D6448" s="15">
        <v>1.1225</v>
      </c>
      <c r="E6448" s="15">
        <v>1.1225</v>
      </c>
      <c r="F6448" s="15">
        <v>1.1225</v>
      </c>
      <c r="G6448" s="11">
        <v>0.0001</v>
      </c>
      <c r="H6448" s="9">
        <f>MAX($F$6211:F6448)</f>
        <v>1.1225</v>
      </c>
      <c r="I6448" s="11">
        <f t="shared" si="159"/>
        <v>0</v>
      </c>
      <c r="J6448" s="9"/>
      <c r="K6448" s="11"/>
      <c r="L6448" s="9"/>
      <c r="M6448" s="11"/>
      <c r="N6448" s="9" t="s">
        <v>804</v>
      </c>
    </row>
    <row r="6449" ht="25" customHeight="1" spans="1:14">
      <c r="A6449" s="9" t="s">
        <v>231</v>
      </c>
      <c r="B6449" s="9" t="s">
        <v>229</v>
      </c>
      <c r="C6449" s="10">
        <v>44679</v>
      </c>
      <c r="D6449" s="15">
        <v>1.1231</v>
      </c>
      <c r="E6449" s="15">
        <v>1.1231</v>
      </c>
      <c r="F6449" s="15">
        <v>1.1231</v>
      </c>
      <c r="G6449" s="11">
        <v>0.0005</v>
      </c>
      <c r="H6449" s="9">
        <f>MAX($F$6211:F6449)</f>
        <v>1.1231</v>
      </c>
      <c r="I6449" s="11">
        <f t="shared" si="159"/>
        <v>0</v>
      </c>
      <c r="J6449" s="9"/>
      <c r="K6449" s="11"/>
      <c r="L6449" s="9"/>
      <c r="M6449" s="11"/>
      <c r="N6449" s="9" t="s">
        <v>804</v>
      </c>
    </row>
    <row r="6450" ht="25" customHeight="1" spans="1:14">
      <c r="A6450" s="9" t="s">
        <v>231</v>
      </c>
      <c r="B6450" s="9" t="s">
        <v>229</v>
      </c>
      <c r="C6450" s="10">
        <v>44680</v>
      </c>
      <c r="D6450" s="15">
        <v>1.1234</v>
      </c>
      <c r="E6450" s="15">
        <v>1.1234</v>
      </c>
      <c r="F6450" s="15">
        <v>1.1234</v>
      </c>
      <c r="G6450" s="11">
        <v>0.0003</v>
      </c>
      <c r="H6450" s="9">
        <f>MAX($F$6211:F6450)</f>
        <v>1.1234</v>
      </c>
      <c r="I6450" s="11">
        <f t="shared" si="159"/>
        <v>0</v>
      </c>
      <c r="J6450" s="9"/>
      <c r="K6450" s="11"/>
      <c r="L6450" s="9"/>
      <c r="M6450" s="11"/>
      <c r="N6450" s="9" t="s">
        <v>804</v>
      </c>
    </row>
    <row r="6451" ht="25" customHeight="1" spans="1:14">
      <c r="A6451" s="9" t="s">
        <v>231</v>
      </c>
      <c r="B6451" s="9" t="s">
        <v>229</v>
      </c>
      <c r="C6451" s="10">
        <v>44686</v>
      </c>
      <c r="D6451" s="15">
        <v>1.1233</v>
      </c>
      <c r="E6451" s="15">
        <v>1.1233</v>
      </c>
      <c r="F6451" s="15">
        <v>1.1233</v>
      </c>
      <c r="G6451" s="11">
        <v>-0.0001</v>
      </c>
      <c r="H6451" s="9">
        <f>MAX($F$6211:F6451)</f>
        <v>1.1234</v>
      </c>
      <c r="I6451" s="11">
        <f t="shared" si="159"/>
        <v>8.9015488694999e-5</v>
      </c>
      <c r="J6451" s="9"/>
      <c r="K6451" s="11"/>
      <c r="L6451" s="9"/>
      <c r="M6451" s="11"/>
      <c r="N6451" s="9" t="s">
        <v>804</v>
      </c>
    </row>
    <row r="6452" ht="25" customHeight="1" spans="1:14">
      <c r="A6452" s="9" t="s">
        <v>231</v>
      </c>
      <c r="B6452" s="9" t="s">
        <v>229</v>
      </c>
      <c r="C6452" s="10">
        <v>44687</v>
      </c>
      <c r="D6452" s="15">
        <v>1.1234</v>
      </c>
      <c r="E6452" s="15">
        <v>1.1234</v>
      </c>
      <c r="F6452" s="15">
        <v>1.1234</v>
      </c>
      <c r="G6452" s="11">
        <v>0.0001</v>
      </c>
      <c r="H6452" s="9">
        <f>MAX($F$6211:F6452)</f>
        <v>1.1234</v>
      </c>
      <c r="I6452" s="11">
        <f t="shared" si="159"/>
        <v>0</v>
      </c>
      <c r="J6452" s="9"/>
      <c r="K6452" s="11"/>
      <c r="L6452" s="9"/>
      <c r="M6452" s="11"/>
      <c r="N6452" s="9" t="s">
        <v>804</v>
      </c>
    </row>
    <row r="6453" ht="25" customHeight="1" spans="1:14">
      <c r="A6453" s="9" t="s">
        <v>231</v>
      </c>
      <c r="B6453" s="9" t="s">
        <v>229</v>
      </c>
      <c r="C6453" s="10">
        <v>44690</v>
      </c>
      <c r="D6453" s="15">
        <v>1.1236</v>
      </c>
      <c r="E6453" s="15">
        <v>1.1236</v>
      </c>
      <c r="F6453" s="15">
        <v>1.1236</v>
      </c>
      <c r="G6453" s="11">
        <v>0.0002</v>
      </c>
      <c r="H6453" s="9">
        <f>MAX($F$6211:F6453)</f>
        <v>1.1236</v>
      </c>
      <c r="I6453" s="11">
        <f t="shared" si="159"/>
        <v>0</v>
      </c>
      <c r="J6453" s="9"/>
      <c r="K6453" s="11"/>
      <c r="L6453" s="9"/>
      <c r="M6453" s="11"/>
      <c r="N6453" s="9" t="s">
        <v>804</v>
      </c>
    </row>
    <row r="6454" ht="25" customHeight="1" spans="1:14">
      <c r="A6454" s="9" t="s">
        <v>231</v>
      </c>
      <c r="B6454" s="9" t="s">
        <v>229</v>
      </c>
      <c r="C6454" s="10">
        <v>44691</v>
      </c>
      <c r="D6454" s="15">
        <v>1.1237</v>
      </c>
      <c r="E6454" s="15">
        <v>1.1237</v>
      </c>
      <c r="F6454" s="15">
        <v>1.1237</v>
      </c>
      <c r="G6454" s="11">
        <v>0.0001</v>
      </c>
      <c r="H6454" s="9">
        <f>MAX($F$6211:F6454)</f>
        <v>1.1237</v>
      </c>
      <c r="I6454" s="11">
        <f t="shared" si="159"/>
        <v>0</v>
      </c>
      <c r="J6454" s="9"/>
      <c r="K6454" s="11"/>
      <c r="L6454" s="9"/>
      <c r="M6454" s="11"/>
      <c r="N6454" s="9" t="s">
        <v>804</v>
      </c>
    </row>
    <row r="6455" ht="25" customHeight="1" spans="1:14">
      <c r="A6455" s="9" t="s">
        <v>231</v>
      </c>
      <c r="B6455" s="9" t="s">
        <v>229</v>
      </c>
      <c r="C6455" s="10">
        <v>44692</v>
      </c>
      <c r="D6455" s="15">
        <v>1.1242</v>
      </c>
      <c r="E6455" s="15">
        <v>1.1242</v>
      </c>
      <c r="F6455" s="15">
        <v>1.1242</v>
      </c>
      <c r="G6455" s="11">
        <v>0.0004</v>
      </c>
      <c r="H6455" s="9">
        <f>MAX($F$6211:F6455)</f>
        <v>1.1242</v>
      </c>
      <c r="I6455" s="11">
        <f t="shared" si="159"/>
        <v>0</v>
      </c>
      <c r="J6455" s="9"/>
      <c r="K6455" s="11"/>
      <c r="L6455" s="9"/>
      <c r="M6455" s="11"/>
      <c r="N6455" s="9" t="s">
        <v>804</v>
      </c>
    </row>
    <row r="6456" ht="25" customHeight="1" spans="1:14">
      <c r="A6456" s="9" t="s">
        <v>231</v>
      </c>
      <c r="B6456" s="9" t="s">
        <v>229</v>
      </c>
      <c r="C6456" s="10">
        <v>44693</v>
      </c>
      <c r="D6456" s="15">
        <v>1.1245</v>
      </c>
      <c r="E6456" s="15">
        <v>1.1245</v>
      </c>
      <c r="F6456" s="15">
        <v>1.1245</v>
      </c>
      <c r="G6456" s="11">
        <v>0.0003</v>
      </c>
      <c r="H6456" s="9">
        <f>MAX($F$6211:F6456)</f>
        <v>1.1245</v>
      </c>
      <c r="I6456" s="11">
        <f t="shared" si="159"/>
        <v>0</v>
      </c>
      <c r="J6456" s="9"/>
      <c r="K6456" s="11"/>
      <c r="L6456" s="9"/>
      <c r="M6456" s="11"/>
      <c r="N6456" s="9" t="s">
        <v>804</v>
      </c>
    </row>
    <row r="6457" ht="25" customHeight="1" spans="1:14">
      <c r="A6457" s="9" t="s">
        <v>231</v>
      </c>
      <c r="B6457" s="9" t="s">
        <v>229</v>
      </c>
      <c r="C6457" s="10">
        <v>44694</v>
      </c>
      <c r="D6457" s="15">
        <v>1.125</v>
      </c>
      <c r="E6457" s="15">
        <v>1.125</v>
      </c>
      <c r="F6457" s="15">
        <v>1.125</v>
      </c>
      <c r="G6457" s="11">
        <v>0.0004</v>
      </c>
      <c r="H6457" s="9">
        <f>MAX($F$6211:F6457)</f>
        <v>1.125</v>
      </c>
      <c r="I6457" s="11">
        <f t="shared" si="159"/>
        <v>0</v>
      </c>
      <c r="J6457" s="9"/>
      <c r="K6457" s="11"/>
      <c r="L6457" s="9"/>
      <c r="M6457" s="11"/>
      <c r="N6457" s="9" t="s">
        <v>804</v>
      </c>
    </row>
    <row r="6458" ht="25" customHeight="1" spans="1:14">
      <c r="A6458" s="9" t="s">
        <v>231</v>
      </c>
      <c r="B6458" s="9" t="s">
        <v>229</v>
      </c>
      <c r="C6458" s="10">
        <v>44697</v>
      </c>
      <c r="D6458" s="15">
        <v>1.1251</v>
      </c>
      <c r="E6458" s="15">
        <v>1.1251</v>
      </c>
      <c r="F6458" s="15">
        <v>1.1251</v>
      </c>
      <c r="G6458" s="11">
        <v>0.0001</v>
      </c>
      <c r="H6458" s="9">
        <f>MAX($F$6211:F6458)</f>
        <v>1.1251</v>
      </c>
      <c r="I6458" s="11">
        <f t="shared" si="159"/>
        <v>0</v>
      </c>
      <c r="J6458" s="9"/>
      <c r="K6458" s="11"/>
      <c r="L6458" s="9"/>
      <c r="M6458" s="11"/>
      <c r="N6458" s="9" t="s">
        <v>804</v>
      </c>
    </row>
    <row r="6459" ht="25" customHeight="1" spans="1:14">
      <c r="A6459" s="9" t="s">
        <v>231</v>
      </c>
      <c r="B6459" s="9" t="s">
        <v>229</v>
      </c>
      <c r="C6459" s="10">
        <v>44698</v>
      </c>
      <c r="D6459" s="15">
        <v>1.1251</v>
      </c>
      <c r="E6459" s="15">
        <v>1.1251</v>
      </c>
      <c r="F6459" s="15">
        <v>1.1251</v>
      </c>
      <c r="G6459" s="11">
        <v>0</v>
      </c>
      <c r="H6459" s="9">
        <f>MAX($F$6211:F6459)</f>
        <v>1.1251</v>
      </c>
      <c r="I6459" s="11">
        <f t="shared" si="159"/>
        <v>0</v>
      </c>
      <c r="J6459" s="9"/>
      <c r="K6459" s="11"/>
      <c r="L6459" s="9"/>
      <c r="M6459" s="11"/>
      <c r="N6459" s="9" t="s">
        <v>804</v>
      </c>
    </row>
    <row r="6460" ht="25" customHeight="1" spans="1:14">
      <c r="A6460" s="9" t="s">
        <v>231</v>
      </c>
      <c r="B6460" s="9" t="s">
        <v>229</v>
      </c>
      <c r="C6460" s="10">
        <v>44699</v>
      </c>
      <c r="D6460" s="15">
        <v>1.1251</v>
      </c>
      <c r="E6460" s="15">
        <v>1.1251</v>
      </c>
      <c r="F6460" s="15">
        <v>1.1251</v>
      </c>
      <c r="G6460" s="11">
        <v>0</v>
      </c>
      <c r="H6460" s="9">
        <f>MAX($F$6211:F6460)</f>
        <v>1.1251</v>
      </c>
      <c r="I6460" s="11">
        <f t="shared" si="159"/>
        <v>0</v>
      </c>
      <c r="J6460" s="9"/>
      <c r="K6460" s="11"/>
      <c r="L6460" s="9"/>
      <c r="M6460" s="11"/>
      <c r="N6460" s="9" t="s">
        <v>804</v>
      </c>
    </row>
    <row r="6461" ht="25" customHeight="1" spans="1:14">
      <c r="A6461" s="9" t="s">
        <v>231</v>
      </c>
      <c r="B6461" s="9" t="s">
        <v>229</v>
      </c>
      <c r="C6461" s="10">
        <v>44700</v>
      </c>
      <c r="D6461" s="15">
        <v>1.1262</v>
      </c>
      <c r="E6461" s="15">
        <v>1.1262</v>
      </c>
      <c r="F6461" s="15">
        <v>1.1262</v>
      </c>
      <c r="G6461" s="11">
        <v>0.001</v>
      </c>
      <c r="H6461" s="9">
        <f>MAX($F$6211:F6461)</f>
        <v>1.1262</v>
      </c>
      <c r="I6461" s="11">
        <f t="shared" si="159"/>
        <v>0</v>
      </c>
      <c r="J6461" s="9"/>
      <c r="K6461" s="11"/>
      <c r="L6461" s="9"/>
      <c r="M6461" s="11"/>
      <c r="N6461" s="9" t="s">
        <v>804</v>
      </c>
    </row>
    <row r="6462" ht="25" customHeight="1" spans="1:14">
      <c r="A6462" s="9" t="s">
        <v>231</v>
      </c>
      <c r="B6462" s="9" t="s">
        <v>229</v>
      </c>
      <c r="C6462" s="10">
        <v>44701</v>
      </c>
      <c r="D6462" s="15">
        <v>1.1265</v>
      </c>
      <c r="E6462" s="15">
        <v>1.1265</v>
      </c>
      <c r="F6462" s="15">
        <v>1.1265</v>
      </c>
      <c r="G6462" s="11">
        <v>0.0003</v>
      </c>
      <c r="H6462" s="9">
        <f>MAX($F$6211:F6462)</f>
        <v>1.1265</v>
      </c>
      <c r="I6462" s="11">
        <f t="shared" si="159"/>
        <v>0</v>
      </c>
      <c r="J6462" s="9"/>
      <c r="K6462" s="11"/>
      <c r="L6462" s="9"/>
      <c r="M6462" s="11"/>
      <c r="N6462" s="9" t="s">
        <v>804</v>
      </c>
    </row>
    <row r="6463" ht="25" customHeight="1" spans="1:14">
      <c r="A6463" s="9" t="s">
        <v>231</v>
      </c>
      <c r="B6463" s="9" t="s">
        <v>229</v>
      </c>
      <c r="C6463" s="10">
        <v>44704</v>
      </c>
      <c r="D6463" s="15">
        <v>1.127</v>
      </c>
      <c r="E6463" s="15">
        <v>1.127</v>
      </c>
      <c r="F6463" s="15">
        <v>1.127</v>
      </c>
      <c r="G6463" s="11">
        <v>0.0004</v>
      </c>
      <c r="H6463" s="9">
        <f>MAX($F$6211:F6463)</f>
        <v>1.127</v>
      </c>
      <c r="I6463" s="11">
        <f t="shared" si="159"/>
        <v>0</v>
      </c>
      <c r="J6463" s="9"/>
      <c r="K6463" s="11"/>
      <c r="L6463" s="9"/>
      <c r="M6463" s="11"/>
      <c r="N6463" s="9" t="s">
        <v>804</v>
      </c>
    </row>
    <row r="6464" ht="25" customHeight="1" spans="1:14">
      <c r="A6464" s="9" t="s">
        <v>231</v>
      </c>
      <c r="B6464" s="9" t="s">
        <v>229</v>
      </c>
      <c r="C6464" s="10">
        <v>44705</v>
      </c>
      <c r="D6464" s="15">
        <v>1.1271</v>
      </c>
      <c r="E6464" s="15">
        <v>1.1271</v>
      </c>
      <c r="F6464" s="15">
        <v>1.1271</v>
      </c>
      <c r="G6464" s="11">
        <v>0.0001</v>
      </c>
      <c r="H6464" s="9">
        <f>MAX($F$6211:F6464)</f>
        <v>1.1271</v>
      </c>
      <c r="I6464" s="11">
        <f t="shared" si="159"/>
        <v>0</v>
      </c>
      <c r="J6464" s="9"/>
      <c r="K6464" s="11"/>
      <c r="L6464" s="9"/>
      <c r="M6464" s="11"/>
      <c r="N6464" s="9" t="s">
        <v>804</v>
      </c>
    </row>
    <row r="6465" ht="25" customHeight="1" spans="1:14">
      <c r="A6465" s="9" t="s">
        <v>231</v>
      </c>
      <c r="B6465" s="9" t="s">
        <v>229</v>
      </c>
      <c r="C6465" s="10">
        <v>44706</v>
      </c>
      <c r="D6465" s="15">
        <v>1.1272</v>
      </c>
      <c r="E6465" s="15">
        <v>1.1272</v>
      </c>
      <c r="F6465" s="15">
        <v>1.1272</v>
      </c>
      <c r="G6465" s="11">
        <v>0.0001</v>
      </c>
      <c r="H6465" s="9">
        <f>MAX($F$6211:F6465)</f>
        <v>1.1272</v>
      </c>
      <c r="I6465" s="11">
        <f t="shared" si="159"/>
        <v>0</v>
      </c>
      <c r="J6465" s="9"/>
      <c r="K6465" s="11"/>
      <c r="L6465" s="9"/>
      <c r="M6465" s="11"/>
      <c r="N6465" s="9" t="s">
        <v>804</v>
      </c>
    </row>
    <row r="6466" ht="25" customHeight="1" spans="1:14">
      <c r="A6466" s="9" t="s">
        <v>231</v>
      </c>
      <c r="B6466" s="9" t="s">
        <v>229</v>
      </c>
      <c r="C6466" s="10">
        <v>44707</v>
      </c>
      <c r="D6466" s="15">
        <v>1.1273</v>
      </c>
      <c r="E6466" s="15">
        <v>1.1273</v>
      </c>
      <c r="F6466" s="15">
        <v>1.1273</v>
      </c>
      <c r="G6466" s="11">
        <v>0.0001</v>
      </c>
      <c r="H6466" s="9">
        <f>MAX($F$6211:F6466)</f>
        <v>1.1273</v>
      </c>
      <c r="I6466" s="11">
        <f t="shared" ref="I6466:I6529" si="160">1-F6466/H6466</f>
        <v>0</v>
      </c>
      <c r="J6466" s="9"/>
      <c r="K6466" s="11"/>
      <c r="L6466" s="9"/>
      <c r="M6466" s="11"/>
      <c r="N6466" s="9" t="s">
        <v>804</v>
      </c>
    </row>
    <row r="6467" ht="25" customHeight="1" spans="1:14">
      <c r="A6467" s="9" t="s">
        <v>231</v>
      </c>
      <c r="B6467" s="9" t="s">
        <v>229</v>
      </c>
      <c r="C6467" s="10">
        <v>44708</v>
      </c>
      <c r="D6467" s="15">
        <v>1.1277</v>
      </c>
      <c r="E6467" s="15">
        <v>1.1277</v>
      </c>
      <c r="F6467" s="15">
        <v>1.1277</v>
      </c>
      <c r="G6467" s="11">
        <v>0.0004</v>
      </c>
      <c r="H6467" s="9">
        <f>MAX($F$6211:F6467)</f>
        <v>1.1277</v>
      </c>
      <c r="I6467" s="11">
        <f t="shared" si="160"/>
        <v>0</v>
      </c>
      <c r="J6467" s="9"/>
      <c r="K6467" s="11"/>
      <c r="L6467" s="9"/>
      <c r="M6467" s="11"/>
      <c r="N6467" s="9" t="s">
        <v>804</v>
      </c>
    </row>
    <row r="6468" ht="25" customHeight="1" spans="1:14">
      <c r="A6468" s="9" t="s">
        <v>231</v>
      </c>
      <c r="B6468" s="9" t="s">
        <v>229</v>
      </c>
      <c r="C6468" s="10">
        <v>44711</v>
      </c>
      <c r="D6468" s="15">
        <v>1.1278</v>
      </c>
      <c r="E6468" s="15">
        <v>1.1278</v>
      </c>
      <c r="F6468" s="15">
        <v>1.1278</v>
      </c>
      <c r="G6468" s="11">
        <v>0.0001</v>
      </c>
      <c r="H6468" s="9">
        <f>MAX($F$6211:F6468)</f>
        <v>1.1278</v>
      </c>
      <c r="I6468" s="11">
        <f t="shared" si="160"/>
        <v>0</v>
      </c>
      <c r="J6468" s="9"/>
      <c r="K6468" s="11"/>
      <c r="L6468" s="9"/>
      <c r="M6468" s="11"/>
      <c r="N6468" s="9" t="s">
        <v>804</v>
      </c>
    </row>
    <row r="6469" ht="25" customHeight="1" spans="1:14">
      <c r="A6469" s="9" t="s">
        <v>231</v>
      </c>
      <c r="B6469" s="9" t="s">
        <v>229</v>
      </c>
      <c r="C6469" s="10">
        <v>44712</v>
      </c>
      <c r="D6469" s="15">
        <v>1.1278</v>
      </c>
      <c r="E6469" s="15">
        <v>1.1278</v>
      </c>
      <c r="F6469" s="15">
        <v>1.1278</v>
      </c>
      <c r="G6469" s="11">
        <v>0</v>
      </c>
      <c r="H6469" s="9">
        <f>MAX($F$6211:F6469)</f>
        <v>1.1278</v>
      </c>
      <c r="I6469" s="11">
        <f t="shared" si="160"/>
        <v>0</v>
      </c>
      <c r="J6469" s="9"/>
      <c r="K6469" s="11"/>
      <c r="L6469" s="9"/>
      <c r="M6469" s="11"/>
      <c r="N6469" s="9" t="s">
        <v>804</v>
      </c>
    </row>
    <row r="6470" ht="25" customHeight="1" spans="1:14">
      <c r="A6470" s="9" t="s">
        <v>231</v>
      </c>
      <c r="B6470" s="9" t="s">
        <v>229</v>
      </c>
      <c r="C6470" s="10">
        <v>44713</v>
      </c>
      <c r="D6470" s="15">
        <v>1.1279</v>
      </c>
      <c r="E6470" s="15">
        <v>1.1279</v>
      </c>
      <c r="F6470" s="15">
        <v>1.1279</v>
      </c>
      <c r="G6470" s="11">
        <v>0.0001</v>
      </c>
      <c r="H6470" s="9">
        <f>MAX($F$6211:F6470)</f>
        <v>1.1279</v>
      </c>
      <c r="I6470" s="11">
        <f t="shared" si="160"/>
        <v>0</v>
      </c>
      <c r="J6470" s="9"/>
      <c r="K6470" s="11"/>
      <c r="L6470" s="9"/>
      <c r="M6470" s="11"/>
      <c r="N6470" s="9" t="s">
        <v>804</v>
      </c>
    </row>
    <row r="6471" ht="25" customHeight="1" spans="1:14">
      <c r="A6471" s="9" t="s">
        <v>231</v>
      </c>
      <c r="B6471" s="9" t="s">
        <v>229</v>
      </c>
      <c r="C6471" s="10">
        <v>44714</v>
      </c>
      <c r="D6471" s="15">
        <v>1.1279</v>
      </c>
      <c r="E6471" s="15">
        <v>1.1279</v>
      </c>
      <c r="F6471" s="15">
        <v>1.1279</v>
      </c>
      <c r="G6471" s="11">
        <v>0</v>
      </c>
      <c r="H6471" s="9">
        <f>MAX($F$6211:F6471)</f>
        <v>1.1279</v>
      </c>
      <c r="I6471" s="11">
        <f t="shared" si="160"/>
        <v>0</v>
      </c>
      <c r="J6471" s="9"/>
      <c r="K6471" s="11"/>
      <c r="L6471" s="9"/>
      <c r="M6471" s="11"/>
      <c r="N6471" s="9" t="s">
        <v>804</v>
      </c>
    </row>
    <row r="6472" ht="25" customHeight="1" spans="1:14">
      <c r="A6472" s="9" t="s">
        <v>231</v>
      </c>
      <c r="B6472" s="9" t="s">
        <v>229</v>
      </c>
      <c r="C6472" s="10">
        <v>44718</v>
      </c>
      <c r="D6472" s="15">
        <v>1.1281</v>
      </c>
      <c r="E6472" s="15">
        <v>1.1281</v>
      </c>
      <c r="F6472" s="15">
        <v>1.1281</v>
      </c>
      <c r="G6472" s="11">
        <v>0.0002</v>
      </c>
      <c r="H6472" s="9">
        <f>MAX($F$6211:F6472)</f>
        <v>1.1281</v>
      </c>
      <c r="I6472" s="11">
        <f t="shared" si="160"/>
        <v>0</v>
      </c>
      <c r="J6472" s="9"/>
      <c r="K6472" s="11"/>
      <c r="L6472" s="9"/>
      <c r="M6472" s="11"/>
      <c r="N6472" s="9" t="s">
        <v>804</v>
      </c>
    </row>
    <row r="6473" ht="25" customHeight="1" spans="1:14">
      <c r="A6473" s="9" t="s">
        <v>231</v>
      </c>
      <c r="B6473" s="9" t="s">
        <v>229</v>
      </c>
      <c r="C6473" s="10">
        <v>44719</v>
      </c>
      <c r="D6473" s="15">
        <v>1.1282</v>
      </c>
      <c r="E6473" s="15">
        <v>1.1282</v>
      </c>
      <c r="F6473" s="15">
        <v>1.1282</v>
      </c>
      <c r="G6473" s="11">
        <v>0.0001</v>
      </c>
      <c r="H6473" s="9">
        <f>MAX($F$6211:F6473)</f>
        <v>1.1282</v>
      </c>
      <c r="I6473" s="11">
        <f t="shared" si="160"/>
        <v>0</v>
      </c>
      <c r="J6473" s="9"/>
      <c r="K6473" s="11"/>
      <c r="L6473" s="9"/>
      <c r="M6473" s="11"/>
      <c r="N6473" s="9" t="s">
        <v>804</v>
      </c>
    </row>
    <row r="6474" ht="25" customHeight="1" spans="1:14">
      <c r="A6474" s="9" t="s">
        <v>231</v>
      </c>
      <c r="B6474" s="9" t="s">
        <v>229</v>
      </c>
      <c r="C6474" s="10">
        <v>44720</v>
      </c>
      <c r="D6474" s="15">
        <v>1.1284</v>
      </c>
      <c r="E6474" s="15">
        <v>1.1284</v>
      </c>
      <c r="F6474" s="15">
        <v>1.1284</v>
      </c>
      <c r="G6474" s="11">
        <v>0.0002</v>
      </c>
      <c r="H6474" s="9">
        <f>MAX($F$6211:F6474)</f>
        <v>1.1284</v>
      </c>
      <c r="I6474" s="11">
        <f t="shared" si="160"/>
        <v>0</v>
      </c>
      <c r="J6474" s="9"/>
      <c r="K6474" s="11"/>
      <c r="L6474" s="9"/>
      <c r="M6474" s="11"/>
      <c r="N6474" s="9" t="s">
        <v>804</v>
      </c>
    </row>
    <row r="6475" ht="25" customHeight="1" spans="1:14">
      <c r="A6475" s="9" t="s">
        <v>231</v>
      </c>
      <c r="B6475" s="9" t="s">
        <v>229</v>
      </c>
      <c r="C6475" s="10">
        <v>44721</v>
      </c>
      <c r="D6475" s="15">
        <v>1.1287</v>
      </c>
      <c r="E6475" s="15">
        <v>1.1287</v>
      </c>
      <c r="F6475" s="15">
        <v>1.1287</v>
      </c>
      <c r="G6475" s="11">
        <v>0.0003</v>
      </c>
      <c r="H6475" s="9">
        <f>MAX($F$6211:F6475)</f>
        <v>1.1287</v>
      </c>
      <c r="I6475" s="11">
        <f t="shared" si="160"/>
        <v>0</v>
      </c>
      <c r="J6475" s="9"/>
      <c r="K6475" s="11"/>
      <c r="L6475" s="9"/>
      <c r="M6475" s="11"/>
      <c r="N6475" s="9" t="s">
        <v>804</v>
      </c>
    </row>
    <row r="6476" ht="25" customHeight="1" spans="1:14">
      <c r="A6476" s="9" t="s">
        <v>231</v>
      </c>
      <c r="B6476" s="9" t="s">
        <v>229</v>
      </c>
      <c r="C6476" s="10">
        <v>44722</v>
      </c>
      <c r="D6476" s="15">
        <v>1.1289</v>
      </c>
      <c r="E6476" s="15">
        <v>1.1289</v>
      </c>
      <c r="F6476" s="15">
        <v>1.1289</v>
      </c>
      <c r="G6476" s="11">
        <v>0.0002</v>
      </c>
      <c r="H6476" s="9">
        <f>MAX($F$6211:F6476)</f>
        <v>1.1289</v>
      </c>
      <c r="I6476" s="11">
        <f t="shared" si="160"/>
        <v>0</v>
      </c>
      <c r="J6476" s="9"/>
      <c r="K6476" s="11"/>
      <c r="L6476" s="9"/>
      <c r="M6476" s="11"/>
      <c r="N6476" s="9" t="s">
        <v>804</v>
      </c>
    </row>
    <row r="6477" ht="25" customHeight="1" spans="1:14">
      <c r="A6477" s="9" t="s">
        <v>231</v>
      </c>
      <c r="B6477" s="9" t="s">
        <v>229</v>
      </c>
      <c r="C6477" s="10">
        <v>44725</v>
      </c>
      <c r="D6477" s="15">
        <v>1.1288</v>
      </c>
      <c r="E6477" s="15">
        <v>1.1288</v>
      </c>
      <c r="F6477" s="15">
        <v>1.1288</v>
      </c>
      <c r="G6477" s="11">
        <v>-0.0001</v>
      </c>
      <c r="H6477" s="9">
        <f>MAX($F$6211:F6477)</f>
        <v>1.1289</v>
      </c>
      <c r="I6477" s="11">
        <f t="shared" si="160"/>
        <v>8.85818052971388e-5</v>
      </c>
      <c r="J6477" s="9"/>
      <c r="K6477" s="11"/>
      <c r="L6477" s="9"/>
      <c r="M6477" s="11"/>
      <c r="N6477" s="9" t="s">
        <v>804</v>
      </c>
    </row>
    <row r="6478" ht="25" customHeight="1" spans="1:14">
      <c r="A6478" s="9" t="s">
        <v>231</v>
      </c>
      <c r="B6478" s="9" t="s">
        <v>229</v>
      </c>
      <c r="C6478" s="10">
        <v>44726</v>
      </c>
      <c r="D6478" s="15">
        <v>1.1291</v>
      </c>
      <c r="E6478" s="15">
        <v>1.1291</v>
      </c>
      <c r="F6478" s="15">
        <v>1.1291</v>
      </c>
      <c r="G6478" s="11">
        <v>0.0003</v>
      </c>
      <c r="H6478" s="9">
        <f>MAX($F$6211:F6478)</f>
        <v>1.1291</v>
      </c>
      <c r="I6478" s="11">
        <f t="shared" si="160"/>
        <v>0</v>
      </c>
      <c r="J6478" s="9"/>
      <c r="K6478" s="11"/>
      <c r="L6478" s="9"/>
      <c r="M6478" s="11"/>
      <c r="N6478" s="9" t="s">
        <v>804</v>
      </c>
    </row>
    <row r="6479" ht="25" customHeight="1" spans="1:14">
      <c r="A6479" s="9" t="s">
        <v>231</v>
      </c>
      <c r="B6479" s="9" t="s">
        <v>229</v>
      </c>
      <c r="C6479" s="10">
        <v>44727</v>
      </c>
      <c r="D6479" s="15">
        <v>1.1296</v>
      </c>
      <c r="E6479" s="15">
        <v>1.1296</v>
      </c>
      <c r="F6479" s="15">
        <v>1.1296</v>
      </c>
      <c r="G6479" s="11">
        <v>0.0004</v>
      </c>
      <c r="H6479" s="9">
        <f>MAX($F$6211:F6479)</f>
        <v>1.1296</v>
      </c>
      <c r="I6479" s="11">
        <f t="shared" si="160"/>
        <v>0</v>
      </c>
      <c r="J6479" s="9"/>
      <c r="K6479" s="11"/>
      <c r="L6479" s="9"/>
      <c r="M6479" s="11"/>
      <c r="N6479" s="9" t="s">
        <v>804</v>
      </c>
    </row>
    <row r="6480" ht="25" customHeight="1" spans="1:14">
      <c r="A6480" s="9" t="s">
        <v>231</v>
      </c>
      <c r="B6480" s="9" t="s">
        <v>229</v>
      </c>
      <c r="C6480" s="10">
        <v>44728</v>
      </c>
      <c r="D6480" s="15">
        <v>1.1298</v>
      </c>
      <c r="E6480" s="15">
        <v>1.1298</v>
      </c>
      <c r="F6480" s="15">
        <v>1.1298</v>
      </c>
      <c r="G6480" s="11">
        <v>0.0002</v>
      </c>
      <c r="H6480" s="9">
        <f>MAX($F$6211:F6480)</f>
        <v>1.1298</v>
      </c>
      <c r="I6480" s="11">
        <f t="shared" si="160"/>
        <v>0</v>
      </c>
      <c r="J6480" s="9"/>
      <c r="K6480" s="11"/>
      <c r="L6480" s="9"/>
      <c r="M6480" s="11"/>
      <c r="N6480" s="9" t="s">
        <v>804</v>
      </c>
    </row>
    <row r="6481" ht="25" customHeight="1" spans="1:14">
      <c r="A6481" s="9" t="s">
        <v>231</v>
      </c>
      <c r="B6481" s="9" t="s">
        <v>229</v>
      </c>
      <c r="C6481" s="10">
        <v>44729</v>
      </c>
      <c r="D6481" s="15">
        <v>1.1304</v>
      </c>
      <c r="E6481" s="15">
        <v>1.1304</v>
      </c>
      <c r="F6481" s="15">
        <v>1.1304</v>
      </c>
      <c r="G6481" s="11">
        <v>0.0005</v>
      </c>
      <c r="H6481" s="9">
        <f>MAX($F$6211:F6481)</f>
        <v>1.1304</v>
      </c>
      <c r="I6481" s="11">
        <f t="shared" si="160"/>
        <v>0</v>
      </c>
      <c r="J6481" s="9"/>
      <c r="K6481" s="11"/>
      <c r="L6481" s="9"/>
      <c r="M6481" s="11"/>
      <c r="N6481" s="9" t="s">
        <v>804</v>
      </c>
    </row>
    <row r="6482" ht="25" customHeight="1" spans="1:14">
      <c r="A6482" s="9" t="s">
        <v>231</v>
      </c>
      <c r="B6482" s="9" t="s">
        <v>229</v>
      </c>
      <c r="C6482" s="10">
        <v>44732</v>
      </c>
      <c r="D6482" s="15">
        <v>1.1313</v>
      </c>
      <c r="E6482" s="15">
        <v>1.1313</v>
      </c>
      <c r="F6482" s="15">
        <v>1.1313</v>
      </c>
      <c r="G6482" s="11">
        <v>0.0008</v>
      </c>
      <c r="H6482" s="9">
        <f>MAX($F$6211:F6482)</f>
        <v>1.1313</v>
      </c>
      <c r="I6482" s="11">
        <f t="shared" si="160"/>
        <v>0</v>
      </c>
      <c r="J6482" s="9"/>
      <c r="K6482" s="11"/>
      <c r="L6482" s="9"/>
      <c r="M6482" s="11"/>
      <c r="N6482" s="9" t="s">
        <v>804</v>
      </c>
    </row>
    <row r="6483" ht="25" customHeight="1" spans="1:14">
      <c r="A6483" s="9" t="s">
        <v>231</v>
      </c>
      <c r="B6483" s="9" t="s">
        <v>229</v>
      </c>
      <c r="C6483" s="10">
        <v>44733</v>
      </c>
      <c r="D6483" s="15">
        <v>1.1315</v>
      </c>
      <c r="E6483" s="15">
        <v>1.1315</v>
      </c>
      <c r="F6483" s="15">
        <v>1.1315</v>
      </c>
      <c r="G6483" s="11">
        <v>0.0002</v>
      </c>
      <c r="H6483" s="9">
        <f>MAX($F$6211:F6483)</f>
        <v>1.1315</v>
      </c>
      <c r="I6483" s="11">
        <f t="shared" si="160"/>
        <v>0</v>
      </c>
      <c r="J6483" s="9"/>
      <c r="K6483" s="11"/>
      <c r="L6483" s="9"/>
      <c r="M6483" s="11"/>
      <c r="N6483" s="9" t="s">
        <v>804</v>
      </c>
    </row>
    <row r="6484" ht="25" customHeight="1" spans="1:14">
      <c r="A6484" s="9" t="s">
        <v>231</v>
      </c>
      <c r="B6484" s="9" t="s">
        <v>229</v>
      </c>
      <c r="C6484" s="10">
        <v>44734</v>
      </c>
      <c r="D6484" s="15">
        <v>1.132</v>
      </c>
      <c r="E6484" s="15">
        <v>1.132</v>
      </c>
      <c r="F6484" s="15">
        <v>1.132</v>
      </c>
      <c r="G6484" s="11">
        <v>0.0004</v>
      </c>
      <c r="H6484" s="9">
        <f>MAX($F$6211:F6484)</f>
        <v>1.132</v>
      </c>
      <c r="I6484" s="11">
        <f t="shared" si="160"/>
        <v>0</v>
      </c>
      <c r="J6484" s="9"/>
      <c r="K6484" s="11"/>
      <c r="L6484" s="9"/>
      <c r="M6484" s="11"/>
      <c r="N6484" s="9" t="s">
        <v>804</v>
      </c>
    </row>
    <row r="6485" ht="25" customHeight="1" spans="1:14">
      <c r="A6485" s="9" t="s">
        <v>231</v>
      </c>
      <c r="B6485" s="9" t="s">
        <v>229</v>
      </c>
      <c r="C6485" s="10">
        <v>44735</v>
      </c>
      <c r="D6485" s="15">
        <v>1.1324</v>
      </c>
      <c r="E6485" s="15">
        <v>1.1324</v>
      </c>
      <c r="F6485" s="15">
        <v>1.1324</v>
      </c>
      <c r="G6485" s="11">
        <v>0.0004</v>
      </c>
      <c r="H6485" s="9">
        <f>MAX($F$6211:F6485)</f>
        <v>1.1324</v>
      </c>
      <c r="I6485" s="11">
        <f t="shared" si="160"/>
        <v>0</v>
      </c>
      <c r="J6485" s="9"/>
      <c r="K6485" s="11"/>
      <c r="L6485" s="9"/>
      <c r="M6485" s="11"/>
      <c r="N6485" s="9" t="s">
        <v>804</v>
      </c>
    </row>
    <row r="6486" ht="25" customHeight="1" spans="1:14">
      <c r="A6486" s="9" t="s">
        <v>231</v>
      </c>
      <c r="B6486" s="9" t="s">
        <v>229</v>
      </c>
      <c r="C6486" s="10">
        <v>44736</v>
      </c>
      <c r="D6486" s="15">
        <v>1.1338</v>
      </c>
      <c r="E6486" s="15">
        <v>1.1338</v>
      </c>
      <c r="F6486" s="15">
        <v>1.1338</v>
      </c>
      <c r="G6486" s="11">
        <v>0.0012</v>
      </c>
      <c r="H6486" s="9">
        <f>MAX($F$6211:F6486)</f>
        <v>1.1338</v>
      </c>
      <c r="I6486" s="11">
        <f t="shared" si="160"/>
        <v>0</v>
      </c>
      <c r="J6486" s="9"/>
      <c r="K6486" s="11"/>
      <c r="L6486" s="9"/>
      <c r="M6486" s="11"/>
      <c r="N6486" s="9" t="s">
        <v>804</v>
      </c>
    </row>
    <row r="6487" ht="25" customHeight="1" spans="1:14">
      <c r="A6487" s="9" t="s">
        <v>231</v>
      </c>
      <c r="B6487" s="9" t="s">
        <v>229</v>
      </c>
      <c r="C6487" s="10">
        <v>44739</v>
      </c>
      <c r="D6487" s="15">
        <v>1.1349</v>
      </c>
      <c r="E6487" s="15">
        <v>1.1349</v>
      </c>
      <c r="F6487" s="15">
        <v>1.1349</v>
      </c>
      <c r="G6487" s="11">
        <v>0.001</v>
      </c>
      <c r="H6487" s="9">
        <f>MAX($F$6211:F6487)</f>
        <v>1.1349</v>
      </c>
      <c r="I6487" s="11">
        <f t="shared" si="160"/>
        <v>0</v>
      </c>
      <c r="J6487" s="9"/>
      <c r="K6487" s="11"/>
      <c r="L6487" s="9"/>
      <c r="M6487" s="11"/>
      <c r="N6487" s="9" t="s">
        <v>804</v>
      </c>
    </row>
    <row r="6488" ht="25" customHeight="1" spans="1:14">
      <c r="A6488" s="9" t="s">
        <v>231</v>
      </c>
      <c r="B6488" s="9" t="s">
        <v>229</v>
      </c>
      <c r="C6488" s="10">
        <v>44740</v>
      </c>
      <c r="D6488" s="15">
        <v>1.1359</v>
      </c>
      <c r="E6488" s="15">
        <v>1.1359</v>
      </c>
      <c r="F6488" s="15">
        <v>1.1359</v>
      </c>
      <c r="G6488" s="11">
        <v>0.0009</v>
      </c>
      <c r="H6488" s="9">
        <f>MAX($F$6211:F6488)</f>
        <v>1.1359</v>
      </c>
      <c r="I6488" s="11">
        <f t="shared" si="160"/>
        <v>0</v>
      </c>
      <c r="J6488" s="9"/>
      <c r="K6488" s="11"/>
      <c r="L6488" s="9"/>
      <c r="M6488" s="11"/>
      <c r="N6488" s="9" t="s">
        <v>804</v>
      </c>
    </row>
    <row r="6489" ht="25" customHeight="1" spans="1:14">
      <c r="A6489" s="9" t="s">
        <v>231</v>
      </c>
      <c r="B6489" s="9" t="s">
        <v>229</v>
      </c>
      <c r="C6489" s="10">
        <v>44741</v>
      </c>
      <c r="D6489" s="15">
        <v>1.1371</v>
      </c>
      <c r="E6489" s="15">
        <v>1.1371</v>
      </c>
      <c r="F6489" s="15">
        <v>1.1371</v>
      </c>
      <c r="G6489" s="11">
        <v>0.0011</v>
      </c>
      <c r="H6489" s="9">
        <f>MAX($F$6211:F6489)</f>
        <v>1.1371</v>
      </c>
      <c r="I6489" s="11">
        <f t="shared" si="160"/>
        <v>0</v>
      </c>
      <c r="J6489" s="9"/>
      <c r="K6489" s="11"/>
      <c r="L6489" s="9"/>
      <c r="M6489" s="11"/>
      <c r="N6489" s="9" t="s">
        <v>804</v>
      </c>
    </row>
    <row r="6490" ht="25" customHeight="1" spans="1:14">
      <c r="A6490" s="9" t="s">
        <v>231</v>
      </c>
      <c r="B6490" s="9" t="s">
        <v>229</v>
      </c>
      <c r="C6490" s="10">
        <v>44742</v>
      </c>
      <c r="D6490" s="15">
        <v>1.1398</v>
      </c>
      <c r="E6490" s="15">
        <v>1.1398</v>
      </c>
      <c r="F6490" s="15">
        <v>1.1398</v>
      </c>
      <c r="G6490" s="11">
        <v>0.0024</v>
      </c>
      <c r="H6490" s="9">
        <f>MAX($F$6211:F6490)</f>
        <v>1.1398</v>
      </c>
      <c r="I6490" s="11">
        <f t="shared" si="160"/>
        <v>0</v>
      </c>
      <c r="J6490" s="9"/>
      <c r="K6490" s="11"/>
      <c r="L6490" s="9"/>
      <c r="M6490" s="11"/>
      <c r="N6490" s="9" t="s">
        <v>804</v>
      </c>
    </row>
    <row r="6491" ht="25" customHeight="1" spans="1:14">
      <c r="A6491" s="9" t="s">
        <v>231</v>
      </c>
      <c r="B6491" s="9" t="s">
        <v>229</v>
      </c>
      <c r="C6491" s="10">
        <v>44743</v>
      </c>
      <c r="D6491" s="15">
        <v>1.1404</v>
      </c>
      <c r="E6491" s="15">
        <v>1.1404</v>
      </c>
      <c r="F6491" s="15">
        <v>1.1404</v>
      </c>
      <c r="G6491" s="11">
        <v>0.0005</v>
      </c>
      <c r="H6491" s="9">
        <f>MAX($F$6211:F6491)</f>
        <v>1.1404</v>
      </c>
      <c r="I6491" s="11">
        <f t="shared" si="160"/>
        <v>0</v>
      </c>
      <c r="J6491" s="9"/>
      <c r="K6491" s="11"/>
      <c r="L6491" s="9"/>
      <c r="M6491" s="11"/>
      <c r="N6491" s="9" t="s">
        <v>804</v>
      </c>
    </row>
    <row r="6492" ht="25" customHeight="1" spans="1:14">
      <c r="A6492" s="9" t="s">
        <v>231</v>
      </c>
      <c r="B6492" s="9" t="s">
        <v>229</v>
      </c>
      <c r="C6492" s="10">
        <v>44746</v>
      </c>
      <c r="D6492" s="15">
        <v>1.141</v>
      </c>
      <c r="E6492" s="15">
        <v>1.141</v>
      </c>
      <c r="F6492" s="15">
        <v>1.141</v>
      </c>
      <c r="G6492" s="11">
        <v>0.0005</v>
      </c>
      <c r="H6492" s="9">
        <f>MAX($F$6211:F6492)</f>
        <v>1.141</v>
      </c>
      <c r="I6492" s="11">
        <f t="shared" si="160"/>
        <v>0</v>
      </c>
      <c r="J6492" s="9"/>
      <c r="K6492" s="11"/>
      <c r="L6492" s="9"/>
      <c r="M6492" s="11"/>
      <c r="N6492" s="9" t="s">
        <v>804</v>
      </c>
    </row>
    <row r="6493" ht="25" customHeight="1" spans="1:14">
      <c r="A6493" s="9" t="s">
        <v>231</v>
      </c>
      <c r="B6493" s="9" t="s">
        <v>229</v>
      </c>
      <c r="C6493" s="10">
        <v>44747</v>
      </c>
      <c r="D6493" s="15">
        <v>1.1409</v>
      </c>
      <c r="E6493" s="15">
        <v>1.1409</v>
      </c>
      <c r="F6493" s="15">
        <v>1.1409</v>
      </c>
      <c r="G6493" s="11">
        <v>-0.0001</v>
      </c>
      <c r="H6493" s="9">
        <f>MAX($F$6211:F6493)</f>
        <v>1.141</v>
      </c>
      <c r="I6493" s="11">
        <f t="shared" si="160"/>
        <v>8.76424189307778e-5</v>
      </c>
      <c r="J6493" s="9"/>
      <c r="K6493" s="11"/>
      <c r="L6493" s="9"/>
      <c r="M6493" s="11"/>
      <c r="N6493" s="9" t="s">
        <v>804</v>
      </c>
    </row>
    <row r="6494" ht="25" customHeight="1" spans="1:14">
      <c r="A6494" s="9" t="s">
        <v>231</v>
      </c>
      <c r="B6494" s="9" t="s">
        <v>229</v>
      </c>
      <c r="C6494" s="10">
        <v>44748</v>
      </c>
      <c r="D6494" s="15">
        <v>1.1426</v>
      </c>
      <c r="E6494" s="15">
        <v>1.1426</v>
      </c>
      <c r="F6494" s="15">
        <v>1.1426</v>
      </c>
      <c r="G6494" s="11">
        <v>0.0015</v>
      </c>
      <c r="H6494" s="9">
        <f>MAX($F$6211:F6494)</f>
        <v>1.1426</v>
      </c>
      <c r="I6494" s="11">
        <f t="shared" si="160"/>
        <v>0</v>
      </c>
      <c r="J6494" s="9"/>
      <c r="K6494" s="11"/>
      <c r="L6494" s="9"/>
      <c r="M6494" s="11"/>
      <c r="N6494" s="9" t="s">
        <v>804</v>
      </c>
    </row>
    <row r="6495" ht="25" customHeight="1" spans="1:14">
      <c r="A6495" s="9" t="s">
        <v>231</v>
      </c>
      <c r="B6495" s="9" t="s">
        <v>229</v>
      </c>
      <c r="C6495" s="10">
        <v>44749</v>
      </c>
      <c r="D6495" s="15">
        <v>1.1451</v>
      </c>
      <c r="E6495" s="15">
        <v>1.1451</v>
      </c>
      <c r="F6495" s="15">
        <v>1.1451</v>
      </c>
      <c r="G6495" s="11">
        <v>0.0022</v>
      </c>
      <c r="H6495" s="9">
        <f>MAX($F$6211:F6495)</f>
        <v>1.1451</v>
      </c>
      <c r="I6495" s="11">
        <f t="shared" si="160"/>
        <v>0</v>
      </c>
      <c r="J6495" s="9"/>
      <c r="K6495" s="11"/>
      <c r="L6495" s="9"/>
      <c r="M6495" s="11"/>
      <c r="N6495" s="9" t="s">
        <v>804</v>
      </c>
    </row>
    <row r="6496" ht="25" customHeight="1" spans="1:14">
      <c r="A6496" s="9" t="s">
        <v>231</v>
      </c>
      <c r="B6496" s="9" t="s">
        <v>229</v>
      </c>
      <c r="C6496" s="10">
        <v>44750</v>
      </c>
      <c r="D6496" s="15">
        <v>1.1457</v>
      </c>
      <c r="E6496" s="15">
        <v>1.1457</v>
      </c>
      <c r="F6496" s="15">
        <v>1.1457</v>
      </c>
      <c r="G6496" s="11">
        <v>0.0005</v>
      </c>
      <c r="H6496" s="9">
        <f>MAX($F$6211:F6496)</f>
        <v>1.1457</v>
      </c>
      <c r="I6496" s="11">
        <f t="shared" si="160"/>
        <v>0</v>
      </c>
      <c r="J6496" s="9"/>
      <c r="K6496" s="11"/>
      <c r="L6496" s="9"/>
      <c r="M6496" s="11"/>
      <c r="N6496" s="9" t="s">
        <v>804</v>
      </c>
    </row>
    <row r="6497" ht="25" customHeight="1" spans="1:14">
      <c r="A6497" s="9" t="s">
        <v>231</v>
      </c>
      <c r="B6497" s="9" t="s">
        <v>229</v>
      </c>
      <c r="C6497" s="10">
        <v>44753</v>
      </c>
      <c r="D6497" s="15">
        <v>1.1466</v>
      </c>
      <c r="E6497" s="15">
        <v>1.1466</v>
      </c>
      <c r="F6497" s="15">
        <v>1.1466</v>
      </c>
      <c r="G6497" s="11">
        <v>0.0008</v>
      </c>
      <c r="H6497" s="9">
        <f>MAX($F$6211:F6497)</f>
        <v>1.1466</v>
      </c>
      <c r="I6497" s="11">
        <f t="shared" si="160"/>
        <v>0</v>
      </c>
      <c r="J6497" s="9"/>
      <c r="K6497" s="11"/>
      <c r="L6497" s="9"/>
      <c r="M6497" s="11"/>
      <c r="N6497" s="9" t="s">
        <v>804</v>
      </c>
    </row>
    <row r="6498" ht="25" customHeight="1" spans="1:14">
      <c r="A6498" s="9" t="s">
        <v>231</v>
      </c>
      <c r="B6498" s="9" t="s">
        <v>229</v>
      </c>
      <c r="C6498" s="10">
        <v>44754</v>
      </c>
      <c r="D6498" s="15">
        <v>1.1554</v>
      </c>
      <c r="E6498" s="15">
        <v>1.1554</v>
      </c>
      <c r="F6498" s="15">
        <v>1.1554</v>
      </c>
      <c r="G6498" s="11">
        <v>0.0077</v>
      </c>
      <c r="H6498" s="9">
        <f>MAX($F$6211:F6498)</f>
        <v>1.1554</v>
      </c>
      <c r="I6498" s="11">
        <f t="shared" si="160"/>
        <v>0</v>
      </c>
      <c r="J6498" s="9"/>
      <c r="K6498" s="11"/>
      <c r="L6498" s="9"/>
      <c r="M6498" s="11"/>
      <c r="N6498" s="9" t="s">
        <v>804</v>
      </c>
    </row>
    <row r="6499" ht="25" customHeight="1" spans="1:14">
      <c r="A6499" s="9" t="s">
        <v>231</v>
      </c>
      <c r="B6499" s="9" t="s">
        <v>229</v>
      </c>
      <c r="C6499" s="10">
        <v>44755</v>
      </c>
      <c r="D6499" s="15">
        <v>1.1558</v>
      </c>
      <c r="E6499" s="15">
        <v>1.1558</v>
      </c>
      <c r="F6499" s="15">
        <v>1.1558</v>
      </c>
      <c r="G6499" s="11">
        <v>0.0003</v>
      </c>
      <c r="H6499" s="9">
        <f>MAX($F$6211:F6499)</f>
        <v>1.1558</v>
      </c>
      <c r="I6499" s="11">
        <f t="shared" si="160"/>
        <v>0</v>
      </c>
      <c r="J6499" s="9"/>
      <c r="K6499" s="11"/>
      <c r="L6499" s="9"/>
      <c r="M6499" s="11"/>
      <c r="N6499" s="9" t="s">
        <v>804</v>
      </c>
    </row>
    <row r="6500" ht="25" customHeight="1" spans="1:14">
      <c r="A6500" s="9" t="s">
        <v>231</v>
      </c>
      <c r="B6500" s="9" t="s">
        <v>229</v>
      </c>
      <c r="C6500" s="10">
        <v>44756</v>
      </c>
      <c r="D6500" s="15">
        <v>1.1685</v>
      </c>
      <c r="E6500" s="15">
        <v>1.1685</v>
      </c>
      <c r="F6500" s="15">
        <v>1.1685</v>
      </c>
      <c r="G6500" s="11">
        <v>0.011</v>
      </c>
      <c r="H6500" s="9">
        <f>MAX($F$6211:F6500)</f>
        <v>1.1685</v>
      </c>
      <c r="I6500" s="11">
        <f t="shared" si="160"/>
        <v>0</v>
      </c>
      <c r="J6500" s="9"/>
      <c r="K6500" s="11"/>
      <c r="L6500" s="9"/>
      <c r="M6500" s="11"/>
      <c r="N6500" s="9" t="s">
        <v>804</v>
      </c>
    </row>
    <row r="6501" ht="25" customHeight="1" spans="1:14">
      <c r="A6501" s="9" t="s">
        <v>231</v>
      </c>
      <c r="B6501" s="9" t="s">
        <v>229</v>
      </c>
      <c r="C6501" s="10">
        <v>44757</v>
      </c>
      <c r="D6501" s="15">
        <v>1.168</v>
      </c>
      <c r="E6501" s="15">
        <v>1.168</v>
      </c>
      <c r="F6501" s="15">
        <v>1.168</v>
      </c>
      <c r="G6501" s="11">
        <v>-0.0004</v>
      </c>
      <c r="H6501" s="9">
        <f>MAX($F$6211:F6501)</f>
        <v>1.1685</v>
      </c>
      <c r="I6501" s="11">
        <f t="shared" si="160"/>
        <v>0.0004278990158324</v>
      </c>
      <c r="J6501" s="9"/>
      <c r="K6501" s="11"/>
      <c r="L6501" s="9"/>
      <c r="M6501" s="11"/>
      <c r="N6501" s="9" t="s">
        <v>804</v>
      </c>
    </row>
    <row r="6502" ht="25" customHeight="1" spans="1:14">
      <c r="A6502" s="9" t="s">
        <v>231</v>
      </c>
      <c r="B6502" s="9" t="s">
        <v>229</v>
      </c>
      <c r="C6502" s="10">
        <v>44760</v>
      </c>
      <c r="D6502" s="15">
        <v>1.1688</v>
      </c>
      <c r="E6502" s="15">
        <v>1.1688</v>
      </c>
      <c r="F6502" s="15">
        <v>1.1688</v>
      </c>
      <c r="G6502" s="11">
        <v>0.0007</v>
      </c>
      <c r="H6502" s="9">
        <f>MAX($F$6211:F6502)</f>
        <v>1.1688</v>
      </c>
      <c r="I6502" s="11">
        <f t="shared" si="160"/>
        <v>0</v>
      </c>
      <c r="J6502" s="9"/>
      <c r="K6502" s="11"/>
      <c r="L6502" s="9"/>
      <c r="M6502" s="11"/>
      <c r="N6502" s="9" t="s">
        <v>804</v>
      </c>
    </row>
    <row r="6503" ht="25" customHeight="1" spans="1:14">
      <c r="A6503" s="9" t="s">
        <v>231</v>
      </c>
      <c r="B6503" s="9" t="s">
        <v>229</v>
      </c>
      <c r="C6503" s="10">
        <v>44761</v>
      </c>
      <c r="D6503" s="15">
        <v>1.1691</v>
      </c>
      <c r="E6503" s="15">
        <v>1.1691</v>
      </c>
      <c r="F6503" s="15">
        <v>1.1691</v>
      </c>
      <c r="G6503" s="11">
        <v>0.0003</v>
      </c>
      <c r="H6503" s="9">
        <f>MAX($F$6211:F6503)</f>
        <v>1.1691</v>
      </c>
      <c r="I6503" s="11">
        <f t="shared" si="160"/>
        <v>0</v>
      </c>
      <c r="J6503" s="9"/>
      <c r="K6503" s="11"/>
      <c r="L6503" s="9"/>
      <c r="M6503" s="11"/>
      <c r="N6503" s="9" t="s">
        <v>804</v>
      </c>
    </row>
    <row r="6504" ht="25" customHeight="1" spans="1:14">
      <c r="A6504" s="9" t="s">
        <v>231</v>
      </c>
      <c r="B6504" s="9" t="s">
        <v>229</v>
      </c>
      <c r="C6504" s="10">
        <v>44762</v>
      </c>
      <c r="D6504" s="15">
        <v>1.1696</v>
      </c>
      <c r="E6504" s="15">
        <v>1.1696</v>
      </c>
      <c r="F6504" s="15">
        <v>1.1696</v>
      </c>
      <c r="G6504" s="11">
        <v>0.0004</v>
      </c>
      <c r="H6504" s="9">
        <f>MAX($F$6211:F6504)</f>
        <v>1.1696</v>
      </c>
      <c r="I6504" s="11">
        <f t="shared" si="160"/>
        <v>0</v>
      </c>
      <c r="J6504" s="9"/>
      <c r="K6504" s="11"/>
      <c r="L6504" s="9"/>
      <c r="M6504" s="11"/>
      <c r="N6504" s="9" t="s">
        <v>804</v>
      </c>
    </row>
    <row r="6505" ht="25" customHeight="1" spans="1:14">
      <c r="A6505" s="9" t="s">
        <v>231</v>
      </c>
      <c r="B6505" s="9" t="s">
        <v>229</v>
      </c>
      <c r="C6505" s="10">
        <v>44763</v>
      </c>
      <c r="D6505" s="15">
        <v>1.1693</v>
      </c>
      <c r="E6505" s="15">
        <v>1.1693</v>
      </c>
      <c r="F6505" s="15">
        <v>1.1693</v>
      </c>
      <c r="G6505" s="11">
        <v>-0.0003</v>
      </c>
      <c r="H6505" s="9">
        <f>MAX($F$6211:F6505)</f>
        <v>1.1696</v>
      </c>
      <c r="I6505" s="11">
        <f t="shared" si="160"/>
        <v>0.00025649794801641</v>
      </c>
      <c r="J6505" s="9"/>
      <c r="K6505" s="11"/>
      <c r="L6505" s="9"/>
      <c r="M6505" s="11"/>
      <c r="N6505" s="9" t="s">
        <v>804</v>
      </c>
    </row>
    <row r="6506" ht="25" customHeight="1" spans="1:14">
      <c r="A6506" s="9" t="s">
        <v>231</v>
      </c>
      <c r="B6506" s="9" t="s">
        <v>229</v>
      </c>
      <c r="C6506" s="10">
        <v>44764</v>
      </c>
      <c r="D6506" s="15">
        <v>1.17</v>
      </c>
      <c r="E6506" s="15">
        <v>1.17</v>
      </c>
      <c r="F6506" s="15">
        <v>1.17</v>
      </c>
      <c r="G6506" s="11">
        <v>0.0006</v>
      </c>
      <c r="H6506" s="9">
        <f>MAX($F$6211:F6506)</f>
        <v>1.17</v>
      </c>
      <c r="I6506" s="11">
        <f t="shared" si="160"/>
        <v>0</v>
      </c>
      <c r="J6506" s="9"/>
      <c r="K6506" s="11"/>
      <c r="L6506" s="9"/>
      <c r="M6506" s="11"/>
      <c r="N6506" s="9" t="s">
        <v>804</v>
      </c>
    </row>
    <row r="6507" ht="25" customHeight="1" spans="1:14">
      <c r="A6507" s="9" t="s">
        <v>231</v>
      </c>
      <c r="B6507" s="9" t="s">
        <v>229</v>
      </c>
      <c r="C6507" s="10">
        <v>44767</v>
      </c>
      <c r="D6507" s="15">
        <v>1.1705</v>
      </c>
      <c r="E6507" s="15">
        <v>1.1705</v>
      </c>
      <c r="F6507" s="15">
        <v>1.1705</v>
      </c>
      <c r="G6507" s="11">
        <v>0.0004</v>
      </c>
      <c r="H6507" s="9">
        <f>MAX($F$6211:F6507)</f>
        <v>1.1705</v>
      </c>
      <c r="I6507" s="11">
        <f t="shared" si="160"/>
        <v>0</v>
      </c>
      <c r="J6507" s="9"/>
      <c r="K6507" s="11"/>
      <c r="L6507" s="9"/>
      <c r="M6507" s="11"/>
      <c r="N6507" s="9" t="s">
        <v>804</v>
      </c>
    </row>
    <row r="6508" ht="25" customHeight="1" spans="1:14">
      <c r="A6508" s="9" t="s">
        <v>231</v>
      </c>
      <c r="B6508" s="9" t="s">
        <v>229</v>
      </c>
      <c r="C6508" s="10">
        <v>44768</v>
      </c>
      <c r="D6508" s="15">
        <v>1.1732</v>
      </c>
      <c r="E6508" s="15">
        <v>1.1732</v>
      </c>
      <c r="F6508" s="15">
        <v>1.1732</v>
      </c>
      <c r="G6508" s="11">
        <v>0.0023</v>
      </c>
      <c r="H6508" s="9">
        <f>MAX($F$6211:F6508)</f>
        <v>1.1732</v>
      </c>
      <c r="I6508" s="11">
        <f t="shared" si="160"/>
        <v>0</v>
      </c>
      <c r="J6508" s="9"/>
      <c r="K6508" s="11"/>
      <c r="L6508" s="9"/>
      <c r="M6508" s="11"/>
      <c r="N6508" s="9" t="s">
        <v>804</v>
      </c>
    </row>
    <row r="6509" ht="25" customHeight="1" spans="1:14">
      <c r="A6509" s="9" t="s">
        <v>231</v>
      </c>
      <c r="B6509" s="9" t="s">
        <v>229</v>
      </c>
      <c r="C6509" s="10">
        <v>44769</v>
      </c>
      <c r="D6509" s="15">
        <v>1.1737</v>
      </c>
      <c r="E6509" s="15">
        <v>1.1737</v>
      </c>
      <c r="F6509" s="15">
        <v>1.1737</v>
      </c>
      <c r="G6509" s="11">
        <v>0.0004</v>
      </c>
      <c r="H6509" s="9">
        <f>MAX($F$6211:F6509)</f>
        <v>1.1737</v>
      </c>
      <c r="I6509" s="11">
        <f t="shared" si="160"/>
        <v>0</v>
      </c>
      <c r="J6509" s="9"/>
      <c r="K6509" s="11"/>
      <c r="L6509" s="9"/>
      <c r="M6509" s="11"/>
      <c r="N6509" s="9" t="s">
        <v>804</v>
      </c>
    </row>
    <row r="6510" ht="25" customHeight="1" spans="1:14">
      <c r="A6510" s="9" t="s">
        <v>231</v>
      </c>
      <c r="B6510" s="9" t="s">
        <v>229</v>
      </c>
      <c r="C6510" s="10">
        <v>44770</v>
      </c>
      <c r="D6510" s="15">
        <v>1.1733</v>
      </c>
      <c r="E6510" s="15">
        <v>1.1733</v>
      </c>
      <c r="F6510" s="15">
        <v>1.1733</v>
      </c>
      <c r="G6510" s="11">
        <v>-0.0003</v>
      </c>
      <c r="H6510" s="9">
        <f>MAX($F$6211:F6510)</f>
        <v>1.1737</v>
      </c>
      <c r="I6510" s="11">
        <f t="shared" si="160"/>
        <v>0.000340802590099609</v>
      </c>
      <c r="J6510" s="9"/>
      <c r="K6510" s="11"/>
      <c r="L6510" s="9"/>
      <c r="M6510" s="11"/>
      <c r="N6510" s="9" t="s">
        <v>804</v>
      </c>
    </row>
    <row r="6511" ht="25" customHeight="1" spans="1:14">
      <c r="A6511" s="9" t="s">
        <v>231</v>
      </c>
      <c r="B6511" s="9" t="s">
        <v>229</v>
      </c>
      <c r="C6511" s="10">
        <v>44771</v>
      </c>
      <c r="D6511" s="15">
        <v>1.1734</v>
      </c>
      <c r="E6511" s="15">
        <v>1.1734</v>
      </c>
      <c r="F6511" s="15">
        <v>1.1734</v>
      </c>
      <c r="G6511" s="11">
        <v>0.0001</v>
      </c>
      <c r="H6511" s="9">
        <f>MAX($F$6211:F6511)</f>
        <v>1.1737</v>
      </c>
      <c r="I6511" s="11">
        <f t="shared" si="160"/>
        <v>0.00025560194257479</v>
      </c>
      <c r="J6511" s="9"/>
      <c r="K6511" s="11"/>
      <c r="L6511" s="9"/>
      <c r="M6511" s="11"/>
      <c r="N6511" s="9" t="s">
        <v>804</v>
      </c>
    </row>
    <row r="6512" ht="25" customHeight="1" spans="1:14">
      <c r="A6512" s="9" t="s">
        <v>231</v>
      </c>
      <c r="B6512" s="9" t="s">
        <v>229</v>
      </c>
      <c r="C6512" s="10">
        <v>44774</v>
      </c>
      <c r="D6512" s="15">
        <v>1.1739</v>
      </c>
      <c r="E6512" s="15">
        <v>1.1739</v>
      </c>
      <c r="F6512" s="15">
        <v>1.1739</v>
      </c>
      <c r="G6512" s="11">
        <v>0.0004</v>
      </c>
      <c r="H6512" s="9">
        <f>MAX($F$6211:F6512)</f>
        <v>1.1739</v>
      </c>
      <c r="I6512" s="11">
        <f t="shared" si="160"/>
        <v>0</v>
      </c>
      <c r="J6512" s="9"/>
      <c r="K6512" s="11"/>
      <c r="L6512" s="9"/>
      <c r="M6512" s="11"/>
      <c r="N6512" s="9" t="s">
        <v>804</v>
      </c>
    </row>
    <row r="6513" ht="25" customHeight="1" spans="1:14">
      <c r="A6513" s="9" t="s">
        <v>231</v>
      </c>
      <c r="B6513" s="9" t="s">
        <v>229</v>
      </c>
      <c r="C6513" s="10">
        <v>44775</v>
      </c>
      <c r="D6513" s="15">
        <v>1.1746</v>
      </c>
      <c r="E6513" s="15">
        <v>1.1746</v>
      </c>
      <c r="F6513" s="15">
        <v>1.1746</v>
      </c>
      <c r="G6513" s="11">
        <v>0.0006</v>
      </c>
      <c r="H6513" s="9">
        <f>MAX($F$6211:F6513)</f>
        <v>1.1746</v>
      </c>
      <c r="I6513" s="11">
        <f t="shared" si="160"/>
        <v>0</v>
      </c>
      <c r="J6513" s="9"/>
      <c r="K6513" s="11"/>
      <c r="L6513" s="9"/>
      <c r="M6513" s="11"/>
      <c r="N6513" s="9" t="s">
        <v>804</v>
      </c>
    </row>
    <row r="6514" ht="25" customHeight="1" spans="1:14">
      <c r="A6514" s="9" t="s">
        <v>231</v>
      </c>
      <c r="B6514" s="9" t="s">
        <v>229</v>
      </c>
      <c r="C6514" s="10">
        <v>44776</v>
      </c>
      <c r="D6514" s="15">
        <v>1.1748</v>
      </c>
      <c r="E6514" s="15">
        <v>1.1748</v>
      </c>
      <c r="F6514" s="15">
        <v>1.1748</v>
      </c>
      <c r="G6514" s="11">
        <v>0.0002</v>
      </c>
      <c r="H6514" s="9">
        <f>MAX($F$6211:F6514)</f>
        <v>1.1748</v>
      </c>
      <c r="I6514" s="11">
        <f t="shared" si="160"/>
        <v>0</v>
      </c>
      <c r="J6514" s="9"/>
      <c r="K6514" s="11"/>
      <c r="L6514" s="9"/>
      <c r="M6514" s="11"/>
      <c r="N6514" s="9" t="s">
        <v>804</v>
      </c>
    </row>
    <row r="6515" ht="25" customHeight="1" spans="1:14">
      <c r="A6515" s="9" t="s">
        <v>231</v>
      </c>
      <c r="B6515" s="9" t="s">
        <v>229</v>
      </c>
      <c r="C6515" s="10">
        <v>44777</v>
      </c>
      <c r="D6515" s="15">
        <v>1.1761</v>
      </c>
      <c r="E6515" s="15">
        <v>1.1761</v>
      </c>
      <c r="F6515" s="15">
        <v>1.1761</v>
      </c>
      <c r="G6515" s="11">
        <v>0.0011</v>
      </c>
      <c r="H6515" s="9">
        <f>MAX($F$6211:F6515)</f>
        <v>1.1761</v>
      </c>
      <c r="I6515" s="11">
        <f t="shared" si="160"/>
        <v>0</v>
      </c>
      <c r="J6515" s="9"/>
      <c r="K6515" s="11"/>
      <c r="L6515" s="9"/>
      <c r="M6515" s="11"/>
      <c r="N6515" s="9" t="s">
        <v>804</v>
      </c>
    </row>
    <row r="6516" ht="25" customHeight="1" spans="1:14">
      <c r="A6516" s="9" t="s">
        <v>231</v>
      </c>
      <c r="B6516" s="9" t="s">
        <v>229</v>
      </c>
      <c r="C6516" s="10">
        <v>44778</v>
      </c>
      <c r="D6516" s="15">
        <v>1.1775</v>
      </c>
      <c r="E6516" s="15">
        <v>1.1775</v>
      </c>
      <c r="F6516" s="15">
        <v>1.1775</v>
      </c>
      <c r="G6516" s="11">
        <v>0.0012</v>
      </c>
      <c r="H6516" s="9">
        <f>MAX($F$6211:F6516)</f>
        <v>1.1775</v>
      </c>
      <c r="I6516" s="11">
        <f t="shared" si="160"/>
        <v>0</v>
      </c>
      <c r="J6516" s="9"/>
      <c r="K6516" s="11"/>
      <c r="L6516" s="9"/>
      <c r="M6516" s="11"/>
      <c r="N6516" s="9" t="s">
        <v>804</v>
      </c>
    </row>
    <row r="6517" ht="25" customHeight="1" spans="1:14">
      <c r="A6517" s="9" t="s">
        <v>231</v>
      </c>
      <c r="B6517" s="9" t="s">
        <v>229</v>
      </c>
      <c r="C6517" s="10">
        <v>44781</v>
      </c>
      <c r="D6517" s="15">
        <v>1.1779</v>
      </c>
      <c r="E6517" s="15">
        <v>1.1779</v>
      </c>
      <c r="F6517" s="15">
        <v>1.1779</v>
      </c>
      <c r="G6517" s="11">
        <v>0.0003</v>
      </c>
      <c r="H6517" s="9">
        <f>MAX($F$6211:F6517)</f>
        <v>1.1779</v>
      </c>
      <c r="I6517" s="11">
        <f t="shared" si="160"/>
        <v>0</v>
      </c>
      <c r="J6517" s="9"/>
      <c r="K6517" s="11"/>
      <c r="L6517" s="9"/>
      <c r="M6517" s="11"/>
      <c r="N6517" s="9" t="s">
        <v>804</v>
      </c>
    </row>
    <row r="6518" ht="25" customHeight="1" spans="1:14">
      <c r="A6518" s="9" t="s">
        <v>231</v>
      </c>
      <c r="B6518" s="9" t="s">
        <v>229</v>
      </c>
      <c r="C6518" s="10">
        <v>44782</v>
      </c>
      <c r="D6518" s="15">
        <v>1.1785</v>
      </c>
      <c r="E6518" s="15">
        <v>1.1785</v>
      </c>
      <c r="F6518" s="15">
        <v>1.1785</v>
      </c>
      <c r="G6518" s="11">
        <v>0.0005</v>
      </c>
      <c r="H6518" s="9">
        <f>MAX($F$6211:F6518)</f>
        <v>1.1785</v>
      </c>
      <c r="I6518" s="11">
        <f t="shared" si="160"/>
        <v>0</v>
      </c>
      <c r="J6518" s="9"/>
      <c r="K6518" s="11"/>
      <c r="L6518" s="9"/>
      <c r="M6518" s="11"/>
      <c r="N6518" s="9" t="s">
        <v>804</v>
      </c>
    </row>
    <row r="6519" ht="25" customHeight="1" spans="1:14">
      <c r="A6519" s="9" t="s">
        <v>231</v>
      </c>
      <c r="B6519" s="9" t="s">
        <v>229</v>
      </c>
      <c r="C6519" s="10">
        <v>44783</v>
      </c>
      <c r="D6519" s="15">
        <v>1.1782</v>
      </c>
      <c r="E6519" s="15">
        <v>1.1782</v>
      </c>
      <c r="F6519" s="15">
        <v>1.1782</v>
      </c>
      <c r="G6519" s="11">
        <v>-0.0003</v>
      </c>
      <c r="H6519" s="9">
        <f>MAX($F$6211:F6519)</f>
        <v>1.1785</v>
      </c>
      <c r="I6519" s="11">
        <f t="shared" si="160"/>
        <v>0.000254560882477883</v>
      </c>
      <c r="J6519" s="9"/>
      <c r="K6519" s="11"/>
      <c r="L6519" s="9"/>
      <c r="M6519" s="11"/>
      <c r="N6519" s="9" t="s">
        <v>804</v>
      </c>
    </row>
    <row r="6520" ht="25" customHeight="1" spans="1:14">
      <c r="A6520" s="9" t="s">
        <v>231</v>
      </c>
      <c r="B6520" s="9" t="s">
        <v>229</v>
      </c>
      <c r="C6520" s="10">
        <v>44784</v>
      </c>
      <c r="D6520" s="15">
        <v>1.1783</v>
      </c>
      <c r="E6520" s="15">
        <v>1.1783</v>
      </c>
      <c r="F6520" s="15">
        <v>1.1783</v>
      </c>
      <c r="G6520" s="11">
        <v>0.0001</v>
      </c>
      <c r="H6520" s="9">
        <f>MAX($F$6211:F6520)</f>
        <v>1.1785</v>
      </c>
      <c r="I6520" s="11">
        <f t="shared" si="160"/>
        <v>0.00016970725498533</v>
      </c>
      <c r="J6520" s="9"/>
      <c r="K6520" s="11"/>
      <c r="L6520" s="9"/>
      <c r="M6520" s="11"/>
      <c r="N6520" s="9" t="s">
        <v>804</v>
      </c>
    </row>
    <row r="6521" ht="25" customHeight="1" spans="1:14">
      <c r="A6521" s="9" t="s">
        <v>231</v>
      </c>
      <c r="B6521" s="9" t="s">
        <v>229</v>
      </c>
      <c r="C6521" s="10">
        <v>44785</v>
      </c>
      <c r="D6521" s="15">
        <v>1.1785</v>
      </c>
      <c r="E6521" s="15">
        <v>1.1785</v>
      </c>
      <c r="F6521" s="15">
        <v>1.1785</v>
      </c>
      <c r="G6521" s="11">
        <v>0.0002</v>
      </c>
      <c r="H6521" s="9">
        <f>MAX($F$6211:F6521)</f>
        <v>1.1785</v>
      </c>
      <c r="I6521" s="11">
        <f t="shared" si="160"/>
        <v>0</v>
      </c>
      <c r="J6521" s="9"/>
      <c r="K6521" s="11"/>
      <c r="L6521" s="9"/>
      <c r="M6521" s="11"/>
      <c r="N6521" s="9" t="s">
        <v>804</v>
      </c>
    </row>
    <row r="6522" ht="25" customHeight="1" spans="1:14">
      <c r="A6522" s="9" t="s">
        <v>231</v>
      </c>
      <c r="B6522" s="9" t="s">
        <v>229</v>
      </c>
      <c r="C6522" s="10">
        <v>44788</v>
      </c>
      <c r="D6522" s="15">
        <v>1.1786</v>
      </c>
      <c r="E6522" s="15">
        <v>1.1786</v>
      </c>
      <c r="F6522" s="15">
        <v>1.1786</v>
      </c>
      <c r="G6522" s="11">
        <v>0.0001</v>
      </c>
      <c r="H6522" s="9">
        <f>MAX($F$6211:F6522)</f>
        <v>1.1786</v>
      </c>
      <c r="I6522" s="11">
        <f t="shared" si="160"/>
        <v>0</v>
      </c>
      <c r="J6522" s="9"/>
      <c r="K6522" s="11"/>
      <c r="L6522" s="9"/>
      <c r="M6522" s="11"/>
      <c r="N6522" s="9" t="s">
        <v>804</v>
      </c>
    </row>
    <row r="6523" ht="25" customHeight="1" spans="1:14">
      <c r="A6523" s="9" t="s">
        <v>231</v>
      </c>
      <c r="B6523" s="9" t="s">
        <v>229</v>
      </c>
      <c r="C6523" s="10">
        <v>44789</v>
      </c>
      <c r="D6523" s="15">
        <v>1.1789</v>
      </c>
      <c r="E6523" s="15">
        <v>1.1789</v>
      </c>
      <c r="F6523" s="15">
        <v>1.1789</v>
      </c>
      <c r="G6523" s="11">
        <v>0.0003</v>
      </c>
      <c r="H6523" s="9">
        <f>MAX($F$6211:F6523)</f>
        <v>1.1789</v>
      </c>
      <c r="I6523" s="11">
        <f t="shared" si="160"/>
        <v>0</v>
      </c>
      <c r="J6523" s="9"/>
      <c r="K6523" s="11"/>
      <c r="L6523" s="9"/>
      <c r="M6523" s="11"/>
      <c r="N6523" s="9" t="s">
        <v>804</v>
      </c>
    </row>
    <row r="6524" ht="25" customHeight="1" spans="1:14">
      <c r="A6524" s="9" t="s">
        <v>231</v>
      </c>
      <c r="B6524" s="9" t="s">
        <v>229</v>
      </c>
      <c r="C6524" s="10">
        <v>44790</v>
      </c>
      <c r="D6524" s="15">
        <v>1.1788</v>
      </c>
      <c r="E6524" s="15">
        <v>1.1788</v>
      </c>
      <c r="F6524" s="15">
        <v>1.1788</v>
      </c>
      <c r="G6524" s="11">
        <v>-0.0001</v>
      </c>
      <c r="H6524" s="9">
        <f>MAX($F$6211:F6524)</f>
        <v>1.1789</v>
      </c>
      <c r="I6524" s="11">
        <f t="shared" si="160"/>
        <v>8.48248367121274e-5</v>
      </c>
      <c r="J6524" s="9"/>
      <c r="K6524" s="11"/>
      <c r="L6524" s="9"/>
      <c r="M6524" s="11"/>
      <c r="N6524" s="9" t="s">
        <v>804</v>
      </c>
    </row>
    <row r="6525" ht="25" customHeight="1" spans="1:14">
      <c r="A6525" s="9" t="s">
        <v>231</v>
      </c>
      <c r="B6525" s="9" t="s">
        <v>229</v>
      </c>
      <c r="C6525" s="10">
        <v>44791</v>
      </c>
      <c r="D6525" s="15">
        <v>1.1802</v>
      </c>
      <c r="E6525" s="15">
        <v>1.1802</v>
      </c>
      <c r="F6525" s="15">
        <v>1.1802</v>
      </c>
      <c r="G6525" s="11">
        <v>0.0012</v>
      </c>
      <c r="H6525" s="9">
        <f>MAX($F$6211:F6525)</f>
        <v>1.1802</v>
      </c>
      <c r="I6525" s="11">
        <f t="shared" si="160"/>
        <v>0</v>
      </c>
      <c r="J6525" s="9"/>
      <c r="K6525" s="11"/>
      <c r="L6525" s="9"/>
      <c r="M6525" s="11"/>
      <c r="N6525" s="9" t="s">
        <v>804</v>
      </c>
    </row>
    <row r="6526" ht="25" customHeight="1" spans="1:14">
      <c r="A6526" s="9" t="s">
        <v>231</v>
      </c>
      <c r="B6526" s="9" t="s">
        <v>229</v>
      </c>
      <c r="C6526" s="10">
        <v>44792</v>
      </c>
      <c r="D6526" s="15">
        <v>1.1808</v>
      </c>
      <c r="E6526" s="15">
        <v>1.1808</v>
      </c>
      <c r="F6526" s="15">
        <v>1.1808</v>
      </c>
      <c r="G6526" s="11">
        <v>0.0005</v>
      </c>
      <c r="H6526" s="9">
        <f>MAX($F$6211:F6526)</f>
        <v>1.1808</v>
      </c>
      <c r="I6526" s="11">
        <f t="shared" si="160"/>
        <v>0</v>
      </c>
      <c r="J6526" s="9"/>
      <c r="K6526" s="11"/>
      <c r="L6526" s="9"/>
      <c r="M6526" s="11"/>
      <c r="N6526" s="9" t="s">
        <v>804</v>
      </c>
    </row>
    <row r="6527" ht="25" customHeight="1" spans="1:14">
      <c r="A6527" s="9" t="s">
        <v>231</v>
      </c>
      <c r="B6527" s="9" t="s">
        <v>229</v>
      </c>
      <c r="C6527" s="10">
        <v>44795</v>
      </c>
      <c r="D6527" s="15">
        <v>1.1809</v>
      </c>
      <c r="E6527" s="15">
        <v>1.1809</v>
      </c>
      <c r="F6527" s="15">
        <v>1.1809</v>
      </c>
      <c r="G6527" s="11">
        <v>0.0001</v>
      </c>
      <c r="H6527" s="9">
        <f>MAX($F$6211:F6527)</f>
        <v>1.1809</v>
      </c>
      <c r="I6527" s="11">
        <f t="shared" si="160"/>
        <v>0</v>
      </c>
      <c r="J6527" s="9"/>
      <c r="K6527" s="11"/>
      <c r="L6527" s="9"/>
      <c r="M6527" s="11"/>
      <c r="N6527" s="9" t="s">
        <v>804</v>
      </c>
    </row>
    <row r="6528" ht="25" customHeight="1" spans="1:14">
      <c r="A6528" s="9" t="s">
        <v>231</v>
      </c>
      <c r="B6528" s="9" t="s">
        <v>229</v>
      </c>
      <c r="C6528" s="10">
        <v>44796</v>
      </c>
      <c r="D6528" s="15">
        <v>1.1815</v>
      </c>
      <c r="E6528" s="15">
        <v>1.1815</v>
      </c>
      <c r="F6528" s="15">
        <v>1.1815</v>
      </c>
      <c r="G6528" s="11">
        <v>0.0005</v>
      </c>
      <c r="H6528" s="9">
        <f>MAX($F$6211:F6528)</f>
        <v>1.1815</v>
      </c>
      <c r="I6528" s="11">
        <f t="shared" si="160"/>
        <v>0</v>
      </c>
      <c r="J6528" s="9"/>
      <c r="K6528" s="11"/>
      <c r="L6528" s="9"/>
      <c r="M6528" s="11"/>
      <c r="N6528" s="9" t="s">
        <v>804</v>
      </c>
    </row>
    <row r="6529" ht="25" customHeight="1" spans="1:14">
      <c r="A6529" s="9" t="s">
        <v>231</v>
      </c>
      <c r="B6529" s="9" t="s">
        <v>229</v>
      </c>
      <c r="C6529" s="10">
        <v>44797</v>
      </c>
      <c r="D6529" s="15">
        <v>1.1815</v>
      </c>
      <c r="E6529" s="15">
        <v>1.1815</v>
      </c>
      <c r="F6529" s="15">
        <v>1.1815</v>
      </c>
      <c r="G6529" s="11">
        <v>0</v>
      </c>
      <c r="H6529" s="9">
        <f>MAX($F$6211:F6529)</f>
        <v>1.1815</v>
      </c>
      <c r="I6529" s="11">
        <f t="shared" si="160"/>
        <v>0</v>
      </c>
      <c r="J6529" s="9"/>
      <c r="K6529" s="11"/>
      <c r="L6529" s="9"/>
      <c r="M6529" s="11"/>
      <c r="N6529" s="9" t="s">
        <v>804</v>
      </c>
    </row>
    <row r="6530" ht="25" customHeight="1" spans="1:14">
      <c r="A6530" s="9" t="s">
        <v>231</v>
      </c>
      <c r="B6530" s="9" t="s">
        <v>229</v>
      </c>
      <c r="C6530" s="10">
        <v>44798</v>
      </c>
      <c r="D6530" s="15">
        <v>1.1815</v>
      </c>
      <c r="E6530" s="15">
        <v>1.1815</v>
      </c>
      <c r="F6530" s="15">
        <v>1.1815</v>
      </c>
      <c r="G6530" s="11">
        <v>0</v>
      </c>
      <c r="H6530" s="9">
        <f>MAX($F$6211:F6530)</f>
        <v>1.1815</v>
      </c>
      <c r="I6530" s="11">
        <f t="shared" ref="I6530:I6593" si="161">1-F6530/H6530</f>
        <v>0</v>
      </c>
      <c r="J6530" s="9"/>
      <c r="K6530" s="11"/>
      <c r="L6530" s="9"/>
      <c r="M6530" s="11"/>
      <c r="N6530" s="9" t="s">
        <v>804</v>
      </c>
    </row>
    <row r="6531" ht="25" customHeight="1" spans="1:14">
      <c r="A6531" s="9" t="s">
        <v>231</v>
      </c>
      <c r="B6531" s="9" t="s">
        <v>229</v>
      </c>
      <c r="C6531" s="10">
        <v>44799</v>
      </c>
      <c r="D6531" s="15">
        <v>1.1819</v>
      </c>
      <c r="E6531" s="15">
        <v>1.1819</v>
      </c>
      <c r="F6531" s="15">
        <v>1.1819</v>
      </c>
      <c r="G6531" s="11">
        <v>0.0003</v>
      </c>
      <c r="H6531" s="9">
        <f>MAX($F$6211:F6531)</f>
        <v>1.1819</v>
      </c>
      <c r="I6531" s="11">
        <f t="shared" si="161"/>
        <v>0</v>
      </c>
      <c r="J6531" s="9"/>
      <c r="K6531" s="11"/>
      <c r="L6531" s="9"/>
      <c r="M6531" s="11"/>
      <c r="N6531" s="9" t="s">
        <v>804</v>
      </c>
    </row>
    <row r="6532" ht="25" customHeight="1" spans="1:14">
      <c r="A6532" s="9" t="s">
        <v>231</v>
      </c>
      <c r="B6532" s="9" t="s">
        <v>229</v>
      </c>
      <c r="C6532" s="10">
        <v>44802</v>
      </c>
      <c r="D6532" s="15">
        <v>1.182</v>
      </c>
      <c r="E6532" s="15">
        <v>1.182</v>
      </c>
      <c r="F6532" s="15">
        <v>1.182</v>
      </c>
      <c r="G6532" s="11">
        <v>0.0001</v>
      </c>
      <c r="H6532" s="9">
        <f>MAX($F$6211:F6532)</f>
        <v>1.182</v>
      </c>
      <c r="I6532" s="11">
        <f t="shared" si="161"/>
        <v>0</v>
      </c>
      <c r="J6532" s="9"/>
      <c r="K6532" s="11"/>
      <c r="L6532" s="9"/>
      <c r="M6532" s="11"/>
      <c r="N6532" s="9" t="s">
        <v>804</v>
      </c>
    </row>
    <row r="6533" ht="25" customHeight="1" spans="1:14">
      <c r="A6533" s="9" t="s">
        <v>231</v>
      </c>
      <c r="B6533" s="9" t="s">
        <v>229</v>
      </c>
      <c r="C6533" s="10">
        <v>44803</v>
      </c>
      <c r="D6533" s="15">
        <v>1.1827</v>
      </c>
      <c r="E6533" s="15">
        <v>1.1827</v>
      </c>
      <c r="F6533" s="15">
        <v>1.1827</v>
      </c>
      <c r="G6533" s="11">
        <v>0.0006</v>
      </c>
      <c r="H6533" s="9">
        <f>MAX($F$6211:F6533)</f>
        <v>1.1827</v>
      </c>
      <c r="I6533" s="11">
        <f t="shared" si="161"/>
        <v>0</v>
      </c>
      <c r="J6533" s="9"/>
      <c r="K6533" s="11"/>
      <c r="L6533" s="9"/>
      <c r="M6533" s="11"/>
      <c r="N6533" s="9" t="s">
        <v>804</v>
      </c>
    </row>
    <row r="6534" ht="25" customHeight="1" spans="1:14">
      <c r="A6534" s="9" t="s">
        <v>231</v>
      </c>
      <c r="B6534" s="9" t="s">
        <v>229</v>
      </c>
      <c r="C6534" s="10">
        <v>44804</v>
      </c>
      <c r="D6534" s="15">
        <v>1.1827</v>
      </c>
      <c r="E6534" s="15">
        <v>1.1827</v>
      </c>
      <c r="F6534" s="15">
        <v>1.1827</v>
      </c>
      <c r="G6534" s="11">
        <v>0</v>
      </c>
      <c r="H6534" s="9">
        <f>MAX($F$6211:F6534)</f>
        <v>1.1827</v>
      </c>
      <c r="I6534" s="11">
        <f t="shared" si="161"/>
        <v>0</v>
      </c>
      <c r="J6534" s="9"/>
      <c r="K6534" s="11"/>
      <c r="L6534" s="9"/>
      <c r="M6534" s="11"/>
      <c r="N6534" s="9" t="s">
        <v>804</v>
      </c>
    </row>
    <row r="6535" ht="25" customHeight="1" spans="1:14">
      <c r="A6535" s="9" t="s">
        <v>231</v>
      </c>
      <c r="B6535" s="9" t="s">
        <v>229</v>
      </c>
      <c r="C6535" s="10">
        <v>44805</v>
      </c>
      <c r="D6535" s="15">
        <v>1.1829</v>
      </c>
      <c r="E6535" s="15">
        <v>1.1829</v>
      </c>
      <c r="F6535" s="15">
        <v>1.1829</v>
      </c>
      <c r="G6535" s="11">
        <v>0.0002</v>
      </c>
      <c r="H6535" s="9">
        <f>MAX($F$6211:F6535)</f>
        <v>1.1829</v>
      </c>
      <c r="I6535" s="11">
        <f t="shared" si="161"/>
        <v>0</v>
      </c>
      <c r="J6535" s="9"/>
      <c r="K6535" s="11"/>
      <c r="L6535" s="9"/>
      <c r="M6535" s="11"/>
      <c r="N6535" s="9" t="s">
        <v>804</v>
      </c>
    </row>
    <row r="6536" ht="25" customHeight="1" spans="1:14">
      <c r="A6536" s="9" t="s">
        <v>231</v>
      </c>
      <c r="B6536" s="9" t="s">
        <v>229</v>
      </c>
      <c r="C6536" s="10">
        <v>44806</v>
      </c>
      <c r="D6536" s="15">
        <v>1.1831</v>
      </c>
      <c r="E6536" s="15">
        <v>1.1831</v>
      </c>
      <c r="F6536" s="15">
        <v>1.1831</v>
      </c>
      <c r="G6536" s="11">
        <v>0.0002</v>
      </c>
      <c r="H6536" s="9">
        <f>MAX($F$6211:F6536)</f>
        <v>1.1831</v>
      </c>
      <c r="I6536" s="11">
        <f t="shared" si="161"/>
        <v>0</v>
      </c>
      <c r="J6536" s="9"/>
      <c r="K6536" s="11"/>
      <c r="L6536" s="9"/>
      <c r="M6536" s="11"/>
      <c r="N6536" s="9" t="s">
        <v>804</v>
      </c>
    </row>
    <row r="6537" ht="25" customHeight="1" spans="1:14">
      <c r="A6537" s="9" t="s">
        <v>231</v>
      </c>
      <c r="B6537" s="9" t="s">
        <v>229</v>
      </c>
      <c r="C6537" s="10">
        <v>44809</v>
      </c>
      <c r="D6537" s="15">
        <v>1.1832</v>
      </c>
      <c r="E6537" s="15">
        <v>1.1832</v>
      </c>
      <c r="F6537" s="15">
        <v>1.1832</v>
      </c>
      <c r="G6537" s="11">
        <v>0.0001</v>
      </c>
      <c r="H6537" s="9">
        <f>MAX($F$6211:F6537)</f>
        <v>1.1832</v>
      </c>
      <c r="I6537" s="11">
        <f t="shared" si="161"/>
        <v>0</v>
      </c>
      <c r="J6537" s="9"/>
      <c r="K6537" s="11"/>
      <c r="L6537" s="9"/>
      <c r="M6537" s="11"/>
      <c r="N6537" s="9" t="s">
        <v>804</v>
      </c>
    </row>
    <row r="6538" ht="25" customHeight="1" spans="1:14">
      <c r="A6538" s="9" t="s">
        <v>231</v>
      </c>
      <c r="B6538" s="9" t="s">
        <v>229</v>
      </c>
      <c r="C6538" s="10">
        <v>44810</v>
      </c>
      <c r="D6538" s="15">
        <v>1.1833</v>
      </c>
      <c r="E6538" s="15">
        <v>1.1833</v>
      </c>
      <c r="F6538" s="15">
        <v>1.1833</v>
      </c>
      <c r="G6538" s="11">
        <v>0.0001</v>
      </c>
      <c r="H6538" s="9">
        <f>MAX($F$6211:F6538)</f>
        <v>1.1833</v>
      </c>
      <c r="I6538" s="11">
        <f t="shared" si="161"/>
        <v>0</v>
      </c>
      <c r="J6538" s="9"/>
      <c r="K6538" s="11"/>
      <c r="L6538" s="9"/>
      <c r="M6538" s="11"/>
      <c r="N6538" s="9" t="s">
        <v>804</v>
      </c>
    </row>
    <row r="6539" ht="25" customHeight="1" spans="1:14">
      <c r="A6539" s="9" t="s">
        <v>231</v>
      </c>
      <c r="B6539" s="9" t="s">
        <v>229</v>
      </c>
      <c r="C6539" s="10">
        <v>44811</v>
      </c>
      <c r="D6539" s="15">
        <v>1.1838</v>
      </c>
      <c r="E6539" s="15">
        <v>1.1838</v>
      </c>
      <c r="F6539" s="15">
        <v>1.1838</v>
      </c>
      <c r="G6539" s="11">
        <v>0.0004</v>
      </c>
      <c r="H6539" s="9">
        <f>MAX($F$6211:F6539)</f>
        <v>1.1838</v>
      </c>
      <c r="I6539" s="11">
        <f t="shared" si="161"/>
        <v>0</v>
      </c>
      <c r="J6539" s="9"/>
      <c r="K6539" s="11"/>
      <c r="L6539" s="9"/>
      <c r="M6539" s="11"/>
      <c r="N6539" s="9" t="s">
        <v>804</v>
      </c>
    </row>
    <row r="6540" ht="25" customHeight="1" spans="1:14">
      <c r="A6540" s="9" t="s">
        <v>231</v>
      </c>
      <c r="B6540" s="9" t="s">
        <v>229</v>
      </c>
      <c r="C6540" s="10">
        <v>44812</v>
      </c>
      <c r="D6540" s="15">
        <v>1.1838</v>
      </c>
      <c r="E6540" s="15">
        <v>1.1838</v>
      </c>
      <c r="F6540" s="15">
        <v>1.1838</v>
      </c>
      <c r="G6540" s="11">
        <v>0</v>
      </c>
      <c r="H6540" s="9">
        <f>MAX($F$6211:F6540)</f>
        <v>1.1838</v>
      </c>
      <c r="I6540" s="11">
        <f t="shared" si="161"/>
        <v>0</v>
      </c>
      <c r="J6540" s="9"/>
      <c r="K6540" s="11"/>
      <c r="L6540" s="9"/>
      <c r="M6540" s="11"/>
      <c r="N6540" s="9" t="s">
        <v>804</v>
      </c>
    </row>
    <row r="6541" ht="25" customHeight="1" spans="1:14">
      <c r="A6541" s="9" t="s">
        <v>231</v>
      </c>
      <c r="B6541" s="9" t="s">
        <v>229</v>
      </c>
      <c r="C6541" s="10">
        <v>44813</v>
      </c>
      <c r="D6541" s="15">
        <v>1.1839</v>
      </c>
      <c r="E6541" s="15">
        <v>1.1839</v>
      </c>
      <c r="F6541" s="15">
        <v>1.1839</v>
      </c>
      <c r="G6541" s="11">
        <v>0.0001</v>
      </c>
      <c r="H6541" s="9">
        <f>MAX($F$6211:F6541)</f>
        <v>1.1839</v>
      </c>
      <c r="I6541" s="11">
        <f t="shared" si="161"/>
        <v>0</v>
      </c>
      <c r="J6541" s="9"/>
      <c r="K6541" s="11"/>
      <c r="L6541" s="9"/>
      <c r="M6541" s="11"/>
      <c r="N6541" s="9" t="s">
        <v>804</v>
      </c>
    </row>
    <row r="6542" ht="25" customHeight="1" spans="1:14">
      <c r="A6542" s="9" t="s">
        <v>231</v>
      </c>
      <c r="B6542" s="9" t="s">
        <v>229</v>
      </c>
      <c r="C6542" s="10">
        <v>44817</v>
      </c>
      <c r="D6542" s="15">
        <v>1.1842</v>
      </c>
      <c r="E6542" s="15">
        <v>1.1842</v>
      </c>
      <c r="F6542" s="15">
        <v>1.1842</v>
      </c>
      <c r="G6542" s="11">
        <v>0.0003</v>
      </c>
      <c r="H6542" s="9">
        <f>MAX($F$6211:F6542)</f>
        <v>1.1842</v>
      </c>
      <c r="I6542" s="11">
        <f t="shared" si="161"/>
        <v>0</v>
      </c>
      <c r="J6542" s="9"/>
      <c r="K6542" s="11"/>
      <c r="L6542" s="9"/>
      <c r="M6542" s="11"/>
      <c r="N6542" s="9" t="s">
        <v>804</v>
      </c>
    </row>
    <row r="6543" ht="25" customHeight="1" spans="1:14">
      <c r="A6543" s="9" t="s">
        <v>231</v>
      </c>
      <c r="B6543" s="9" t="s">
        <v>229</v>
      </c>
      <c r="C6543" s="10">
        <v>44818</v>
      </c>
      <c r="D6543" s="15">
        <v>1.184</v>
      </c>
      <c r="E6543" s="15">
        <v>1.184</v>
      </c>
      <c r="F6543" s="15">
        <v>1.184</v>
      </c>
      <c r="G6543" s="11">
        <v>-0.0002</v>
      </c>
      <c r="H6543" s="9">
        <f>MAX($F$6211:F6543)</f>
        <v>1.1842</v>
      </c>
      <c r="I6543" s="11">
        <f t="shared" si="161"/>
        <v>0.000168890390136789</v>
      </c>
      <c r="J6543" s="9"/>
      <c r="K6543" s="11"/>
      <c r="L6543" s="9"/>
      <c r="M6543" s="11"/>
      <c r="N6543" s="9" t="s">
        <v>804</v>
      </c>
    </row>
    <row r="6544" ht="25" customHeight="1" spans="1:14">
      <c r="A6544" s="9" t="s">
        <v>231</v>
      </c>
      <c r="B6544" s="9" t="s">
        <v>229</v>
      </c>
      <c r="C6544" s="10">
        <v>44819</v>
      </c>
      <c r="D6544" s="15">
        <v>1.1841</v>
      </c>
      <c r="E6544" s="15">
        <v>1.1841</v>
      </c>
      <c r="F6544" s="15">
        <v>1.1841</v>
      </c>
      <c r="G6544" s="11">
        <v>0.0001</v>
      </c>
      <c r="H6544" s="9">
        <f>MAX($F$6211:F6544)</f>
        <v>1.1842</v>
      </c>
      <c r="I6544" s="11">
        <f t="shared" si="161"/>
        <v>8.44451950683389e-5</v>
      </c>
      <c r="J6544" s="9"/>
      <c r="K6544" s="11"/>
      <c r="L6544" s="9"/>
      <c r="M6544" s="11"/>
      <c r="N6544" s="9" t="s">
        <v>804</v>
      </c>
    </row>
    <row r="6545" ht="25" customHeight="1" spans="1:14">
      <c r="A6545" s="9" t="s">
        <v>231</v>
      </c>
      <c r="B6545" s="9" t="s">
        <v>229</v>
      </c>
      <c r="C6545" s="10">
        <v>44820</v>
      </c>
      <c r="D6545" s="15">
        <v>1.1836</v>
      </c>
      <c r="E6545" s="15">
        <v>1.1836</v>
      </c>
      <c r="F6545" s="15">
        <v>1.1836</v>
      </c>
      <c r="G6545" s="11">
        <v>-0.0004</v>
      </c>
      <c r="H6545" s="9">
        <f>MAX($F$6211:F6545)</f>
        <v>1.1842</v>
      </c>
      <c r="I6545" s="11">
        <f t="shared" si="161"/>
        <v>0.000506671170410367</v>
      </c>
      <c r="J6545" s="9"/>
      <c r="K6545" s="11"/>
      <c r="L6545" s="9"/>
      <c r="M6545" s="11"/>
      <c r="N6545" s="9" t="s">
        <v>804</v>
      </c>
    </row>
    <row r="6546" ht="25" customHeight="1" spans="1:14">
      <c r="A6546" s="9" t="s">
        <v>231</v>
      </c>
      <c r="B6546" s="9" t="s">
        <v>229</v>
      </c>
      <c r="C6546" s="10">
        <v>44823</v>
      </c>
      <c r="D6546" s="15">
        <v>1.1837</v>
      </c>
      <c r="E6546" s="15">
        <v>1.1837</v>
      </c>
      <c r="F6546" s="15">
        <v>1.1837</v>
      </c>
      <c r="G6546" s="11">
        <v>0.0001</v>
      </c>
      <c r="H6546" s="9">
        <f>MAX($F$6211:F6546)</f>
        <v>1.1842</v>
      </c>
      <c r="I6546" s="11">
        <f t="shared" si="161"/>
        <v>0.000422225975341917</v>
      </c>
      <c r="J6546" s="9"/>
      <c r="K6546" s="11"/>
      <c r="L6546" s="9"/>
      <c r="M6546" s="11"/>
      <c r="N6546" s="9" t="s">
        <v>804</v>
      </c>
    </row>
    <row r="6547" ht="25" customHeight="1" spans="1:14">
      <c r="A6547" s="9" t="s">
        <v>231</v>
      </c>
      <c r="B6547" s="9" t="s">
        <v>229</v>
      </c>
      <c r="C6547" s="10">
        <v>44824</v>
      </c>
      <c r="D6547" s="15">
        <v>1.1838</v>
      </c>
      <c r="E6547" s="15">
        <v>1.1838</v>
      </c>
      <c r="F6547" s="15">
        <v>1.1838</v>
      </c>
      <c r="G6547" s="11">
        <v>0.0001</v>
      </c>
      <c r="H6547" s="9">
        <f>MAX($F$6211:F6547)</f>
        <v>1.1842</v>
      </c>
      <c r="I6547" s="11">
        <f t="shared" si="161"/>
        <v>0.000337780780273578</v>
      </c>
      <c r="J6547" s="9"/>
      <c r="K6547" s="11"/>
      <c r="L6547" s="9"/>
      <c r="M6547" s="11"/>
      <c r="N6547" s="9" t="s">
        <v>804</v>
      </c>
    </row>
    <row r="6548" ht="25" customHeight="1" spans="1:14">
      <c r="A6548" s="9" t="s">
        <v>231</v>
      </c>
      <c r="B6548" s="9" t="s">
        <v>229</v>
      </c>
      <c r="C6548" s="10">
        <v>44825</v>
      </c>
      <c r="D6548" s="15">
        <v>1.1839</v>
      </c>
      <c r="E6548" s="15">
        <v>1.1839</v>
      </c>
      <c r="F6548" s="15">
        <v>1.1839</v>
      </c>
      <c r="G6548" s="11">
        <v>0.0001</v>
      </c>
      <c r="H6548" s="9">
        <f>MAX($F$6211:F6548)</f>
        <v>1.1842</v>
      </c>
      <c r="I6548" s="11">
        <f t="shared" si="161"/>
        <v>0.000253335585205128</v>
      </c>
      <c r="J6548" s="9"/>
      <c r="K6548" s="11"/>
      <c r="L6548" s="9"/>
      <c r="M6548" s="11"/>
      <c r="N6548" s="9" t="s">
        <v>804</v>
      </c>
    </row>
    <row r="6549" ht="25" customHeight="1" spans="1:14">
      <c r="A6549" s="9" t="s">
        <v>231</v>
      </c>
      <c r="B6549" s="9" t="s">
        <v>229</v>
      </c>
      <c r="C6549" s="10">
        <v>44826</v>
      </c>
      <c r="D6549" s="15">
        <v>1.1841</v>
      </c>
      <c r="E6549" s="15">
        <v>1.1841</v>
      </c>
      <c r="F6549" s="15">
        <v>1.1841</v>
      </c>
      <c r="G6549" s="11">
        <v>0.0002</v>
      </c>
      <c r="H6549" s="9">
        <f>MAX($F$6211:F6549)</f>
        <v>1.1842</v>
      </c>
      <c r="I6549" s="11">
        <f t="shared" si="161"/>
        <v>8.44451950683389e-5</v>
      </c>
      <c r="J6549" s="9"/>
      <c r="K6549" s="11"/>
      <c r="L6549" s="9"/>
      <c r="M6549" s="11"/>
      <c r="N6549" s="9" t="s">
        <v>804</v>
      </c>
    </row>
    <row r="6550" ht="25" customHeight="1" spans="1:14">
      <c r="A6550" s="9" t="s">
        <v>231</v>
      </c>
      <c r="B6550" s="9" t="s">
        <v>229</v>
      </c>
      <c r="C6550" s="10">
        <v>44827</v>
      </c>
      <c r="D6550" s="15">
        <v>1.1844</v>
      </c>
      <c r="E6550" s="15">
        <v>1.1844</v>
      </c>
      <c r="F6550" s="15">
        <v>1.1844</v>
      </c>
      <c r="G6550" s="11">
        <v>0.0003</v>
      </c>
      <c r="H6550" s="9">
        <f>MAX($F$6211:F6550)</f>
        <v>1.1844</v>
      </c>
      <c r="I6550" s="11">
        <f t="shared" si="161"/>
        <v>0</v>
      </c>
      <c r="J6550" s="9"/>
      <c r="K6550" s="11"/>
      <c r="L6550" s="9"/>
      <c r="M6550" s="11"/>
      <c r="N6550" s="9" t="s">
        <v>804</v>
      </c>
    </row>
    <row r="6551" ht="25" customHeight="1" spans="1:14">
      <c r="A6551" s="9" t="s">
        <v>231</v>
      </c>
      <c r="B6551" s="9" t="s">
        <v>229</v>
      </c>
      <c r="C6551" s="10">
        <v>44830</v>
      </c>
      <c r="D6551" s="15">
        <v>1.1847</v>
      </c>
      <c r="E6551" s="15">
        <v>1.1847</v>
      </c>
      <c r="F6551" s="15">
        <v>1.1847</v>
      </c>
      <c r="G6551" s="11">
        <v>0.0003</v>
      </c>
      <c r="H6551" s="9">
        <f>MAX($F$6211:F6551)</f>
        <v>1.1847</v>
      </c>
      <c r="I6551" s="11">
        <f t="shared" si="161"/>
        <v>0</v>
      </c>
      <c r="J6551" s="9"/>
      <c r="K6551" s="11"/>
      <c r="L6551" s="9"/>
      <c r="M6551" s="11"/>
      <c r="N6551" s="9" t="s">
        <v>804</v>
      </c>
    </row>
    <row r="6552" ht="25" customHeight="1" spans="1:14">
      <c r="A6552" s="9" t="s">
        <v>231</v>
      </c>
      <c r="B6552" s="9" t="s">
        <v>229</v>
      </c>
      <c r="C6552" s="10">
        <v>44831</v>
      </c>
      <c r="D6552" s="15">
        <v>1.1848</v>
      </c>
      <c r="E6552" s="15">
        <v>1.1848</v>
      </c>
      <c r="F6552" s="15">
        <v>1.1848</v>
      </c>
      <c r="G6552" s="11">
        <v>0.0001</v>
      </c>
      <c r="H6552" s="9">
        <f>MAX($F$6211:F6552)</f>
        <v>1.1848</v>
      </c>
      <c r="I6552" s="11">
        <f t="shared" si="161"/>
        <v>0</v>
      </c>
      <c r="J6552" s="9"/>
      <c r="K6552" s="11"/>
      <c r="L6552" s="9"/>
      <c r="M6552" s="11"/>
      <c r="N6552" s="9" t="s">
        <v>804</v>
      </c>
    </row>
    <row r="6553" ht="25" customHeight="1" spans="1:14">
      <c r="A6553" s="9" t="s">
        <v>231</v>
      </c>
      <c r="B6553" s="9" t="s">
        <v>229</v>
      </c>
      <c r="C6553" s="10">
        <v>44832</v>
      </c>
      <c r="D6553" s="15">
        <v>1.1849</v>
      </c>
      <c r="E6553" s="15">
        <v>1.1849</v>
      </c>
      <c r="F6553" s="15">
        <v>1.1849</v>
      </c>
      <c r="G6553" s="11">
        <v>0.0001</v>
      </c>
      <c r="H6553" s="9">
        <f>MAX($F$6211:F6553)</f>
        <v>1.1849</v>
      </c>
      <c r="I6553" s="11">
        <f t="shared" si="161"/>
        <v>0</v>
      </c>
      <c r="J6553" s="9"/>
      <c r="K6553" s="11"/>
      <c r="L6553" s="9"/>
      <c r="M6553" s="11"/>
      <c r="N6553" s="9" t="s">
        <v>804</v>
      </c>
    </row>
    <row r="6554" ht="25" customHeight="1" spans="1:14">
      <c r="A6554" s="9" t="s">
        <v>231</v>
      </c>
      <c r="B6554" s="9" t="s">
        <v>229</v>
      </c>
      <c r="C6554" s="10">
        <v>44833</v>
      </c>
      <c r="D6554" s="15">
        <v>1.1874</v>
      </c>
      <c r="E6554" s="15">
        <v>1.1874</v>
      </c>
      <c r="F6554" s="15">
        <v>1.1874</v>
      </c>
      <c r="G6554" s="11">
        <v>0.0021</v>
      </c>
      <c r="H6554" s="9">
        <f>MAX($F$6211:F6554)</f>
        <v>1.1874</v>
      </c>
      <c r="I6554" s="11">
        <f t="shared" si="161"/>
        <v>0</v>
      </c>
      <c r="J6554" s="9"/>
      <c r="K6554" s="11"/>
      <c r="L6554" s="9"/>
      <c r="M6554" s="11"/>
      <c r="N6554" s="9" t="s">
        <v>804</v>
      </c>
    </row>
    <row r="6555" ht="25" customHeight="1" spans="1:14">
      <c r="A6555" s="9" t="s">
        <v>231</v>
      </c>
      <c r="B6555" s="9" t="s">
        <v>229</v>
      </c>
      <c r="C6555" s="10">
        <v>44834</v>
      </c>
      <c r="D6555" s="15">
        <v>1.1877</v>
      </c>
      <c r="E6555" s="15">
        <v>1.1877</v>
      </c>
      <c r="F6555" s="15">
        <v>1.1877</v>
      </c>
      <c r="G6555" s="11">
        <v>0.0003</v>
      </c>
      <c r="H6555" s="9">
        <f>MAX($F$6211:F6555)</f>
        <v>1.1877</v>
      </c>
      <c r="I6555" s="11">
        <f t="shared" si="161"/>
        <v>0</v>
      </c>
      <c r="J6555" s="9"/>
      <c r="K6555" s="11"/>
      <c r="L6555" s="9"/>
      <c r="M6555" s="11"/>
      <c r="N6555" s="9" t="s">
        <v>804</v>
      </c>
    </row>
    <row r="6556" ht="25" customHeight="1" spans="1:14">
      <c r="A6556" s="9" t="s">
        <v>231</v>
      </c>
      <c r="B6556" s="9" t="s">
        <v>229</v>
      </c>
      <c r="C6556" s="10">
        <v>44844</v>
      </c>
      <c r="D6556" s="15">
        <v>1.1877</v>
      </c>
      <c r="E6556" s="15">
        <v>1.1877</v>
      </c>
      <c r="F6556" s="15">
        <v>1.1877</v>
      </c>
      <c r="G6556" s="11">
        <v>0</v>
      </c>
      <c r="H6556" s="9">
        <f>MAX($F$6211:F6556)</f>
        <v>1.1877</v>
      </c>
      <c r="I6556" s="11">
        <f t="shared" si="161"/>
        <v>0</v>
      </c>
      <c r="J6556" s="9"/>
      <c r="K6556" s="11"/>
      <c r="L6556" s="9"/>
      <c r="M6556" s="11"/>
      <c r="N6556" s="9" t="s">
        <v>804</v>
      </c>
    </row>
    <row r="6557" ht="25" customHeight="1" spans="1:14">
      <c r="A6557" s="9" t="s">
        <v>231</v>
      </c>
      <c r="B6557" s="9" t="s">
        <v>229</v>
      </c>
      <c r="C6557" s="10">
        <v>44845</v>
      </c>
      <c r="D6557" s="15">
        <v>1.188</v>
      </c>
      <c r="E6557" s="15">
        <v>1.188</v>
      </c>
      <c r="F6557" s="15">
        <v>1.188</v>
      </c>
      <c r="G6557" s="11">
        <v>0.0003</v>
      </c>
      <c r="H6557" s="9">
        <f>MAX($F$6211:F6557)</f>
        <v>1.188</v>
      </c>
      <c r="I6557" s="11">
        <f t="shared" si="161"/>
        <v>0</v>
      </c>
      <c r="J6557" s="9"/>
      <c r="K6557" s="11"/>
      <c r="L6557" s="9"/>
      <c r="M6557" s="11"/>
      <c r="N6557" s="9" t="s">
        <v>804</v>
      </c>
    </row>
    <row r="6558" ht="25" customHeight="1" spans="1:14">
      <c r="A6558" s="9" t="s">
        <v>231</v>
      </c>
      <c r="B6558" s="9" t="s">
        <v>229</v>
      </c>
      <c r="C6558" s="10">
        <v>44846</v>
      </c>
      <c r="D6558" s="15">
        <v>1.1881</v>
      </c>
      <c r="E6558" s="15">
        <v>1.1881</v>
      </c>
      <c r="F6558" s="15">
        <v>1.1881</v>
      </c>
      <c r="G6558" s="11">
        <v>0.0001</v>
      </c>
      <c r="H6558" s="9">
        <f>MAX($F$6211:F6558)</f>
        <v>1.1881</v>
      </c>
      <c r="I6558" s="11">
        <f t="shared" si="161"/>
        <v>0</v>
      </c>
      <c r="J6558" s="9"/>
      <c r="K6558" s="11"/>
      <c r="L6558" s="9"/>
      <c r="M6558" s="11"/>
      <c r="N6558" s="9" t="s">
        <v>804</v>
      </c>
    </row>
    <row r="6559" ht="25" customHeight="1" spans="1:14">
      <c r="A6559" s="9" t="s">
        <v>231</v>
      </c>
      <c r="B6559" s="9" t="s">
        <v>229</v>
      </c>
      <c r="C6559" s="10">
        <v>44847</v>
      </c>
      <c r="D6559" s="15">
        <v>1.1882</v>
      </c>
      <c r="E6559" s="15">
        <v>1.1882</v>
      </c>
      <c r="F6559" s="15">
        <v>1.1882</v>
      </c>
      <c r="G6559" s="11">
        <v>0.0001</v>
      </c>
      <c r="H6559" s="9">
        <f>MAX($F$6211:F6559)</f>
        <v>1.1882</v>
      </c>
      <c r="I6559" s="11">
        <f t="shared" si="161"/>
        <v>0</v>
      </c>
      <c r="J6559" s="9"/>
      <c r="K6559" s="11"/>
      <c r="L6559" s="9"/>
      <c r="M6559" s="11"/>
      <c r="N6559" s="9" t="s">
        <v>804</v>
      </c>
    </row>
    <row r="6560" ht="25" customHeight="1" spans="1:14">
      <c r="A6560" s="9" t="s">
        <v>231</v>
      </c>
      <c r="B6560" s="9" t="s">
        <v>229</v>
      </c>
      <c r="C6560" s="10">
        <v>44848</v>
      </c>
      <c r="D6560" s="15">
        <v>1.1904</v>
      </c>
      <c r="E6560" s="15">
        <v>1.1904</v>
      </c>
      <c r="F6560" s="15">
        <v>1.1904</v>
      </c>
      <c r="G6560" s="11">
        <v>0.0019</v>
      </c>
      <c r="H6560" s="9">
        <f>MAX($F$6211:F6560)</f>
        <v>1.1904</v>
      </c>
      <c r="I6560" s="11">
        <f t="shared" si="161"/>
        <v>0</v>
      </c>
      <c r="J6560" s="9"/>
      <c r="K6560" s="11"/>
      <c r="L6560" s="9"/>
      <c r="M6560" s="11"/>
      <c r="N6560" s="9" t="s">
        <v>804</v>
      </c>
    </row>
    <row r="6561" ht="25" customHeight="1" spans="1:14">
      <c r="A6561" s="9" t="s">
        <v>231</v>
      </c>
      <c r="B6561" s="9" t="s">
        <v>229</v>
      </c>
      <c r="C6561" s="10">
        <v>44851</v>
      </c>
      <c r="D6561" s="15">
        <v>1.1909</v>
      </c>
      <c r="E6561" s="15">
        <v>1.1909</v>
      </c>
      <c r="F6561" s="15">
        <v>1.1909</v>
      </c>
      <c r="G6561" s="11">
        <v>0.0004</v>
      </c>
      <c r="H6561" s="9">
        <f>MAX($F$6211:F6561)</f>
        <v>1.1909</v>
      </c>
      <c r="I6561" s="11">
        <f t="shared" si="161"/>
        <v>0</v>
      </c>
      <c r="J6561" s="9"/>
      <c r="K6561" s="11"/>
      <c r="L6561" s="9"/>
      <c r="M6561" s="11"/>
      <c r="N6561" s="9" t="s">
        <v>804</v>
      </c>
    </row>
    <row r="6562" ht="25" customHeight="1" spans="1:14">
      <c r="A6562" s="9" t="s">
        <v>231</v>
      </c>
      <c r="B6562" s="9" t="s">
        <v>229</v>
      </c>
      <c r="C6562" s="10">
        <v>44852</v>
      </c>
      <c r="D6562" s="15">
        <v>1.1914</v>
      </c>
      <c r="E6562" s="15">
        <v>1.1914</v>
      </c>
      <c r="F6562" s="15">
        <v>1.1914</v>
      </c>
      <c r="G6562" s="11">
        <v>0.0004</v>
      </c>
      <c r="H6562" s="9">
        <f>MAX($F$6211:F6562)</f>
        <v>1.1914</v>
      </c>
      <c r="I6562" s="11">
        <f t="shared" si="161"/>
        <v>0</v>
      </c>
      <c r="J6562" s="9"/>
      <c r="K6562" s="11"/>
      <c r="L6562" s="9"/>
      <c r="M6562" s="11"/>
      <c r="N6562" s="9" t="s">
        <v>804</v>
      </c>
    </row>
    <row r="6563" ht="25" customHeight="1" spans="1:14">
      <c r="A6563" s="9" t="s">
        <v>231</v>
      </c>
      <c r="B6563" s="9" t="s">
        <v>229</v>
      </c>
      <c r="C6563" s="10">
        <v>44853</v>
      </c>
      <c r="D6563" s="15">
        <v>1.1914</v>
      </c>
      <c r="E6563" s="15">
        <v>1.1914</v>
      </c>
      <c r="F6563" s="15">
        <v>1.1914</v>
      </c>
      <c r="G6563" s="11">
        <v>0</v>
      </c>
      <c r="H6563" s="9">
        <f>MAX($F$6211:F6563)</f>
        <v>1.1914</v>
      </c>
      <c r="I6563" s="11">
        <f t="shared" si="161"/>
        <v>0</v>
      </c>
      <c r="J6563" s="9"/>
      <c r="K6563" s="11"/>
      <c r="L6563" s="9"/>
      <c r="M6563" s="11"/>
      <c r="N6563" s="9" t="s">
        <v>804</v>
      </c>
    </row>
    <row r="6564" ht="25" customHeight="1" spans="1:14">
      <c r="A6564" s="9" t="s">
        <v>231</v>
      </c>
      <c r="B6564" s="9" t="s">
        <v>229</v>
      </c>
      <c r="C6564" s="10">
        <v>44854</v>
      </c>
      <c r="D6564" s="15">
        <v>1.1916</v>
      </c>
      <c r="E6564" s="15">
        <v>1.1916</v>
      </c>
      <c r="F6564" s="15">
        <v>1.1916</v>
      </c>
      <c r="G6564" s="11">
        <v>0.0002</v>
      </c>
      <c r="H6564" s="9">
        <f>MAX($F$6211:F6564)</f>
        <v>1.1916</v>
      </c>
      <c r="I6564" s="11">
        <f t="shared" si="161"/>
        <v>0</v>
      </c>
      <c r="J6564" s="9"/>
      <c r="K6564" s="11"/>
      <c r="L6564" s="9"/>
      <c r="M6564" s="11"/>
      <c r="N6564" s="9" t="s">
        <v>804</v>
      </c>
    </row>
    <row r="6565" ht="25" customHeight="1" spans="1:14">
      <c r="A6565" s="9" t="s">
        <v>231</v>
      </c>
      <c r="B6565" s="9" t="s">
        <v>229</v>
      </c>
      <c r="C6565" s="10">
        <v>44855</v>
      </c>
      <c r="D6565" s="15">
        <v>1.192</v>
      </c>
      <c r="E6565" s="15">
        <v>1.192</v>
      </c>
      <c r="F6565" s="15">
        <v>1.192</v>
      </c>
      <c r="G6565" s="11">
        <v>0.0003</v>
      </c>
      <c r="H6565" s="9">
        <f>MAX($F$6211:F6565)</f>
        <v>1.192</v>
      </c>
      <c r="I6565" s="11">
        <f t="shared" si="161"/>
        <v>0</v>
      </c>
      <c r="J6565" s="9"/>
      <c r="K6565" s="11"/>
      <c r="L6565" s="9"/>
      <c r="M6565" s="11"/>
      <c r="N6565" s="9" t="s">
        <v>804</v>
      </c>
    </row>
    <row r="6566" ht="25" customHeight="1" spans="1:14">
      <c r="A6566" s="9" t="s">
        <v>231</v>
      </c>
      <c r="B6566" s="9" t="s">
        <v>229</v>
      </c>
      <c r="C6566" s="10">
        <v>44858</v>
      </c>
      <c r="D6566" s="15">
        <v>1.1922</v>
      </c>
      <c r="E6566" s="15">
        <v>1.1922</v>
      </c>
      <c r="F6566" s="15">
        <v>1.1922</v>
      </c>
      <c r="G6566" s="11">
        <v>0.0002</v>
      </c>
      <c r="H6566" s="9">
        <f>MAX($F$6211:F6566)</f>
        <v>1.1922</v>
      </c>
      <c r="I6566" s="11">
        <f t="shared" si="161"/>
        <v>0</v>
      </c>
      <c r="J6566" s="9"/>
      <c r="K6566" s="11"/>
      <c r="L6566" s="9"/>
      <c r="M6566" s="11"/>
      <c r="N6566" s="9" t="s">
        <v>804</v>
      </c>
    </row>
    <row r="6567" ht="25" customHeight="1" spans="1:14">
      <c r="A6567" s="9" t="s">
        <v>231</v>
      </c>
      <c r="B6567" s="9" t="s">
        <v>229</v>
      </c>
      <c r="C6567" s="10">
        <v>44859</v>
      </c>
      <c r="D6567" s="15">
        <v>1.1927</v>
      </c>
      <c r="E6567" s="15">
        <v>1.1927</v>
      </c>
      <c r="F6567" s="15">
        <v>1.1927</v>
      </c>
      <c r="G6567" s="11">
        <v>0.0004</v>
      </c>
      <c r="H6567" s="9">
        <f>MAX($F$6211:F6567)</f>
        <v>1.1927</v>
      </c>
      <c r="I6567" s="11">
        <f t="shared" si="161"/>
        <v>0</v>
      </c>
      <c r="J6567" s="9"/>
      <c r="K6567" s="11"/>
      <c r="L6567" s="9"/>
      <c r="M6567" s="11"/>
      <c r="N6567" s="9" t="s">
        <v>804</v>
      </c>
    </row>
    <row r="6568" ht="25" customHeight="1" spans="1:14">
      <c r="A6568" s="9" t="s">
        <v>231</v>
      </c>
      <c r="B6568" s="9" t="s">
        <v>229</v>
      </c>
      <c r="C6568" s="10">
        <v>44860</v>
      </c>
      <c r="D6568" s="15">
        <v>1.1928</v>
      </c>
      <c r="E6568" s="15">
        <v>1.1928</v>
      </c>
      <c r="F6568" s="15">
        <v>1.1928</v>
      </c>
      <c r="G6568" s="11">
        <v>0.0001</v>
      </c>
      <c r="H6568" s="9">
        <f>MAX($F$6211:F6568)</f>
        <v>1.1928</v>
      </c>
      <c r="I6568" s="11">
        <f t="shared" si="161"/>
        <v>0</v>
      </c>
      <c r="J6568" s="9"/>
      <c r="K6568" s="11"/>
      <c r="L6568" s="9"/>
      <c r="M6568" s="11"/>
      <c r="N6568" s="9" t="s">
        <v>804</v>
      </c>
    </row>
    <row r="6569" ht="25" customHeight="1" spans="1:14">
      <c r="A6569" s="9" t="s">
        <v>231</v>
      </c>
      <c r="B6569" s="9" t="s">
        <v>229</v>
      </c>
      <c r="C6569" s="10">
        <v>44861</v>
      </c>
      <c r="D6569" s="15">
        <v>1.1932</v>
      </c>
      <c r="E6569" s="15">
        <v>1.1932</v>
      </c>
      <c r="F6569" s="15">
        <v>1.1932</v>
      </c>
      <c r="G6569" s="11">
        <v>0.0003</v>
      </c>
      <c r="H6569" s="9">
        <f>MAX($F$6211:F6569)</f>
        <v>1.1932</v>
      </c>
      <c r="I6569" s="11">
        <f t="shared" si="161"/>
        <v>0</v>
      </c>
      <c r="J6569" s="9"/>
      <c r="K6569" s="11"/>
      <c r="L6569" s="9"/>
      <c r="M6569" s="11"/>
      <c r="N6569" s="9" t="s">
        <v>804</v>
      </c>
    </row>
    <row r="6570" ht="25" customHeight="1" spans="1:14">
      <c r="A6570" s="9" t="s">
        <v>231</v>
      </c>
      <c r="B6570" s="9" t="s">
        <v>229</v>
      </c>
      <c r="C6570" s="10">
        <v>44862</v>
      </c>
      <c r="D6570" s="15">
        <v>1.1939</v>
      </c>
      <c r="E6570" s="15">
        <v>1.1939</v>
      </c>
      <c r="F6570" s="15">
        <v>1.1939</v>
      </c>
      <c r="G6570" s="11">
        <v>0.0006</v>
      </c>
      <c r="H6570" s="9">
        <f>MAX($F$6211:F6570)</f>
        <v>1.1939</v>
      </c>
      <c r="I6570" s="11">
        <f t="shared" si="161"/>
        <v>0</v>
      </c>
      <c r="J6570" s="9"/>
      <c r="K6570" s="11"/>
      <c r="L6570" s="9"/>
      <c r="M6570" s="11"/>
      <c r="N6570" s="9" t="s">
        <v>804</v>
      </c>
    </row>
    <row r="6571" ht="25" customHeight="1" spans="1:14">
      <c r="A6571" s="9" t="s">
        <v>231</v>
      </c>
      <c r="B6571" s="9" t="s">
        <v>229</v>
      </c>
      <c r="C6571" s="10">
        <v>44865</v>
      </c>
      <c r="D6571" s="15">
        <v>1.1945</v>
      </c>
      <c r="E6571" s="15">
        <v>1.1945</v>
      </c>
      <c r="F6571" s="15">
        <v>1.1945</v>
      </c>
      <c r="G6571" s="11">
        <v>0.0005</v>
      </c>
      <c r="H6571" s="9">
        <f>MAX($F$6211:F6571)</f>
        <v>1.1945</v>
      </c>
      <c r="I6571" s="11">
        <f t="shared" si="161"/>
        <v>0</v>
      </c>
      <c r="J6571" s="9"/>
      <c r="K6571" s="11"/>
      <c r="L6571" s="9"/>
      <c r="M6571" s="11"/>
      <c r="N6571" s="9" t="s">
        <v>804</v>
      </c>
    </row>
    <row r="6572" ht="25" customHeight="1" spans="1:14">
      <c r="A6572" s="9" t="s">
        <v>231</v>
      </c>
      <c r="B6572" s="9" t="s">
        <v>229</v>
      </c>
      <c r="C6572" s="10">
        <v>44866</v>
      </c>
      <c r="D6572" s="15">
        <v>1.1957</v>
      </c>
      <c r="E6572" s="15">
        <v>1.1957</v>
      </c>
      <c r="F6572" s="15">
        <v>1.1957</v>
      </c>
      <c r="G6572" s="11">
        <v>0.001</v>
      </c>
      <c r="H6572" s="9">
        <f>MAX($F$6211:F6572)</f>
        <v>1.1957</v>
      </c>
      <c r="I6572" s="11">
        <f t="shared" si="161"/>
        <v>0</v>
      </c>
      <c r="J6572" s="9"/>
      <c r="K6572" s="11"/>
      <c r="L6572" s="9"/>
      <c r="M6572" s="11"/>
      <c r="N6572" s="9" t="s">
        <v>804</v>
      </c>
    </row>
    <row r="6573" ht="25" customHeight="1" spans="1:14">
      <c r="A6573" s="9" t="s">
        <v>231</v>
      </c>
      <c r="B6573" s="9" t="s">
        <v>229</v>
      </c>
      <c r="C6573" s="10">
        <v>44867</v>
      </c>
      <c r="D6573" s="15">
        <v>1.1963</v>
      </c>
      <c r="E6573" s="15">
        <v>1.1963</v>
      </c>
      <c r="F6573" s="15">
        <v>1.1963</v>
      </c>
      <c r="G6573" s="11">
        <v>0.0005</v>
      </c>
      <c r="H6573" s="9">
        <f>MAX($F$6211:F6573)</f>
        <v>1.1963</v>
      </c>
      <c r="I6573" s="11">
        <f t="shared" si="161"/>
        <v>0</v>
      </c>
      <c r="J6573" s="9"/>
      <c r="K6573" s="11"/>
      <c r="L6573" s="9"/>
      <c r="M6573" s="11"/>
      <c r="N6573" s="9" t="s">
        <v>804</v>
      </c>
    </row>
    <row r="6574" ht="25" customHeight="1" spans="1:14">
      <c r="A6574" s="9" t="s">
        <v>231</v>
      </c>
      <c r="B6574" s="9" t="s">
        <v>229</v>
      </c>
      <c r="C6574" s="10">
        <v>44868</v>
      </c>
      <c r="D6574" s="15">
        <v>1.1966</v>
      </c>
      <c r="E6574" s="15">
        <v>1.1966</v>
      </c>
      <c r="F6574" s="15">
        <v>1.1966</v>
      </c>
      <c r="G6574" s="11">
        <v>0.0003</v>
      </c>
      <c r="H6574" s="9">
        <f>MAX($F$6211:F6574)</f>
        <v>1.1966</v>
      </c>
      <c r="I6574" s="11">
        <f t="shared" si="161"/>
        <v>0</v>
      </c>
      <c r="J6574" s="9"/>
      <c r="K6574" s="11"/>
      <c r="L6574" s="9"/>
      <c r="M6574" s="11"/>
      <c r="N6574" s="9" t="s">
        <v>804</v>
      </c>
    </row>
    <row r="6575" ht="25" customHeight="1" spans="1:14">
      <c r="A6575" s="9" t="s">
        <v>231</v>
      </c>
      <c r="B6575" s="9" t="s">
        <v>229</v>
      </c>
      <c r="C6575" s="10">
        <v>44869</v>
      </c>
      <c r="D6575" s="15">
        <v>1.1971</v>
      </c>
      <c r="E6575" s="15">
        <v>1.1971</v>
      </c>
      <c r="F6575" s="15">
        <v>1.1971</v>
      </c>
      <c r="G6575" s="11">
        <v>0.0004</v>
      </c>
      <c r="H6575" s="9">
        <f>MAX($F$6211:F6575)</f>
        <v>1.1971</v>
      </c>
      <c r="I6575" s="11">
        <f t="shared" si="161"/>
        <v>0</v>
      </c>
      <c r="J6575" s="9"/>
      <c r="K6575" s="11"/>
      <c r="L6575" s="9"/>
      <c r="M6575" s="11"/>
      <c r="N6575" s="9" t="s">
        <v>804</v>
      </c>
    </row>
    <row r="6576" ht="25" customHeight="1" spans="1:14">
      <c r="A6576" s="9" t="s">
        <v>231</v>
      </c>
      <c r="B6576" s="9" t="s">
        <v>229</v>
      </c>
      <c r="C6576" s="10">
        <v>44872</v>
      </c>
      <c r="D6576" s="15">
        <v>1.1977</v>
      </c>
      <c r="E6576" s="15">
        <v>1.1977</v>
      </c>
      <c r="F6576" s="15">
        <v>1.1977</v>
      </c>
      <c r="G6576" s="11">
        <v>0.0005</v>
      </c>
      <c r="H6576" s="9">
        <f>MAX($F$6211:F6576)</f>
        <v>1.1977</v>
      </c>
      <c r="I6576" s="11">
        <f t="shared" si="161"/>
        <v>0</v>
      </c>
      <c r="J6576" s="9"/>
      <c r="K6576" s="11"/>
      <c r="L6576" s="9"/>
      <c r="M6576" s="11"/>
      <c r="N6576" s="9" t="s">
        <v>804</v>
      </c>
    </row>
    <row r="6577" ht="25" customHeight="1" spans="1:14">
      <c r="A6577" s="9" t="s">
        <v>231</v>
      </c>
      <c r="B6577" s="9" t="s">
        <v>229</v>
      </c>
      <c r="C6577" s="10">
        <v>44873</v>
      </c>
      <c r="D6577" s="15">
        <v>1.1977</v>
      </c>
      <c r="E6577" s="15">
        <v>1.1977</v>
      </c>
      <c r="F6577" s="15">
        <v>1.1977</v>
      </c>
      <c r="G6577" s="11">
        <v>0</v>
      </c>
      <c r="H6577" s="9">
        <f>MAX($F$6211:F6577)</f>
        <v>1.1977</v>
      </c>
      <c r="I6577" s="11">
        <f t="shared" si="161"/>
        <v>0</v>
      </c>
      <c r="J6577" s="9"/>
      <c r="K6577" s="11"/>
      <c r="L6577" s="9"/>
      <c r="M6577" s="11"/>
      <c r="N6577" s="9" t="s">
        <v>804</v>
      </c>
    </row>
    <row r="6578" ht="25" customHeight="1" spans="1:14">
      <c r="A6578" s="9" t="s">
        <v>231</v>
      </c>
      <c r="B6578" s="9" t="s">
        <v>229</v>
      </c>
      <c r="C6578" s="10">
        <v>44874</v>
      </c>
      <c r="D6578" s="15">
        <v>1.198</v>
      </c>
      <c r="E6578" s="15">
        <v>1.198</v>
      </c>
      <c r="F6578" s="15">
        <v>1.198</v>
      </c>
      <c r="G6578" s="11">
        <v>0.0003</v>
      </c>
      <c r="H6578" s="9">
        <f>MAX($F$6211:F6578)</f>
        <v>1.198</v>
      </c>
      <c r="I6578" s="11">
        <f t="shared" si="161"/>
        <v>0</v>
      </c>
      <c r="J6578" s="9"/>
      <c r="K6578" s="11"/>
      <c r="L6578" s="9"/>
      <c r="M6578" s="11"/>
      <c r="N6578" s="9" t="s">
        <v>804</v>
      </c>
    </row>
    <row r="6579" ht="25" customHeight="1" spans="1:14">
      <c r="A6579" s="9" t="s">
        <v>231</v>
      </c>
      <c r="B6579" s="9" t="s">
        <v>229</v>
      </c>
      <c r="C6579" s="10">
        <v>44875</v>
      </c>
      <c r="D6579" s="15">
        <v>1.1981</v>
      </c>
      <c r="E6579" s="15">
        <v>1.1981</v>
      </c>
      <c r="F6579" s="15">
        <v>1.1981</v>
      </c>
      <c r="G6579" s="11">
        <v>0.0001</v>
      </c>
      <c r="H6579" s="9">
        <f>MAX($F$6211:F6579)</f>
        <v>1.1981</v>
      </c>
      <c r="I6579" s="11">
        <f t="shared" si="161"/>
        <v>0</v>
      </c>
      <c r="J6579" s="9"/>
      <c r="K6579" s="11"/>
      <c r="L6579" s="9"/>
      <c r="M6579" s="11"/>
      <c r="N6579" s="9" t="s">
        <v>804</v>
      </c>
    </row>
    <row r="6580" ht="25" customHeight="1" spans="1:14">
      <c r="A6580" s="9" t="s">
        <v>231</v>
      </c>
      <c r="B6580" s="9" t="s">
        <v>229</v>
      </c>
      <c r="C6580" s="10">
        <v>44876</v>
      </c>
      <c r="D6580" s="15">
        <v>1.1981</v>
      </c>
      <c r="E6580" s="15">
        <v>1.1981</v>
      </c>
      <c r="F6580" s="15">
        <v>1.1981</v>
      </c>
      <c r="G6580" s="11">
        <v>0</v>
      </c>
      <c r="H6580" s="9">
        <f>MAX($F$6211:F6580)</f>
        <v>1.1981</v>
      </c>
      <c r="I6580" s="11">
        <f t="shared" si="161"/>
        <v>0</v>
      </c>
      <c r="J6580" s="9"/>
      <c r="K6580" s="11"/>
      <c r="L6580" s="9"/>
      <c r="M6580" s="11"/>
      <c r="N6580" s="9" t="s">
        <v>804</v>
      </c>
    </row>
    <row r="6581" ht="25" customHeight="1" spans="1:14">
      <c r="A6581" s="9" t="s">
        <v>231</v>
      </c>
      <c r="B6581" s="9" t="s">
        <v>229</v>
      </c>
      <c r="C6581" s="10">
        <v>44879</v>
      </c>
      <c r="D6581" s="15">
        <v>1.1985</v>
      </c>
      <c r="E6581" s="15">
        <v>1.1985</v>
      </c>
      <c r="F6581" s="15">
        <v>1.1985</v>
      </c>
      <c r="G6581" s="11">
        <v>0.0003</v>
      </c>
      <c r="H6581" s="9">
        <f>MAX($F$6211:F6581)</f>
        <v>1.1985</v>
      </c>
      <c r="I6581" s="11">
        <f t="shared" si="161"/>
        <v>0</v>
      </c>
      <c r="J6581" s="9"/>
      <c r="K6581" s="11"/>
      <c r="L6581" s="9"/>
      <c r="M6581" s="11"/>
      <c r="N6581" s="9" t="s">
        <v>804</v>
      </c>
    </row>
    <row r="6582" ht="25" customHeight="1" spans="1:14">
      <c r="A6582" s="9" t="s">
        <v>231</v>
      </c>
      <c r="B6582" s="9" t="s">
        <v>229</v>
      </c>
      <c r="C6582" s="10">
        <v>44880</v>
      </c>
      <c r="D6582" s="15">
        <v>1.1985</v>
      </c>
      <c r="E6582" s="15">
        <v>1.1985</v>
      </c>
      <c r="F6582" s="15">
        <v>1.1985</v>
      </c>
      <c r="G6582" s="11">
        <v>0</v>
      </c>
      <c r="H6582" s="9">
        <f>MAX($F$6211:F6582)</f>
        <v>1.1985</v>
      </c>
      <c r="I6582" s="11">
        <f t="shared" si="161"/>
        <v>0</v>
      </c>
      <c r="J6582" s="9"/>
      <c r="K6582" s="11"/>
      <c r="L6582" s="9"/>
      <c r="M6582" s="11"/>
      <c r="N6582" s="9" t="s">
        <v>804</v>
      </c>
    </row>
    <row r="6583" ht="25" customHeight="1" spans="1:14">
      <c r="A6583" s="9" t="s">
        <v>231</v>
      </c>
      <c r="B6583" s="9" t="s">
        <v>229</v>
      </c>
      <c r="C6583" s="10">
        <v>44881</v>
      </c>
      <c r="D6583" s="15">
        <v>1.1989</v>
      </c>
      <c r="E6583" s="15">
        <v>1.1989</v>
      </c>
      <c r="F6583" s="15">
        <v>1.1989</v>
      </c>
      <c r="G6583" s="11">
        <v>0.0003</v>
      </c>
      <c r="H6583" s="9">
        <f>MAX($F$6211:F6583)</f>
        <v>1.1989</v>
      </c>
      <c r="I6583" s="11">
        <f t="shared" si="161"/>
        <v>0</v>
      </c>
      <c r="J6583" s="9"/>
      <c r="K6583" s="11"/>
      <c r="L6583" s="9"/>
      <c r="M6583" s="11"/>
      <c r="N6583" s="9" t="s">
        <v>804</v>
      </c>
    </row>
    <row r="6584" ht="25" customHeight="1" spans="1:14">
      <c r="A6584" s="9" t="s">
        <v>231</v>
      </c>
      <c r="B6584" s="9" t="s">
        <v>229</v>
      </c>
      <c r="C6584" s="10">
        <v>44882</v>
      </c>
      <c r="D6584" s="15">
        <v>1.1995</v>
      </c>
      <c r="E6584" s="15">
        <v>1.1995</v>
      </c>
      <c r="F6584" s="15">
        <v>1.1995</v>
      </c>
      <c r="G6584" s="11">
        <v>0.0005</v>
      </c>
      <c r="H6584" s="9">
        <f>MAX($F$6211:F6584)</f>
        <v>1.1995</v>
      </c>
      <c r="I6584" s="11">
        <f t="shared" si="161"/>
        <v>0</v>
      </c>
      <c r="J6584" s="9"/>
      <c r="K6584" s="11"/>
      <c r="L6584" s="9"/>
      <c r="M6584" s="11"/>
      <c r="N6584" s="9" t="s">
        <v>804</v>
      </c>
    </row>
    <row r="6585" ht="25" customHeight="1" spans="1:14">
      <c r="A6585" s="9" t="s">
        <v>231</v>
      </c>
      <c r="B6585" s="9" t="s">
        <v>229</v>
      </c>
      <c r="C6585" s="10">
        <v>44883</v>
      </c>
      <c r="D6585" s="15">
        <v>1.1997</v>
      </c>
      <c r="E6585" s="15">
        <v>1.1997</v>
      </c>
      <c r="F6585" s="15">
        <v>1.1997</v>
      </c>
      <c r="G6585" s="11">
        <v>0.0002</v>
      </c>
      <c r="H6585" s="9">
        <f>MAX($F$6211:F6585)</f>
        <v>1.1997</v>
      </c>
      <c r="I6585" s="11">
        <f t="shared" si="161"/>
        <v>0</v>
      </c>
      <c r="J6585" s="9"/>
      <c r="K6585" s="11"/>
      <c r="L6585" s="9"/>
      <c r="M6585" s="11"/>
      <c r="N6585" s="9" t="s">
        <v>804</v>
      </c>
    </row>
    <row r="6586" ht="25" customHeight="1" spans="1:14">
      <c r="A6586" s="9" t="s">
        <v>231</v>
      </c>
      <c r="B6586" s="9" t="s">
        <v>229</v>
      </c>
      <c r="C6586" s="10">
        <v>44886</v>
      </c>
      <c r="D6586" s="15">
        <v>1.2001</v>
      </c>
      <c r="E6586" s="15">
        <v>1.2001</v>
      </c>
      <c r="F6586" s="15">
        <v>1.2001</v>
      </c>
      <c r="G6586" s="11">
        <v>0.0003</v>
      </c>
      <c r="H6586" s="9">
        <f>MAX($F$6211:F6586)</f>
        <v>1.2001</v>
      </c>
      <c r="I6586" s="11">
        <f t="shared" si="161"/>
        <v>0</v>
      </c>
      <c r="J6586" s="9"/>
      <c r="K6586" s="11"/>
      <c r="L6586" s="9"/>
      <c r="M6586" s="11"/>
      <c r="N6586" s="9" t="s">
        <v>804</v>
      </c>
    </row>
    <row r="6587" ht="25" customHeight="1" spans="1:14">
      <c r="A6587" s="9" t="s">
        <v>231</v>
      </c>
      <c r="B6587" s="9" t="s">
        <v>229</v>
      </c>
      <c r="C6587" s="10">
        <v>44887</v>
      </c>
      <c r="D6587" s="15">
        <v>1.2001</v>
      </c>
      <c r="E6587" s="15">
        <v>1.2001</v>
      </c>
      <c r="F6587" s="15">
        <v>1.2001</v>
      </c>
      <c r="G6587" s="11">
        <v>0</v>
      </c>
      <c r="H6587" s="9">
        <f>MAX($F$6211:F6587)</f>
        <v>1.2001</v>
      </c>
      <c r="I6587" s="11">
        <f t="shared" si="161"/>
        <v>0</v>
      </c>
      <c r="J6587" s="9"/>
      <c r="K6587" s="11"/>
      <c r="L6587" s="9"/>
      <c r="M6587" s="11"/>
      <c r="N6587" s="9" t="s">
        <v>804</v>
      </c>
    </row>
    <row r="6588" ht="25" customHeight="1" spans="1:14">
      <c r="A6588" s="9" t="s">
        <v>231</v>
      </c>
      <c r="B6588" s="9" t="s">
        <v>229</v>
      </c>
      <c r="C6588" s="10">
        <v>44888</v>
      </c>
      <c r="D6588" s="15">
        <v>1.201</v>
      </c>
      <c r="E6588" s="15">
        <v>1.201</v>
      </c>
      <c r="F6588" s="15">
        <v>1.201</v>
      </c>
      <c r="G6588" s="11">
        <v>0.0007</v>
      </c>
      <c r="H6588" s="9">
        <f>MAX($F$6211:F6588)</f>
        <v>1.201</v>
      </c>
      <c r="I6588" s="11">
        <f t="shared" si="161"/>
        <v>0</v>
      </c>
      <c r="J6588" s="9"/>
      <c r="K6588" s="11"/>
      <c r="L6588" s="9"/>
      <c r="M6588" s="11"/>
      <c r="N6588" s="9" t="s">
        <v>804</v>
      </c>
    </row>
    <row r="6589" ht="25" customHeight="1" spans="1:14">
      <c r="A6589" s="9" t="s">
        <v>231</v>
      </c>
      <c r="B6589" s="9" t="s">
        <v>229</v>
      </c>
      <c r="C6589" s="10">
        <v>44889</v>
      </c>
      <c r="D6589" s="15">
        <v>1.2014</v>
      </c>
      <c r="E6589" s="15">
        <v>1.2014</v>
      </c>
      <c r="F6589" s="15">
        <v>1.2014</v>
      </c>
      <c r="G6589" s="11">
        <v>0.0003</v>
      </c>
      <c r="H6589" s="9">
        <f>MAX($F$6211:F6589)</f>
        <v>1.2014</v>
      </c>
      <c r="I6589" s="11">
        <f t="shared" si="161"/>
        <v>0</v>
      </c>
      <c r="J6589" s="9"/>
      <c r="K6589" s="11"/>
      <c r="L6589" s="9"/>
      <c r="M6589" s="11"/>
      <c r="N6589" s="9" t="s">
        <v>804</v>
      </c>
    </row>
    <row r="6590" ht="25" customHeight="1" spans="1:14">
      <c r="A6590" s="9" t="s">
        <v>231</v>
      </c>
      <c r="B6590" s="9" t="s">
        <v>229</v>
      </c>
      <c r="C6590" s="10">
        <v>44890</v>
      </c>
      <c r="D6590" s="15">
        <v>1.2015</v>
      </c>
      <c r="E6590" s="15">
        <v>1.2015</v>
      </c>
      <c r="F6590" s="15">
        <v>1.2015</v>
      </c>
      <c r="G6590" s="11">
        <v>0.0001</v>
      </c>
      <c r="H6590" s="9">
        <f>MAX($F$6211:F6590)</f>
        <v>1.2015</v>
      </c>
      <c r="I6590" s="11">
        <f t="shared" si="161"/>
        <v>0</v>
      </c>
      <c r="J6590" s="9"/>
      <c r="K6590" s="11"/>
      <c r="L6590" s="9"/>
      <c r="M6590" s="11"/>
      <c r="N6590" s="9" t="s">
        <v>804</v>
      </c>
    </row>
    <row r="6591" ht="25" customHeight="1" spans="1:14">
      <c r="A6591" s="9" t="s">
        <v>231</v>
      </c>
      <c r="B6591" s="9" t="s">
        <v>229</v>
      </c>
      <c r="C6591" s="10">
        <v>44893</v>
      </c>
      <c r="D6591" s="15">
        <v>1.2021</v>
      </c>
      <c r="E6591" s="15">
        <v>1.2021</v>
      </c>
      <c r="F6591" s="15">
        <v>1.2021</v>
      </c>
      <c r="G6591" s="11">
        <v>0.0005</v>
      </c>
      <c r="H6591" s="9">
        <f>MAX($F$6211:F6591)</f>
        <v>1.2021</v>
      </c>
      <c r="I6591" s="11">
        <f t="shared" si="161"/>
        <v>0</v>
      </c>
      <c r="J6591" s="9"/>
      <c r="K6591" s="11"/>
      <c r="L6591" s="9"/>
      <c r="M6591" s="11"/>
      <c r="N6591" s="9" t="s">
        <v>804</v>
      </c>
    </row>
    <row r="6592" ht="25" customHeight="1" spans="1:14">
      <c r="A6592" s="9" t="s">
        <v>231</v>
      </c>
      <c r="B6592" s="9" t="s">
        <v>229</v>
      </c>
      <c r="C6592" s="10">
        <v>44894</v>
      </c>
      <c r="D6592" s="15">
        <v>1.2024</v>
      </c>
      <c r="E6592" s="15">
        <v>1.2024</v>
      </c>
      <c r="F6592" s="15">
        <v>1.2024</v>
      </c>
      <c r="G6592" s="11">
        <v>0.0002</v>
      </c>
      <c r="H6592" s="9">
        <f>MAX($F$6211:F6592)</f>
        <v>1.2024</v>
      </c>
      <c r="I6592" s="11">
        <f t="shared" si="161"/>
        <v>0</v>
      </c>
      <c r="J6592" s="9"/>
      <c r="K6592" s="11"/>
      <c r="L6592" s="9"/>
      <c r="M6592" s="11"/>
      <c r="N6592" s="9" t="s">
        <v>804</v>
      </c>
    </row>
    <row r="6593" ht="25" customHeight="1" spans="1:14">
      <c r="A6593" s="9" t="s">
        <v>231</v>
      </c>
      <c r="B6593" s="9" t="s">
        <v>229</v>
      </c>
      <c r="C6593" s="10">
        <v>44895</v>
      </c>
      <c r="D6593" s="15">
        <v>1.2023</v>
      </c>
      <c r="E6593" s="15">
        <v>1.2023</v>
      </c>
      <c r="F6593" s="15">
        <v>1.2023</v>
      </c>
      <c r="G6593" s="11">
        <v>-0.0001</v>
      </c>
      <c r="H6593" s="9">
        <f>MAX($F$6211:F6593)</f>
        <v>1.2024</v>
      </c>
      <c r="I6593" s="11">
        <f t="shared" si="161"/>
        <v>8.31669993346384e-5</v>
      </c>
      <c r="J6593" s="9"/>
      <c r="K6593" s="11"/>
      <c r="L6593" s="9"/>
      <c r="M6593" s="11"/>
      <c r="N6593" s="9" t="s">
        <v>804</v>
      </c>
    </row>
    <row r="6594" ht="25" customHeight="1" spans="1:14">
      <c r="A6594" s="9" t="s">
        <v>231</v>
      </c>
      <c r="B6594" s="9" t="s">
        <v>229</v>
      </c>
      <c r="C6594" s="10">
        <v>44896</v>
      </c>
      <c r="D6594" s="15">
        <v>1.2025</v>
      </c>
      <c r="E6594" s="15">
        <v>1.2025</v>
      </c>
      <c r="F6594" s="15">
        <v>1.2025</v>
      </c>
      <c r="G6594" s="11">
        <v>0.0002</v>
      </c>
      <c r="H6594" s="9">
        <f>MAX($F$6211:F6594)</f>
        <v>1.2025</v>
      </c>
      <c r="I6594" s="11">
        <f t="shared" ref="I6594:I6657" si="162">1-F6594/H6594</f>
        <v>0</v>
      </c>
      <c r="J6594" s="9"/>
      <c r="K6594" s="11"/>
      <c r="L6594" s="9"/>
      <c r="M6594" s="11"/>
      <c r="N6594" s="9" t="s">
        <v>804</v>
      </c>
    </row>
    <row r="6595" ht="25" customHeight="1" spans="1:14">
      <c r="A6595" s="9" t="s">
        <v>231</v>
      </c>
      <c r="B6595" s="9" t="s">
        <v>229</v>
      </c>
      <c r="C6595" s="10">
        <v>44897</v>
      </c>
      <c r="D6595" s="15">
        <v>1.2027</v>
      </c>
      <c r="E6595" s="15">
        <v>1.2027</v>
      </c>
      <c r="F6595" s="15">
        <v>1.2027</v>
      </c>
      <c r="G6595" s="11">
        <v>0.0002</v>
      </c>
      <c r="H6595" s="9">
        <f>MAX($F$6211:F6595)</f>
        <v>1.2027</v>
      </c>
      <c r="I6595" s="11">
        <f t="shared" si="162"/>
        <v>0</v>
      </c>
      <c r="J6595" s="9"/>
      <c r="K6595" s="11"/>
      <c r="L6595" s="9"/>
      <c r="M6595" s="11"/>
      <c r="N6595" s="9" t="s">
        <v>804</v>
      </c>
    </row>
    <row r="6596" ht="25" customHeight="1" spans="1:14">
      <c r="A6596" s="9" t="s">
        <v>231</v>
      </c>
      <c r="B6596" s="9" t="s">
        <v>229</v>
      </c>
      <c r="C6596" s="10">
        <v>44900</v>
      </c>
      <c r="D6596" s="15">
        <v>1.2028</v>
      </c>
      <c r="E6596" s="15">
        <v>1.2028</v>
      </c>
      <c r="F6596" s="15">
        <v>1.2028</v>
      </c>
      <c r="G6596" s="11">
        <v>0.0001</v>
      </c>
      <c r="H6596" s="9">
        <f>MAX($F$6211:F6596)</f>
        <v>1.2028</v>
      </c>
      <c r="I6596" s="11">
        <f t="shared" si="162"/>
        <v>0</v>
      </c>
      <c r="J6596" s="9"/>
      <c r="K6596" s="11"/>
      <c r="L6596" s="9"/>
      <c r="M6596" s="11"/>
      <c r="N6596" s="9" t="s">
        <v>804</v>
      </c>
    </row>
    <row r="6597" ht="25" customHeight="1" spans="1:14">
      <c r="A6597" s="9" t="s">
        <v>231</v>
      </c>
      <c r="B6597" s="9" t="s">
        <v>229</v>
      </c>
      <c r="C6597" s="10">
        <v>44901</v>
      </c>
      <c r="D6597" s="15">
        <v>1.2028</v>
      </c>
      <c r="E6597" s="15">
        <v>1.2028</v>
      </c>
      <c r="F6597" s="15">
        <v>1.2028</v>
      </c>
      <c r="G6597" s="11">
        <v>0</v>
      </c>
      <c r="H6597" s="9">
        <f>MAX($F$6211:F6597)</f>
        <v>1.2028</v>
      </c>
      <c r="I6597" s="11">
        <f t="shared" si="162"/>
        <v>0</v>
      </c>
      <c r="J6597" s="9"/>
      <c r="K6597" s="11"/>
      <c r="L6597" s="9"/>
      <c r="M6597" s="11"/>
      <c r="N6597" s="9" t="s">
        <v>804</v>
      </c>
    </row>
    <row r="6598" ht="25" customHeight="1" spans="1:14">
      <c r="A6598" s="9" t="s">
        <v>231</v>
      </c>
      <c r="B6598" s="9" t="s">
        <v>229</v>
      </c>
      <c r="C6598" s="10">
        <v>44902</v>
      </c>
      <c r="D6598" s="15">
        <v>1.2031</v>
      </c>
      <c r="E6598" s="15">
        <v>1.2031</v>
      </c>
      <c r="F6598" s="15">
        <v>1.2031</v>
      </c>
      <c r="G6598" s="11">
        <v>0.0002</v>
      </c>
      <c r="H6598" s="9">
        <f>MAX($F$6211:F6598)</f>
        <v>1.2031</v>
      </c>
      <c r="I6598" s="11">
        <f t="shared" si="162"/>
        <v>0</v>
      </c>
      <c r="J6598" s="9"/>
      <c r="K6598" s="11"/>
      <c r="L6598" s="9"/>
      <c r="M6598" s="11"/>
      <c r="N6598" s="9" t="s">
        <v>804</v>
      </c>
    </row>
    <row r="6599" ht="25" customHeight="1" spans="1:14">
      <c r="A6599" s="9" t="s">
        <v>231</v>
      </c>
      <c r="B6599" s="9" t="s">
        <v>229</v>
      </c>
      <c r="C6599" s="10">
        <v>44903</v>
      </c>
      <c r="D6599" s="15">
        <v>1.2036</v>
      </c>
      <c r="E6599" s="15">
        <v>1.2036</v>
      </c>
      <c r="F6599" s="15">
        <v>1.2036</v>
      </c>
      <c r="G6599" s="11">
        <v>0.0004</v>
      </c>
      <c r="H6599" s="9">
        <f>MAX($F$6211:F6599)</f>
        <v>1.2036</v>
      </c>
      <c r="I6599" s="11">
        <f t="shared" si="162"/>
        <v>0</v>
      </c>
      <c r="J6599" s="9"/>
      <c r="K6599" s="11"/>
      <c r="L6599" s="9"/>
      <c r="M6599" s="11"/>
      <c r="N6599" s="9" t="s">
        <v>804</v>
      </c>
    </row>
    <row r="6600" ht="25" customHeight="1" spans="1:14">
      <c r="A6600" s="9" t="s">
        <v>231</v>
      </c>
      <c r="B6600" s="9" t="s">
        <v>229</v>
      </c>
      <c r="C6600" s="10">
        <v>44904</v>
      </c>
      <c r="D6600" s="15">
        <v>1.2037</v>
      </c>
      <c r="E6600" s="15">
        <v>1.2037</v>
      </c>
      <c r="F6600" s="15">
        <v>1.2037</v>
      </c>
      <c r="G6600" s="11">
        <v>0.0001</v>
      </c>
      <c r="H6600" s="9">
        <f>MAX($F$6211:F6600)</f>
        <v>1.2037</v>
      </c>
      <c r="I6600" s="11">
        <f t="shared" si="162"/>
        <v>0</v>
      </c>
      <c r="J6600" s="9"/>
      <c r="K6600" s="11"/>
      <c r="L6600" s="9"/>
      <c r="M6600" s="11"/>
      <c r="N6600" s="9" t="s">
        <v>804</v>
      </c>
    </row>
    <row r="6601" ht="25" customHeight="1" spans="1:14">
      <c r="A6601" s="9" t="s">
        <v>231</v>
      </c>
      <c r="B6601" s="9" t="s">
        <v>229</v>
      </c>
      <c r="C6601" s="10">
        <v>44907</v>
      </c>
      <c r="D6601" s="15">
        <v>1.2037</v>
      </c>
      <c r="E6601" s="15">
        <v>1.2037</v>
      </c>
      <c r="F6601" s="15">
        <v>1.2037</v>
      </c>
      <c r="G6601" s="11">
        <v>0</v>
      </c>
      <c r="H6601" s="9">
        <f>MAX($F$6211:F6601)</f>
        <v>1.2037</v>
      </c>
      <c r="I6601" s="11">
        <f t="shared" si="162"/>
        <v>0</v>
      </c>
      <c r="J6601" s="9"/>
      <c r="K6601" s="11"/>
      <c r="L6601" s="9"/>
      <c r="M6601" s="11"/>
      <c r="N6601" s="9" t="s">
        <v>804</v>
      </c>
    </row>
    <row r="6602" ht="25" customHeight="1" spans="1:14">
      <c r="A6602" s="9" t="s">
        <v>231</v>
      </c>
      <c r="B6602" s="9" t="s">
        <v>229</v>
      </c>
      <c r="C6602" s="10">
        <v>44908</v>
      </c>
      <c r="D6602" s="15">
        <v>1.2039</v>
      </c>
      <c r="E6602" s="15">
        <v>1.2039</v>
      </c>
      <c r="F6602" s="15">
        <v>1.2039</v>
      </c>
      <c r="G6602" s="11">
        <v>0.0002</v>
      </c>
      <c r="H6602" s="9">
        <f>MAX($F$6211:F6602)</f>
        <v>1.2039</v>
      </c>
      <c r="I6602" s="11">
        <f t="shared" si="162"/>
        <v>0</v>
      </c>
      <c r="J6602" s="9"/>
      <c r="K6602" s="11"/>
      <c r="L6602" s="9"/>
      <c r="M6602" s="11"/>
      <c r="N6602" s="9" t="s">
        <v>804</v>
      </c>
    </row>
    <row r="6603" ht="25" customHeight="1" spans="1:14">
      <c r="A6603" s="9" t="s">
        <v>231</v>
      </c>
      <c r="B6603" s="9" t="s">
        <v>229</v>
      </c>
      <c r="C6603" s="10">
        <v>44909</v>
      </c>
      <c r="D6603" s="15">
        <v>1.2036</v>
      </c>
      <c r="E6603" s="15">
        <v>1.2036</v>
      </c>
      <c r="F6603" s="15">
        <v>1.2036</v>
      </c>
      <c r="G6603" s="11">
        <v>-0.0002</v>
      </c>
      <c r="H6603" s="9">
        <f>MAX($F$6211:F6603)</f>
        <v>1.2039</v>
      </c>
      <c r="I6603" s="11">
        <f t="shared" si="162"/>
        <v>0.000249190132070698</v>
      </c>
      <c r="J6603" s="9"/>
      <c r="K6603" s="11"/>
      <c r="L6603" s="9"/>
      <c r="M6603" s="11"/>
      <c r="N6603" s="9" t="s">
        <v>804</v>
      </c>
    </row>
    <row r="6604" ht="25" customHeight="1" spans="1:14">
      <c r="A6604" s="9" t="s">
        <v>231</v>
      </c>
      <c r="B6604" s="9" t="s">
        <v>229</v>
      </c>
      <c r="C6604" s="10">
        <v>44910</v>
      </c>
      <c r="D6604" s="15">
        <v>1.2037</v>
      </c>
      <c r="E6604" s="15">
        <v>1.2037</v>
      </c>
      <c r="F6604" s="15">
        <v>1.2037</v>
      </c>
      <c r="G6604" s="11">
        <v>0.0001</v>
      </c>
      <c r="H6604" s="9">
        <f>MAX($F$6211:F6604)</f>
        <v>1.2039</v>
      </c>
      <c r="I6604" s="11">
        <f t="shared" si="162"/>
        <v>0.000166126754713836</v>
      </c>
      <c r="J6604" s="9"/>
      <c r="K6604" s="11"/>
      <c r="L6604" s="9"/>
      <c r="M6604" s="11"/>
      <c r="N6604" s="9" t="s">
        <v>804</v>
      </c>
    </row>
    <row r="6605" ht="25" customHeight="1" spans="1:14">
      <c r="A6605" s="9" t="s">
        <v>231</v>
      </c>
      <c r="B6605" s="9" t="s">
        <v>229</v>
      </c>
      <c r="C6605" s="10">
        <v>44911</v>
      </c>
      <c r="D6605" s="15">
        <v>1.2038</v>
      </c>
      <c r="E6605" s="15">
        <v>1.2038</v>
      </c>
      <c r="F6605" s="15">
        <v>1.2038</v>
      </c>
      <c r="G6605" s="11">
        <v>0.0001</v>
      </c>
      <c r="H6605" s="9">
        <f>MAX($F$6211:F6605)</f>
        <v>1.2039</v>
      </c>
      <c r="I6605" s="11">
        <f t="shared" si="162"/>
        <v>8.30633773568623e-5</v>
      </c>
      <c r="J6605" s="9"/>
      <c r="K6605" s="11"/>
      <c r="L6605" s="9"/>
      <c r="M6605" s="11"/>
      <c r="N6605" s="9" t="s">
        <v>804</v>
      </c>
    </row>
    <row r="6606" ht="25" customHeight="1" spans="1:14">
      <c r="A6606" s="9" t="s">
        <v>231</v>
      </c>
      <c r="B6606" s="9" t="s">
        <v>229</v>
      </c>
      <c r="C6606" s="10">
        <v>44914</v>
      </c>
      <c r="D6606" s="15">
        <v>1.2039</v>
      </c>
      <c r="E6606" s="15">
        <v>1.2039</v>
      </c>
      <c r="F6606" s="15">
        <v>1.2039</v>
      </c>
      <c r="G6606" s="11">
        <v>0.0001</v>
      </c>
      <c r="H6606" s="9">
        <f>MAX($F$6211:F6606)</f>
        <v>1.2039</v>
      </c>
      <c r="I6606" s="11">
        <f t="shared" si="162"/>
        <v>0</v>
      </c>
      <c r="J6606" s="9"/>
      <c r="K6606" s="11"/>
      <c r="L6606" s="9"/>
      <c r="M6606" s="11"/>
      <c r="N6606" s="9" t="s">
        <v>804</v>
      </c>
    </row>
    <row r="6607" ht="25" customHeight="1" spans="1:14">
      <c r="A6607" s="9" t="s">
        <v>231</v>
      </c>
      <c r="B6607" s="9" t="s">
        <v>229</v>
      </c>
      <c r="C6607" s="10">
        <v>44915</v>
      </c>
      <c r="D6607" s="15">
        <v>1.2038</v>
      </c>
      <c r="E6607" s="15">
        <v>1.2038</v>
      </c>
      <c r="F6607" s="15">
        <v>1.2038</v>
      </c>
      <c r="G6607" s="11">
        <v>-0.0001</v>
      </c>
      <c r="H6607" s="9">
        <f>MAX($F$6211:F6607)</f>
        <v>1.2039</v>
      </c>
      <c r="I6607" s="11">
        <f t="shared" si="162"/>
        <v>8.30633773568623e-5</v>
      </c>
      <c r="J6607" s="9"/>
      <c r="K6607" s="11"/>
      <c r="L6607" s="9"/>
      <c r="M6607" s="11"/>
      <c r="N6607" s="9" t="s">
        <v>804</v>
      </c>
    </row>
    <row r="6608" ht="25" customHeight="1" spans="1:14">
      <c r="A6608" s="9" t="s">
        <v>231</v>
      </c>
      <c r="B6608" s="9" t="s">
        <v>229</v>
      </c>
      <c r="C6608" s="10">
        <v>44916</v>
      </c>
      <c r="D6608" s="15">
        <v>1.204</v>
      </c>
      <c r="E6608" s="15">
        <v>1.204</v>
      </c>
      <c r="F6608" s="15">
        <v>1.204</v>
      </c>
      <c r="G6608" s="11">
        <v>0.0002</v>
      </c>
      <c r="H6608" s="9">
        <f>MAX($F$6211:F6608)</f>
        <v>1.204</v>
      </c>
      <c r="I6608" s="11">
        <f t="shared" si="162"/>
        <v>0</v>
      </c>
      <c r="J6608" s="9"/>
      <c r="K6608" s="11"/>
      <c r="L6608" s="9"/>
      <c r="M6608" s="11"/>
      <c r="N6608" s="9" t="s">
        <v>804</v>
      </c>
    </row>
    <row r="6609" ht="25" customHeight="1" spans="1:14">
      <c r="A6609" s="9" t="s">
        <v>231</v>
      </c>
      <c r="B6609" s="9" t="s">
        <v>229</v>
      </c>
      <c r="C6609" s="10">
        <v>44917</v>
      </c>
      <c r="D6609" s="15">
        <v>1.2044</v>
      </c>
      <c r="E6609" s="15">
        <v>1.2044</v>
      </c>
      <c r="F6609" s="15">
        <v>1.2044</v>
      </c>
      <c r="G6609" s="11">
        <v>0.0003</v>
      </c>
      <c r="H6609" s="9">
        <f>MAX($F$6211:F6609)</f>
        <v>1.2044</v>
      </c>
      <c r="I6609" s="11">
        <f t="shared" si="162"/>
        <v>0</v>
      </c>
      <c r="J6609" s="9"/>
      <c r="K6609" s="11"/>
      <c r="L6609" s="9"/>
      <c r="M6609" s="11"/>
      <c r="N6609" s="9" t="s">
        <v>804</v>
      </c>
    </row>
    <row r="6610" ht="25" customHeight="1" spans="1:14">
      <c r="A6610" s="9" t="s">
        <v>231</v>
      </c>
      <c r="B6610" s="9" t="s">
        <v>229</v>
      </c>
      <c r="C6610" s="10">
        <v>44918</v>
      </c>
      <c r="D6610" s="15">
        <v>1.2045</v>
      </c>
      <c r="E6610" s="15">
        <v>1.2045</v>
      </c>
      <c r="F6610" s="15">
        <v>1.2045</v>
      </c>
      <c r="G6610" s="11">
        <v>0.0001</v>
      </c>
      <c r="H6610" s="9">
        <f>MAX($F$6211:F6610)</f>
        <v>1.2045</v>
      </c>
      <c r="I6610" s="11">
        <f t="shared" si="162"/>
        <v>0</v>
      </c>
      <c r="J6610" s="9"/>
      <c r="K6610" s="11"/>
      <c r="L6610" s="9"/>
      <c r="M6610" s="11"/>
      <c r="N6610" s="9" t="s">
        <v>804</v>
      </c>
    </row>
    <row r="6611" ht="25" customHeight="1" spans="1:14">
      <c r="A6611" s="9" t="s">
        <v>231</v>
      </c>
      <c r="B6611" s="9" t="s">
        <v>229</v>
      </c>
      <c r="C6611" s="10">
        <v>44921</v>
      </c>
      <c r="D6611" s="15">
        <v>1.2046</v>
      </c>
      <c r="E6611" s="15">
        <v>1.2046</v>
      </c>
      <c r="F6611" s="15">
        <v>1.2046</v>
      </c>
      <c r="G6611" s="11">
        <v>0.0001</v>
      </c>
      <c r="H6611" s="9">
        <f>MAX($F$6211:F6611)</f>
        <v>1.2046</v>
      </c>
      <c r="I6611" s="11">
        <f t="shared" si="162"/>
        <v>0</v>
      </c>
      <c r="J6611" s="9"/>
      <c r="K6611" s="11"/>
      <c r="L6611" s="9"/>
      <c r="M6611" s="11"/>
      <c r="N6611" s="9" t="s">
        <v>804</v>
      </c>
    </row>
    <row r="6612" ht="25" customHeight="1" spans="1:14">
      <c r="A6612" s="9" t="s">
        <v>231</v>
      </c>
      <c r="B6612" s="9" t="s">
        <v>229</v>
      </c>
      <c r="C6612" s="10">
        <v>44922</v>
      </c>
      <c r="D6612" s="15">
        <v>1.2047</v>
      </c>
      <c r="E6612" s="15">
        <v>1.2047</v>
      </c>
      <c r="F6612" s="15">
        <v>1.2047</v>
      </c>
      <c r="G6612" s="11">
        <v>0.0001</v>
      </c>
      <c r="H6612" s="9">
        <f>MAX($F$6211:F6612)</f>
        <v>1.2047</v>
      </c>
      <c r="I6612" s="11">
        <f t="shared" si="162"/>
        <v>0</v>
      </c>
      <c r="J6612" s="9"/>
      <c r="K6612" s="11"/>
      <c r="L6612" s="9"/>
      <c r="M6612" s="11"/>
      <c r="N6612" s="9" t="s">
        <v>804</v>
      </c>
    </row>
    <row r="6613" ht="25" customHeight="1" spans="1:14">
      <c r="A6613" s="9" t="s">
        <v>231</v>
      </c>
      <c r="B6613" s="9" t="s">
        <v>229</v>
      </c>
      <c r="C6613" s="10">
        <v>44923</v>
      </c>
      <c r="D6613" s="15">
        <v>1.2049</v>
      </c>
      <c r="E6613" s="15">
        <v>1.2049</v>
      </c>
      <c r="F6613" s="15">
        <v>1.2049</v>
      </c>
      <c r="G6613" s="11">
        <v>0.0002</v>
      </c>
      <c r="H6613" s="9">
        <f>MAX($F$6211:F6613)</f>
        <v>1.2049</v>
      </c>
      <c r="I6613" s="11">
        <f t="shared" si="162"/>
        <v>0</v>
      </c>
      <c r="J6613" s="9"/>
      <c r="K6613" s="11"/>
      <c r="L6613" s="9"/>
      <c r="M6613" s="11"/>
      <c r="N6613" s="9" t="s">
        <v>804</v>
      </c>
    </row>
    <row r="6614" ht="25" customHeight="1" spans="1:14">
      <c r="A6614" s="9" t="s">
        <v>231</v>
      </c>
      <c r="B6614" s="9" t="s">
        <v>229</v>
      </c>
      <c r="C6614" s="10">
        <v>44924</v>
      </c>
      <c r="D6614" s="15">
        <v>1.2049</v>
      </c>
      <c r="E6614" s="15">
        <v>1.2049</v>
      </c>
      <c r="F6614" s="15">
        <v>1.2049</v>
      </c>
      <c r="G6614" s="11">
        <v>0</v>
      </c>
      <c r="H6614" s="9">
        <f>MAX($F$6211:F6614)</f>
        <v>1.2049</v>
      </c>
      <c r="I6614" s="11">
        <f t="shared" si="162"/>
        <v>0</v>
      </c>
      <c r="J6614" s="9"/>
      <c r="K6614" s="11"/>
      <c r="L6614" s="9"/>
      <c r="M6614" s="11"/>
      <c r="N6614" s="9" t="s">
        <v>804</v>
      </c>
    </row>
    <row r="6615" ht="25" customHeight="1" spans="1:14">
      <c r="A6615" s="9" t="s">
        <v>231</v>
      </c>
      <c r="B6615" s="9" t="s">
        <v>229</v>
      </c>
      <c r="C6615" s="10">
        <v>44925</v>
      </c>
      <c r="D6615" s="15">
        <v>1.208</v>
      </c>
      <c r="E6615" s="15">
        <v>1.208</v>
      </c>
      <c r="F6615" s="15">
        <v>1.208</v>
      </c>
      <c r="G6615" s="11">
        <v>0.0026</v>
      </c>
      <c r="H6615" s="9">
        <f>MAX($F$6211:F6615)</f>
        <v>1.208</v>
      </c>
      <c r="I6615" s="11">
        <f t="shared" si="162"/>
        <v>0</v>
      </c>
      <c r="J6615" s="9"/>
      <c r="K6615" s="11"/>
      <c r="L6615" s="9"/>
      <c r="M6615" s="11"/>
      <c r="N6615" s="9" t="s">
        <v>804</v>
      </c>
    </row>
    <row r="6616" ht="25" customHeight="1" spans="1:14">
      <c r="A6616" s="9" t="s">
        <v>231</v>
      </c>
      <c r="B6616" s="9" t="s">
        <v>229</v>
      </c>
      <c r="C6616" s="10">
        <v>44929</v>
      </c>
      <c r="D6616" s="15">
        <v>1.2085</v>
      </c>
      <c r="E6616" s="15">
        <v>1.2085</v>
      </c>
      <c r="F6616" s="15">
        <v>1.2085</v>
      </c>
      <c r="G6616" s="11">
        <v>0.0004</v>
      </c>
      <c r="H6616" s="9">
        <f>MAX($F$6211:F6616)</f>
        <v>1.2085</v>
      </c>
      <c r="I6616" s="11">
        <f t="shared" si="162"/>
        <v>0</v>
      </c>
      <c r="J6616" s="9"/>
      <c r="K6616" s="11"/>
      <c r="L6616" s="9"/>
      <c r="M6616" s="11"/>
      <c r="N6616" s="9" t="s">
        <v>804</v>
      </c>
    </row>
    <row r="6617" ht="25" customHeight="1" spans="1:14">
      <c r="A6617" s="9" t="s">
        <v>231</v>
      </c>
      <c r="B6617" s="9" t="s">
        <v>229</v>
      </c>
      <c r="C6617" s="10">
        <v>44930</v>
      </c>
      <c r="D6617" s="15">
        <v>1.2087</v>
      </c>
      <c r="E6617" s="15">
        <v>1.2087</v>
      </c>
      <c r="F6617" s="15">
        <v>1.2087</v>
      </c>
      <c r="G6617" s="11">
        <v>0.0002</v>
      </c>
      <c r="H6617" s="9">
        <f>MAX($F$6211:F6617)</f>
        <v>1.2087</v>
      </c>
      <c r="I6617" s="11">
        <f t="shared" si="162"/>
        <v>0</v>
      </c>
      <c r="J6617" s="9"/>
      <c r="K6617" s="11"/>
      <c r="L6617" s="9"/>
      <c r="M6617" s="11"/>
      <c r="N6617" s="9" t="s">
        <v>804</v>
      </c>
    </row>
    <row r="6618" ht="25" customHeight="1" spans="1:14">
      <c r="A6618" s="9" t="s">
        <v>231</v>
      </c>
      <c r="B6618" s="9" t="s">
        <v>229</v>
      </c>
      <c r="C6618" s="10">
        <v>44931</v>
      </c>
      <c r="D6618" s="15">
        <v>1.2087</v>
      </c>
      <c r="E6618" s="15">
        <v>1.2087</v>
      </c>
      <c r="F6618" s="15">
        <v>1.2087</v>
      </c>
      <c r="G6618" s="11">
        <v>0</v>
      </c>
      <c r="H6618" s="9">
        <f>MAX($F$6211:F6618)</f>
        <v>1.2087</v>
      </c>
      <c r="I6618" s="11">
        <f t="shared" si="162"/>
        <v>0</v>
      </c>
      <c r="J6618" s="9"/>
      <c r="K6618" s="11"/>
      <c r="L6618" s="9"/>
      <c r="M6618" s="11"/>
      <c r="N6618" s="9" t="s">
        <v>804</v>
      </c>
    </row>
    <row r="6619" ht="25" customHeight="1" spans="1:14">
      <c r="A6619" s="9" t="s">
        <v>231</v>
      </c>
      <c r="B6619" s="9" t="s">
        <v>229</v>
      </c>
      <c r="C6619" s="10">
        <v>44932</v>
      </c>
      <c r="D6619" s="15">
        <v>1.2088</v>
      </c>
      <c r="E6619" s="15">
        <v>1.2088</v>
      </c>
      <c r="F6619" s="15">
        <v>1.2088</v>
      </c>
      <c r="G6619" s="11">
        <v>0.0001</v>
      </c>
      <c r="H6619" s="9">
        <f>MAX($F$6211:F6619)</f>
        <v>1.2088</v>
      </c>
      <c r="I6619" s="11">
        <f t="shared" si="162"/>
        <v>0</v>
      </c>
      <c r="J6619" s="9"/>
      <c r="K6619" s="11"/>
      <c r="L6619" s="9"/>
      <c r="M6619" s="11"/>
      <c r="N6619" s="9" t="s">
        <v>804</v>
      </c>
    </row>
    <row r="6620" ht="25" customHeight="1" spans="1:14">
      <c r="A6620" s="9" t="s">
        <v>231</v>
      </c>
      <c r="B6620" s="9" t="s">
        <v>229</v>
      </c>
      <c r="C6620" s="10">
        <v>44935</v>
      </c>
      <c r="D6620" s="15">
        <v>1.2106</v>
      </c>
      <c r="E6620" s="15">
        <v>1.2106</v>
      </c>
      <c r="F6620" s="15">
        <v>1.2106</v>
      </c>
      <c r="G6620" s="11">
        <v>0.0015</v>
      </c>
      <c r="H6620" s="9">
        <f>MAX($F$6211:F6620)</f>
        <v>1.2106</v>
      </c>
      <c r="I6620" s="11">
        <f t="shared" si="162"/>
        <v>0</v>
      </c>
      <c r="J6620" s="9"/>
      <c r="K6620" s="11"/>
      <c r="L6620" s="9"/>
      <c r="M6620" s="11"/>
      <c r="N6620" s="9" t="s">
        <v>804</v>
      </c>
    </row>
    <row r="6621" ht="25" customHeight="1" spans="1:14">
      <c r="A6621" s="9" t="s">
        <v>231</v>
      </c>
      <c r="B6621" s="9" t="s">
        <v>229</v>
      </c>
      <c r="C6621" s="10">
        <v>44936</v>
      </c>
      <c r="D6621" s="15">
        <v>1.2108</v>
      </c>
      <c r="E6621" s="15">
        <v>1.2108</v>
      </c>
      <c r="F6621" s="15">
        <v>1.2108</v>
      </c>
      <c r="G6621" s="11">
        <v>0.0002</v>
      </c>
      <c r="H6621" s="9">
        <f>MAX($F$6211:F6621)</f>
        <v>1.2108</v>
      </c>
      <c r="I6621" s="11">
        <f t="shared" si="162"/>
        <v>0</v>
      </c>
      <c r="J6621" s="9"/>
      <c r="K6621" s="11"/>
      <c r="L6621" s="9"/>
      <c r="M6621" s="11"/>
      <c r="N6621" s="9" t="s">
        <v>804</v>
      </c>
    </row>
    <row r="6622" ht="25" customHeight="1" spans="1:14">
      <c r="A6622" s="9" t="s">
        <v>231</v>
      </c>
      <c r="B6622" s="9" t="s">
        <v>229</v>
      </c>
      <c r="C6622" s="10">
        <v>44937</v>
      </c>
      <c r="D6622" s="15">
        <v>1.2109</v>
      </c>
      <c r="E6622" s="15">
        <v>1.2109</v>
      </c>
      <c r="F6622" s="15">
        <v>1.2109</v>
      </c>
      <c r="G6622" s="11">
        <v>0.0001</v>
      </c>
      <c r="H6622" s="9">
        <f>MAX($F$6211:F6622)</f>
        <v>1.2109</v>
      </c>
      <c r="I6622" s="11">
        <f t="shared" si="162"/>
        <v>0</v>
      </c>
      <c r="J6622" s="9"/>
      <c r="K6622" s="11"/>
      <c r="L6622" s="9"/>
      <c r="M6622" s="11"/>
      <c r="N6622" s="9" t="s">
        <v>804</v>
      </c>
    </row>
    <row r="6623" ht="25" customHeight="1" spans="1:14">
      <c r="A6623" s="9" t="s">
        <v>231</v>
      </c>
      <c r="B6623" s="9" t="s">
        <v>229</v>
      </c>
      <c r="C6623" s="10">
        <v>44938</v>
      </c>
      <c r="D6623" s="15">
        <v>1.211</v>
      </c>
      <c r="E6623" s="15">
        <v>1.211</v>
      </c>
      <c r="F6623" s="15">
        <v>1.211</v>
      </c>
      <c r="G6623" s="11">
        <v>0.0001</v>
      </c>
      <c r="H6623" s="9">
        <f>MAX($F$6211:F6623)</f>
        <v>1.211</v>
      </c>
      <c r="I6623" s="11">
        <f t="shared" si="162"/>
        <v>0</v>
      </c>
      <c r="J6623" s="9"/>
      <c r="K6623" s="11"/>
      <c r="L6623" s="9"/>
      <c r="M6623" s="11"/>
      <c r="N6623" s="9" t="s">
        <v>804</v>
      </c>
    </row>
    <row r="6624" ht="25" customHeight="1" spans="1:14">
      <c r="A6624" s="9" t="s">
        <v>231</v>
      </c>
      <c r="B6624" s="9" t="s">
        <v>229</v>
      </c>
      <c r="C6624" s="10">
        <v>44939</v>
      </c>
      <c r="D6624" s="15">
        <v>1.2105</v>
      </c>
      <c r="E6624" s="15">
        <v>1.2105</v>
      </c>
      <c r="F6624" s="15">
        <v>1.2105</v>
      </c>
      <c r="G6624" s="11">
        <v>-0.0004</v>
      </c>
      <c r="H6624" s="9">
        <f>MAX($F$6211:F6624)</f>
        <v>1.211</v>
      </c>
      <c r="I6624" s="11">
        <f t="shared" si="162"/>
        <v>0.000412881915772267</v>
      </c>
      <c r="J6624" s="9"/>
      <c r="K6624" s="11"/>
      <c r="L6624" s="9"/>
      <c r="M6624" s="11"/>
      <c r="N6624" s="9" t="s">
        <v>804</v>
      </c>
    </row>
    <row r="6625" ht="25" customHeight="1" spans="1:14">
      <c r="A6625" s="9" t="s">
        <v>231</v>
      </c>
      <c r="B6625" s="9" t="s">
        <v>229</v>
      </c>
      <c r="C6625" s="10">
        <v>44942</v>
      </c>
      <c r="D6625" s="15">
        <v>1.2109</v>
      </c>
      <c r="E6625" s="15">
        <v>1.2109</v>
      </c>
      <c r="F6625" s="15">
        <v>1.2109</v>
      </c>
      <c r="G6625" s="11">
        <v>0.0003</v>
      </c>
      <c r="H6625" s="9">
        <f>MAX($F$6211:F6625)</f>
        <v>1.211</v>
      </c>
      <c r="I6625" s="11">
        <f t="shared" si="162"/>
        <v>8.25763831544535e-5</v>
      </c>
      <c r="J6625" s="9"/>
      <c r="K6625" s="11"/>
      <c r="L6625" s="9"/>
      <c r="M6625" s="11"/>
      <c r="N6625" s="9" t="s">
        <v>804</v>
      </c>
    </row>
    <row r="6626" ht="25" customHeight="1" spans="1:14">
      <c r="A6626" s="9" t="s">
        <v>231</v>
      </c>
      <c r="B6626" s="9" t="s">
        <v>229</v>
      </c>
      <c r="C6626" s="10">
        <v>44943</v>
      </c>
      <c r="D6626" s="15">
        <v>1.2108</v>
      </c>
      <c r="E6626" s="15">
        <v>1.2108</v>
      </c>
      <c r="F6626" s="15">
        <v>1.2108</v>
      </c>
      <c r="G6626" s="11">
        <v>-0.0001</v>
      </c>
      <c r="H6626" s="9">
        <f>MAX($F$6211:F6626)</f>
        <v>1.211</v>
      </c>
      <c r="I6626" s="11">
        <f t="shared" si="162"/>
        <v>0.000165152766308796</v>
      </c>
      <c r="J6626" s="9"/>
      <c r="K6626" s="11"/>
      <c r="L6626" s="9"/>
      <c r="M6626" s="11"/>
      <c r="N6626" s="9" t="s">
        <v>804</v>
      </c>
    </row>
    <row r="6627" ht="25" customHeight="1" spans="1:14">
      <c r="A6627" s="9" t="s">
        <v>231</v>
      </c>
      <c r="B6627" s="9" t="s">
        <v>229</v>
      </c>
      <c r="C6627" s="10">
        <v>44944</v>
      </c>
      <c r="D6627" s="15">
        <v>1.211</v>
      </c>
      <c r="E6627" s="15">
        <v>1.211</v>
      </c>
      <c r="F6627" s="15">
        <v>1.211</v>
      </c>
      <c r="G6627" s="11">
        <v>0.0002</v>
      </c>
      <c r="H6627" s="9">
        <f>MAX($F$6211:F6627)</f>
        <v>1.211</v>
      </c>
      <c r="I6627" s="11">
        <f t="shared" si="162"/>
        <v>0</v>
      </c>
      <c r="J6627" s="9"/>
      <c r="K6627" s="11"/>
      <c r="L6627" s="9"/>
      <c r="M6627" s="11"/>
      <c r="N6627" s="9" t="s">
        <v>804</v>
      </c>
    </row>
    <row r="6628" ht="25" customHeight="1" spans="1:14">
      <c r="A6628" s="9" t="s">
        <v>231</v>
      </c>
      <c r="B6628" s="9" t="s">
        <v>229</v>
      </c>
      <c r="C6628" s="10">
        <v>44945</v>
      </c>
      <c r="D6628" s="15">
        <v>1.2106</v>
      </c>
      <c r="E6628" s="15">
        <v>1.2106</v>
      </c>
      <c r="F6628" s="15">
        <v>1.2106</v>
      </c>
      <c r="G6628" s="11">
        <v>-0.0003</v>
      </c>
      <c r="H6628" s="9">
        <f>MAX($F$6211:F6628)</f>
        <v>1.211</v>
      </c>
      <c r="I6628" s="11">
        <f t="shared" si="162"/>
        <v>0.000330305532617814</v>
      </c>
      <c r="J6628" s="9"/>
      <c r="K6628" s="11"/>
      <c r="L6628" s="9"/>
      <c r="M6628" s="11"/>
      <c r="N6628" s="9" t="s">
        <v>804</v>
      </c>
    </row>
    <row r="6629" ht="25" customHeight="1" spans="1:14">
      <c r="A6629" s="9" t="s">
        <v>231</v>
      </c>
      <c r="B6629" s="9" t="s">
        <v>229</v>
      </c>
      <c r="C6629" s="10">
        <v>44946</v>
      </c>
      <c r="D6629" s="15">
        <v>1.2109</v>
      </c>
      <c r="E6629" s="15">
        <v>1.2109</v>
      </c>
      <c r="F6629" s="15">
        <v>1.2109</v>
      </c>
      <c r="G6629" s="11">
        <v>0.0002</v>
      </c>
      <c r="H6629" s="9">
        <f>MAX($F$6211:F6629)</f>
        <v>1.211</v>
      </c>
      <c r="I6629" s="11">
        <f t="shared" si="162"/>
        <v>8.25763831544535e-5</v>
      </c>
      <c r="J6629" s="9"/>
      <c r="K6629" s="11"/>
      <c r="L6629" s="9"/>
      <c r="M6629" s="11"/>
      <c r="N6629" s="9" t="s">
        <v>804</v>
      </c>
    </row>
    <row r="6630" ht="25" customHeight="1" spans="1:14">
      <c r="A6630" s="9" t="s">
        <v>231</v>
      </c>
      <c r="B6630" s="9" t="s">
        <v>229</v>
      </c>
      <c r="C6630" s="10">
        <v>44956</v>
      </c>
      <c r="D6630" s="15">
        <v>1.2111</v>
      </c>
      <c r="E6630" s="15">
        <v>1.2111</v>
      </c>
      <c r="F6630" s="15">
        <v>1.2111</v>
      </c>
      <c r="G6630" s="11">
        <v>0.0002</v>
      </c>
      <c r="H6630" s="9">
        <f>MAX($F$6211:F6630)</f>
        <v>1.2111</v>
      </c>
      <c r="I6630" s="11">
        <f t="shared" si="162"/>
        <v>0</v>
      </c>
      <c r="J6630" s="9"/>
      <c r="K6630" s="11"/>
      <c r="L6630" s="9"/>
      <c r="M6630" s="11"/>
      <c r="N6630" s="9" t="s">
        <v>804</v>
      </c>
    </row>
    <row r="6631" ht="25" customHeight="1" spans="1:14">
      <c r="A6631" s="9" t="s">
        <v>231</v>
      </c>
      <c r="B6631" s="9" t="s">
        <v>229</v>
      </c>
      <c r="C6631" s="10">
        <v>44957</v>
      </c>
      <c r="D6631" s="15">
        <v>1.2112</v>
      </c>
      <c r="E6631" s="15">
        <v>1.2112</v>
      </c>
      <c r="F6631" s="15">
        <v>1.2112</v>
      </c>
      <c r="G6631" s="11">
        <v>0.0001</v>
      </c>
      <c r="H6631" s="9">
        <f>MAX($F$6211:F6631)</f>
        <v>1.2112</v>
      </c>
      <c r="I6631" s="11">
        <f t="shared" si="162"/>
        <v>0</v>
      </c>
      <c r="J6631" s="9"/>
      <c r="K6631" s="11"/>
      <c r="L6631" s="9"/>
      <c r="M6631" s="11"/>
      <c r="N6631" s="9" t="s">
        <v>804</v>
      </c>
    </row>
    <row r="6632" ht="25" customHeight="1" spans="1:14">
      <c r="A6632" s="9" t="s">
        <v>231</v>
      </c>
      <c r="B6632" s="9" t="s">
        <v>229</v>
      </c>
      <c r="C6632" s="10">
        <v>44958</v>
      </c>
      <c r="D6632" s="15">
        <v>1.2113</v>
      </c>
      <c r="E6632" s="15">
        <v>1.2113</v>
      </c>
      <c r="F6632" s="15">
        <v>1.2113</v>
      </c>
      <c r="G6632" s="11">
        <v>0.0001</v>
      </c>
      <c r="H6632" s="9">
        <f>MAX($F$6211:F6632)</f>
        <v>1.2113</v>
      </c>
      <c r="I6632" s="11">
        <f t="shared" si="162"/>
        <v>0</v>
      </c>
      <c r="J6632" s="9"/>
      <c r="K6632" s="11"/>
      <c r="L6632" s="9"/>
      <c r="M6632" s="11"/>
      <c r="N6632" s="9" t="s">
        <v>804</v>
      </c>
    </row>
    <row r="6633" ht="25" customHeight="1" spans="1:14">
      <c r="A6633" s="9" t="s">
        <v>231</v>
      </c>
      <c r="B6633" s="9" t="s">
        <v>229</v>
      </c>
      <c r="C6633" s="10">
        <v>44959</v>
      </c>
      <c r="D6633" s="15">
        <v>1.2113</v>
      </c>
      <c r="E6633" s="15">
        <v>1.2113</v>
      </c>
      <c r="F6633" s="15">
        <v>1.2113</v>
      </c>
      <c r="G6633" s="11">
        <v>0</v>
      </c>
      <c r="H6633" s="9">
        <f>MAX($F$6211:F6633)</f>
        <v>1.2113</v>
      </c>
      <c r="I6633" s="11">
        <f t="shared" si="162"/>
        <v>0</v>
      </c>
      <c r="J6633" s="9"/>
      <c r="K6633" s="11"/>
      <c r="L6633" s="9"/>
      <c r="M6633" s="11"/>
      <c r="N6633" s="9" t="s">
        <v>804</v>
      </c>
    </row>
    <row r="6634" ht="25" customHeight="1" spans="1:14">
      <c r="A6634" s="9" t="s">
        <v>231</v>
      </c>
      <c r="B6634" s="9" t="s">
        <v>229</v>
      </c>
      <c r="C6634" s="10">
        <v>44960</v>
      </c>
      <c r="D6634" s="15">
        <v>1.2115</v>
      </c>
      <c r="E6634" s="15">
        <v>1.2115</v>
      </c>
      <c r="F6634" s="15">
        <v>1.2115</v>
      </c>
      <c r="G6634" s="11">
        <v>0.0002</v>
      </c>
      <c r="H6634" s="9">
        <f>MAX($F$6211:F6634)</f>
        <v>1.2115</v>
      </c>
      <c r="I6634" s="11">
        <f t="shared" si="162"/>
        <v>0</v>
      </c>
      <c r="J6634" s="9"/>
      <c r="K6634" s="11"/>
      <c r="L6634" s="9"/>
      <c r="M6634" s="11"/>
      <c r="N6634" s="9" t="s">
        <v>804</v>
      </c>
    </row>
    <row r="6635" ht="25" customHeight="1" spans="1:14">
      <c r="A6635" s="9" t="s">
        <v>231</v>
      </c>
      <c r="B6635" s="9" t="s">
        <v>229</v>
      </c>
      <c r="C6635" s="10">
        <v>44963</v>
      </c>
      <c r="D6635" s="15">
        <v>1.2113</v>
      </c>
      <c r="E6635" s="15">
        <v>1.2113</v>
      </c>
      <c r="F6635" s="15">
        <v>1.2113</v>
      </c>
      <c r="G6635" s="11">
        <v>-0.0002</v>
      </c>
      <c r="H6635" s="9">
        <f>MAX($F$6211:F6635)</f>
        <v>1.2115</v>
      </c>
      <c r="I6635" s="11">
        <f t="shared" si="162"/>
        <v>0.00016508460586051</v>
      </c>
      <c r="J6635" s="9"/>
      <c r="K6635" s="11"/>
      <c r="L6635" s="9"/>
      <c r="M6635" s="11"/>
      <c r="N6635" s="9" t="s">
        <v>804</v>
      </c>
    </row>
    <row r="6636" ht="25" customHeight="1" spans="1:14">
      <c r="A6636" s="9" t="s">
        <v>231</v>
      </c>
      <c r="B6636" s="9" t="s">
        <v>229</v>
      </c>
      <c r="C6636" s="10">
        <v>44964</v>
      </c>
      <c r="D6636" s="15">
        <v>1.2113</v>
      </c>
      <c r="E6636" s="15">
        <v>1.2113</v>
      </c>
      <c r="F6636" s="15">
        <v>1.2113</v>
      </c>
      <c r="G6636" s="11">
        <v>0</v>
      </c>
      <c r="H6636" s="9">
        <f>MAX($F$6211:F6636)</f>
        <v>1.2115</v>
      </c>
      <c r="I6636" s="11">
        <f t="shared" si="162"/>
        <v>0.00016508460586051</v>
      </c>
      <c r="J6636" s="9"/>
      <c r="K6636" s="11"/>
      <c r="L6636" s="9"/>
      <c r="M6636" s="11"/>
      <c r="N6636" s="9" t="s">
        <v>804</v>
      </c>
    </row>
    <row r="6637" ht="25" customHeight="1" spans="1:14">
      <c r="A6637" s="9" t="s">
        <v>231</v>
      </c>
      <c r="B6637" s="9" t="s">
        <v>229</v>
      </c>
      <c r="C6637" s="10">
        <v>44965</v>
      </c>
      <c r="D6637" s="15">
        <v>1.2113</v>
      </c>
      <c r="E6637" s="15">
        <v>1.2113</v>
      </c>
      <c r="F6637" s="15">
        <v>1.2113</v>
      </c>
      <c r="G6637" s="11">
        <v>0</v>
      </c>
      <c r="H6637" s="9">
        <f>MAX($F$6211:F6637)</f>
        <v>1.2115</v>
      </c>
      <c r="I6637" s="11">
        <f t="shared" si="162"/>
        <v>0.00016508460586051</v>
      </c>
      <c r="J6637" s="9"/>
      <c r="K6637" s="11"/>
      <c r="L6637" s="9"/>
      <c r="M6637" s="11"/>
      <c r="N6637" s="9" t="s">
        <v>804</v>
      </c>
    </row>
    <row r="6638" ht="25" customHeight="1" spans="1:14">
      <c r="A6638" s="9" t="s">
        <v>231</v>
      </c>
      <c r="B6638" s="9" t="s">
        <v>229</v>
      </c>
      <c r="C6638" s="10">
        <v>44966</v>
      </c>
      <c r="D6638" s="15">
        <v>1.2114</v>
      </c>
      <c r="E6638" s="15">
        <v>1.2114</v>
      </c>
      <c r="F6638" s="15">
        <v>1.2114</v>
      </c>
      <c r="G6638" s="11">
        <v>0.0001</v>
      </c>
      <c r="H6638" s="9">
        <f>MAX($F$6211:F6638)</f>
        <v>1.2115</v>
      </c>
      <c r="I6638" s="11">
        <f t="shared" si="162"/>
        <v>8.25423029302552e-5</v>
      </c>
      <c r="J6638" s="9"/>
      <c r="K6638" s="11"/>
      <c r="L6638" s="9"/>
      <c r="M6638" s="11"/>
      <c r="N6638" s="9" t="s">
        <v>804</v>
      </c>
    </row>
    <row r="6639" ht="25" customHeight="1" spans="1:14">
      <c r="A6639" s="9" t="s">
        <v>231</v>
      </c>
      <c r="B6639" s="9" t="s">
        <v>229</v>
      </c>
      <c r="C6639" s="10">
        <v>44967</v>
      </c>
      <c r="D6639" s="15">
        <v>1.2113</v>
      </c>
      <c r="E6639" s="15">
        <v>1.2113</v>
      </c>
      <c r="F6639" s="15">
        <v>1.2113</v>
      </c>
      <c r="G6639" s="11">
        <v>-0.0001</v>
      </c>
      <c r="H6639" s="9">
        <f>MAX($F$6211:F6639)</f>
        <v>1.2115</v>
      </c>
      <c r="I6639" s="11">
        <f t="shared" si="162"/>
        <v>0.00016508460586051</v>
      </c>
      <c r="J6639" s="9"/>
      <c r="K6639" s="11"/>
      <c r="L6639" s="9"/>
      <c r="M6639" s="11"/>
      <c r="N6639" s="9" t="s">
        <v>804</v>
      </c>
    </row>
    <row r="6640" ht="25" customHeight="1" spans="1:14">
      <c r="A6640" s="9" t="s">
        <v>231</v>
      </c>
      <c r="B6640" s="9" t="s">
        <v>229</v>
      </c>
      <c r="C6640" s="10">
        <v>44970</v>
      </c>
      <c r="D6640" s="15">
        <v>1.2116</v>
      </c>
      <c r="E6640" s="15">
        <v>1.2116</v>
      </c>
      <c r="F6640" s="15">
        <v>1.2116</v>
      </c>
      <c r="G6640" s="11">
        <v>0.0002</v>
      </c>
      <c r="H6640" s="9">
        <f>MAX($F$6211:F6640)</f>
        <v>1.2116</v>
      </c>
      <c r="I6640" s="11">
        <f t="shared" si="162"/>
        <v>0</v>
      </c>
      <c r="J6640" s="9"/>
      <c r="K6640" s="11"/>
      <c r="L6640" s="9"/>
      <c r="M6640" s="11"/>
      <c r="N6640" s="9" t="s">
        <v>804</v>
      </c>
    </row>
    <row r="6641" ht="25" customHeight="1" spans="1:14">
      <c r="A6641" s="9" t="s">
        <v>231</v>
      </c>
      <c r="B6641" s="9" t="s">
        <v>229</v>
      </c>
      <c r="C6641" s="10">
        <v>44971</v>
      </c>
      <c r="D6641" s="15">
        <v>1.2116</v>
      </c>
      <c r="E6641" s="15">
        <v>1.2116</v>
      </c>
      <c r="F6641" s="15">
        <v>1.2116</v>
      </c>
      <c r="G6641" s="11">
        <v>0</v>
      </c>
      <c r="H6641" s="9">
        <f>MAX($F$6211:F6641)</f>
        <v>1.2116</v>
      </c>
      <c r="I6641" s="11">
        <f t="shared" si="162"/>
        <v>0</v>
      </c>
      <c r="J6641" s="9"/>
      <c r="K6641" s="11"/>
      <c r="L6641" s="9"/>
      <c r="M6641" s="11"/>
      <c r="N6641" s="9" t="s">
        <v>804</v>
      </c>
    </row>
    <row r="6642" ht="25" customHeight="1" spans="1:14">
      <c r="A6642" s="9" t="s">
        <v>231</v>
      </c>
      <c r="B6642" s="9" t="s">
        <v>229</v>
      </c>
      <c r="C6642" s="10">
        <v>44972</v>
      </c>
      <c r="D6642" s="15">
        <v>1.2118</v>
      </c>
      <c r="E6642" s="15">
        <v>1.2118</v>
      </c>
      <c r="F6642" s="15">
        <v>1.2118</v>
      </c>
      <c r="G6642" s="11">
        <v>0.0002</v>
      </c>
      <c r="H6642" s="9">
        <f>MAX($F$6211:F6642)</f>
        <v>1.2118</v>
      </c>
      <c r="I6642" s="11">
        <f t="shared" si="162"/>
        <v>0</v>
      </c>
      <c r="J6642" s="9"/>
      <c r="K6642" s="11"/>
      <c r="L6642" s="9"/>
      <c r="M6642" s="11"/>
      <c r="N6642" s="9" t="s">
        <v>804</v>
      </c>
    </row>
    <row r="6643" ht="25" customHeight="1" spans="1:14">
      <c r="A6643" s="9" t="s">
        <v>231</v>
      </c>
      <c r="B6643" s="9" t="s">
        <v>229</v>
      </c>
      <c r="C6643" s="10">
        <v>44973</v>
      </c>
      <c r="D6643" s="15">
        <v>1.2121</v>
      </c>
      <c r="E6643" s="15">
        <v>1.2121</v>
      </c>
      <c r="F6643" s="15">
        <v>1.2121</v>
      </c>
      <c r="G6643" s="11">
        <v>0.0002</v>
      </c>
      <c r="H6643" s="9">
        <f>MAX($F$6211:F6643)</f>
        <v>1.2121</v>
      </c>
      <c r="I6643" s="11">
        <f t="shared" si="162"/>
        <v>0</v>
      </c>
      <c r="J6643" s="9"/>
      <c r="K6643" s="11"/>
      <c r="L6643" s="9"/>
      <c r="M6643" s="11"/>
      <c r="N6643" s="9" t="s">
        <v>804</v>
      </c>
    </row>
    <row r="6644" ht="25" customHeight="1" spans="1:14">
      <c r="A6644" s="9" t="s">
        <v>231</v>
      </c>
      <c r="B6644" s="9" t="s">
        <v>229</v>
      </c>
      <c r="C6644" s="10">
        <v>44974</v>
      </c>
      <c r="D6644" s="15">
        <v>1.2123</v>
      </c>
      <c r="E6644" s="15">
        <v>1.2123</v>
      </c>
      <c r="F6644" s="15">
        <v>1.2123</v>
      </c>
      <c r="G6644" s="11">
        <v>0.0002</v>
      </c>
      <c r="H6644" s="9">
        <f>MAX($F$6211:F6644)</f>
        <v>1.2123</v>
      </c>
      <c r="I6644" s="11">
        <f t="shared" si="162"/>
        <v>0</v>
      </c>
      <c r="J6644" s="9"/>
      <c r="K6644" s="11"/>
      <c r="L6644" s="9"/>
      <c r="M6644" s="11"/>
      <c r="N6644" s="9" t="s">
        <v>804</v>
      </c>
    </row>
    <row r="6645" ht="25" customHeight="1" spans="1:14">
      <c r="A6645" s="9" t="s">
        <v>231</v>
      </c>
      <c r="B6645" s="9" t="s">
        <v>229</v>
      </c>
      <c r="C6645" s="10">
        <v>44977</v>
      </c>
      <c r="D6645" s="15">
        <v>1.2123</v>
      </c>
      <c r="E6645" s="15">
        <v>1.2123</v>
      </c>
      <c r="F6645" s="15">
        <v>1.2123</v>
      </c>
      <c r="G6645" s="11">
        <v>0</v>
      </c>
      <c r="H6645" s="9">
        <f>MAX($F$6211:F6645)</f>
        <v>1.2123</v>
      </c>
      <c r="I6645" s="11">
        <f t="shared" si="162"/>
        <v>0</v>
      </c>
      <c r="J6645" s="9"/>
      <c r="K6645" s="11"/>
      <c r="L6645" s="9"/>
      <c r="M6645" s="11"/>
      <c r="N6645" s="9" t="s">
        <v>804</v>
      </c>
    </row>
    <row r="6646" ht="25" customHeight="1" spans="1:14">
      <c r="A6646" s="9" t="s">
        <v>231</v>
      </c>
      <c r="B6646" s="9" t="s">
        <v>229</v>
      </c>
      <c r="C6646" s="10">
        <v>44978</v>
      </c>
      <c r="D6646" s="15">
        <v>1.2122</v>
      </c>
      <c r="E6646" s="15">
        <v>1.2122</v>
      </c>
      <c r="F6646" s="15">
        <v>1.2122</v>
      </c>
      <c r="G6646" s="11">
        <v>-0.0001</v>
      </c>
      <c r="H6646" s="9">
        <f>MAX($F$6211:F6646)</f>
        <v>1.2123</v>
      </c>
      <c r="I6646" s="11">
        <f t="shared" si="162"/>
        <v>8.24878330446532e-5</v>
      </c>
      <c r="J6646" s="9"/>
      <c r="K6646" s="11"/>
      <c r="L6646" s="9"/>
      <c r="M6646" s="11"/>
      <c r="N6646" s="9" t="s">
        <v>804</v>
      </c>
    </row>
    <row r="6647" ht="25" customHeight="1" spans="1:14">
      <c r="A6647" s="9" t="s">
        <v>231</v>
      </c>
      <c r="B6647" s="9" t="s">
        <v>229</v>
      </c>
      <c r="C6647" s="10">
        <v>44979</v>
      </c>
      <c r="D6647" s="15">
        <v>1.2123</v>
      </c>
      <c r="E6647" s="15">
        <v>1.2123</v>
      </c>
      <c r="F6647" s="15">
        <v>1.2123</v>
      </c>
      <c r="G6647" s="11">
        <v>0.0001</v>
      </c>
      <c r="H6647" s="9">
        <f>MAX($F$6211:F6647)</f>
        <v>1.2123</v>
      </c>
      <c r="I6647" s="11">
        <f t="shared" si="162"/>
        <v>0</v>
      </c>
      <c r="J6647" s="9"/>
      <c r="K6647" s="11"/>
      <c r="L6647" s="9"/>
      <c r="M6647" s="11"/>
      <c r="N6647" s="9" t="s">
        <v>804</v>
      </c>
    </row>
    <row r="6648" ht="25" customHeight="1" spans="1:14">
      <c r="A6648" s="9" t="s">
        <v>231</v>
      </c>
      <c r="B6648" s="9" t="s">
        <v>229</v>
      </c>
      <c r="C6648" s="10">
        <v>44980</v>
      </c>
      <c r="D6648" s="15">
        <v>1.2125</v>
      </c>
      <c r="E6648" s="15">
        <v>1.2125</v>
      </c>
      <c r="F6648" s="15">
        <v>1.2125</v>
      </c>
      <c r="G6648" s="11">
        <v>0.0002</v>
      </c>
      <c r="H6648" s="9">
        <f>MAX($F$6211:F6648)</f>
        <v>1.2125</v>
      </c>
      <c r="I6648" s="11">
        <f t="shared" si="162"/>
        <v>0</v>
      </c>
      <c r="J6648" s="9"/>
      <c r="K6648" s="11"/>
      <c r="L6648" s="9"/>
      <c r="M6648" s="11"/>
      <c r="N6648" s="9" t="s">
        <v>804</v>
      </c>
    </row>
    <row r="6649" ht="25" customHeight="1" spans="1:14">
      <c r="A6649" s="9" t="s">
        <v>231</v>
      </c>
      <c r="B6649" s="9" t="s">
        <v>229</v>
      </c>
      <c r="C6649" s="10">
        <v>44981</v>
      </c>
      <c r="D6649" s="15">
        <v>1.2125</v>
      </c>
      <c r="E6649" s="15">
        <v>1.2125</v>
      </c>
      <c r="F6649" s="15">
        <v>1.2125</v>
      </c>
      <c r="G6649" s="11">
        <v>0</v>
      </c>
      <c r="H6649" s="9">
        <f>MAX($F$6211:F6649)</f>
        <v>1.2125</v>
      </c>
      <c r="I6649" s="11">
        <f t="shared" si="162"/>
        <v>0</v>
      </c>
      <c r="J6649" s="9"/>
      <c r="K6649" s="11"/>
      <c r="L6649" s="9"/>
      <c r="M6649" s="11"/>
      <c r="N6649" s="9" t="s">
        <v>804</v>
      </c>
    </row>
    <row r="6650" ht="25" customHeight="1" spans="1:14">
      <c r="A6650" s="9" t="s">
        <v>231</v>
      </c>
      <c r="B6650" s="9" t="s">
        <v>229</v>
      </c>
      <c r="C6650" s="10">
        <v>44984</v>
      </c>
      <c r="D6650" s="15">
        <v>1.2127</v>
      </c>
      <c r="E6650" s="15">
        <v>1.2127</v>
      </c>
      <c r="F6650" s="15">
        <v>1.2127</v>
      </c>
      <c r="G6650" s="11">
        <v>0.0002</v>
      </c>
      <c r="H6650" s="9">
        <f>MAX($F$6211:F6650)</f>
        <v>1.2127</v>
      </c>
      <c r="I6650" s="11">
        <f t="shared" si="162"/>
        <v>0</v>
      </c>
      <c r="J6650" s="9"/>
      <c r="K6650" s="11"/>
      <c r="L6650" s="9"/>
      <c r="M6650" s="11"/>
      <c r="N6650" s="9" t="s">
        <v>804</v>
      </c>
    </row>
    <row r="6651" ht="25" customHeight="1" spans="1:14">
      <c r="A6651" s="9" t="s">
        <v>231</v>
      </c>
      <c r="B6651" s="9" t="s">
        <v>229</v>
      </c>
      <c r="C6651" s="10">
        <v>44985</v>
      </c>
      <c r="D6651" s="15">
        <v>1.2128</v>
      </c>
      <c r="E6651" s="15">
        <v>1.2128</v>
      </c>
      <c r="F6651" s="15">
        <v>1.2128</v>
      </c>
      <c r="G6651" s="11">
        <v>0.0001</v>
      </c>
      <c r="H6651" s="9">
        <f>MAX($F$6211:F6651)</f>
        <v>1.2128</v>
      </c>
      <c r="I6651" s="11">
        <f t="shared" si="162"/>
        <v>0</v>
      </c>
      <c r="J6651" s="9"/>
      <c r="K6651" s="11"/>
      <c r="L6651" s="9"/>
      <c r="M6651" s="11"/>
      <c r="N6651" s="9" t="s">
        <v>804</v>
      </c>
    </row>
    <row r="6652" ht="25" customHeight="1" spans="1:14">
      <c r="A6652" s="9" t="s">
        <v>231</v>
      </c>
      <c r="B6652" s="9" t="s">
        <v>229</v>
      </c>
      <c r="C6652" s="10">
        <v>44986</v>
      </c>
      <c r="D6652" s="15">
        <v>1.2128</v>
      </c>
      <c r="E6652" s="15">
        <v>1.2128</v>
      </c>
      <c r="F6652" s="15">
        <v>1.2128</v>
      </c>
      <c r="G6652" s="11">
        <v>0</v>
      </c>
      <c r="H6652" s="9">
        <f>MAX($F$6211:F6652)</f>
        <v>1.2128</v>
      </c>
      <c r="I6652" s="11">
        <f t="shared" si="162"/>
        <v>0</v>
      </c>
      <c r="J6652" s="9"/>
      <c r="K6652" s="11"/>
      <c r="L6652" s="9"/>
      <c r="M6652" s="11"/>
      <c r="N6652" s="9" t="s">
        <v>804</v>
      </c>
    </row>
    <row r="6653" ht="25" customHeight="1" spans="1:14">
      <c r="A6653" s="9" t="s">
        <v>231</v>
      </c>
      <c r="B6653" s="9" t="s">
        <v>229</v>
      </c>
      <c r="C6653" s="10">
        <v>44987</v>
      </c>
      <c r="D6653" s="15">
        <v>1.2128</v>
      </c>
      <c r="E6653" s="15">
        <v>1.2128</v>
      </c>
      <c r="F6653" s="15">
        <v>1.2128</v>
      </c>
      <c r="G6653" s="11">
        <v>0</v>
      </c>
      <c r="H6653" s="9">
        <f>MAX($F$6211:F6653)</f>
        <v>1.2128</v>
      </c>
      <c r="I6653" s="11">
        <f t="shared" si="162"/>
        <v>0</v>
      </c>
      <c r="J6653" s="9"/>
      <c r="K6653" s="11"/>
      <c r="L6653" s="9"/>
      <c r="M6653" s="11"/>
      <c r="N6653" s="9" t="s">
        <v>804</v>
      </c>
    </row>
    <row r="6654" ht="25" customHeight="1" spans="1:14">
      <c r="A6654" s="9" t="s">
        <v>231</v>
      </c>
      <c r="B6654" s="9" t="s">
        <v>229</v>
      </c>
      <c r="C6654" s="10">
        <v>44988</v>
      </c>
      <c r="D6654" s="15">
        <v>1.2129</v>
      </c>
      <c r="E6654" s="15">
        <v>1.2129</v>
      </c>
      <c r="F6654" s="15">
        <v>1.2129</v>
      </c>
      <c r="G6654" s="11">
        <v>0.0001</v>
      </c>
      <c r="H6654" s="9">
        <f>MAX($F$6211:F6654)</f>
        <v>1.2129</v>
      </c>
      <c r="I6654" s="11">
        <f t="shared" si="162"/>
        <v>0</v>
      </c>
      <c r="J6654" s="9"/>
      <c r="K6654" s="11"/>
      <c r="L6654" s="9"/>
      <c r="M6654" s="11"/>
      <c r="N6654" s="9" t="s">
        <v>804</v>
      </c>
    </row>
    <row r="6655" ht="25" customHeight="1" spans="1:14">
      <c r="A6655" s="9" t="s">
        <v>231</v>
      </c>
      <c r="B6655" s="9" t="s">
        <v>229</v>
      </c>
      <c r="C6655" s="10">
        <v>44991</v>
      </c>
      <c r="D6655" s="15">
        <v>1.2129</v>
      </c>
      <c r="E6655" s="15">
        <v>1.2129</v>
      </c>
      <c r="F6655" s="15">
        <v>1.2129</v>
      </c>
      <c r="G6655" s="11">
        <v>0</v>
      </c>
      <c r="H6655" s="9">
        <f>MAX($F$6211:F6655)</f>
        <v>1.2129</v>
      </c>
      <c r="I6655" s="11">
        <f t="shared" si="162"/>
        <v>0</v>
      </c>
      <c r="J6655" s="9"/>
      <c r="K6655" s="11"/>
      <c r="L6655" s="9"/>
      <c r="M6655" s="11"/>
      <c r="N6655" s="9" t="s">
        <v>804</v>
      </c>
    </row>
    <row r="6656" ht="25" customHeight="1" spans="1:14">
      <c r="A6656" s="9" t="s">
        <v>231</v>
      </c>
      <c r="B6656" s="9" t="s">
        <v>229</v>
      </c>
      <c r="C6656" s="10">
        <v>44992</v>
      </c>
      <c r="D6656" s="15">
        <v>1.2129</v>
      </c>
      <c r="E6656" s="15">
        <v>1.2129</v>
      </c>
      <c r="F6656" s="15">
        <v>1.2129</v>
      </c>
      <c r="G6656" s="11">
        <v>0</v>
      </c>
      <c r="H6656" s="9">
        <f>MAX($F$6211:F6656)</f>
        <v>1.2129</v>
      </c>
      <c r="I6656" s="11">
        <f t="shared" si="162"/>
        <v>0</v>
      </c>
      <c r="J6656" s="9"/>
      <c r="K6656" s="11"/>
      <c r="L6656" s="9"/>
      <c r="M6656" s="11"/>
      <c r="N6656" s="9" t="s">
        <v>804</v>
      </c>
    </row>
    <row r="6657" ht="25" customHeight="1" spans="1:14">
      <c r="A6657" s="9" t="s">
        <v>231</v>
      </c>
      <c r="B6657" s="9" t="s">
        <v>229</v>
      </c>
      <c r="C6657" s="10">
        <v>44993</v>
      </c>
      <c r="D6657" s="15">
        <v>1.2129</v>
      </c>
      <c r="E6657" s="15">
        <v>1.2129</v>
      </c>
      <c r="F6657" s="15">
        <v>1.2129</v>
      </c>
      <c r="G6657" s="11">
        <v>0</v>
      </c>
      <c r="H6657" s="9">
        <f>MAX($F$6211:F6657)</f>
        <v>1.2129</v>
      </c>
      <c r="I6657" s="11">
        <f t="shared" si="162"/>
        <v>0</v>
      </c>
      <c r="J6657" s="9"/>
      <c r="K6657" s="11"/>
      <c r="L6657" s="9"/>
      <c r="M6657" s="11"/>
      <c r="N6657" s="9" t="s">
        <v>804</v>
      </c>
    </row>
    <row r="6658" ht="25" customHeight="1" spans="1:14">
      <c r="A6658" s="9" t="s">
        <v>231</v>
      </c>
      <c r="B6658" s="9" t="s">
        <v>229</v>
      </c>
      <c r="C6658" s="10">
        <v>44994</v>
      </c>
      <c r="D6658" s="15">
        <v>1.2129</v>
      </c>
      <c r="E6658" s="15">
        <v>1.2129</v>
      </c>
      <c r="F6658" s="15">
        <v>1.2129</v>
      </c>
      <c r="G6658" s="11">
        <v>0</v>
      </c>
      <c r="H6658" s="9">
        <f>MAX($F$6211:F6658)</f>
        <v>1.2129</v>
      </c>
      <c r="I6658" s="11">
        <f t="shared" ref="I6658:I6721" si="163">1-F6658/H6658</f>
        <v>0</v>
      </c>
      <c r="J6658" s="9"/>
      <c r="K6658" s="11"/>
      <c r="L6658" s="9"/>
      <c r="M6658" s="11"/>
      <c r="N6658" s="9" t="s">
        <v>804</v>
      </c>
    </row>
    <row r="6659" ht="25" customHeight="1" spans="1:14">
      <c r="A6659" s="9" t="s">
        <v>231</v>
      </c>
      <c r="B6659" s="9" t="s">
        <v>229</v>
      </c>
      <c r="C6659" s="10">
        <v>44995</v>
      </c>
      <c r="D6659" s="15">
        <v>1.2135</v>
      </c>
      <c r="E6659" s="15">
        <v>1.2135</v>
      </c>
      <c r="F6659" s="15">
        <v>1.2135</v>
      </c>
      <c r="G6659" s="11">
        <v>0.0005</v>
      </c>
      <c r="H6659" s="9">
        <f>MAX($F$6211:F6659)</f>
        <v>1.2135</v>
      </c>
      <c r="I6659" s="11">
        <f t="shared" si="163"/>
        <v>0</v>
      </c>
      <c r="J6659" s="9"/>
      <c r="K6659" s="11"/>
      <c r="L6659" s="9"/>
      <c r="M6659" s="11"/>
      <c r="N6659" s="9" t="s">
        <v>804</v>
      </c>
    </row>
    <row r="6660" ht="25" customHeight="1" spans="1:14">
      <c r="A6660" s="9" t="s">
        <v>231</v>
      </c>
      <c r="B6660" s="9" t="s">
        <v>229</v>
      </c>
      <c r="C6660" s="10">
        <v>44998</v>
      </c>
      <c r="D6660" s="15">
        <v>1.2139</v>
      </c>
      <c r="E6660" s="15">
        <v>1.2139</v>
      </c>
      <c r="F6660" s="15">
        <v>1.2139</v>
      </c>
      <c r="G6660" s="11">
        <v>0.0003</v>
      </c>
      <c r="H6660" s="9">
        <f>MAX($F$6211:F6660)</f>
        <v>1.2139</v>
      </c>
      <c r="I6660" s="11">
        <f t="shared" si="163"/>
        <v>0</v>
      </c>
      <c r="J6660" s="9"/>
      <c r="K6660" s="11"/>
      <c r="L6660" s="9"/>
      <c r="M6660" s="11"/>
      <c r="N6660" s="9" t="s">
        <v>804</v>
      </c>
    </row>
    <row r="6661" ht="25" customHeight="1" spans="1:14">
      <c r="A6661" s="9" t="s">
        <v>231</v>
      </c>
      <c r="B6661" s="9" t="s">
        <v>229</v>
      </c>
      <c r="C6661" s="10">
        <v>44999</v>
      </c>
      <c r="D6661" s="15">
        <v>1.2143</v>
      </c>
      <c r="E6661" s="15">
        <v>1.2143</v>
      </c>
      <c r="F6661" s="15">
        <v>1.2143</v>
      </c>
      <c r="G6661" s="11">
        <v>0.0003</v>
      </c>
      <c r="H6661" s="9">
        <f>MAX($F$6211:F6661)</f>
        <v>1.2143</v>
      </c>
      <c r="I6661" s="11">
        <f t="shared" si="163"/>
        <v>0</v>
      </c>
      <c r="J6661" s="9"/>
      <c r="K6661" s="11"/>
      <c r="L6661" s="9"/>
      <c r="M6661" s="11"/>
      <c r="N6661" s="9" t="s">
        <v>804</v>
      </c>
    </row>
    <row r="6662" ht="25" customHeight="1" spans="1:14">
      <c r="A6662" s="9" t="s">
        <v>231</v>
      </c>
      <c r="B6662" s="9" t="s">
        <v>229</v>
      </c>
      <c r="C6662" s="10">
        <v>45000</v>
      </c>
      <c r="D6662" s="15">
        <v>1.2143</v>
      </c>
      <c r="E6662" s="15">
        <v>1.2143</v>
      </c>
      <c r="F6662" s="15">
        <v>1.2143</v>
      </c>
      <c r="G6662" s="11">
        <v>0</v>
      </c>
      <c r="H6662" s="9">
        <f>MAX($F$6211:F6662)</f>
        <v>1.2143</v>
      </c>
      <c r="I6662" s="11">
        <f t="shared" si="163"/>
        <v>0</v>
      </c>
      <c r="J6662" s="9"/>
      <c r="K6662" s="11"/>
      <c r="L6662" s="9"/>
      <c r="M6662" s="11"/>
      <c r="N6662" s="9" t="s">
        <v>804</v>
      </c>
    </row>
    <row r="6663" ht="25" customHeight="1" spans="1:14">
      <c r="A6663" s="9" t="s">
        <v>231</v>
      </c>
      <c r="B6663" s="9" t="s">
        <v>229</v>
      </c>
      <c r="C6663" s="10">
        <v>45001</v>
      </c>
      <c r="D6663" s="15">
        <v>1.2146</v>
      </c>
      <c r="E6663" s="15">
        <v>1.2146</v>
      </c>
      <c r="F6663" s="15">
        <v>1.2146</v>
      </c>
      <c r="G6663" s="11">
        <v>0.0002</v>
      </c>
      <c r="H6663" s="9">
        <f>MAX($F$6211:F6663)</f>
        <v>1.2146</v>
      </c>
      <c r="I6663" s="11">
        <f t="shared" si="163"/>
        <v>0</v>
      </c>
      <c r="J6663" s="9"/>
      <c r="K6663" s="11"/>
      <c r="L6663" s="9"/>
      <c r="M6663" s="11"/>
      <c r="N6663" s="9" t="s">
        <v>804</v>
      </c>
    </row>
    <row r="6664" ht="25" customHeight="1" spans="1:14">
      <c r="A6664" s="9" t="s">
        <v>231</v>
      </c>
      <c r="B6664" s="9" t="s">
        <v>229</v>
      </c>
      <c r="C6664" s="10">
        <v>45002</v>
      </c>
      <c r="D6664" s="15">
        <v>1.2147</v>
      </c>
      <c r="E6664" s="15">
        <v>1.2147</v>
      </c>
      <c r="F6664" s="15">
        <v>1.2147</v>
      </c>
      <c r="G6664" s="11">
        <v>0.0001</v>
      </c>
      <c r="H6664" s="9">
        <f>MAX($F$6211:F6664)</f>
        <v>1.2147</v>
      </c>
      <c r="I6664" s="11">
        <f t="shared" si="163"/>
        <v>0</v>
      </c>
      <c r="J6664" s="9"/>
      <c r="K6664" s="11"/>
      <c r="L6664" s="9"/>
      <c r="M6664" s="11"/>
      <c r="N6664" s="9" t="s">
        <v>804</v>
      </c>
    </row>
    <row r="6665" ht="25" customHeight="1" spans="1:14">
      <c r="A6665" s="9" t="s">
        <v>231</v>
      </c>
      <c r="B6665" s="9" t="s">
        <v>229</v>
      </c>
      <c r="C6665" s="10">
        <v>45005</v>
      </c>
      <c r="D6665" s="15">
        <v>1.2147</v>
      </c>
      <c r="E6665" s="15">
        <v>1.2147</v>
      </c>
      <c r="F6665" s="15">
        <v>1.2147</v>
      </c>
      <c r="G6665" s="11">
        <v>0</v>
      </c>
      <c r="H6665" s="9">
        <f>MAX($F$6211:F6665)</f>
        <v>1.2147</v>
      </c>
      <c r="I6665" s="11">
        <f t="shared" si="163"/>
        <v>0</v>
      </c>
      <c r="J6665" s="9"/>
      <c r="K6665" s="11"/>
      <c r="L6665" s="9"/>
      <c r="M6665" s="11"/>
      <c r="N6665" s="9" t="s">
        <v>804</v>
      </c>
    </row>
    <row r="6666" ht="25" customHeight="1" spans="1:14">
      <c r="A6666" s="9" t="s">
        <v>231</v>
      </c>
      <c r="B6666" s="9" t="s">
        <v>229</v>
      </c>
      <c r="C6666" s="10">
        <v>45006</v>
      </c>
      <c r="D6666" s="15">
        <v>1.2147</v>
      </c>
      <c r="E6666" s="15">
        <v>1.2147</v>
      </c>
      <c r="F6666" s="15">
        <v>1.2147</v>
      </c>
      <c r="G6666" s="11">
        <v>0</v>
      </c>
      <c r="H6666" s="9">
        <f>MAX($F$6211:F6666)</f>
        <v>1.2147</v>
      </c>
      <c r="I6666" s="11">
        <f t="shared" si="163"/>
        <v>0</v>
      </c>
      <c r="J6666" s="9"/>
      <c r="K6666" s="11"/>
      <c r="L6666" s="9"/>
      <c r="M6666" s="11"/>
      <c r="N6666" s="9" t="s">
        <v>804</v>
      </c>
    </row>
    <row r="6667" ht="25" customHeight="1" spans="1:14">
      <c r="A6667" s="9" t="s">
        <v>231</v>
      </c>
      <c r="B6667" s="9" t="s">
        <v>229</v>
      </c>
      <c r="C6667" s="10">
        <v>45007</v>
      </c>
      <c r="D6667" s="15">
        <v>1.2148</v>
      </c>
      <c r="E6667" s="15">
        <v>1.2148</v>
      </c>
      <c r="F6667" s="15">
        <v>1.2148</v>
      </c>
      <c r="G6667" s="11">
        <v>0.0001</v>
      </c>
      <c r="H6667" s="9">
        <f>MAX($F$6211:F6667)</f>
        <v>1.2148</v>
      </c>
      <c r="I6667" s="11">
        <f t="shared" si="163"/>
        <v>0</v>
      </c>
      <c r="J6667" s="9"/>
      <c r="K6667" s="11"/>
      <c r="L6667" s="9"/>
      <c r="M6667" s="11"/>
      <c r="N6667" s="9" t="s">
        <v>804</v>
      </c>
    </row>
    <row r="6668" ht="25" customHeight="1" spans="1:14">
      <c r="A6668" s="9" t="s">
        <v>231</v>
      </c>
      <c r="B6668" s="9" t="s">
        <v>229</v>
      </c>
      <c r="C6668" s="10">
        <v>45008</v>
      </c>
      <c r="D6668" s="15">
        <v>1.2153</v>
      </c>
      <c r="E6668" s="15">
        <v>1.2153</v>
      </c>
      <c r="F6668" s="15">
        <v>1.2153</v>
      </c>
      <c r="G6668" s="11">
        <v>0.0004</v>
      </c>
      <c r="H6668" s="9">
        <f>MAX($F$6211:F6668)</f>
        <v>1.2153</v>
      </c>
      <c r="I6668" s="11">
        <f t="shared" si="163"/>
        <v>0</v>
      </c>
      <c r="J6668" s="9"/>
      <c r="K6668" s="11"/>
      <c r="L6668" s="9"/>
      <c r="M6668" s="11"/>
      <c r="N6668" s="9" t="s">
        <v>804</v>
      </c>
    </row>
    <row r="6669" ht="25" customHeight="1" spans="1:14">
      <c r="A6669" s="9" t="s">
        <v>231</v>
      </c>
      <c r="B6669" s="9" t="s">
        <v>229</v>
      </c>
      <c r="C6669" s="10">
        <v>45009</v>
      </c>
      <c r="D6669" s="15">
        <v>1.2152</v>
      </c>
      <c r="E6669" s="15">
        <v>1.2152</v>
      </c>
      <c r="F6669" s="15">
        <v>1.2152</v>
      </c>
      <c r="G6669" s="11">
        <v>-0.0001</v>
      </c>
      <c r="H6669" s="9">
        <f>MAX($F$6211:F6669)</f>
        <v>1.2153</v>
      </c>
      <c r="I6669" s="11">
        <f t="shared" si="163"/>
        <v>8.22842096601661e-5</v>
      </c>
      <c r="J6669" s="9"/>
      <c r="K6669" s="11"/>
      <c r="L6669" s="9"/>
      <c r="M6669" s="11"/>
      <c r="N6669" s="9" t="s">
        <v>804</v>
      </c>
    </row>
    <row r="6670" ht="25" customHeight="1" spans="1:14">
      <c r="A6670" s="9" t="s">
        <v>231</v>
      </c>
      <c r="B6670" s="9" t="s">
        <v>229</v>
      </c>
      <c r="C6670" s="10">
        <v>45012</v>
      </c>
      <c r="D6670" s="15">
        <v>1.2154</v>
      </c>
      <c r="E6670" s="15">
        <v>1.2154</v>
      </c>
      <c r="F6670" s="15">
        <v>1.2154</v>
      </c>
      <c r="G6670" s="11">
        <v>0.0002</v>
      </c>
      <c r="H6670" s="9">
        <f>MAX($F$6211:F6670)</f>
        <v>1.2154</v>
      </c>
      <c r="I6670" s="11">
        <f t="shared" si="163"/>
        <v>0</v>
      </c>
      <c r="J6670" s="9"/>
      <c r="K6670" s="11"/>
      <c r="L6670" s="9"/>
      <c r="M6670" s="11"/>
      <c r="N6670" s="9" t="s">
        <v>804</v>
      </c>
    </row>
    <row r="6671" ht="25" customHeight="1" spans="1:14">
      <c r="A6671" s="9" t="s">
        <v>231</v>
      </c>
      <c r="B6671" s="9" t="s">
        <v>229</v>
      </c>
      <c r="C6671" s="10">
        <v>45013</v>
      </c>
      <c r="D6671" s="15">
        <v>1.2154</v>
      </c>
      <c r="E6671" s="15">
        <v>1.2154</v>
      </c>
      <c r="F6671" s="15">
        <v>1.2154</v>
      </c>
      <c r="G6671" s="11">
        <v>0</v>
      </c>
      <c r="H6671" s="9">
        <f>MAX($F$6211:F6671)</f>
        <v>1.2154</v>
      </c>
      <c r="I6671" s="11">
        <f t="shared" si="163"/>
        <v>0</v>
      </c>
      <c r="J6671" s="9"/>
      <c r="K6671" s="11"/>
      <c r="L6671" s="9"/>
      <c r="M6671" s="11"/>
      <c r="N6671" s="9" t="s">
        <v>804</v>
      </c>
    </row>
    <row r="6672" ht="25" customHeight="1" spans="1:14">
      <c r="A6672" s="9" t="s">
        <v>231</v>
      </c>
      <c r="B6672" s="9" t="s">
        <v>229</v>
      </c>
      <c r="C6672" s="10">
        <v>45014</v>
      </c>
      <c r="D6672" s="15">
        <v>1.2154</v>
      </c>
      <c r="E6672" s="15">
        <v>1.2154</v>
      </c>
      <c r="F6672" s="15">
        <v>1.2154</v>
      </c>
      <c r="G6672" s="11">
        <v>0</v>
      </c>
      <c r="H6672" s="9">
        <f>MAX($F$6211:F6672)</f>
        <v>1.2154</v>
      </c>
      <c r="I6672" s="11">
        <f t="shared" si="163"/>
        <v>0</v>
      </c>
      <c r="J6672" s="9"/>
      <c r="K6672" s="11"/>
      <c r="L6672" s="9"/>
      <c r="M6672" s="11"/>
      <c r="N6672" s="9" t="s">
        <v>804</v>
      </c>
    </row>
    <row r="6673" ht="25" customHeight="1" spans="1:14">
      <c r="A6673" s="9" t="s">
        <v>231</v>
      </c>
      <c r="B6673" s="9" t="s">
        <v>229</v>
      </c>
      <c r="C6673" s="10">
        <v>45015</v>
      </c>
      <c r="D6673" s="15">
        <v>1.2167</v>
      </c>
      <c r="E6673" s="15">
        <v>1.2167</v>
      </c>
      <c r="F6673" s="15">
        <v>1.2167</v>
      </c>
      <c r="G6673" s="11">
        <v>0.0011</v>
      </c>
      <c r="H6673" s="9">
        <f>MAX($F$6211:F6673)</f>
        <v>1.2167</v>
      </c>
      <c r="I6673" s="11">
        <f t="shared" si="163"/>
        <v>0</v>
      </c>
      <c r="J6673" s="9"/>
      <c r="K6673" s="11"/>
      <c r="L6673" s="9"/>
      <c r="M6673" s="11"/>
      <c r="N6673" s="9" t="s">
        <v>804</v>
      </c>
    </row>
    <row r="6674" ht="25" customHeight="1" spans="1:14">
      <c r="A6674" s="9" t="s">
        <v>231</v>
      </c>
      <c r="B6674" s="9" t="s">
        <v>229</v>
      </c>
      <c r="C6674" s="10">
        <v>45016</v>
      </c>
      <c r="D6674" s="15">
        <v>1.2167</v>
      </c>
      <c r="E6674" s="15">
        <v>1.2167</v>
      </c>
      <c r="F6674" s="15">
        <v>1.2167</v>
      </c>
      <c r="G6674" s="11">
        <v>0</v>
      </c>
      <c r="H6674" s="9">
        <f>MAX($F$6211:F6674)</f>
        <v>1.2167</v>
      </c>
      <c r="I6674" s="11">
        <f t="shared" si="163"/>
        <v>0</v>
      </c>
      <c r="J6674" s="9"/>
      <c r="K6674" s="11"/>
      <c r="L6674" s="9"/>
      <c r="M6674" s="11"/>
      <c r="N6674" s="9" t="s">
        <v>804</v>
      </c>
    </row>
    <row r="6675" ht="25" customHeight="1" spans="1:14">
      <c r="A6675" s="9" t="s">
        <v>231</v>
      </c>
      <c r="B6675" s="9" t="s">
        <v>229</v>
      </c>
      <c r="C6675" s="10">
        <v>45019</v>
      </c>
      <c r="D6675" s="15">
        <v>1.2168</v>
      </c>
      <c r="E6675" s="15">
        <v>1.2168</v>
      </c>
      <c r="F6675" s="15">
        <v>1.2168</v>
      </c>
      <c r="G6675" s="11">
        <v>0.0001</v>
      </c>
      <c r="H6675" s="9">
        <f>MAX($F$6211:F6675)</f>
        <v>1.2168</v>
      </c>
      <c r="I6675" s="11">
        <f t="shared" si="163"/>
        <v>0</v>
      </c>
      <c r="J6675" s="9"/>
      <c r="K6675" s="11"/>
      <c r="L6675" s="9"/>
      <c r="M6675" s="11"/>
      <c r="N6675" s="9" t="s">
        <v>804</v>
      </c>
    </row>
    <row r="6676" ht="25" customHeight="1" spans="1:14">
      <c r="A6676" s="9" t="s">
        <v>231</v>
      </c>
      <c r="B6676" s="9" t="s">
        <v>229</v>
      </c>
      <c r="C6676" s="10">
        <v>45020</v>
      </c>
      <c r="D6676" s="15">
        <v>1.2167</v>
      </c>
      <c r="E6676" s="15">
        <v>1.2167</v>
      </c>
      <c r="F6676" s="15">
        <v>1.2167</v>
      </c>
      <c r="G6676" s="11">
        <v>-0.0001</v>
      </c>
      <c r="H6676" s="9">
        <f>MAX($F$6211:F6676)</f>
        <v>1.2168</v>
      </c>
      <c r="I6676" s="11">
        <f t="shared" si="163"/>
        <v>8.218277449068e-5</v>
      </c>
      <c r="J6676" s="9"/>
      <c r="K6676" s="11"/>
      <c r="L6676" s="9"/>
      <c r="M6676" s="11"/>
      <c r="N6676" s="9" t="s">
        <v>804</v>
      </c>
    </row>
    <row r="6677" ht="25" customHeight="1" spans="1:14">
      <c r="A6677" s="9" t="s">
        <v>231</v>
      </c>
      <c r="B6677" s="9" t="s">
        <v>229</v>
      </c>
      <c r="C6677" s="10">
        <v>45022</v>
      </c>
      <c r="D6677" s="15">
        <v>1.2167</v>
      </c>
      <c r="E6677" s="15">
        <v>1.2167</v>
      </c>
      <c r="F6677" s="15">
        <v>1.2167</v>
      </c>
      <c r="G6677" s="11">
        <v>0</v>
      </c>
      <c r="H6677" s="9">
        <f>MAX($F$6211:F6677)</f>
        <v>1.2168</v>
      </c>
      <c r="I6677" s="11">
        <f t="shared" si="163"/>
        <v>8.218277449068e-5</v>
      </c>
      <c r="J6677" s="9"/>
      <c r="K6677" s="11"/>
      <c r="L6677" s="9"/>
      <c r="M6677" s="11"/>
      <c r="N6677" s="9" t="s">
        <v>804</v>
      </c>
    </row>
    <row r="6678" ht="25" customHeight="1" spans="1:14">
      <c r="A6678" s="9" t="s">
        <v>231</v>
      </c>
      <c r="B6678" s="9" t="s">
        <v>229</v>
      </c>
      <c r="C6678" s="10">
        <v>45023</v>
      </c>
      <c r="D6678" s="15">
        <v>1.2168</v>
      </c>
      <c r="E6678" s="15">
        <v>1.2168</v>
      </c>
      <c r="F6678" s="15">
        <v>1.2168</v>
      </c>
      <c r="G6678" s="11">
        <v>0.0001</v>
      </c>
      <c r="H6678" s="9">
        <f>MAX($F$6211:F6678)</f>
        <v>1.2168</v>
      </c>
      <c r="I6678" s="11">
        <f t="shared" si="163"/>
        <v>0</v>
      </c>
      <c r="J6678" s="9"/>
      <c r="K6678" s="11"/>
      <c r="L6678" s="9"/>
      <c r="M6678" s="11"/>
      <c r="N6678" s="9" t="s">
        <v>804</v>
      </c>
    </row>
    <row r="6679" ht="25" customHeight="1" spans="1:14">
      <c r="A6679" s="9" t="s">
        <v>231</v>
      </c>
      <c r="B6679" s="9" t="s">
        <v>229</v>
      </c>
      <c r="C6679" s="10">
        <v>45026</v>
      </c>
      <c r="D6679" s="15">
        <v>1.2182</v>
      </c>
      <c r="E6679" s="15">
        <v>1.2182</v>
      </c>
      <c r="F6679" s="15">
        <v>1.2182</v>
      </c>
      <c r="G6679" s="11">
        <v>0.0012</v>
      </c>
      <c r="H6679" s="9">
        <f>MAX($F$6211:F6679)</f>
        <v>1.2182</v>
      </c>
      <c r="I6679" s="11">
        <f t="shared" si="163"/>
        <v>0</v>
      </c>
      <c r="J6679" s="9"/>
      <c r="K6679" s="11"/>
      <c r="L6679" s="9"/>
      <c r="M6679" s="11"/>
      <c r="N6679" s="9" t="s">
        <v>804</v>
      </c>
    </row>
    <row r="6680" ht="25" customHeight="1" spans="1:14">
      <c r="A6680" s="9" t="s">
        <v>231</v>
      </c>
      <c r="B6680" s="9" t="s">
        <v>229</v>
      </c>
      <c r="C6680" s="10">
        <v>45027</v>
      </c>
      <c r="D6680" s="15">
        <v>1.2183</v>
      </c>
      <c r="E6680" s="15">
        <v>1.2183</v>
      </c>
      <c r="F6680" s="15">
        <v>1.2183</v>
      </c>
      <c r="G6680" s="11">
        <v>0.0001</v>
      </c>
      <c r="H6680" s="9">
        <f>MAX($F$6211:F6680)</f>
        <v>1.2183</v>
      </c>
      <c r="I6680" s="11">
        <f t="shared" si="163"/>
        <v>0</v>
      </c>
      <c r="J6680" s="9"/>
      <c r="K6680" s="11"/>
      <c r="L6680" s="9"/>
      <c r="M6680" s="11"/>
      <c r="N6680" s="9" t="s">
        <v>804</v>
      </c>
    </row>
    <row r="6681" ht="25" customHeight="1" spans="1:14">
      <c r="A6681" s="9" t="s">
        <v>231</v>
      </c>
      <c r="B6681" s="9" t="s">
        <v>229</v>
      </c>
      <c r="C6681" s="10">
        <v>45028</v>
      </c>
      <c r="D6681" s="15">
        <v>1.2183</v>
      </c>
      <c r="E6681" s="15">
        <v>1.2183</v>
      </c>
      <c r="F6681" s="15">
        <v>1.2183</v>
      </c>
      <c r="G6681" s="11">
        <v>0</v>
      </c>
      <c r="H6681" s="9">
        <f>MAX($F$6211:F6681)</f>
        <v>1.2183</v>
      </c>
      <c r="I6681" s="11">
        <f t="shared" si="163"/>
        <v>0</v>
      </c>
      <c r="J6681" s="9"/>
      <c r="K6681" s="11"/>
      <c r="L6681" s="9"/>
      <c r="M6681" s="11"/>
      <c r="N6681" s="9" t="s">
        <v>804</v>
      </c>
    </row>
    <row r="6682" ht="25" customHeight="1" spans="1:14">
      <c r="A6682" s="9" t="s">
        <v>231</v>
      </c>
      <c r="B6682" s="9" t="s">
        <v>229</v>
      </c>
      <c r="C6682" s="10">
        <v>45029</v>
      </c>
      <c r="D6682" s="15">
        <v>1.2184</v>
      </c>
      <c r="E6682" s="15">
        <v>1.2184</v>
      </c>
      <c r="F6682" s="15">
        <v>1.2184</v>
      </c>
      <c r="G6682" s="11">
        <v>0.0001</v>
      </c>
      <c r="H6682" s="9">
        <f>MAX($F$6211:F6682)</f>
        <v>1.2184</v>
      </c>
      <c r="I6682" s="11">
        <f t="shared" si="163"/>
        <v>0</v>
      </c>
      <c r="J6682" s="9"/>
      <c r="K6682" s="11"/>
      <c r="L6682" s="9"/>
      <c r="M6682" s="11"/>
      <c r="N6682" s="9" t="s">
        <v>804</v>
      </c>
    </row>
    <row r="6683" ht="25" customHeight="1" spans="1:14">
      <c r="A6683" s="9" t="s">
        <v>231</v>
      </c>
      <c r="B6683" s="9" t="s">
        <v>229</v>
      </c>
      <c r="C6683" s="10">
        <v>45030</v>
      </c>
      <c r="D6683" s="15">
        <v>1.2184</v>
      </c>
      <c r="E6683" s="15">
        <v>1.2184</v>
      </c>
      <c r="F6683" s="15">
        <v>1.2184</v>
      </c>
      <c r="G6683" s="11">
        <v>0</v>
      </c>
      <c r="H6683" s="9">
        <f>MAX($F$6211:F6683)</f>
        <v>1.2184</v>
      </c>
      <c r="I6683" s="11">
        <f t="shared" si="163"/>
        <v>0</v>
      </c>
      <c r="J6683" s="9"/>
      <c r="K6683" s="11"/>
      <c r="L6683" s="9"/>
      <c r="M6683" s="11"/>
      <c r="N6683" s="9" t="s">
        <v>804</v>
      </c>
    </row>
    <row r="6684" ht="25" customHeight="1" spans="1:14">
      <c r="A6684" s="9" t="s">
        <v>231</v>
      </c>
      <c r="B6684" s="9" t="s">
        <v>229</v>
      </c>
      <c r="C6684" s="10">
        <v>45033</v>
      </c>
      <c r="D6684" s="15">
        <v>1.2196</v>
      </c>
      <c r="E6684" s="15">
        <v>1.2196</v>
      </c>
      <c r="F6684" s="15">
        <v>1.2196</v>
      </c>
      <c r="G6684" s="11">
        <v>0.001</v>
      </c>
      <c r="H6684" s="9">
        <f>MAX($F$6211:F6684)</f>
        <v>1.2196</v>
      </c>
      <c r="I6684" s="11">
        <f t="shared" si="163"/>
        <v>0</v>
      </c>
      <c r="J6684" s="9"/>
      <c r="K6684" s="11"/>
      <c r="L6684" s="9"/>
      <c r="M6684" s="11"/>
      <c r="N6684" s="9" t="s">
        <v>804</v>
      </c>
    </row>
    <row r="6685" ht="25" customHeight="1" spans="1:14">
      <c r="A6685" s="9" t="s">
        <v>231</v>
      </c>
      <c r="B6685" s="9" t="s">
        <v>229</v>
      </c>
      <c r="C6685" s="10">
        <v>45034</v>
      </c>
      <c r="D6685" s="15">
        <v>1.2197</v>
      </c>
      <c r="E6685" s="15">
        <v>1.2197</v>
      </c>
      <c r="F6685" s="15">
        <v>1.2197</v>
      </c>
      <c r="G6685" s="11">
        <v>0.0001</v>
      </c>
      <c r="H6685" s="9">
        <f>MAX($F$6211:F6685)</f>
        <v>1.2197</v>
      </c>
      <c r="I6685" s="11">
        <f t="shared" si="163"/>
        <v>0</v>
      </c>
      <c r="J6685" s="9"/>
      <c r="K6685" s="11"/>
      <c r="L6685" s="9"/>
      <c r="M6685" s="11"/>
      <c r="N6685" s="9" t="s">
        <v>804</v>
      </c>
    </row>
    <row r="6686" ht="25" customHeight="1" spans="1:14">
      <c r="A6686" s="9" t="s">
        <v>231</v>
      </c>
      <c r="B6686" s="9" t="s">
        <v>229</v>
      </c>
      <c r="C6686" s="10">
        <v>45035</v>
      </c>
      <c r="D6686" s="15">
        <v>1.2205</v>
      </c>
      <c r="E6686" s="15">
        <v>1.2205</v>
      </c>
      <c r="F6686" s="15">
        <v>1.2205</v>
      </c>
      <c r="G6686" s="11">
        <v>0.0007</v>
      </c>
      <c r="H6686" s="9">
        <f>MAX($F$6211:F6686)</f>
        <v>1.2205</v>
      </c>
      <c r="I6686" s="11">
        <f t="shared" si="163"/>
        <v>0</v>
      </c>
      <c r="J6686" s="9"/>
      <c r="K6686" s="11"/>
      <c r="L6686" s="9"/>
      <c r="M6686" s="11"/>
      <c r="N6686" s="9" t="s">
        <v>804</v>
      </c>
    </row>
    <row r="6687" ht="25" customHeight="1" spans="1:14">
      <c r="A6687" s="9" t="s">
        <v>231</v>
      </c>
      <c r="B6687" s="9" t="s">
        <v>229</v>
      </c>
      <c r="C6687" s="10">
        <v>45036</v>
      </c>
      <c r="D6687" s="15">
        <v>1.2208</v>
      </c>
      <c r="E6687" s="15">
        <v>1.2208</v>
      </c>
      <c r="F6687" s="15">
        <v>1.2208</v>
      </c>
      <c r="G6687" s="11">
        <v>0.0002</v>
      </c>
      <c r="H6687" s="9">
        <f>MAX($F$6211:F6687)</f>
        <v>1.2208</v>
      </c>
      <c r="I6687" s="11">
        <f t="shared" si="163"/>
        <v>0</v>
      </c>
      <c r="J6687" s="9"/>
      <c r="K6687" s="11"/>
      <c r="L6687" s="9"/>
      <c r="M6687" s="11"/>
      <c r="N6687" s="9" t="s">
        <v>804</v>
      </c>
    </row>
    <row r="6688" ht="25" customHeight="1" spans="1:14">
      <c r="A6688" s="9" t="s">
        <v>231</v>
      </c>
      <c r="B6688" s="9" t="s">
        <v>229</v>
      </c>
      <c r="C6688" s="10">
        <v>45037</v>
      </c>
      <c r="D6688" s="15">
        <v>1.2209</v>
      </c>
      <c r="E6688" s="15">
        <v>1.2209</v>
      </c>
      <c r="F6688" s="15">
        <v>1.2209</v>
      </c>
      <c r="G6688" s="11">
        <v>0.0001</v>
      </c>
      <c r="H6688" s="9">
        <f>MAX($F$6211:F6688)</f>
        <v>1.2209</v>
      </c>
      <c r="I6688" s="11">
        <f t="shared" si="163"/>
        <v>0</v>
      </c>
      <c r="J6688" s="9"/>
      <c r="K6688" s="11"/>
      <c r="L6688" s="9"/>
      <c r="M6688" s="11"/>
      <c r="N6688" s="9" t="s">
        <v>804</v>
      </c>
    </row>
    <row r="6689" ht="25" customHeight="1" spans="1:14">
      <c r="A6689" s="9" t="s">
        <v>231</v>
      </c>
      <c r="B6689" s="9" t="s">
        <v>229</v>
      </c>
      <c r="C6689" s="10">
        <v>45040</v>
      </c>
      <c r="D6689" s="15">
        <v>1.2209</v>
      </c>
      <c r="E6689" s="15">
        <v>1.2209</v>
      </c>
      <c r="F6689" s="15">
        <v>1.2209</v>
      </c>
      <c r="G6689" s="11">
        <v>0</v>
      </c>
      <c r="H6689" s="9">
        <f>MAX($F$6211:F6689)</f>
        <v>1.2209</v>
      </c>
      <c r="I6689" s="11">
        <f t="shared" si="163"/>
        <v>0</v>
      </c>
      <c r="J6689" s="9"/>
      <c r="K6689" s="11"/>
      <c r="L6689" s="9"/>
      <c r="M6689" s="11"/>
      <c r="N6689" s="9" t="s">
        <v>804</v>
      </c>
    </row>
    <row r="6690" ht="25" customHeight="1" spans="1:14">
      <c r="A6690" s="9" t="s">
        <v>231</v>
      </c>
      <c r="B6690" s="9" t="s">
        <v>229</v>
      </c>
      <c r="C6690" s="10">
        <v>45041</v>
      </c>
      <c r="D6690" s="15">
        <v>1.2218</v>
      </c>
      <c r="E6690" s="15">
        <v>1.2218</v>
      </c>
      <c r="F6690" s="15">
        <v>1.2218</v>
      </c>
      <c r="G6690" s="11">
        <v>0.0007</v>
      </c>
      <c r="H6690" s="9">
        <f>MAX($F$6211:F6690)</f>
        <v>1.2218</v>
      </c>
      <c r="I6690" s="11">
        <f t="shared" si="163"/>
        <v>0</v>
      </c>
      <c r="J6690" s="9"/>
      <c r="K6690" s="11"/>
      <c r="L6690" s="9"/>
      <c r="M6690" s="11"/>
      <c r="N6690" s="9" t="s">
        <v>804</v>
      </c>
    </row>
    <row r="6691" ht="25" customHeight="1" spans="1:14">
      <c r="A6691" s="9" t="s">
        <v>231</v>
      </c>
      <c r="B6691" s="9" t="s">
        <v>229</v>
      </c>
      <c r="C6691" s="10">
        <v>45042</v>
      </c>
      <c r="D6691" s="15">
        <v>1.222</v>
      </c>
      <c r="E6691" s="15">
        <v>1.222</v>
      </c>
      <c r="F6691" s="15">
        <v>1.222</v>
      </c>
      <c r="G6691" s="11">
        <v>0.0002</v>
      </c>
      <c r="H6691" s="9">
        <f>MAX($F$6211:F6691)</f>
        <v>1.222</v>
      </c>
      <c r="I6691" s="11">
        <f t="shared" si="163"/>
        <v>0</v>
      </c>
      <c r="J6691" s="9"/>
      <c r="K6691" s="11"/>
      <c r="L6691" s="9"/>
      <c r="M6691" s="11"/>
      <c r="N6691" s="9" t="s">
        <v>804</v>
      </c>
    </row>
    <row r="6692" ht="25" customHeight="1" spans="1:14">
      <c r="A6692" s="9" t="s">
        <v>231</v>
      </c>
      <c r="B6692" s="9" t="s">
        <v>229</v>
      </c>
      <c r="C6692" s="10">
        <v>45043</v>
      </c>
      <c r="D6692" s="15">
        <v>1.2222</v>
      </c>
      <c r="E6692" s="15">
        <v>1.2222</v>
      </c>
      <c r="F6692" s="15">
        <v>1.2222</v>
      </c>
      <c r="G6692" s="11">
        <v>0.0002</v>
      </c>
      <c r="H6692" s="9">
        <f>MAX($F$6211:F6692)</f>
        <v>1.2222</v>
      </c>
      <c r="I6692" s="11">
        <f t="shared" si="163"/>
        <v>0</v>
      </c>
      <c r="J6692" s="9"/>
      <c r="K6692" s="11"/>
      <c r="L6692" s="9"/>
      <c r="M6692" s="11"/>
      <c r="N6692" s="9" t="s">
        <v>804</v>
      </c>
    </row>
    <row r="6693" ht="25" customHeight="1" spans="1:14">
      <c r="A6693" s="9" t="s">
        <v>231</v>
      </c>
      <c r="B6693" s="9" t="s">
        <v>229</v>
      </c>
      <c r="C6693" s="10">
        <v>45044</v>
      </c>
      <c r="D6693" s="15">
        <v>1.2225</v>
      </c>
      <c r="E6693" s="15">
        <v>1.2225</v>
      </c>
      <c r="F6693" s="15">
        <v>1.2225</v>
      </c>
      <c r="G6693" s="11">
        <v>0.0002</v>
      </c>
      <c r="H6693" s="9">
        <f>MAX($F$6211:F6693)</f>
        <v>1.2225</v>
      </c>
      <c r="I6693" s="11">
        <f t="shared" si="163"/>
        <v>0</v>
      </c>
      <c r="J6693" s="9"/>
      <c r="K6693" s="11"/>
      <c r="L6693" s="9"/>
      <c r="M6693" s="11"/>
      <c r="N6693" s="9" t="s">
        <v>804</v>
      </c>
    </row>
    <row r="6694" ht="25" customHeight="1" spans="1:14">
      <c r="A6694" s="9" t="s">
        <v>231</v>
      </c>
      <c r="B6694" s="9" t="s">
        <v>229</v>
      </c>
      <c r="C6694" s="10">
        <v>45050</v>
      </c>
      <c r="D6694" s="15">
        <v>1.2229</v>
      </c>
      <c r="E6694" s="15">
        <v>1.2229</v>
      </c>
      <c r="F6694" s="15">
        <v>1.2229</v>
      </c>
      <c r="G6694" s="11">
        <v>0.0003</v>
      </c>
      <c r="H6694" s="9">
        <f>MAX($F$6211:F6694)</f>
        <v>1.2229</v>
      </c>
      <c r="I6694" s="11">
        <f t="shared" si="163"/>
        <v>0</v>
      </c>
      <c r="J6694" s="9"/>
      <c r="K6694" s="11"/>
      <c r="L6694" s="9"/>
      <c r="M6694" s="11"/>
      <c r="N6694" s="9" t="s">
        <v>804</v>
      </c>
    </row>
    <row r="6695" ht="25" customHeight="1" spans="1:14">
      <c r="A6695" s="9" t="s">
        <v>231</v>
      </c>
      <c r="B6695" s="9" t="s">
        <v>229</v>
      </c>
      <c r="C6695" s="10">
        <v>45051</v>
      </c>
      <c r="D6695" s="15">
        <v>1.223</v>
      </c>
      <c r="E6695" s="15">
        <v>1.223</v>
      </c>
      <c r="F6695" s="15">
        <v>1.223</v>
      </c>
      <c r="G6695" s="11">
        <v>0.0001</v>
      </c>
      <c r="H6695" s="9">
        <f>MAX($F$6211:F6695)</f>
        <v>1.223</v>
      </c>
      <c r="I6695" s="11">
        <f t="shared" si="163"/>
        <v>0</v>
      </c>
      <c r="J6695" s="9"/>
      <c r="K6695" s="11"/>
      <c r="L6695" s="9"/>
      <c r="M6695" s="11"/>
      <c r="N6695" s="9" t="s">
        <v>804</v>
      </c>
    </row>
    <row r="6696" ht="25" customHeight="1" spans="1:14">
      <c r="A6696" s="9" t="s">
        <v>231</v>
      </c>
      <c r="B6696" s="9" t="s">
        <v>229</v>
      </c>
      <c r="C6696" s="10">
        <v>45054</v>
      </c>
      <c r="D6696" s="15">
        <v>1.2231</v>
      </c>
      <c r="E6696" s="15">
        <v>1.2231</v>
      </c>
      <c r="F6696" s="15">
        <v>1.2231</v>
      </c>
      <c r="G6696" s="11">
        <v>0.0001</v>
      </c>
      <c r="H6696" s="9">
        <f>MAX($F$6211:F6696)</f>
        <v>1.2231</v>
      </c>
      <c r="I6696" s="11">
        <f t="shared" si="163"/>
        <v>0</v>
      </c>
      <c r="J6696" s="9"/>
      <c r="K6696" s="11"/>
      <c r="L6696" s="9"/>
      <c r="M6696" s="11"/>
      <c r="N6696" s="9" t="s">
        <v>804</v>
      </c>
    </row>
    <row r="6697" ht="25" customHeight="1" spans="1:14">
      <c r="A6697" s="9" t="s">
        <v>231</v>
      </c>
      <c r="B6697" s="9" t="s">
        <v>229</v>
      </c>
      <c r="C6697" s="10">
        <v>45055</v>
      </c>
      <c r="D6697" s="15">
        <v>1.223</v>
      </c>
      <c r="E6697" s="15">
        <v>1.223</v>
      </c>
      <c r="F6697" s="15">
        <v>1.223</v>
      </c>
      <c r="G6697" s="11">
        <v>-0.0001</v>
      </c>
      <c r="H6697" s="9">
        <f>MAX($F$6211:F6697)</f>
        <v>1.2231</v>
      </c>
      <c r="I6697" s="11">
        <f t="shared" si="163"/>
        <v>8.17594636579599e-5</v>
      </c>
      <c r="J6697" s="9"/>
      <c r="K6697" s="11"/>
      <c r="L6697" s="9"/>
      <c r="M6697" s="11"/>
      <c r="N6697" s="9" t="s">
        <v>804</v>
      </c>
    </row>
    <row r="6698" ht="25" customHeight="1" spans="1:14">
      <c r="A6698" s="9" t="s">
        <v>231</v>
      </c>
      <c r="B6698" s="9" t="s">
        <v>229</v>
      </c>
      <c r="C6698" s="10">
        <v>45056</v>
      </c>
      <c r="D6698" s="15">
        <v>1.2234</v>
      </c>
      <c r="E6698" s="15">
        <v>1.2234</v>
      </c>
      <c r="F6698" s="15">
        <v>1.2234</v>
      </c>
      <c r="G6698" s="11">
        <v>0.0003</v>
      </c>
      <c r="H6698" s="9">
        <f>MAX($F$6211:F6698)</f>
        <v>1.2234</v>
      </c>
      <c r="I6698" s="11">
        <f t="shared" si="163"/>
        <v>0</v>
      </c>
      <c r="J6698" s="9"/>
      <c r="K6698" s="11"/>
      <c r="L6698" s="9"/>
      <c r="M6698" s="11"/>
      <c r="N6698" s="9" t="s">
        <v>804</v>
      </c>
    </row>
    <row r="6699" ht="25" customHeight="1" spans="1:14">
      <c r="A6699" s="9" t="s">
        <v>231</v>
      </c>
      <c r="B6699" s="9" t="s">
        <v>229</v>
      </c>
      <c r="C6699" s="10">
        <v>45057</v>
      </c>
      <c r="D6699" s="15">
        <v>1.2237</v>
      </c>
      <c r="E6699" s="15">
        <v>1.2237</v>
      </c>
      <c r="F6699" s="15">
        <v>1.2237</v>
      </c>
      <c r="G6699" s="11">
        <v>0.0002</v>
      </c>
      <c r="H6699" s="9">
        <f>MAX($F$6211:F6699)</f>
        <v>1.2237</v>
      </c>
      <c r="I6699" s="11">
        <f t="shared" si="163"/>
        <v>0</v>
      </c>
      <c r="J6699" s="9"/>
      <c r="K6699" s="11"/>
      <c r="L6699" s="9"/>
      <c r="M6699" s="11"/>
      <c r="N6699" s="9" t="s">
        <v>804</v>
      </c>
    </row>
    <row r="6700" ht="25" customHeight="1" spans="1:14">
      <c r="A6700" s="9" t="s">
        <v>231</v>
      </c>
      <c r="B6700" s="9" t="s">
        <v>229</v>
      </c>
      <c r="C6700" s="10">
        <v>45058</v>
      </c>
      <c r="D6700" s="15">
        <v>1.2243</v>
      </c>
      <c r="E6700" s="15">
        <v>1.2243</v>
      </c>
      <c r="F6700" s="15">
        <v>1.2243</v>
      </c>
      <c r="G6700" s="11">
        <v>0.0005</v>
      </c>
      <c r="H6700" s="9">
        <f>MAX($F$6211:F6700)</f>
        <v>1.2243</v>
      </c>
      <c r="I6700" s="11">
        <f t="shared" si="163"/>
        <v>0</v>
      </c>
      <c r="J6700" s="9"/>
      <c r="K6700" s="11"/>
      <c r="L6700" s="9"/>
      <c r="M6700" s="11"/>
      <c r="N6700" s="9" t="s">
        <v>804</v>
      </c>
    </row>
    <row r="6701" ht="25" customHeight="1" spans="1:14">
      <c r="A6701" s="9" t="s">
        <v>231</v>
      </c>
      <c r="B6701" s="9" t="s">
        <v>229</v>
      </c>
      <c r="C6701" s="10">
        <v>45061</v>
      </c>
      <c r="D6701" s="15">
        <v>1.2245</v>
      </c>
      <c r="E6701" s="15">
        <v>1.2245</v>
      </c>
      <c r="F6701" s="15">
        <v>1.2245</v>
      </c>
      <c r="G6701" s="11">
        <v>0.0002</v>
      </c>
      <c r="H6701" s="9">
        <f>MAX($F$6211:F6701)</f>
        <v>1.2245</v>
      </c>
      <c r="I6701" s="11">
        <f t="shared" si="163"/>
        <v>0</v>
      </c>
      <c r="J6701" s="9"/>
      <c r="K6701" s="11"/>
      <c r="L6701" s="9"/>
      <c r="M6701" s="11"/>
      <c r="N6701" s="9" t="s">
        <v>804</v>
      </c>
    </row>
    <row r="6702" ht="25" customHeight="1" spans="1:14">
      <c r="A6702" s="9" t="s">
        <v>231</v>
      </c>
      <c r="B6702" s="9" t="s">
        <v>229</v>
      </c>
      <c r="C6702" s="10">
        <v>45062</v>
      </c>
      <c r="D6702" s="15">
        <v>1.2245</v>
      </c>
      <c r="E6702" s="15">
        <v>1.2245</v>
      </c>
      <c r="F6702" s="15">
        <v>1.2245</v>
      </c>
      <c r="G6702" s="11">
        <v>0</v>
      </c>
      <c r="H6702" s="9">
        <f>MAX($F$6211:F6702)</f>
        <v>1.2245</v>
      </c>
      <c r="I6702" s="11">
        <f t="shared" si="163"/>
        <v>0</v>
      </c>
      <c r="J6702" s="9"/>
      <c r="K6702" s="11"/>
      <c r="L6702" s="9"/>
      <c r="M6702" s="11"/>
      <c r="N6702" s="9" t="s">
        <v>804</v>
      </c>
    </row>
    <row r="6703" ht="25" customHeight="1" spans="1:14">
      <c r="A6703" s="9" t="s">
        <v>231</v>
      </c>
      <c r="B6703" s="9" t="s">
        <v>229</v>
      </c>
      <c r="C6703" s="10">
        <v>45063</v>
      </c>
      <c r="D6703" s="15">
        <v>1.2247</v>
      </c>
      <c r="E6703" s="15">
        <v>1.2247</v>
      </c>
      <c r="F6703" s="15">
        <v>1.2247</v>
      </c>
      <c r="G6703" s="11">
        <v>0.0002</v>
      </c>
      <c r="H6703" s="9">
        <f>MAX($F$6211:F6703)</f>
        <v>1.2247</v>
      </c>
      <c r="I6703" s="11">
        <f t="shared" si="163"/>
        <v>0</v>
      </c>
      <c r="J6703" s="9"/>
      <c r="K6703" s="11"/>
      <c r="L6703" s="9"/>
      <c r="M6703" s="11"/>
      <c r="N6703" s="9" t="s">
        <v>804</v>
      </c>
    </row>
    <row r="6704" ht="25" customHeight="1" spans="1:14">
      <c r="A6704" s="9" t="s">
        <v>231</v>
      </c>
      <c r="B6704" s="9" t="s">
        <v>229</v>
      </c>
      <c r="C6704" s="10">
        <v>45064</v>
      </c>
      <c r="D6704" s="15">
        <v>1.2257</v>
      </c>
      <c r="E6704" s="15">
        <v>1.2257</v>
      </c>
      <c r="F6704" s="15">
        <v>1.2257</v>
      </c>
      <c r="G6704" s="11">
        <v>0.0008</v>
      </c>
      <c r="H6704" s="9">
        <f>MAX($F$6211:F6704)</f>
        <v>1.2257</v>
      </c>
      <c r="I6704" s="11">
        <f t="shared" si="163"/>
        <v>0</v>
      </c>
      <c r="J6704" s="9"/>
      <c r="K6704" s="11"/>
      <c r="L6704" s="9"/>
      <c r="M6704" s="11"/>
      <c r="N6704" s="9" t="s">
        <v>804</v>
      </c>
    </row>
    <row r="6705" ht="25" customHeight="1" spans="1:14">
      <c r="A6705" s="9" t="s">
        <v>231</v>
      </c>
      <c r="B6705" s="9" t="s">
        <v>229</v>
      </c>
      <c r="C6705" s="10">
        <v>45065</v>
      </c>
      <c r="D6705" s="15">
        <v>1.2258</v>
      </c>
      <c r="E6705" s="15">
        <v>1.2258</v>
      </c>
      <c r="F6705" s="15">
        <v>1.2258</v>
      </c>
      <c r="G6705" s="11">
        <v>0.0001</v>
      </c>
      <c r="H6705" s="9">
        <f>MAX($F$6211:F6705)</f>
        <v>1.2258</v>
      </c>
      <c r="I6705" s="11">
        <f t="shared" si="163"/>
        <v>0</v>
      </c>
      <c r="J6705" s="9"/>
      <c r="K6705" s="11"/>
      <c r="L6705" s="9"/>
      <c r="M6705" s="11"/>
      <c r="N6705" s="9" t="s">
        <v>804</v>
      </c>
    </row>
    <row r="6706" ht="25" customHeight="1" spans="1:14">
      <c r="A6706" s="9" t="s">
        <v>231</v>
      </c>
      <c r="B6706" s="9" t="s">
        <v>229</v>
      </c>
      <c r="C6706" s="10">
        <v>45068</v>
      </c>
      <c r="D6706" s="15">
        <v>1.2261</v>
      </c>
      <c r="E6706" s="15">
        <v>1.2261</v>
      </c>
      <c r="F6706" s="15">
        <v>1.2261</v>
      </c>
      <c r="G6706" s="11">
        <v>0.0002</v>
      </c>
      <c r="H6706" s="9">
        <f>MAX($F$6211:F6706)</f>
        <v>1.2261</v>
      </c>
      <c r="I6706" s="11">
        <f t="shared" si="163"/>
        <v>0</v>
      </c>
      <c r="J6706" s="9"/>
      <c r="K6706" s="11"/>
      <c r="L6706" s="9"/>
      <c r="M6706" s="11"/>
      <c r="N6706" s="9" t="s">
        <v>804</v>
      </c>
    </row>
    <row r="6707" ht="25" customHeight="1" spans="1:14">
      <c r="A6707" s="9" t="s">
        <v>231</v>
      </c>
      <c r="B6707" s="9" t="s">
        <v>229</v>
      </c>
      <c r="C6707" s="10">
        <v>45069</v>
      </c>
      <c r="D6707" s="15">
        <v>1.2267</v>
      </c>
      <c r="E6707" s="15">
        <v>1.2267</v>
      </c>
      <c r="F6707" s="15">
        <v>1.2267</v>
      </c>
      <c r="G6707" s="11">
        <v>0.0005</v>
      </c>
      <c r="H6707" s="9">
        <f>MAX($F$6211:F6707)</f>
        <v>1.2267</v>
      </c>
      <c r="I6707" s="11">
        <f t="shared" si="163"/>
        <v>0</v>
      </c>
      <c r="J6707" s="9"/>
      <c r="K6707" s="11"/>
      <c r="L6707" s="9"/>
      <c r="M6707" s="11"/>
      <c r="N6707" s="9" t="s">
        <v>804</v>
      </c>
    </row>
    <row r="6708" ht="25" customHeight="1" spans="1:14">
      <c r="A6708" s="9" t="s">
        <v>231</v>
      </c>
      <c r="B6708" s="9" t="s">
        <v>229</v>
      </c>
      <c r="C6708" s="10">
        <v>45070</v>
      </c>
      <c r="D6708" s="15">
        <v>1.227</v>
      </c>
      <c r="E6708" s="15">
        <v>1.227</v>
      </c>
      <c r="F6708" s="15">
        <v>1.227</v>
      </c>
      <c r="G6708" s="11">
        <v>0.0002</v>
      </c>
      <c r="H6708" s="9">
        <f>MAX($F$6211:F6708)</f>
        <v>1.227</v>
      </c>
      <c r="I6708" s="11">
        <f t="shared" si="163"/>
        <v>0</v>
      </c>
      <c r="J6708" s="9"/>
      <c r="K6708" s="11"/>
      <c r="L6708" s="9"/>
      <c r="M6708" s="11"/>
      <c r="N6708" s="9" t="s">
        <v>804</v>
      </c>
    </row>
    <row r="6709" ht="25" customHeight="1" spans="1:14">
      <c r="A6709" s="9" t="s">
        <v>231</v>
      </c>
      <c r="B6709" s="9" t="s">
        <v>229</v>
      </c>
      <c r="C6709" s="10">
        <v>45071</v>
      </c>
      <c r="D6709" s="15">
        <v>1.2273</v>
      </c>
      <c r="E6709" s="15">
        <v>1.2273</v>
      </c>
      <c r="F6709" s="15">
        <v>1.2273</v>
      </c>
      <c r="G6709" s="11">
        <v>0.0002</v>
      </c>
      <c r="H6709" s="9">
        <f>MAX($F$6211:F6709)</f>
        <v>1.2273</v>
      </c>
      <c r="I6709" s="11">
        <f t="shared" si="163"/>
        <v>0</v>
      </c>
      <c r="J6709" s="9"/>
      <c r="K6709" s="11"/>
      <c r="L6709" s="9"/>
      <c r="M6709" s="11"/>
      <c r="N6709" s="9" t="s">
        <v>804</v>
      </c>
    </row>
    <row r="6710" ht="25" customHeight="1" spans="1:14">
      <c r="A6710" s="9" t="s">
        <v>231</v>
      </c>
      <c r="B6710" s="9" t="s">
        <v>229</v>
      </c>
      <c r="C6710" s="10">
        <v>45072</v>
      </c>
      <c r="D6710" s="15">
        <v>1.2275</v>
      </c>
      <c r="E6710" s="15">
        <v>1.2275</v>
      </c>
      <c r="F6710" s="15">
        <v>1.2275</v>
      </c>
      <c r="G6710" s="11">
        <v>0.0002</v>
      </c>
      <c r="H6710" s="9">
        <f>MAX($F$6211:F6710)</f>
        <v>1.2275</v>
      </c>
      <c r="I6710" s="11">
        <f t="shared" si="163"/>
        <v>0</v>
      </c>
      <c r="J6710" s="9"/>
      <c r="K6710" s="11"/>
      <c r="L6710" s="9"/>
      <c r="M6710" s="11"/>
      <c r="N6710" s="9" t="s">
        <v>804</v>
      </c>
    </row>
    <row r="6711" ht="25" customHeight="1" spans="1:14">
      <c r="A6711" s="9" t="s">
        <v>231</v>
      </c>
      <c r="B6711" s="9" t="s">
        <v>229</v>
      </c>
      <c r="C6711" s="10">
        <v>45075</v>
      </c>
      <c r="D6711" s="15">
        <v>1.2277</v>
      </c>
      <c r="E6711" s="15">
        <v>1.2277</v>
      </c>
      <c r="F6711" s="15">
        <v>1.2277</v>
      </c>
      <c r="G6711" s="11">
        <v>0.0002</v>
      </c>
      <c r="H6711" s="9">
        <f>MAX($F$6211:F6711)</f>
        <v>1.2277</v>
      </c>
      <c r="I6711" s="11">
        <f t="shared" si="163"/>
        <v>0</v>
      </c>
      <c r="J6711" s="9"/>
      <c r="K6711" s="11"/>
      <c r="L6711" s="9"/>
      <c r="M6711" s="11"/>
      <c r="N6711" s="9" t="s">
        <v>804</v>
      </c>
    </row>
    <row r="6712" ht="25" customHeight="1" spans="1:14">
      <c r="A6712" s="9" t="s">
        <v>231</v>
      </c>
      <c r="B6712" s="9" t="s">
        <v>229</v>
      </c>
      <c r="C6712" s="10">
        <v>45076</v>
      </c>
      <c r="D6712" s="15">
        <v>1.2279</v>
      </c>
      <c r="E6712" s="15">
        <v>1.2279</v>
      </c>
      <c r="F6712" s="15">
        <v>1.2279</v>
      </c>
      <c r="G6712" s="11">
        <v>0.0002</v>
      </c>
      <c r="H6712" s="9">
        <f>MAX($F$6211:F6712)</f>
        <v>1.2279</v>
      </c>
      <c r="I6712" s="11">
        <f t="shared" si="163"/>
        <v>0</v>
      </c>
      <c r="J6712" s="9"/>
      <c r="K6712" s="11"/>
      <c r="L6712" s="9"/>
      <c r="M6712" s="11"/>
      <c r="N6712" s="9" t="s">
        <v>804</v>
      </c>
    </row>
    <row r="6713" ht="25" customHeight="1" spans="1:14">
      <c r="A6713" s="9" t="s">
        <v>231</v>
      </c>
      <c r="B6713" s="9" t="s">
        <v>229</v>
      </c>
      <c r="C6713" s="10">
        <v>45077</v>
      </c>
      <c r="D6713" s="15">
        <v>1.2286</v>
      </c>
      <c r="E6713" s="15">
        <v>1.2286</v>
      </c>
      <c r="F6713" s="15">
        <v>1.2286</v>
      </c>
      <c r="G6713" s="11">
        <v>0.0006</v>
      </c>
      <c r="H6713" s="9">
        <f>MAX($F$6211:F6713)</f>
        <v>1.2286</v>
      </c>
      <c r="I6713" s="11">
        <f t="shared" si="163"/>
        <v>0</v>
      </c>
      <c r="J6713" s="9"/>
      <c r="K6713" s="11"/>
      <c r="L6713" s="9"/>
      <c r="M6713" s="11"/>
      <c r="N6713" s="9" t="s">
        <v>804</v>
      </c>
    </row>
    <row r="6714" ht="25" customHeight="1" spans="1:14">
      <c r="A6714" s="9" t="s">
        <v>231</v>
      </c>
      <c r="B6714" s="9" t="s">
        <v>229</v>
      </c>
      <c r="C6714" s="10">
        <v>45078</v>
      </c>
      <c r="D6714" s="15">
        <v>1.2292</v>
      </c>
      <c r="E6714" s="15">
        <v>1.2292</v>
      </c>
      <c r="F6714" s="15">
        <v>1.2292</v>
      </c>
      <c r="G6714" s="11">
        <v>0.0005</v>
      </c>
      <c r="H6714" s="9">
        <f>MAX($F$6211:F6714)</f>
        <v>1.2292</v>
      </c>
      <c r="I6714" s="11">
        <f t="shared" si="163"/>
        <v>0</v>
      </c>
      <c r="J6714" s="9"/>
      <c r="K6714" s="11"/>
      <c r="L6714" s="9"/>
      <c r="M6714" s="11"/>
      <c r="N6714" s="9" t="s">
        <v>804</v>
      </c>
    </row>
    <row r="6715" ht="25" customHeight="1" spans="1:14">
      <c r="A6715" s="9" t="s">
        <v>231</v>
      </c>
      <c r="B6715" s="9" t="s">
        <v>229</v>
      </c>
      <c r="C6715" s="10">
        <v>45079</v>
      </c>
      <c r="D6715" s="15">
        <v>1.2295</v>
      </c>
      <c r="E6715" s="15">
        <v>1.2295</v>
      </c>
      <c r="F6715" s="15">
        <v>1.2295</v>
      </c>
      <c r="G6715" s="11">
        <v>0.0002</v>
      </c>
      <c r="H6715" s="9">
        <f>MAX($F$6211:F6715)</f>
        <v>1.2295</v>
      </c>
      <c r="I6715" s="11">
        <f t="shared" si="163"/>
        <v>0</v>
      </c>
      <c r="J6715" s="9"/>
      <c r="K6715" s="11"/>
      <c r="L6715" s="9"/>
      <c r="M6715" s="11"/>
      <c r="N6715" s="9" t="s">
        <v>804</v>
      </c>
    </row>
    <row r="6716" ht="25" customHeight="1" spans="1:14">
      <c r="A6716" s="9" t="s">
        <v>231</v>
      </c>
      <c r="B6716" s="9" t="s">
        <v>229</v>
      </c>
      <c r="C6716" s="10">
        <v>45082</v>
      </c>
      <c r="D6716" s="15">
        <v>1.2296</v>
      </c>
      <c r="E6716" s="15">
        <v>1.2296</v>
      </c>
      <c r="F6716" s="15">
        <v>1.2296</v>
      </c>
      <c r="G6716" s="11">
        <v>0.0001</v>
      </c>
      <c r="H6716" s="9">
        <f>MAX($F$6211:F6716)</f>
        <v>1.2296</v>
      </c>
      <c r="I6716" s="11">
        <f t="shared" si="163"/>
        <v>0</v>
      </c>
      <c r="J6716" s="9"/>
      <c r="K6716" s="11"/>
      <c r="L6716" s="9"/>
      <c r="M6716" s="11"/>
      <c r="N6716" s="9" t="s">
        <v>804</v>
      </c>
    </row>
    <row r="6717" ht="25" customHeight="1" spans="1:14">
      <c r="A6717" s="9" t="s">
        <v>231</v>
      </c>
      <c r="B6717" s="9" t="s">
        <v>229</v>
      </c>
      <c r="C6717" s="10">
        <v>45083</v>
      </c>
      <c r="D6717" s="15">
        <v>1.2299</v>
      </c>
      <c r="E6717" s="15">
        <v>1.2299</v>
      </c>
      <c r="F6717" s="15">
        <v>1.2299</v>
      </c>
      <c r="G6717" s="11">
        <v>0.0002</v>
      </c>
      <c r="H6717" s="9">
        <f>MAX($F$6211:F6717)</f>
        <v>1.2299</v>
      </c>
      <c r="I6717" s="11">
        <f t="shared" si="163"/>
        <v>0</v>
      </c>
      <c r="J6717" s="9"/>
      <c r="K6717" s="11"/>
      <c r="L6717" s="9"/>
      <c r="M6717" s="11"/>
      <c r="N6717" s="9" t="s">
        <v>804</v>
      </c>
    </row>
    <row r="6718" ht="25" customHeight="1" spans="1:14">
      <c r="A6718" s="9" t="s">
        <v>231</v>
      </c>
      <c r="B6718" s="9" t="s">
        <v>229</v>
      </c>
      <c r="C6718" s="10">
        <v>45084</v>
      </c>
      <c r="D6718" s="15">
        <v>1.23</v>
      </c>
      <c r="E6718" s="15">
        <v>1.23</v>
      </c>
      <c r="F6718" s="15">
        <v>1.23</v>
      </c>
      <c r="G6718" s="11">
        <v>0.0001</v>
      </c>
      <c r="H6718" s="9">
        <f>MAX($F$6211:F6718)</f>
        <v>1.23</v>
      </c>
      <c r="I6718" s="11">
        <f t="shared" si="163"/>
        <v>0</v>
      </c>
      <c r="J6718" s="9"/>
      <c r="K6718" s="11"/>
      <c r="L6718" s="9"/>
      <c r="M6718" s="11"/>
      <c r="N6718" s="9" t="s">
        <v>804</v>
      </c>
    </row>
    <row r="6719" ht="25" customHeight="1" spans="1:14">
      <c r="A6719" s="9" t="s">
        <v>231</v>
      </c>
      <c r="B6719" s="9" t="s">
        <v>229</v>
      </c>
      <c r="C6719" s="10">
        <v>45085</v>
      </c>
      <c r="D6719" s="15">
        <v>1.2302</v>
      </c>
      <c r="E6719" s="15">
        <v>1.2302</v>
      </c>
      <c r="F6719" s="15">
        <v>1.2302</v>
      </c>
      <c r="G6719" s="11">
        <v>0.0002</v>
      </c>
      <c r="H6719" s="9">
        <f>MAX($F$6211:F6719)</f>
        <v>1.2302</v>
      </c>
      <c r="I6719" s="11">
        <f t="shared" si="163"/>
        <v>0</v>
      </c>
      <c r="J6719" s="9"/>
      <c r="K6719" s="11"/>
      <c r="L6719" s="9"/>
      <c r="M6719" s="11"/>
      <c r="N6719" s="9" t="s">
        <v>804</v>
      </c>
    </row>
    <row r="6720" ht="25" customHeight="1" spans="1:14">
      <c r="A6720" s="9" t="s">
        <v>231</v>
      </c>
      <c r="B6720" s="9" t="s">
        <v>229</v>
      </c>
      <c r="C6720" s="10">
        <v>45086</v>
      </c>
      <c r="D6720" s="15">
        <v>1.2305</v>
      </c>
      <c r="E6720" s="15">
        <v>1.2305</v>
      </c>
      <c r="F6720" s="15">
        <v>1.2305</v>
      </c>
      <c r="G6720" s="11">
        <v>0.0002</v>
      </c>
      <c r="H6720" s="9">
        <f>MAX($F$6211:F6720)</f>
        <v>1.2305</v>
      </c>
      <c r="I6720" s="11">
        <f t="shared" si="163"/>
        <v>0</v>
      </c>
      <c r="J6720" s="9"/>
      <c r="K6720" s="11"/>
      <c r="L6720" s="9"/>
      <c r="M6720" s="11"/>
      <c r="N6720" s="9" t="s">
        <v>804</v>
      </c>
    </row>
    <row r="6721" ht="25" customHeight="1" spans="1:14">
      <c r="A6721" s="9" t="s">
        <v>231</v>
      </c>
      <c r="B6721" s="9" t="s">
        <v>229</v>
      </c>
      <c r="C6721" s="10">
        <v>45089</v>
      </c>
      <c r="D6721" s="15">
        <v>1.2306</v>
      </c>
      <c r="E6721" s="15">
        <v>1.2306</v>
      </c>
      <c r="F6721" s="15">
        <v>1.2306</v>
      </c>
      <c r="G6721" s="11">
        <v>0.0001</v>
      </c>
      <c r="H6721" s="9">
        <f>MAX($F$6211:F6721)</f>
        <v>1.2306</v>
      </c>
      <c r="I6721" s="11">
        <f t="shared" si="163"/>
        <v>0</v>
      </c>
      <c r="J6721" s="9"/>
      <c r="K6721" s="11"/>
      <c r="L6721" s="9"/>
      <c r="M6721" s="11"/>
      <c r="N6721" s="9" t="s">
        <v>804</v>
      </c>
    </row>
    <row r="6722" ht="25" customHeight="1" spans="1:14">
      <c r="A6722" s="9" t="s">
        <v>231</v>
      </c>
      <c r="B6722" s="9" t="s">
        <v>229</v>
      </c>
      <c r="C6722" s="10">
        <v>45090</v>
      </c>
      <c r="D6722" s="15">
        <v>1.2309</v>
      </c>
      <c r="E6722" s="15">
        <v>1.2309</v>
      </c>
      <c r="F6722" s="15">
        <v>1.2309</v>
      </c>
      <c r="G6722" s="11">
        <v>0.0002</v>
      </c>
      <c r="H6722" s="9">
        <f>MAX($F$6211:F6722)</f>
        <v>1.2309</v>
      </c>
      <c r="I6722" s="11">
        <f t="shared" ref="I6722:I6785" si="164">1-F6722/H6722</f>
        <v>0</v>
      </c>
      <c r="J6722" s="9"/>
      <c r="K6722" s="11"/>
      <c r="L6722" s="9"/>
      <c r="M6722" s="11"/>
      <c r="N6722" s="9" t="s">
        <v>804</v>
      </c>
    </row>
    <row r="6723" ht="25" customHeight="1" spans="1:14">
      <c r="A6723" s="9" t="s">
        <v>231</v>
      </c>
      <c r="B6723" s="9" t="s">
        <v>229</v>
      </c>
      <c r="C6723" s="10">
        <v>45091</v>
      </c>
      <c r="D6723" s="15">
        <v>1.231</v>
      </c>
      <c r="E6723" s="15">
        <v>1.231</v>
      </c>
      <c r="F6723" s="15">
        <v>1.231</v>
      </c>
      <c r="G6723" s="11">
        <v>0.0001</v>
      </c>
      <c r="H6723" s="9">
        <f>MAX($F$6211:F6723)</f>
        <v>1.231</v>
      </c>
      <c r="I6723" s="11">
        <f t="shared" si="164"/>
        <v>0</v>
      </c>
      <c r="J6723" s="9"/>
      <c r="K6723" s="11"/>
      <c r="L6723" s="9"/>
      <c r="M6723" s="11"/>
      <c r="N6723" s="9" t="s">
        <v>804</v>
      </c>
    </row>
    <row r="6724" ht="25" customHeight="1" spans="1:14">
      <c r="A6724" s="9" t="s">
        <v>231</v>
      </c>
      <c r="B6724" s="9" t="s">
        <v>229</v>
      </c>
      <c r="C6724" s="10">
        <v>45092</v>
      </c>
      <c r="D6724" s="15">
        <v>1.2315</v>
      </c>
      <c r="E6724" s="15">
        <v>1.2315</v>
      </c>
      <c r="F6724" s="15">
        <v>1.2315</v>
      </c>
      <c r="G6724" s="11">
        <v>0.0004</v>
      </c>
      <c r="H6724" s="9">
        <f>MAX($F$6211:F6724)</f>
        <v>1.2315</v>
      </c>
      <c r="I6724" s="11">
        <f t="shared" si="164"/>
        <v>0</v>
      </c>
      <c r="J6724" s="9"/>
      <c r="K6724" s="11"/>
      <c r="L6724" s="9"/>
      <c r="M6724" s="11"/>
      <c r="N6724" s="9" t="s">
        <v>804</v>
      </c>
    </row>
    <row r="6725" ht="25" customHeight="1" spans="1:14">
      <c r="A6725" s="9" t="s">
        <v>231</v>
      </c>
      <c r="B6725" s="9" t="s">
        <v>229</v>
      </c>
      <c r="C6725" s="10">
        <v>45093</v>
      </c>
      <c r="D6725" s="15">
        <v>1.2318</v>
      </c>
      <c r="E6725" s="15">
        <v>1.2318</v>
      </c>
      <c r="F6725" s="15">
        <v>1.2318</v>
      </c>
      <c r="G6725" s="11">
        <v>0.0002</v>
      </c>
      <c r="H6725" s="9">
        <f>MAX($F$6211:F6725)</f>
        <v>1.2318</v>
      </c>
      <c r="I6725" s="11">
        <f t="shared" si="164"/>
        <v>0</v>
      </c>
      <c r="J6725" s="9"/>
      <c r="K6725" s="11"/>
      <c r="L6725" s="9"/>
      <c r="M6725" s="11"/>
      <c r="N6725" s="9" t="s">
        <v>804</v>
      </c>
    </row>
    <row r="6726" ht="25" customHeight="1" spans="1:14">
      <c r="A6726" s="9" t="s">
        <v>231</v>
      </c>
      <c r="B6726" s="9" t="s">
        <v>229</v>
      </c>
      <c r="C6726" s="10">
        <v>45096</v>
      </c>
      <c r="D6726" s="15">
        <v>1.2329</v>
      </c>
      <c r="E6726" s="15">
        <v>1.2329</v>
      </c>
      <c r="F6726" s="15">
        <v>1.2329</v>
      </c>
      <c r="G6726" s="11">
        <v>0.0009</v>
      </c>
      <c r="H6726" s="9">
        <f>MAX($F$6211:F6726)</f>
        <v>1.2329</v>
      </c>
      <c r="I6726" s="11">
        <f t="shared" si="164"/>
        <v>0</v>
      </c>
      <c r="J6726" s="9"/>
      <c r="K6726" s="11"/>
      <c r="L6726" s="9"/>
      <c r="M6726" s="11"/>
      <c r="N6726" s="9" t="s">
        <v>804</v>
      </c>
    </row>
    <row r="6727" ht="25" customHeight="1" spans="1:14">
      <c r="A6727" s="9" t="s">
        <v>231</v>
      </c>
      <c r="B6727" s="9" t="s">
        <v>229</v>
      </c>
      <c r="C6727" s="10">
        <v>45097</v>
      </c>
      <c r="D6727" s="15">
        <v>1.2331</v>
      </c>
      <c r="E6727" s="15">
        <v>1.2331</v>
      </c>
      <c r="F6727" s="15">
        <v>1.2331</v>
      </c>
      <c r="G6727" s="11">
        <v>0.0002</v>
      </c>
      <c r="H6727" s="9">
        <f>MAX($F$6211:F6727)</f>
        <v>1.2331</v>
      </c>
      <c r="I6727" s="11">
        <f t="shared" si="164"/>
        <v>0</v>
      </c>
      <c r="J6727" s="9"/>
      <c r="K6727" s="11"/>
      <c r="L6727" s="9"/>
      <c r="M6727" s="11"/>
      <c r="N6727" s="9" t="s">
        <v>804</v>
      </c>
    </row>
    <row r="6728" ht="25" customHeight="1" spans="1:14">
      <c r="A6728" s="9" t="s">
        <v>231</v>
      </c>
      <c r="B6728" s="9" t="s">
        <v>229</v>
      </c>
      <c r="C6728" s="10">
        <v>45098</v>
      </c>
      <c r="D6728" s="15">
        <v>1.2335</v>
      </c>
      <c r="E6728" s="15">
        <v>1.2335</v>
      </c>
      <c r="F6728" s="15">
        <v>1.2335</v>
      </c>
      <c r="G6728" s="11">
        <v>0.0003</v>
      </c>
      <c r="H6728" s="9">
        <f>MAX($F$6211:F6728)</f>
        <v>1.2335</v>
      </c>
      <c r="I6728" s="11">
        <f t="shared" si="164"/>
        <v>0</v>
      </c>
      <c r="J6728" s="9"/>
      <c r="K6728" s="11"/>
      <c r="L6728" s="9"/>
      <c r="M6728" s="11"/>
      <c r="N6728" s="9" t="s">
        <v>804</v>
      </c>
    </row>
    <row r="6729" ht="25" customHeight="1" spans="1:14">
      <c r="A6729" s="9" t="s">
        <v>231</v>
      </c>
      <c r="B6729" s="9" t="s">
        <v>229</v>
      </c>
      <c r="C6729" s="10">
        <v>45103</v>
      </c>
      <c r="D6729" s="15">
        <v>1.2335</v>
      </c>
      <c r="E6729" s="15">
        <v>1.2335</v>
      </c>
      <c r="F6729" s="15">
        <v>1.2335</v>
      </c>
      <c r="G6729" s="11">
        <v>0</v>
      </c>
      <c r="H6729" s="9">
        <f>MAX($F$6211:F6729)</f>
        <v>1.2335</v>
      </c>
      <c r="I6729" s="11">
        <f t="shared" si="164"/>
        <v>0</v>
      </c>
      <c r="J6729" s="9"/>
      <c r="K6729" s="11"/>
      <c r="L6729" s="9"/>
      <c r="M6729" s="11"/>
      <c r="N6729" s="9" t="s">
        <v>804</v>
      </c>
    </row>
    <row r="6730" ht="25" customHeight="1" spans="1:14">
      <c r="A6730" s="9" t="s">
        <v>231</v>
      </c>
      <c r="B6730" s="9" t="s">
        <v>229</v>
      </c>
      <c r="C6730" s="10">
        <v>45104</v>
      </c>
      <c r="D6730" s="15">
        <v>1.2336</v>
      </c>
      <c r="E6730" s="15">
        <v>1.2336</v>
      </c>
      <c r="F6730" s="15">
        <v>1.2336</v>
      </c>
      <c r="G6730" s="11">
        <v>0.0001</v>
      </c>
      <c r="H6730" s="9">
        <f>MAX($F$6211:F6730)</f>
        <v>1.2336</v>
      </c>
      <c r="I6730" s="11">
        <f t="shared" si="164"/>
        <v>0</v>
      </c>
      <c r="J6730" s="9"/>
      <c r="K6730" s="11"/>
      <c r="L6730" s="9"/>
      <c r="M6730" s="11"/>
      <c r="N6730" s="9" t="s">
        <v>804</v>
      </c>
    </row>
    <row r="6731" ht="25" customHeight="1" spans="1:14">
      <c r="A6731" s="9" t="s">
        <v>231</v>
      </c>
      <c r="B6731" s="9" t="s">
        <v>229</v>
      </c>
      <c r="C6731" s="10">
        <v>45105</v>
      </c>
      <c r="D6731" s="15">
        <v>1.2337</v>
      </c>
      <c r="E6731" s="15">
        <v>1.2337</v>
      </c>
      <c r="F6731" s="15">
        <v>1.2337</v>
      </c>
      <c r="G6731" s="11">
        <v>0.0001</v>
      </c>
      <c r="H6731" s="9">
        <f>MAX($F$6211:F6731)</f>
        <v>1.2337</v>
      </c>
      <c r="I6731" s="11">
        <f t="shared" si="164"/>
        <v>0</v>
      </c>
      <c r="J6731" s="9"/>
      <c r="K6731" s="11"/>
      <c r="L6731" s="9"/>
      <c r="M6731" s="11"/>
      <c r="N6731" s="9" t="s">
        <v>804</v>
      </c>
    </row>
    <row r="6732" ht="25" customHeight="1" spans="1:14">
      <c r="A6732" s="9" t="s">
        <v>231</v>
      </c>
      <c r="B6732" s="9" t="s">
        <v>229</v>
      </c>
      <c r="C6732" s="10">
        <v>45106</v>
      </c>
      <c r="D6732" s="15">
        <v>1.2354</v>
      </c>
      <c r="E6732" s="15">
        <v>1.2354</v>
      </c>
      <c r="F6732" s="15">
        <v>1.2354</v>
      </c>
      <c r="G6732" s="11">
        <v>0.0014</v>
      </c>
      <c r="H6732" s="9">
        <f>MAX($F$6211:F6732)</f>
        <v>1.2354</v>
      </c>
      <c r="I6732" s="11">
        <f t="shared" si="164"/>
        <v>0</v>
      </c>
      <c r="J6732" s="9"/>
      <c r="K6732" s="11"/>
      <c r="L6732" s="9"/>
      <c r="M6732" s="11"/>
      <c r="N6732" s="9" t="s">
        <v>804</v>
      </c>
    </row>
    <row r="6733" ht="25" customHeight="1" spans="1:14">
      <c r="A6733" s="9" t="s">
        <v>231</v>
      </c>
      <c r="B6733" s="9" t="s">
        <v>229</v>
      </c>
      <c r="C6733" s="10">
        <v>45107</v>
      </c>
      <c r="D6733" s="15">
        <v>1.2355</v>
      </c>
      <c r="E6733" s="15">
        <v>1.2355</v>
      </c>
      <c r="F6733" s="15">
        <v>1.2355</v>
      </c>
      <c r="G6733" s="11">
        <v>0.0001</v>
      </c>
      <c r="H6733" s="9">
        <f>MAX($F$6211:F6733)</f>
        <v>1.2355</v>
      </c>
      <c r="I6733" s="11">
        <f t="shared" si="164"/>
        <v>0</v>
      </c>
      <c r="J6733" s="9"/>
      <c r="K6733" s="11"/>
      <c r="L6733" s="9"/>
      <c r="M6733" s="11"/>
      <c r="N6733" s="9" t="s">
        <v>804</v>
      </c>
    </row>
    <row r="6734" ht="25" customHeight="1" spans="1:14">
      <c r="A6734" s="9" t="s">
        <v>231</v>
      </c>
      <c r="B6734" s="9" t="s">
        <v>229</v>
      </c>
      <c r="C6734" s="10">
        <v>45110</v>
      </c>
      <c r="D6734" s="15">
        <v>1.236</v>
      </c>
      <c r="E6734" s="15">
        <v>1.236</v>
      </c>
      <c r="F6734" s="15">
        <v>1.236</v>
      </c>
      <c r="G6734" s="11">
        <v>0.0004</v>
      </c>
      <c r="H6734" s="9">
        <f>MAX($F$6211:F6734)</f>
        <v>1.236</v>
      </c>
      <c r="I6734" s="11">
        <f t="shared" si="164"/>
        <v>0</v>
      </c>
      <c r="J6734" s="9"/>
      <c r="K6734" s="11"/>
      <c r="L6734" s="9"/>
      <c r="M6734" s="11"/>
      <c r="N6734" s="9" t="s">
        <v>804</v>
      </c>
    </row>
    <row r="6735" ht="25" customHeight="1" spans="1:14">
      <c r="A6735" s="9" t="s">
        <v>231</v>
      </c>
      <c r="B6735" s="9" t="s">
        <v>229</v>
      </c>
      <c r="C6735" s="10">
        <v>45111</v>
      </c>
      <c r="D6735" s="15">
        <v>1.2362</v>
      </c>
      <c r="E6735" s="15">
        <v>1.2362</v>
      </c>
      <c r="F6735" s="15">
        <v>1.2362</v>
      </c>
      <c r="G6735" s="11">
        <v>0.0002</v>
      </c>
      <c r="H6735" s="9">
        <f>MAX($F$6211:F6735)</f>
        <v>1.2362</v>
      </c>
      <c r="I6735" s="11">
        <f t="shared" si="164"/>
        <v>0</v>
      </c>
      <c r="J6735" s="9"/>
      <c r="K6735" s="11"/>
      <c r="L6735" s="9"/>
      <c r="M6735" s="11"/>
      <c r="N6735" s="9" t="s">
        <v>804</v>
      </c>
    </row>
    <row r="6736" ht="25" customHeight="1" spans="1:14">
      <c r="A6736" s="9" t="s">
        <v>231</v>
      </c>
      <c r="B6736" s="9" t="s">
        <v>229</v>
      </c>
      <c r="C6736" s="10">
        <v>45112</v>
      </c>
      <c r="D6736" s="15">
        <v>1.2362</v>
      </c>
      <c r="E6736" s="15">
        <v>1.2362</v>
      </c>
      <c r="F6736" s="15">
        <v>1.2362</v>
      </c>
      <c r="G6736" s="11">
        <v>0</v>
      </c>
      <c r="H6736" s="9">
        <f>MAX($F$6211:F6736)</f>
        <v>1.2362</v>
      </c>
      <c r="I6736" s="11">
        <f t="shared" si="164"/>
        <v>0</v>
      </c>
      <c r="J6736" s="9"/>
      <c r="K6736" s="11"/>
      <c r="L6736" s="9"/>
      <c r="M6736" s="11"/>
      <c r="N6736" s="9" t="s">
        <v>804</v>
      </c>
    </row>
    <row r="6737" ht="25" customHeight="1" spans="1:14">
      <c r="A6737" s="9" t="s">
        <v>231</v>
      </c>
      <c r="B6737" s="9" t="s">
        <v>229</v>
      </c>
      <c r="C6737" s="10">
        <v>45113</v>
      </c>
      <c r="D6737" s="15">
        <v>1.2365</v>
      </c>
      <c r="E6737" s="15">
        <v>1.2365</v>
      </c>
      <c r="F6737" s="15">
        <v>1.2365</v>
      </c>
      <c r="G6737" s="11">
        <v>0.0002</v>
      </c>
      <c r="H6737" s="9">
        <f>MAX($F$6211:F6737)</f>
        <v>1.2365</v>
      </c>
      <c r="I6737" s="11">
        <f t="shared" si="164"/>
        <v>0</v>
      </c>
      <c r="J6737" s="9"/>
      <c r="K6737" s="11"/>
      <c r="L6737" s="9"/>
      <c r="M6737" s="11"/>
      <c r="N6737" s="9" t="s">
        <v>804</v>
      </c>
    </row>
    <row r="6738" ht="25" customHeight="1" spans="1:14">
      <c r="A6738" s="9" t="s">
        <v>231</v>
      </c>
      <c r="B6738" s="9" t="s">
        <v>229</v>
      </c>
      <c r="C6738" s="10">
        <v>45114</v>
      </c>
      <c r="D6738" s="15">
        <v>1.2383</v>
      </c>
      <c r="E6738" s="15">
        <v>1.2383</v>
      </c>
      <c r="F6738" s="15">
        <v>1.2383</v>
      </c>
      <c r="G6738" s="11">
        <v>0.0015</v>
      </c>
      <c r="H6738" s="9">
        <f>MAX($F$6211:F6738)</f>
        <v>1.2383</v>
      </c>
      <c r="I6738" s="11">
        <f t="shared" si="164"/>
        <v>0</v>
      </c>
      <c r="J6738" s="9"/>
      <c r="K6738" s="11"/>
      <c r="L6738" s="9"/>
      <c r="M6738" s="11"/>
      <c r="N6738" s="9" t="s">
        <v>804</v>
      </c>
    </row>
    <row r="6739" ht="25" customHeight="1" spans="1:14">
      <c r="A6739" s="9" t="s">
        <v>231</v>
      </c>
      <c r="B6739" s="9" t="s">
        <v>229</v>
      </c>
      <c r="C6739" s="10">
        <v>45117</v>
      </c>
      <c r="D6739" s="15">
        <v>1.2385</v>
      </c>
      <c r="E6739" s="15">
        <v>1.2385</v>
      </c>
      <c r="F6739" s="15">
        <v>1.2385</v>
      </c>
      <c r="G6739" s="11">
        <v>0.0002</v>
      </c>
      <c r="H6739" s="9">
        <f>MAX($F$6211:F6739)</f>
        <v>1.2385</v>
      </c>
      <c r="I6739" s="11">
        <f t="shared" si="164"/>
        <v>0</v>
      </c>
      <c r="J6739" s="9"/>
      <c r="K6739" s="11"/>
      <c r="L6739" s="9"/>
      <c r="M6739" s="11"/>
      <c r="N6739" s="9" t="s">
        <v>804</v>
      </c>
    </row>
    <row r="6740" ht="25" customHeight="1" spans="1:14">
      <c r="A6740" s="9" t="s">
        <v>231</v>
      </c>
      <c r="B6740" s="9" t="s">
        <v>229</v>
      </c>
      <c r="C6740" s="10">
        <v>45118</v>
      </c>
      <c r="D6740" s="15">
        <v>1.2385</v>
      </c>
      <c r="E6740" s="15">
        <v>1.2385</v>
      </c>
      <c r="F6740" s="15">
        <v>1.2385</v>
      </c>
      <c r="G6740" s="11">
        <v>0</v>
      </c>
      <c r="H6740" s="9">
        <f>MAX($F$6211:F6740)</f>
        <v>1.2385</v>
      </c>
      <c r="I6740" s="11">
        <f t="shared" si="164"/>
        <v>0</v>
      </c>
      <c r="J6740" s="9"/>
      <c r="K6740" s="11"/>
      <c r="L6740" s="9"/>
      <c r="M6740" s="11"/>
      <c r="N6740" s="9" t="s">
        <v>804</v>
      </c>
    </row>
    <row r="6741" ht="25" customHeight="1" spans="1:14">
      <c r="A6741" s="9" t="s">
        <v>231</v>
      </c>
      <c r="B6741" s="9" t="s">
        <v>229</v>
      </c>
      <c r="C6741" s="10">
        <v>45119</v>
      </c>
      <c r="D6741" s="15">
        <v>1.2386</v>
      </c>
      <c r="E6741" s="15">
        <v>1.2386</v>
      </c>
      <c r="F6741" s="15">
        <v>1.2386</v>
      </c>
      <c r="G6741" s="11">
        <v>0.0001</v>
      </c>
      <c r="H6741" s="9">
        <f>MAX($F$6211:F6741)</f>
        <v>1.2386</v>
      </c>
      <c r="I6741" s="11">
        <f t="shared" si="164"/>
        <v>0</v>
      </c>
      <c r="J6741" s="9"/>
      <c r="K6741" s="11"/>
      <c r="L6741" s="9"/>
      <c r="M6741" s="11"/>
      <c r="N6741" s="9" t="s">
        <v>804</v>
      </c>
    </row>
    <row r="6742" ht="25" customHeight="1" spans="1:14">
      <c r="A6742" s="9" t="s">
        <v>231</v>
      </c>
      <c r="B6742" s="9" t="s">
        <v>229</v>
      </c>
      <c r="C6742" s="10">
        <v>45120</v>
      </c>
      <c r="D6742" s="15">
        <v>1.239</v>
      </c>
      <c r="E6742" s="15">
        <v>1.239</v>
      </c>
      <c r="F6742" s="15">
        <v>1.239</v>
      </c>
      <c r="G6742" s="11">
        <v>0.0003</v>
      </c>
      <c r="H6742" s="9">
        <f>MAX($F$6211:F6742)</f>
        <v>1.239</v>
      </c>
      <c r="I6742" s="11">
        <f t="shared" si="164"/>
        <v>0</v>
      </c>
      <c r="J6742" s="9"/>
      <c r="K6742" s="11"/>
      <c r="L6742" s="9"/>
      <c r="M6742" s="11"/>
      <c r="N6742" s="9" t="s">
        <v>804</v>
      </c>
    </row>
    <row r="6743" ht="25" customHeight="1" spans="1:14">
      <c r="A6743" s="9" t="s">
        <v>231</v>
      </c>
      <c r="B6743" s="9" t="s">
        <v>229</v>
      </c>
      <c r="C6743" s="10">
        <v>45121</v>
      </c>
      <c r="D6743" s="15">
        <v>1.2422</v>
      </c>
      <c r="E6743" s="15">
        <v>1.2422</v>
      </c>
      <c r="F6743" s="15">
        <v>1.2422</v>
      </c>
      <c r="G6743" s="11">
        <v>0.0026</v>
      </c>
      <c r="H6743" s="9">
        <f>MAX($F$6211:F6743)</f>
        <v>1.2422</v>
      </c>
      <c r="I6743" s="11">
        <f t="shared" si="164"/>
        <v>0</v>
      </c>
      <c r="J6743" s="9"/>
      <c r="K6743" s="11"/>
      <c r="L6743" s="9"/>
      <c r="M6743" s="11"/>
      <c r="N6743" s="9" t="s">
        <v>804</v>
      </c>
    </row>
    <row r="6744" ht="25" customHeight="1" spans="1:14">
      <c r="A6744" s="9" t="s">
        <v>231</v>
      </c>
      <c r="B6744" s="9" t="s">
        <v>229</v>
      </c>
      <c r="C6744" s="10">
        <v>45124</v>
      </c>
      <c r="D6744" s="15">
        <v>1.2422</v>
      </c>
      <c r="E6744" s="15">
        <v>1.2422</v>
      </c>
      <c r="F6744" s="15">
        <v>1.2422</v>
      </c>
      <c r="G6744" s="11">
        <v>0</v>
      </c>
      <c r="H6744" s="9">
        <f>MAX($F$6211:F6744)</f>
        <v>1.2422</v>
      </c>
      <c r="I6744" s="11">
        <f t="shared" si="164"/>
        <v>0</v>
      </c>
      <c r="J6744" s="9"/>
      <c r="K6744" s="11"/>
      <c r="L6744" s="9"/>
      <c r="M6744" s="11"/>
      <c r="N6744" s="9" t="s">
        <v>804</v>
      </c>
    </row>
    <row r="6745" ht="25" customHeight="1" spans="1:14">
      <c r="A6745" s="9" t="s">
        <v>231</v>
      </c>
      <c r="B6745" s="9" t="s">
        <v>229</v>
      </c>
      <c r="C6745" s="10">
        <v>45125</v>
      </c>
      <c r="D6745" s="15">
        <v>1.2421</v>
      </c>
      <c r="E6745" s="15">
        <v>1.2421</v>
      </c>
      <c r="F6745" s="15">
        <v>1.2421</v>
      </c>
      <c r="G6745" s="11">
        <v>-0.0001</v>
      </c>
      <c r="H6745" s="9">
        <f>MAX($F$6211:F6745)</f>
        <v>1.2422</v>
      </c>
      <c r="I6745" s="11">
        <f t="shared" si="164"/>
        <v>8.05023345676892e-5</v>
      </c>
      <c r="J6745" s="9"/>
      <c r="K6745" s="11"/>
      <c r="L6745" s="9"/>
      <c r="M6745" s="11"/>
      <c r="N6745" s="9" t="s">
        <v>804</v>
      </c>
    </row>
    <row r="6746" ht="25" customHeight="1" spans="1:14">
      <c r="A6746" s="9" t="s">
        <v>231</v>
      </c>
      <c r="B6746" s="9" t="s">
        <v>229</v>
      </c>
      <c r="C6746" s="10">
        <v>45126</v>
      </c>
      <c r="D6746" s="15">
        <v>1.2421</v>
      </c>
      <c r="E6746" s="15">
        <v>1.2421</v>
      </c>
      <c r="F6746" s="15">
        <v>1.2421</v>
      </c>
      <c r="G6746" s="11">
        <v>0</v>
      </c>
      <c r="H6746" s="9">
        <f>MAX($F$6211:F6746)</f>
        <v>1.2422</v>
      </c>
      <c r="I6746" s="11">
        <f t="shared" si="164"/>
        <v>8.05023345676892e-5</v>
      </c>
      <c r="J6746" s="9"/>
      <c r="K6746" s="11"/>
      <c r="L6746" s="9"/>
      <c r="M6746" s="11"/>
      <c r="N6746" s="9" t="s">
        <v>804</v>
      </c>
    </row>
    <row r="6747" ht="25" customHeight="1" spans="1:14">
      <c r="A6747" s="9" t="s">
        <v>231</v>
      </c>
      <c r="B6747" s="9" t="s">
        <v>229</v>
      </c>
      <c r="C6747" s="10">
        <v>45127</v>
      </c>
      <c r="D6747" s="15">
        <v>1.2421</v>
      </c>
      <c r="E6747" s="15">
        <v>1.2421</v>
      </c>
      <c r="F6747" s="15">
        <v>1.2421</v>
      </c>
      <c r="G6747" s="11">
        <v>0</v>
      </c>
      <c r="H6747" s="9">
        <f>MAX($F$6211:F6747)</f>
        <v>1.2422</v>
      </c>
      <c r="I6747" s="11">
        <f t="shared" si="164"/>
        <v>8.05023345676892e-5</v>
      </c>
      <c r="J6747" s="9"/>
      <c r="K6747" s="11"/>
      <c r="L6747" s="9"/>
      <c r="M6747" s="11"/>
      <c r="N6747" s="9" t="s">
        <v>804</v>
      </c>
    </row>
    <row r="6748" ht="25" customHeight="1" spans="1:14">
      <c r="A6748" s="9" t="s">
        <v>231</v>
      </c>
      <c r="B6748" s="9" t="s">
        <v>229</v>
      </c>
      <c r="C6748" s="10">
        <v>45128</v>
      </c>
      <c r="D6748" s="15">
        <v>1.2427</v>
      </c>
      <c r="E6748" s="15">
        <v>1.2427</v>
      </c>
      <c r="F6748" s="15">
        <v>1.2427</v>
      </c>
      <c r="G6748" s="11">
        <v>0.0005</v>
      </c>
      <c r="H6748" s="9">
        <f>MAX($F$6211:F6748)</f>
        <v>1.2427</v>
      </c>
      <c r="I6748" s="11">
        <f t="shared" si="164"/>
        <v>0</v>
      </c>
      <c r="J6748" s="9"/>
      <c r="K6748" s="11"/>
      <c r="L6748" s="9"/>
      <c r="M6748" s="11"/>
      <c r="N6748" s="9" t="s">
        <v>804</v>
      </c>
    </row>
    <row r="6749" ht="25" customHeight="1" spans="1:14">
      <c r="A6749" s="9" t="s">
        <v>231</v>
      </c>
      <c r="B6749" s="9" t="s">
        <v>229</v>
      </c>
      <c r="C6749" s="10">
        <v>45131</v>
      </c>
      <c r="D6749" s="15">
        <v>1.2429</v>
      </c>
      <c r="E6749" s="15">
        <v>1.2429</v>
      </c>
      <c r="F6749" s="15">
        <v>1.2429</v>
      </c>
      <c r="G6749" s="11">
        <v>0.0002</v>
      </c>
      <c r="H6749" s="9">
        <f>MAX($F$6211:F6749)</f>
        <v>1.2429</v>
      </c>
      <c r="I6749" s="11">
        <f t="shared" si="164"/>
        <v>0</v>
      </c>
      <c r="J6749" s="9"/>
      <c r="K6749" s="11"/>
      <c r="L6749" s="9"/>
      <c r="M6749" s="11"/>
      <c r="N6749" s="9" t="s">
        <v>804</v>
      </c>
    </row>
    <row r="6750" ht="25" customHeight="1" spans="1:14">
      <c r="A6750" s="9" t="s">
        <v>231</v>
      </c>
      <c r="B6750" s="9" t="s">
        <v>229</v>
      </c>
      <c r="C6750" s="10">
        <v>45132</v>
      </c>
      <c r="D6750" s="15">
        <v>1.2434</v>
      </c>
      <c r="E6750" s="15">
        <v>1.2434</v>
      </c>
      <c r="F6750" s="15">
        <v>1.2434</v>
      </c>
      <c r="G6750" s="11">
        <v>0.0004</v>
      </c>
      <c r="H6750" s="9">
        <f>MAX($F$6211:F6750)</f>
        <v>1.2434</v>
      </c>
      <c r="I6750" s="11">
        <f t="shared" si="164"/>
        <v>0</v>
      </c>
      <c r="J6750" s="9"/>
      <c r="K6750" s="11"/>
      <c r="L6750" s="9"/>
      <c r="M6750" s="11"/>
      <c r="N6750" s="9" t="s">
        <v>804</v>
      </c>
    </row>
    <row r="6751" ht="25" customHeight="1" spans="1:14">
      <c r="A6751" s="9" t="s">
        <v>231</v>
      </c>
      <c r="B6751" s="9" t="s">
        <v>229</v>
      </c>
      <c r="C6751" s="10">
        <v>45133</v>
      </c>
      <c r="D6751" s="15">
        <v>1.2436</v>
      </c>
      <c r="E6751" s="15">
        <v>1.2436</v>
      </c>
      <c r="F6751" s="15">
        <v>1.2436</v>
      </c>
      <c r="G6751" s="11">
        <v>0.0002</v>
      </c>
      <c r="H6751" s="9">
        <f>MAX($F$6211:F6751)</f>
        <v>1.2436</v>
      </c>
      <c r="I6751" s="11">
        <f t="shared" si="164"/>
        <v>0</v>
      </c>
      <c r="J6751" s="9"/>
      <c r="K6751" s="11"/>
      <c r="L6751" s="9"/>
      <c r="M6751" s="11"/>
      <c r="N6751" s="9" t="s">
        <v>804</v>
      </c>
    </row>
    <row r="6752" ht="25" customHeight="1" spans="1:14">
      <c r="A6752" s="9" t="s">
        <v>231</v>
      </c>
      <c r="B6752" s="9" t="s">
        <v>229</v>
      </c>
      <c r="C6752" s="10">
        <v>45134</v>
      </c>
      <c r="D6752" s="15">
        <v>1.2441</v>
      </c>
      <c r="E6752" s="15">
        <v>1.2441</v>
      </c>
      <c r="F6752" s="15">
        <v>1.2441</v>
      </c>
      <c r="G6752" s="11">
        <v>0.0004</v>
      </c>
      <c r="H6752" s="9">
        <f>MAX($F$6211:F6752)</f>
        <v>1.2441</v>
      </c>
      <c r="I6752" s="11">
        <f t="shared" si="164"/>
        <v>0</v>
      </c>
      <c r="J6752" s="9"/>
      <c r="K6752" s="11"/>
      <c r="L6752" s="9"/>
      <c r="M6752" s="11"/>
      <c r="N6752" s="9" t="s">
        <v>804</v>
      </c>
    </row>
    <row r="6753" ht="25" customHeight="1" spans="1:14">
      <c r="A6753" s="9" t="s">
        <v>231</v>
      </c>
      <c r="B6753" s="9" t="s">
        <v>229</v>
      </c>
      <c r="C6753" s="10">
        <v>45135</v>
      </c>
      <c r="D6753" s="15">
        <v>1.2448</v>
      </c>
      <c r="E6753" s="15">
        <v>1.2448</v>
      </c>
      <c r="F6753" s="15">
        <v>1.2448</v>
      </c>
      <c r="G6753" s="11">
        <v>0.0006</v>
      </c>
      <c r="H6753" s="9">
        <f>MAX($F$6211:F6753)</f>
        <v>1.2448</v>
      </c>
      <c r="I6753" s="11">
        <f t="shared" si="164"/>
        <v>0</v>
      </c>
      <c r="J6753" s="9"/>
      <c r="K6753" s="11"/>
      <c r="L6753" s="9"/>
      <c r="M6753" s="11"/>
      <c r="N6753" s="9" t="s">
        <v>804</v>
      </c>
    </row>
    <row r="6754" ht="25" customHeight="1" spans="1:14">
      <c r="A6754" s="9" t="s">
        <v>231</v>
      </c>
      <c r="B6754" s="9" t="s">
        <v>229</v>
      </c>
      <c r="C6754" s="10">
        <v>45138</v>
      </c>
      <c r="D6754" s="15">
        <v>1.245</v>
      </c>
      <c r="E6754" s="15">
        <v>1.245</v>
      </c>
      <c r="F6754" s="15">
        <v>1.245</v>
      </c>
      <c r="G6754" s="11">
        <v>0.0002</v>
      </c>
      <c r="H6754" s="9">
        <f>MAX($F$6211:F6754)</f>
        <v>1.245</v>
      </c>
      <c r="I6754" s="11">
        <f t="shared" si="164"/>
        <v>0</v>
      </c>
      <c r="J6754" s="9"/>
      <c r="K6754" s="11"/>
      <c r="L6754" s="9"/>
      <c r="M6754" s="11"/>
      <c r="N6754" s="9" t="s">
        <v>804</v>
      </c>
    </row>
    <row r="6755" ht="25" customHeight="1" spans="1:14">
      <c r="A6755" s="9" t="s">
        <v>231</v>
      </c>
      <c r="B6755" s="9" t="s">
        <v>229</v>
      </c>
      <c r="C6755" s="10">
        <v>45139</v>
      </c>
      <c r="D6755" s="15">
        <v>1.2441</v>
      </c>
      <c r="E6755" s="15">
        <v>1.2441</v>
      </c>
      <c r="F6755" s="15">
        <v>1.2441</v>
      </c>
      <c r="G6755" s="11">
        <v>-0.0007</v>
      </c>
      <c r="H6755" s="9">
        <f>MAX($F$6211:F6755)</f>
        <v>1.245</v>
      </c>
      <c r="I6755" s="11">
        <f t="shared" si="164"/>
        <v>0.000722891566265149</v>
      </c>
      <c r="J6755" s="9"/>
      <c r="K6755" s="11"/>
      <c r="L6755" s="9"/>
      <c r="M6755" s="11"/>
      <c r="N6755" s="9" t="s">
        <v>804</v>
      </c>
    </row>
    <row r="6756" ht="25" customHeight="1" spans="1:14">
      <c r="A6756" s="9" t="s">
        <v>231</v>
      </c>
      <c r="B6756" s="9" t="s">
        <v>229</v>
      </c>
      <c r="C6756" s="10">
        <v>45140</v>
      </c>
      <c r="D6756" s="15">
        <v>1.2439</v>
      </c>
      <c r="E6756" s="15">
        <v>1.2439</v>
      </c>
      <c r="F6756" s="15">
        <v>1.2439</v>
      </c>
      <c r="G6756" s="11">
        <v>-0.0002</v>
      </c>
      <c r="H6756" s="9">
        <f>MAX($F$6211:F6756)</f>
        <v>1.245</v>
      </c>
      <c r="I6756" s="11">
        <f t="shared" si="164"/>
        <v>0.000883534136546293</v>
      </c>
      <c r="J6756" s="9"/>
      <c r="K6756" s="11"/>
      <c r="L6756" s="9"/>
      <c r="M6756" s="11"/>
      <c r="N6756" s="9" t="s">
        <v>804</v>
      </c>
    </row>
    <row r="6757" ht="25" customHeight="1" spans="1:14">
      <c r="A6757" s="9" t="s">
        <v>231</v>
      </c>
      <c r="B6757" s="9" t="s">
        <v>229</v>
      </c>
      <c r="C6757" s="10">
        <v>45141</v>
      </c>
      <c r="D6757" s="15">
        <v>1.2447</v>
      </c>
      <c r="E6757" s="15">
        <v>1.2447</v>
      </c>
      <c r="F6757" s="15">
        <v>1.2447</v>
      </c>
      <c r="G6757" s="11">
        <v>0.0006</v>
      </c>
      <c r="H6757" s="9">
        <f>MAX($F$6211:F6757)</f>
        <v>1.245</v>
      </c>
      <c r="I6757" s="11">
        <f t="shared" si="164"/>
        <v>0.000240963855421827</v>
      </c>
      <c r="J6757" s="9"/>
      <c r="K6757" s="11"/>
      <c r="L6757" s="9"/>
      <c r="M6757" s="11"/>
      <c r="N6757" s="9" t="s">
        <v>804</v>
      </c>
    </row>
    <row r="6758" ht="25" customHeight="1" spans="1:14">
      <c r="A6758" s="9" t="s">
        <v>231</v>
      </c>
      <c r="B6758" s="9" t="s">
        <v>229</v>
      </c>
      <c r="C6758" s="10">
        <v>45142</v>
      </c>
      <c r="D6758" s="15">
        <v>1.2442</v>
      </c>
      <c r="E6758" s="15">
        <v>1.2442</v>
      </c>
      <c r="F6758" s="15">
        <v>1.2442</v>
      </c>
      <c r="G6758" s="11">
        <v>-0.0004</v>
      </c>
      <c r="H6758" s="9">
        <f>MAX($F$6211:F6758)</f>
        <v>1.245</v>
      </c>
      <c r="I6758" s="11">
        <f t="shared" si="164"/>
        <v>0.000642570281124577</v>
      </c>
      <c r="J6758" s="9"/>
      <c r="K6758" s="11"/>
      <c r="L6758" s="9"/>
      <c r="M6758" s="11"/>
      <c r="N6758" s="9" t="s">
        <v>804</v>
      </c>
    </row>
    <row r="6759" ht="25" customHeight="1" spans="1:14">
      <c r="A6759" s="9" t="s">
        <v>231</v>
      </c>
      <c r="B6759" s="9" t="s">
        <v>229</v>
      </c>
      <c r="C6759" s="10">
        <v>45145</v>
      </c>
      <c r="D6759" s="15">
        <v>1.2444</v>
      </c>
      <c r="E6759" s="15">
        <v>1.2444</v>
      </c>
      <c r="F6759" s="15">
        <v>1.2444</v>
      </c>
      <c r="G6759" s="11">
        <v>0.0002</v>
      </c>
      <c r="H6759" s="9">
        <f>MAX($F$6211:F6759)</f>
        <v>1.245</v>
      </c>
      <c r="I6759" s="11">
        <f t="shared" si="164"/>
        <v>0.000481927710843544</v>
      </c>
      <c r="J6759" s="9"/>
      <c r="K6759" s="11"/>
      <c r="L6759" s="9"/>
      <c r="M6759" s="11"/>
      <c r="N6759" s="9" t="s">
        <v>804</v>
      </c>
    </row>
    <row r="6760" ht="25" customHeight="1" spans="1:14">
      <c r="A6760" s="9" t="s">
        <v>231</v>
      </c>
      <c r="B6760" s="9" t="s">
        <v>229</v>
      </c>
      <c r="C6760" s="10">
        <v>45146</v>
      </c>
      <c r="D6760" s="15">
        <v>1.2446</v>
      </c>
      <c r="E6760" s="15">
        <v>1.2446</v>
      </c>
      <c r="F6760" s="15">
        <v>1.2446</v>
      </c>
      <c r="G6760" s="11">
        <v>0.0002</v>
      </c>
      <c r="H6760" s="9">
        <f>MAX($F$6211:F6760)</f>
        <v>1.245</v>
      </c>
      <c r="I6760" s="11">
        <f t="shared" si="164"/>
        <v>0.0003212851405624</v>
      </c>
      <c r="J6760" s="9"/>
      <c r="K6760" s="11"/>
      <c r="L6760" s="9"/>
      <c r="M6760" s="11"/>
      <c r="N6760" s="9" t="s">
        <v>804</v>
      </c>
    </row>
    <row r="6761" ht="25" customHeight="1" spans="1:14">
      <c r="A6761" s="9" t="s">
        <v>231</v>
      </c>
      <c r="B6761" s="9" t="s">
        <v>229</v>
      </c>
      <c r="C6761" s="10">
        <v>45147</v>
      </c>
      <c r="D6761" s="15">
        <v>1.2454</v>
      </c>
      <c r="E6761" s="15">
        <v>1.2454</v>
      </c>
      <c r="F6761" s="15">
        <v>1.2454</v>
      </c>
      <c r="G6761" s="11">
        <v>0.0006</v>
      </c>
      <c r="H6761" s="9">
        <f>MAX($F$6211:F6761)</f>
        <v>1.2454</v>
      </c>
      <c r="I6761" s="11">
        <f t="shared" si="164"/>
        <v>0</v>
      </c>
      <c r="J6761" s="9"/>
      <c r="K6761" s="11"/>
      <c r="L6761" s="9"/>
      <c r="M6761" s="11"/>
      <c r="N6761" s="9" t="s">
        <v>804</v>
      </c>
    </row>
    <row r="6762" ht="25" customHeight="1" spans="1:14">
      <c r="A6762" s="9" t="s">
        <v>231</v>
      </c>
      <c r="B6762" s="9" t="s">
        <v>229</v>
      </c>
      <c r="C6762" s="10">
        <v>45148</v>
      </c>
      <c r="D6762" s="15">
        <v>1.2455</v>
      </c>
      <c r="E6762" s="15">
        <v>1.2455</v>
      </c>
      <c r="F6762" s="15">
        <v>1.2455</v>
      </c>
      <c r="G6762" s="11">
        <v>0.0001</v>
      </c>
      <c r="H6762" s="9">
        <f>MAX($F$6211:F6762)</f>
        <v>1.2455</v>
      </c>
      <c r="I6762" s="11">
        <f t="shared" si="164"/>
        <v>0</v>
      </c>
      <c r="J6762" s="9"/>
      <c r="K6762" s="11"/>
      <c r="L6762" s="9"/>
      <c r="M6762" s="11"/>
      <c r="N6762" s="9" t="s">
        <v>804</v>
      </c>
    </row>
    <row r="6763" ht="25" customHeight="1" spans="1:14">
      <c r="A6763" s="9" t="s">
        <v>231</v>
      </c>
      <c r="B6763" s="9" t="s">
        <v>229</v>
      </c>
      <c r="C6763" s="10">
        <v>45149</v>
      </c>
      <c r="D6763" s="15">
        <v>1.2462</v>
      </c>
      <c r="E6763" s="15">
        <v>1.2462</v>
      </c>
      <c r="F6763" s="15">
        <v>1.2462</v>
      </c>
      <c r="G6763" s="11">
        <v>0.0006</v>
      </c>
      <c r="H6763" s="9">
        <f>MAX($F$6211:F6763)</f>
        <v>1.2462</v>
      </c>
      <c r="I6763" s="11">
        <f t="shared" si="164"/>
        <v>0</v>
      </c>
      <c r="J6763" s="9"/>
      <c r="K6763" s="11"/>
      <c r="L6763" s="9"/>
      <c r="M6763" s="11"/>
      <c r="N6763" s="9" t="s">
        <v>804</v>
      </c>
    </row>
    <row r="6764" ht="25" customHeight="1" spans="1:14">
      <c r="A6764" s="9" t="s">
        <v>231</v>
      </c>
      <c r="B6764" s="9" t="s">
        <v>229</v>
      </c>
      <c r="C6764" s="10">
        <v>45152</v>
      </c>
      <c r="D6764" s="15">
        <v>1.2476</v>
      </c>
      <c r="E6764" s="15">
        <v>1.2476</v>
      </c>
      <c r="F6764" s="15">
        <v>1.2476</v>
      </c>
      <c r="G6764" s="11">
        <v>0.0011</v>
      </c>
      <c r="H6764" s="9">
        <f>MAX($F$6211:F6764)</f>
        <v>1.2476</v>
      </c>
      <c r="I6764" s="11">
        <f t="shared" si="164"/>
        <v>0</v>
      </c>
      <c r="J6764" s="9"/>
      <c r="K6764" s="11"/>
      <c r="L6764" s="9"/>
      <c r="M6764" s="11"/>
      <c r="N6764" s="9" t="s">
        <v>804</v>
      </c>
    </row>
    <row r="6765" ht="25" customHeight="1" spans="1:14">
      <c r="A6765" s="9" t="s">
        <v>231</v>
      </c>
      <c r="B6765" s="9" t="s">
        <v>229</v>
      </c>
      <c r="C6765" s="10">
        <v>45153</v>
      </c>
      <c r="D6765" s="15">
        <v>1.2479</v>
      </c>
      <c r="E6765" s="15">
        <v>1.2479</v>
      </c>
      <c r="F6765" s="15">
        <v>1.2479</v>
      </c>
      <c r="G6765" s="11">
        <v>0.0002</v>
      </c>
      <c r="H6765" s="9">
        <f>MAX($F$6211:F6765)</f>
        <v>1.2479</v>
      </c>
      <c r="I6765" s="11">
        <f t="shared" si="164"/>
        <v>0</v>
      </c>
      <c r="J6765" s="9"/>
      <c r="K6765" s="11"/>
      <c r="L6765" s="9"/>
      <c r="M6765" s="11"/>
      <c r="N6765" s="9" t="s">
        <v>804</v>
      </c>
    </row>
    <row r="6766" ht="25" customHeight="1" spans="1:14">
      <c r="A6766" s="9" t="s">
        <v>231</v>
      </c>
      <c r="B6766" s="9" t="s">
        <v>229</v>
      </c>
      <c r="C6766" s="10">
        <v>45154</v>
      </c>
      <c r="D6766" s="15">
        <v>1.2494</v>
      </c>
      <c r="E6766" s="15">
        <v>1.2494</v>
      </c>
      <c r="F6766" s="15">
        <v>1.2494</v>
      </c>
      <c r="G6766" s="11">
        <v>0.0012</v>
      </c>
      <c r="H6766" s="9">
        <f>MAX($F$6211:F6766)</f>
        <v>1.2494</v>
      </c>
      <c r="I6766" s="11">
        <f t="shared" si="164"/>
        <v>0</v>
      </c>
      <c r="J6766" s="9"/>
      <c r="K6766" s="11"/>
      <c r="L6766" s="9"/>
      <c r="M6766" s="11"/>
      <c r="N6766" s="9" t="s">
        <v>804</v>
      </c>
    </row>
    <row r="6767" ht="25" customHeight="1" spans="1:14">
      <c r="A6767" s="9" t="s">
        <v>231</v>
      </c>
      <c r="B6767" s="9" t="s">
        <v>229</v>
      </c>
      <c r="C6767" s="10">
        <v>45155</v>
      </c>
      <c r="D6767" s="15">
        <v>1.2495</v>
      </c>
      <c r="E6767" s="15">
        <v>1.2495</v>
      </c>
      <c r="F6767" s="15">
        <v>1.2495</v>
      </c>
      <c r="G6767" s="11">
        <v>0.0001</v>
      </c>
      <c r="H6767" s="9">
        <f>MAX($F$6211:F6767)</f>
        <v>1.2495</v>
      </c>
      <c r="I6767" s="11">
        <f t="shared" si="164"/>
        <v>0</v>
      </c>
      <c r="J6767" s="9"/>
      <c r="K6767" s="11"/>
      <c r="L6767" s="9"/>
      <c r="M6767" s="11"/>
      <c r="N6767" s="9" t="s">
        <v>804</v>
      </c>
    </row>
    <row r="6768" ht="25" customHeight="1" spans="1:14">
      <c r="A6768" s="9" t="s">
        <v>231</v>
      </c>
      <c r="B6768" s="9" t="s">
        <v>229</v>
      </c>
      <c r="C6768" s="10">
        <v>45156</v>
      </c>
      <c r="D6768" s="15">
        <v>1.2493</v>
      </c>
      <c r="E6768" s="15">
        <v>1.2493</v>
      </c>
      <c r="F6768" s="15">
        <v>1.2493</v>
      </c>
      <c r="G6768" s="11">
        <v>-0.0002</v>
      </c>
      <c r="H6768" s="9">
        <f>MAX($F$6211:F6768)</f>
        <v>1.2495</v>
      </c>
      <c r="I6768" s="11">
        <f t="shared" si="164"/>
        <v>0.000160064025610196</v>
      </c>
      <c r="J6768" s="9"/>
      <c r="K6768" s="11"/>
      <c r="L6768" s="9"/>
      <c r="M6768" s="11"/>
      <c r="N6768" s="9" t="s">
        <v>804</v>
      </c>
    </row>
    <row r="6769" ht="25" customHeight="1" spans="1:14">
      <c r="A6769" s="9" t="s">
        <v>231</v>
      </c>
      <c r="B6769" s="9" t="s">
        <v>229</v>
      </c>
      <c r="C6769" s="10">
        <v>45159</v>
      </c>
      <c r="D6769" s="15">
        <v>1.2495</v>
      </c>
      <c r="E6769" s="15">
        <v>1.2495</v>
      </c>
      <c r="F6769" s="15">
        <v>1.2495</v>
      </c>
      <c r="G6769" s="11">
        <v>0.0002</v>
      </c>
      <c r="H6769" s="9">
        <f>MAX($F$6211:F6769)</f>
        <v>1.2495</v>
      </c>
      <c r="I6769" s="11">
        <f t="shared" si="164"/>
        <v>0</v>
      </c>
      <c r="J6769" s="9"/>
      <c r="K6769" s="11"/>
      <c r="L6769" s="9"/>
      <c r="M6769" s="11"/>
      <c r="N6769" s="9" t="s">
        <v>804</v>
      </c>
    </row>
    <row r="6770" ht="25" customHeight="1" spans="1:14">
      <c r="A6770" s="9" t="s">
        <v>231</v>
      </c>
      <c r="B6770" s="9" t="s">
        <v>229</v>
      </c>
      <c r="C6770" s="10">
        <v>45160</v>
      </c>
      <c r="D6770" s="15">
        <v>1.2502</v>
      </c>
      <c r="E6770" s="15">
        <v>1.2502</v>
      </c>
      <c r="F6770" s="15">
        <v>1.2502</v>
      </c>
      <c r="G6770" s="11">
        <v>0.0006</v>
      </c>
      <c r="H6770" s="9">
        <f>MAX($F$6211:F6770)</f>
        <v>1.2502</v>
      </c>
      <c r="I6770" s="11">
        <f t="shared" si="164"/>
        <v>0</v>
      </c>
      <c r="J6770" s="9"/>
      <c r="K6770" s="11"/>
      <c r="L6770" s="9"/>
      <c r="M6770" s="11"/>
      <c r="N6770" s="9" t="s">
        <v>804</v>
      </c>
    </row>
    <row r="6771" ht="25" customHeight="1" spans="1:14">
      <c r="A6771" s="9" t="s">
        <v>231</v>
      </c>
      <c r="B6771" s="9" t="s">
        <v>229</v>
      </c>
      <c r="C6771" s="10">
        <v>45161</v>
      </c>
      <c r="D6771" s="15">
        <v>1.2506</v>
      </c>
      <c r="E6771" s="15">
        <v>1.2506</v>
      </c>
      <c r="F6771" s="15">
        <v>1.2506</v>
      </c>
      <c r="G6771" s="11">
        <v>0.0003</v>
      </c>
      <c r="H6771" s="9">
        <f>MAX($F$6211:F6771)</f>
        <v>1.2506</v>
      </c>
      <c r="I6771" s="11">
        <f t="shared" si="164"/>
        <v>0</v>
      </c>
      <c r="J6771" s="9"/>
      <c r="K6771" s="11"/>
      <c r="L6771" s="9"/>
      <c r="M6771" s="11"/>
      <c r="N6771" s="9" t="s">
        <v>804</v>
      </c>
    </row>
    <row r="6772" ht="25" customHeight="1" spans="1:14">
      <c r="A6772" s="9" t="s">
        <v>231</v>
      </c>
      <c r="B6772" s="9" t="s">
        <v>229</v>
      </c>
      <c r="C6772" s="10">
        <v>45162</v>
      </c>
      <c r="D6772" s="15">
        <v>1.2504</v>
      </c>
      <c r="E6772" s="15">
        <v>1.2504</v>
      </c>
      <c r="F6772" s="15">
        <v>1.2504</v>
      </c>
      <c r="G6772" s="11">
        <v>-0.0002</v>
      </c>
      <c r="H6772" s="9">
        <f>MAX($F$6211:F6772)</f>
        <v>1.2506</v>
      </c>
      <c r="I6772" s="11">
        <f t="shared" si="164"/>
        <v>0.000159923236846327</v>
      </c>
      <c r="J6772" s="9"/>
      <c r="K6772" s="11"/>
      <c r="L6772" s="9"/>
      <c r="M6772" s="11"/>
      <c r="N6772" s="9" t="s">
        <v>804</v>
      </c>
    </row>
    <row r="6773" ht="25" customHeight="1" spans="1:14">
      <c r="A6773" s="9" t="s">
        <v>231</v>
      </c>
      <c r="B6773" s="9" t="s">
        <v>229</v>
      </c>
      <c r="C6773" s="10">
        <v>45163</v>
      </c>
      <c r="D6773" s="15">
        <v>1.2507</v>
      </c>
      <c r="E6773" s="15">
        <v>1.2507</v>
      </c>
      <c r="F6773" s="15">
        <v>1.2507</v>
      </c>
      <c r="G6773" s="11">
        <v>0.0002</v>
      </c>
      <c r="H6773" s="9">
        <f>MAX($F$6211:F6773)</f>
        <v>1.2507</v>
      </c>
      <c r="I6773" s="11">
        <f t="shared" si="164"/>
        <v>0</v>
      </c>
      <c r="J6773" s="9"/>
      <c r="K6773" s="11"/>
      <c r="L6773" s="9"/>
      <c r="M6773" s="11"/>
      <c r="N6773" s="9" t="s">
        <v>804</v>
      </c>
    </row>
    <row r="6774" ht="25" customHeight="1" spans="1:14">
      <c r="A6774" s="9" t="s">
        <v>231</v>
      </c>
      <c r="B6774" s="9" t="s">
        <v>229</v>
      </c>
      <c r="C6774" s="10">
        <v>45166</v>
      </c>
      <c r="D6774" s="15">
        <v>1.2515</v>
      </c>
      <c r="E6774" s="15">
        <v>1.2515</v>
      </c>
      <c r="F6774" s="15">
        <v>1.2515</v>
      </c>
      <c r="G6774" s="11">
        <v>0.0006</v>
      </c>
      <c r="H6774" s="9">
        <f>MAX($F$6211:F6774)</f>
        <v>1.2515</v>
      </c>
      <c r="I6774" s="11">
        <f t="shared" si="164"/>
        <v>0</v>
      </c>
      <c r="J6774" s="9"/>
      <c r="K6774" s="11"/>
      <c r="L6774" s="9"/>
      <c r="M6774" s="11"/>
      <c r="N6774" s="9" t="s">
        <v>804</v>
      </c>
    </row>
    <row r="6775" ht="25" customHeight="1" spans="1:14">
      <c r="A6775" s="9" t="s">
        <v>231</v>
      </c>
      <c r="B6775" s="9" t="s">
        <v>229</v>
      </c>
      <c r="C6775" s="10">
        <v>45167</v>
      </c>
      <c r="D6775" s="15">
        <v>1.2523</v>
      </c>
      <c r="E6775" s="15">
        <v>1.2523</v>
      </c>
      <c r="F6775" s="15">
        <v>1.2523</v>
      </c>
      <c r="G6775" s="11">
        <v>0.0006</v>
      </c>
      <c r="H6775" s="9">
        <f>MAX($F$6211:F6775)</f>
        <v>1.2523</v>
      </c>
      <c r="I6775" s="11">
        <f t="shared" si="164"/>
        <v>0</v>
      </c>
      <c r="J6775" s="9"/>
      <c r="K6775" s="11"/>
      <c r="L6775" s="9"/>
      <c r="M6775" s="11"/>
      <c r="N6775" s="9" t="s">
        <v>804</v>
      </c>
    </row>
    <row r="6776" ht="25" customHeight="1" spans="1:14">
      <c r="A6776" s="9" t="s">
        <v>231</v>
      </c>
      <c r="B6776" s="9" t="s">
        <v>229</v>
      </c>
      <c r="C6776" s="10">
        <v>45168</v>
      </c>
      <c r="D6776" s="15">
        <v>1.2528</v>
      </c>
      <c r="E6776" s="15">
        <v>1.2528</v>
      </c>
      <c r="F6776" s="15">
        <v>1.2528</v>
      </c>
      <c r="G6776" s="11">
        <v>0.0004</v>
      </c>
      <c r="H6776" s="9">
        <f>MAX($F$6211:F6776)</f>
        <v>1.2528</v>
      </c>
      <c r="I6776" s="11">
        <f t="shared" si="164"/>
        <v>0</v>
      </c>
      <c r="J6776" s="9"/>
      <c r="K6776" s="11"/>
      <c r="L6776" s="9"/>
      <c r="M6776" s="11"/>
      <c r="N6776" s="9" t="s">
        <v>804</v>
      </c>
    </row>
    <row r="6777" ht="25" customHeight="1" spans="1:14">
      <c r="A6777" s="9" t="s">
        <v>231</v>
      </c>
      <c r="B6777" s="9" t="s">
        <v>229</v>
      </c>
      <c r="C6777" s="10">
        <v>45169</v>
      </c>
      <c r="D6777" s="15">
        <v>1.2534</v>
      </c>
      <c r="E6777" s="15">
        <v>1.2534</v>
      </c>
      <c r="F6777" s="15">
        <v>1.2534</v>
      </c>
      <c r="G6777" s="11">
        <v>0.0005</v>
      </c>
      <c r="H6777" s="9">
        <f>MAX($F$6211:F6777)</f>
        <v>1.2534</v>
      </c>
      <c r="I6777" s="11">
        <f t="shared" si="164"/>
        <v>0</v>
      </c>
      <c r="J6777" s="9"/>
      <c r="K6777" s="11"/>
      <c r="L6777" s="9"/>
      <c r="M6777" s="11"/>
      <c r="N6777" s="9" t="s">
        <v>804</v>
      </c>
    </row>
    <row r="6778" ht="25" customHeight="1" spans="1:14">
      <c r="A6778" s="9" t="s">
        <v>231</v>
      </c>
      <c r="B6778" s="9" t="s">
        <v>229</v>
      </c>
      <c r="C6778" s="10">
        <v>45170</v>
      </c>
      <c r="D6778" s="15">
        <v>1.2539</v>
      </c>
      <c r="E6778" s="15">
        <v>1.2539</v>
      </c>
      <c r="F6778" s="15">
        <v>1.2539</v>
      </c>
      <c r="G6778" s="11">
        <v>0.0004</v>
      </c>
      <c r="H6778" s="9">
        <f>MAX($F$6211:F6778)</f>
        <v>1.2539</v>
      </c>
      <c r="I6778" s="11">
        <f t="shared" si="164"/>
        <v>0</v>
      </c>
      <c r="J6778" s="9"/>
      <c r="K6778" s="11"/>
      <c r="L6778" s="9"/>
      <c r="M6778" s="11"/>
      <c r="N6778" s="9" t="s">
        <v>804</v>
      </c>
    </row>
    <row r="6779" ht="25" customHeight="1" spans="1:14">
      <c r="A6779" s="9" t="s">
        <v>231</v>
      </c>
      <c r="B6779" s="9" t="s">
        <v>229</v>
      </c>
      <c r="C6779" s="10">
        <v>45173</v>
      </c>
      <c r="D6779" s="15">
        <v>1.2542</v>
      </c>
      <c r="E6779" s="15">
        <v>1.2542</v>
      </c>
      <c r="F6779" s="15">
        <v>1.2542</v>
      </c>
      <c r="G6779" s="11">
        <v>0.0002</v>
      </c>
      <c r="H6779" s="9">
        <f>MAX($F$6211:F6779)</f>
        <v>1.2542</v>
      </c>
      <c r="I6779" s="11">
        <f t="shared" si="164"/>
        <v>0</v>
      </c>
      <c r="J6779" s="9"/>
      <c r="K6779" s="11"/>
      <c r="L6779" s="9">
        <f>MAX($F$6779:F6779)</f>
        <v>1.2542</v>
      </c>
      <c r="M6779" s="11">
        <f t="shared" ref="M6779:M6842" si="165">1-F6779/L6779</f>
        <v>0</v>
      </c>
      <c r="N6779" s="9" t="s">
        <v>804</v>
      </c>
    </row>
    <row r="6780" ht="25" customHeight="1" spans="1:14">
      <c r="A6780" s="9" t="s">
        <v>231</v>
      </c>
      <c r="B6780" s="9" t="s">
        <v>229</v>
      </c>
      <c r="C6780" s="10">
        <v>45174</v>
      </c>
      <c r="D6780" s="15">
        <v>1.2542</v>
      </c>
      <c r="E6780" s="15">
        <v>1.2542</v>
      </c>
      <c r="F6780" s="15">
        <v>1.2542</v>
      </c>
      <c r="G6780" s="11">
        <v>0</v>
      </c>
      <c r="H6780" s="9">
        <f>MAX($F$6211:F6780)</f>
        <v>1.2542</v>
      </c>
      <c r="I6780" s="11">
        <f t="shared" si="164"/>
        <v>0</v>
      </c>
      <c r="J6780" s="9"/>
      <c r="K6780" s="11"/>
      <c r="L6780" s="9">
        <f>MAX($F$6779:F6780)</f>
        <v>1.2542</v>
      </c>
      <c r="M6780" s="11">
        <f t="shared" si="165"/>
        <v>0</v>
      </c>
      <c r="N6780" s="9" t="s">
        <v>804</v>
      </c>
    </row>
    <row r="6781" ht="25" customHeight="1" spans="1:14">
      <c r="A6781" s="9" t="s">
        <v>231</v>
      </c>
      <c r="B6781" s="9" t="s">
        <v>229</v>
      </c>
      <c r="C6781" s="10">
        <v>45175</v>
      </c>
      <c r="D6781" s="15">
        <v>1.2542</v>
      </c>
      <c r="E6781" s="15">
        <v>1.2542</v>
      </c>
      <c r="F6781" s="15">
        <v>1.2542</v>
      </c>
      <c r="G6781" s="11">
        <v>0</v>
      </c>
      <c r="H6781" s="9">
        <f>MAX($F$6211:F6781)</f>
        <v>1.2542</v>
      </c>
      <c r="I6781" s="11">
        <f t="shared" si="164"/>
        <v>0</v>
      </c>
      <c r="J6781" s="9"/>
      <c r="K6781" s="11"/>
      <c r="L6781" s="9">
        <f>MAX($F$6779:F6781)</f>
        <v>1.2542</v>
      </c>
      <c r="M6781" s="11">
        <f t="shared" si="165"/>
        <v>0</v>
      </c>
      <c r="N6781" s="9" t="s">
        <v>804</v>
      </c>
    </row>
    <row r="6782" ht="25" customHeight="1" spans="1:14">
      <c r="A6782" s="9" t="s">
        <v>231</v>
      </c>
      <c r="B6782" s="9" t="s">
        <v>229</v>
      </c>
      <c r="C6782" s="10">
        <v>45176</v>
      </c>
      <c r="D6782" s="15">
        <v>1.2549</v>
      </c>
      <c r="E6782" s="15">
        <v>1.2549</v>
      </c>
      <c r="F6782" s="15">
        <v>1.2549</v>
      </c>
      <c r="G6782" s="11">
        <v>0.0006</v>
      </c>
      <c r="H6782" s="9">
        <f>MAX($F$6211:F6782)</f>
        <v>1.2549</v>
      </c>
      <c r="I6782" s="11">
        <f t="shared" si="164"/>
        <v>0</v>
      </c>
      <c r="J6782" s="9"/>
      <c r="K6782" s="11"/>
      <c r="L6782" s="9">
        <f>MAX($F$6779:F6782)</f>
        <v>1.2549</v>
      </c>
      <c r="M6782" s="11">
        <f t="shared" si="165"/>
        <v>0</v>
      </c>
      <c r="N6782" s="9" t="s">
        <v>804</v>
      </c>
    </row>
    <row r="6783" ht="25" customHeight="1" spans="1:14">
      <c r="A6783" s="9" t="s">
        <v>231</v>
      </c>
      <c r="B6783" s="9" t="s">
        <v>229</v>
      </c>
      <c r="C6783" s="10">
        <v>45177</v>
      </c>
      <c r="D6783" s="15">
        <v>1.2551</v>
      </c>
      <c r="E6783" s="15">
        <v>1.2551</v>
      </c>
      <c r="F6783" s="15">
        <v>1.2551</v>
      </c>
      <c r="G6783" s="11">
        <v>0.0002</v>
      </c>
      <c r="H6783" s="9">
        <f>MAX($F$6211:F6783)</f>
        <v>1.2551</v>
      </c>
      <c r="I6783" s="11">
        <f t="shared" si="164"/>
        <v>0</v>
      </c>
      <c r="J6783" s="9"/>
      <c r="K6783" s="11"/>
      <c r="L6783" s="9">
        <f>MAX($F$6779:F6783)</f>
        <v>1.2551</v>
      </c>
      <c r="M6783" s="11">
        <f t="shared" si="165"/>
        <v>0</v>
      </c>
      <c r="N6783" s="9" t="s">
        <v>804</v>
      </c>
    </row>
    <row r="6784" ht="25" customHeight="1" spans="1:14">
      <c r="A6784" s="9" t="s">
        <v>231</v>
      </c>
      <c r="B6784" s="9" t="s">
        <v>229</v>
      </c>
      <c r="C6784" s="10">
        <v>45180</v>
      </c>
      <c r="D6784" s="15">
        <v>1.2558</v>
      </c>
      <c r="E6784" s="15">
        <v>1.2558</v>
      </c>
      <c r="F6784" s="15">
        <v>1.2558</v>
      </c>
      <c r="G6784" s="11">
        <v>0.0006</v>
      </c>
      <c r="H6784" s="9">
        <f>MAX($F$6211:F6784)</f>
        <v>1.2558</v>
      </c>
      <c r="I6784" s="11">
        <f t="shared" si="164"/>
        <v>0</v>
      </c>
      <c r="J6784" s="9"/>
      <c r="K6784" s="11"/>
      <c r="L6784" s="9">
        <f>MAX($F$6779:F6784)</f>
        <v>1.2558</v>
      </c>
      <c r="M6784" s="11">
        <f t="shared" si="165"/>
        <v>0</v>
      </c>
      <c r="N6784" s="9" t="s">
        <v>804</v>
      </c>
    </row>
    <row r="6785" ht="25" customHeight="1" spans="1:14">
      <c r="A6785" s="9" t="s">
        <v>231</v>
      </c>
      <c r="B6785" s="9" t="s">
        <v>229</v>
      </c>
      <c r="C6785" s="10">
        <v>45181</v>
      </c>
      <c r="D6785" s="15">
        <v>1.2559</v>
      </c>
      <c r="E6785" s="15">
        <v>1.2559</v>
      </c>
      <c r="F6785" s="15">
        <v>1.2559</v>
      </c>
      <c r="G6785" s="11">
        <v>0.0001</v>
      </c>
      <c r="H6785" s="9">
        <f>MAX($F$6211:F6785)</f>
        <v>1.2559</v>
      </c>
      <c r="I6785" s="11">
        <f t="shared" si="164"/>
        <v>0</v>
      </c>
      <c r="J6785" s="9"/>
      <c r="K6785" s="11"/>
      <c r="L6785" s="9">
        <f>MAX($F$6779:F6785)</f>
        <v>1.2559</v>
      </c>
      <c r="M6785" s="11">
        <f t="shared" si="165"/>
        <v>0</v>
      </c>
      <c r="N6785" s="9" t="s">
        <v>804</v>
      </c>
    </row>
    <row r="6786" ht="25" customHeight="1" spans="1:14">
      <c r="A6786" s="9" t="s">
        <v>231</v>
      </c>
      <c r="B6786" s="9" t="s">
        <v>229</v>
      </c>
      <c r="C6786" s="10">
        <v>45182</v>
      </c>
      <c r="D6786" s="15">
        <v>1.2562</v>
      </c>
      <c r="E6786" s="15">
        <v>1.2562</v>
      </c>
      <c r="F6786" s="15">
        <v>1.2562</v>
      </c>
      <c r="G6786" s="11">
        <v>0.0002</v>
      </c>
      <c r="H6786" s="9">
        <f>MAX($F$6211:F6786)</f>
        <v>1.2562</v>
      </c>
      <c r="I6786" s="11">
        <f t="shared" ref="I6786:I6849" si="166">1-F6786/H6786</f>
        <v>0</v>
      </c>
      <c r="J6786" s="9"/>
      <c r="K6786" s="11"/>
      <c r="L6786" s="9">
        <f>MAX($F$6779:F6786)</f>
        <v>1.2562</v>
      </c>
      <c r="M6786" s="11">
        <f t="shared" si="165"/>
        <v>0</v>
      </c>
      <c r="N6786" s="9" t="s">
        <v>804</v>
      </c>
    </row>
    <row r="6787" ht="25" customHeight="1" spans="1:14">
      <c r="A6787" s="9" t="s">
        <v>231</v>
      </c>
      <c r="B6787" s="9" t="s">
        <v>229</v>
      </c>
      <c r="C6787" s="10">
        <v>45183</v>
      </c>
      <c r="D6787" s="15">
        <v>1.257</v>
      </c>
      <c r="E6787" s="15">
        <v>1.257</v>
      </c>
      <c r="F6787" s="15">
        <v>1.257</v>
      </c>
      <c r="G6787" s="11">
        <v>0.0006</v>
      </c>
      <c r="H6787" s="9">
        <f>MAX($F$6211:F6787)</f>
        <v>1.257</v>
      </c>
      <c r="I6787" s="11">
        <f t="shared" si="166"/>
        <v>0</v>
      </c>
      <c r="J6787" s="9"/>
      <c r="K6787" s="11"/>
      <c r="L6787" s="9">
        <f>MAX($F$6779:F6787)</f>
        <v>1.257</v>
      </c>
      <c r="M6787" s="11">
        <f t="shared" si="165"/>
        <v>0</v>
      </c>
      <c r="N6787" s="9" t="s">
        <v>804</v>
      </c>
    </row>
    <row r="6788" ht="25" customHeight="1" spans="1:14">
      <c r="A6788" s="9" t="s">
        <v>231</v>
      </c>
      <c r="B6788" s="9" t="s">
        <v>229</v>
      </c>
      <c r="C6788" s="10">
        <v>45184</v>
      </c>
      <c r="D6788" s="15">
        <v>1.2576</v>
      </c>
      <c r="E6788" s="15">
        <v>1.2576</v>
      </c>
      <c r="F6788" s="15">
        <v>1.2576</v>
      </c>
      <c r="G6788" s="11">
        <v>0.0005</v>
      </c>
      <c r="H6788" s="9">
        <f>MAX($F$6211:F6788)</f>
        <v>1.2576</v>
      </c>
      <c r="I6788" s="11">
        <f t="shared" si="166"/>
        <v>0</v>
      </c>
      <c r="J6788" s="9"/>
      <c r="K6788" s="11"/>
      <c r="L6788" s="9">
        <f>MAX($F$6779:F6788)</f>
        <v>1.2576</v>
      </c>
      <c r="M6788" s="11">
        <f t="shared" si="165"/>
        <v>0</v>
      </c>
      <c r="N6788" s="9" t="s">
        <v>804</v>
      </c>
    </row>
    <row r="6789" ht="25" customHeight="1" spans="1:14">
      <c r="A6789" s="9" t="s">
        <v>231</v>
      </c>
      <c r="B6789" s="9" t="s">
        <v>229</v>
      </c>
      <c r="C6789" s="10">
        <v>45187</v>
      </c>
      <c r="D6789" s="15">
        <v>1.258</v>
      </c>
      <c r="E6789" s="15">
        <v>1.258</v>
      </c>
      <c r="F6789" s="15">
        <v>1.258</v>
      </c>
      <c r="G6789" s="11">
        <v>0.0003</v>
      </c>
      <c r="H6789" s="9">
        <f>MAX($F$6211:F6789)</f>
        <v>1.258</v>
      </c>
      <c r="I6789" s="11">
        <f t="shared" si="166"/>
        <v>0</v>
      </c>
      <c r="J6789" s="9"/>
      <c r="K6789" s="11"/>
      <c r="L6789" s="9">
        <f>MAX($F$6779:F6789)</f>
        <v>1.258</v>
      </c>
      <c r="M6789" s="11">
        <f t="shared" si="165"/>
        <v>0</v>
      </c>
      <c r="N6789" s="9" t="s">
        <v>804</v>
      </c>
    </row>
    <row r="6790" ht="25" customHeight="1" spans="1:14">
      <c r="A6790" s="9" t="s">
        <v>231</v>
      </c>
      <c r="B6790" s="9" t="s">
        <v>229</v>
      </c>
      <c r="C6790" s="10">
        <v>45188</v>
      </c>
      <c r="D6790" s="15">
        <v>1.259</v>
      </c>
      <c r="E6790" s="15">
        <v>1.259</v>
      </c>
      <c r="F6790" s="15">
        <v>1.259</v>
      </c>
      <c r="G6790" s="11">
        <v>0.0008</v>
      </c>
      <c r="H6790" s="9">
        <f>MAX($F$6211:F6790)</f>
        <v>1.259</v>
      </c>
      <c r="I6790" s="11">
        <f t="shared" si="166"/>
        <v>0</v>
      </c>
      <c r="J6790" s="9"/>
      <c r="K6790" s="11"/>
      <c r="L6790" s="9">
        <f>MAX($F$6779:F6790)</f>
        <v>1.259</v>
      </c>
      <c r="M6790" s="11">
        <f t="shared" si="165"/>
        <v>0</v>
      </c>
      <c r="N6790" s="9" t="s">
        <v>804</v>
      </c>
    </row>
    <row r="6791" ht="25" customHeight="1" spans="1:14">
      <c r="A6791" s="9" t="s">
        <v>231</v>
      </c>
      <c r="B6791" s="9" t="s">
        <v>229</v>
      </c>
      <c r="C6791" s="10">
        <v>45189</v>
      </c>
      <c r="D6791" s="15">
        <v>1.2598</v>
      </c>
      <c r="E6791" s="15">
        <v>1.2598</v>
      </c>
      <c r="F6791" s="15">
        <v>1.2598</v>
      </c>
      <c r="G6791" s="11">
        <v>0.0006</v>
      </c>
      <c r="H6791" s="9">
        <f>MAX($F$6211:F6791)</f>
        <v>1.2598</v>
      </c>
      <c r="I6791" s="11">
        <f t="shared" si="166"/>
        <v>0</v>
      </c>
      <c r="J6791" s="9"/>
      <c r="K6791" s="11"/>
      <c r="L6791" s="9">
        <f>MAX($F$6779:F6791)</f>
        <v>1.2598</v>
      </c>
      <c r="M6791" s="11">
        <f t="shared" si="165"/>
        <v>0</v>
      </c>
      <c r="N6791" s="9" t="s">
        <v>804</v>
      </c>
    </row>
    <row r="6792" ht="25" customHeight="1" spans="1:14">
      <c r="A6792" s="9" t="s">
        <v>231</v>
      </c>
      <c r="B6792" s="9" t="s">
        <v>229</v>
      </c>
      <c r="C6792" s="10">
        <v>45190</v>
      </c>
      <c r="D6792" s="15">
        <v>1.2602</v>
      </c>
      <c r="E6792" s="15">
        <v>1.2602</v>
      </c>
      <c r="F6792" s="15">
        <v>1.2602</v>
      </c>
      <c r="G6792" s="11">
        <v>0.0003</v>
      </c>
      <c r="H6792" s="9">
        <f>MAX($F$6211:F6792)</f>
        <v>1.2602</v>
      </c>
      <c r="I6792" s="11">
        <f t="shared" si="166"/>
        <v>0</v>
      </c>
      <c r="J6792" s="9"/>
      <c r="K6792" s="11"/>
      <c r="L6792" s="9">
        <f>MAX($F$6779:F6792)</f>
        <v>1.2602</v>
      </c>
      <c r="M6792" s="11">
        <f t="shared" si="165"/>
        <v>0</v>
      </c>
      <c r="N6792" s="9" t="s">
        <v>804</v>
      </c>
    </row>
    <row r="6793" ht="25" customHeight="1" spans="1:14">
      <c r="A6793" s="9" t="s">
        <v>231</v>
      </c>
      <c r="B6793" s="9" t="s">
        <v>229</v>
      </c>
      <c r="C6793" s="10">
        <v>45191</v>
      </c>
      <c r="D6793" s="15">
        <v>1.2605</v>
      </c>
      <c r="E6793" s="15">
        <v>1.2605</v>
      </c>
      <c r="F6793" s="15">
        <v>1.2605</v>
      </c>
      <c r="G6793" s="11">
        <v>0.0002</v>
      </c>
      <c r="H6793" s="9">
        <f>MAX($F$6211:F6793)</f>
        <v>1.2605</v>
      </c>
      <c r="I6793" s="11">
        <f t="shared" si="166"/>
        <v>0</v>
      </c>
      <c r="J6793" s="9"/>
      <c r="K6793" s="11"/>
      <c r="L6793" s="9">
        <f>MAX($F$6779:F6793)</f>
        <v>1.2605</v>
      </c>
      <c r="M6793" s="11">
        <f t="shared" si="165"/>
        <v>0</v>
      </c>
      <c r="N6793" s="9" t="s">
        <v>804</v>
      </c>
    </row>
    <row r="6794" ht="25" customHeight="1" spans="1:14">
      <c r="A6794" s="9" t="s">
        <v>231</v>
      </c>
      <c r="B6794" s="9" t="s">
        <v>229</v>
      </c>
      <c r="C6794" s="10">
        <v>45194</v>
      </c>
      <c r="D6794" s="15">
        <v>1.2606</v>
      </c>
      <c r="E6794" s="15">
        <v>1.2606</v>
      </c>
      <c r="F6794" s="15">
        <v>1.2606</v>
      </c>
      <c r="G6794" s="11">
        <v>0.0001</v>
      </c>
      <c r="H6794" s="9">
        <f>MAX($F$6211:F6794)</f>
        <v>1.2606</v>
      </c>
      <c r="I6794" s="11">
        <f t="shared" si="166"/>
        <v>0</v>
      </c>
      <c r="J6794" s="9"/>
      <c r="K6794" s="11"/>
      <c r="L6794" s="9">
        <f>MAX($F$6779:F6794)</f>
        <v>1.2606</v>
      </c>
      <c r="M6794" s="11">
        <f t="shared" si="165"/>
        <v>0</v>
      </c>
      <c r="N6794" s="9" t="s">
        <v>804</v>
      </c>
    </row>
    <row r="6795" ht="25" customHeight="1" spans="1:14">
      <c r="A6795" s="9" t="s">
        <v>231</v>
      </c>
      <c r="B6795" s="9" t="s">
        <v>229</v>
      </c>
      <c r="C6795" s="10">
        <v>45195</v>
      </c>
      <c r="D6795" s="15">
        <v>1.261</v>
      </c>
      <c r="E6795" s="15">
        <v>1.261</v>
      </c>
      <c r="F6795" s="15">
        <v>1.261</v>
      </c>
      <c r="G6795" s="11">
        <v>0.0003</v>
      </c>
      <c r="H6795" s="9">
        <f>MAX($F$6211:F6795)</f>
        <v>1.261</v>
      </c>
      <c r="I6795" s="11">
        <f t="shared" si="166"/>
        <v>0</v>
      </c>
      <c r="J6795" s="9"/>
      <c r="K6795" s="11"/>
      <c r="L6795" s="9">
        <f>MAX($F$6779:F6795)</f>
        <v>1.261</v>
      </c>
      <c r="M6795" s="11">
        <f t="shared" si="165"/>
        <v>0</v>
      </c>
      <c r="N6795" s="9" t="s">
        <v>804</v>
      </c>
    </row>
    <row r="6796" ht="25" customHeight="1" spans="1:14">
      <c r="A6796" s="9" t="s">
        <v>231</v>
      </c>
      <c r="B6796" s="9" t="s">
        <v>229</v>
      </c>
      <c r="C6796" s="10">
        <v>45196</v>
      </c>
      <c r="D6796" s="15">
        <v>1.2621</v>
      </c>
      <c r="E6796" s="15">
        <v>1.2621</v>
      </c>
      <c r="F6796" s="15">
        <v>1.2621</v>
      </c>
      <c r="G6796" s="11">
        <v>0.0009</v>
      </c>
      <c r="H6796" s="9">
        <f>MAX($F$6211:F6796)</f>
        <v>1.2621</v>
      </c>
      <c r="I6796" s="11">
        <f t="shared" si="166"/>
        <v>0</v>
      </c>
      <c r="J6796" s="9"/>
      <c r="K6796" s="11"/>
      <c r="L6796" s="9">
        <f>MAX($F$6779:F6796)</f>
        <v>1.2621</v>
      </c>
      <c r="M6796" s="11">
        <f t="shared" si="165"/>
        <v>0</v>
      </c>
      <c r="N6796" s="9" t="s">
        <v>804</v>
      </c>
    </row>
    <row r="6797" ht="25" customHeight="1" spans="1:14">
      <c r="A6797" s="9" t="s">
        <v>231</v>
      </c>
      <c r="B6797" s="9" t="s">
        <v>229</v>
      </c>
      <c r="C6797" s="10">
        <v>45197</v>
      </c>
      <c r="D6797" s="15">
        <v>1.2622</v>
      </c>
      <c r="E6797" s="15">
        <v>1.2622</v>
      </c>
      <c r="F6797" s="15">
        <v>1.2622</v>
      </c>
      <c r="G6797" s="11">
        <v>0.0001</v>
      </c>
      <c r="H6797" s="9">
        <f>MAX($F$6211:F6797)</f>
        <v>1.2622</v>
      </c>
      <c r="I6797" s="11">
        <f t="shared" si="166"/>
        <v>0</v>
      </c>
      <c r="J6797" s="9"/>
      <c r="K6797" s="11"/>
      <c r="L6797" s="9">
        <f>MAX($F$6779:F6797)</f>
        <v>1.2622</v>
      </c>
      <c r="M6797" s="11">
        <f t="shared" si="165"/>
        <v>0</v>
      </c>
      <c r="N6797" s="9" t="s">
        <v>804</v>
      </c>
    </row>
    <row r="6798" ht="25" customHeight="1" spans="1:14">
      <c r="A6798" s="9" t="s">
        <v>231</v>
      </c>
      <c r="B6798" s="9" t="s">
        <v>229</v>
      </c>
      <c r="C6798" s="10">
        <v>45208</v>
      </c>
      <c r="D6798" s="15">
        <v>1.2622</v>
      </c>
      <c r="E6798" s="15">
        <v>1.2622</v>
      </c>
      <c r="F6798" s="15">
        <v>1.2622</v>
      </c>
      <c r="G6798" s="11">
        <v>0</v>
      </c>
      <c r="H6798" s="9">
        <f>MAX($F$6211:F6798)</f>
        <v>1.2622</v>
      </c>
      <c r="I6798" s="11">
        <f t="shared" si="166"/>
        <v>0</v>
      </c>
      <c r="J6798" s="9"/>
      <c r="K6798" s="11"/>
      <c r="L6798" s="9">
        <f>MAX($F$6779:F6798)</f>
        <v>1.2622</v>
      </c>
      <c r="M6798" s="11">
        <f t="shared" si="165"/>
        <v>0</v>
      </c>
      <c r="N6798" s="9" t="s">
        <v>804</v>
      </c>
    </row>
    <row r="6799" ht="25" customHeight="1" spans="1:14">
      <c r="A6799" s="9" t="s">
        <v>231</v>
      </c>
      <c r="B6799" s="9" t="s">
        <v>229</v>
      </c>
      <c r="C6799" s="10">
        <v>45209</v>
      </c>
      <c r="D6799" s="15">
        <v>1.2625</v>
      </c>
      <c r="E6799" s="15">
        <v>1.2625</v>
      </c>
      <c r="F6799" s="15">
        <v>1.2625</v>
      </c>
      <c r="G6799" s="11">
        <v>0.0002</v>
      </c>
      <c r="H6799" s="9">
        <f>MAX($F$6211:F6799)</f>
        <v>1.2625</v>
      </c>
      <c r="I6799" s="11">
        <f t="shared" si="166"/>
        <v>0</v>
      </c>
      <c r="J6799" s="9"/>
      <c r="K6799" s="11"/>
      <c r="L6799" s="9">
        <f>MAX($F$6779:F6799)</f>
        <v>1.2625</v>
      </c>
      <c r="M6799" s="11">
        <f t="shared" si="165"/>
        <v>0</v>
      </c>
      <c r="N6799" s="9" t="s">
        <v>804</v>
      </c>
    </row>
    <row r="6800" ht="25" customHeight="1" spans="1:14">
      <c r="A6800" s="9" t="s">
        <v>231</v>
      </c>
      <c r="B6800" s="9" t="s">
        <v>229</v>
      </c>
      <c r="C6800" s="10">
        <v>45210</v>
      </c>
      <c r="D6800" s="15">
        <v>1.2628</v>
      </c>
      <c r="E6800" s="15">
        <v>1.2628</v>
      </c>
      <c r="F6800" s="15">
        <v>1.2628</v>
      </c>
      <c r="G6800" s="11">
        <v>0.0002</v>
      </c>
      <c r="H6800" s="9">
        <f>MAX($F$6211:F6800)</f>
        <v>1.2628</v>
      </c>
      <c r="I6800" s="11">
        <f t="shared" si="166"/>
        <v>0</v>
      </c>
      <c r="J6800" s="9"/>
      <c r="K6800" s="11"/>
      <c r="L6800" s="9">
        <f>MAX($F$6779:F6800)</f>
        <v>1.2628</v>
      </c>
      <c r="M6800" s="11">
        <f t="shared" si="165"/>
        <v>0</v>
      </c>
      <c r="N6800" s="9" t="s">
        <v>804</v>
      </c>
    </row>
    <row r="6801" ht="25" customHeight="1" spans="1:14">
      <c r="A6801" s="9" t="s">
        <v>231</v>
      </c>
      <c r="B6801" s="9" t="s">
        <v>229</v>
      </c>
      <c r="C6801" s="10">
        <v>45211</v>
      </c>
      <c r="D6801" s="15">
        <v>1.2635</v>
      </c>
      <c r="E6801" s="15">
        <v>1.2635</v>
      </c>
      <c r="F6801" s="15">
        <v>1.2635</v>
      </c>
      <c r="G6801" s="11">
        <v>0.0006</v>
      </c>
      <c r="H6801" s="9">
        <f>MAX($F$6211:F6801)</f>
        <v>1.2635</v>
      </c>
      <c r="I6801" s="11">
        <f t="shared" si="166"/>
        <v>0</v>
      </c>
      <c r="J6801" s="9"/>
      <c r="K6801" s="11"/>
      <c r="L6801" s="9">
        <f>MAX($F$6779:F6801)</f>
        <v>1.2635</v>
      </c>
      <c r="M6801" s="11">
        <f t="shared" si="165"/>
        <v>0</v>
      </c>
      <c r="N6801" s="9" t="s">
        <v>804</v>
      </c>
    </row>
    <row r="6802" ht="25" customHeight="1" spans="1:14">
      <c r="A6802" s="9" t="s">
        <v>231</v>
      </c>
      <c r="B6802" s="9" t="s">
        <v>229</v>
      </c>
      <c r="C6802" s="10">
        <v>45212</v>
      </c>
      <c r="D6802" s="15">
        <v>1.2647</v>
      </c>
      <c r="E6802" s="15">
        <v>1.2647</v>
      </c>
      <c r="F6802" s="15">
        <v>1.2647</v>
      </c>
      <c r="G6802" s="11">
        <v>0.0009</v>
      </c>
      <c r="H6802" s="9">
        <f>MAX($F$6211:F6802)</f>
        <v>1.2647</v>
      </c>
      <c r="I6802" s="11">
        <f t="shared" si="166"/>
        <v>0</v>
      </c>
      <c r="J6802" s="9"/>
      <c r="K6802" s="11"/>
      <c r="L6802" s="9">
        <f>MAX($F$6779:F6802)</f>
        <v>1.2647</v>
      </c>
      <c r="M6802" s="11">
        <f t="shared" si="165"/>
        <v>0</v>
      </c>
      <c r="N6802" s="9" t="s">
        <v>804</v>
      </c>
    </row>
    <row r="6803" ht="25" customHeight="1" spans="1:14">
      <c r="A6803" s="9" t="s">
        <v>231</v>
      </c>
      <c r="B6803" s="9" t="s">
        <v>229</v>
      </c>
      <c r="C6803" s="10">
        <v>45215</v>
      </c>
      <c r="D6803" s="15">
        <v>1.2653</v>
      </c>
      <c r="E6803" s="15">
        <v>1.2653</v>
      </c>
      <c r="F6803" s="15">
        <v>1.2653</v>
      </c>
      <c r="G6803" s="11">
        <v>0.0005</v>
      </c>
      <c r="H6803" s="9">
        <f>MAX($F$6211:F6803)</f>
        <v>1.2653</v>
      </c>
      <c r="I6803" s="11">
        <f t="shared" si="166"/>
        <v>0</v>
      </c>
      <c r="J6803" s="9"/>
      <c r="K6803" s="11"/>
      <c r="L6803" s="9">
        <f>MAX($F$6779:F6803)</f>
        <v>1.2653</v>
      </c>
      <c r="M6803" s="11">
        <f t="shared" si="165"/>
        <v>0</v>
      </c>
      <c r="N6803" s="9" t="s">
        <v>804</v>
      </c>
    </row>
    <row r="6804" ht="25" customHeight="1" spans="1:14">
      <c r="A6804" s="9" t="s">
        <v>231</v>
      </c>
      <c r="B6804" s="9" t="s">
        <v>229</v>
      </c>
      <c r="C6804" s="10">
        <v>45216</v>
      </c>
      <c r="D6804" s="15">
        <v>1.2656</v>
      </c>
      <c r="E6804" s="15">
        <v>1.2656</v>
      </c>
      <c r="F6804" s="15">
        <v>1.2656</v>
      </c>
      <c r="G6804" s="11">
        <v>0.0002</v>
      </c>
      <c r="H6804" s="9">
        <f>MAX($F$6211:F6804)</f>
        <v>1.2656</v>
      </c>
      <c r="I6804" s="11">
        <f t="shared" si="166"/>
        <v>0</v>
      </c>
      <c r="J6804" s="9"/>
      <c r="K6804" s="11"/>
      <c r="L6804" s="9">
        <f>MAX($F$6779:F6804)</f>
        <v>1.2656</v>
      </c>
      <c r="M6804" s="11">
        <f t="shared" si="165"/>
        <v>0</v>
      </c>
      <c r="N6804" s="9" t="s">
        <v>804</v>
      </c>
    </row>
    <row r="6805" ht="25" customHeight="1" spans="1:14">
      <c r="A6805" s="9" t="s">
        <v>231</v>
      </c>
      <c r="B6805" s="9" t="s">
        <v>229</v>
      </c>
      <c r="C6805" s="10">
        <v>45217</v>
      </c>
      <c r="D6805" s="15">
        <v>1.2665</v>
      </c>
      <c r="E6805" s="15">
        <v>1.2665</v>
      </c>
      <c r="F6805" s="15">
        <v>1.2665</v>
      </c>
      <c r="G6805" s="11">
        <v>0.0007</v>
      </c>
      <c r="H6805" s="9">
        <f>MAX($F$6211:F6805)</f>
        <v>1.2665</v>
      </c>
      <c r="I6805" s="11">
        <f t="shared" si="166"/>
        <v>0</v>
      </c>
      <c r="J6805" s="9"/>
      <c r="K6805" s="11"/>
      <c r="L6805" s="9">
        <f>MAX($F$6779:F6805)</f>
        <v>1.2665</v>
      </c>
      <c r="M6805" s="11">
        <f t="shared" si="165"/>
        <v>0</v>
      </c>
      <c r="N6805" s="9" t="s">
        <v>804</v>
      </c>
    </row>
    <row r="6806" ht="25" customHeight="1" spans="1:14">
      <c r="A6806" s="9" t="s">
        <v>231</v>
      </c>
      <c r="B6806" s="9" t="s">
        <v>229</v>
      </c>
      <c r="C6806" s="10">
        <v>45218</v>
      </c>
      <c r="D6806" s="15">
        <v>1.2669</v>
      </c>
      <c r="E6806" s="15">
        <v>1.2669</v>
      </c>
      <c r="F6806" s="15">
        <v>1.2669</v>
      </c>
      <c r="G6806" s="11">
        <v>0.0003</v>
      </c>
      <c r="H6806" s="9">
        <f>MAX($F$6211:F6806)</f>
        <v>1.2669</v>
      </c>
      <c r="I6806" s="11">
        <f t="shared" si="166"/>
        <v>0</v>
      </c>
      <c r="J6806" s="9"/>
      <c r="K6806" s="11"/>
      <c r="L6806" s="9">
        <f>MAX($F$6779:F6806)</f>
        <v>1.2669</v>
      </c>
      <c r="M6806" s="11">
        <f t="shared" si="165"/>
        <v>0</v>
      </c>
      <c r="N6806" s="9" t="s">
        <v>804</v>
      </c>
    </row>
    <row r="6807" ht="25" customHeight="1" spans="1:14">
      <c r="A6807" s="9" t="s">
        <v>231</v>
      </c>
      <c r="B6807" s="9" t="s">
        <v>229</v>
      </c>
      <c r="C6807" s="10">
        <v>45219</v>
      </c>
      <c r="D6807" s="15">
        <v>1.268</v>
      </c>
      <c r="E6807" s="15">
        <v>1.268</v>
      </c>
      <c r="F6807" s="15">
        <v>1.268</v>
      </c>
      <c r="G6807" s="11">
        <v>0.0009</v>
      </c>
      <c r="H6807" s="9">
        <f>MAX($F$6211:F6807)</f>
        <v>1.268</v>
      </c>
      <c r="I6807" s="11">
        <f t="shared" si="166"/>
        <v>0</v>
      </c>
      <c r="J6807" s="9"/>
      <c r="K6807" s="11"/>
      <c r="L6807" s="9">
        <f>MAX($F$6779:F6807)</f>
        <v>1.268</v>
      </c>
      <c r="M6807" s="11">
        <f t="shared" si="165"/>
        <v>0</v>
      </c>
      <c r="N6807" s="9" t="s">
        <v>804</v>
      </c>
    </row>
    <row r="6808" ht="25" customHeight="1" spans="1:14">
      <c r="A6808" s="9" t="s">
        <v>231</v>
      </c>
      <c r="B6808" s="9" t="s">
        <v>229</v>
      </c>
      <c r="C6808" s="10">
        <v>45222</v>
      </c>
      <c r="D6808" s="15">
        <v>1.2688</v>
      </c>
      <c r="E6808" s="15">
        <v>1.2688</v>
      </c>
      <c r="F6808" s="15">
        <v>1.2688</v>
      </c>
      <c r="G6808" s="11">
        <v>0.0006</v>
      </c>
      <c r="H6808" s="9">
        <f>MAX($F$6211:F6808)</f>
        <v>1.2688</v>
      </c>
      <c r="I6808" s="11">
        <f t="shared" si="166"/>
        <v>0</v>
      </c>
      <c r="J6808" s="9"/>
      <c r="K6808" s="11"/>
      <c r="L6808" s="9">
        <f>MAX($F$6779:F6808)</f>
        <v>1.2688</v>
      </c>
      <c r="M6808" s="11">
        <f t="shared" si="165"/>
        <v>0</v>
      </c>
      <c r="N6808" s="9" t="s">
        <v>804</v>
      </c>
    </row>
    <row r="6809" ht="25" customHeight="1" spans="1:14">
      <c r="A6809" s="9" t="s">
        <v>231</v>
      </c>
      <c r="B6809" s="9" t="s">
        <v>229</v>
      </c>
      <c r="C6809" s="10">
        <v>45223</v>
      </c>
      <c r="D6809" s="15">
        <v>1.2691</v>
      </c>
      <c r="E6809" s="15">
        <v>1.2691</v>
      </c>
      <c r="F6809" s="15">
        <v>1.2691</v>
      </c>
      <c r="G6809" s="11">
        <v>0.0002</v>
      </c>
      <c r="H6809" s="9">
        <f>MAX($F$6211:F6809)</f>
        <v>1.2691</v>
      </c>
      <c r="I6809" s="11">
        <f t="shared" si="166"/>
        <v>0</v>
      </c>
      <c r="J6809" s="9"/>
      <c r="K6809" s="11"/>
      <c r="L6809" s="9">
        <f>MAX($F$6779:F6809)</f>
        <v>1.2691</v>
      </c>
      <c r="M6809" s="11">
        <f t="shared" si="165"/>
        <v>0</v>
      </c>
      <c r="N6809" s="9" t="s">
        <v>804</v>
      </c>
    </row>
    <row r="6810" ht="25" customHeight="1" spans="1:14">
      <c r="A6810" s="9" t="s">
        <v>231</v>
      </c>
      <c r="B6810" s="9" t="s">
        <v>229</v>
      </c>
      <c r="C6810" s="10">
        <v>45224</v>
      </c>
      <c r="D6810" s="15">
        <v>1.2696</v>
      </c>
      <c r="E6810" s="15">
        <v>1.2696</v>
      </c>
      <c r="F6810" s="15">
        <v>1.2696</v>
      </c>
      <c r="G6810" s="11">
        <v>0.0004</v>
      </c>
      <c r="H6810" s="9">
        <f>MAX($F$6211:F6810)</f>
        <v>1.2696</v>
      </c>
      <c r="I6810" s="11">
        <f t="shared" si="166"/>
        <v>0</v>
      </c>
      <c r="J6810" s="9"/>
      <c r="K6810" s="11"/>
      <c r="L6810" s="9">
        <f>MAX($F$6779:F6810)</f>
        <v>1.2696</v>
      </c>
      <c r="M6810" s="11">
        <f t="shared" si="165"/>
        <v>0</v>
      </c>
      <c r="N6810" s="9" t="s">
        <v>804</v>
      </c>
    </row>
    <row r="6811" ht="25" customHeight="1" spans="1:14">
      <c r="A6811" s="9" t="s">
        <v>231</v>
      </c>
      <c r="B6811" s="9" t="s">
        <v>229</v>
      </c>
      <c r="C6811" s="10">
        <v>45225</v>
      </c>
      <c r="D6811" s="15">
        <v>1.2701</v>
      </c>
      <c r="E6811" s="15">
        <v>1.2701</v>
      </c>
      <c r="F6811" s="15">
        <v>1.2701</v>
      </c>
      <c r="G6811" s="11">
        <v>0.0004</v>
      </c>
      <c r="H6811" s="9">
        <f>MAX($F$6211:F6811)</f>
        <v>1.2701</v>
      </c>
      <c r="I6811" s="11">
        <f t="shared" si="166"/>
        <v>0</v>
      </c>
      <c r="J6811" s="9"/>
      <c r="K6811" s="11"/>
      <c r="L6811" s="9">
        <f>MAX($F$6779:F6811)</f>
        <v>1.2701</v>
      </c>
      <c r="M6811" s="11">
        <f t="shared" si="165"/>
        <v>0</v>
      </c>
      <c r="N6811" s="9" t="s">
        <v>804</v>
      </c>
    </row>
    <row r="6812" ht="25" customHeight="1" spans="1:14">
      <c r="A6812" s="9" t="s">
        <v>231</v>
      </c>
      <c r="B6812" s="9" t="s">
        <v>229</v>
      </c>
      <c r="C6812" s="10">
        <v>45226</v>
      </c>
      <c r="D6812" s="15">
        <v>1.2704</v>
      </c>
      <c r="E6812" s="15">
        <v>1.2704</v>
      </c>
      <c r="F6812" s="15">
        <v>1.2704</v>
      </c>
      <c r="G6812" s="11">
        <v>0.0002</v>
      </c>
      <c r="H6812" s="9">
        <f>MAX($F$6211:F6812)</f>
        <v>1.2704</v>
      </c>
      <c r="I6812" s="11">
        <f t="shared" si="166"/>
        <v>0</v>
      </c>
      <c r="J6812" s="9"/>
      <c r="K6812" s="11"/>
      <c r="L6812" s="9">
        <f>MAX($F$6779:F6812)</f>
        <v>1.2704</v>
      </c>
      <c r="M6812" s="11">
        <f t="shared" si="165"/>
        <v>0</v>
      </c>
      <c r="N6812" s="9" t="s">
        <v>804</v>
      </c>
    </row>
    <row r="6813" ht="25" customHeight="1" spans="1:14">
      <c r="A6813" s="9" t="s">
        <v>231</v>
      </c>
      <c r="B6813" s="9" t="s">
        <v>229</v>
      </c>
      <c r="C6813" s="10">
        <v>45229</v>
      </c>
      <c r="D6813" s="15">
        <v>1.2713</v>
      </c>
      <c r="E6813" s="15">
        <v>1.2713</v>
      </c>
      <c r="F6813" s="15">
        <v>1.2713</v>
      </c>
      <c r="G6813" s="11">
        <v>0.0007</v>
      </c>
      <c r="H6813" s="9">
        <f>MAX($F$6211:F6813)</f>
        <v>1.2713</v>
      </c>
      <c r="I6813" s="11">
        <f t="shared" si="166"/>
        <v>0</v>
      </c>
      <c r="J6813" s="9"/>
      <c r="K6813" s="11"/>
      <c r="L6813" s="9">
        <f>MAX($F$6779:F6813)</f>
        <v>1.2713</v>
      </c>
      <c r="M6813" s="11">
        <f t="shared" si="165"/>
        <v>0</v>
      </c>
      <c r="N6813" s="9" t="s">
        <v>804</v>
      </c>
    </row>
    <row r="6814" ht="25" customHeight="1" spans="1:14">
      <c r="A6814" s="9" t="s">
        <v>231</v>
      </c>
      <c r="B6814" s="9" t="s">
        <v>229</v>
      </c>
      <c r="C6814" s="10">
        <v>45230</v>
      </c>
      <c r="D6814" s="15">
        <v>1.2713</v>
      </c>
      <c r="E6814" s="15">
        <v>1.2713</v>
      </c>
      <c r="F6814" s="15">
        <v>1.2713</v>
      </c>
      <c r="G6814" s="11">
        <v>0</v>
      </c>
      <c r="H6814" s="9">
        <f>MAX($F$6211:F6814)</f>
        <v>1.2713</v>
      </c>
      <c r="I6814" s="11">
        <f t="shared" si="166"/>
        <v>0</v>
      </c>
      <c r="J6814" s="9"/>
      <c r="K6814" s="11"/>
      <c r="L6814" s="9">
        <f>MAX($F$6779:F6814)</f>
        <v>1.2713</v>
      </c>
      <c r="M6814" s="11">
        <f t="shared" si="165"/>
        <v>0</v>
      </c>
      <c r="N6814" s="9" t="s">
        <v>804</v>
      </c>
    </row>
    <row r="6815" ht="25" customHeight="1" spans="1:14">
      <c r="A6815" s="9" t="s">
        <v>231</v>
      </c>
      <c r="B6815" s="9" t="s">
        <v>229</v>
      </c>
      <c r="C6815" s="10">
        <v>45231</v>
      </c>
      <c r="D6815" s="15">
        <v>1.2712</v>
      </c>
      <c r="E6815" s="15">
        <v>1.2712</v>
      </c>
      <c r="F6815" s="15">
        <v>1.2712</v>
      </c>
      <c r="G6815" s="11">
        <v>-0.0001</v>
      </c>
      <c r="H6815" s="9">
        <f>MAX($F$6211:F6815)</f>
        <v>1.2713</v>
      </c>
      <c r="I6815" s="11">
        <f t="shared" si="166"/>
        <v>7.86596397388539e-5</v>
      </c>
      <c r="J6815" s="9"/>
      <c r="K6815" s="11"/>
      <c r="L6815" s="9">
        <f>MAX($F$6779:F6815)</f>
        <v>1.2713</v>
      </c>
      <c r="M6815" s="11">
        <f t="shared" si="165"/>
        <v>7.86596397388539e-5</v>
      </c>
      <c r="N6815" s="9" t="s">
        <v>804</v>
      </c>
    </row>
    <row r="6816" ht="25" customHeight="1" spans="1:14">
      <c r="A6816" s="9" t="s">
        <v>231</v>
      </c>
      <c r="B6816" s="9" t="s">
        <v>229</v>
      </c>
      <c r="C6816" s="10">
        <v>45232</v>
      </c>
      <c r="D6816" s="15">
        <v>1.2711</v>
      </c>
      <c r="E6816" s="15">
        <v>1.2711</v>
      </c>
      <c r="F6816" s="15">
        <v>1.2711</v>
      </c>
      <c r="G6816" s="11">
        <v>-0.0001</v>
      </c>
      <c r="H6816" s="9">
        <f>MAX($F$6211:F6816)</f>
        <v>1.2713</v>
      </c>
      <c r="I6816" s="11">
        <f t="shared" si="166"/>
        <v>0.000157319279477819</v>
      </c>
      <c r="J6816" s="9"/>
      <c r="K6816" s="11"/>
      <c r="L6816" s="9">
        <f>MAX($F$6779:F6816)</f>
        <v>1.2713</v>
      </c>
      <c r="M6816" s="11">
        <f t="shared" si="165"/>
        <v>0.000157319279477819</v>
      </c>
      <c r="N6816" s="9" t="s">
        <v>804</v>
      </c>
    </row>
    <row r="6817" ht="25" customHeight="1" spans="1:14">
      <c r="A6817" s="9" t="s">
        <v>231</v>
      </c>
      <c r="B6817" s="9" t="s">
        <v>229</v>
      </c>
      <c r="C6817" s="10">
        <v>45233</v>
      </c>
      <c r="D6817" s="15">
        <v>1.2719</v>
      </c>
      <c r="E6817" s="15">
        <v>1.2719</v>
      </c>
      <c r="F6817" s="15">
        <v>1.2719</v>
      </c>
      <c r="G6817" s="11">
        <v>0.0006</v>
      </c>
      <c r="H6817" s="9">
        <f>MAX($F$6211:F6817)</f>
        <v>1.2719</v>
      </c>
      <c r="I6817" s="11">
        <f t="shared" si="166"/>
        <v>0</v>
      </c>
      <c r="J6817" s="9"/>
      <c r="K6817" s="11"/>
      <c r="L6817" s="9">
        <f>MAX($F$6779:F6817)</f>
        <v>1.2719</v>
      </c>
      <c r="M6817" s="11">
        <f t="shared" si="165"/>
        <v>0</v>
      </c>
      <c r="N6817" s="9" t="s">
        <v>804</v>
      </c>
    </row>
    <row r="6818" ht="25" customHeight="1" spans="1:14">
      <c r="A6818" s="9" t="s">
        <v>231</v>
      </c>
      <c r="B6818" s="9" t="s">
        <v>229</v>
      </c>
      <c r="C6818" s="10">
        <v>45236</v>
      </c>
      <c r="D6818" s="15">
        <v>1.2722</v>
      </c>
      <c r="E6818" s="15">
        <v>1.2722</v>
      </c>
      <c r="F6818" s="15">
        <v>1.2722</v>
      </c>
      <c r="G6818" s="11">
        <v>0.0002</v>
      </c>
      <c r="H6818" s="9">
        <f>MAX($F$6211:F6818)</f>
        <v>1.2722</v>
      </c>
      <c r="I6818" s="11">
        <f t="shared" si="166"/>
        <v>0</v>
      </c>
      <c r="J6818" s="9"/>
      <c r="K6818" s="11"/>
      <c r="L6818" s="9">
        <f>MAX($F$6779:F6818)</f>
        <v>1.2722</v>
      </c>
      <c r="M6818" s="11">
        <f t="shared" si="165"/>
        <v>0</v>
      </c>
      <c r="N6818" s="9" t="s">
        <v>804</v>
      </c>
    </row>
    <row r="6819" ht="25" customHeight="1" spans="1:14">
      <c r="A6819" s="9" t="s">
        <v>231</v>
      </c>
      <c r="B6819" s="9" t="s">
        <v>229</v>
      </c>
      <c r="C6819" s="10">
        <v>45237</v>
      </c>
      <c r="D6819" s="15">
        <v>1.2723</v>
      </c>
      <c r="E6819" s="15">
        <v>1.2723</v>
      </c>
      <c r="F6819" s="15">
        <v>1.2723</v>
      </c>
      <c r="G6819" s="11">
        <v>0.0001</v>
      </c>
      <c r="H6819" s="9">
        <f>MAX($F$6211:F6819)</f>
        <v>1.2723</v>
      </c>
      <c r="I6819" s="11">
        <f t="shared" si="166"/>
        <v>0</v>
      </c>
      <c r="J6819" s="9"/>
      <c r="K6819" s="11"/>
      <c r="L6819" s="9">
        <f>MAX($F$6779:F6819)</f>
        <v>1.2723</v>
      </c>
      <c r="M6819" s="11">
        <f t="shared" si="165"/>
        <v>0</v>
      </c>
      <c r="N6819" s="9" t="s">
        <v>804</v>
      </c>
    </row>
    <row r="6820" ht="25" customHeight="1" spans="1:14">
      <c r="A6820" s="9" t="s">
        <v>231</v>
      </c>
      <c r="B6820" s="9" t="s">
        <v>229</v>
      </c>
      <c r="C6820" s="10">
        <v>45238</v>
      </c>
      <c r="D6820" s="15">
        <v>1.2729</v>
      </c>
      <c r="E6820" s="15">
        <v>1.2729</v>
      </c>
      <c r="F6820" s="15">
        <v>1.2729</v>
      </c>
      <c r="G6820" s="11">
        <v>0.0005</v>
      </c>
      <c r="H6820" s="9">
        <f>MAX($F$6211:F6820)</f>
        <v>1.2729</v>
      </c>
      <c r="I6820" s="11">
        <f t="shared" si="166"/>
        <v>0</v>
      </c>
      <c r="J6820" s="9"/>
      <c r="K6820" s="11"/>
      <c r="L6820" s="9">
        <f>MAX($F$6779:F6820)</f>
        <v>1.2729</v>
      </c>
      <c r="M6820" s="11">
        <f t="shared" si="165"/>
        <v>0</v>
      </c>
      <c r="N6820" s="9" t="s">
        <v>804</v>
      </c>
    </row>
    <row r="6821" ht="25" customHeight="1" spans="1:14">
      <c r="A6821" s="9" t="s">
        <v>231</v>
      </c>
      <c r="B6821" s="9" t="s">
        <v>229</v>
      </c>
      <c r="C6821" s="10">
        <v>45239</v>
      </c>
      <c r="D6821" s="15">
        <v>1.2731</v>
      </c>
      <c r="E6821" s="15">
        <v>1.2731</v>
      </c>
      <c r="F6821" s="15">
        <v>1.2731</v>
      </c>
      <c r="G6821" s="11">
        <v>0.0002</v>
      </c>
      <c r="H6821" s="9">
        <f>MAX($F$6211:F6821)</f>
        <v>1.2731</v>
      </c>
      <c r="I6821" s="11">
        <f t="shared" si="166"/>
        <v>0</v>
      </c>
      <c r="J6821" s="9"/>
      <c r="K6821" s="11"/>
      <c r="L6821" s="9">
        <f>MAX($F$6779:F6821)</f>
        <v>1.2731</v>
      </c>
      <c r="M6821" s="11">
        <f t="shared" si="165"/>
        <v>0</v>
      </c>
      <c r="N6821" s="9" t="s">
        <v>804</v>
      </c>
    </row>
    <row r="6822" ht="25" customHeight="1" spans="1:14">
      <c r="A6822" s="9" t="s">
        <v>231</v>
      </c>
      <c r="B6822" s="9" t="s">
        <v>229</v>
      </c>
      <c r="C6822" s="10">
        <v>45240</v>
      </c>
      <c r="D6822" s="15">
        <v>1.2728</v>
      </c>
      <c r="E6822" s="15">
        <v>1.2728</v>
      </c>
      <c r="F6822" s="15">
        <v>1.2728</v>
      </c>
      <c r="G6822" s="11">
        <v>-0.0002</v>
      </c>
      <c r="H6822" s="9">
        <f>MAX($F$6211:F6822)</f>
        <v>1.2731</v>
      </c>
      <c r="I6822" s="11">
        <f t="shared" si="166"/>
        <v>0.000235645275312169</v>
      </c>
      <c r="J6822" s="9"/>
      <c r="K6822" s="11"/>
      <c r="L6822" s="9">
        <f>MAX($F$6779:F6822)</f>
        <v>1.2731</v>
      </c>
      <c r="M6822" s="11">
        <f t="shared" si="165"/>
        <v>0.000235645275312169</v>
      </c>
      <c r="N6822" s="9" t="s">
        <v>804</v>
      </c>
    </row>
    <row r="6823" ht="25" customHeight="1" spans="1:14">
      <c r="A6823" s="9" t="s">
        <v>231</v>
      </c>
      <c r="B6823" s="9" t="s">
        <v>229</v>
      </c>
      <c r="C6823" s="10">
        <v>45243</v>
      </c>
      <c r="D6823" s="15">
        <v>1.2713</v>
      </c>
      <c r="E6823" s="15">
        <v>1.2713</v>
      </c>
      <c r="F6823" s="15">
        <v>1.2713</v>
      </c>
      <c r="G6823" s="11">
        <v>-0.0012</v>
      </c>
      <c r="H6823" s="9">
        <f>MAX($F$6211:F6823)</f>
        <v>1.2731</v>
      </c>
      <c r="I6823" s="11">
        <f t="shared" si="166"/>
        <v>0.00141387165187323</v>
      </c>
      <c r="J6823" s="9"/>
      <c r="K6823" s="11"/>
      <c r="L6823" s="9">
        <f>MAX($F$6779:F6823)</f>
        <v>1.2731</v>
      </c>
      <c r="M6823" s="11">
        <f t="shared" si="165"/>
        <v>0.00141387165187323</v>
      </c>
      <c r="N6823" s="9" t="s">
        <v>804</v>
      </c>
    </row>
    <row r="6824" ht="25" customHeight="1" spans="1:14">
      <c r="A6824" s="9" t="s">
        <v>231</v>
      </c>
      <c r="B6824" s="9" t="s">
        <v>229</v>
      </c>
      <c r="C6824" s="10">
        <v>45244</v>
      </c>
      <c r="D6824" s="15">
        <v>1.2713</v>
      </c>
      <c r="E6824" s="15">
        <v>1.2713</v>
      </c>
      <c r="F6824" s="15">
        <v>1.2713</v>
      </c>
      <c r="G6824" s="11">
        <v>0</v>
      </c>
      <c r="H6824" s="9">
        <f>MAX($F$6211:F6824)</f>
        <v>1.2731</v>
      </c>
      <c r="I6824" s="11">
        <f t="shared" si="166"/>
        <v>0.00141387165187323</v>
      </c>
      <c r="J6824" s="9"/>
      <c r="K6824" s="11"/>
      <c r="L6824" s="9">
        <f>MAX($F$6779:F6824)</f>
        <v>1.2731</v>
      </c>
      <c r="M6824" s="11">
        <f t="shared" si="165"/>
        <v>0.00141387165187323</v>
      </c>
      <c r="N6824" s="9" t="s">
        <v>804</v>
      </c>
    </row>
    <row r="6825" ht="25" customHeight="1" spans="1:14">
      <c r="A6825" s="9" t="s">
        <v>231</v>
      </c>
      <c r="B6825" s="9" t="s">
        <v>229</v>
      </c>
      <c r="C6825" s="10">
        <v>45245</v>
      </c>
      <c r="D6825" s="15">
        <v>1.2719</v>
      </c>
      <c r="E6825" s="15">
        <v>1.2719</v>
      </c>
      <c r="F6825" s="15">
        <v>1.2719</v>
      </c>
      <c r="G6825" s="11">
        <v>0.0005</v>
      </c>
      <c r="H6825" s="9">
        <f>MAX($F$6211:F6825)</f>
        <v>1.2731</v>
      </c>
      <c r="I6825" s="11">
        <f t="shared" si="166"/>
        <v>0.000942581101248785</v>
      </c>
      <c r="J6825" s="9"/>
      <c r="K6825" s="11"/>
      <c r="L6825" s="9">
        <f>MAX($F$6779:F6825)</f>
        <v>1.2731</v>
      </c>
      <c r="M6825" s="11">
        <f t="shared" si="165"/>
        <v>0.000942581101248785</v>
      </c>
      <c r="N6825" s="9" t="s">
        <v>804</v>
      </c>
    </row>
    <row r="6826" ht="25" customHeight="1" spans="1:14">
      <c r="A6826" s="9" t="s">
        <v>231</v>
      </c>
      <c r="B6826" s="9" t="s">
        <v>229</v>
      </c>
      <c r="C6826" s="10">
        <v>45246</v>
      </c>
      <c r="D6826" s="15">
        <v>1.2724</v>
      </c>
      <c r="E6826" s="15">
        <v>1.2724</v>
      </c>
      <c r="F6826" s="15">
        <v>1.2724</v>
      </c>
      <c r="G6826" s="11">
        <v>0.0004</v>
      </c>
      <c r="H6826" s="9">
        <f>MAX($F$6211:F6826)</f>
        <v>1.2731</v>
      </c>
      <c r="I6826" s="11">
        <f t="shared" si="166"/>
        <v>0.000549838975728467</v>
      </c>
      <c r="J6826" s="9"/>
      <c r="K6826" s="11"/>
      <c r="L6826" s="9">
        <f>MAX($F$6779:F6826)</f>
        <v>1.2731</v>
      </c>
      <c r="M6826" s="11">
        <f t="shared" si="165"/>
        <v>0.000549838975728467</v>
      </c>
      <c r="N6826" s="9" t="s">
        <v>804</v>
      </c>
    </row>
    <row r="6827" ht="25" customHeight="1" spans="1:14">
      <c r="A6827" s="9" t="s">
        <v>231</v>
      </c>
      <c r="B6827" s="9" t="s">
        <v>229</v>
      </c>
      <c r="C6827" s="10">
        <v>45247</v>
      </c>
      <c r="D6827" s="15">
        <v>1.2731</v>
      </c>
      <c r="E6827" s="15">
        <v>1.2731</v>
      </c>
      <c r="F6827" s="15">
        <v>1.2731</v>
      </c>
      <c r="G6827" s="11">
        <v>0.0006</v>
      </c>
      <c r="H6827" s="9">
        <f>MAX($F$6211:F6827)</f>
        <v>1.2731</v>
      </c>
      <c r="I6827" s="11">
        <f t="shared" si="166"/>
        <v>0</v>
      </c>
      <c r="J6827" s="9"/>
      <c r="K6827" s="11"/>
      <c r="L6827" s="9">
        <f>MAX($F$6779:F6827)</f>
        <v>1.2731</v>
      </c>
      <c r="M6827" s="11">
        <f t="shared" si="165"/>
        <v>0</v>
      </c>
      <c r="N6827" s="9" t="s">
        <v>804</v>
      </c>
    </row>
    <row r="6828" ht="25" customHeight="1" spans="1:14">
      <c r="A6828" s="9" t="s">
        <v>231</v>
      </c>
      <c r="B6828" s="9" t="s">
        <v>229</v>
      </c>
      <c r="C6828" s="10">
        <v>45250</v>
      </c>
      <c r="D6828" s="15">
        <v>1.2736</v>
      </c>
      <c r="E6828" s="15">
        <v>1.2736</v>
      </c>
      <c r="F6828" s="15">
        <v>1.2736</v>
      </c>
      <c r="G6828" s="11">
        <v>0.0004</v>
      </c>
      <c r="H6828" s="9">
        <f>MAX($F$6211:F6828)</f>
        <v>1.2736</v>
      </c>
      <c r="I6828" s="11">
        <f t="shared" si="166"/>
        <v>0</v>
      </c>
      <c r="J6828" s="9"/>
      <c r="K6828" s="11"/>
      <c r="L6828" s="9">
        <f>MAX($F$6779:F6828)</f>
        <v>1.2736</v>
      </c>
      <c r="M6828" s="11">
        <f t="shared" si="165"/>
        <v>0</v>
      </c>
      <c r="N6828" s="9" t="s">
        <v>804</v>
      </c>
    </row>
    <row r="6829" ht="25" customHeight="1" spans="1:14">
      <c r="A6829" s="9" t="s">
        <v>231</v>
      </c>
      <c r="B6829" s="9" t="s">
        <v>229</v>
      </c>
      <c r="C6829" s="10">
        <v>45251</v>
      </c>
      <c r="D6829" s="15">
        <v>1.2743</v>
      </c>
      <c r="E6829" s="15">
        <v>1.2743</v>
      </c>
      <c r="F6829" s="15">
        <v>1.2743</v>
      </c>
      <c r="G6829" s="11">
        <v>0.0005</v>
      </c>
      <c r="H6829" s="9">
        <f>MAX($F$6211:F6829)</f>
        <v>1.2743</v>
      </c>
      <c r="I6829" s="11">
        <f t="shared" si="166"/>
        <v>0</v>
      </c>
      <c r="J6829" s="9"/>
      <c r="K6829" s="11"/>
      <c r="L6829" s="9">
        <f>MAX($F$6779:F6829)</f>
        <v>1.2743</v>
      </c>
      <c r="M6829" s="11">
        <f t="shared" si="165"/>
        <v>0</v>
      </c>
      <c r="N6829" s="9" t="s">
        <v>804</v>
      </c>
    </row>
    <row r="6830" ht="25" customHeight="1" spans="1:14">
      <c r="A6830" s="9" t="s">
        <v>231</v>
      </c>
      <c r="B6830" s="9" t="s">
        <v>229</v>
      </c>
      <c r="C6830" s="10">
        <v>45252</v>
      </c>
      <c r="D6830" s="15">
        <v>1.275</v>
      </c>
      <c r="E6830" s="15">
        <v>1.275</v>
      </c>
      <c r="F6830" s="15">
        <v>1.275</v>
      </c>
      <c r="G6830" s="11">
        <v>0.0005</v>
      </c>
      <c r="H6830" s="9">
        <f>MAX($F$6211:F6830)</f>
        <v>1.275</v>
      </c>
      <c r="I6830" s="11">
        <f t="shared" si="166"/>
        <v>0</v>
      </c>
      <c r="J6830" s="9"/>
      <c r="K6830" s="11"/>
      <c r="L6830" s="9">
        <f>MAX($F$6779:F6830)</f>
        <v>1.275</v>
      </c>
      <c r="M6830" s="11">
        <f t="shared" si="165"/>
        <v>0</v>
      </c>
      <c r="N6830" s="9" t="s">
        <v>804</v>
      </c>
    </row>
    <row r="6831" ht="25" customHeight="1" spans="1:14">
      <c r="A6831" s="9" t="s">
        <v>231</v>
      </c>
      <c r="B6831" s="9" t="s">
        <v>229</v>
      </c>
      <c r="C6831" s="10">
        <v>45253</v>
      </c>
      <c r="D6831" s="15">
        <v>1.275</v>
      </c>
      <c r="E6831" s="15">
        <v>1.275</v>
      </c>
      <c r="F6831" s="15">
        <v>1.275</v>
      </c>
      <c r="G6831" s="11">
        <v>0</v>
      </c>
      <c r="H6831" s="9">
        <f>MAX($F$6211:F6831)</f>
        <v>1.275</v>
      </c>
      <c r="I6831" s="11">
        <f t="shared" si="166"/>
        <v>0</v>
      </c>
      <c r="J6831" s="9"/>
      <c r="K6831" s="11"/>
      <c r="L6831" s="9">
        <f>MAX($F$6779:F6831)</f>
        <v>1.275</v>
      </c>
      <c r="M6831" s="11">
        <f t="shared" si="165"/>
        <v>0</v>
      </c>
      <c r="N6831" s="9" t="s">
        <v>804</v>
      </c>
    </row>
    <row r="6832" ht="25" customHeight="1" spans="1:14">
      <c r="A6832" s="9" t="s">
        <v>231</v>
      </c>
      <c r="B6832" s="9" t="s">
        <v>229</v>
      </c>
      <c r="C6832" s="10">
        <v>45254</v>
      </c>
      <c r="D6832" s="15">
        <v>1.2757</v>
      </c>
      <c r="E6832" s="15">
        <v>1.2757</v>
      </c>
      <c r="F6832" s="15">
        <v>1.2757</v>
      </c>
      <c r="G6832" s="11">
        <v>0.0005</v>
      </c>
      <c r="H6832" s="9">
        <f>MAX($F$6211:F6832)</f>
        <v>1.2757</v>
      </c>
      <c r="I6832" s="11">
        <f t="shared" si="166"/>
        <v>0</v>
      </c>
      <c r="J6832" s="9"/>
      <c r="K6832" s="11"/>
      <c r="L6832" s="9">
        <f>MAX($F$6779:F6832)</f>
        <v>1.2757</v>
      </c>
      <c r="M6832" s="11">
        <f t="shared" si="165"/>
        <v>0</v>
      </c>
      <c r="N6832" s="9" t="s">
        <v>804</v>
      </c>
    </row>
    <row r="6833" ht="25" customHeight="1" spans="1:14">
      <c r="A6833" s="9" t="s">
        <v>231</v>
      </c>
      <c r="B6833" s="9" t="s">
        <v>229</v>
      </c>
      <c r="C6833" s="10">
        <v>45257</v>
      </c>
      <c r="D6833" s="15">
        <v>1.2764</v>
      </c>
      <c r="E6833" s="15">
        <v>1.2764</v>
      </c>
      <c r="F6833" s="15">
        <v>1.2764</v>
      </c>
      <c r="G6833" s="11">
        <v>0.0005</v>
      </c>
      <c r="H6833" s="9">
        <f>MAX($F$6211:F6833)</f>
        <v>1.2764</v>
      </c>
      <c r="I6833" s="11">
        <f t="shared" si="166"/>
        <v>0</v>
      </c>
      <c r="J6833" s="9"/>
      <c r="K6833" s="11"/>
      <c r="L6833" s="9">
        <f>MAX($F$6779:F6833)</f>
        <v>1.2764</v>
      </c>
      <c r="M6833" s="11">
        <f t="shared" si="165"/>
        <v>0</v>
      </c>
      <c r="N6833" s="9" t="s">
        <v>804</v>
      </c>
    </row>
    <row r="6834" ht="25" customHeight="1" spans="1:14">
      <c r="A6834" s="9" t="s">
        <v>231</v>
      </c>
      <c r="B6834" s="9" t="s">
        <v>229</v>
      </c>
      <c r="C6834" s="10">
        <v>45258</v>
      </c>
      <c r="D6834" s="15">
        <v>1.2774</v>
      </c>
      <c r="E6834" s="15">
        <v>1.2774</v>
      </c>
      <c r="F6834" s="15">
        <v>1.2774</v>
      </c>
      <c r="G6834" s="11">
        <v>0.0008</v>
      </c>
      <c r="H6834" s="9">
        <f>MAX($F$6211:F6834)</f>
        <v>1.2774</v>
      </c>
      <c r="I6834" s="11">
        <f t="shared" si="166"/>
        <v>0</v>
      </c>
      <c r="J6834" s="9"/>
      <c r="K6834" s="11"/>
      <c r="L6834" s="9">
        <f>MAX($F$6779:F6834)</f>
        <v>1.2774</v>
      </c>
      <c r="M6834" s="11">
        <f t="shared" si="165"/>
        <v>0</v>
      </c>
      <c r="N6834" s="9" t="s">
        <v>804</v>
      </c>
    </row>
    <row r="6835" ht="25" customHeight="1" spans="1:14">
      <c r="A6835" s="9" t="s">
        <v>231</v>
      </c>
      <c r="B6835" s="9" t="s">
        <v>229</v>
      </c>
      <c r="C6835" s="10">
        <v>45259</v>
      </c>
      <c r="D6835" s="15">
        <v>1.2779</v>
      </c>
      <c r="E6835" s="15">
        <v>1.2779</v>
      </c>
      <c r="F6835" s="15">
        <v>1.2779</v>
      </c>
      <c r="G6835" s="11">
        <v>0.0004</v>
      </c>
      <c r="H6835" s="9">
        <f>MAX($F$6211:F6835)</f>
        <v>1.2779</v>
      </c>
      <c r="I6835" s="11">
        <f t="shared" si="166"/>
        <v>0</v>
      </c>
      <c r="J6835" s="9"/>
      <c r="K6835" s="11"/>
      <c r="L6835" s="9">
        <f>MAX($F$6779:F6835)</f>
        <v>1.2779</v>
      </c>
      <c r="M6835" s="11">
        <f t="shared" si="165"/>
        <v>0</v>
      </c>
      <c r="N6835" s="9" t="s">
        <v>804</v>
      </c>
    </row>
    <row r="6836" ht="25" customHeight="1" spans="1:14">
      <c r="A6836" s="9" t="s">
        <v>231</v>
      </c>
      <c r="B6836" s="9" t="s">
        <v>229</v>
      </c>
      <c r="C6836" s="10">
        <v>45260</v>
      </c>
      <c r="D6836" s="15">
        <v>1.2782</v>
      </c>
      <c r="E6836" s="15">
        <v>1.2782</v>
      </c>
      <c r="F6836" s="15">
        <v>1.2782</v>
      </c>
      <c r="G6836" s="11">
        <v>0.0002</v>
      </c>
      <c r="H6836" s="9">
        <f>MAX($F$6211:F6836)</f>
        <v>1.2782</v>
      </c>
      <c r="I6836" s="11">
        <f t="shared" si="166"/>
        <v>0</v>
      </c>
      <c r="J6836" s="9"/>
      <c r="K6836" s="11"/>
      <c r="L6836" s="9">
        <f>MAX($F$6779:F6836)</f>
        <v>1.2782</v>
      </c>
      <c r="M6836" s="11">
        <f t="shared" si="165"/>
        <v>0</v>
      </c>
      <c r="N6836" s="9" t="s">
        <v>804</v>
      </c>
    </row>
    <row r="6837" ht="25" customHeight="1" spans="1:14">
      <c r="A6837" s="9" t="s">
        <v>231</v>
      </c>
      <c r="B6837" s="9" t="s">
        <v>229</v>
      </c>
      <c r="C6837" s="10">
        <v>45261</v>
      </c>
      <c r="D6837" s="15">
        <v>1.2787</v>
      </c>
      <c r="E6837" s="15">
        <v>1.2787</v>
      </c>
      <c r="F6837" s="15">
        <v>1.2787</v>
      </c>
      <c r="G6837" s="11">
        <v>0.0004</v>
      </c>
      <c r="H6837" s="9">
        <f>MAX($F$6211:F6837)</f>
        <v>1.2787</v>
      </c>
      <c r="I6837" s="11">
        <f t="shared" si="166"/>
        <v>0</v>
      </c>
      <c r="J6837" s="9"/>
      <c r="K6837" s="11"/>
      <c r="L6837" s="9">
        <f>MAX($F$6779:F6837)</f>
        <v>1.2787</v>
      </c>
      <c r="M6837" s="11">
        <f t="shared" si="165"/>
        <v>0</v>
      </c>
      <c r="N6837" s="9" t="s">
        <v>804</v>
      </c>
    </row>
    <row r="6838" ht="25" customHeight="1" spans="1:14">
      <c r="A6838" s="9" t="s">
        <v>231</v>
      </c>
      <c r="B6838" s="9" t="s">
        <v>229</v>
      </c>
      <c r="C6838" s="10">
        <v>45264</v>
      </c>
      <c r="D6838" s="15">
        <v>1.2791</v>
      </c>
      <c r="E6838" s="15">
        <v>1.2791</v>
      </c>
      <c r="F6838" s="15">
        <v>1.2791</v>
      </c>
      <c r="G6838" s="11">
        <v>0.0003</v>
      </c>
      <c r="H6838" s="9">
        <f>MAX($F$6211:F6838)</f>
        <v>1.2791</v>
      </c>
      <c r="I6838" s="11">
        <f t="shared" si="166"/>
        <v>0</v>
      </c>
      <c r="J6838" s="9"/>
      <c r="K6838" s="11"/>
      <c r="L6838" s="9">
        <f>MAX($F$6779:F6838)</f>
        <v>1.2791</v>
      </c>
      <c r="M6838" s="11">
        <f t="shared" si="165"/>
        <v>0</v>
      </c>
      <c r="N6838" s="9" t="s">
        <v>804</v>
      </c>
    </row>
    <row r="6839" ht="25" customHeight="1" spans="1:14">
      <c r="A6839" s="9" t="s">
        <v>231</v>
      </c>
      <c r="B6839" s="9" t="s">
        <v>229</v>
      </c>
      <c r="C6839" s="10">
        <v>45265</v>
      </c>
      <c r="D6839" s="15">
        <v>1.2793</v>
      </c>
      <c r="E6839" s="15">
        <v>1.2793</v>
      </c>
      <c r="F6839" s="15">
        <v>1.2793</v>
      </c>
      <c r="G6839" s="11">
        <v>0.0002</v>
      </c>
      <c r="H6839" s="9">
        <f>MAX($F$6211:F6839)</f>
        <v>1.2793</v>
      </c>
      <c r="I6839" s="11">
        <f t="shared" si="166"/>
        <v>0</v>
      </c>
      <c r="J6839" s="9"/>
      <c r="K6839" s="11"/>
      <c r="L6839" s="9">
        <f>MAX($F$6779:F6839)</f>
        <v>1.2793</v>
      </c>
      <c r="M6839" s="11">
        <f t="shared" si="165"/>
        <v>0</v>
      </c>
      <c r="N6839" s="9" t="s">
        <v>804</v>
      </c>
    </row>
    <row r="6840" ht="25" customHeight="1" spans="1:14">
      <c r="A6840" s="9" t="s">
        <v>231</v>
      </c>
      <c r="B6840" s="9" t="s">
        <v>229</v>
      </c>
      <c r="C6840" s="10">
        <v>45266</v>
      </c>
      <c r="D6840" s="15">
        <v>1.2797</v>
      </c>
      <c r="E6840" s="15">
        <v>1.2797</v>
      </c>
      <c r="F6840" s="15">
        <v>1.2797</v>
      </c>
      <c r="G6840" s="11">
        <v>0.0003</v>
      </c>
      <c r="H6840" s="9">
        <f>MAX($F$6211:F6840)</f>
        <v>1.2797</v>
      </c>
      <c r="I6840" s="11">
        <f t="shared" si="166"/>
        <v>0</v>
      </c>
      <c r="J6840" s="9"/>
      <c r="K6840" s="11"/>
      <c r="L6840" s="9">
        <f>MAX($F$6779:F6840)</f>
        <v>1.2797</v>
      </c>
      <c r="M6840" s="11">
        <f t="shared" si="165"/>
        <v>0</v>
      </c>
      <c r="N6840" s="9" t="s">
        <v>804</v>
      </c>
    </row>
    <row r="6841" ht="25" customHeight="1" spans="1:14">
      <c r="A6841" s="9" t="s">
        <v>231</v>
      </c>
      <c r="B6841" s="9" t="s">
        <v>229</v>
      </c>
      <c r="C6841" s="10">
        <v>45267</v>
      </c>
      <c r="D6841" s="15">
        <v>1.2805</v>
      </c>
      <c r="E6841" s="15">
        <v>1.2805</v>
      </c>
      <c r="F6841" s="15">
        <v>1.2805</v>
      </c>
      <c r="G6841" s="11">
        <v>0.0006</v>
      </c>
      <c r="H6841" s="9">
        <f>MAX($F$6211:F6841)</f>
        <v>1.2805</v>
      </c>
      <c r="I6841" s="11">
        <f t="shared" si="166"/>
        <v>0</v>
      </c>
      <c r="J6841" s="9"/>
      <c r="K6841" s="11"/>
      <c r="L6841" s="9">
        <f>MAX($F$6779:F6841)</f>
        <v>1.2805</v>
      </c>
      <c r="M6841" s="11">
        <f t="shared" si="165"/>
        <v>0</v>
      </c>
      <c r="N6841" s="9" t="s">
        <v>804</v>
      </c>
    </row>
    <row r="6842" ht="25" customHeight="1" spans="1:14">
      <c r="A6842" s="9" t="s">
        <v>231</v>
      </c>
      <c r="B6842" s="9" t="s">
        <v>229</v>
      </c>
      <c r="C6842" s="10">
        <v>45268</v>
      </c>
      <c r="D6842" s="15">
        <v>1.2813</v>
      </c>
      <c r="E6842" s="15">
        <v>1.2813</v>
      </c>
      <c r="F6842" s="15">
        <v>1.2813</v>
      </c>
      <c r="G6842" s="11">
        <v>0.0006</v>
      </c>
      <c r="H6842" s="9">
        <f>MAX($F$6211:F6842)</f>
        <v>1.2813</v>
      </c>
      <c r="I6842" s="11">
        <f t="shared" si="166"/>
        <v>0</v>
      </c>
      <c r="J6842" s="9"/>
      <c r="K6842" s="11"/>
      <c r="L6842" s="9">
        <f>MAX($F$6779:F6842)</f>
        <v>1.2813</v>
      </c>
      <c r="M6842" s="11">
        <f t="shared" si="165"/>
        <v>0</v>
      </c>
      <c r="N6842" s="9" t="s">
        <v>804</v>
      </c>
    </row>
    <row r="6843" ht="25" customHeight="1" spans="1:14">
      <c r="A6843" s="9" t="s">
        <v>231</v>
      </c>
      <c r="B6843" s="9" t="s">
        <v>229</v>
      </c>
      <c r="C6843" s="10">
        <v>45271</v>
      </c>
      <c r="D6843" s="15">
        <v>1.2817</v>
      </c>
      <c r="E6843" s="15">
        <v>1.2817</v>
      </c>
      <c r="F6843" s="15">
        <v>1.2817</v>
      </c>
      <c r="G6843" s="11">
        <v>0.0003</v>
      </c>
      <c r="H6843" s="9">
        <f>MAX($F$6211:F6843)</f>
        <v>1.2817</v>
      </c>
      <c r="I6843" s="11">
        <f t="shared" si="166"/>
        <v>0</v>
      </c>
      <c r="J6843" s="9"/>
      <c r="K6843" s="11"/>
      <c r="L6843" s="9">
        <f>MAX($F$6779:F6843)</f>
        <v>1.2817</v>
      </c>
      <c r="M6843" s="11">
        <f t="shared" ref="M6843:M6906" si="167">1-F6843/L6843</f>
        <v>0</v>
      </c>
      <c r="N6843" s="9" t="s">
        <v>804</v>
      </c>
    </row>
    <row r="6844" ht="25" customHeight="1" spans="1:14">
      <c r="A6844" s="9" t="s">
        <v>231</v>
      </c>
      <c r="B6844" s="9" t="s">
        <v>229</v>
      </c>
      <c r="C6844" s="10">
        <v>45272</v>
      </c>
      <c r="D6844" s="15">
        <v>1.2819</v>
      </c>
      <c r="E6844" s="15">
        <v>1.2819</v>
      </c>
      <c r="F6844" s="15">
        <v>1.2819</v>
      </c>
      <c r="G6844" s="11">
        <v>0.0002</v>
      </c>
      <c r="H6844" s="9">
        <f>MAX($F$6211:F6844)</f>
        <v>1.2819</v>
      </c>
      <c r="I6844" s="11">
        <f t="shared" si="166"/>
        <v>0</v>
      </c>
      <c r="J6844" s="9"/>
      <c r="K6844" s="11"/>
      <c r="L6844" s="9">
        <f>MAX($F$6779:F6844)</f>
        <v>1.2819</v>
      </c>
      <c r="M6844" s="11">
        <f t="shared" si="167"/>
        <v>0</v>
      </c>
      <c r="N6844" s="9" t="s">
        <v>804</v>
      </c>
    </row>
    <row r="6845" ht="25" customHeight="1" spans="1:14">
      <c r="A6845" s="9" t="s">
        <v>231</v>
      </c>
      <c r="B6845" s="9" t="s">
        <v>229</v>
      </c>
      <c r="C6845" s="10">
        <v>45273</v>
      </c>
      <c r="D6845" s="15">
        <v>1.2818</v>
      </c>
      <c r="E6845" s="15">
        <v>1.2818</v>
      </c>
      <c r="F6845" s="15">
        <v>1.2818</v>
      </c>
      <c r="G6845" s="11">
        <v>-0.0001</v>
      </c>
      <c r="H6845" s="9">
        <f>MAX($F$6211:F6845)</f>
        <v>1.2819</v>
      </c>
      <c r="I6845" s="11">
        <f t="shared" si="166"/>
        <v>7.80092050861603e-5</v>
      </c>
      <c r="J6845" s="9"/>
      <c r="K6845" s="11"/>
      <c r="L6845" s="9">
        <f>MAX($F$6779:F6845)</f>
        <v>1.2819</v>
      </c>
      <c r="M6845" s="11">
        <f t="shared" si="167"/>
        <v>7.80092050861603e-5</v>
      </c>
      <c r="N6845" s="9" t="s">
        <v>804</v>
      </c>
    </row>
    <row r="6846" ht="25" customHeight="1" spans="1:14">
      <c r="A6846" s="9" t="s">
        <v>231</v>
      </c>
      <c r="B6846" s="9" t="s">
        <v>229</v>
      </c>
      <c r="C6846" s="10">
        <v>45274</v>
      </c>
      <c r="D6846" s="15">
        <v>1.2825</v>
      </c>
      <c r="E6846" s="15">
        <v>1.2825</v>
      </c>
      <c r="F6846" s="15">
        <v>1.2825</v>
      </c>
      <c r="G6846" s="11">
        <v>0.0005</v>
      </c>
      <c r="H6846" s="9">
        <f>MAX($F$6211:F6846)</f>
        <v>1.2825</v>
      </c>
      <c r="I6846" s="11">
        <f t="shared" si="166"/>
        <v>0</v>
      </c>
      <c r="J6846" s="9"/>
      <c r="K6846" s="11"/>
      <c r="L6846" s="9">
        <f>MAX($F$6779:F6846)</f>
        <v>1.2825</v>
      </c>
      <c r="M6846" s="11">
        <f t="shared" si="167"/>
        <v>0</v>
      </c>
      <c r="N6846" s="9" t="s">
        <v>804</v>
      </c>
    </row>
    <row r="6847" ht="25" customHeight="1" spans="1:14">
      <c r="A6847" s="9" t="s">
        <v>231</v>
      </c>
      <c r="B6847" s="9" t="s">
        <v>229</v>
      </c>
      <c r="C6847" s="10">
        <v>45275</v>
      </c>
      <c r="D6847" s="15">
        <v>1.2825</v>
      </c>
      <c r="E6847" s="15">
        <v>1.2825</v>
      </c>
      <c r="F6847" s="15">
        <v>1.2825</v>
      </c>
      <c r="G6847" s="11">
        <v>0</v>
      </c>
      <c r="H6847" s="9">
        <f>MAX($F$6211:F6847)</f>
        <v>1.2825</v>
      </c>
      <c r="I6847" s="11">
        <f t="shared" si="166"/>
        <v>0</v>
      </c>
      <c r="J6847" s="9"/>
      <c r="K6847" s="11"/>
      <c r="L6847" s="9">
        <f>MAX($F$6779:F6847)</f>
        <v>1.2825</v>
      </c>
      <c r="M6847" s="11">
        <f t="shared" si="167"/>
        <v>0</v>
      </c>
      <c r="N6847" s="9" t="s">
        <v>804</v>
      </c>
    </row>
    <row r="6848" ht="25" customHeight="1" spans="1:14">
      <c r="A6848" s="9" t="s">
        <v>231</v>
      </c>
      <c r="B6848" s="9" t="s">
        <v>229</v>
      </c>
      <c r="C6848" s="10">
        <v>45278</v>
      </c>
      <c r="D6848" s="15">
        <v>1.2833</v>
      </c>
      <c r="E6848" s="15">
        <v>1.2833</v>
      </c>
      <c r="F6848" s="15">
        <v>1.2833</v>
      </c>
      <c r="G6848" s="11">
        <v>0.0006</v>
      </c>
      <c r="H6848" s="9">
        <f>MAX($F$6211:F6848)</f>
        <v>1.2833</v>
      </c>
      <c r="I6848" s="11">
        <f t="shared" si="166"/>
        <v>0</v>
      </c>
      <c r="J6848" s="9"/>
      <c r="K6848" s="11"/>
      <c r="L6848" s="9">
        <f>MAX($F$6779:F6848)</f>
        <v>1.2833</v>
      </c>
      <c r="M6848" s="11">
        <f t="shared" si="167"/>
        <v>0</v>
      </c>
      <c r="N6848" s="9" t="s">
        <v>804</v>
      </c>
    </row>
    <row r="6849" ht="25" customHeight="1" spans="1:14">
      <c r="A6849" s="9" t="s">
        <v>231</v>
      </c>
      <c r="B6849" s="9" t="s">
        <v>229</v>
      </c>
      <c r="C6849" s="10">
        <v>45279</v>
      </c>
      <c r="D6849" s="15">
        <v>1.2846</v>
      </c>
      <c r="E6849" s="15">
        <v>1.2846</v>
      </c>
      <c r="F6849" s="15">
        <v>1.2846</v>
      </c>
      <c r="G6849" s="11">
        <v>0.001</v>
      </c>
      <c r="H6849" s="9">
        <f>MAX($F$6211:F6849)</f>
        <v>1.2846</v>
      </c>
      <c r="I6849" s="11">
        <f t="shared" si="166"/>
        <v>0</v>
      </c>
      <c r="J6849" s="9"/>
      <c r="K6849" s="11"/>
      <c r="L6849" s="9">
        <f>MAX($F$6779:F6849)</f>
        <v>1.2846</v>
      </c>
      <c r="M6849" s="11">
        <f t="shared" si="167"/>
        <v>0</v>
      </c>
      <c r="N6849" s="9" t="s">
        <v>804</v>
      </c>
    </row>
    <row r="6850" ht="25" customHeight="1" spans="1:14">
      <c r="A6850" s="9" t="s">
        <v>231</v>
      </c>
      <c r="B6850" s="9" t="s">
        <v>229</v>
      </c>
      <c r="C6850" s="10">
        <v>45280</v>
      </c>
      <c r="D6850" s="15">
        <v>1.2848</v>
      </c>
      <c r="E6850" s="15">
        <v>1.2848</v>
      </c>
      <c r="F6850" s="15">
        <v>1.2848</v>
      </c>
      <c r="G6850" s="11">
        <v>0.0002</v>
      </c>
      <c r="H6850" s="9">
        <f>MAX($F$6211:F6850)</f>
        <v>1.2848</v>
      </c>
      <c r="I6850" s="11">
        <f t="shared" ref="I6850:I6913" si="168">1-F6850/H6850</f>
        <v>0</v>
      </c>
      <c r="J6850" s="9"/>
      <c r="K6850" s="11"/>
      <c r="L6850" s="9">
        <f>MAX($F$6779:F6850)</f>
        <v>1.2848</v>
      </c>
      <c r="M6850" s="11">
        <f t="shared" si="167"/>
        <v>0</v>
      </c>
      <c r="N6850" s="9" t="s">
        <v>804</v>
      </c>
    </row>
    <row r="6851" ht="25" customHeight="1" spans="1:14">
      <c r="A6851" s="9" t="s">
        <v>231</v>
      </c>
      <c r="B6851" s="9" t="s">
        <v>229</v>
      </c>
      <c r="C6851" s="10">
        <v>45281</v>
      </c>
      <c r="D6851" s="15">
        <v>1.2852</v>
      </c>
      <c r="E6851" s="15">
        <v>1.2852</v>
      </c>
      <c r="F6851" s="15">
        <v>1.2852</v>
      </c>
      <c r="G6851" s="11">
        <v>0.0003</v>
      </c>
      <c r="H6851" s="9">
        <f>MAX($F$6211:F6851)</f>
        <v>1.2852</v>
      </c>
      <c r="I6851" s="11">
        <f t="shared" si="168"/>
        <v>0</v>
      </c>
      <c r="J6851" s="9"/>
      <c r="K6851" s="11"/>
      <c r="L6851" s="9">
        <f>MAX($F$6779:F6851)</f>
        <v>1.2852</v>
      </c>
      <c r="M6851" s="11">
        <f t="shared" si="167"/>
        <v>0</v>
      </c>
      <c r="N6851" s="9" t="s">
        <v>804</v>
      </c>
    </row>
    <row r="6852" ht="25" customHeight="1" spans="1:14">
      <c r="A6852" s="9" t="s">
        <v>231</v>
      </c>
      <c r="B6852" s="9" t="s">
        <v>229</v>
      </c>
      <c r="C6852" s="10">
        <v>45282</v>
      </c>
      <c r="D6852" s="15">
        <v>1.2851</v>
      </c>
      <c r="E6852" s="15">
        <v>1.2851</v>
      </c>
      <c r="F6852" s="15">
        <v>1.2851</v>
      </c>
      <c r="G6852" s="11">
        <v>-0.0001</v>
      </c>
      <c r="H6852" s="9">
        <f>MAX($F$6211:F6852)</f>
        <v>1.2852</v>
      </c>
      <c r="I6852" s="11">
        <f t="shared" si="168"/>
        <v>7.78089013383498e-5</v>
      </c>
      <c r="J6852" s="9"/>
      <c r="K6852" s="11"/>
      <c r="L6852" s="9">
        <f>MAX($F$6779:F6852)</f>
        <v>1.2852</v>
      </c>
      <c r="M6852" s="11">
        <f t="shared" si="167"/>
        <v>7.78089013383498e-5</v>
      </c>
      <c r="N6852" s="9" t="s">
        <v>804</v>
      </c>
    </row>
    <row r="6853" ht="25" customHeight="1" spans="1:14">
      <c r="A6853" s="9" t="s">
        <v>231</v>
      </c>
      <c r="B6853" s="9" t="s">
        <v>229</v>
      </c>
      <c r="C6853" s="10">
        <v>45285</v>
      </c>
      <c r="D6853" s="15">
        <v>1.2855</v>
      </c>
      <c r="E6853" s="15">
        <v>1.2855</v>
      </c>
      <c r="F6853" s="15">
        <v>1.2855</v>
      </c>
      <c r="G6853" s="11">
        <v>0.0003</v>
      </c>
      <c r="H6853" s="9">
        <f>MAX($F$6211:F6853)</f>
        <v>1.2855</v>
      </c>
      <c r="I6853" s="11">
        <f t="shared" si="168"/>
        <v>0</v>
      </c>
      <c r="J6853" s="9"/>
      <c r="K6853" s="11"/>
      <c r="L6853" s="9">
        <f>MAX($F$6779:F6853)</f>
        <v>1.2855</v>
      </c>
      <c r="M6853" s="11">
        <f t="shared" si="167"/>
        <v>0</v>
      </c>
      <c r="N6853" s="9" t="s">
        <v>804</v>
      </c>
    </row>
    <row r="6854" ht="25" customHeight="1" spans="1:14">
      <c r="A6854" s="9" t="s">
        <v>231</v>
      </c>
      <c r="B6854" s="9" t="s">
        <v>229</v>
      </c>
      <c r="C6854" s="10">
        <v>45286</v>
      </c>
      <c r="D6854" s="15">
        <v>1.2856</v>
      </c>
      <c r="E6854" s="15">
        <v>1.2856</v>
      </c>
      <c r="F6854" s="15">
        <v>1.2856</v>
      </c>
      <c r="G6854" s="11">
        <v>0.0001</v>
      </c>
      <c r="H6854" s="9">
        <f>MAX($F$6211:F6854)</f>
        <v>1.2856</v>
      </c>
      <c r="I6854" s="11">
        <f t="shared" si="168"/>
        <v>0</v>
      </c>
      <c r="J6854" s="9"/>
      <c r="K6854" s="11"/>
      <c r="L6854" s="9">
        <f>MAX($F$6779:F6854)</f>
        <v>1.2856</v>
      </c>
      <c r="M6854" s="11">
        <f t="shared" si="167"/>
        <v>0</v>
      </c>
      <c r="N6854" s="9" t="s">
        <v>804</v>
      </c>
    </row>
    <row r="6855" ht="25" customHeight="1" spans="1:14">
      <c r="A6855" s="9" t="s">
        <v>231</v>
      </c>
      <c r="B6855" s="9" t="s">
        <v>229</v>
      </c>
      <c r="C6855" s="10">
        <v>45287</v>
      </c>
      <c r="D6855" s="15">
        <v>1.2859</v>
      </c>
      <c r="E6855" s="15">
        <v>1.2859</v>
      </c>
      <c r="F6855" s="15">
        <v>1.2859</v>
      </c>
      <c r="G6855" s="11">
        <v>0.0002</v>
      </c>
      <c r="H6855" s="9">
        <f>MAX($F$6211:F6855)</f>
        <v>1.2859</v>
      </c>
      <c r="I6855" s="11">
        <f t="shared" si="168"/>
        <v>0</v>
      </c>
      <c r="J6855" s="9"/>
      <c r="K6855" s="11"/>
      <c r="L6855" s="9">
        <f>MAX($F$6779:F6855)</f>
        <v>1.2859</v>
      </c>
      <c r="M6855" s="11">
        <f t="shared" si="167"/>
        <v>0</v>
      </c>
      <c r="N6855" s="9" t="s">
        <v>804</v>
      </c>
    </row>
    <row r="6856" ht="25" customHeight="1" spans="1:14">
      <c r="A6856" s="9" t="s">
        <v>231</v>
      </c>
      <c r="B6856" s="9" t="s">
        <v>229</v>
      </c>
      <c r="C6856" s="10">
        <v>45288</v>
      </c>
      <c r="D6856" s="15">
        <v>1.2866</v>
      </c>
      <c r="E6856" s="15">
        <v>1.2866</v>
      </c>
      <c r="F6856" s="15">
        <v>1.2866</v>
      </c>
      <c r="G6856" s="11">
        <v>0.0005</v>
      </c>
      <c r="H6856" s="9">
        <f>MAX($F$6211:F6856)</f>
        <v>1.2866</v>
      </c>
      <c r="I6856" s="11">
        <f t="shared" si="168"/>
        <v>0</v>
      </c>
      <c r="J6856" s="9"/>
      <c r="K6856" s="11"/>
      <c r="L6856" s="9">
        <f>MAX($F$6779:F6856)</f>
        <v>1.2866</v>
      </c>
      <c r="M6856" s="11">
        <f t="shared" si="167"/>
        <v>0</v>
      </c>
      <c r="N6856" s="9" t="s">
        <v>804</v>
      </c>
    </row>
    <row r="6857" ht="25" customHeight="1" spans="1:14">
      <c r="A6857" s="9" t="s">
        <v>231</v>
      </c>
      <c r="B6857" s="9" t="s">
        <v>229</v>
      </c>
      <c r="C6857" s="10">
        <v>45289</v>
      </c>
      <c r="D6857" s="15">
        <v>1.287</v>
      </c>
      <c r="E6857" s="15">
        <v>1.287</v>
      </c>
      <c r="F6857" s="15">
        <v>1.287</v>
      </c>
      <c r="G6857" s="11">
        <v>0.0003</v>
      </c>
      <c r="H6857" s="9">
        <f>MAX($F$6211:F6857)</f>
        <v>1.287</v>
      </c>
      <c r="I6857" s="11">
        <f t="shared" si="168"/>
        <v>0</v>
      </c>
      <c r="J6857" s="9"/>
      <c r="K6857" s="11"/>
      <c r="L6857" s="9">
        <f>MAX($F$6779:F6857)</f>
        <v>1.287</v>
      </c>
      <c r="M6857" s="11">
        <f t="shared" si="167"/>
        <v>0</v>
      </c>
      <c r="N6857" s="9" t="s">
        <v>804</v>
      </c>
    </row>
    <row r="6858" ht="25" customHeight="1" spans="1:14">
      <c r="A6858" s="9" t="s">
        <v>231</v>
      </c>
      <c r="B6858" s="9" t="s">
        <v>229</v>
      </c>
      <c r="C6858" s="10">
        <v>45293</v>
      </c>
      <c r="D6858" s="15">
        <v>1.2867</v>
      </c>
      <c r="E6858" s="15">
        <v>1.2867</v>
      </c>
      <c r="F6858" s="15">
        <v>1.2867</v>
      </c>
      <c r="G6858" s="11">
        <v>-0.0002</v>
      </c>
      <c r="H6858" s="9">
        <f>MAX($F$6211:F6858)</f>
        <v>1.287</v>
      </c>
      <c r="I6858" s="11">
        <f t="shared" si="168"/>
        <v>0.000233100233100192</v>
      </c>
      <c r="J6858" s="9"/>
      <c r="K6858" s="11"/>
      <c r="L6858" s="9">
        <f>MAX($F$6779:F6858)</f>
        <v>1.287</v>
      </c>
      <c r="M6858" s="11">
        <f t="shared" si="167"/>
        <v>0.000233100233100192</v>
      </c>
      <c r="N6858" s="9" t="s">
        <v>804</v>
      </c>
    </row>
    <row r="6859" ht="25" customHeight="1" spans="1:14">
      <c r="A6859" s="9" t="s">
        <v>231</v>
      </c>
      <c r="B6859" s="9" t="s">
        <v>229</v>
      </c>
      <c r="C6859" s="10">
        <v>45294</v>
      </c>
      <c r="D6859" s="15">
        <v>1.2872</v>
      </c>
      <c r="E6859" s="15">
        <v>1.2872</v>
      </c>
      <c r="F6859" s="15">
        <v>1.2872</v>
      </c>
      <c r="G6859" s="11">
        <v>0.0004</v>
      </c>
      <c r="H6859" s="9">
        <f>MAX($F$6211:F6859)</f>
        <v>1.2872</v>
      </c>
      <c r="I6859" s="11">
        <f t="shared" si="168"/>
        <v>0</v>
      </c>
      <c r="J6859" s="9"/>
      <c r="K6859" s="11"/>
      <c r="L6859" s="9">
        <f>MAX($F$6779:F6859)</f>
        <v>1.2872</v>
      </c>
      <c r="M6859" s="11">
        <f t="shared" si="167"/>
        <v>0</v>
      </c>
      <c r="N6859" s="9" t="s">
        <v>804</v>
      </c>
    </row>
    <row r="6860" ht="25" customHeight="1" spans="1:14">
      <c r="A6860" s="9" t="s">
        <v>231</v>
      </c>
      <c r="B6860" s="9" t="s">
        <v>229</v>
      </c>
      <c r="C6860" s="10">
        <v>45295</v>
      </c>
      <c r="D6860" s="15">
        <v>1.2877</v>
      </c>
      <c r="E6860" s="15">
        <v>1.2877</v>
      </c>
      <c r="F6860" s="15">
        <v>1.2877</v>
      </c>
      <c r="G6860" s="11">
        <v>0.0004</v>
      </c>
      <c r="H6860" s="9">
        <f>MAX($F$6211:F6860)</f>
        <v>1.2877</v>
      </c>
      <c r="I6860" s="11">
        <f t="shared" si="168"/>
        <v>0</v>
      </c>
      <c r="J6860" s="9"/>
      <c r="K6860" s="11"/>
      <c r="L6860" s="9">
        <f>MAX($F$6779:F6860)</f>
        <v>1.2877</v>
      </c>
      <c r="M6860" s="11">
        <f t="shared" si="167"/>
        <v>0</v>
      </c>
      <c r="N6860" s="9" t="s">
        <v>804</v>
      </c>
    </row>
    <row r="6861" ht="25" customHeight="1" spans="1:14">
      <c r="A6861" s="9" t="s">
        <v>231</v>
      </c>
      <c r="B6861" s="9" t="s">
        <v>229</v>
      </c>
      <c r="C6861" s="10">
        <v>45296</v>
      </c>
      <c r="D6861" s="15">
        <v>1.2882</v>
      </c>
      <c r="E6861" s="15">
        <v>1.2882</v>
      </c>
      <c r="F6861" s="15">
        <v>1.2882</v>
      </c>
      <c r="G6861" s="11">
        <v>0.0004</v>
      </c>
      <c r="H6861" s="9">
        <f>MAX($F$6211:F6861)</f>
        <v>1.2882</v>
      </c>
      <c r="I6861" s="11">
        <f t="shared" si="168"/>
        <v>0</v>
      </c>
      <c r="J6861" s="9"/>
      <c r="K6861" s="11"/>
      <c r="L6861" s="9">
        <f>MAX($F$6779:F6861)</f>
        <v>1.2882</v>
      </c>
      <c r="M6861" s="11">
        <f t="shared" si="167"/>
        <v>0</v>
      </c>
      <c r="N6861" s="9" t="s">
        <v>804</v>
      </c>
    </row>
    <row r="6862" ht="25" customHeight="1" spans="1:14">
      <c r="A6862" s="9" t="s">
        <v>231</v>
      </c>
      <c r="B6862" s="9" t="s">
        <v>229</v>
      </c>
      <c r="C6862" s="10">
        <v>45299</v>
      </c>
      <c r="D6862" s="15">
        <v>1.2884</v>
      </c>
      <c r="E6862" s="15">
        <v>1.2884</v>
      </c>
      <c r="F6862" s="15">
        <v>1.2884</v>
      </c>
      <c r="G6862" s="11">
        <v>0.0002</v>
      </c>
      <c r="H6862" s="9">
        <f>MAX($F$6211:F6862)</f>
        <v>1.2884</v>
      </c>
      <c r="I6862" s="11">
        <f t="shared" si="168"/>
        <v>0</v>
      </c>
      <c r="J6862" s="9"/>
      <c r="K6862" s="11"/>
      <c r="L6862" s="9">
        <f>MAX($F$6779:F6862)</f>
        <v>1.2884</v>
      </c>
      <c r="M6862" s="11">
        <f t="shared" si="167"/>
        <v>0</v>
      </c>
      <c r="N6862" s="9" t="s">
        <v>804</v>
      </c>
    </row>
    <row r="6863" ht="25" customHeight="1" spans="1:14">
      <c r="A6863" s="9" t="s">
        <v>231</v>
      </c>
      <c r="B6863" s="9" t="s">
        <v>229</v>
      </c>
      <c r="C6863" s="10">
        <v>45300</v>
      </c>
      <c r="D6863" s="15">
        <v>1.2885</v>
      </c>
      <c r="E6863" s="15">
        <v>1.2885</v>
      </c>
      <c r="F6863" s="15">
        <v>1.2885</v>
      </c>
      <c r="G6863" s="11">
        <v>0.0001</v>
      </c>
      <c r="H6863" s="9">
        <f>MAX($F$6211:F6863)</f>
        <v>1.2885</v>
      </c>
      <c r="I6863" s="11">
        <f t="shared" si="168"/>
        <v>0</v>
      </c>
      <c r="J6863" s="9"/>
      <c r="K6863" s="11"/>
      <c r="L6863" s="9">
        <f>MAX($F$6779:F6863)</f>
        <v>1.2885</v>
      </c>
      <c r="M6863" s="11">
        <f t="shared" si="167"/>
        <v>0</v>
      </c>
      <c r="N6863" s="9" t="s">
        <v>804</v>
      </c>
    </row>
    <row r="6864" ht="25" customHeight="1" spans="1:14">
      <c r="A6864" s="9" t="s">
        <v>231</v>
      </c>
      <c r="B6864" s="9" t="s">
        <v>229</v>
      </c>
      <c r="C6864" s="10">
        <v>45301</v>
      </c>
      <c r="D6864" s="15">
        <v>1.2888</v>
      </c>
      <c r="E6864" s="15">
        <v>1.2888</v>
      </c>
      <c r="F6864" s="15">
        <v>1.2888</v>
      </c>
      <c r="G6864" s="11">
        <v>0.0002</v>
      </c>
      <c r="H6864" s="9">
        <f>MAX($F$6211:F6864)</f>
        <v>1.2888</v>
      </c>
      <c r="I6864" s="11">
        <f t="shared" si="168"/>
        <v>0</v>
      </c>
      <c r="J6864" s="9"/>
      <c r="K6864" s="11"/>
      <c r="L6864" s="9">
        <f>MAX($F$6779:F6864)</f>
        <v>1.2888</v>
      </c>
      <c r="M6864" s="11">
        <f t="shared" si="167"/>
        <v>0</v>
      </c>
      <c r="N6864" s="9" t="s">
        <v>804</v>
      </c>
    </row>
    <row r="6865" ht="25" customHeight="1" spans="1:14">
      <c r="A6865" s="9" t="s">
        <v>231</v>
      </c>
      <c r="B6865" s="9" t="s">
        <v>229</v>
      </c>
      <c r="C6865" s="10">
        <v>45302</v>
      </c>
      <c r="D6865" s="15">
        <v>1.289</v>
      </c>
      <c r="E6865" s="15">
        <v>1.289</v>
      </c>
      <c r="F6865" s="15">
        <v>1.289</v>
      </c>
      <c r="G6865" s="11">
        <v>0.0002</v>
      </c>
      <c r="H6865" s="9">
        <f>MAX($F$6211:F6865)</f>
        <v>1.289</v>
      </c>
      <c r="I6865" s="11">
        <f t="shared" si="168"/>
        <v>0</v>
      </c>
      <c r="J6865" s="9"/>
      <c r="K6865" s="11"/>
      <c r="L6865" s="9">
        <f>MAX($F$6779:F6865)</f>
        <v>1.289</v>
      </c>
      <c r="M6865" s="11">
        <f t="shared" si="167"/>
        <v>0</v>
      </c>
      <c r="N6865" s="9" t="s">
        <v>804</v>
      </c>
    </row>
    <row r="6866" ht="25" customHeight="1" spans="1:14">
      <c r="A6866" s="9" t="s">
        <v>231</v>
      </c>
      <c r="B6866" s="9" t="s">
        <v>229</v>
      </c>
      <c r="C6866" s="10">
        <v>45303</v>
      </c>
      <c r="D6866" s="15">
        <v>1.2899</v>
      </c>
      <c r="E6866" s="15">
        <v>1.2899</v>
      </c>
      <c r="F6866" s="15">
        <v>1.2899</v>
      </c>
      <c r="G6866" s="11">
        <v>0.0007</v>
      </c>
      <c r="H6866" s="9">
        <f>MAX($F$6211:F6866)</f>
        <v>1.2899</v>
      </c>
      <c r="I6866" s="11">
        <f t="shared" si="168"/>
        <v>0</v>
      </c>
      <c r="J6866" s="9"/>
      <c r="K6866" s="11"/>
      <c r="L6866" s="9">
        <f>MAX($F$6779:F6866)</f>
        <v>1.2899</v>
      </c>
      <c r="M6866" s="11">
        <f t="shared" si="167"/>
        <v>0</v>
      </c>
      <c r="N6866" s="9" t="s">
        <v>804</v>
      </c>
    </row>
    <row r="6867" ht="25" customHeight="1" spans="1:14">
      <c r="A6867" s="9" t="s">
        <v>231</v>
      </c>
      <c r="B6867" s="9" t="s">
        <v>229</v>
      </c>
      <c r="C6867" s="10">
        <v>45306</v>
      </c>
      <c r="D6867" s="15">
        <v>1.2913</v>
      </c>
      <c r="E6867" s="15">
        <v>1.2913</v>
      </c>
      <c r="F6867" s="15">
        <v>1.2913</v>
      </c>
      <c r="G6867" s="11">
        <v>0.0011</v>
      </c>
      <c r="H6867" s="9">
        <f>MAX($F$6211:F6867)</f>
        <v>1.2913</v>
      </c>
      <c r="I6867" s="11">
        <f t="shared" si="168"/>
        <v>0</v>
      </c>
      <c r="J6867" s="9"/>
      <c r="K6867" s="11"/>
      <c r="L6867" s="9">
        <f>MAX($F$6779:F6867)</f>
        <v>1.2913</v>
      </c>
      <c r="M6867" s="11">
        <f t="shared" si="167"/>
        <v>0</v>
      </c>
      <c r="N6867" s="9" t="s">
        <v>804</v>
      </c>
    </row>
    <row r="6868" ht="25" customHeight="1" spans="1:14">
      <c r="A6868" s="9" t="s">
        <v>231</v>
      </c>
      <c r="B6868" s="9" t="s">
        <v>229</v>
      </c>
      <c r="C6868" s="10">
        <v>45307</v>
      </c>
      <c r="D6868" s="15">
        <v>1.2915</v>
      </c>
      <c r="E6868" s="15">
        <v>1.2915</v>
      </c>
      <c r="F6868" s="15">
        <v>1.2915</v>
      </c>
      <c r="G6868" s="11">
        <v>0.0002</v>
      </c>
      <c r="H6868" s="9">
        <f>MAX($F$6211:F6868)</f>
        <v>1.2915</v>
      </c>
      <c r="I6868" s="11">
        <f t="shared" si="168"/>
        <v>0</v>
      </c>
      <c r="J6868" s="9"/>
      <c r="K6868" s="11"/>
      <c r="L6868" s="9">
        <f>MAX($F$6779:F6868)</f>
        <v>1.2915</v>
      </c>
      <c r="M6868" s="11">
        <f t="shared" si="167"/>
        <v>0</v>
      </c>
      <c r="N6868" s="9" t="s">
        <v>804</v>
      </c>
    </row>
    <row r="6869" ht="25" customHeight="1" spans="1:14">
      <c r="A6869" s="9" t="s">
        <v>231</v>
      </c>
      <c r="B6869" s="9" t="s">
        <v>229</v>
      </c>
      <c r="C6869" s="10">
        <v>45308</v>
      </c>
      <c r="D6869" s="15">
        <v>1.2919</v>
      </c>
      <c r="E6869" s="15">
        <v>1.2919</v>
      </c>
      <c r="F6869" s="15">
        <v>1.2919</v>
      </c>
      <c r="G6869" s="11">
        <v>0.0003</v>
      </c>
      <c r="H6869" s="9">
        <f>MAX($F$6211:F6869)</f>
        <v>1.2919</v>
      </c>
      <c r="I6869" s="11">
        <f t="shared" si="168"/>
        <v>0</v>
      </c>
      <c r="J6869" s="9"/>
      <c r="K6869" s="11"/>
      <c r="L6869" s="9">
        <f>MAX($F$6779:F6869)</f>
        <v>1.2919</v>
      </c>
      <c r="M6869" s="11">
        <f t="shared" si="167"/>
        <v>0</v>
      </c>
      <c r="N6869" s="9" t="s">
        <v>804</v>
      </c>
    </row>
    <row r="6870" ht="25" customHeight="1" spans="1:14">
      <c r="A6870" s="9" t="s">
        <v>231</v>
      </c>
      <c r="B6870" s="9" t="s">
        <v>229</v>
      </c>
      <c r="C6870" s="10">
        <v>45309</v>
      </c>
      <c r="D6870" s="15">
        <v>1.2921</v>
      </c>
      <c r="E6870" s="15">
        <v>1.2921</v>
      </c>
      <c r="F6870" s="15">
        <v>1.2921</v>
      </c>
      <c r="G6870" s="11">
        <v>0.0002</v>
      </c>
      <c r="H6870" s="9">
        <f>MAX($F$6211:F6870)</f>
        <v>1.2921</v>
      </c>
      <c r="I6870" s="11">
        <f t="shared" si="168"/>
        <v>0</v>
      </c>
      <c r="J6870" s="9"/>
      <c r="K6870" s="11"/>
      <c r="L6870" s="9">
        <f>MAX($F$6779:F6870)</f>
        <v>1.2921</v>
      </c>
      <c r="M6870" s="11">
        <f t="shared" si="167"/>
        <v>0</v>
      </c>
      <c r="N6870" s="9" t="s">
        <v>804</v>
      </c>
    </row>
    <row r="6871" ht="25" customHeight="1" spans="1:14">
      <c r="A6871" s="9" t="s">
        <v>231</v>
      </c>
      <c r="B6871" s="9" t="s">
        <v>229</v>
      </c>
      <c r="C6871" s="10">
        <v>45310</v>
      </c>
      <c r="D6871" s="15">
        <v>1.2921</v>
      </c>
      <c r="E6871" s="15">
        <v>1.2921</v>
      </c>
      <c r="F6871" s="15">
        <v>1.2921</v>
      </c>
      <c r="G6871" s="11">
        <v>0</v>
      </c>
      <c r="H6871" s="9">
        <f>MAX($F$6211:F6871)</f>
        <v>1.2921</v>
      </c>
      <c r="I6871" s="11">
        <f t="shared" si="168"/>
        <v>0</v>
      </c>
      <c r="J6871" s="9"/>
      <c r="K6871" s="11"/>
      <c r="L6871" s="9">
        <f>MAX($F$6779:F6871)</f>
        <v>1.2921</v>
      </c>
      <c r="M6871" s="11">
        <f t="shared" si="167"/>
        <v>0</v>
      </c>
      <c r="N6871" s="9" t="s">
        <v>804</v>
      </c>
    </row>
    <row r="6872" ht="25" customHeight="1" spans="1:14">
      <c r="A6872" s="9" t="s">
        <v>231</v>
      </c>
      <c r="B6872" s="9" t="s">
        <v>229</v>
      </c>
      <c r="C6872" s="10">
        <v>45313</v>
      </c>
      <c r="D6872" s="15">
        <v>1.2925</v>
      </c>
      <c r="E6872" s="15">
        <v>1.2925</v>
      </c>
      <c r="F6872" s="15">
        <v>1.2925</v>
      </c>
      <c r="G6872" s="11">
        <v>0.0003</v>
      </c>
      <c r="H6872" s="9">
        <f>MAX($F$6211:F6872)</f>
        <v>1.2925</v>
      </c>
      <c r="I6872" s="11">
        <f t="shared" si="168"/>
        <v>0</v>
      </c>
      <c r="J6872" s="9"/>
      <c r="K6872" s="11"/>
      <c r="L6872" s="9">
        <f>MAX($F$6779:F6872)</f>
        <v>1.2925</v>
      </c>
      <c r="M6872" s="11">
        <f t="shared" si="167"/>
        <v>0</v>
      </c>
      <c r="N6872" s="9" t="s">
        <v>804</v>
      </c>
    </row>
    <row r="6873" ht="25" customHeight="1" spans="1:14">
      <c r="A6873" s="9" t="s">
        <v>231</v>
      </c>
      <c r="B6873" s="9" t="s">
        <v>229</v>
      </c>
      <c r="C6873" s="10">
        <v>45314</v>
      </c>
      <c r="D6873" s="15">
        <v>1.2926</v>
      </c>
      <c r="E6873" s="15">
        <v>1.2926</v>
      </c>
      <c r="F6873" s="15">
        <v>1.2926</v>
      </c>
      <c r="G6873" s="11">
        <v>0.0001</v>
      </c>
      <c r="H6873" s="9">
        <f>MAX($F$6211:F6873)</f>
        <v>1.2926</v>
      </c>
      <c r="I6873" s="11">
        <f t="shared" si="168"/>
        <v>0</v>
      </c>
      <c r="J6873" s="9"/>
      <c r="K6873" s="11"/>
      <c r="L6873" s="9">
        <f>MAX($F$6779:F6873)</f>
        <v>1.2926</v>
      </c>
      <c r="M6873" s="11">
        <f t="shared" si="167"/>
        <v>0</v>
      </c>
      <c r="N6873" s="9" t="s">
        <v>804</v>
      </c>
    </row>
    <row r="6874" ht="25" customHeight="1" spans="1:14">
      <c r="A6874" s="9" t="s">
        <v>231</v>
      </c>
      <c r="B6874" s="9" t="s">
        <v>229</v>
      </c>
      <c r="C6874" s="10">
        <v>45315</v>
      </c>
      <c r="D6874" s="15">
        <v>1.2926</v>
      </c>
      <c r="E6874" s="15">
        <v>1.2926</v>
      </c>
      <c r="F6874" s="15">
        <v>1.2926</v>
      </c>
      <c r="G6874" s="11">
        <v>0</v>
      </c>
      <c r="H6874" s="9">
        <f>MAX($F$6211:F6874)</f>
        <v>1.2926</v>
      </c>
      <c r="I6874" s="11">
        <f t="shared" si="168"/>
        <v>0</v>
      </c>
      <c r="J6874" s="9"/>
      <c r="K6874" s="11"/>
      <c r="L6874" s="9">
        <f>MAX($F$6779:F6874)</f>
        <v>1.2926</v>
      </c>
      <c r="M6874" s="11">
        <f t="shared" si="167"/>
        <v>0</v>
      </c>
      <c r="N6874" s="9" t="s">
        <v>804</v>
      </c>
    </row>
    <row r="6875" ht="25" customHeight="1" spans="1:14">
      <c r="A6875" s="9" t="s">
        <v>231</v>
      </c>
      <c r="B6875" s="9" t="s">
        <v>229</v>
      </c>
      <c r="C6875" s="10">
        <v>45316</v>
      </c>
      <c r="D6875" s="15">
        <v>1.2926</v>
      </c>
      <c r="E6875" s="15">
        <v>1.2926</v>
      </c>
      <c r="F6875" s="15">
        <v>1.2926</v>
      </c>
      <c r="G6875" s="11">
        <v>0</v>
      </c>
      <c r="H6875" s="9">
        <f>MAX($F$6211:F6875)</f>
        <v>1.2926</v>
      </c>
      <c r="I6875" s="11">
        <f t="shared" si="168"/>
        <v>0</v>
      </c>
      <c r="J6875" s="9"/>
      <c r="K6875" s="11"/>
      <c r="L6875" s="9">
        <f>MAX($F$6779:F6875)</f>
        <v>1.2926</v>
      </c>
      <c r="M6875" s="11">
        <f t="shared" si="167"/>
        <v>0</v>
      </c>
      <c r="N6875" s="9" t="s">
        <v>804</v>
      </c>
    </row>
    <row r="6876" ht="25" customHeight="1" spans="1:14">
      <c r="A6876" s="9" t="s">
        <v>231</v>
      </c>
      <c r="B6876" s="9" t="s">
        <v>229</v>
      </c>
      <c r="C6876" s="10">
        <v>45317</v>
      </c>
      <c r="D6876" s="15">
        <v>1.2926</v>
      </c>
      <c r="E6876" s="15">
        <v>1.2926</v>
      </c>
      <c r="F6876" s="15">
        <v>1.2926</v>
      </c>
      <c r="G6876" s="11">
        <v>0</v>
      </c>
      <c r="H6876" s="9">
        <f>MAX($F$6211:F6876)</f>
        <v>1.2926</v>
      </c>
      <c r="I6876" s="11">
        <f t="shared" si="168"/>
        <v>0</v>
      </c>
      <c r="J6876" s="9"/>
      <c r="K6876" s="11"/>
      <c r="L6876" s="9">
        <f>MAX($F$6779:F6876)</f>
        <v>1.2926</v>
      </c>
      <c r="M6876" s="11">
        <f t="shared" si="167"/>
        <v>0</v>
      </c>
      <c r="N6876" s="9" t="s">
        <v>804</v>
      </c>
    </row>
    <row r="6877" ht="25" customHeight="1" spans="1:14">
      <c r="A6877" s="9" t="s">
        <v>231</v>
      </c>
      <c r="B6877" s="9" t="s">
        <v>229</v>
      </c>
      <c r="C6877" s="10">
        <v>45320</v>
      </c>
      <c r="D6877" s="15">
        <v>1.2934</v>
      </c>
      <c r="E6877" s="15">
        <v>1.2934</v>
      </c>
      <c r="F6877" s="15">
        <v>1.2934</v>
      </c>
      <c r="G6877" s="11">
        <v>0.0006</v>
      </c>
      <c r="H6877" s="9">
        <f>MAX($F$6211:F6877)</f>
        <v>1.2934</v>
      </c>
      <c r="I6877" s="11">
        <f t="shared" si="168"/>
        <v>0</v>
      </c>
      <c r="J6877" s="9"/>
      <c r="K6877" s="11"/>
      <c r="L6877" s="9">
        <f>MAX($F$6779:F6877)</f>
        <v>1.2934</v>
      </c>
      <c r="M6877" s="11">
        <f t="shared" si="167"/>
        <v>0</v>
      </c>
      <c r="N6877" s="9" t="s">
        <v>804</v>
      </c>
    </row>
    <row r="6878" ht="25" customHeight="1" spans="1:14">
      <c r="A6878" s="9" t="s">
        <v>231</v>
      </c>
      <c r="B6878" s="9" t="s">
        <v>229</v>
      </c>
      <c r="C6878" s="10">
        <v>45321</v>
      </c>
      <c r="D6878" s="15">
        <v>1.2935</v>
      </c>
      <c r="E6878" s="15">
        <v>1.2935</v>
      </c>
      <c r="F6878" s="15">
        <v>1.2935</v>
      </c>
      <c r="G6878" s="11">
        <v>0.0001</v>
      </c>
      <c r="H6878" s="9">
        <f>MAX($F$6211:F6878)</f>
        <v>1.2935</v>
      </c>
      <c r="I6878" s="11">
        <f t="shared" si="168"/>
        <v>0</v>
      </c>
      <c r="J6878" s="9"/>
      <c r="K6878" s="11"/>
      <c r="L6878" s="9">
        <f>MAX($F$6779:F6878)</f>
        <v>1.2935</v>
      </c>
      <c r="M6878" s="11">
        <f t="shared" si="167"/>
        <v>0</v>
      </c>
      <c r="N6878" s="9" t="s">
        <v>804</v>
      </c>
    </row>
    <row r="6879" ht="25" customHeight="1" spans="1:14">
      <c r="A6879" s="9" t="s">
        <v>231</v>
      </c>
      <c r="B6879" s="9" t="s">
        <v>229</v>
      </c>
      <c r="C6879" s="10">
        <v>45322</v>
      </c>
      <c r="D6879" s="15">
        <v>1.2936</v>
      </c>
      <c r="E6879" s="15">
        <v>1.2936</v>
      </c>
      <c r="F6879" s="15">
        <v>1.2936</v>
      </c>
      <c r="G6879" s="11">
        <v>0.0001</v>
      </c>
      <c r="H6879" s="9">
        <f>MAX($F$6211:F6879)</f>
        <v>1.2936</v>
      </c>
      <c r="I6879" s="11">
        <f t="shared" si="168"/>
        <v>0</v>
      </c>
      <c r="J6879" s="9"/>
      <c r="K6879" s="11"/>
      <c r="L6879" s="9">
        <f>MAX($F$6779:F6879)</f>
        <v>1.2936</v>
      </c>
      <c r="M6879" s="11">
        <f t="shared" si="167"/>
        <v>0</v>
      </c>
      <c r="N6879" s="9" t="s">
        <v>804</v>
      </c>
    </row>
    <row r="6880" ht="25" customHeight="1" spans="1:14">
      <c r="A6880" s="9" t="s">
        <v>231</v>
      </c>
      <c r="B6880" s="9" t="s">
        <v>229</v>
      </c>
      <c r="C6880" s="10">
        <v>45323</v>
      </c>
      <c r="D6880" s="15">
        <v>1.2939</v>
      </c>
      <c r="E6880" s="15">
        <v>1.2939</v>
      </c>
      <c r="F6880" s="15">
        <v>1.2939</v>
      </c>
      <c r="G6880" s="11">
        <v>0.0002</v>
      </c>
      <c r="H6880" s="9">
        <f>MAX($F$6211:F6880)</f>
        <v>1.2939</v>
      </c>
      <c r="I6880" s="11">
        <f t="shared" si="168"/>
        <v>0</v>
      </c>
      <c r="J6880" s="9"/>
      <c r="K6880" s="11"/>
      <c r="L6880" s="9">
        <f>MAX($F$6779:F6880)</f>
        <v>1.2939</v>
      </c>
      <c r="M6880" s="11">
        <f t="shared" si="167"/>
        <v>0</v>
      </c>
      <c r="N6880" s="9" t="s">
        <v>804</v>
      </c>
    </row>
    <row r="6881" ht="25" customHeight="1" spans="1:14">
      <c r="A6881" s="9" t="s">
        <v>231</v>
      </c>
      <c r="B6881" s="9" t="s">
        <v>229</v>
      </c>
      <c r="C6881" s="10">
        <v>45324</v>
      </c>
      <c r="D6881" s="15">
        <v>1.2942</v>
      </c>
      <c r="E6881" s="15">
        <v>1.2942</v>
      </c>
      <c r="F6881" s="15">
        <v>1.2942</v>
      </c>
      <c r="G6881" s="11">
        <v>0.0002</v>
      </c>
      <c r="H6881" s="9">
        <f>MAX($F$6211:F6881)</f>
        <v>1.2942</v>
      </c>
      <c r="I6881" s="11">
        <f t="shared" si="168"/>
        <v>0</v>
      </c>
      <c r="J6881" s="9"/>
      <c r="K6881" s="11"/>
      <c r="L6881" s="9">
        <f>MAX($F$6779:F6881)</f>
        <v>1.2942</v>
      </c>
      <c r="M6881" s="11">
        <f t="shared" si="167"/>
        <v>0</v>
      </c>
      <c r="N6881" s="9" t="s">
        <v>804</v>
      </c>
    </row>
    <row r="6882" ht="25" customHeight="1" spans="1:14">
      <c r="A6882" s="9" t="s">
        <v>231</v>
      </c>
      <c r="B6882" s="9" t="s">
        <v>229</v>
      </c>
      <c r="C6882" s="10">
        <v>45327</v>
      </c>
      <c r="D6882" s="15">
        <v>1.2899</v>
      </c>
      <c r="E6882" s="15">
        <v>1.2899</v>
      </c>
      <c r="F6882" s="15">
        <v>1.2899</v>
      </c>
      <c r="G6882" s="11">
        <v>-0.0033</v>
      </c>
      <c r="H6882" s="9">
        <f>MAX($F$6211:F6882)</f>
        <v>1.2942</v>
      </c>
      <c r="I6882" s="11">
        <f t="shared" si="168"/>
        <v>0.00332251583990106</v>
      </c>
      <c r="J6882" s="9"/>
      <c r="K6882" s="11"/>
      <c r="L6882" s="9">
        <f>MAX($F$6779:F6882)</f>
        <v>1.2942</v>
      </c>
      <c r="M6882" s="11">
        <f t="shared" si="167"/>
        <v>0.00332251583990106</v>
      </c>
      <c r="N6882" s="9" t="s">
        <v>804</v>
      </c>
    </row>
    <row r="6883" ht="25" customHeight="1" spans="1:14">
      <c r="A6883" s="9" t="s">
        <v>231</v>
      </c>
      <c r="B6883" s="9" t="s">
        <v>229</v>
      </c>
      <c r="C6883" s="10">
        <v>45328</v>
      </c>
      <c r="D6883" s="15">
        <v>1.2919</v>
      </c>
      <c r="E6883" s="15">
        <v>1.2919</v>
      </c>
      <c r="F6883" s="15">
        <v>1.2919</v>
      </c>
      <c r="G6883" s="11">
        <v>0.0016</v>
      </c>
      <c r="H6883" s="9">
        <f>MAX($F$6211:F6883)</f>
        <v>1.2942</v>
      </c>
      <c r="I6883" s="11">
        <f t="shared" si="168"/>
        <v>0.0017771596352959</v>
      </c>
      <c r="J6883" s="9"/>
      <c r="K6883" s="11"/>
      <c r="L6883" s="9">
        <f>MAX($F$6779:F6883)</f>
        <v>1.2942</v>
      </c>
      <c r="M6883" s="11">
        <f t="shared" si="167"/>
        <v>0.0017771596352959</v>
      </c>
      <c r="N6883" s="9" t="s">
        <v>804</v>
      </c>
    </row>
    <row r="6884" ht="25" customHeight="1" spans="1:14">
      <c r="A6884" s="9" t="s">
        <v>231</v>
      </c>
      <c r="B6884" s="9" t="s">
        <v>229</v>
      </c>
      <c r="C6884" s="10">
        <v>45329</v>
      </c>
      <c r="D6884" s="15">
        <v>1.2916</v>
      </c>
      <c r="E6884" s="15">
        <v>1.2916</v>
      </c>
      <c r="F6884" s="15">
        <v>1.2916</v>
      </c>
      <c r="G6884" s="11">
        <v>-0.0002</v>
      </c>
      <c r="H6884" s="9">
        <f>MAX($F$6211:F6884)</f>
        <v>1.2942</v>
      </c>
      <c r="I6884" s="11">
        <f t="shared" si="168"/>
        <v>0.00200896306598664</v>
      </c>
      <c r="J6884" s="9"/>
      <c r="K6884" s="11"/>
      <c r="L6884" s="9">
        <f>MAX($F$6779:F6884)</f>
        <v>1.2942</v>
      </c>
      <c r="M6884" s="11">
        <f t="shared" si="167"/>
        <v>0.00200896306598664</v>
      </c>
      <c r="N6884" s="9" t="s">
        <v>804</v>
      </c>
    </row>
    <row r="6885" ht="25" customHeight="1" spans="1:14">
      <c r="A6885" s="9" t="s">
        <v>231</v>
      </c>
      <c r="B6885" s="9" t="s">
        <v>229</v>
      </c>
      <c r="C6885" s="10">
        <v>45330</v>
      </c>
      <c r="D6885" s="15">
        <v>1.2919</v>
      </c>
      <c r="E6885" s="15">
        <v>1.2919</v>
      </c>
      <c r="F6885" s="15">
        <v>1.2919</v>
      </c>
      <c r="G6885" s="11">
        <v>0.0002</v>
      </c>
      <c r="H6885" s="9">
        <f>MAX($F$6211:F6885)</f>
        <v>1.2942</v>
      </c>
      <c r="I6885" s="11">
        <f t="shared" si="168"/>
        <v>0.0017771596352959</v>
      </c>
      <c r="J6885" s="9"/>
      <c r="K6885" s="11"/>
      <c r="L6885" s="9">
        <f>MAX($F$6779:F6885)</f>
        <v>1.2942</v>
      </c>
      <c r="M6885" s="11">
        <f t="shared" si="167"/>
        <v>0.0017771596352959</v>
      </c>
      <c r="N6885" s="9" t="s">
        <v>804</v>
      </c>
    </row>
    <row r="6886" ht="25" customHeight="1" spans="1:14">
      <c r="A6886" s="9" t="s">
        <v>231</v>
      </c>
      <c r="B6886" s="9" t="s">
        <v>229</v>
      </c>
      <c r="C6886" s="10">
        <v>45341</v>
      </c>
      <c r="D6886" s="15">
        <v>1.2917</v>
      </c>
      <c r="E6886" s="15">
        <v>1.2917</v>
      </c>
      <c r="F6886" s="15">
        <v>1.2917</v>
      </c>
      <c r="G6886" s="11">
        <v>-0.0002</v>
      </c>
      <c r="H6886" s="9">
        <f>MAX($F$6211:F6886)</f>
        <v>1.2942</v>
      </c>
      <c r="I6886" s="11">
        <f t="shared" si="168"/>
        <v>0.00193169525575643</v>
      </c>
      <c r="J6886" s="9"/>
      <c r="K6886" s="11"/>
      <c r="L6886" s="9">
        <f>MAX($F$6779:F6886)</f>
        <v>1.2942</v>
      </c>
      <c r="M6886" s="11">
        <f t="shared" si="167"/>
        <v>0.00193169525575643</v>
      </c>
      <c r="N6886" s="9" t="s">
        <v>804</v>
      </c>
    </row>
    <row r="6887" ht="25" customHeight="1" spans="1:14">
      <c r="A6887" s="9" t="s">
        <v>231</v>
      </c>
      <c r="B6887" s="9" t="s">
        <v>229</v>
      </c>
      <c r="C6887" s="10">
        <v>45342</v>
      </c>
      <c r="D6887" s="15">
        <v>1.2918</v>
      </c>
      <c r="E6887" s="15">
        <v>1.2918</v>
      </c>
      <c r="F6887" s="15">
        <v>1.2918</v>
      </c>
      <c r="G6887" s="11">
        <v>0.0001</v>
      </c>
      <c r="H6887" s="9">
        <f>MAX($F$6211:F6887)</f>
        <v>1.2942</v>
      </c>
      <c r="I6887" s="11">
        <f t="shared" si="168"/>
        <v>0.00185442744552611</v>
      </c>
      <c r="J6887" s="9"/>
      <c r="K6887" s="11"/>
      <c r="L6887" s="9">
        <f>MAX($F$6779:F6887)</f>
        <v>1.2942</v>
      </c>
      <c r="M6887" s="11">
        <f t="shared" si="167"/>
        <v>0.00185442744552611</v>
      </c>
      <c r="N6887" s="9" t="s">
        <v>804</v>
      </c>
    </row>
    <row r="6888" ht="25" customHeight="1" spans="1:14">
      <c r="A6888" s="9" t="s">
        <v>231</v>
      </c>
      <c r="B6888" s="9" t="s">
        <v>229</v>
      </c>
      <c r="C6888" s="10">
        <v>45343</v>
      </c>
      <c r="D6888" s="15">
        <v>1.292</v>
      </c>
      <c r="E6888" s="15">
        <v>1.292</v>
      </c>
      <c r="F6888" s="15">
        <v>1.292</v>
      </c>
      <c r="G6888" s="11">
        <v>0.0002</v>
      </c>
      <c r="H6888" s="9">
        <f>MAX($F$6211:F6888)</f>
        <v>1.2942</v>
      </c>
      <c r="I6888" s="11">
        <f t="shared" si="168"/>
        <v>0.00169989182506569</v>
      </c>
      <c r="J6888" s="9"/>
      <c r="K6888" s="11"/>
      <c r="L6888" s="9">
        <f>MAX($F$6779:F6888)</f>
        <v>1.2942</v>
      </c>
      <c r="M6888" s="11">
        <f t="shared" si="167"/>
        <v>0.00169989182506569</v>
      </c>
      <c r="N6888" s="9" t="s">
        <v>804</v>
      </c>
    </row>
    <row r="6889" ht="25" customHeight="1" spans="1:14">
      <c r="A6889" s="9" t="s">
        <v>231</v>
      </c>
      <c r="B6889" s="9" t="s">
        <v>229</v>
      </c>
      <c r="C6889" s="10">
        <v>45344</v>
      </c>
      <c r="D6889" s="15">
        <v>1.292</v>
      </c>
      <c r="E6889" s="15">
        <v>1.292</v>
      </c>
      <c r="F6889" s="15">
        <v>1.292</v>
      </c>
      <c r="G6889" s="11">
        <v>0</v>
      </c>
      <c r="H6889" s="9">
        <f>MAX($F$6211:F6889)</f>
        <v>1.2942</v>
      </c>
      <c r="I6889" s="11">
        <f t="shared" si="168"/>
        <v>0.00169989182506569</v>
      </c>
      <c r="J6889" s="9"/>
      <c r="K6889" s="11"/>
      <c r="L6889" s="9">
        <f>MAX($F$6779:F6889)</f>
        <v>1.2942</v>
      </c>
      <c r="M6889" s="11">
        <f t="shared" si="167"/>
        <v>0.00169989182506569</v>
      </c>
      <c r="N6889" s="9" t="s">
        <v>804</v>
      </c>
    </row>
    <row r="6890" ht="25" customHeight="1" spans="1:14">
      <c r="A6890" s="9" t="s">
        <v>231</v>
      </c>
      <c r="B6890" s="9" t="s">
        <v>229</v>
      </c>
      <c r="C6890" s="10">
        <v>45345</v>
      </c>
      <c r="D6890" s="15">
        <v>1.2925</v>
      </c>
      <c r="E6890" s="15">
        <v>1.2925</v>
      </c>
      <c r="F6890" s="15">
        <v>1.2925</v>
      </c>
      <c r="G6890" s="11">
        <v>0.0004</v>
      </c>
      <c r="H6890" s="9">
        <f>MAX($F$6211:F6890)</f>
        <v>1.2942</v>
      </c>
      <c r="I6890" s="11">
        <f t="shared" si="168"/>
        <v>0.00131355277391443</v>
      </c>
      <c r="J6890" s="9"/>
      <c r="K6890" s="11"/>
      <c r="L6890" s="9">
        <f>MAX($F$6779:F6890)</f>
        <v>1.2942</v>
      </c>
      <c r="M6890" s="11">
        <f t="shared" si="167"/>
        <v>0.00131355277391443</v>
      </c>
      <c r="N6890" s="9" t="s">
        <v>804</v>
      </c>
    </row>
    <row r="6891" ht="25" customHeight="1" spans="1:14">
      <c r="A6891" s="9" t="s">
        <v>231</v>
      </c>
      <c r="B6891" s="9" t="s">
        <v>229</v>
      </c>
      <c r="C6891" s="10">
        <v>45348</v>
      </c>
      <c r="D6891" s="15">
        <v>1.2926</v>
      </c>
      <c r="E6891" s="15">
        <v>1.2926</v>
      </c>
      <c r="F6891" s="15">
        <v>1.2926</v>
      </c>
      <c r="G6891" s="11">
        <v>0.0001</v>
      </c>
      <c r="H6891" s="9">
        <f>MAX($F$6211:F6891)</f>
        <v>1.2942</v>
      </c>
      <c r="I6891" s="11">
        <f t="shared" si="168"/>
        <v>0.00123628496368422</v>
      </c>
      <c r="J6891" s="9"/>
      <c r="K6891" s="11"/>
      <c r="L6891" s="9">
        <f>MAX($F$6779:F6891)</f>
        <v>1.2942</v>
      </c>
      <c r="M6891" s="11">
        <f t="shared" si="167"/>
        <v>0.00123628496368422</v>
      </c>
      <c r="N6891" s="9" t="s">
        <v>804</v>
      </c>
    </row>
    <row r="6892" ht="25" customHeight="1" spans="1:14">
      <c r="A6892" s="9" t="s">
        <v>231</v>
      </c>
      <c r="B6892" s="9" t="s">
        <v>229</v>
      </c>
      <c r="C6892" s="10">
        <v>45349</v>
      </c>
      <c r="D6892" s="15">
        <v>1.2926</v>
      </c>
      <c r="E6892" s="15">
        <v>1.2926</v>
      </c>
      <c r="F6892" s="15">
        <v>1.2926</v>
      </c>
      <c r="G6892" s="11">
        <v>0</v>
      </c>
      <c r="H6892" s="9">
        <f>MAX($F$6211:F6892)</f>
        <v>1.2942</v>
      </c>
      <c r="I6892" s="11">
        <f t="shared" si="168"/>
        <v>0.00123628496368422</v>
      </c>
      <c r="J6892" s="9"/>
      <c r="K6892" s="11"/>
      <c r="L6892" s="9">
        <f>MAX($F$6779:F6892)</f>
        <v>1.2942</v>
      </c>
      <c r="M6892" s="11">
        <f t="shared" si="167"/>
        <v>0.00123628496368422</v>
      </c>
      <c r="N6892" s="9" t="s">
        <v>804</v>
      </c>
    </row>
    <row r="6893" ht="25" customHeight="1" spans="1:14">
      <c r="A6893" s="9" t="s">
        <v>231</v>
      </c>
      <c r="B6893" s="9" t="s">
        <v>229</v>
      </c>
      <c r="C6893" s="10">
        <v>45350</v>
      </c>
      <c r="D6893" s="15">
        <v>1.2927</v>
      </c>
      <c r="E6893" s="15">
        <v>1.2927</v>
      </c>
      <c r="F6893" s="15">
        <v>1.2927</v>
      </c>
      <c r="G6893" s="11">
        <v>0.0001</v>
      </c>
      <c r="H6893" s="9">
        <f>MAX($F$6211:F6893)</f>
        <v>1.2942</v>
      </c>
      <c r="I6893" s="11">
        <f t="shared" si="168"/>
        <v>0.0011590171534539</v>
      </c>
      <c r="J6893" s="9"/>
      <c r="K6893" s="11"/>
      <c r="L6893" s="9">
        <f>MAX($F$6779:F6893)</f>
        <v>1.2942</v>
      </c>
      <c r="M6893" s="11">
        <f t="shared" si="167"/>
        <v>0.0011590171534539</v>
      </c>
      <c r="N6893" s="9" t="s">
        <v>804</v>
      </c>
    </row>
    <row r="6894" ht="25" customHeight="1" spans="1:14">
      <c r="A6894" s="9" t="s">
        <v>231</v>
      </c>
      <c r="B6894" s="9" t="s">
        <v>229</v>
      </c>
      <c r="C6894" s="10">
        <v>45351</v>
      </c>
      <c r="D6894" s="15">
        <v>1.2927</v>
      </c>
      <c r="E6894" s="15">
        <v>1.2927</v>
      </c>
      <c r="F6894" s="15">
        <v>1.2927</v>
      </c>
      <c r="G6894" s="11">
        <v>0</v>
      </c>
      <c r="H6894" s="9">
        <f>MAX($F$6211:F6894)</f>
        <v>1.2942</v>
      </c>
      <c r="I6894" s="11">
        <f t="shared" si="168"/>
        <v>0.0011590171534539</v>
      </c>
      <c r="J6894" s="9"/>
      <c r="K6894" s="11"/>
      <c r="L6894" s="9">
        <f>MAX($F$6779:F6894)</f>
        <v>1.2942</v>
      </c>
      <c r="M6894" s="11">
        <f t="shared" si="167"/>
        <v>0.0011590171534539</v>
      </c>
      <c r="N6894" s="9" t="s">
        <v>804</v>
      </c>
    </row>
    <row r="6895" ht="25" customHeight="1" spans="1:14">
      <c r="A6895" s="9" t="s">
        <v>231</v>
      </c>
      <c r="B6895" s="9" t="s">
        <v>229</v>
      </c>
      <c r="C6895" s="10">
        <v>45352</v>
      </c>
      <c r="D6895" s="15">
        <v>1.293</v>
      </c>
      <c r="E6895" s="15">
        <v>1.293</v>
      </c>
      <c r="F6895" s="15">
        <v>1.293</v>
      </c>
      <c r="G6895" s="11">
        <v>0.0002</v>
      </c>
      <c r="H6895" s="9">
        <f>MAX($F$6211:F6895)</f>
        <v>1.2942</v>
      </c>
      <c r="I6895" s="11">
        <f t="shared" si="168"/>
        <v>0.000927213722763165</v>
      </c>
      <c r="J6895" s="9"/>
      <c r="K6895" s="11"/>
      <c r="L6895" s="9">
        <f>MAX($F$6779:F6895)</f>
        <v>1.2942</v>
      </c>
      <c r="M6895" s="11">
        <f t="shared" si="167"/>
        <v>0.000927213722763165</v>
      </c>
      <c r="N6895" s="9" t="s">
        <v>804</v>
      </c>
    </row>
    <row r="6896" ht="25" customHeight="1" spans="1:14">
      <c r="A6896" s="9" t="s">
        <v>231</v>
      </c>
      <c r="B6896" s="9" t="s">
        <v>229</v>
      </c>
      <c r="C6896" s="10">
        <v>45355</v>
      </c>
      <c r="D6896" s="15">
        <v>1.2929</v>
      </c>
      <c r="E6896" s="15">
        <v>1.2929</v>
      </c>
      <c r="F6896" s="15">
        <v>1.2929</v>
      </c>
      <c r="G6896" s="11">
        <v>-0.0001</v>
      </c>
      <c r="H6896" s="9">
        <f>MAX($F$6211:F6896)</f>
        <v>1.2942</v>
      </c>
      <c r="I6896" s="11">
        <f t="shared" si="168"/>
        <v>0.00100448153299337</v>
      </c>
      <c r="J6896" s="9"/>
      <c r="K6896" s="11"/>
      <c r="L6896" s="9">
        <f>MAX($F$6779:F6896)</f>
        <v>1.2942</v>
      </c>
      <c r="M6896" s="11">
        <f t="shared" si="167"/>
        <v>0.00100448153299337</v>
      </c>
      <c r="N6896" s="9" t="s">
        <v>804</v>
      </c>
    </row>
    <row r="6897" ht="25" customHeight="1" spans="1:14">
      <c r="A6897" s="9" t="s">
        <v>231</v>
      </c>
      <c r="B6897" s="9" t="s">
        <v>229</v>
      </c>
      <c r="C6897" s="10">
        <v>45356</v>
      </c>
      <c r="D6897" s="15">
        <v>1.293</v>
      </c>
      <c r="E6897" s="15">
        <v>1.293</v>
      </c>
      <c r="F6897" s="15">
        <v>1.293</v>
      </c>
      <c r="G6897" s="11">
        <v>0.0001</v>
      </c>
      <c r="H6897" s="9">
        <f>MAX($F$6211:F6897)</f>
        <v>1.2942</v>
      </c>
      <c r="I6897" s="11">
        <f t="shared" si="168"/>
        <v>0.000927213722763165</v>
      </c>
      <c r="J6897" s="9"/>
      <c r="K6897" s="11"/>
      <c r="L6897" s="9">
        <f>MAX($F$6779:F6897)</f>
        <v>1.2942</v>
      </c>
      <c r="M6897" s="11">
        <f t="shared" si="167"/>
        <v>0.000927213722763165</v>
      </c>
      <c r="N6897" s="9" t="s">
        <v>804</v>
      </c>
    </row>
    <row r="6898" ht="25" customHeight="1" spans="1:14">
      <c r="A6898" s="9" t="s">
        <v>231</v>
      </c>
      <c r="B6898" s="9" t="s">
        <v>229</v>
      </c>
      <c r="C6898" s="10">
        <v>45357</v>
      </c>
      <c r="D6898" s="15">
        <v>1.2931</v>
      </c>
      <c r="E6898" s="15">
        <v>1.2931</v>
      </c>
      <c r="F6898" s="15">
        <v>1.2931</v>
      </c>
      <c r="G6898" s="11">
        <v>0.0001</v>
      </c>
      <c r="H6898" s="9">
        <f>MAX($F$6211:F6898)</f>
        <v>1.2942</v>
      </c>
      <c r="I6898" s="11">
        <f t="shared" si="168"/>
        <v>0.000849945912532957</v>
      </c>
      <c r="J6898" s="9"/>
      <c r="K6898" s="11"/>
      <c r="L6898" s="9">
        <f>MAX($F$6779:F6898)</f>
        <v>1.2942</v>
      </c>
      <c r="M6898" s="11">
        <f t="shared" si="167"/>
        <v>0.000849945912532957</v>
      </c>
      <c r="N6898" s="9" t="s">
        <v>804</v>
      </c>
    </row>
    <row r="6899" ht="25" customHeight="1" spans="1:14">
      <c r="A6899" s="9" t="s">
        <v>231</v>
      </c>
      <c r="B6899" s="9" t="s">
        <v>229</v>
      </c>
      <c r="C6899" s="10">
        <v>45358</v>
      </c>
      <c r="D6899" s="15">
        <v>1.294</v>
      </c>
      <c r="E6899" s="15">
        <v>1.294</v>
      </c>
      <c r="F6899" s="15">
        <v>1.294</v>
      </c>
      <c r="G6899" s="11">
        <v>0.0007</v>
      </c>
      <c r="H6899" s="9">
        <f>MAX($F$6211:F6899)</f>
        <v>1.2942</v>
      </c>
      <c r="I6899" s="11">
        <f t="shared" si="168"/>
        <v>0.000154535620460527</v>
      </c>
      <c r="J6899" s="9"/>
      <c r="K6899" s="11"/>
      <c r="L6899" s="9">
        <f>MAX($F$6779:F6899)</f>
        <v>1.2942</v>
      </c>
      <c r="M6899" s="11">
        <f t="shared" si="167"/>
        <v>0.000154535620460527</v>
      </c>
      <c r="N6899" s="9" t="s">
        <v>804</v>
      </c>
    </row>
    <row r="6900" ht="25" customHeight="1" spans="1:14">
      <c r="A6900" s="9" t="s">
        <v>231</v>
      </c>
      <c r="B6900" s="9" t="s">
        <v>229</v>
      </c>
      <c r="C6900" s="10">
        <v>45359</v>
      </c>
      <c r="D6900" s="15">
        <v>1.2943</v>
      </c>
      <c r="E6900" s="15">
        <v>1.2943</v>
      </c>
      <c r="F6900" s="15">
        <v>1.2943</v>
      </c>
      <c r="G6900" s="11">
        <v>0.0002</v>
      </c>
      <c r="H6900" s="9">
        <f>MAX($F$6211:F6900)</f>
        <v>1.2943</v>
      </c>
      <c r="I6900" s="11">
        <f t="shared" si="168"/>
        <v>0</v>
      </c>
      <c r="J6900" s="9"/>
      <c r="K6900" s="11"/>
      <c r="L6900" s="9">
        <f>MAX($F$6779:F6900)</f>
        <v>1.2943</v>
      </c>
      <c r="M6900" s="11">
        <f t="shared" si="167"/>
        <v>0</v>
      </c>
      <c r="N6900" s="9" t="s">
        <v>804</v>
      </c>
    </row>
    <row r="6901" ht="25" customHeight="1" spans="1:14">
      <c r="A6901" s="9" t="s">
        <v>231</v>
      </c>
      <c r="B6901" s="9" t="s">
        <v>229</v>
      </c>
      <c r="C6901" s="10">
        <v>45362</v>
      </c>
      <c r="D6901" s="15">
        <v>1.2945</v>
      </c>
      <c r="E6901" s="15">
        <v>1.2945</v>
      </c>
      <c r="F6901" s="15">
        <v>1.2945</v>
      </c>
      <c r="G6901" s="11">
        <v>0.0002</v>
      </c>
      <c r="H6901" s="9">
        <f>MAX($F$6211:F6901)</f>
        <v>1.2945</v>
      </c>
      <c r="I6901" s="11">
        <f t="shared" si="168"/>
        <v>0</v>
      </c>
      <c r="J6901" s="9"/>
      <c r="K6901" s="11"/>
      <c r="L6901" s="9">
        <f>MAX($F$6779:F6901)</f>
        <v>1.2945</v>
      </c>
      <c r="M6901" s="11">
        <f t="shared" si="167"/>
        <v>0</v>
      </c>
      <c r="N6901" s="9" t="s">
        <v>804</v>
      </c>
    </row>
    <row r="6902" ht="25" customHeight="1" spans="1:14">
      <c r="A6902" s="9" t="s">
        <v>231</v>
      </c>
      <c r="B6902" s="9" t="s">
        <v>229</v>
      </c>
      <c r="C6902" s="10">
        <v>45363</v>
      </c>
      <c r="D6902" s="15">
        <v>1.2948</v>
      </c>
      <c r="E6902" s="15">
        <v>1.2948</v>
      </c>
      <c r="F6902" s="15">
        <v>1.2948</v>
      </c>
      <c r="G6902" s="11">
        <v>0.0002</v>
      </c>
      <c r="H6902" s="9">
        <f>MAX($F$6211:F6902)</f>
        <v>1.2948</v>
      </c>
      <c r="I6902" s="11">
        <f t="shared" si="168"/>
        <v>0</v>
      </c>
      <c r="J6902" s="9"/>
      <c r="K6902" s="11"/>
      <c r="L6902" s="9">
        <f>MAX($F$6779:F6902)</f>
        <v>1.2948</v>
      </c>
      <c r="M6902" s="11">
        <f t="shared" si="167"/>
        <v>0</v>
      </c>
      <c r="N6902" s="9" t="s">
        <v>804</v>
      </c>
    </row>
    <row r="6903" ht="25" customHeight="1" spans="1:14">
      <c r="A6903" s="9" t="s">
        <v>231</v>
      </c>
      <c r="B6903" s="9" t="s">
        <v>229</v>
      </c>
      <c r="C6903" s="10">
        <v>45364</v>
      </c>
      <c r="D6903" s="15">
        <v>1.2961</v>
      </c>
      <c r="E6903" s="15">
        <v>1.2961</v>
      </c>
      <c r="F6903" s="15">
        <v>1.2961</v>
      </c>
      <c r="G6903" s="11">
        <v>0.001</v>
      </c>
      <c r="H6903" s="9">
        <f>MAX($F$6211:F6903)</f>
        <v>1.2961</v>
      </c>
      <c r="I6903" s="11">
        <f t="shared" si="168"/>
        <v>0</v>
      </c>
      <c r="J6903" s="9"/>
      <c r="K6903" s="11"/>
      <c r="L6903" s="9">
        <f>MAX($F$6779:F6903)</f>
        <v>1.2961</v>
      </c>
      <c r="M6903" s="11">
        <f t="shared" si="167"/>
        <v>0</v>
      </c>
      <c r="N6903" s="9" t="s">
        <v>804</v>
      </c>
    </row>
    <row r="6904" ht="25" customHeight="1" spans="1:14">
      <c r="A6904" s="9" t="s">
        <v>231</v>
      </c>
      <c r="B6904" s="9" t="s">
        <v>229</v>
      </c>
      <c r="C6904" s="10">
        <v>45365</v>
      </c>
      <c r="D6904" s="15">
        <v>1.2963</v>
      </c>
      <c r="E6904" s="15">
        <v>1.2963</v>
      </c>
      <c r="F6904" s="15">
        <v>1.2963</v>
      </c>
      <c r="G6904" s="11">
        <v>0.0002</v>
      </c>
      <c r="H6904" s="9">
        <f>MAX($F$6211:F6904)</f>
        <v>1.2963</v>
      </c>
      <c r="I6904" s="11">
        <f t="shared" si="168"/>
        <v>0</v>
      </c>
      <c r="J6904" s="9"/>
      <c r="K6904" s="11"/>
      <c r="L6904" s="9">
        <f>MAX($F$6779:F6904)</f>
        <v>1.2963</v>
      </c>
      <c r="M6904" s="11">
        <f t="shared" si="167"/>
        <v>0</v>
      </c>
      <c r="N6904" s="9" t="s">
        <v>804</v>
      </c>
    </row>
    <row r="6905" ht="25" customHeight="1" spans="1:14">
      <c r="A6905" s="9" t="s">
        <v>231</v>
      </c>
      <c r="B6905" s="9" t="s">
        <v>229</v>
      </c>
      <c r="C6905" s="10">
        <v>45366</v>
      </c>
      <c r="D6905" s="15">
        <v>1.2965</v>
      </c>
      <c r="E6905" s="15">
        <v>1.2965</v>
      </c>
      <c r="F6905" s="15">
        <v>1.2965</v>
      </c>
      <c r="G6905" s="11">
        <v>0.0002</v>
      </c>
      <c r="H6905" s="9">
        <f>MAX($F$6211:F6905)</f>
        <v>1.2965</v>
      </c>
      <c r="I6905" s="11">
        <f t="shared" si="168"/>
        <v>0</v>
      </c>
      <c r="J6905" s="9"/>
      <c r="K6905" s="11"/>
      <c r="L6905" s="9">
        <f>MAX($F$6779:F6905)</f>
        <v>1.2965</v>
      </c>
      <c r="M6905" s="11">
        <f t="shared" si="167"/>
        <v>0</v>
      </c>
      <c r="N6905" s="9" t="s">
        <v>804</v>
      </c>
    </row>
    <row r="6906" ht="25" customHeight="1" spans="1:14">
      <c r="A6906" s="9" t="s">
        <v>231</v>
      </c>
      <c r="B6906" s="9" t="s">
        <v>229</v>
      </c>
      <c r="C6906" s="10">
        <v>45369</v>
      </c>
      <c r="D6906" s="15">
        <v>1.297</v>
      </c>
      <c r="E6906" s="15">
        <v>1.297</v>
      </c>
      <c r="F6906" s="15">
        <v>1.297</v>
      </c>
      <c r="G6906" s="11">
        <v>0.0004</v>
      </c>
      <c r="H6906" s="9">
        <f>MAX($F$6211:F6906)</f>
        <v>1.297</v>
      </c>
      <c r="I6906" s="11">
        <f t="shared" si="168"/>
        <v>0</v>
      </c>
      <c r="J6906" s="9"/>
      <c r="K6906" s="11"/>
      <c r="L6906" s="9">
        <f>MAX($F$6779:F6906)</f>
        <v>1.297</v>
      </c>
      <c r="M6906" s="11">
        <f t="shared" si="167"/>
        <v>0</v>
      </c>
      <c r="N6906" s="9" t="s">
        <v>804</v>
      </c>
    </row>
    <row r="6907" ht="25" customHeight="1" spans="1:14">
      <c r="A6907" s="9" t="s">
        <v>231</v>
      </c>
      <c r="B6907" s="9" t="s">
        <v>229</v>
      </c>
      <c r="C6907" s="10">
        <v>45370</v>
      </c>
      <c r="D6907" s="15">
        <v>1.2977</v>
      </c>
      <c r="E6907" s="15">
        <v>1.2977</v>
      </c>
      <c r="F6907" s="15">
        <v>1.2977</v>
      </c>
      <c r="G6907" s="11">
        <v>0.0005</v>
      </c>
      <c r="H6907" s="9">
        <f>MAX($F$6211:F6907)</f>
        <v>1.2977</v>
      </c>
      <c r="I6907" s="11">
        <f t="shared" si="168"/>
        <v>0</v>
      </c>
      <c r="J6907" s="9"/>
      <c r="K6907" s="11"/>
      <c r="L6907" s="9">
        <f>MAX($F$6779:F6907)</f>
        <v>1.2977</v>
      </c>
      <c r="M6907" s="11">
        <f t="shared" ref="M6907:M6970" si="169">1-F6907/L6907</f>
        <v>0</v>
      </c>
      <c r="N6907" s="9" t="s">
        <v>804</v>
      </c>
    </row>
    <row r="6908" ht="25" customHeight="1" spans="1:14">
      <c r="A6908" s="9" t="s">
        <v>231</v>
      </c>
      <c r="B6908" s="9" t="s">
        <v>229</v>
      </c>
      <c r="C6908" s="10">
        <v>45371</v>
      </c>
      <c r="D6908" s="15">
        <v>1.2978</v>
      </c>
      <c r="E6908" s="15">
        <v>1.2978</v>
      </c>
      <c r="F6908" s="15">
        <v>1.2978</v>
      </c>
      <c r="G6908" s="11">
        <v>0.0001</v>
      </c>
      <c r="H6908" s="9">
        <f>MAX($F$6211:F6908)</f>
        <v>1.2978</v>
      </c>
      <c r="I6908" s="11">
        <f t="shared" si="168"/>
        <v>0</v>
      </c>
      <c r="J6908" s="9"/>
      <c r="K6908" s="11"/>
      <c r="L6908" s="9">
        <f>MAX($F$6779:F6908)</f>
        <v>1.2978</v>
      </c>
      <c r="M6908" s="11">
        <f t="shared" si="169"/>
        <v>0</v>
      </c>
      <c r="N6908" s="9" t="s">
        <v>804</v>
      </c>
    </row>
    <row r="6909" ht="25" customHeight="1" spans="1:14">
      <c r="A6909" s="9" t="s">
        <v>231</v>
      </c>
      <c r="B6909" s="9" t="s">
        <v>229</v>
      </c>
      <c r="C6909" s="10">
        <v>45372</v>
      </c>
      <c r="D6909" s="15">
        <v>1.2983</v>
      </c>
      <c r="E6909" s="15">
        <v>1.2983</v>
      </c>
      <c r="F6909" s="15">
        <v>1.2983</v>
      </c>
      <c r="G6909" s="11">
        <v>0.0004</v>
      </c>
      <c r="H6909" s="9">
        <f>MAX($F$6211:F6909)</f>
        <v>1.2983</v>
      </c>
      <c r="I6909" s="11">
        <f t="shared" si="168"/>
        <v>0</v>
      </c>
      <c r="J6909" s="9"/>
      <c r="K6909" s="11"/>
      <c r="L6909" s="9">
        <f>MAX($F$6779:F6909)</f>
        <v>1.2983</v>
      </c>
      <c r="M6909" s="11">
        <f t="shared" si="169"/>
        <v>0</v>
      </c>
      <c r="N6909" s="9" t="s">
        <v>804</v>
      </c>
    </row>
    <row r="6910" ht="25" customHeight="1" spans="1:14">
      <c r="A6910" s="9" t="s">
        <v>231</v>
      </c>
      <c r="B6910" s="9" t="s">
        <v>229</v>
      </c>
      <c r="C6910" s="10">
        <v>45373</v>
      </c>
      <c r="D6910" s="15">
        <v>1.2984</v>
      </c>
      <c r="E6910" s="15">
        <v>1.2984</v>
      </c>
      <c r="F6910" s="15">
        <v>1.2984</v>
      </c>
      <c r="G6910" s="11">
        <v>0.0001</v>
      </c>
      <c r="H6910" s="9">
        <f>MAX($F$6211:F6910)</f>
        <v>1.2984</v>
      </c>
      <c r="I6910" s="11">
        <f t="shared" si="168"/>
        <v>0</v>
      </c>
      <c r="J6910" s="9"/>
      <c r="K6910" s="11"/>
      <c r="L6910" s="9">
        <f>MAX($F$6779:F6910)</f>
        <v>1.2984</v>
      </c>
      <c r="M6910" s="11">
        <f t="shared" si="169"/>
        <v>0</v>
      </c>
      <c r="N6910" s="9" t="s">
        <v>804</v>
      </c>
    </row>
    <row r="6911" ht="25" customHeight="1" spans="1:14">
      <c r="A6911" s="9" t="s">
        <v>231</v>
      </c>
      <c r="B6911" s="9" t="s">
        <v>229</v>
      </c>
      <c r="C6911" s="10">
        <v>45376</v>
      </c>
      <c r="D6911" s="15">
        <v>1.299</v>
      </c>
      <c r="E6911" s="15">
        <v>1.299</v>
      </c>
      <c r="F6911" s="15">
        <v>1.299</v>
      </c>
      <c r="G6911" s="11">
        <v>0.0005</v>
      </c>
      <c r="H6911" s="9">
        <f>MAX($F$6211:F6911)</f>
        <v>1.299</v>
      </c>
      <c r="I6911" s="11">
        <f t="shared" si="168"/>
        <v>0</v>
      </c>
      <c r="J6911" s="9"/>
      <c r="K6911" s="11"/>
      <c r="L6911" s="9">
        <f>MAX($F$6779:F6911)</f>
        <v>1.299</v>
      </c>
      <c r="M6911" s="11">
        <f t="shared" si="169"/>
        <v>0</v>
      </c>
      <c r="N6911" s="9" t="s">
        <v>804</v>
      </c>
    </row>
    <row r="6912" ht="25" customHeight="1" spans="1:14">
      <c r="A6912" s="9" t="s">
        <v>231</v>
      </c>
      <c r="B6912" s="9" t="s">
        <v>229</v>
      </c>
      <c r="C6912" s="10">
        <v>45377</v>
      </c>
      <c r="D6912" s="15">
        <v>1.2995</v>
      </c>
      <c r="E6912" s="15">
        <v>1.2995</v>
      </c>
      <c r="F6912" s="15">
        <v>1.2995</v>
      </c>
      <c r="G6912" s="11">
        <v>0.0004</v>
      </c>
      <c r="H6912" s="9">
        <f>MAX($F$6211:F6912)</f>
        <v>1.2995</v>
      </c>
      <c r="I6912" s="11">
        <f t="shared" si="168"/>
        <v>0</v>
      </c>
      <c r="J6912" s="9"/>
      <c r="K6912" s="11"/>
      <c r="L6912" s="9">
        <f>MAX($F$6779:F6912)</f>
        <v>1.2995</v>
      </c>
      <c r="M6912" s="11">
        <f t="shared" si="169"/>
        <v>0</v>
      </c>
      <c r="N6912" s="9" t="s">
        <v>804</v>
      </c>
    </row>
    <row r="6913" ht="25" customHeight="1" spans="1:14">
      <c r="A6913" s="9" t="s">
        <v>231</v>
      </c>
      <c r="B6913" s="9" t="s">
        <v>229</v>
      </c>
      <c r="C6913" s="10">
        <v>45378</v>
      </c>
      <c r="D6913" s="15">
        <v>1.3001</v>
      </c>
      <c r="E6913" s="15">
        <v>1.3001</v>
      </c>
      <c r="F6913" s="15">
        <v>1.3001</v>
      </c>
      <c r="G6913" s="11">
        <v>0.0005</v>
      </c>
      <c r="H6913" s="9">
        <f>MAX($F$6211:F6913)</f>
        <v>1.3001</v>
      </c>
      <c r="I6913" s="11">
        <f t="shared" si="168"/>
        <v>0</v>
      </c>
      <c r="J6913" s="9"/>
      <c r="K6913" s="11"/>
      <c r="L6913" s="9">
        <f>MAX($F$6779:F6913)</f>
        <v>1.3001</v>
      </c>
      <c r="M6913" s="11">
        <f t="shared" si="169"/>
        <v>0</v>
      </c>
      <c r="N6913" s="9" t="s">
        <v>804</v>
      </c>
    </row>
    <row r="6914" ht="25" customHeight="1" spans="1:14">
      <c r="A6914" s="9" t="s">
        <v>231</v>
      </c>
      <c r="B6914" s="9" t="s">
        <v>229</v>
      </c>
      <c r="C6914" s="10">
        <v>45379</v>
      </c>
      <c r="D6914" s="15">
        <v>1.3003</v>
      </c>
      <c r="E6914" s="15">
        <v>1.3003</v>
      </c>
      <c r="F6914" s="15">
        <v>1.3003</v>
      </c>
      <c r="G6914" s="11">
        <v>0.0002</v>
      </c>
      <c r="H6914" s="9">
        <f>MAX($F$6211:F6914)</f>
        <v>1.3003</v>
      </c>
      <c r="I6914" s="11">
        <f t="shared" ref="I6914:I6977" si="170">1-F6914/H6914</f>
        <v>0</v>
      </c>
      <c r="J6914" s="9"/>
      <c r="K6914" s="11"/>
      <c r="L6914" s="9">
        <f>MAX($F$6779:F6914)</f>
        <v>1.3003</v>
      </c>
      <c r="M6914" s="11">
        <f t="shared" si="169"/>
        <v>0</v>
      </c>
      <c r="N6914" s="9" t="s">
        <v>804</v>
      </c>
    </row>
    <row r="6915" ht="25" customHeight="1" spans="1:14">
      <c r="A6915" s="9" t="s">
        <v>231</v>
      </c>
      <c r="B6915" s="9" t="s">
        <v>229</v>
      </c>
      <c r="C6915" s="10">
        <v>45380</v>
      </c>
      <c r="D6915" s="15">
        <v>1.3004</v>
      </c>
      <c r="E6915" s="15">
        <v>1.3004</v>
      </c>
      <c r="F6915" s="15">
        <v>1.3004</v>
      </c>
      <c r="G6915" s="11">
        <v>0.0001</v>
      </c>
      <c r="H6915" s="9">
        <f>MAX($F$6211:F6915)</f>
        <v>1.3004</v>
      </c>
      <c r="I6915" s="11">
        <f t="shared" si="170"/>
        <v>0</v>
      </c>
      <c r="J6915" s="9"/>
      <c r="K6915" s="11"/>
      <c r="L6915" s="9">
        <f>MAX($F$6779:F6915)</f>
        <v>1.3004</v>
      </c>
      <c r="M6915" s="11">
        <f t="shared" si="169"/>
        <v>0</v>
      </c>
      <c r="N6915" s="9" t="s">
        <v>804</v>
      </c>
    </row>
    <row r="6916" ht="25" customHeight="1" spans="1:14">
      <c r="A6916" s="9" t="s">
        <v>231</v>
      </c>
      <c r="B6916" s="9" t="s">
        <v>229</v>
      </c>
      <c r="C6916" s="10">
        <v>45383</v>
      </c>
      <c r="D6916" s="15">
        <v>1.3</v>
      </c>
      <c r="E6916" s="15">
        <v>1.3</v>
      </c>
      <c r="F6916" s="15">
        <v>1.3</v>
      </c>
      <c r="G6916" s="11">
        <v>-0.0003</v>
      </c>
      <c r="H6916" s="9">
        <f>MAX($F$6211:F6916)</f>
        <v>1.3004</v>
      </c>
      <c r="I6916" s="11">
        <f t="shared" si="170"/>
        <v>0.000307597662257741</v>
      </c>
      <c r="J6916" s="9"/>
      <c r="K6916" s="11"/>
      <c r="L6916" s="9">
        <f>MAX($F$6779:F6916)</f>
        <v>1.3004</v>
      </c>
      <c r="M6916" s="11">
        <f t="shared" si="169"/>
        <v>0.000307597662257741</v>
      </c>
      <c r="N6916" s="9" t="s">
        <v>804</v>
      </c>
    </row>
    <row r="6917" ht="25" customHeight="1" spans="1:14">
      <c r="A6917" s="9" t="s">
        <v>231</v>
      </c>
      <c r="B6917" s="9" t="s">
        <v>229</v>
      </c>
      <c r="C6917" s="10">
        <v>45384</v>
      </c>
      <c r="D6917" s="15">
        <v>1.3006</v>
      </c>
      <c r="E6917" s="15">
        <v>1.3006</v>
      </c>
      <c r="F6917" s="15">
        <v>1.3006</v>
      </c>
      <c r="G6917" s="11">
        <v>0.0005</v>
      </c>
      <c r="H6917" s="9">
        <f>MAX($F$6211:F6917)</f>
        <v>1.3006</v>
      </c>
      <c r="I6917" s="11">
        <f t="shared" si="170"/>
        <v>0</v>
      </c>
      <c r="J6917" s="9"/>
      <c r="K6917" s="11"/>
      <c r="L6917" s="9">
        <f>MAX($F$6779:F6917)</f>
        <v>1.3006</v>
      </c>
      <c r="M6917" s="11">
        <f t="shared" si="169"/>
        <v>0</v>
      </c>
      <c r="N6917" s="9" t="s">
        <v>804</v>
      </c>
    </row>
    <row r="6918" ht="25" customHeight="1" spans="1:14">
      <c r="A6918" s="9" t="s">
        <v>231</v>
      </c>
      <c r="B6918" s="9" t="s">
        <v>229</v>
      </c>
      <c r="C6918" s="10">
        <v>45385</v>
      </c>
      <c r="D6918" s="15">
        <v>1.301</v>
      </c>
      <c r="E6918" s="15">
        <v>1.301</v>
      </c>
      <c r="F6918" s="15">
        <v>1.301</v>
      </c>
      <c r="G6918" s="11">
        <v>0.0003</v>
      </c>
      <c r="H6918" s="9">
        <f>MAX($F$6211:F6918)</f>
        <v>1.301</v>
      </c>
      <c r="I6918" s="11">
        <f t="shared" si="170"/>
        <v>0</v>
      </c>
      <c r="J6918" s="9"/>
      <c r="K6918" s="11"/>
      <c r="L6918" s="9">
        <f>MAX($F$6779:F6918)</f>
        <v>1.301</v>
      </c>
      <c r="M6918" s="11">
        <f t="shared" si="169"/>
        <v>0</v>
      </c>
      <c r="N6918" s="9" t="s">
        <v>804</v>
      </c>
    </row>
    <row r="6919" ht="25" customHeight="1" spans="1:14">
      <c r="A6919" s="9" t="s">
        <v>231</v>
      </c>
      <c r="B6919" s="9" t="s">
        <v>229</v>
      </c>
      <c r="C6919" s="10">
        <v>45390</v>
      </c>
      <c r="D6919" s="15">
        <v>1.3013</v>
      </c>
      <c r="E6919" s="15">
        <v>1.3013</v>
      </c>
      <c r="F6919" s="15">
        <v>1.3013</v>
      </c>
      <c r="G6919" s="11">
        <v>0.0002</v>
      </c>
      <c r="H6919" s="9">
        <f>MAX($F$6211:F6919)</f>
        <v>1.3013</v>
      </c>
      <c r="I6919" s="11">
        <f t="shared" si="170"/>
        <v>0</v>
      </c>
      <c r="J6919" s="9"/>
      <c r="K6919" s="11"/>
      <c r="L6919" s="9">
        <f>MAX($F$6779:F6919)</f>
        <v>1.3013</v>
      </c>
      <c r="M6919" s="11">
        <f t="shared" si="169"/>
        <v>0</v>
      </c>
      <c r="N6919" s="9" t="s">
        <v>804</v>
      </c>
    </row>
    <row r="6920" ht="25" customHeight="1" spans="1:14">
      <c r="A6920" s="9" t="s">
        <v>231</v>
      </c>
      <c r="B6920" s="9" t="s">
        <v>229</v>
      </c>
      <c r="C6920" s="10">
        <v>45391</v>
      </c>
      <c r="D6920" s="15">
        <v>1.3028</v>
      </c>
      <c r="E6920" s="15">
        <v>1.3028</v>
      </c>
      <c r="F6920" s="15">
        <v>1.3028</v>
      </c>
      <c r="G6920" s="11">
        <v>0.0012</v>
      </c>
      <c r="H6920" s="9">
        <f>MAX($F$6211:F6920)</f>
        <v>1.3028</v>
      </c>
      <c r="I6920" s="11">
        <f t="shared" si="170"/>
        <v>0</v>
      </c>
      <c r="J6920" s="9"/>
      <c r="K6920" s="11"/>
      <c r="L6920" s="9">
        <f>MAX($F$6779:F6920)</f>
        <v>1.3028</v>
      </c>
      <c r="M6920" s="11">
        <f t="shared" si="169"/>
        <v>0</v>
      </c>
      <c r="N6920" s="9" t="s">
        <v>804</v>
      </c>
    </row>
    <row r="6921" ht="25" customHeight="1" spans="1:14">
      <c r="A6921" s="9" t="s">
        <v>231</v>
      </c>
      <c r="B6921" s="9" t="s">
        <v>229</v>
      </c>
      <c r="C6921" s="10">
        <v>45392</v>
      </c>
      <c r="D6921" s="15">
        <v>1.3035</v>
      </c>
      <c r="E6921" s="15">
        <v>1.3035</v>
      </c>
      <c r="F6921" s="15">
        <v>1.3035</v>
      </c>
      <c r="G6921" s="11">
        <v>0.0005</v>
      </c>
      <c r="H6921" s="9">
        <f>MAX($F$6211:F6921)</f>
        <v>1.3035</v>
      </c>
      <c r="I6921" s="11">
        <f t="shared" si="170"/>
        <v>0</v>
      </c>
      <c r="J6921" s="9"/>
      <c r="K6921" s="11"/>
      <c r="L6921" s="9">
        <f>MAX($F$6779:F6921)</f>
        <v>1.3035</v>
      </c>
      <c r="M6921" s="11">
        <f t="shared" si="169"/>
        <v>0</v>
      </c>
      <c r="N6921" s="9" t="s">
        <v>804</v>
      </c>
    </row>
    <row r="6922" ht="25" customHeight="1" spans="1:14">
      <c r="A6922" s="9" t="s">
        <v>231</v>
      </c>
      <c r="B6922" s="9" t="s">
        <v>229</v>
      </c>
      <c r="C6922" s="10">
        <v>45393</v>
      </c>
      <c r="D6922" s="15">
        <v>1.3035</v>
      </c>
      <c r="E6922" s="15">
        <v>1.3035</v>
      </c>
      <c r="F6922" s="15">
        <v>1.3035</v>
      </c>
      <c r="G6922" s="11">
        <v>0</v>
      </c>
      <c r="H6922" s="9">
        <f>MAX($F$6211:F6922)</f>
        <v>1.3035</v>
      </c>
      <c r="I6922" s="11">
        <f t="shared" si="170"/>
        <v>0</v>
      </c>
      <c r="J6922" s="9"/>
      <c r="K6922" s="11"/>
      <c r="L6922" s="9">
        <f>MAX($F$6779:F6922)</f>
        <v>1.3035</v>
      </c>
      <c r="M6922" s="11">
        <f t="shared" si="169"/>
        <v>0</v>
      </c>
      <c r="N6922" s="9" t="s">
        <v>804</v>
      </c>
    </row>
    <row r="6923" ht="25" customHeight="1" spans="1:14">
      <c r="A6923" s="9" t="s">
        <v>231</v>
      </c>
      <c r="B6923" s="9" t="s">
        <v>229</v>
      </c>
      <c r="C6923" s="10">
        <v>45394</v>
      </c>
      <c r="D6923" s="15">
        <v>1.3041</v>
      </c>
      <c r="E6923" s="15">
        <v>1.3041</v>
      </c>
      <c r="F6923" s="15">
        <v>1.3041</v>
      </c>
      <c r="G6923" s="11">
        <v>0.0005</v>
      </c>
      <c r="H6923" s="9">
        <f>MAX($F$6211:F6923)</f>
        <v>1.3041</v>
      </c>
      <c r="I6923" s="11">
        <f t="shared" si="170"/>
        <v>0</v>
      </c>
      <c r="J6923" s="9"/>
      <c r="K6923" s="11"/>
      <c r="L6923" s="9">
        <f>MAX($F$6779:F6923)</f>
        <v>1.3041</v>
      </c>
      <c r="M6923" s="11">
        <f t="shared" si="169"/>
        <v>0</v>
      </c>
      <c r="N6923" s="9" t="s">
        <v>804</v>
      </c>
    </row>
    <row r="6924" ht="25" customHeight="1" spans="1:14">
      <c r="A6924" s="9" t="s">
        <v>231</v>
      </c>
      <c r="B6924" s="9" t="s">
        <v>229</v>
      </c>
      <c r="C6924" s="10">
        <v>45397</v>
      </c>
      <c r="D6924" s="15">
        <v>1.305</v>
      </c>
      <c r="E6924" s="15">
        <v>1.305</v>
      </c>
      <c r="F6924" s="15">
        <v>1.305</v>
      </c>
      <c r="G6924" s="11">
        <v>0.0007</v>
      </c>
      <c r="H6924" s="9">
        <f>MAX($F$6211:F6924)</f>
        <v>1.305</v>
      </c>
      <c r="I6924" s="11">
        <f t="shared" si="170"/>
        <v>0</v>
      </c>
      <c r="J6924" s="9"/>
      <c r="K6924" s="11"/>
      <c r="L6924" s="9">
        <f>MAX($F$6779:F6924)</f>
        <v>1.305</v>
      </c>
      <c r="M6924" s="11">
        <f t="shared" si="169"/>
        <v>0</v>
      </c>
      <c r="N6924" s="9" t="s">
        <v>804</v>
      </c>
    </row>
    <row r="6925" ht="25" customHeight="1" spans="1:14">
      <c r="A6925" s="9" t="s">
        <v>231</v>
      </c>
      <c r="B6925" s="9" t="s">
        <v>229</v>
      </c>
      <c r="C6925" s="10">
        <v>45398</v>
      </c>
      <c r="D6925" s="15">
        <v>1.3054</v>
      </c>
      <c r="E6925" s="15">
        <v>1.3054</v>
      </c>
      <c r="F6925" s="15">
        <v>1.3054</v>
      </c>
      <c r="G6925" s="11">
        <v>0.0003</v>
      </c>
      <c r="H6925" s="9">
        <f>MAX($F$6211:F6925)</f>
        <v>1.3054</v>
      </c>
      <c r="I6925" s="11">
        <f t="shared" si="170"/>
        <v>0</v>
      </c>
      <c r="J6925" s="9"/>
      <c r="K6925" s="11"/>
      <c r="L6925" s="9">
        <f>MAX($F$6779:F6925)</f>
        <v>1.3054</v>
      </c>
      <c r="M6925" s="11">
        <f t="shared" si="169"/>
        <v>0</v>
      </c>
      <c r="N6925" s="9" t="s">
        <v>804</v>
      </c>
    </row>
    <row r="6926" ht="25" customHeight="1" spans="1:14">
      <c r="A6926" s="9" t="s">
        <v>231</v>
      </c>
      <c r="B6926" s="9" t="s">
        <v>229</v>
      </c>
      <c r="C6926" s="10">
        <v>45399</v>
      </c>
      <c r="D6926" s="15">
        <v>1.3049</v>
      </c>
      <c r="E6926" s="15">
        <v>1.3049</v>
      </c>
      <c r="F6926" s="15">
        <v>1.3049</v>
      </c>
      <c r="G6926" s="11">
        <v>-0.0004</v>
      </c>
      <c r="H6926" s="9">
        <f>MAX($F$6211:F6926)</f>
        <v>1.3054</v>
      </c>
      <c r="I6926" s="11">
        <f t="shared" si="170"/>
        <v>0.000383024360349316</v>
      </c>
      <c r="J6926" s="9"/>
      <c r="K6926" s="11"/>
      <c r="L6926" s="9">
        <f>MAX($F$6779:F6926)</f>
        <v>1.3054</v>
      </c>
      <c r="M6926" s="11">
        <f t="shared" si="169"/>
        <v>0.000383024360349316</v>
      </c>
      <c r="N6926" s="9" t="s">
        <v>804</v>
      </c>
    </row>
    <row r="6927" ht="25" customHeight="1" spans="1:14">
      <c r="A6927" s="9" t="s">
        <v>231</v>
      </c>
      <c r="B6927" s="9" t="s">
        <v>229</v>
      </c>
      <c r="C6927" s="10">
        <v>45401</v>
      </c>
      <c r="D6927" s="15">
        <v>1.3061</v>
      </c>
      <c r="E6927" s="15">
        <v>1.3061</v>
      </c>
      <c r="F6927" s="15">
        <v>1.3061</v>
      </c>
      <c r="G6927" s="11">
        <v>0.0009</v>
      </c>
      <c r="H6927" s="9">
        <f>MAX($F$6211:F6927)</f>
        <v>1.3061</v>
      </c>
      <c r="I6927" s="11">
        <f t="shared" si="170"/>
        <v>0</v>
      </c>
      <c r="J6927" s="9"/>
      <c r="K6927" s="11"/>
      <c r="L6927" s="9">
        <f>MAX($F$6779:F6927)</f>
        <v>1.3061</v>
      </c>
      <c r="M6927" s="11">
        <f t="shared" si="169"/>
        <v>0</v>
      </c>
      <c r="N6927" s="9" t="s">
        <v>804</v>
      </c>
    </row>
    <row r="6928" ht="25" customHeight="1" spans="1:14">
      <c r="A6928" s="9" t="s">
        <v>231</v>
      </c>
      <c r="B6928" s="9" t="s">
        <v>229</v>
      </c>
      <c r="C6928" s="10">
        <v>45408</v>
      </c>
      <c r="D6928" s="15">
        <v>1.3091</v>
      </c>
      <c r="E6928" s="15">
        <v>1.3091</v>
      </c>
      <c r="F6928" s="15">
        <v>1.3091</v>
      </c>
      <c r="G6928" s="11">
        <v>0.0023</v>
      </c>
      <c r="H6928" s="9">
        <f>MAX($F$6211:F6928)</f>
        <v>1.3091</v>
      </c>
      <c r="I6928" s="11">
        <f t="shared" si="170"/>
        <v>0</v>
      </c>
      <c r="J6928" s="9"/>
      <c r="K6928" s="11"/>
      <c r="L6928" s="9">
        <f>MAX($F$6779:F6928)</f>
        <v>1.3091</v>
      </c>
      <c r="M6928" s="11">
        <f t="shared" si="169"/>
        <v>0</v>
      </c>
      <c r="N6928" s="9" t="s">
        <v>804</v>
      </c>
    </row>
    <row r="6929" ht="25" customHeight="1" spans="1:14">
      <c r="A6929" s="9" t="s">
        <v>231</v>
      </c>
      <c r="B6929" s="9" t="s">
        <v>229</v>
      </c>
      <c r="C6929" s="10">
        <v>45412</v>
      </c>
      <c r="D6929" s="15">
        <v>1.3099</v>
      </c>
      <c r="E6929" s="15">
        <v>1.3099</v>
      </c>
      <c r="F6929" s="15">
        <v>1.3099</v>
      </c>
      <c r="G6929" s="11">
        <v>0.0006</v>
      </c>
      <c r="H6929" s="9">
        <f>MAX($F$6211:F6929)</f>
        <v>1.3099</v>
      </c>
      <c r="I6929" s="11">
        <f t="shared" si="170"/>
        <v>0</v>
      </c>
      <c r="J6929" s="9"/>
      <c r="K6929" s="11"/>
      <c r="L6929" s="9">
        <f>MAX($F$6779:F6929)</f>
        <v>1.3099</v>
      </c>
      <c r="M6929" s="11">
        <f t="shared" si="169"/>
        <v>0</v>
      </c>
      <c r="N6929" s="9" t="s">
        <v>804</v>
      </c>
    </row>
    <row r="6930" ht="25" customHeight="1" spans="1:14">
      <c r="A6930" s="9" t="s">
        <v>231</v>
      </c>
      <c r="B6930" s="9" t="s">
        <v>229</v>
      </c>
      <c r="C6930" s="10">
        <v>45422</v>
      </c>
      <c r="D6930" s="15">
        <v>1.314</v>
      </c>
      <c r="E6930" s="15">
        <v>1.314</v>
      </c>
      <c r="F6930" s="15">
        <v>1.314</v>
      </c>
      <c r="G6930" s="11">
        <v>0.0031</v>
      </c>
      <c r="H6930" s="9">
        <f>MAX($F$6211:F6930)</f>
        <v>1.314</v>
      </c>
      <c r="I6930" s="11">
        <f t="shared" si="170"/>
        <v>0</v>
      </c>
      <c r="J6930" s="9"/>
      <c r="K6930" s="11"/>
      <c r="L6930" s="9">
        <f>MAX($F$6779:F6930)</f>
        <v>1.314</v>
      </c>
      <c r="M6930" s="11">
        <f t="shared" si="169"/>
        <v>0</v>
      </c>
      <c r="N6930" s="9" t="s">
        <v>804</v>
      </c>
    </row>
    <row r="6931" ht="25" customHeight="1" spans="1:14">
      <c r="A6931" s="9" t="s">
        <v>231</v>
      </c>
      <c r="B6931" s="9" t="s">
        <v>229</v>
      </c>
      <c r="C6931" s="10">
        <v>45429</v>
      </c>
      <c r="D6931" s="15">
        <v>1.3141</v>
      </c>
      <c r="E6931" s="15">
        <v>1.3141</v>
      </c>
      <c r="F6931" s="15">
        <v>1.3141</v>
      </c>
      <c r="G6931" s="11">
        <v>0.0001</v>
      </c>
      <c r="H6931" s="9">
        <f>MAX($F$6211:F6931)</f>
        <v>1.3141</v>
      </c>
      <c r="I6931" s="11">
        <f t="shared" si="170"/>
        <v>0</v>
      </c>
      <c r="J6931" s="9"/>
      <c r="K6931" s="11"/>
      <c r="L6931" s="9">
        <f>MAX($F$6779:F6931)</f>
        <v>1.3141</v>
      </c>
      <c r="M6931" s="11">
        <f t="shared" si="169"/>
        <v>0</v>
      </c>
      <c r="N6931" s="9" t="s">
        <v>804</v>
      </c>
    </row>
    <row r="6932" ht="25" customHeight="1" spans="1:14">
      <c r="A6932" s="9" t="s">
        <v>231</v>
      </c>
      <c r="B6932" s="9" t="s">
        <v>229</v>
      </c>
      <c r="C6932" s="10">
        <v>45436</v>
      </c>
      <c r="D6932" s="15">
        <v>1.318</v>
      </c>
      <c r="E6932" s="15">
        <v>1.318</v>
      </c>
      <c r="F6932" s="15">
        <v>1.318</v>
      </c>
      <c r="G6932" s="11">
        <v>0.003</v>
      </c>
      <c r="H6932" s="9">
        <f>MAX($F$6211:F6932)</f>
        <v>1.318</v>
      </c>
      <c r="I6932" s="11">
        <f t="shared" si="170"/>
        <v>0</v>
      </c>
      <c r="J6932" s="9"/>
      <c r="K6932" s="11"/>
      <c r="L6932" s="9">
        <f>MAX($F$6779:F6932)</f>
        <v>1.318</v>
      </c>
      <c r="M6932" s="11">
        <f t="shared" si="169"/>
        <v>0</v>
      </c>
      <c r="N6932" s="9" t="s">
        <v>804</v>
      </c>
    </row>
    <row r="6933" ht="25" customHeight="1" spans="1:14">
      <c r="A6933" s="9" t="s">
        <v>231</v>
      </c>
      <c r="B6933" s="9" t="s">
        <v>229</v>
      </c>
      <c r="C6933" s="10">
        <v>45443</v>
      </c>
      <c r="D6933" s="15">
        <v>1.3213</v>
      </c>
      <c r="E6933" s="15">
        <v>1.3213</v>
      </c>
      <c r="F6933" s="15">
        <v>1.3213</v>
      </c>
      <c r="G6933" s="11">
        <v>0.0025</v>
      </c>
      <c r="H6933" s="9">
        <f>MAX($F$6211:F6933)</f>
        <v>1.3213</v>
      </c>
      <c r="I6933" s="11">
        <f t="shared" si="170"/>
        <v>0</v>
      </c>
      <c r="J6933" s="9"/>
      <c r="K6933" s="11"/>
      <c r="L6933" s="9">
        <f>MAX($F$6779:F6933)</f>
        <v>1.3213</v>
      </c>
      <c r="M6933" s="11">
        <f t="shared" si="169"/>
        <v>0</v>
      </c>
      <c r="N6933" s="9" t="s">
        <v>804</v>
      </c>
    </row>
    <row r="6934" ht="25" customHeight="1" spans="1:14">
      <c r="A6934" s="9" t="s">
        <v>231</v>
      </c>
      <c r="B6934" s="9" t="s">
        <v>229</v>
      </c>
      <c r="C6934" s="10">
        <v>45450</v>
      </c>
      <c r="D6934" s="15">
        <v>1.3248</v>
      </c>
      <c r="E6934" s="15">
        <v>1.3248</v>
      </c>
      <c r="F6934" s="15">
        <v>1.3248</v>
      </c>
      <c r="G6934" s="11">
        <v>0.0026</v>
      </c>
      <c r="H6934" s="9">
        <f>MAX($F$6211:F6934)</f>
        <v>1.3248</v>
      </c>
      <c r="I6934" s="11">
        <f t="shared" si="170"/>
        <v>0</v>
      </c>
      <c r="J6934" s="9"/>
      <c r="K6934" s="11"/>
      <c r="L6934" s="9">
        <f>MAX($F$6779:F6934)</f>
        <v>1.3248</v>
      </c>
      <c r="M6934" s="11">
        <f t="shared" si="169"/>
        <v>0</v>
      </c>
      <c r="N6934" s="9" t="s">
        <v>804</v>
      </c>
    </row>
    <row r="6935" ht="25" customHeight="1" spans="1:14">
      <c r="A6935" s="9" t="s">
        <v>231</v>
      </c>
      <c r="B6935" s="9" t="s">
        <v>229</v>
      </c>
      <c r="C6935" s="10">
        <v>45457</v>
      </c>
      <c r="D6935" s="15">
        <v>1.3279</v>
      </c>
      <c r="E6935" s="15">
        <v>1.3279</v>
      </c>
      <c r="F6935" s="15">
        <v>1.3279</v>
      </c>
      <c r="G6935" s="11">
        <v>0.0023</v>
      </c>
      <c r="H6935" s="9">
        <f>MAX($F$6211:F6935)</f>
        <v>1.3279</v>
      </c>
      <c r="I6935" s="11">
        <f t="shared" si="170"/>
        <v>0</v>
      </c>
      <c r="J6935" s="9"/>
      <c r="K6935" s="11"/>
      <c r="L6935" s="9">
        <f>MAX($F$6779:F6935)</f>
        <v>1.3279</v>
      </c>
      <c r="M6935" s="11">
        <f t="shared" si="169"/>
        <v>0</v>
      </c>
      <c r="N6935" s="9" t="s">
        <v>804</v>
      </c>
    </row>
    <row r="6936" ht="25" customHeight="1" spans="1:14">
      <c r="A6936" s="9" t="s">
        <v>231</v>
      </c>
      <c r="B6936" s="9" t="s">
        <v>229</v>
      </c>
      <c r="C6936" s="10">
        <v>45464</v>
      </c>
      <c r="D6936" s="15">
        <v>1.3295</v>
      </c>
      <c r="E6936" s="15">
        <v>1.3295</v>
      </c>
      <c r="F6936" s="15">
        <v>1.3295</v>
      </c>
      <c r="G6936" s="11">
        <v>0.0012</v>
      </c>
      <c r="H6936" s="9">
        <f>MAX($F$6211:F6936)</f>
        <v>1.3295</v>
      </c>
      <c r="I6936" s="11">
        <f t="shared" si="170"/>
        <v>0</v>
      </c>
      <c r="J6936" s="9"/>
      <c r="K6936" s="11"/>
      <c r="L6936" s="9">
        <f>MAX($F$6779:F6936)</f>
        <v>1.3295</v>
      </c>
      <c r="M6936" s="11">
        <f t="shared" si="169"/>
        <v>0</v>
      </c>
      <c r="N6936" s="9" t="s">
        <v>804</v>
      </c>
    </row>
    <row r="6937" ht="25" customHeight="1" spans="1:14">
      <c r="A6937" s="9" t="s">
        <v>231</v>
      </c>
      <c r="B6937" s="9" t="s">
        <v>229</v>
      </c>
      <c r="C6937" s="10">
        <v>45471</v>
      </c>
      <c r="D6937" s="15">
        <v>1.3324</v>
      </c>
      <c r="E6937" s="15">
        <v>1.3324</v>
      </c>
      <c r="F6937" s="15">
        <v>1.3324</v>
      </c>
      <c r="G6937" s="11">
        <v>0.0022</v>
      </c>
      <c r="H6937" s="9">
        <f>MAX($F$6211:F6937)</f>
        <v>1.3324</v>
      </c>
      <c r="I6937" s="11">
        <f t="shared" si="170"/>
        <v>0</v>
      </c>
      <c r="J6937" s="9"/>
      <c r="K6937" s="11"/>
      <c r="L6937" s="9">
        <f>MAX($F$6779:F6937)</f>
        <v>1.3324</v>
      </c>
      <c r="M6937" s="11">
        <f t="shared" si="169"/>
        <v>0</v>
      </c>
      <c r="N6937" s="9" t="s">
        <v>804</v>
      </c>
    </row>
    <row r="6938" ht="25" customHeight="1" spans="1:14">
      <c r="A6938" s="9" t="s">
        <v>231</v>
      </c>
      <c r="B6938" s="9" t="s">
        <v>229</v>
      </c>
      <c r="C6938" s="10">
        <v>45478</v>
      </c>
      <c r="D6938" s="15">
        <v>1.3346</v>
      </c>
      <c r="E6938" s="15">
        <v>1.3346</v>
      </c>
      <c r="F6938" s="15">
        <v>1.3346</v>
      </c>
      <c r="G6938" s="11">
        <v>0.0017</v>
      </c>
      <c r="H6938" s="9">
        <f>MAX($F$6211:F6938)</f>
        <v>1.3346</v>
      </c>
      <c r="I6938" s="11">
        <f t="shared" si="170"/>
        <v>0</v>
      </c>
      <c r="J6938" s="9"/>
      <c r="K6938" s="11"/>
      <c r="L6938" s="9">
        <f>MAX($F$6779:F6938)</f>
        <v>1.3346</v>
      </c>
      <c r="M6938" s="11">
        <f t="shared" si="169"/>
        <v>0</v>
      </c>
      <c r="N6938" s="9" t="s">
        <v>804</v>
      </c>
    </row>
    <row r="6939" ht="25" customHeight="1" spans="1:14">
      <c r="A6939" s="9" t="s">
        <v>231</v>
      </c>
      <c r="B6939" s="9" t="s">
        <v>229</v>
      </c>
      <c r="C6939" s="10">
        <v>45485</v>
      </c>
      <c r="D6939" s="15">
        <v>1.3387</v>
      </c>
      <c r="E6939" s="15">
        <v>1.3387</v>
      </c>
      <c r="F6939" s="15">
        <v>1.3387</v>
      </c>
      <c r="G6939" s="11">
        <v>0.0031</v>
      </c>
      <c r="H6939" s="9">
        <f>MAX($F$6211:F6939)</f>
        <v>1.3387</v>
      </c>
      <c r="I6939" s="11">
        <f t="shared" si="170"/>
        <v>0</v>
      </c>
      <c r="J6939" s="9"/>
      <c r="K6939" s="11"/>
      <c r="L6939" s="9">
        <f>MAX($F$6779:F6939)</f>
        <v>1.3387</v>
      </c>
      <c r="M6939" s="11">
        <f t="shared" si="169"/>
        <v>0</v>
      </c>
      <c r="N6939" s="9" t="s">
        <v>804</v>
      </c>
    </row>
    <row r="6940" ht="25" customHeight="1" spans="1:14">
      <c r="A6940" s="9" t="s">
        <v>231</v>
      </c>
      <c r="B6940" s="9" t="s">
        <v>229</v>
      </c>
      <c r="C6940" s="10">
        <v>45492</v>
      </c>
      <c r="D6940" s="15">
        <v>1.3395</v>
      </c>
      <c r="E6940" s="15">
        <v>1.3395</v>
      </c>
      <c r="F6940" s="15">
        <v>1.3395</v>
      </c>
      <c r="G6940" s="11">
        <v>0.0006</v>
      </c>
      <c r="H6940" s="9">
        <f>MAX($F$6211:F6940)</f>
        <v>1.3395</v>
      </c>
      <c r="I6940" s="11">
        <f t="shared" si="170"/>
        <v>0</v>
      </c>
      <c r="J6940" s="9"/>
      <c r="K6940" s="11"/>
      <c r="L6940" s="9">
        <f>MAX($F$6779:F6940)</f>
        <v>1.3395</v>
      </c>
      <c r="M6940" s="11">
        <f t="shared" si="169"/>
        <v>0</v>
      </c>
      <c r="N6940" s="9" t="s">
        <v>804</v>
      </c>
    </row>
    <row r="6941" ht="25" customHeight="1" spans="1:14">
      <c r="A6941" s="9" t="s">
        <v>231</v>
      </c>
      <c r="B6941" s="9" t="s">
        <v>229</v>
      </c>
      <c r="C6941" s="10">
        <v>45499</v>
      </c>
      <c r="D6941" s="15">
        <v>1.3406</v>
      </c>
      <c r="E6941" s="15">
        <v>1.3406</v>
      </c>
      <c r="F6941" s="15">
        <v>1.3406</v>
      </c>
      <c r="G6941" s="11">
        <v>0.0008</v>
      </c>
      <c r="H6941" s="9">
        <f>MAX($F$6211:F6941)</f>
        <v>1.3406</v>
      </c>
      <c r="I6941" s="11">
        <f t="shared" si="170"/>
        <v>0</v>
      </c>
      <c r="J6941" s="9"/>
      <c r="K6941" s="11"/>
      <c r="L6941" s="9">
        <f>MAX($F$6779:F6941)</f>
        <v>1.3406</v>
      </c>
      <c r="M6941" s="11">
        <f t="shared" si="169"/>
        <v>0</v>
      </c>
      <c r="N6941" s="9" t="s">
        <v>804</v>
      </c>
    </row>
    <row r="6942" ht="25" customHeight="1" spans="1:14">
      <c r="A6942" s="9" t="s">
        <v>231</v>
      </c>
      <c r="B6942" s="9" t="s">
        <v>229</v>
      </c>
      <c r="C6942" s="10">
        <v>45504</v>
      </c>
      <c r="D6942" s="15">
        <v>1.3416</v>
      </c>
      <c r="E6942" s="15">
        <v>1.3416</v>
      </c>
      <c r="F6942" s="15">
        <v>1.3416</v>
      </c>
      <c r="G6942" s="11">
        <v>0.0007</v>
      </c>
      <c r="H6942" s="9">
        <f>MAX($F$6211:F6942)</f>
        <v>1.3416</v>
      </c>
      <c r="I6942" s="11">
        <f t="shared" si="170"/>
        <v>0</v>
      </c>
      <c r="J6942" s="9"/>
      <c r="K6942" s="11"/>
      <c r="L6942" s="9">
        <f>MAX($F$6779:F6942)</f>
        <v>1.3416</v>
      </c>
      <c r="M6942" s="11">
        <f t="shared" si="169"/>
        <v>0</v>
      </c>
      <c r="N6942" s="9" t="s">
        <v>804</v>
      </c>
    </row>
    <row r="6943" ht="25" customHeight="1" spans="1:14">
      <c r="A6943" s="9" t="s">
        <v>231</v>
      </c>
      <c r="B6943" s="9" t="s">
        <v>229</v>
      </c>
      <c r="C6943" s="10">
        <v>45506</v>
      </c>
      <c r="D6943" s="15">
        <v>1.3417</v>
      </c>
      <c r="E6943" s="15">
        <v>1.3417</v>
      </c>
      <c r="F6943" s="15">
        <v>1.3417</v>
      </c>
      <c r="G6943" s="11">
        <v>0.0001</v>
      </c>
      <c r="H6943" s="9">
        <f>MAX($F$6211:F6943)</f>
        <v>1.3417</v>
      </c>
      <c r="I6943" s="11">
        <f t="shared" si="170"/>
        <v>0</v>
      </c>
      <c r="J6943" s="9"/>
      <c r="K6943" s="11"/>
      <c r="L6943" s="9">
        <f>MAX($F$6779:F6943)</f>
        <v>1.3417</v>
      </c>
      <c r="M6943" s="11">
        <f t="shared" si="169"/>
        <v>0</v>
      </c>
      <c r="N6943" s="9" t="s">
        <v>804</v>
      </c>
    </row>
    <row r="6944" ht="25" customHeight="1" spans="1:14">
      <c r="A6944" s="9" t="s">
        <v>231</v>
      </c>
      <c r="B6944" s="9" t="s">
        <v>229</v>
      </c>
      <c r="C6944" s="10">
        <v>45513</v>
      </c>
      <c r="D6944" s="15">
        <v>1.3413</v>
      </c>
      <c r="E6944" s="15">
        <v>1.3413</v>
      </c>
      <c r="F6944" s="15">
        <v>1.3413</v>
      </c>
      <c r="G6944" s="11">
        <v>-0.0003</v>
      </c>
      <c r="H6944" s="9">
        <f>MAX($F$6211:F6944)</f>
        <v>1.3417</v>
      </c>
      <c r="I6944" s="11">
        <f t="shared" si="170"/>
        <v>0.000298129239025058</v>
      </c>
      <c r="J6944" s="9"/>
      <c r="K6944" s="11"/>
      <c r="L6944" s="9">
        <f>MAX($F$6779:F6944)</f>
        <v>1.3417</v>
      </c>
      <c r="M6944" s="11">
        <f t="shared" si="169"/>
        <v>0.000298129239025058</v>
      </c>
      <c r="N6944" s="9" t="s">
        <v>804</v>
      </c>
    </row>
    <row r="6945" ht="25" customHeight="1" spans="1:14">
      <c r="A6945" s="9" t="s">
        <v>231</v>
      </c>
      <c r="B6945" s="9" t="s">
        <v>229</v>
      </c>
      <c r="C6945" s="10">
        <v>45520</v>
      </c>
      <c r="D6945" s="15">
        <v>1.3441</v>
      </c>
      <c r="E6945" s="15">
        <v>1.3441</v>
      </c>
      <c r="F6945" s="15">
        <v>1.3441</v>
      </c>
      <c r="G6945" s="11">
        <v>0.0021</v>
      </c>
      <c r="H6945" s="9">
        <f>MAX($F$6211:F6945)</f>
        <v>1.3441</v>
      </c>
      <c r="I6945" s="11">
        <f t="shared" si="170"/>
        <v>0</v>
      </c>
      <c r="J6945" s="9"/>
      <c r="K6945" s="11"/>
      <c r="L6945" s="9">
        <f>MAX($F$6779:F6945)</f>
        <v>1.3441</v>
      </c>
      <c r="M6945" s="11">
        <f t="shared" si="169"/>
        <v>0</v>
      </c>
      <c r="N6945" s="9" t="s">
        <v>804</v>
      </c>
    </row>
    <row r="6946" ht="25" customHeight="1" spans="1:14">
      <c r="A6946" s="9" t="s">
        <v>231</v>
      </c>
      <c r="B6946" s="9" t="s">
        <v>229</v>
      </c>
      <c r="C6946" s="10">
        <v>45527</v>
      </c>
      <c r="D6946" s="15">
        <v>1.3459</v>
      </c>
      <c r="E6946" s="15">
        <v>1.3459</v>
      </c>
      <c r="F6946" s="15">
        <v>1.3459</v>
      </c>
      <c r="G6946" s="11">
        <v>0.0013</v>
      </c>
      <c r="H6946" s="9">
        <f>MAX($F$6211:F6946)</f>
        <v>1.3459</v>
      </c>
      <c r="I6946" s="11">
        <f t="shared" si="170"/>
        <v>0</v>
      </c>
      <c r="J6946" s="9"/>
      <c r="K6946" s="11"/>
      <c r="L6946" s="9">
        <f>MAX($F$6779:F6946)</f>
        <v>1.3459</v>
      </c>
      <c r="M6946" s="11">
        <f t="shared" si="169"/>
        <v>0</v>
      </c>
      <c r="N6946" s="9" t="s">
        <v>804</v>
      </c>
    </row>
    <row r="6947" ht="25" customHeight="1" spans="1:14">
      <c r="A6947" s="9" t="s">
        <v>231</v>
      </c>
      <c r="B6947" s="9" t="s">
        <v>229</v>
      </c>
      <c r="C6947" s="10">
        <v>45531</v>
      </c>
      <c r="D6947" s="15">
        <v>1.3468</v>
      </c>
      <c r="E6947" s="15">
        <v>1.3468</v>
      </c>
      <c r="F6947" s="15">
        <v>1.3468</v>
      </c>
      <c r="G6947" s="11">
        <v>0.0007</v>
      </c>
      <c r="H6947" s="9">
        <f>MAX($F$6211:F6947)</f>
        <v>1.3468</v>
      </c>
      <c r="I6947" s="11">
        <f t="shared" si="170"/>
        <v>0</v>
      </c>
      <c r="J6947" s="9"/>
      <c r="K6947" s="11"/>
      <c r="L6947" s="9">
        <f>MAX($F$6779:F6947)</f>
        <v>1.3468</v>
      </c>
      <c r="M6947" s="11">
        <f t="shared" si="169"/>
        <v>0</v>
      </c>
      <c r="N6947" s="9" t="s">
        <v>804</v>
      </c>
    </row>
    <row r="6948" ht="25" customHeight="1" spans="1:14">
      <c r="A6948" s="9" t="s">
        <v>231</v>
      </c>
      <c r="B6948" s="9" t="s">
        <v>229</v>
      </c>
      <c r="C6948" s="10">
        <v>45532</v>
      </c>
      <c r="D6948" s="15">
        <v>1.3469</v>
      </c>
      <c r="E6948" s="15">
        <v>1.3469</v>
      </c>
      <c r="F6948" s="15">
        <v>1.3469</v>
      </c>
      <c r="G6948" s="11">
        <v>0.0001</v>
      </c>
      <c r="H6948" s="9">
        <f>MAX($F$6211:F6948)</f>
        <v>1.3469</v>
      </c>
      <c r="I6948" s="11">
        <f t="shared" si="170"/>
        <v>0</v>
      </c>
      <c r="J6948" s="9"/>
      <c r="K6948" s="11"/>
      <c r="L6948" s="9">
        <f>MAX($F$6779:F6948)</f>
        <v>1.3469</v>
      </c>
      <c r="M6948" s="11">
        <f t="shared" si="169"/>
        <v>0</v>
      </c>
      <c r="N6948" s="9" t="s">
        <v>804</v>
      </c>
    </row>
    <row r="6949" ht="25" customHeight="1" spans="1:14">
      <c r="A6949" s="9" t="s">
        <v>231</v>
      </c>
      <c r="B6949" s="9" t="s">
        <v>229</v>
      </c>
      <c r="C6949" s="10">
        <v>45533</v>
      </c>
      <c r="D6949" s="15">
        <v>1.3469</v>
      </c>
      <c r="E6949" s="15">
        <v>1.3469</v>
      </c>
      <c r="F6949" s="15">
        <v>1.3469</v>
      </c>
      <c r="G6949" s="11">
        <v>0</v>
      </c>
      <c r="H6949" s="9">
        <f>MAX($F$6211:F6949)</f>
        <v>1.3469</v>
      </c>
      <c r="I6949" s="11">
        <f t="shared" si="170"/>
        <v>0</v>
      </c>
      <c r="J6949" s="9"/>
      <c r="K6949" s="11"/>
      <c r="L6949" s="9">
        <f>MAX($F$6779:F6949)</f>
        <v>1.3469</v>
      </c>
      <c r="M6949" s="11">
        <f t="shared" si="169"/>
        <v>0</v>
      </c>
      <c r="N6949" s="9" t="s">
        <v>804</v>
      </c>
    </row>
    <row r="6950" ht="25" customHeight="1" spans="1:14">
      <c r="A6950" s="9" t="s">
        <v>231</v>
      </c>
      <c r="B6950" s="9" t="s">
        <v>229</v>
      </c>
      <c r="C6950" s="10">
        <v>45534</v>
      </c>
      <c r="D6950" s="15">
        <v>1.3471</v>
      </c>
      <c r="E6950" s="15">
        <v>1.3471</v>
      </c>
      <c r="F6950" s="15">
        <v>1.3471</v>
      </c>
      <c r="G6950" s="11">
        <v>0.0001</v>
      </c>
      <c r="H6950" s="9">
        <f>MAX($F$6211:F6950)</f>
        <v>1.3471</v>
      </c>
      <c r="I6950" s="11">
        <f t="shared" si="170"/>
        <v>0</v>
      </c>
      <c r="J6950" s="9"/>
      <c r="K6950" s="11"/>
      <c r="L6950" s="9">
        <f>MAX($F$6779:F6950)</f>
        <v>1.3471</v>
      </c>
      <c r="M6950" s="11">
        <f t="shared" si="169"/>
        <v>0</v>
      </c>
      <c r="N6950" s="9" t="s">
        <v>804</v>
      </c>
    </row>
    <row r="6951" ht="25" customHeight="1" spans="1:14">
      <c r="A6951" s="9" t="s">
        <v>231</v>
      </c>
      <c r="B6951" s="9" t="s">
        <v>229</v>
      </c>
      <c r="C6951" s="10">
        <v>45537</v>
      </c>
      <c r="D6951" s="15">
        <v>1.3474</v>
      </c>
      <c r="E6951" s="15">
        <v>1.3474</v>
      </c>
      <c r="F6951" s="15">
        <v>1.3474</v>
      </c>
      <c r="G6951" s="11">
        <v>0.0002</v>
      </c>
      <c r="H6951" s="9">
        <f>MAX($F$6211:F6951)</f>
        <v>1.3474</v>
      </c>
      <c r="I6951" s="11">
        <f t="shared" si="170"/>
        <v>0</v>
      </c>
      <c r="J6951" s="9"/>
      <c r="K6951" s="11"/>
      <c r="L6951" s="9">
        <f>MAX($F$6779:F6951)</f>
        <v>1.3474</v>
      </c>
      <c r="M6951" s="11">
        <f t="shared" si="169"/>
        <v>0</v>
      </c>
      <c r="N6951" s="9" t="s">
        <v>804</v>
      </c>
    </row>
    <row r="6952" ht="25" customHeight="1" spans="1:14">
      <c r="A6952" s="9" t="s">
        <v>231</v>
      </c>
      <c r="B6952" s="9" t="s">
        <v>229</v>
      </c>
      <c r="C6952" s="10">
        <v>45538</v>
      </c>
      <c r="D6952" s="15">
        <v>1.3478</v>
      </c>
      <c r="E6952" s="15">
        <v>1.3478</v>
      </c>
      <c r="F6952" s="15">
        <v>1.3478</v>
      </c>
      <c r="G6952" s="11">
        <v>0.0003</v>
      </c>
      <c r="H6952" s="9">
        <f>MAX($F$6211:F6952)</f>
        <v>1.3478</v>
      </c>
      <c r="I6952" s="11">
        <f t="shared" si="170"/>
        <v>0</v>
      </c>
      <c r="J6952" s="9"/>
      <c r="K6952" s="11"/>
      <c r="L6952" s="9">
        <f>MAX($F$6779:F6952)</f>
        <v>1.3478</v>
      </c>
      <c r="M6952" s="11">
        <f t="shared" si="169"/>
        <v>0</v>
      </c>
      <c r="N6952" s="9" t="s">
        <v>804</v>
      </c>
    </row>
    <row r="6953" ht="25" customHeight="1" spans="1:14">
      <c r="A6953" s="9" t="s">
        <v>231</v>
      </c>
      <c r="B6953" s="9" t="s">
        <v>229</v>
      </c>
      <c r="C6953" s="10">
        <v>45539</v>
      </c>
      <c r="D6953" s="15">
        <v>1.3496</v>
      </c>
      <c r="E6953" s="15">
        <v>1.3496</v>
      </c>
      <c r="F6953" s="15">
        <v>1.3496</v>
      </c>
      <c r="G6953" s="11">
        <v>0.0013</v>
      </c>
      <c r="H6953" s="9">
        <f>MAX($F$6211:F6953)</f>
        <v>1.3496</v>
      </c>
      <c r="I6953" s="11">
        <f t="shared" si="170"/>
        <v>0</v>
      </c>
      <c r="J6953" s="9"/>
      <c r="K6953" s="11"/>
      <c r="L6953" s="9">
        <f>MAX($F$6779:F6953)</f>
        <v>1.3496</v>
      </c>
      <c r="M6953" s="11">
        <f t="shared" si="169"/>
        <v>0</v>
      </c>
      <c r="N6953" s="9" t="s">
        <v>804</v>
      </c>
    </row>
    <row r="6954" ht="25" customHeight="1" spans="1:14">
      <c r="A6954" s="9" t="s">
        <v>231</v>
      </c>
      <c r="B6954" s="9" t="s">
        <v>229</v>
      </c>
      <c r="C6954" s="10">
        <v>45540</v>
      </c>
      <c r="D6954" s="15">
        <v>1.3499</v>
      </c>
      <c r="E6954" s="15">
        <v>1.3499</v>
      </c>
      <c r="F6954" s="15">
        <v>1.3499</v>
      </c>
      <c r="G6954" s="11">
        <v>0.0002</v>
      </c>
      <c r="H6954" s="9">
        <f>MAX($F$6211:F6954)</f>
        <v>1.3499</v>
      </c>
      <c r="I6954" s="11">
        <f t="shared" si="170"/>
        <v>0</v>
      </c>
      <c r="J6954" s="9"/>
      <c r="K6954" s="11"/>
      <c r="L6954" s="9">
        <f>MAX($F$6779:F6954)</f>
        <v>1.3499</v>
      </c>
      <c r="M6954" s="11">
        <f t="shared" si="169"/>
        <v>0</v>
      </c>
      <c r="N6954" s="9" t="s">
        <v>804</v>
      </c>
    </row>
    <row r="6955" ht="25" customHeight="1" spans="1:14">
      <c r="A6955" s="9" t="s">
        <v>231</v>
      </c>
      <c r="B6955" s="9" t="s">
        <v>229</v>
      </c>
      <c r="C6955" s="10">
        <v>45541</v>
      </c>
      <c r="D6955" s="15">
        <v>1.3501</v>
      </c>
      <c r="E6955" s="15">
        <v>1.3501</v>
      </c>
      <c r="F6955" s="15">
        <v>1.3501</v>
      </c>
      <c r="G6955" s="11">
        <v>0.0001</v>
      </c>
      <c r="H6955" s="9">
        <f>MAX($F$6211:F6955)</f>
        <v>1.3501</v>
      </c>
      <c r="I6955" s="11">
        <f t="shared" si="170"/>
        <v>0</v>
      </c>
      <c r="J6955" s="9"/>
      <c r="K6955" s="11"/>
      <c r="L6955" s="9">
        <f>MAX($F$6779:F6955)</f>
        <v>1.3501</v>
      </c>
      <c r="M6955" s="11">
        <f t="shared" si="169"/>
        <v>0</v>
      </c>
      <c r="N6955" s="9" t="s">
        <v>804</v>
      </c>
    </row>
    <row r="6956" ht="25" customHeight="1" spans="1:14">
      <c r="A6956" s="9" t="s">
        <v>231</v>
      </c>
      <c r="B6956" s="9" t="s">
        <v>229</v>
      </c>
      <c r="C6956" s="10">
        <v>45544</v>
      </c>
      <c r="D6956" s="15">
        <v>1.3515</v>
      </c>
      <c r="E6956" s="15">
        <v>1.3515</v>
      </c>
      <c r="F6956" s="15">
        <v>1.3515</v>
      </c>
      <c r="G6956" s="11">
        <v>0.001</v>
      </c>
      <c r="H6956" s="9">
        <f>MAX($F$6211:F6956)</f>
        <v>1.3515</v>
      </c>
      <c r="I6956" s="11">
        <f t="shared" si="170"/>
        <v>0</v>
      </c>
      <c r="J6956" s="9"/>
      <c r="K6956" s="11"/>
      <c r="L6956" s="9">
        <f>MAX($F$6779:F6956)</f>
        <v>1.3515</v>
      </c>
      <c r="M6956" s="11">
        <f t="shared" si="169"/>
        <v>0</v>
      </c>
      <c r="N6956" s="9" t="s">
        <v>804</v>
      </c>
    </row>
    <row r="6957" ht="25" customHeight="1" spans="1:14">
      <c r="A6957" s="9" t="s">
        <v>231</v>
      </c>
      <c r="B6957" s="9" t="s">
        <v>229</v>
      </c>
      <c r="C6957" s="10">
        <v>45545</v>
      </c>
      <c r="D6957" s="15">
        <v>1.3526</v>
      </c>
      <c r="E6957" s="15">
        <v>1.3526</v>
      </c>
      <c r="F6957" s="15">
        <v>1.3526</v>
      </c>
      <c r="G6957" s="11">
        <v>0.0008</v>
      </c>
      <c r="H6957" s="9">
        <f>MAX($F$6211:F6957)</f>
        <v>1.3526</v>
      </c>
      <c r="I6957" s="11">
        <f t="shared" si="170"/>
        <v>0</v>
      </c>
      <c r="J6957" s="9"/>
      <c r="K6957" s="11"/>
      <c r="L6957" s="9">
        <f>MAX($F$6779:F6957)</f>
        <v>1.3526</v>
      </c>
      <c r="M6957" s="11">
        <f t="shared" si="169"/>
        <v>0</v>
      </c>
      <c r="N6957" s="9" t="s">
        <v>804</v>
      </c>
    </row>
    <row r="6958" ht="25" customHeight="1" spans="1:14">
      <c r="A6958" s="9" t="s">
        <v>231</v>
      </c>
      <c r="B6958" s="9" t="s">
        <v>229</v>
      </c>
      <c r="C6958" s="10">
        <v>45546</v>
      </c>
      <c r="D6958" s="15">
        <v>1.353</v>
      </c>
      <c r="E6958" s="15">
        <v>1.353</v>
      </c>
      <c r="F6958" s="15">
        <v>1.353</v>
      </c>
      <c r="G6958" s="11">
        <v>0.0003</v>
      </c>
      <c r="H6958" s="9">
        <f>MAX($F$6211:F6958)</f>
        <v>1.353</v>
      </c>
      <c r="I6958" s="11">
        <f t="shared" si="170"/>
        <v>0</v>
      </c>
      <c r="J6958" s="9"/>
      <c r="K6958" s="11"/>
      <c r="L6958" s="9">
        <f>MAX($F$6779:F6958)</f>
        <v>1.353</v>
      </c>
      <c r="M6958" s="11">
        <f t="shared" si="169"/>
        <v>0</v>
      </c>
      <c r="N6958" s="9" t="s">
        <v>804</v>
      </c>
    </row>
    <row r="6959" ht="25" customHeight="1" spans="1:14">
      <c r="A6959" s="9" t="s">
        <v>231</v>
      </c>
      <c r="B6959" s="9" t="s">
        <v>229</v>
      </c>
      <c r="C6959" s="10">
        <v>45547</v>
      </c>
      <c r="D6959" s="15">
        <v>1.3532</v>
      </c>
      <c r="E6959" s="15">
        <v>1.3532</v>
      </c>
      <c r="F6959" s="15">
        <v>1.3532</v>
      </c>
      <c r="G6959" s="11">
        <v>0.0001</v>
      </c>
      <c r="H6959" s="9">
        <f>MAX($F$6211:F6959)</f>
        <v>1.3532</v>
      </c>
      <c r="I6959" s="11">
        <f t="shared" si="170"/>
        <v>0</v>
      </c>
      <c r="J6959" s="9"/>
      <c r="K6959" s="11"/>
      <c r="L6959" s="9">
        <f>MAX($F$6779:F6959)</f>
        <v>1.3532</v>
      </c>
      <c r="M6959" s="11">
        <f t="shared" si="169"/>
        <v>0</v>
      </c>
      <c r="N6959" s="9" t="s">
        <v>804</v>
      </c>
    </row>
    <row r="6960" ht="25" customHeight="1" spans="1:14">
      <c r="A6960" s="9" t="s">
        <v>231</v>
      </c>
      <c r="B6960" s="9" t="s">
        <v>229</v>
      </c>
      <c r="C6960" s="10">
        <v>45548</v>
      </c>
      <c r="D6960" s="15">
        <v>1.354</v>
      </c>
      <c r="E6960" s="15">
        <v>1.354</v>
      </c>
      <c r="F6960" s="15">
        <v>1.354</v>
      </c>
      <c r="G6960" s="11">
        <v>0.0006</v>
      </c>
      <c r="H6960" s="9">
        <f>MAX($F$6211:F6960)</f>
        <v>1.354</v>
      </c>
      <c r="I6960" s="11">
        <f t="shared" si="170"/>
        <v>0</v>
      </c>
      <c r="J6960" s="9"/>
      <c r="K6960" s="11"/>
      <c r="L6960" s="9">
        <f>MAX($F$6779:F6960)</f>
        <v>1.354</v>
      </c>
      <c r="M6960" s="11">
        <f t="shared" si="169"/>
        <v>0</v>
      </c>
      <c r="N6960" s="9" t="s">
        <v>804</v>
      </c>
    </row>
    <row r="6961" ht="25" customHeight="1" spans="1:14">
      <c r="A6961" s="9" t="s">
        <v>231</v>
      </c>
      <c r="B6961" s="9" t="s">
        <v>229</v>
      </c>
      <c r="C6961" s="10">
        <v>45553</v>
      </c>
      <c r="D6961" s="15">
        <v>1.3544</v>
      </c>
      <c r="E6961" s="15">
        <v>1.3544</v>
      </c>
      <c r="F6961" s="15">
        <v>1.3544</v>
      </c>
      <c r="G6961" s="11">
        <v>0.0003</v>
      </c>
      <c r="H6961" s="9">
        <f>MAX($F$6211:F6961)</f>
        <v>1.3544</v>
      </c>
      <c r="I6961" s="11">
        <f t="shared" si="170"/>
        <v>0</v>
      </c>
      <c r="J6961" s="9"/>
      <c r="K6961" s="11"/>
      <c r="L6961" s="9">
        <f>MAX($F$6779:F6961)</f>
        <v>1.3544</v>
      </c>
      <c r="M6961" s="11">
        <f t="shared" si="169"/>
        <v>0</v>
      </c>
      <c r="N6961" s="9" t="s">
        <v>804</v>
      </c>
    </row>
    <row r="6962" ht="25" customHeight="1" spans="1:14">
      <c r="A6962" s="9" t="s">
        <v>231</v>
      </c>
      <c r="B6962" s="9" t="s">
        <v>229</v>
      </c>
      <c r="C6962" s="10">
        <v>45554</v>
      </c>
      <c r="D6962" s="15">
        <v>1.3545</v>
      </c>
      <c r="E6962" s="15">
        <v>1.3545</v>
      </c>
      <c r="F6962" s="15">
        <v>1.3545</v>
      </c>
      <c r="G6962" s="11">
        <v>0.0001</v>
      </c>
      <c r="H6962" s="9">
        <f>MAX($F$6211:F6962)</f>
        <v>1.3545</v>
      </c>
      <c r="I6962" s="11">
        <f t="shared" si="170"/>
        <v>0</v>
      </c>
      <c r="J6962" s="9"/>
      <c r="K6962" s="11"/>
      <c r="L6962" s="9">
        <f>MAX($F$6779:F6962)</f>
        <v>1.3545</v>
      </c>
      <c r="M6962" s="11">
        <f t="shared" si="169"/>
        <v>0</v>
      </c>
      <c r="N6962" s="9" t="s">
        <v>804</v>
      </c>
    </row>
    <row r="6963" ht="25" customHeight="1" spans="1:14">
      <c r="A6963" s="9" t="s">
        <v>231</v>
      </c>
      <c r="B6963" s="9" t="s">
        <v>229</v>
      </c>
      <c r="C6963" s="10">
        <v>45555</v>
      </c>
      <c r="D6963" s="15">
        <v>1.3548</v>
      </c>
      <c r="E6963" s="15">
        <v>1.3548</v>
      </c>
      <c r="F6963" s="15">
        <v>1.3548</v>
      </c>
      <c r="G6963" s="11">
        <v>0.0002</v>
      </c>
      <c r="H6963" s="9">
        <f>MAX($F$6211:F6963)</f>
        <v>1.3548</v>
      </c>
      <c r="I6963" s="11">
        <f t="shared" si="170"/>
        <v>0</v>
      </c>
      <c r="J6963" s="9"/>
      <c r="K6963" s="11"/>
      <c r="L6963" s="9">
        <f>MAX($F$6779:F6963)</f>
        <v>1.3548</v>
      </c>
      <c r="M6963" s="11">
        <f t="shared" si="169"/>
        <v>0</v>
      </c>
      <c r="N6963" s="9" t="s">
        <v>804</v>
      </c>
    </row>
    <row r="6964" ht="25" customHeight="1" spans="1:14">
      <c r="A6964" s="9" t="s">
        <v>231</v>
      </c>
      <c r="B6964" s="9" t="s">
        <v>229</v>
      </c>
      <c r="C6964" s="10">
        <v>45558</v>
      </c>
      <c r="D6964" s="15">
        <v>1.3555</v>
      </c>
      <c r="E6964" s="15">
        <v>1.3555</v>
      </c>
      <c r="F6964" s="15">
        <v>1.3555</v>
      </c>
      <c r="G6964" s="11">
        <v>0.0005</v>
      </c>
      <c r="H6964" s="9">
        <f>MAX($F$6211:F6964)</f>
        <v>1.3555</v>
      </c>
      <c r="I6964" s="11">
        <f t="shared" si="170"/>
        <v>0</v>
      </c>
      <c r="J6964" s="9"/>
      <c r="K6964" s="11"/>
      <c r="L6964" s="9">
        <f>MAX($F$6779:F6964)</f>
        <v>1.3555</v>
      </c>
      <c r="M6964" s="11">
        <f t="shared" si="169"/>
        <v>0</v>
      </c>
      <c r="N6964" s="9" t="s">
        <v>804</v>
      </c>
    </row>
    <row r="6965" ht="25" customHeight="1" spans="1:14">
      <c r="A6965" s="9" t="s">
        <v>231</v>
      </c>
      <c r="B6965" s="9" t="s">
        <v>229</v>
      </c>
      <c r="C6965" s="10">
        <v>45559</v>
      </c>
      <c r="D6965" s="15">
        <v>1.3556</v>
      </c>
      <c r="E6965" s="15">
        <v>1.3556</v>
      </c>
      <c r="F6965" s="15">
        <v>1.3556</v>
      </c>
      <c r="G6965" s="11">
        <v>0.0001</v>
      </c>
      <c r="H6965" s="9">
        <f>MAX($F$6211:F6965)</f>
        <v>1.3556</v>
      </c>
      <c r="I6965" s="11">
        <f t="shared" si="170"/>
        <v>0</v>
      </c>
      <c r="J6965" s="9"/>
      <c r="K6965" s="11"/>
      <c r="L6965" s="9">
        <f>MAX($F$6779:F6965)</f>
        <v>1.3556</v>
      </c>
      <c r="M6965" s="11">
        <f t="shared" si="169"/>
        <v>0</v>
      </c>
      <c r="N6965" s="9" t="s">
        <v>804</v>
      </c>
    </row>
    <row r="6966" ht="25" customHeight="1" spans="1:14">
      <c r="A6966" s="9" t="s">
        <v>231</v>
      </c>
      <c r="B6966" s="9" t="s">
        <v>229</v>
      </c>
      <c r="C6966" s="10">
        <v>45560</v>
      </c>
      <c r="D6966" s="15">
        <v>1.3567</v>
      </c>
      <c r="E6966" s="15">
        <v>1.3567</v>
      </c>
      <c r="F6966" s="15">
        <v>1.3567</v>
      </c>
      <c r="G6966" s="11">
        <v>0.0008</v>
      </c>
      <c r="H6966" s="9">
        <f>MAX($F$6211:F6966)</f>
        <v>1.3567</v>
      </c>
      <c r="I6966" s="11">
        <f t="shared" si="170"/>
        <v>0</v>
      </c>
      <c r="J6966" s="9"/>
      <c r="K6966" s="11"/>
      <c r="L6966" s="9">
        <f>MAX($F$6779:F6966)</f>
        <v>1.3567</v>
      </c>
      <c r="M6966" s="11">
        <f t="shared" si="169"/>
        <v>0</v>
      </c>
      <c r="N6966" s="9" t="s">
        <v>804</v>
      </c>
    </row>
    <row r="6967" ht="25" customHeight="1" spans="1:14">
      <c r="A6967" s="9" t="s">
        <v>231</v>
      </c>
      <c r="B6967" s="9" t="s">
        <v>229</v>
      </c>
      <c r="C6967" s="10">
        <v>45561</v>
      </c>
      <c r="D6967" s="15">
        <v>1.3574</v>
      </c>
      <c r="E6967" s="15">
        <v>1.3574</v>
      </c>
      <c r="F6967" s="15">
        <v>1.3574</v>
      </c>
      <c r="G6967" s="11">
        <v>0.0005</v>
      </c>
      <c r="H6967" s="9">
        <f>MAX($F$6211:F6967)</f>
        <v>1.3574</v>
      </c>
      <c r="I6967" s="11">
        <f t="shared" si="170"/>
        <v>0</v>
      </c>
      <c r="J6967" s="9"/>
      <c r="K6967" s="11"/>
      <c r="L6967" s="9">
        <f>MAX($F$6779:F6967)</f>
        <v>1.3574</v>
      </c>
      <c r="M6967" s="11">
        <f t="shared" si="169"/>
        <v>0</v>
      </c>
      <c r="N6967" s="9" t="s">
        <v>804</v>
      </c>
    </row>
    <row r="6968" ht="25" customHeight="1" spans="1:14">
      <c r="A6968" s="9" t="s">
        <v>231</v>
      </c>
      <c r="B6968" s="9" t="s">
        <v>229</v>
      </c>
      <c r="C6968" s="10">
        <v>45562</v>
      </c>
      <c r="D6968" s="15">
        <v>1.3592</v>
      </c>
      <c r="E6968" s="15">
        <v>1.3592</v>
      </c>
      <c r="F6968" s="15">
        <v>1.3592</v>
      </c>
      <c r="G6968" s="11">
        <v>0.0013</v>
      </c>
      <c r="H6968" s="9">
        <f>MAX($F$6211:F6968)</f>
        <v>1.3592</v>
      </c>
      <c r="I6968" s="11">
        <f t="shared" si="170"/>
        <v>0</v>
      </c>
      <c r="J6968" s="9"/>
      <c r="K6968" s="11"/>
      <c r="L6968" s="9">
        <f>MAX($F$6779:F6968)</f>
        <v>1.3592</v>
      </c>
      <c r="M6968" s="11">
        <f t="shared" si="169"/>
        <v>0</v>
      </c>
      <c r="N6968" s="9" t="s">
        <v>804</v>
      </c>
    </row>
    <row r="6969" ht="25" customHeight="1" spans="1:14">
      <c r="A6969" s="9" t="s">
        <v>231</v>
      </c>
      <c r="B6969" s="9" t="s">
        <v>229</v>
      </c>
      <c r="C6969" s="10">
        <v>45565</v>
      </c>
      <c r="D6969" s="15">
        <v>1.36</v>
      </c>
      <c r="E6969" s="15">
        <v>1.36</v>
      </c>
      <c r="F6969" s="15">
        <v>1.36</v>
      </c>
      <c r="G6969" s="11">
        <v>0.0006</v>
      </c>
      <c r="H6969" s="9">
        <f>MAX($F$6211:F6969)</f>
        <v>1.36</v>
      </c>
      <c r="I6969" s="11">
        <f t="shared" si="170"/>
        <v>0</v>
      </c>
      <c r="J6969" s="9"/>
      <c r="K6969" s="11"/>
      <c r="L6969" s="9">
        <f>MAX($F$6779:F6969)</f>
        <v>1.36</v>
      </c>
      <c r="M6969" s="11">
        <f t="shared" si="169"/>
        <v>0</v>
      </c>
      <c r="N6969" s="9" t="s">
        <v>804</v>
      </c>
    </row>
    <row r="6970" ht="25" customHeight="1" spans="1:14">
      <c r="A6970" s="9" t="s">
        <v>231</v>
      </c>
      <c r="B6970" s="9" t="s">
        <v>229</v>
      </c>
      <c r="C6970" s="10">
        <v>45573</v>
      </c>
      <c r="D6970" s="15">
        <v>1.3607</v>
      </c>
      <c r="E6970" s="15">
        <v>1.3607</v>
      </c>
      <c r="F6970" s="15">
        <v>1.3607</v>
      </c>
      <c r="G6970" s="11">
        <v>0.0005</v>
      </c>
      <c r="H6970" s="9">
        <f>MAX($F$6211:F6970)</f>
        <v>1.3607</v>
      </c>
      <c r="I6970" s="11">
        <f t="shared" si="170"/>
        <v>0</v>
      </c>
      <c r="J6970" s="9"/>
      <c r="K6970" s="11"/>
      <c r="L6970" s="9">
        <f>MAX($F$6779:F6970)</f>
        <v>1.3607</v>
      </c>
      <c r="M6970" s="11">
        <f t="shared" si="169"/>
        <v>0</v>
      </c>
      <c r="N6970" s="9" t="s">
        <v>804</v>
      </c>
    </row>
    <row r="6971" ht="25" customHeight="1" spans="1:14">
      <c r="A6971" s="9" t="s">
        <v>231</v>
      </c>
      <c r="B6971" s="9" t="s">
        <v>229</v>
      </c>
      <c r="C6971" s="10">
        <v>45574</v>
      </c>
      <c r="D6971" s="15">
        <v>1.3614</v>
      </c>
      <c r="E6971" s="15">
        <v>1.3614</v>
      </c>
      <c r="F6971" s="15">
        <v>1.3614</v>
      </c>
      <c r="G6971" s="11">
        <v>0.0005</v>
      </c>
      <c r="H6971" s="9">
        <f>MAX($F$6211:F6971)</f>
        <v>1.3614</v>
      </c>
      <c r="I6971" s="11">
        <f t="shared" si="170"/>
        <v>0</v>
      </c>
      <c r="J6971" s="9"/>
      <c r="K6971" s="11"/>
      <c r="L6971" s="9">
        <f>MAX($F$6779:F6971)</f>
        <v>1.3614</v>
      </c>
      <c r="M6971" s="11">
        <f t="shared" ref="M6971:M7034" si="171">1-F6971/L6971</f>
        <v>0</v>
      </c>
      <c r="N6971" s="9" t="s">
        <v>804</v>
      </c>
    </row>
    <row r="6972" ht="25" customHeight="1" spans="1:14">
      <c r="A6972" s="9" t="s">
        <v>231</v>
      </c>
      <c r="B6972" s="9" t="s">
        <v>229</v>
      </c>
      <c r="C6972" s="10">
        <v>45575</v>
      </c>
      <c r="D6972" s="15">
        <v>1.3634</v>
      </c>
      <c r="E6972" s="15">
        <v>1.3634</v>
      </c>
      <c r="F6972" s="15">
        <v>1.3634</v>
      </c>
      <c r="G6972" s="11">
        <v>0.0015</v>
      </c>
      <c r="H6972" s="9">
        <f>MAX($F$6211:F6972)</f>
        <v>1.3634</v>
      </c>
      <c r="I6972" s="11">
        <f t="shared" si="170"/>
        <v>0</v>
      </c>
      <c r="J6972" s="9"/>
      <c r="K6972" s="11"/>
      <c r="L6972" s="9">
        <f>MAX($F$6779:F6972)</f>
        <v>1.3634</v>
      </c>
      <c r="M6972" s="11">
        <f t="shared" si="171"/>
        <v>0</v>
      </c>
      <c r="N6972" s="9" t="s">
        <v>804</v>
      </c>
    </row>
    <row r="6973" ht="25" customHeight="1" spans="1:14">
      <c r="A6973" s="9" t="s">
        <v>231</v>
      </c>
      <c r="B6973" s="9" t="s">
        <v>229</v>
      </c>
      <c r="C6973" s="10">
        <v>45576</v>
      </c>
      <c r="D6973" s="15">
        <v>1.3636</v>
      </c>
      <c r="E6973" s="15">
        <v>1.3636</v>
      </c>
      <c r="F6973" s="15">
        <v>1.3636</v>
      </c>
      <c r="G6973" s="11">
        <v>0.0001</v>
      </c>
      <c r="H6973" s="9">
        <f>MAX($F$6211:F6973)</f>
        <v>1.3636</v>
      </c>
      <c r="I6973" s="11">
        <f t="shared" si="170"/>
        <v>0</v>
      </c>
      <c r="J6973" s="9"/>
      <c r="K6973" s="11"/>
      <c r="L6973" s="9">
        <f>MAX($F$6779:F6973)</f>
        <v>1.3636</v>
      </c>
      <c r="M6973" s="11">
        <f t="shared" si="171"/>
        <v>0</v>
      </c>
      <c r="N6973" s="9" t="s">
        <v>804</v>
      </c>
    </row>
    <row r="6974" ht="25" customHeight="1" spans="1:14">
      <c r="A6974" s="9" t="s">
        <v>231</v>
      </c>
      <c r="B6974" s="9" t="s">
        <v>229</v>
      </c>
      <c r="C6974" s="10">
        <v>45579</v>
      </c>
      <c r="D6974" s="15">
        <v>1.3647</v>
      </c>
      <c r="E6974" s="15">
        <v>1.3647</v>
      </c>
      <c r="F6974" s="15">
        <v>1.3647</v>
      </c>
      <c r="G6974" s="11">
        <v>0.0008</v>
      </c>
      <c r="H6974" s="9">
        <f>MAX($F$6211:F6974)</f>
        <v>1.3647</v>
      </c>
      <c r="I6974" s="11">
        <f t="shared" si="170"/>
        <v>0</v>
      </c>
      <c r="J6974" s="9"/>
      <c r="K6974" s="11"/>
      <c r="L6974" s="9">
        <f>MAX($F$6779:F6974)</f>
        <v>1.3647</v>
      </c>
      <c r="M6974" s="11">
        <f t="shared" si="171"/>
        <v>0</v>
      </c>
      <c r="N6974" s="9" t="s">
        <v>804</v>
      </c>
    </row>
    <row r="6975" ht="25" customHeight="1" spans="1:14">
      <c r="A6975" s="9" t="s">
        <v>231</v>
      </c>
      <c r="B6975" s="9" t="s">
        <v>229</v>
      </c>
      <c r="C6975" s="10">
        <v>45580</v>
      </c>
      <c r="D6975" s="15">
        <v>1.3651</v>
      </c>
      <c r="E6975" s="15">
        <v>1.3651</v>
      </c>
      <c r="F6975" s="15">
        <v>1.3651</v>
      </c>
      <c r="G6975" s="11">
        <v>0.0003</v>
      </c>
      <c r="H6975" s="9">
        <f>MAX($F$6211:F6975)</f>
        <v>1.3651</v>
      </c>
      <c r="I6975" s="11">
        <f t="shared" si="170"/>
        <v>0</v>
      </c>
      <c r="J6975" s="9"/>
      <c r="K6975" s="11"/>
      <c r="L6975" s="9">
        <f>MAX($F$6779:F6975)</f>
        <v>1.3651</v>
      </c>
      <c r="M6975" s="11">
        <f t="shared" si="171"/>
        <v>0</v>
      </c>
      <c r="N6975" s="9" t="s">
        <v>804</v>
      </c>
    </row>
    <row r="6976" ht="25" customHeight="1" spans="1:14">
      <c r="A6976" s="9" t="s">
        <v>231</v>
      </c>
      <c r="B6976" s="9" t="s">
        <v>229</v>
      </c>
      <c r="C6976" s="10">
        <v>45581</v>
      </c>
      <c r="D6976" s="15">
        <v>1.3655</v>
      </c>
      <c r="E6976" s="15">
        <v>1.3655</v>
      </c>
      <c r="F6976" s="15">
        <v>1.3655</v>
      </c>
      <c r="G6976" s="11">
        <v>0.0003</v>
      </c>
      <c r="H6976" s="9">
        <f>MAX($F$6211:F6976)</f>
        <v>1.3655</v>
      </c>
      <c r="I6976" s="11">
        <f t="shared" si="170"/>
        <v>0</v>
      </c>
      <c r="J6976" s="9"/>
      <c r="K6976" s="11"/>
      <c r="L6976" s="9">
        <f>MAX($F$6779:F6976)</f>
        <v>1.3655</v>
      </c>
      <c r="M6976" s="11">
        <f t="shared" si="171"/>
        <v>0</v>
      </c>
      <c r="N6976" s="9" t="s">
        <v>804</v>
      </c>
    </row>
    <row r="6977" ht="25" customHeight="1" spans="1:14">
      <c r="A6977" s="9" t="s">
        <v>231</v>
      </c>
      <c r="B6977" s="9" t="s">
        <v>229</v>
      </c>
      <c r="C6977" s="10">
        <v>45582</v>
      </c>
      <c r="D6977" s="15">
        <v>1.3666</v>
      </c>
      <c r="E6977" s="15">
        <v>1.3666</v>
      </c>
      <c r="F6977" s="15">
        <v>1.3666</v>
      </c>
      <c r="G6977" s="11">
        <v>0.0008</v>
      </c>
      <c r="H6977" s="9">
        <f>MAX($F$6211:F6977)</f>
        <v>1.3666</v>
      </c>
      <c r="I6977" s="11">
        <f t="shared" si="170"/>
        <v>0</v>
      </c>
      <c r="J6977" s="9"/>
      <c r="K6977" s="11"/>
      <c r="L6977" s="9">
        <f>MAX($F$6779:F6977)</f>
        <v>1.3666</v>
      </c>
      <c r="M6977" s="11">
        <f t="shared" si="171"/>
        <v>0</v>
      </c>
      <c r="N6977" s="9" t="s">
        <v>804</v>
      </c>
    </row>
    <row r="6978" ht="25" customHeight="1" spans="1:14">
      <c r="A6978" s="9" t="s">
        <v>231</v>
      </c>
      <c r="B6978" s="9" t="s">
        <v>229</v>
      </c>
      <c r="C6978" s="10">
        <v>45583</v>
      </c>
      <c r="D6978" s="15">
        <v>1.3675</v>
      </c>
      <c r="E6978" s="15">
        <v>1.3675</v>
      </c>
      <c r="F6978" s="15">
        <v>1.3675</v>
      </c>
      <c r="G6978" s="11">
        <v>0.0007</v>
      </c>
      <c r="H6978" s="9">
        <f>MAX($F$6211:F6978)</f>
        <v>1.3675</v>
      </c>
      <c r="I6978" s="11">
        <f t="shared" ref="I6978:I7041" si="172">1-F6978/H6978</f>
        <v>0</v>
      </c>
      <c r="J6978" s="9"/>
      <c r="K6978" s="11"/>
      <c r="L6978" s="9">
        <f>MAX($F$6779:F6978)</f>
        <v>1.3675</v>
      </c>
      <c r="M6978" s="11">
        <f t="shared" si="171"/>
        <v>0</v>
      </c>
      <c r="N6978" s="9" t="s">
        <v>804</v>
      </c>
    </row>
    <row r="6979" ht="25" customHeight="1" spans="1:14">
      <c r="A6979" s="9" t="s">
        <v>231</v>
      </c>
      <c r="B6979" s="9" t="s">
        <v>229</v>
      </c>
      <c r="C6979" s="10">
        <v>45586</v>
      </c>
      <c r="D6979" s="15">
        <v>1.3677</v>
      </c>
      <c r="E6979" s="15">
        <v>1.3677</v>
      </c>
      <c r="F6979" s="15">
        <v>1.3677</v>
      </c>
      <c r="G6979" s="11">
        <v>0.0001</v>
      </c>
      <c r="H6979" s="9">
        <f>MAX($F$6211:F6979)</f>
        <v>1.3677</v>
      </c>
      <c r="I6979" s="11">
        <f t="shared" si="172"/>
        <v>0</v>
      </c>
      <c r="J6979" s="9"/>
      <c r="K6979" s="11"/>
      <c r="L6979" s="9">
        <f>MAX($F$6779:F6979)</f>
        <v>1.3677</v>
      </c>
      <c r="M6979" s="11">
        <f t="shared" si="171"/>
        <v>0</v>
      </c>
      <c r="N6979" s="9" t="s">
        <v>804</v>
      </c>
    </row>
    <row r="6980" ht="25" customHeight="1" spans="1:14">
      <c r="A6980" s="9" t="s">
        <v>231</v>
      </c>
      <c r="B6980" s="9" t="s">
        <v>229</v>
      </c>
      <c r="C6980" s="10">
        <v>45587</v>
      </c>
      <c r="D6980" s="15">
        <v>1.368</v>
      </c>
      <c r="E6980" s="15">
        <v>1.368</v>
      </c>
      <c r="F6980" s="15">
        <v>1.368</v>
      </c>
      <c r="G6980" s="11">
        <v>0.0002</v>
      </c>
      <c r="H6980" s="9">
        <f>MAX($F$6211:F6980)</f>
        <v>1.368</v>
      </c>
      <c r="I6980" s="11">
        <f t="shared" si="172"/>
        <v>0</v>
      </c>
      <c r="J6980" s="9"/>
      <c r="K6980" s="11"/>
      <c r="L6980" s="9">
        <f>MAX($F$6779:F6980)</f>
        <v>1.368</v>
      </c>
      <c r="M6980" s="11">
        <f t="shared" si="171"/>
        <v>0</v>
      </c>
      <c r="N6980" s="9" t="s">
        <v>804</v>
      </c>
    </row>
    <row r="6981" ht="25" customHeight="1" spans="1:14">
      <c r="A6981" s="9" t="s">
        <v>231</v>
      </c>
      <c r="B6981" s="9" t="s">
        <v>229</v>
      </c>
      <c r="C6981" s="10">
        <v>45588</v>
      </c>
      <c r="D6981" s="15">
        <v>1.3672</v>
      </c>
      <c r="E6981" s="15">
        <v>1.3672</v>
      </c>
      <c r="F6981" s="15">
        <v>1.3672</v>
      </c>
      <c r="G6981" s="11">
        <v>-0.0006</v>
      </c>
      <c r="H6981" s="9">
        <f>MAX($F$6211:F6981)</f>
        <v>1.368</v>
      </c>
      <c r="I6981" s="11">
        <f t="shared" si="172"/>
        <v>0.000584795321637577</v>
      </c>
      <c r="J6981" s="9"/>
      <c r="K6981" s="11"/>
      <c r="L6981" s="9">
        <f>MAX($F$6779:F6981)</f>
        <v>1.368</v>
      </c>
      <c r="M6981" s="11">
        <f t="shared" si="171"/>
        <v>0.000584795321637577</v>
      </c>
      <c r="N6981" s="9" t="s">
        <v>804</v>
      </c>
    </row>
    <row r="6982" ht="25" customHeight="1" spans="1:14">
      <c r="A6982" s="9" t="s">
        <v>231</v>
      </c>
      <c r="B6982" s="9" t="s">
        <v>229</v>
      </c>
      <c r="C6982" s="10">
        <v>45589</v>
      </c>
      <c r="D6982" s="15">
        <v>1.3675</v>
      </c>
      <c r="E6982" s="15">
        <v>1.3675</v>
      </c>
      <c r="F6982" s="15">
        <v>1.3675</v>
      </c>
      <c r="G6982" s="11">
        <v>0.0002</v>
      </c>
      <c r="H6982" s="9">
        <f>MAX($F$6211:F6982)</f>
        <v>1.368</v>
      </c>
      <c r="I6982" s="11">
        <f t="shared" si="172"/>
        <v>0.000365497076023513</v>
      </c>
      <c r="J6982" s="9"/>
      <c r="K6982" s="11"/>
      <c r="L6982" s="9">
        <f>MAX($F$6779:F6982)</f>
        <v>1.368</v>
      </c>
      <c r="M6982" s="11">
        <f t="shared" si="171"/>
        <v>0.000365497076023513</v>
      </c>
      <c r="N6982" s="9" t="s">
        <v>804</v>
      </c>
    </row>
    <row r="6983" ht="25" customHeight="1" spans="1:14">
      <c r="A6983" s="9" t="s">
        <v>231</v>
      </c>
      <c r="B6983" s="9" t="s">
        <v>229</v>
      </c>
      <c r="C6983" s="10">
        <v>45590</v>
      </c>
      <c r="D6983" s="15">
        <v>1.3691</v>
      </c>
      <c r="E6983" s="15">
        <v>1.3691</v>
      </c>
      <c r="F6983" s="15">
        <v>1.3691</v>
      </c>
      <c r="G6983" s="11">
        <v>0.0012</v>
      </c>
      <c r="H6983" s="9">
        <f>MAX($F$6211:F6983)</f>
        <v>1.3691</v>
      </c>
      <c r="I6983" s="11">
        <f t="shared" si="172"/>
        <v>0</v>
      </c>
      <c r="J6983" s="9"/>
      <c r="K6983" s="11"/>
      <c r="L6983" s="9">
        <f>MAX($F$6779:F6983)</f>
        <v>1.3691</v>
      </c>
      <c r="M6983" s="11">
        <f t="shared" si="171"/>
        <v>0</v>
      </c>
      <c r="N6983" s="9" t="s">
        <v>804</v>
      </c>
    </row>
    <row r="6984" ht="25" customHeight="1" spans="1:14">
      <c r="A6984" s="9" t="s">
        <v>231</v>
      </c>
      <c r="B6984" s="9" t="s">
        <v>229</v>
      </c>
      <c r="C6984" s="10">
        <v>45593</v>
      </c>
      <c r="D6984" s="15">
        <v>1.3696</v>
      </c>
      <c r="E6984" s="15">
        <v>1.3696</v>
      </c>
      <c r="F6984" s="15">
        <v>1.3696</v>
      </c>
      <c r="G6984" s="11">
        <v>0.0004</v>
      </c>
      <c r="H6984" s="9">
        <f>MAX($F$6211:F6984)</f>
        <v>1.3696</v>
      </c>
      <c r="I6984" s="11">
        <f t="shared" si="172"/>
        <v>0</v>
      </c>
      <c r="J6984" s="9"/>
      <c r="K6984" s="11"/>
      <c r="L6984" s="9">
        <f>MAX($F$6779:F6984)</f>
        <v>1.3696</v>
      </c>
      <c r="M6984" s="11">
        <f t="shared" si="171"/>
        <v>0</v>
      </c>
      <c r="N6984" s="9" t="s">
        <v>804</v>
      </c>
    </row>
    <row r="6985" ht="25" customHeight="1" spans="1:14">
      <c r="A6985" s="9" t="s">
        <v>231</v>
      </c>
      <c r="B6985" s="9" t="s">
        <v>229</v>
      </c>
      <c r="C6985" s="10">
        <v>45594</v>
      </c>
      <c r="D6985" s="15">
        <v>1.3697</v>
      </c>
      <c r="E6985" s="15">
        <v>1.3697</v>
      </c>
      <c r="F6985" s="15">
        <v>1.3697</v>
      </c>
      <c r="G6985" s="11">
        <v>0.0001</v>
      </c>
      <c r="H6985" s="9">
        <f>MAX($F$6211:F6985)</f>
        <v>1.3697</v>
      </c>
      <c r="I6985" s="11">
        <f t="shared" si="172"/>
        <v>0</v>
      </c>
      <c r="J6985" s="9"/>
      <c r="K6985" s="11"/>
      <c r="L6985" s="9">
        <f>MAX($F$6779:F6985)</f>
        <v>1.3697</v>
      </c>
      <c r="M6985" s="11">
        <f t="shared" si="171"/>
        <v>0</v>
      </c>
      <c r="N6985" s="9" t="s">
        <v>804</v>
      </c>
    </row>
    <row r="6986" ht="25" customHeight="1" spans="1:14">
      <c r="A6986" s="9" t="s">
        <v>231</v>
      </c>
      <c r="B6986" s="9" t="s">
        <v>229</v>
      </c>
      <c r="C6986" s="10">
        <v>45595</v>
      </c>
      <c r="D6986" s="15">
        <v>1.37</v>
      </c>
      <c r="E6986" s="15">
        <v>1.37</v>
      </c>
      <c r="F6986" s="15">
        <v>1.37</v>
      </c>
      <c r="G6986" s="11">
        <v>0.0002</v>
      </c>
      <c r="H6986" s="9">
        <f>MAX($F$6211:F6986)</f>
        <v>1.37</v>
      </c>
      <c r="I6986" s="11">
        <f t="shared" si="172"/>
        <v>0</v>
      </c>
      <c r="J6986" s="9"/>
      <c r="K6986" s="11"/>
      <c r="L6986" s="9">
        <f>MAX($F$6779:F6986)</f>
        <v>1.37</v>
      </c>
      <c r="M6986" s="11">
        <f t="shared" si="171"/>
        <v>0</v>
      </c>
      <c r="N6986" s="9" t="s">
        <v>804</v>
      </c>
    </row>
    <row r="6987" ht="25" customHeight="1" spans="1:14">
      <c r="A6987" s="9" t="s">
        <v>231</v>
      </c>
      <c r="B6987" s="9" t="s">
        <v>229</v>
      </c>
      <c r="C6987" s="10">
        <v>45596</v>
      </c>
      <c r="D6987" s="15">
        <v>1.3703</v>
      </c>
      <c r="E6987" s="15">
        <v>1.3703</v>
      </c>
      <c r="F6987" s="15">
        <v>1.3703</v>
      </c>
      <c r="G6987" s="11">
        <v>0.0002</v>
      </c>
      <c r="H6987" s="9">
        <f>MAX($F$6211:F6987)</f>
        <v>1.3703</v>
      </c>
      <c r="I6987" s="11">
        <f t="shared" si="172"/>
        <v>0</v>
      </c>
      <c r="J6987" s="9"/>
      <c r="K6987" s="11"/>
      <c r="L6987" s="9">
        <f>MAX($F$6779:F6987)</f>
        <v>1.3703</v>
      </c>
      <c r="M6987" s="11">
        <f t="shared" si="171"/>
        <v>0</v>
      </c>
      <c r="N6987" s="9" t="s">
        <v>804</v>
      </c>
    </row>
    <row r="6988" ht="25" customHeight="1" spans="1:14">
      <c r="A6988" s="9" t="s">
        <v>231</v>
      </c>
      <c r="B6988" s="9" t="s">
        <v>229</v>
      </c>
      <c r="C6988" s="10">
        <v>45597</v>
      </c>
      <c r="D6988" s="15">
        <v>1.3702</v>
      </c>
      <c r="E6988" s="15">
        <v>1.3702</v>
      </c>
      <c r="F6988" s="15">
        <v>1.3702</v>
      </c>
      <c r="G6988" s="11">
        <v>-0.0001</v>
      </c>
      <c r="H6988" s="9">
        <f>MAX($F$6211:F6988)</f>
        <v>1.3703</v>
      </c>
      <c r="I6988" s="11">
        <f t="shared" si="172"/>
        <v>7.29767204261655e-5</v>
      </c>
      <c r="J6988" s="9"/>
      <c r="K6988" s="11"/>
      <c r="L6988" s="9">
        <f>MAX($F$6779:F6988)</f>
        <v>1.3703</v>
      </c>
      <c r="M6988" s="11">
        <f t="shared" si="171"/>
        <v>7.29767204261655e-5</v>
      </c>
      <c r="N6988" s="9" t="s">
        <v>804</v>
      </c>
    </row>
    <row r="6989" ht="25" customHeight="1" spans="1:14">
      <c r="A6989" s="9" t="s">
        <v>231</v>
      </c>
      <c r="B6989" s="9" t="s">
        <v>229</v>
      </c>
      <c r="C6989" s="10">
        <v>45600</v>
      </c>
      <c r="D6989" s="15">
        <v>1.3705</v>
      </c>
      <c r="E6989" s="15">
        <v>1.3705</v>
      </c>
      <c r="F6989" s="15">
        <v>1.3705</v>
      </c>
      <c r="G6989" s="11">
        <v>0.0002</v>
      </c>
      <c r="H6989" s="9">
        <f>MAX($F$6211:F6989)</f>
        <v>1.3705</v>
      </c>
      <c r="I6989" s="11">
        <f t="shared" si="172"/>
        <v>0</v>
      </c>
      <c r="J6989" s="9"/>
      <c r="K6989" s="11"/>
      <c r="L6989" s="9">
        <f>MAX($F$6779:F6989)</f>
        <v>1.3705</v>
      </c>
      <c r="M6989" s="11">
        <f t="shared" si="171"/>
        <v>0</v>
      </c>
      <c r="N6989" s="9" t="s">
        <v>804</v>
      </c>
    </row>
    <row r="6990" ht="25" customHeight="1" spans="1:14">
      <c r="A6990" s="9" t="s">
        <v>231</v>
      </c>
      <c r="B6990" s="9" t="s">
        <v>229</v>
      </c>
      <c r="C6990" s="10">
        <v>45601</v>
      </c>
      <c r="D6990" s="15">
        <v>1.3707</v>
      </c>
      <c r="E6990" s="15">
        <v>1.3707</v>
      </c>
      <c r="F6990" s="15">
        <v>1.3707</v>
      </c>
      <c r="G6990" s="11">
        <v>0.0001</v>
      </c>
      <c r="H6990" s="9">
        <f>MAX($F$6211:F6990)</f>
        <v>1.3707</v>
      </c>
      <c r="I6990" s="11">
        <f t="shared" si="172"/>
        <v>0</v>
      </c>
      <c r="J6990" s="9"/>
      <c r="K6990" s="11"/>
      <c r="L6990" s="9">
        <f>MAX($F$6779:F6990)</f>
        <v>1.3707</v>
      </c>
      <c r="M6990" s="11">
        <f t="shared" si="171"/>
        <v>0</v>
      </c>
      <c r="N6990" s="9" t="s">
        <v>804</v>
      </c>
    </row>
    <row r="6991" ht="25" customHeight="1" spans="1:14">
      <c r="A6991" s="9" t="s">
        <v>231</v>
      </c>
      <c r="B6991" s="9" t="s">
        <v>229</v>
      </c>
      <c r="C6991" s="10">
        <v>45602</v>
      </c>
      <c r="D6991" s="15">
        <v>1.3725</v>
      </c>
      <c r="E6991" s="15">
        <v>1.3725</v>
      </c>
      <c r="F6991" s="15">
        <v>1.3725</v>
      </c>
      <c r="G6991" s="11">
        <v>0.0013</v>
      </c>
      <c r="H6991" s="9">
        <f>MAX($F$6211:F6991)</f>
        <v>1.3725</v>
      </c>
      <c r="I6991" s="11">
        <f t="shared" si="172"/>
        <v>0</v>
      </c>
      <c r="J6991" s="9"/>
      <c r="K6991" s="11"/>
      <c r="L6991" s="9">
        <f>MAX($F$6779:F6991)</f>
        <v>1.3725</v>
      </c>
      <c r="M6991" s="11">
        <f t="shared" si="171"/>
        <v>0</v>
      </c>
      <c r="N6991" s="9" t="s">
        <v>804</v>
      </c>
    </row>
    <row r="6992" ht="25" customHeight="1" spans="1:14">
      <c r="A6992" s="9" t="s">
        <v>231</v>
      </c>
      <c r="B6992" s="9" t="s">
        <v>229</v>
      </c>
      <c r="C6992" s="10">
        <v>45603</v>
      </c>
      <c r="D6992" s="15">
        <v>1.3726</v>
      </c>
      <c r="E6992" s="15">
        <v>1.3726</v>
      </c>
      <c r="F6992" s="15">
        <v>1.3726</v>
      </c>
      <c r="G6992" s="11">
        <v>0.0001</v>
      </c>
      <c r="H6992" s="9">
        <f>MAX($F$6211:F6992)</f>
        <v>1.3726</v>
      </c>
      <c r="I6992" s="11">
        <f t="shared" si="172"/>
        <v>0</v>
      </c>
      <c r="J6992" s="9"/>
      <c r="K6992" s="11"/>
      <c r="L6992" s="9">
        <f>MAX($F$6779:F6992)</f>
        <v>1.3726</v>
      </c>
      <c r="M6992" s="11">
        <f t="shared" si="171"/>
        <v>0</v>
      </c>
      <c r="N6992" s="9" t="s">
        <v>804</v>
      </c>
    </row>
    <row r="6993" ht="25" customHeight="1" spans="1:14">
      <c r="A6993" s="9" t="s">
        <v>231</v>
      </c>
      <c r="B6993" s="9" t="s">
        <v>229</v>
      </c>
      <c r="C6993" s="10">
        <v>45604</v>
      </c>
      <c r="D6993" s="15">
        <v>1.3737</v>
      </c>
      <c r="E6993" s="15">
        <v>1.3737</v>
      </c>
      <c r="F6993" s="15">
        <v>1.3737</v>
      </c>
      <c r="G6993" s="11">
        <v>0.0008</v>
      </c>
      <c r="H6993" s="9">
        <f>MAX($F$6211:F6993)</f>
        <v>1.3737</v>
      </c>
      <c r="I6993" s="11">
        <f t="shared" si="172"/>
        <v>0</v>
      </c>
      <c r="J6993" s="9"/>
      <c r="K6993" s="11"/>
      <c r="L6993" s="9">
        <f>MAX($F$6779:F6993)</f>
        <v>1.3737</v>
      </c>
      <c r="M6993" s="11">
        <f t="shared" si="171"/>
        <v>0</v>
      </c>
      <c r="N6993" s="9" t="s">
        <v>804</v>
      </c>
    </row>
    <row r="6994" ht="25" customHeight="1" spans="1:14">
      <c r="A6994" s="9" t="s">
        <v>231</v>
      </c>
      <c r="B6994" s="9" t="s">
        <v>229</v>
      </c>
      <c r="C6994" s="10">
        <v>45607</v>
      </c>
      <c r="D6994" s="15">
        <v>1.3745</v>
      </c>
      <c r="E6994" s="15">
        <v>1.3745</v>
      </c>
      <c r="F6994" s="15">
        <v>1.3745</v>
      </c>
      <c r="G6994" s="11">
        <v>0.0006</v>
      </c>
      <c r="H6994" s="9">
        <f>MAX($F$6211:F6994)</f>
        <v>1.3745</v>
      </c>
      <c r="I6994" s="11">
        <f t="shared" si="172"/>
        <v>0</v>
      </c>
      <c r="J6994" s="9"/>
      <c r="K6994" s="11"/>
      <c r="L6994" s="9">
        <f>MAX($F$6779:F6994)</f>
        <v>1.3745</v>
      </c>
      <c r="M6994" s="11">
        <f t="shared" si="171"/>
        <v>0</v>
      </c>
      <c r="N6994" s="9" t="s">
        <v>804</v>
      </c>
    </row>
    <row r="6995" ht="25" customHeight="1" spans="1:14">
      <c r="A6995" s="9" t="s">
        <v>231</v>
      </c>
      <c r="B6995" s="9" t="s">
        <v>229</v>
      </c>
      <c r="C6995" s="10">
        <v>45608</v>
      </c>
      <c r="D6995" s="15">
        <v>1.3749</v>
      </c>
      <c r="E6995" s="15">
        <v>1.3749</v>
      </c>
      <c r="F6995" s="15">
        <v>1.3749</v>
      </c>
      <c r="G6995" s="11">
        <v>0.0003</v>
      </c>
      <c r="H6995" s="9">
        <f>MAX($F$6211:F6995)</f>
        <v>1.3749</v>
      </c>
      <c r="I6995" s="11">
        <f t="shared" si="172"/>
        <v>0</v>
      </c>
      <c r="J6995" s="9"/>
      <c r="K6995" s="11"/>
      <c r="L6995" s="9">
        <f>MAX($F$6779:F6995)</f>
        <v>1.3749</v>
      </c>
      <c r="M6995" s="11">
        <f t="shared" si="171"/>
        <v>0</v>
      </c>
      <c r="N6995" s="9" t="s">
        <v>804</v>
      </c>
    </row>
    <row r="6996" ht="25" customHeight="1" spans="1:14">
      <c r="A6996" s="9" t="s">
        <v>231</v>
      </c>
      <c r="B6996" s="9" t="s">
        <v>229</v>
      </c>
      <c r="C6996" s="10">
        <v>45609</v>
      </c>
      <c r="D6996" s="15">
        <v>1.3753</v>
      </c>
      <c r="E6996" s="15">
        <v>1.3753</v>
      </c>
      <c r="F6996" s="15">
        <v>1.3753</v>
      </c>
      <c r="G6996" s="11">
        <v>0.0003</v>
      </c>
      <c r="H6996" s="9">
        <f>MAX($F$6211:F6996)</f>
        <v>1.3753</v>
      </c>
      <c r="I6996" s="11">
        <f t="shared" si="172"/>
        <v>0</v>
      </c>
      <c r="J6996" s="9"/>
      <c r="K6996" s="11"/>
      <c r="L6996" s="9">
        <f>MAX($F$6779:F6996)</f>
        <v>1.3753</v>
      </c>
      <c r="M6996" s="11">
        <f t="shared" si="171"/>
        <v>0</v>
      </c>
      <c r="N6996" s="9" t="s">
        <v>804</v>
      </c>
    </row>
    <row r="6997" ht="25" customHeight="1" spans="1:14">
      <c r="A6997" s="9" t="s">
        <v>231</v>
      </c>
      <c r="B6997" s="9" t="s">
        <v>229</v>
      </c>
      <c r="C6997" s="10">
        <v>45610</v>
      </c>
      <c r="D6997" s="15">
        <v>1.3762</v>
      </c>
      <c r="E6997" s="15">
        <v>1.3762</v>
      </c>
      <c r="F6997" s="15">
        <v>1.3762</v>
      </c>
      <c r="G6997" s="11">
        <v>0.0007</v>
      </c>
      <c r="H6997" s="9">
        <f>MAX($F$6211:F6997)</f>
        <v>1.3762</v>
      </c>
      <c r="I6997" s="11">
        <f t="shared" si="172"/>
        <v>0</v>
      </c>
      <c r="J6997" s="9"/>
      <c r="K6997" s="11"/>
      <c r="L6997" s="9">
        <f>MAX($F$6779:F6997)</f>
        <v>1.3762</v>
      </c>
      <c r="M6997" s="11">
        <f t="shared" si="171"/>
        <v>0</v>
      </c>
      <c r="N6997" s="9" t="s">
        <v>804</v>
      </c>
    </row>
    <row r="6998" ht="25" customHeight="1" spans="1:14">
      <c r="A6998" s="9" t="s">
        <v>231</v>
      </c>
      <c r="B6998" s="9" t="s">
        <v>229</v>
      </c>
      <c r="C6998" s="10">
        <v>45611</v>
      </c>
      <c r="D6998" s="15">
        <v>1.3763</v>
      </c>
      <c r="E6998" s="15">
        <v>1.3763</v>
      </c>
      <c r="F6998" s="15">
        <v>1.3763</v>
      </c>
      <c r="G6998" s="11">
        <v>0.0001</v>
      </c>
      <c r="H6998" s="9">
        <f>MAX($F$6211:F6998)</f>
        <v>1.3763</v>
      </c>
      <c r="I6998" s="11">
        <f t="shared" si="172"/>
        <v>0</v>
      </c>
      <c r="J6998" s="9"/>
      <c r="K6998" s="11"/>
      <c r="L6998" s="9">
        <f>MAX($F$6779:F6998)</f>
        <v>1.3763</v>
      </c>
      <c r="M6998" s="11">
        <f t="shared" si="171"/>
        <v>0</v>
      </c>
      <c r="N6998" s="9" t="s">
        <v>804</v>
      </c>
    </row>
    <row r="6999" ht="25" customHeight="1" spans="1:14">
      <c r="A6999" s="9" t="s">
        <v>231</v>
      </c>
      <c r="B6999" s="9" t="s">
        <v>229</v>
      </c>
      <c r="C6999" s="10">
        <v>45614</v>
      </c>
      <c r="D6999" s="15">
        <v>1.3765</v>
      </c>
      <c r="E6999" s="15">
        <v>1.3765</v>
      </c>
      <c r="F6999" s="15">
        <v>1.3765</v>
      </c>
      <c r="G6999" s="11">
        <v>0.0001</v>
      </c>
      <c r="H6999" s="9">
        <f>MAX($F$6211:F6999)</f>
        <v>1.3765</v>
      </c>
      <c r="I6999" s="11">
        <f t="shared" si="172"/>
        <v>0</v>
      </c>
      <c r="J6999" s="9"/>
      <c r="K6999" s="11"/>
      <c r="L6999" s="9">
        <f>MAX($F$6779:F6999)</f>
        <v>1.3765</v>
      </c>
      <c r="M6999" s="11">
        <f t="shared" si="171"/>
        <v>0</v>
      </c>
      <c r="N6999" s="9" t="s">
        <v>804</v>
      </c>
    </row>
    <row r="7000" ht="25" customHeight="1" spans="1:14">
      <c r="A7000" s="9" t="s">
        <v>231</v>
      </c>
      <c r="B7000" s="9" t="s">
        <v>229</v>
      </c>
      <c r="C7000" s="10">
        <v>45615</v>
      </c>
      <c r="D7000" s="15">
        <v>1.3771</v>
      </c>
      <c r="E7000" s="15">
        <v>1.3771</v>
      </c>
      <c r="F7000" s="15">
        <v>1.3771</v>
      </c>
      <c r="G7000" s="11">
        <v>0.0004</v>
      </c>
      <c r="H7000" s="9">
        <f>MAX($F$6211:F7000)</f>
        <v>1.3771</v>
      </c>
      <c r="I7000" s="11">
        <f t="shared" si="172"/>
        <v>0</v>
      </c>
      <c r="J7000" s="9"/>
      <c r="K7000" s="11"/>
      <c r="L7000" s="9">
        <f>MAX($F$6779:F7000)</f>
        <v>1.3771</v>
      </c>
      <c r="M7000" s="11">
        <f t="shared" si="171"/>
        <v>0</v>
      </c>
      <c r="N7000" s="9" t="s">
        <v>804</v>
      </c>
    </row>
    <row r="7001" ht="25" customHeight="1" spans="1:14">
      <c r="A7001" s="9" t="s">
        <v>231</v>
      </c>
      <c r="B7001" s="9" t="s">
        <v>229</v>
      </c>
      <c r="C7001" s="10">
        <v>45616</v>
      </c>
      <c r="D7001" s="15">
        <v>1.3774</v>
      </c>
      <c r="E7001" s="15">
        <v>1.3774</v>
      </c>
      <c r="F7001" s="15">
        <v>1.3774</v>
      </c>
      <c r="G7001" s="11">
        <v>0.0002</v>
      </c>
      <c r="H7001" s="9">
        <f>MAX($F$6211:F7001)</f>
        <v>1.3774</v>
      </c>
      <c r="I7001" s="11">
        <f t="shared" si="172"/>
        <v>0</v>
      </c>
      <c r="J7001" s="9"/>
      <c r="K7001" s="11"/>
      <c r="L7001" s="9">
        <f>MAX($F$6779:F7001)</f>
        <v>1.3774</v>
      </c>
      <c r="M7001" s="11">
        <f t="shared" si="171"/>
        <v>0</v>
      </c>
      <c r="N7001" s="9" t="s">
        <v>804</v>
      </c>
    </row>
    <row r="7002" ht="25" customHeight="1" spans="1:14">
      <c r="A7002" s="9" t="s">
        <v>231</v>
      </c>
      <c r="B7002" s="9" t="s">
        <v>229</v>
      </c>
      <c r="C7002" s="10">
        <v>45617</v>
      </c>
      <c r="D7002" s="15">
        <v>1.3778</v>
      </c>
      <c r="E7002" s="15">
        <v>1.3778</v>
      </c>
      <c r="F7002" s="15">
        <v>1.3778</v>
      </c>
      <c r="G7002" s="11">
        <v>0.0003</v>
      </c>
      <c r="H7002" s="9">
        <f>MAX($F$6211:F7002)</f>
        <v>1.3778</v>
      </c>
      <c r="I7002" s="11">
        <f t="shared" si="172"/>
        <v>0</v>
      </c>
      <c r="J7002" s="9"/>
      <c r="K7002" s="11"/>
      <c r="L7002" s="9">
        <f>MAX($F$6779:F7002)</f>
        <v>1.3778</v>
      </c>
      <c r="M7002" s="11">
        <f t="shared" si="171"/>
        <v>0</v>
      </c>
      <c r="N7002" s="9" t="s">
        <v>804</v>
      </c>
    </row>
    <row r="7003" ht="25" customHeight="1" spans="1:14">
      <c r="A7003" s="9" t="s">
        <v>231</v>
      </c>
      <c r="B7003" s="9" t="s">
        <v>229</v>
      </c>
      <c r="C7003" s="10">
        <v>45618</v>
      </c>
      <c r="D7003" s="15">
        <v>1.3781</v>
      </c>
      <c r="E7003" s="15">
        <v>1.3781</v>
      </c>
      <c r="F7003" s="15">
        <v>1.3781</v>
      </c>
      <c r="G7003" s="11">
        <v>0.0002</v>
      </c>
      <c r="H7003" s="9">
        <f>MAX($F$6211:F7003)</f>
        <v>1.3781</v>
      </c>
      <c r="I7003" s="11">
        <f t="shared" si="172"/>
        <v>0</v>
      </c>
      <c r="J7003" s="9"/>
      <c r="K7003" s="11"/>
      <c r="L7003" s="9">
        <f>MAX($F$6779:F7003)</f>
        <v>1.3781</v>
      </c>
      <c r="M7003" s="11">
        <f t="shared" si="171"/>
        <v>0</v>
      </c>
      <c r="N7003" s="9" t="s">
        <v>804</v>
      </c>
    </row>
    <row r="7004" ht="25" customHeight="1" spans="1:14">
      <c r="A7004" s="9" t="s">
        <v>231</v>
      </c>
      <c r="B7004" s="9" t="s">
        <v>229</v>
      </c>
      <c r="C7004" s="10">
        <v>45621</v>
      </c>
      <c r="D7004" s="15">
        <v>1.3771</v>
      </c>
      <c r="E7004" s="15">
        <v>1.3771</v>
      </c>
      <c r="F7004" s="15">
        <v>1.3771</v>
      </c>
      <c r="G7004" s="11">
        <v>-0.0007</v>
      </c>
      <c r="H7004" s="9">
        <f>MAX($F$6211:F7004)</f>
        <v>1.3781</v>
      </c>
      <c r="I7004" s="11">
        <f t="shared" si="172"/>
        <v>0.000725636746244929</v>
      </c>
      <c r="J7004" s="9"/>
      <c r="K7004" s="11"/>
      <c r="L7004" s="9">
        <f>MAX($F$6779:F7004)</f>
        <v>1.3781</v>
      </c>
      <c r="M7004" s="11">
        <f t="shared" si="171"/>
        <v>0.000725636746244929</v>
      </c>
      <c r="N7004" s="9" t="s">
        <v>804</v>
      </c>
    </row>
    <row r="7005" ht="25" customHeight="1" spans="1:14">
      <c r="A7005" s="9" t="s">
        <v>231</v>
      </c>
      <c r="B7005" s="9" t="s">
        <v>229</v>
      </c>
      <c r="C7005" s="10">
        <v>45622</v>
      </c>
      <c r="D7005" s="15">
        <v>1.3773</v>
      </c>
      <c r="E7005" s="15">
        <v>1.3773</v>
      </c>
      <c r="F7005" s="15">
        <v>1.3773</v>
      </c>
      <c r="G7005" s="11">
        <v>0.0001</v>
      </c>
      <c r="H7005" s="9">
        <f>MAX($F$6211:F7005)</f>
        <v>1.3781</v>
      </c>
      <c r="I7005" s="11">
        <f t="shared" si="172"/>
        <v>0.000580509396995943</v>
      </c>
      <c r="J7005" s="9"/>
      <c r="K7005" s="11"/>
      <c r="L7005" s="9">
        <f>MAX($F$6779:F7005)</f>
        <v>1.3781</v>
      </c>
      <c r="M7005" s="11">
        <f t="shared" si="171"/>
        <v>0.000580509396995943</v>
      </c>
      <c r="N7005" s="9" t="s">
        <v>804</v>
      </c>
    </row>
    <row r="7006" ht="25" customHeight="1" spans="1:14">
      <c r="A7006" s="9" t="s">
        <v>231</v>
      </c>
      <c r="B7006" s="9" t="s">
        <v>229</v>
      </c>
      <c r="C7006" s="10">
        <v>45623</v>
      </c>
      <c r="D7006" s="15">
        <v>1.377</v>
      </c>
      <c r="E7006" s="15">
        <v>1.377</v>
      </c>
      <c r="F7006" s="15">
        <v>1.377</v>
      </c>
      <c r="G7006" s="11">
        <v>-0.0002</v>
      </c>
      <c r="H7006" s="9">
        <f>MAX($F$6211:F7006)</f>
        <v>1.3781</v>
      </c>
      <c r="I7006" s="11">
        <f t="shared" si="172"/>
        <v>0.000798200420869422</v>
      </c>
      <c r="J7006" s="9"/>
      <c r="K7006" s="11"/>
      <c r="L7006" s="9">
        <f>MAX($F$6779:F7006)</f>
        <v>1.3781</v>
      </c>
      <c r="M7006" s="11">
        <f t="shared" si="171"/>
        <v>0.000798200420869422</v>
      </c>
      <c r="N7006" s="9" t="s">
        <v>804</v>
      </c>
    </row>
    <row r="7007" ht="25" customHeight="1" spans="1:14">
      <c r="A7007" s="9" t="s">
        <v>231</v>
      </c>
      <c r="B7007" s="9" t="s">
        <v>229</v>
      </c>
      <c r="C7007" s="10">
        <v>45624</v>
      </c>
      <c r="D7007" s="15">
        <v>1.3773</v>
      </c>
      <c r="E7007" s="15">
        <v>1.3773</v>
      </c>
      <c r="F7007" s="15">
        <v>1.3773</v>
      </c>
      <c r="G7007" s="11">
        <v>0.0002</v>
      </c>
      <c r="H7007" s="9">
        <f>MAX($F$6211:F7007)</f>
        <v>1.3781</v>
      </c>
      <c r="I7007" s="11">
        <f t="shared" si="172"/>
        <v>0.000580509396995943</v>
      </c>
      <c r="J7007" s="9"/>
      <c r="K7007" s="11"/>
      <c r="L7007" s="9">
        <f>MAX($F$6779:F7007)</f>
        <v>1.3781</v>
      </c>
      <c r="M7007" s="11">
        <f t="shared" si="171"/>
        <v>0.000580509396995943</v>
      </c>
      <c r="N7007" s="9" t="s">
        <v>804</v>
      </c>
    </row>
    <row r="7008" ht="25" customHeight="1" spans="1:14">
      <c r="A7008" s="9" t="s">
        <v>231</v>
      </c>
      <c r="B7008" s="9" t="s">
        <v>229</v>
      </c>
      <c r="C7008" s="10">
        <v>45625</v>
      </c>
      <c r="D7008" s="15">
        <v>1.3773</v>
      </c>
      <c r="E7008" s="15">
        <v>1.3773</v>
      </c>
      <c r="F7008" s="15">
        <v>1.3773</v>
      </c>
      <c r="G7008" s="11">
        <v>0</v>
      </c>
      <c r="H7008" s="9">
        <f>MAX($F$6211:F7008)</f>
        <v>1.3781</v>
      </c>
      <c r="I7008" s="11">
        <f t="shared" si="172"/>
        <v>0.000580509396995943</v>
      </c>
      <c r="J7008" s="9"/>
      <c r="K7008" s="11"/>
      <c r="L7008" s="9">
        <f>MAX($F$6779:F7008)</f>
        <v>1.3781</v>
      </c>
      <c r="M7008" s="11">
        <f t="shared" si="171"/>
        <v>0.000580509396995943</v>
      </c>
      <c r="N7008" s="9" t="s">
        <v>804</v>
      </c>
    </row>
    <row r="7009" ht="25" customHeight="1" spans="1:14">
      <c r="A7009" s="9" t="s">
        <v>231</v>
      </c>
      <c r="B7009" s="9" t="s">
        <v>229</v>
      </c>
      <c r="C7009" s="10">
        <v>45628</v>
      </c>
      <c r="D7009" s="15">
        <v>1.3784</v>
      </c>
      <c r="E7009" s="15">
        <v>1.3784</v>
      </c>
      <c r="F7009" s="15">
        <v>1.3784</v>
      </c>
      <c r="G7009" s="11">
        <v>0.0008</v>
      </c>
      <c r="H7009" s="9">
        <f>MAX($F$6211:F7009)</f>
        <v>1.3784</v>
      </c>
      <c r="I7009" s="11">
        <f t="shared" si="172"/>
        <v>0</v>
      </c>
      <c r="J7009" s="9"/>
      <c r="K7009" s="11"/>
      <c r="L7009" s="9">
        <f>MAX($F$6779:F7009)</f>
        <v>1.3784</v>
      </c>
      <c r="M7009" s="11">
        <f t="shared" si="171"/>
        <v>0</v>
      </c>
      <c r="N7009" s="9" t="s">
        <v>804</v>
      </c>
    </row>
    <row r="7010" ht="25" customHeight="1" spans="1:14">
      <c r="A7010" s="9" t="s">
        <v>231</v>
      </c>
      <c r="B7010" s="9" t="s">
        <v>229</v>
      </c>
      <c r="C7010" s="10">
        <v>45629</v>
      </c>
      <c r="D7010" s="15">
        <v>1.3785</v>
      </c>
      <c r="E7010" s="15">
        <v>1.3785</v>
      </c>
      <c r="F7010" s="15">
        <v>1.3785</v>
      </c>
      <c r="G7010" s="11">
        <v>0.0001</v>
      </c>
      <c r="H7010" s="9">
        <f>MAX($F$6211:F7010)</f>
        <v>1.3785</v>
      </c>
      <c r="I7010" s="11">
        <f t="shared" si="172"/>
        <v>0</v>
      </c>
      <c r="J7010" s="9"/>
      <c r="K7010" s="11"/>
      <c r="L7010" s="9">
        <f>MAX($F$6779:F7010)</f>
        <v>1.3785</v>
      </c>
      <c r="M7010" s="11">
        <f t="shared" si="171"/>
        <v>0</v>
      </c>
      <c r="N7010" s="9" t="s">
        <v>804</v>
      </c>
    </row>
    <row r="7011" ht="25" customHeight="1" spans="1:14">
      <c r="A7011" s="9" t="s">
        <v>231</v>
      </c>
      <c r="B7011" s="9" t="s">
        <v>229</v>
      </c>
      <c r="C7011" s="10">
        <v>45630</v>
      </c>
      <c r="D7011" s="15">
        <v>1.3786</v>
      </c>
      <c r="E7011" s="15">
        <v>1.3786</v>
      </c>
      <c r="F7011" s="15">
        <v>1.3786</v>
      </c>
      <c r="G7011" s="11">
        <v>0.0001</v>
      </c>
      <c r="H7011" s="9">
        <f>MAX($F$6211:F7011)</f>
        <v>1.3786</v>
      </c>
      <c r="I7011" s="11">
        <f t="shared" si="172"/>
        <v>0</v>
      </c>
      <c r="J7011" s="9"/>
      <c r="K7011" s="11"/>
      <c r="L7011" s="9">
        <f>MAX($F$6779:F7011)</f>
        <v>1.3786</v>
      </c>
      <c r="M7011" s="11">
        <f t="shared" si="171"/>
        <v>0</v>
      </c>
      <c r="N7011" s="9" t="s">
        <v>804</v>
      </c>
    </row>
    <row r="7012" ht="25" customHeight="1" spans="1:14">
      <c r="A7012" s="9" t="s">
        <v>231</v>
      </c>
      <c r="B7012" s="9" t="s">
        <v>229</v>
      </c>
      <c r="C7012" s="10">
        <v>45631</v>
      </c>
      <c r="D7012" s="15">
        <v>1.379</v>
      </c>
      <c r="E7012" s="15">
        <v>1.379</v>
      </c>
      <c r="F7012" s="15">
        <v>1.379</v>
      </c>
      <c r="G7012" s="11">
        <v>0.0003</v>
      </c>
      <c r="H7012" s="9">
        <f>MAX($F$6211:F7012)</f>
        <v>1.379</v>
      </c>
      <c r="I7012" s="11">
        <f t="shared" si="172"/>
        <v>0</v>
      </c>
      <c r="J7012" s="9"/>
      <c r="K7012" s="11"/>
      <c r="L7012" s="9">
        <f>MAX($F$6779:F7012)</f>
        <v>1.379</v>
      </c>
      <c r="M7012" s="11">
        <f t="shared" si="171"/>
        <v>0</v>
      </c>
      <c r="N7012" s="9" t="s">
        <v>804</v>
      </c>
    </row>
    <row r="7013" ht="25" customHeight="1" spans="1:14">
      <c r="A7013" s="9" t="s">
        <v>231</v>
      </c>
      <c r="B7013" s="9" t="s">
        <v>229</v>
      </c>
      <c r="C7013" s="10">
        <v>45632</v>
      </c>
      <c r="D7013" s="15">
        <v>1.3808</v>
      </c>
      <c r="E7013" s="15">
        <v>1.3808</v>
      </c>
      <c r="F7013" s="15">
        <v>1.3808</v>
      </c>
      <c r="G7013" s="11">
        <v>0.0013</v>
      </c>
      <c r="H7013" s="9">
        <f>MAX($F$6211:F7013)</f>
        <v>1.3808</v>
      </c>
      <c r="I7013" s="11">
        <f t="shared" si="172"/>
        <v>0</v>
      </c>
      <c r="J7013" s="9"/>
      <c r="K7013" s="11"/>
      <c r="L7013" s="9">
        <f>MAX($F$6779:F7013)</f>
        <v>1.3808</v>
      </c>
      <c r="M7013" s="11">
        <f t="shared" si="171"/>
        <v>0</v>
      </c>
      <c r="N7013" s="9" t="s">
        <v>804</v>
      </c>
    </row>
    <row r="7014" ht="25" customHeight="1" spans="1:14">
      <c r="A7014" s="9" t="s">
        <v>231</v>
      </c>
      <c r="B7014" s="9" t="s">
        <v>229</v>
      </c>
      <c r="C7014" s="10">
        <v>45635</v>
      </c>
      <c r="D7014" s="15">
        <v>1.3813</v>
      </c>
      <c r="E7014" s="15">
        <v>1.3813</v>
      </c>
      <c r="F7014" s="15">
        <v>1.3813</v>
      </c>
      <c r="G7014" s="11">
        <v>0.0004</v>
      </c>
      <c r="H7014" s="9">
        <f>MAX($F$6211:F7014)</f>
        <v>1.3813</v>
      </c>
      <c r="I7014" s="11">
        <f t="shared" si="172"/>
        <v>0</v>
      </c>
      <c r="J7014" s="9"/>
      <c r="K7014" s="11"/>
      <c r="L7014" s="9">
        <f>MAX($F$6779:F7014)</f>
        <v>1.3813</v>
      </c>
      <c r="M7014" s="11">
        <f t="shared" si="171"/>
        <v>0</v>
      </c>
      <c r="N7014" s="9" t="s">
        <v>804</v>
      </c>
    </row>
    <row r="7015" ht="25" customHeight="1" spans="1:14">
      <c r="A7015" s="9" t="s">
        <v>231</v>
      </c>
      <c r="B7015" s="9" t="s">
        <v>229</v>
      </c>
      <c r="C7015" s="10">
        <v>45636</v>
      </c>
      <c r="D7015" s="15">
        <v>1.3816</v>
      </c>
      <c r="E7015" s="15">
        <v>1.3816</v>
      </c>
      <c r="F7015" s="15">
        <v>1.3816</v>
      </c>
      <c r="G7015" s="11">
        <v>0.0002</v>
      </c>
      <c r="H7015" s="9">
        <f>MAX($F$6211:F7015)</f>
        <v>1.3816</v>
      </c>
      <c r="I7015" s="11">
        <f t="shared" si="172"/>
        <v>0</v>
      </c>
      <c r="J7015" s="9"/>
      <c r="K7015" s="11"/>
      <c r="L7015" s="9">
        <f>MAX($F$6779:F7015)</f>
        <v>1.3816</v>
      </c>
      <c r="M7015" s="11">
        <f t="shared" si="171"/>
        <v>0</v>
      </c>
      <c r="N7015" s="9" t="s">
        <v>804</v>
      </c>
    </row>
    <row r="7016" ht="25" customHeight="1" spans="1:14">
      <c r="A7016" s="9" t="s">
        <v>231</v>
      </c>
      <c r="B7016" s="9" t="s">
        <v>229</v>
      </c>
      <c r="C7016" s="10">
        <v>45637</v>
      </c>
      <c r="D7016" s="15">
        <v>1.3819</v>
      </c>
      <c r="E7016" s="15">
        <v>1.3819</v>
      </c>
      <c r="F7016" s="15">
        <v>1.3819</v>
      </c>
      <c r="G7016" s="11">
        <v>0.0002</v>
      </c>
      <c r="H7016" s="9">
        <f>MAX($F$6211:F7016)</f>
        <v>1.3819</v>
      </c>
      <c r="I7016" s="11">
        <f t="shared" si="172"/>
        <v>0</v>
      </c>
      <c r="J7016" s="9"/>
      <c r="K7016" s="11"/>
      <c r="L7016" s="9">
        <f>MAX($F$6779:F7016)</f>
        <v>1.3819</v>
      </c>
      <c r="M7016" s="11">
        <f t="shared" si="171"/>
        <v>0</v>
      </c>
      <c r="N7016" s="9" t="s">
        <v>804</v>
      </c>
    </row>
    <row r="7017" ht="25" customHeight="1" spans="1:14">
      <c r="A7017" s="9" t="s">
        <v>231</v>
      </c>
      <c r="B7017" s="9" t="s">
        <v>229</v>
      </c>
      <c r="C7017" s="10">
        <v>45638</v>
      </c>
      <c r="D7017" s="15">
        <v>1.3821</v>
      </c>
      <c r="E7017" s="15">
        <v>1.3821</v>
      </c>
      <c r="F7017" s="15">
        <v>1.3821</v>
      </c>
      <c r="G7017" s="11">
        <v>0.0001</v>
      </c>
      <c r="H7017" s="9">
        <f>MAX($F$6211:F7017)</f>
        <v>1.3821</v>
      </c>
      <c r="I7017" s="11">
        <f t="shared" si="172"/>
        <v>0</v>
      </c>
      <c r="J7017" s="9"/>
      <c r="K7017" s="11"/>
      <c r="L7017" s="9">
        <f>MAX($F$6779:F7017)</f>
        <v>1.3821</v>
      </c>
      <c r="M7017" s="11">
        <f t="shared" si="171"/>
        <v>0</v>
      </c>
      <c r="N7017" s="9" t="s">
        <v>804</v>
      </c>
    </row>
    <row r="7018" ht="25" customHeight="1" spans="1:14">
      <c r="A7018" s="9" t="s">
        <v>231</v>
      </c>
      <c r="B7018" s="9" t="s">
        <v>229</v>
      </c>
      <c r="C7018" s="10">
        <v>45639</v>
      </c>
      <c r="D7018" s="15">
        <v>1.3824</v>
      </c>
      <c r="E7018" s="15">
        <v>1.3824</v>
      </c>
      <c r="F7018" s="15">
        <v>1.3824</v>
      </c>
      <c r="G7018" s="11">
        <v>0.0002</v>
      </c>
      <c r="H7018" s="9">
        <f>MAX($F$6211:F7018)</f>
        <v>1.3824</v>
      </c>
      <c r="I7018" s="11">
        <f t="shared" si="172"/>
        <v>0</v>
      </c>
      <c r="J7018" s="9"/>
      <c r="K7018" s="11"/>
      <c r="L7018" s="9">
        <f>MAX($F$6779:F7018)</f>
        <v>1.3824</v>
      </c>
      <c r="M7018" s="11">
        <f t="shared" si="171"/>
        <v>0</v>
      </c>
      <c r="N7018" s="9" t="s">
        <v>804</v>
      </c>
    </row>
    <row r="7019" ht="25" customHeight="1" spans="1:14">
      <c r="A7019" s="9" t="s">
        <v>231</v>
      </c>
      <c r="B7019" s="9" t="s">
        <v>229</v>
      </c>
      <c r="C7019" s="10">
        <v>45642</v>
      </c>
      <c r="D7019" s="15">
        <v>1.3827</v>
      </c>
      <c r="E7019" s="15">
        <v>1.3827</v>
      </c>
      <c r="F7019" s="15">
        <v>1.3827</v>
      </c>
      <c r="G7019" s="11">
        <v>0.0002</v>
      </c>
      <c r="H7019" s="9">
        <f>MAX($F$6211:F7019)</f>
        <v>1.3827</v>
      </c>
      <c r="I7019" s="11">
        <f t="shared" si="172"/>
        <v>0</v>
      </c>
      <c r="J7019" s="9"/>
      <c r="K7019" s="11"/>
      <c r="L7019" s="9">
        <f>MAX($F$6779:F7019)</f>
        <v>1.3827</v>
      </c>
      <c r="M7019" s="11">
        <f t="shared" si="171"/>
        <v>0</v>
      </c>
      <c r="N7019" s="9" t="s">
        <v>804</v>
      </c>
    </row>
    <row r="7020" ht="25" customHeight="1" spans="1:14">
      <c r="A7020" s="9" t="s">
        <v>231</v>
      </c>
      <c r="B7020" s="9" t="s">
        <v>229</v>
      </c>
      <c r="C7020" s="10">
        <v>45643</v>
      </c>
      <c r="D7020" s="15">
        <v>1.3827</v>
      </c>
      <c r="E7020" s="15">
        <v>1.3827</v>
      </c>
      <c r="F7020" s="15">
        <v>1.3827</v>
      </c>
      <c r="G7020" s="11">
        <v>0</v>
      </c>
      <c r="H7020" s="9">
        <f>MAX($F$6211:F7020)</f>
        <v>1.3827</v>
      </c>
      <c r="I7020" s="11">
        <f t="shared" si="172"/>
        <v>0</v>
      </c>
      <c r="J7020" s="9"/>
      <c r="K7020" s="11"/>
      <c r="L7020" s="9">
        <f>MAX($F$6779:F7020)</f>
        <v>1.3827</v>
      </c>
      <c r="M7020" s="11">
        <f t="shared" si="171"/>
        <v>0</v>
      </c>
      <c r="N7020" s="9" t="s">
        <v>804</v>
      </c>
    </row>
    <row r="7021" ht="25" customHeight="1" spans="1:14">
      <c r="A7021" s="9" t="s">
        <v>231</v>
      </c>
      <c r="B7021" s="9" t="s">
        <v>229</v>
      </c>
      <c r="C7021" s="10">
        <v>45644</v>
      </c>
      <c r="D7021" s="15">
        <v>1.3834</v>
      </c>
      <c r="E7021" s="15">
        <v>1.3834</v>
      </c>
      <c r="F7021" s="15">
        <v>1.3834</v>
      </c>
      <c r="G7021" s="11">
        <v>0.0005</v>
      </c>
      <c r="H7021" s="9">
        <f>MAX($F$6211:F7021)</f>
        <v>1.3834</v>
      </c>
      <c r="I7021" s="11">
        <f t="shared" si="172"/>
        <v>0</v>
      </c>
      <c r="J7021" s="9"/>
      <c r="K7021" s="11"/>
      <c r="L7021" s="9">
        <f>MAX($F$6779:F7021)</f>
        <v>1.3834</v>
      </c>
      <c r="M7021" s="11">
        <f t="shared" si="171"/>
        <v>0</v>
      </c>
      <c r="N7021" s="9" t="s">
        <v>804</v>
      </c>
    </row>
    <row r="7022" ht="25" customHeight="1" spans="1:14">
      <c r="A7022" s="9" t="s">
        <v>231</v>
      </c>
      <c r="B7022" s="9" t="s">
        <v>229</v>
      </c>
      <c r="C7022" s="10">
        <v>45645</v>
      </c>
      <c r="D7022" s="15">
        <v>1.3837</v>
      </c>
      <c r="E7022" s="15">
        <v>1.3837</v>
      </c>
      <c r="F7022" s="15">
        <v>1.3837</v>
      </c>
      <c r="G7022" s="11">
        <v>0.0002</v>
      </c>
      <c r="H7022" s="9">
        <f>MAX($F$6211:F7022)</f>
        <v>1.3837</v>
      </c>
      <c r="I7022" s="11">
        <f t="shared" si="172"/>
        <v>0</v>
      </c>
      <c r="J7022" s="9"/>
      <c r="K7022" s="11"/>
      <c r="L7022" s="9">
        <f>MAX($F$6779:F7022)</f>
        <v>1.3837</v>
      </c>
      <c r="M7022" s="11">
        <f t="shared" si="171"/>
        <v>0</v>
      </c>
      <c r="N7022" s="9" t="s">
        <v>804</v>
      </c>
    </row>
    <row r="7023" ht="25" customHeight="1" spans="1:14">
      <c r="A7023" s="9" t="s">
        <v>231</v>
      </c>
      <c r="B7023" s="9" t="s">
        <v>229</v>
      </c>
      <c r="C7023" s="10">
        <v>45646</v>
      </c>
      <c r="D7023" s="15">
        <v>1.3836</v>
      </c>
      <c r="E7023" s="15">
        <v>1.3836</v>
      </c>
      <c r="F7023" s="15">
        <v>1.3836</v>
      </c>
      <c r="G7023" s="11">
        <v>-0.0001</v>
      </c>
      <c r="H7023" s="9">
        <f>MAX($F$6211:F7023)</f>
        <v>1.3837</v>
      </c>
      <c r="I7023" s="11">
        <f t="shared" si="172"/>
        <v>7.22700007227406e-5</v>
      </c>
      <c r="J7023" s="9"/>
      <c r="K7023" s="11"/>
      <c r="L7023" s="9">
        <f>MAX($F$6779:F7023)</f>
        <v>1.3837</v>
      </c>
      <c r="M7023" s="11">
        <f t="shared" si="171"/>
        <v>7.22700007227406e-5</v>
      </c>
      <c r="N7023" s="9" t="s">
        <v>804</v>
      </c>
    </row>
    <row r="7024" ht="25" customHeight="1" spans="1:14">
      <c r="A7024" s="9" t="s">
        <v>231</v>
      </c>
      <c r="B7024" s="9" t="s">
        <v>229</v>
      </c>
      <c r="C7024" s="10">
        <v>45649</v>
      </c>
      <c r="D7024" s="15">
        <v>1.3836</v>
      </c>
      <c r="E7024" s="15">
        <v>1.3836</v>
      </c>
      <c r="F7024" s="15">
        <v>1.3836</v>
      </c>
      <c r="G7024" s="11">
        <v>0</v>
      </c>
      <c r="H7024" s="9">
        <f>MAX($F$6211:F7024)</f>
        <v>1.3837</v>
      </c>
      <c r="I7024" s="11">
        <f t="shared" si="172"/>
        <v>7.22700007227406e-5</v>
      </c>
      <c r="J7024" s="9"/>
      <c r="K7024" s="11"/>
      <c r="L7024" s="9">
        <f>MAX($F$6779:F7024)</f>
        <v>1.3837</v>
      </c>
      <c r="M7024" s="11">
        <f t="shared" si="171"/>
        <v>7.22700007227406e-5</v>
      </c>
      <c r="N7024" s="9" t="s">
        <v>804</v>
      </c>
    </row>
    <row r="7025" ht="25" customHeight="1" spans="1:14">
      <c r="A7025" s="9" t="s">
        <v>231</v>
      </c>
      <c r="B7025" s="9" t="s">
        <v>229</v>
      </c>
      <c r="C7025" s="10">
        <v>45650</v>
      </c>
      <c r="D7025" s="15">
        <v>1.3836</v>
      </c>
      <c r="E7025" s="15">
        <v>1.3836</v>
      </c>
      <c r="F7025" s="15">
        <v>1.3836</v>
      </c>
      <c r="G7025" s="11">
        <v>0</v>
      </c>
      <c r="H7025" s="9">
        <f>MAX($F$6211:F7025)</f>
        <v>1.3837</v>
      </c>
      <c r="I7025" s="11">
        <f t="shared" si="172"/>
        <v>7.22700007227406e-5</v>
      </c>
      <c r="J7025" s="9"/>
      <c r="K7025" s="11"/>
      <c r="L7025" s="9">
        <f>MAX($F$6779:F7025)</f>
        <v>1.3837</v>
      </c>
      <c r="M7025" s="11">
        <f t="shared" si="171"/>
        <v>7.22700007227406e-5</v>
      </c>
      <c r="N7025" s="9" t="s">
        <v>804</v>
      </c>
    </row>
    <row r="7026" ht="25" customHeight="1" spans="1:14">
      <c r="A7026" s="9" t="s">
        <v>231</v>
      </c>
      <c r="B7026" s="9" t="s">
        <v>229</v>
      </c>
      <c r="C7026" s="10">
        <v>45651</v>
      </c>
      <c r="D7026" s="15">
        <v>1.3834</v>
      </c>
      <c r="E7026" s="15">
        <v>1.3834</v>
      </c>
      <c r="F7026" s="15">
        <v>1.3834</v>
      </c>
      <c r="G7026" s="11">
        <v>-0.0001</v>
      </c>
      <c r="H7026" s="9">
        <f>MAX($F$6211:F7026)</f>
        <v>1.3837</v>
      </c>
      <c r="I7026" s="11">
        <f t="shared" si="172"/>
        <v>0.000216810002168111</v>
      </c>
      <c r="J7026" s="9"/>
      <c r="K7026" s="11"/>
      <c r="L7026" s="9">
        <f>MAX($F$6779:F7026)</f>
        <v>1.3837</v>
      </c>
      <c r="M7026" s="11">
        <f t="shared" si="171"/>
        <v>0.000216810002168111</v>
      </c>
      <c r="N7026" s="9" t="s">
        <v>804</v>
      </c>
    </row>
    <row r="7027" ht="25" customHeight="1" spans="1:14">
      <c r="A7027" s="9" t="s">
        <v>231</v>
      </c>
      <c r="B7027" s="9" t="s">
        <v>229</v>
      </c>
      <c r="C7027" s="10">
        <v>45652</v>
      </c>
      <c r="D7027" s="15">
        <v>1.3835</v>
      </c>
      <c r="E7027" s="15">
        <v>1.3835</v>
      </c>
      <c r="F7027" s="15">
        <v>1.3835</v>
      </c>
      <c r="G7027" s="11">
        <v>0.0001</v>
      </c>
      <c r="H7027" s="9">
        <f>MAX($F$6211:F7027)</f>
        <v>1.3837</v>
      </c>
      <c r="I7027" s="11">
        <f t="shared" si="172"/>
        <v>0.00014454000144537</v>
      </c>
      <c r="J7027" s="9"/>
      <c r="K7027" s="11"/>
      <c r="L7027" s="9">
        <f>MAX($F$6779:F7027)</f>
        <v>1.3837</v>
      </c>
      <c r="M7027" s="11">
        <f t="shared" si="171"/>
        <v>0.00014454000144537</v>
      </c>
      <c r="N7027" s="9" t="s">
        <v>804</v>
      </c>
    </row>
    <row r="7028" ht="25" customHeight="1" spans="1:14">
      <c r="A7028" s="9" t="s">
        <v>231</v>
      </c>
      <c r="B7028" s="9" t="s">
        <v>229</v>
      </c>
      <c r="C7028" s="10">
        <v>45653</v>
      </c>
      <c r="D7028" s="15">
        <v>1.3834</v>
      </c>
      <c r="E7028" s="15">
        <v>1.3834</v>
      </c>
      <c r="F7028" s="15">
        <v>1.3834</v>
      </c>
      <c r="G7028" s="11">
        <v>-0.0001</v>
      </c>
      <c r="H7028" s="9">
        <f>MAX($F$6211:F7028)</f>
        <v>1.3837</v>
      </c>
      <c r="I7028" s="11">
        <f t="shared" si="172"/>
        <v>0.000216810002168111</v>
      </c>
      <c r="J7028" s="9"/>
      <c r="K7028" s="11"/>
      <c r="L7028" s="9">
        <f>MAX($F$6779:F7028)</f>
        <v>1.3837</v>
      </c>
      <c r="M7028" s="11">
        <f t="shared" si="171"/>
        <v>0.000216810002168111</v>
      </c>
      <c r="N7028" s="9" t="s">
        <v>804</v>
      </c>
    </row>
    <row r="7029" ht="25" customHeight="1" spans="1:14">
      <c r="A7029" s="9" t="s">
        <v>231</v>
      </c>
      <c r="B7029" s="9" t="s">
        <v>229</v>
      </c>
      <c r="C7029" s="10">
        <v>45656</v>
      </c>
      <c r="D7029" s="15">
        <v>1.3834</v>
      </c>
      <c r="E7029" s="15">
        <v>1.3834</v>
      </c>
      <c r="F7029" s="15">
        <v>1.3834</v>
      </c>
      <c r="G7029" s="11">
        <v>0</v>
      </c>
      <c r="H7029" s="9">
        <f>MAX($F$6211:F7029)</f>
        <v>1.3837</v>
      </c>
      <c r="I7029" s="11">
        <f t="shared" si="172"/>
        <v>0.000216810002168111</v>
      </c>
      <c r="J7029" s="9"/>
      <c r="K7029" s="11"/>
      <c r="L7029" s="9">
        <f>MAX($F$6779:F7029)</f>
        <v>1.3837</v>
      </c>
      <c r="M7029" s="11">
        <f t="shared" si="171"/>
        <v>0.000216810002168111</v>
      </c>
      <c r="N7029" s="9" t="s">
        <v>804</v>
      </c>
    </row>
    <row r="7030" ht="25" customHeight="1" spans="1:14">
      <c r="A7030" s="9" t="s">
        <v>231</v>
      </c>
      <c r="B7030" s="9" t="s">
        <v>229</v>
      </c>
      <c r="C7030" s="10">
        <v>45657</v>
      </c>
      <c r="D7030" s="15">
        <v>1.3857</v>
      </c>
      <c r="E7030" s="15">
        <v>1.3857</v>
      </c>
      <c r="F7030" s="15">
        <v>1.3857</v>
      </c>
      <c r="G7030" s="11">
        <v>0.0017</v>
      </c>
      <c r="H7030" s="9">
        <f>MAX($F$6211:F7030)</f>
        <v>1.3857</v>
      </c>
      <c r="I7030" s="11">
        <f t="shared" si="172"/>
        <v>0</v>
      </c>
      <c r="J7030" s="9"/>
      <c r="K7030" s="11"/>
      <c r="L7030" s="9">
        <f>MAX($F$6779:F7030)</f>
        <v>1.3857</v>
      </c>
      <c r="M7030" s="11">
        <f t="shared" si="171"/>
        <v>0</v>
      </c>
      <c r="N7030" s="9" t="s">
        <v>804</v>
      </c>
    </row>
    <row r="7031" ht="25" customHeight="1" spans="1:14">
      <c r="A7031" s="9" t="s">
        <v>231</v>
      </c>
      <c r="B7031" s="9" t="s">
        <v>229</v>
      </c>
      <c r="C7031" s="10">
        <v>45659</v>
      </c>
      <c r="D7031" s="15">
        <v>1.3858</v>
      </c>
      <c r="E7031" s="15">
        <v>1.3858</v>
      </c>
      <c r="F7031" s="15">
        <v>1.3858</v>
      </c>
      <c r="G7031" s="11">
        <v>0.0001</v>
      </c>
      <c r="H7031" s="9">
        <f>MAX($F$6211:F7031)</f>
        <v>1.3858</v>
      </c>
      <c r="I7031" s="11">
        <f t="shared" si="172"/>
        <v>0</v>
      </c>
      <c r="J7031" s="9"/>
      <c r="K7031" s="11"/>
      <c r="L7031" s="9">
        <f>MAX($F$6779:F7031)</f>
        <v>1.3858</v>
      </c>
      <c r="M7031" s="11">
        <f t="shared" si="171"/>
        <v>0</v>
      </c>
      <c r="N7031" s="9" t="s">
        <v>804</v>
      </c>
    </row>
    <row r="7032" ht="25" customHeight="1" spans="1:14">
      <c r="A7032" s="9" t="s">
        <v>231</v>
      </c>
      <c r="B7032" s="9" t="s">
        <v>229</v>
      </c>
      <c r="C7032" s="10">
        <v>45660</v>
      </c>
      <c r="D7032" s="15">
        <v>1.3859</v>
      </c>
      <c r="E7032" s="15">
        <v>1.3859</v>
      </c>
      <c r="F7032" s="15">
        <v>1.3859</v>
      </c>
      <c r="G7032" s="11">
        <v>0.0001</v>
      </c>
      <c r="H7032" s="9">
        <f>MAX($F$6211:F7032)</f>
        <v>1.3859</v>
      </c>
      <c r="I7032" s="11">
        <f t="shared" si="172"/>
        <v>0</v>
      </c>
      <c r="J7032" s="9"/>
      <c r="K7032" s="11"/>
      <c r="L7032" s="9">
        <f>MAX($F$6779:F7032)</f>
        <v>1.3859</v>
      </c>
      <c r="M7032" s="11">
        <f t="shared" si="171"/>
        <v>0</v>
      </c>
      <c r="N7032" s="9" t="s">
        <v>804</v>
      </c>
    </row>
    <row r="7033" ht="25" customHeight="1" spans="1:14">
      <c r="A7033" s="9" t="s">
        <v>231</v>
      </c>
      <c r="B7033" s="9" t="s">
        <v>229</v>
      </c>
      <c r="C7033" s="10">
        <v>45663</v>
      </c>
      <c r="D7033" s="15">
        <v>1.3867</v>
      </c>
      <c r="E7033" s="15">
        <v>1.3867</v>
      </c>
      <c r="F7033" s="15">
        <v>1.3867</v>
      </c>
      <c r="G7033" s="11">
        <v>0.0006</v>
      </c>
      <c r="H7033" s="9">
        <f>MAX($F$6211:F7033)</f>
        <v>1.3867</v>
      </c>
      <c r="I7033" s="11">
        <f t="shared" si="172"/>
        <v>0</v>
      </c>
      <c r="J7033" s="9"/>
      <c r="K7033" s="11"/>
      <c r="L7033" s="9">
        <f>MAX($F$6779:F7033)</f>
        <v>1.3867</v>
      </c>
      <c r="M7033" s="11">
        <f t="shared" si="171"/>
        <v>0</v>
      </c>
      <c r="N7033" s="9" t="s">
        <v>804</v>
      </c>
    </row>
    <row r="7034" ht="25" customHeight="1" spans="1:14">
      <c r="A7034" s="9" t="s">
        <v>231</v>
      </c>
      <c r="B7034" s="9" t="s">
        <v>229</v>
      </c>
      <c r="C7034" s="10">
        <v>45664</v>
      </c>
      <c r="D7034" s="15">
        <v>1.3869</v>
      </c>
      <c r="E7034" s="15">
        <v>1.3869</v>
      </c>
      <c r="F7034" s="15">
        <v>1.3869</v>
      </c>
      <c r="G7034" s="11">
        <v>0.0001</v>
      </c>
      <c r="H7034" s="9">
        <f>MAX($F$6211:F7034)</f>
        <v>1.3869</v>
      </c>
      <c r="I7034" s="11">
        <f t="shared" si="172"/>
        <v>0</v>
      </c>
      <c r="J7034" s="9"/>
      <c r="K7034" s="11"/>
      <c r="L7034" s="9">
        <f>MAX($F$6779:F7034)</f>
        <v>1.3869</v>
      </c>
      <c r="M7034" s="11">
        <f t="shared" si="171"/>
        <v>0</v>
      </c>
      <c r="N7034" s="9" t="s">
        <v>804</v>
      </c>
    </row>
    <row r="7035" ht="25" customHeight="1" spans="1:14">
      <c r="A7035" s="9" t="s">
        <v>231</v>
      </c>
      <c r="B7035" s="9" t="s">
        <v>229</v>
      </c>
      <c r="C7035" s="10">
        <v>45665</v>
      </c>
      <c r="D7035" s="15">
        <v>1.387</v>
      </c>
      <c r="E7035" s="15">
        <v>1.387</v>
      </c>
      <c r="F7035" s="15">
        <v>1.387</v>
      </c>
      <c r="G7035" s="11">
        <v>0.0001</v>
      </c>
      <c r="H7035" s="9">
        <f>MAX($F$6211:F7035)</f>
        <v>1.387</v>
      </c>
      <c r="I7035" s="11">
        <f t="shared" si="172"/>
        <v>0</v>
      </c>
      <c r="J7035" s="9"/>
      <c r="K7035" s="11"/>
      <c r="L7035" s="9">
        <f>MAX($F$6779:F7035)</f>
        <v>1.387</v>
      </c>
      <c r="M7035" s="11">
        <f t="shared" ref="M7035:M7098" si="173">1-F7035/L7035</f>
        <v>0</v>
      </c>
      <c r="N7035" s="9" t="s">
        <v>804</v>
      </c>
    </row>
    <row r="7036" ht="25" customHeight="1" spans="1:14">
      <c r="A7036" s="9" t="s">
        <v>231</v>
      </c>
      <c r="B7036" s="9" t="s">
        <v>229</v>
      </c>
      <c r="C7036" s="10">
        <v>45666</v>
      </c>
      <c r="D7036" s="15">
        <v>1.3893</v>
      </c>
      <c r="E7036" s="15">
        <v>1.3893</v>
      </c>
      <c r="F7036" s="15">
        <v>1.3893</v>
      </c>
      <c r="G7036" s="11">
        <v>0.0017</v>
      </c>
      <c r="H7036" s="9">
        <f>MAX($F$6211:F7036)</f>
        <v>1.3893</v>
      </c>
      <c r="I7036" s="11">
        <f t="shared" si="172"/>
        <v>0</v>
      </c>
      <c r="J7036" s="9"/>
      <c r="K7036" s="11"/>
      <c r="L7036" s="9">
        <f>MAX($F$6779:F7036)</f>
        <v>1.3893</v>
      </c>
      <c r="M7036" s="11">
        <f t="shared" si="173"/>
        <v>0</v>
      </c>
      <c r="N7036" s="9" t="s">
        <v>804</v>
      </c>
    </row>
    <row r="7037" ht="25" customHeight="1" spans="1:14">
      <c r="A7037" s="9" t="s">
        <v>231</v>
      </c>
      <c r="B7037" s="9" t="s">
        <v>229</v>
      </c>
      <c r="C7037" s="10">
        <v>45667</v>
      </c>
      <c r="D7037" s="15">
        <v>1.3894</v>
      </c>
      <c r="E7037" s="15">
        <v>1.3894</v>
      </c>
      <c r="F7037" s="15">
        <v>1.3894</v>
      </c>
      <c r="G7037" s="11">
        <v>0.0001</v>
      </c>
      <c r="H7037" s="9">
        <f>MAX($F$6211:F7037)</f>
        <v>1.3894</v>
      </c>
      <c r="I7037" s="11">
        <f t="shared" si="172"/>
        <v>0</v>
      </c>
      <c r="J7037" s="9"/>
      <c r="K7037" s="11"/>
      <c r="L7037" s="9">
        <f>MAX($F$6779:F7037)</f>
        <v>1.3894</v>
      </c>
      <c r="M7037" s="11">
        <f t="shared" si="173"/>
        <v>0</v>
      </c>
      <c r="N7037" s="9" t="s">
        <v>804</v>
      </c>
    </row>
    <row r="7038" ht="25" customHeight="1" spans="1:14">
      <c r="A7038" s="9" t="s">
        <v>231</v>
      </c>
      <c r="B7038" s="9" t="s">
        <v>229</v>
      </c>
      <c r="C7038" s="10">
        <v>45670</v>
      </c>
      <c r="D7038" s="15">
        <v>1.3895</v>
      </c>
      <c r="E7038" s="15">
        <v>1.3895</v>
      </c>
      <c r="F7038" s="15">
        <v>1.3895</v>
      </c>
      <c r="G7038" s="11">
        <v>0.0001</v>
      </c>
      <c r="H7038" s="9">
        <f>MAX($F$6211:F7038)</f>
        <v>1.3895</v>
      </c>
      <c r="I7038" s="11">
        <f t="shared" si="172"/>
        <v>0</v>
      </c>
      <c r="J7038" s="9"/>
      <c r="K7038" s="11"/>
      <c r="L7038" s="9">
        <f>MAX($F$6779:F7038)</f>
        <v>1.3895</v>
      </c>
      <c r="M7038" s="11">
        <f t="shared" si="173"/>
        <v>0</v>
      </c>
      <c r="N7038" s="9" t="s">
        <v>804</v>
      </c>
    </row>
    <row r="7039" ht="25" customHeight="1" spans="1:14">
      <c r="A7039" s="9" t="s">
        <v>231</v>
      </c>
      <c r="B7039" s="9" t="s">
        <v>229</v>
      </c>
      <c r="C7039" s="10">
        <v>45671</v>
      </c>
      <c r="D7039" s="15">
        <v>1.3902</v>
      </c>
      <c r="E7039" s="15">
        <v>1.3902</v>
      </c>
      <c r="F7039" s="15">
        <v>1.3902</v>
      </c>
      <c r="G7039" s="11">
        <v>0.0005</v>
      </c>
      <c r="H7039" s="9">
        <f>MAX($F$6211:F7039)</f>
        <v>1.3902</v>
      </c>
      <c r="I7039" s="11">
        <f t="shared" si="172"/>
        <v>0</v>
      </c>
      <c r="J7039" s="9"/>
      <c r="K7039" s="11"/>
      <c r="L7039" s="9">
        <f>MAX($F$6779:F7039)</f>
        <v>1.3902</v>
      </c>
      <c r="M7039" s="11">
        <f t="shared" si="173"/>
        <v>0</v>
      </c>
      <c r="N7039" s="9" t="s">
        <v>804</v>
      </c>
    </row>
    <row r="7040" ht="25" customHeight="1" spans="1:14">
      <c r="A7040" s="9" t="s">
        <v>231</v>
      </c>
      <c r="B7040" s="9" t="s">
        <v>229</v>
      </c>
      <c r="C7040" s="10">
        <v>45672</v>
      </c>
      <c r="D7040" s="15">
        <v>1.3913</v>
      </c>
      <c r="E7040" s="15">
        <v>1.3913</v>
      </c>
      <c r="F7040" s="15">
        <v>1.3913</v>
      </c>
      <c r="G7040" s="11">
        <v>0.0008</v>
      </c>
      <c r="H7040" s="9">
        <f>MAX($F$6211:F7040)</f>
        <v>1.3913</v>
      </c>
      <c r="I7040" s="11">
        <f t="shared" si="172"/>
        <v>0</v>
      </c>
      <c r="J7040" s="9"/>
      <c r="K7040" s="11"/>
      <c r="L7040" s="9">
        <f>MAX($F$6779:F7040)</f>
        <v>1.3913</v>
      </c>
      <c r="M7040" s="11">
        <f t="shared" si="173"/>
        <v>0</v>
      </c>
      <c r="N7040" s="9" t="s">
        <v>804</v>
      </c>
    </row>
    <row r="7041" ht="25" customHeight="1" spans="1:14">
      <c r="A7041" s="9" t="s">
        <v>231</v>
      </c>
      <c r="B7041" s="9" t="s">
        <v>229</v>
      </c>
      <c r="C7041" s="10">
        <v>45673</v>
      </c>
      <c r="D7041" s="15">
        <v>1.3912</v>
      </c>
      <c r="E7041" s="15">
        <v>1.3912</v>
      </c>
      <c r="F7041" s="15">
        <v>1.3912</v>
      </c>
      <c r="G7041" s="11">
        <v>-0.0001</v>
      </c>
      <c r="H7041" s="9">
        <f>MAX($F$6211:F7041)</f>
        <v>1.3913</v>
      </c>
      <c r="I7041" s="11">
        <f t="shared" si="172"/>
        <v>7.18752246100518e-5</v>
      </c>
      <c r="J7041" s="9"/>
      <c r="K7041" s="11"/>
      <c r="L7041" s="9">
        <f>MAX($F$6779:F7041)</f>
        <v>1.3913</v>
      </c>
      <c r="M7041" s="11">
        <f t="shared" si="173"/>
        <v>7.18752246100518e-5</v>
      </c>
      <c r="N7041" s="9" t="s">
        <v>804</v>
      </c>
    </row>
    <row r="7042" ht="25" customHeight="1" spans="1:14">
      <c r="A7042" s="9" t="s">
        <v>231</v>
      </c>
      <c r="B7042" s="9" t="s">
        <v>229</v>
      </c>
      <c r="C7042" s="10">
        <v>45674</v>
      </c>
      <c r="D7042" s="15">
        <v>1.3918</v>
      </c>
      <c r="E7042" s="15">
        <v>1.3918</v>
      </c>
      <c r="F7042" s="15">
        <v>1.3918</v>
      </c>
      <c r="G7042" s="11">
        <v>0.0004</v>
      </c>
      <c r="H7042" s="9">
        <f>MAX($F$6211:F7042)</f>
        <v>1.3918</v>
      </c>
      <c r="I7042" s="11">
        <f t="shared" ref="I7042:I7105" si="174">1-F7042/H7042</f>
        <v>0</v>
      </c>
      <c r="J7042" s="9"/>
      <c r="K7042" s="11"/>
      <c r="L7042" s="9">
        <f>MAX($F$6779:F7042)</f>
        <v>1.3918</v>
      </c>
      <c r="M7042" s="11">
        <f t="shared" si="173"/>
        <v>0</v>
      </c>
      <c r="N7042" s="9" t="s">
        <v>804</v>
      </c>
    </row>
    <row r="7043" ht="25" customHeight="1" spans="1:14">
      <c r="A7043" s="9" t="s">
        <v>231</v>
      </c>
      <c r="B7043" s="9" t="s">
        <v>229</v>
      </c>
      <c r="C7043" s="10">
        <v>45677</v>
      </c>
      <c r="D7043" s="15">
        <v>1.3918</v>
      </c>
      <c r="E7043" s="15">
        <v>1.3918</v>
      </c>
      <c r="F7043" s="15">
        <v>1.3918</v>
      </c>
      <c r="G7043" s="11">
        <v>0</v>
      </c>
      <c r="H7043" s="9">
        <f>MAX($F$6211:F7043)</f>
        <v>1.3918</v>
      </c>
      <c r="I7043" s="11">
        <f t="shared" si="174"/>
        <v>0</v>
      </c>
      <c r="J7043" s="9"/>
      <c r="K7043" s="11"/>
      <c r="L7043" s="9">
        <f>MAX($F$6779:F7043)</f>
        <v>1.3918</v>
      </c>
      <c r="M7043" s="11">
        <f t="shared" si="173"/>
        <v>0</v>
      </c>
      <c r="N7043" s="9" t="s">
        <v>804</v>
      </c>
    </row>
    <row r="7044" ht="25" customHeight="1" spans="1:14">
      <c r="A7044" s="9" t="s">
        <v>231</v>
      </c>
      <c r="B7044" s="9" t="s">
        <v>229</v>
      </c>
      <c r="C7044" s="10">
        <v>45678</v>
      </c>
      <c r="D7044" s="15">
        <v>1.392</v>
      </c>
      <c r="E7044" s="15">
        <v>1.392</v>
      </c>
      <c r="F7044" s="15">
        <v>1.392</v>
      </c>
      <c r="G7044" s="11">
        <v>0.0001</v>
      </c>
      <c r="H7044" s="9">
        <f>MAX($F$6211:F7044)</f>
        <v>1.392</v>
      </c>
      <c r="I7044" s="11">
        <f t="shared" si="174"/>
        <v>0</v>
      </c>
      <c r="J7044" s="9"/>
      <c r="K7044" s="11"/>
      <c r="L7044" s="9">
        <f>MAX($F$6779:F7044)</f>
        <v>1.392</v>
      </c>
      <c r="M7044" s="11">
        <f t="shared" si="173"/>
        <v>0</v>
      </c>
      <c r="N7044" s="9" t="s">
        <v>804</v>
      </c>
    </row>
    <row r="7045" ht="25" customHeight="1" spans="1:14">
      <c r="A7045" s="9" t="s">
        <v>231</v>
      </c>
      <c r="B7045" s="9" t="s">
        <v>229</v>
      </c>
      <c r="C7045" s="10">
        <v>45681</v>
      </c>
      <c r="D7045" s="15">
        <v>1.3919</v>
      </c>
      <c r="E7045" s="15">
        <v>1.3919</v>
      </c>
      <c r="F7045" s="15">
        <v>1.3919</v>
      </c>
      <c r="G7045" s="11">
        <v>-0.0001</v>
      </c>
      <c r="H7045" s="9">
        <f>MAX($F$6211:F7045)</f>
        <v>1.392</v>
      </c>
      <c r="I7045" s="11">
        <f t="shared" si="174"/>
        <v>7.18390804597124e-5</v>
      </c>
      <c r="J7045" s="9"/>
      <c r="K7045" s="11"/>
      <c r="L7045" s="9">
        <f>MAX($F$6779:F7045)</f>
        <v>1.392</v>
      </c>
      <c r="M7045" s="11">
        <f t="shared" si="173"/>
        <v>7.18390804597124e-5</v>
      </c>
      <c r="N7045" s="9" t="s">
        <v>804</v>
      </c>
    </row>
    <row r="7046" ht="25" customHeight="1" spans="1:14">
      <c r="A7046" s="9" t="s">
        <v>231</v>
      </c>
      <c r="B7046" s="9" t="s">
        <v>229</v>
      </c>
      <c r="C7046" s="10">
        <v>45684</v>
      </c>
      <c r="D7046" s="15">
        <v>1.3922</v>
      </c>
      <c r="E7046" s="15">
        <v>1.3922</v>
      </c>
      <c r="F7046" s="15">
        <v>1.3922</v>
      </c>
      <c r="G7046" s="11">
        <v>0.0002</v>
      </c>
      <c r="H7046" s="9">
        <f>MAX($F$6211:F7046)</f>
        <v>1.3922</v>
      </c>
      <c r="I7046" s="11">
        <f t="shared" si="174"/>
        <v>0</v>
      </c>
      <c r="J7046" s="9"/>
      <c r="K7046" s="11"/>
      <c r="L7046" s="9">
        <f>MAX($F$6779:F7046)</f>
        <v>1.3922</v>
      </c>
      <c r="M7046" s="11">
        <f t="shared" si="173"/>
        <v>0</v>
      </c>
      <c r="N7046" s="9" t="s">
        <v>804</v>
      </c>
    </row>
    <row r="7047" ht="25" customHeight="1" spans="1:14">
      <c r="A7047" s="9" t="s">
        <v>231</v>
      </c>
      <c r="B7047" s="9" t="s">
        <v>229</v>
      </c>
      <c r="C7047" s="10">
        <v>45695</v>
      </c>
      <c r="D7047" s="15">
        <v>1.392</v>
      </c>
      <c r="E7047" s="15">
        <v>1.392</v>
      </c>
      <c r="F7047" s="15">
        <v>1.392</v>
      </c>
      <c r="G7047" s="11">
        <v>-0.0001</v>
      </c>
      <c r="H7047" s="9">
        <f>MAX($F$6211:F7047)</f>
        <v>1.3922</v>
      </c>
      <c r="I7047" s="11">
        <f t="shared" si="174"/>
        <v>0.000143657520471296</v>
      </c>
      <c r="J7047" s="9"/>
      <c r="K7047" s="11"/>
      <c r="L7047" s="9">
        <f>MAX($F$6779:F7047)</f>
        <v>1.3922</v>
      </c>
      <c r="M7047" s="11">
        <f t="shared" si="173"/>
        <v>0.000143657520471296</v>
      </c>
      <c r="N7047" s="9" t="s">
        <v>804</v>
      </c>
    </row>
    <row r="7048" ht="25" customHeight="1" spans="1:14">
      <c r="A7048" s="9" t="s">
        <v>231</v>
      </c>
      <c r="B7048" s="9" t="s">
        <v>229</v>
      </c>
      <c r="C7048" s="10">
        <v>45702</v>
      </c>
      <c r="D7048" s="15">
        <v>1.3915</v>
      </c>
      <c r="E7048" s="15">
        <v>1.3915</v>
      </c>
      <c r="F7048" s="15">
        <v>1.3915</v>
      </c>
      <c r="G7048" s="11">
        <v>-0.0004</v>
      </c>
      <c r="H7048" s="9">
        <f>MAX($F$6211:F7048)</f>
        <v>1.3922</v>
      </c>
      <c r="I7048" s="11">
        <f t="shared" si="174"/>
        <v>0.00050280132164926</v>
      </c>
      <c r="J7048" s="9"/>
      <c r="K7048" s="11"/>
      <c r="L7048" s="9">
        <f>MAX($F$6779:F7048)</f>
        <v>1.3922</v>
      </c>
      <c r="M7048" s="11">
        <f t="shared" si="173"/>
        <v>0.00050280132164926</v>
      </c>
      <c r="N7048" s="9" t="s">
        <v>804</v>
      </c>
    </row>
    <row r="7049" ht="25" customHeight="1" spans="1:14">
      <c r="A7049" s="9" t="s">
        <v>231</v>
      </c>
      <c r="B7049" s="9" t="s">
        <v>229</v>
      </c>
      <c r="C7049" s="10">
        <v>45709</v>
      </c>
      <c r="D7049" s="15">
        <v>1.3915</v>
      </c>
      <c r="E7049" s="15">
        <v>1.3915</v>
      </c>
      <c r="F7049" s="15">
        <v>1.3915</v>
      </c>
      <c r="G7049" s="11">
        <v>0</v>
      </c>
      <c r="H7049" s="9">
        <f>MAX($F$6211:F7049)</f>
        <v>1.3922</v>
      </c>
      <c r="I7049" s="11">
        <f t="shared" si="174"/>
        <v>0.00050280132164926</v>
      </c>
      <c r="J7049" s="9"/>
      <c r="K7049" s="11"/>
      <c r="L7049" s="9">
        <f>MAX($F$6779:F7049)</f>
        <v>1.3922</v>
      </c>
      <c r="M7049" s="11">
        <f t="shared" si="173"/>
        <v>0.00050280132164926</v>
      </c>
      <c r="N7049" s="9" t="s">
        <v>804</v>
      </c>
    </row>
    <row r="7050" ht="25" customHeight="1" spans="1:14">
      <c r="A7050" s="9" t="s">
        <v>231</v>
      </c>
      <c r="B7050" s="9" t="s">
        <v>229</v>
      </c>
      <c r="C7050" s="10">
        <v>45716</v>
      </c>
      <c r="D7050" s="15">
        <v>1.3924</v>
      </c>
      <c r="E7050" s="15">
        <v>1.3924</v>
      </c>
      <c r="F7050" s="15">
        <v>1.3924</v>
      </c>
      <c r="G7050" s="11">
        <v>0.0006</v>
      </c>
      <c r="H7050" s="9">
        <f>MAX($F$6211:F7050)</f>
        <v>1.3924</v>
      </c>
      <c r="I7050" s="11">
        <f t="shared" si="174"/>
        <v>0</v>
      </c>
      <c r="J7050" s="9"/>
      <c r="K7050" s="11"/>
      <c r="L7050" s="9">
        <f>MAX($F$6779:F7050)</f>
        <v>1.3924</v>
      </c>
      <c r="M7050" s="11">
        <f t="shared" si="173"/>
        <v>0</v>
      </c>
      <c r="N7050" s="9" t="s">
        <v>804</v>
      </c>
    </row>
    <row r="7051" ht="25" customHeight="1" spans="1:14">
      <c r="A7051" s="9" t="s">
        <v>231</v>
      </c>
      <c r="B7051" s="9" t="s">
        <v>229</v>
      </c>
      <c r="C7051" s="10">
        <v>45723</v>
      </c>
      <c r="D7051" s="15">
        <v>1.3933</v>
      </c>
      <c r="E7051" s="15">
        <v>1.3933</v>
      </c>
      <c r="F7051" s="15">
        <v>1.3933</v>
      </c>
      <c r="G7051" s="11">
        <v>0.0006</v>
      </c>
      <c r="H7051" s="9">
        <f>MAX($F$6211:F7051)</f>
        <v>1.3933</v>
      </c>
      <c r="I7051" s="11">
        <f t="shared" si="174"/>
        <v>0</v>
      </c>
      <c r="J7051" s="9"/>
      <c r="K7051" s="11"/>
      <c r="L7051" s="9">
        <f>MAX($F$6779:F7051)</f>
        <v>1.3933</v>
      </c>
      <c r="M7051" s="11">
        <f t="shared" si="173"/>
        <v>0</v>
      </c>
      <c r="N7051" s="9" t="s">
        <v>804</v>
      </c>
    </row>
    <row r="7052" ht="25" customHeight="1" spans="1:14">
      <c r="A7052" s="9" t="s">
        <v>231</v>
      </c>
      <c r="B7052" s="9" t="s">
        <v>229</v>
      </c>
      <c r="C7052" s="10">
        <v>45730</v>
      </c>
      <c r="D7052" s="15">
        <v>1.392</v>
      </c>
      <c r="E7052" s="15">
        <v>1.392</v>
      </c>
      <c r="F7052" s="15">
        <v>1.392</v>
      </c>
      <c r="G7052" s="11">
        <v>-0.0009</v>
      </c>
      <c r="H7052" s="9">
        <f>MAX($F$6211:F7052)</f>
        <v>1.3933</v>
      </c>
      <c r="I7052" s="11">
        <f t="shared" si="174"/>
        <v>0.000933036675518584</v>
      </c>
      <c r="J7052" s="9"/>
      <c r="K7052" s="11"/>
      <c r="L7052" s="9">
        <f>MAX($F$6779:F7052)</f>
        <v>1.3933</v>
      </c>
      <c r="M7052" s="11">
        <f t="shared" si="173"/>
        <v>0.000933036675518584</v>
      </c>
      <c r="N7052" s="9" t="s">
        <v>804</v>
      </c>
    </row>
    <row r="7053" ht="25" customHeight="1" spans="1:14">
      <c r="A7053" s="9" t="s">
        <v>231</v>
      </c>
      <c r="B7053" s="9" t="s">
        <v>229</v>
      </c>
      <c r="C7053" s="10">
        <v>45737</v>
      </c>
      <c r="D7053" s="15">
        <v>1.3925</v>
      </c>
      <c r="E7053" s="15">
        <v>1.3925</v>
      </c>
      <c r="F7053" s="15">
        <v>1.3925</v>
      </c>
      <c r="G7053" s="11">
        <v>0.0004</v>
      </c>
      <c r="H7053" s="9">
        <f>MAX($F$6211:F7053)</f>
        <v>1.3933</v>
      </c>
      <c r="I7053" s="11">
        <f t="shared" si="174"/>
        <v>0.000574176415703676</v>
      </c>
      <c r="J7053" s="9"/>
      <c r="K7053" s="11"/>
      <c r="L7053" s="9">
        <f>MAX($F$6779:F7053)</f>
        <v>1.3933</v>
      </c>
      <c r="M7053" s="11">
        <f t="shared" si="173"/>
        <v>0.000574176415703676</v>
      </c>
      <c r="N7053" s="9" t="s">
        <v>804</v>
      </c>
    </row>
    <row r="7054" ht="25" customHeight="1" spans="1:14">
      <c r="A7054" s="9" t="s">
        <v>231</v>
      </c>
      <c r="B7054" s="9" t="s">
        <v>229</v>
      </c>
      <c r="C7054" s="10">
        <v>45744</v>
      </c>
      <c r="D7054" s="15">
        <v>1.395</v>
      </c>
      <c r="E7054" s="15">
        <v>1.395</v>
      </c>
      <c r="F7054" s="15">
        <v>1.395</v>
      </c>
      <c r="G7054" s="11">
        <v>0.0018</v>
      </c>
      <c r="H7054" s="9">
        <f>MAX($F$6211:F7054)</f>
        <v>1.395</v>
      </c>
      <c r="I7054" s="11">
        <f t="shared" si="174"/>
        <v>0</v>
      </c>
      <c r="J7054" s="9"/>
      <c r="K7054" s="11"/>
      <c r="L7054" s="9">
        <f>MAX($F$6779:F7054)</f>
        <v>1.395</v>
      </c>
      <c r="M7054" s="11">
        <f t="shared" si="173"/>
        <v>0</v>
      </c>
      <c r="N7054" s="9" t="s">
        <v>804</v>
      </c>
    </row>
    <row r="7055" ht="25" customHeight="1" spans="1:14">
      <c r="A7055" s="9" t="s">
        <v>231</v>
      </c>
      <c r="B7055" s="9" t="s">
        <v>229</v>
      </c>
      <c r="C7055" s="10">
        <v>45747</v>
      </c>
      <c r="D7055" s="15">
        <v>1.3947</v>
      </c>
      <c r="E7055" s="15">
        <v>1.3947</v>
      </c>
      <c r="F7055" s="15">
        <v>1.3947</v>
      </c>
      <c r="G7055" s="11">
        <v>-0.0002</v>
      </c>
      <c r="H7055" s="9">
        <f>MAX($F$6211:F7055)</f>
        <v>1.395</v>
      </c>
      <c r="I7055" s="11">
        <f t="shared" si="174"/>
        <v>0.000215053763440887</v>
      </c>
      <c r="J7055" s="9"/>
      <c r="K7055" s="11"/>
      <c r="L7055" s="9">
        <f>MAX($F$6779:F7055)</f>
        <v>1.395</v>
      </c>
      <c r="M7055" s="11">
        <f t="shared" si="173"/>
        <v>0.000215053763440887</v>
      </c>
      <c r="N7055" s="9" t="s">
        <v>804</v>
      </c>
    </row>
    <row r="7056" ht="25" customHeight="1" spans="1:14">
      <c r="A7056" s="9" t="s">
        <v>231</v>
      </c>
      <c r="B7056" s="9" t="s">
        <v>229</v>
      </c>
      <c r="C7056" s="10">
        <v>45750</v>
      </c>
      <c r="D7056" s="15">
        <v>1.3958</v>
      </c>
      <c r="E7056" s="15">
        <v>1.3958</v>
      </c>
      <c r="F7056" s="15">
        <v>1.3958</v>
      </c>
      <c r="G7056" s="11">
        <v>0.0008</v>
      </c>
      <c r="H7056" s="9">
        <f>MAX($F$6211:F7056)</f>
        <v>1.3958</v>
      </c>
      <c r="I7056" s="11">
        <f t="shared" si="174"/>
        <v>0</v>
      </c>
      <c r="J7056" s="9"/>
      <c r="K7056" s="11"/>
      <c r="L7056" s="9">
        <f>MAX($F$6779:F7056)</f>
        <v>1.3958</v>
      </c>
      <c r="M7056" s="11">
        <f t="shared" si="173"/>
        <v>0</v>
      </c>
      <c r="N7056" s="9" t="s">
        <v>804</v>
      </c>
    </row>
    <row r="7057" ht="25" customHeight="1" spans="1:14">
      <c r="A7057" s="9" t="s">
        <v>231</v>
      </c>
      <c r="B7057" s="9" t="s">
        <v>229</v>
      </c>
      <c r="C7057" s="10">
        <v>45758</v>
      </c>
      <c r="D7057" s="15">
        <v>1.4034</v>
      </c>
      <c r="E7057" s="15">
        <v>1.4034</v>
      </c>
      <c r="F7057" s="15">
        <v>1.4034</v>
      </c>
      <c r="G7057" s="11">
        <v>0.0054</v>
      </c>
      <c r="H7057" s="9">
        <f>MAX($F$6211:F7057)</f>
        <v>1.4034</v>
      </c>
      <c r="I7057" s="11">
        <f t="shared" si="174"/>
        <v>0</v>
      </c>
      <c r="J7057" s="9"/>
      <c r="K7057" s="11"/>
      <c r="L7057" s="9">
        <f>MAX($F$6779:F7057)</f>
        <v>1.4034</v>
      </c>
      <c r="M7057" s="11">
        <f t="shared" si="173"/>
        <v>0</v>
      </c>
      <c r="N7057" s="9" t="s">
        <v>804</v>
      </c>
    </row>
    <row r="7058" ht="25" customHeight="1" spans="1:14">
      <c r="A7058" s="9" t="s">
        <v>231</v>
      </c>
      <c r="B7058" s="9" t="s">
        <v>229</v>
      </c>
      <c r="C7058" s="10">
        <v>45765</v>
      </c>
      <c r="D7058" s="15">
        <v>1.4047</v>
      </c>
      <c r="E7058" s="15">
        <v>1.4047</v>
      </c>
      <c r="F7058" s="15">
        <v>1.4047</v>
      </c>
      <c r="G7058" s="11">
        <v>0.0009</v>
      </c>
      <c r="H7058" s="9">
        <f>MAX($F$6211:F7058)</f>
        <v>1.4047</v>
      </c>
      <c r="I7058" s="11">
        <f t="shared" si="174"/>
        <v>0</v>
      </c>
      <c r="J7058" s="9"/>
      <c r="K7058" s="11"/>
      <c r="L7058" s="9">
        <f>MAX($F$6779:F7058)</f>
        <v>1.4047</v>
      </c>
      <c r="M7058" s="11">
        <f t="shared" si="173"/>
        <v>0</v>
      </c>
      <c r="N7058" s="9" t="s">
        <v>804</v>
      </c>
    </row>
    <row r="7059" ht="25" customHeight="1" spans="1:14">
      <c r="A7059" s="9" t="s">
        <v>231</v>
      </c>
      <c r="B7059" s="9" t="s">
        <v>229</v>
      </c>
      <c r="C7059" s="10">
        <v>45772</v>
      </c>
      <c r="D7059" s="15">
        <v>1.4055</v>
      </c>
      <c r="E7059" s="15">
        <v>1.4055</v>
      </c>
      <c r="F7059" s="15">
        <v>1.4055</v>
      </c>
      <c r="G7059" s="11">
        <v>0.0006</v>
      </c>
      <c r="H7059" s="9">
        <f>MAX($F$6211:F7059)</f>
        <v>1.4055</v>
      </c>
      <c r="I7059" s="11">
        <f t="shared" si="174"/>
        <v>0</v>
      </c>
      <c r="J7059" s="9"/>
      <c r="K7059" s="11"/>
      <c r="L7059" s="9">
        <f>MAX($F$6779:F7059)</f>
        <v>1.4055</v>
      </c>
      <c r="M7059" s="11">
        <f t="shared" si="173"/>
        <v>0</v>
      </c>
      <c r="N7059" s="9" t="s">
        <v>804</v>
      </c>
    </row>
    <row r="7060" ht="25" customHeight="1" spans="1:14">
      <c r="A7060" s="9" t="s">
        <v>231</v>
      </c>
      <c r="B7060" s="9" t="s">
        <v>229</v>
      </c>
      <c r="C7060" s="10">
        <v>45777</v>
      </c>
      <c r="D7060" s="15">
        <v>1.4064</v>
      </c>
      <c r="E7060" s="15">
        <v>1.4064</v>
      </c>
      <c r="F7060" s="15">
        <v>1.4064</v>
      </c>
      <c r="G7060" s="11">
        <v>0.0006</v>
      </c>
      <c r="H7060" s="9">
        <f>MAX($F$6211:F7060)</f>
        <v>1.4064</v>
      </c>
      <c r="I7060" s="11">
        <f t="shared" si="174"/>
        <v>0</v>
      </c>
      <c r="J7060" s="9"/>
      <c r="K7060" s="11"/>
      <c r="L7060" s="9">
        <f>MAX($F$6779:F7060)</f>
        <v>1.4064</v>
      </c>
      <c r="M7060" s="11">
        <f t="shared" si="173"/>
        <v>0</v>
      </c>
      <c r="N7060" s="9" t="s">
        <v>804</v>
      </c>
    </row>
    <row r="7061" ht="25" customHeight="1" spans="1:14">
      <c r="A7061" s="9" t="s">
        <v>231</v>
      </c>
      <c r="B7061" s="9" t="s">
        <v>229</v>
      </c>
      <c r="C7061" s="10">
        <v>45786</v>
      </c>
      <c r="D7061" s="15">
        <v>1.408</v>
      </c>
      <c r="E7061" s="15">
        <v>1.408</v>
      </c>
      <c r="F7061" s="15">
        <v>1.408</v>
      </c>
      <c r="G7061" s="11">
        <v>0.0011</v>
      </c>
      <c r="H7061" s="9">
        <f>MAX($F$6211:F7061)</f>
        <v>1.408</v>
      </c>
      <c r="I7061" s="11">
        <f t="shared" si="174"/>
        <v>0</v>
      </c>
      <c r="J7061" s="9"/>
      <c r="K7061" s="11"/>
      <c r="L7061" s="9">
        <f>MAX($F$6779:F7061)</f>
        <v>1.408</v>
      </c>
      <c r="M7061" s="11">
        <f t="shared" si="173"/>
        <v>0</v>
      </c>
      <c r="N7061" s="9" t="s">
        <v>804</v>
      </c>
    </row>
    <row r="7062" ht="25" customHeight="1" spans="1:14">
      <c r="A7062" s="9" t="s">
        <v>231</v>
      </c>
      <c r="B7062" s="9" t="s">
        <v>229</v>
      </c>
      <c r="C7062" s="10">
        <v>45793</v>
      </c>
      <c r="D7062" s="15">
        <v>1.4093</v>
      </c>
      <c r="E7062" s="15">
        <v>1.4093</v>
      </c>
      <c r="F7062" s="15">
        <v>1.4093</v>
      </c>
      <c r="G7062" s="11">
        <v>0.0009</v>
      </c>
      <c r="H7062" s="9">
        <f>MAX($F$6211:F7062)</f>
        <v>1.4093</v>
      </c>
      <c r="I7062" s="11">
        <f t="shared" si="174"/>
        <v>0</v>
      </c>
      <c r="J7062" s="9"/>
      <c r="K7062" s="11"/>
      <c r="L7062" s="9">
        <f>MAX($F$6779:F7062)</f>
        <v>1.4093</v>
      </c>
      <c r="M7062" s="11">
        <f t="shared" si="173"/>
        <v>0</v>
      </c>
      <c r="N7062" s="9" t="s">
        <v>804</v>
      </c>
    </row>
    <row r="7063" ht="25" customHeight="1" spans="1:14">
      <c r="A7063" s="9" t="s">
        <v>231</v>
      </c>
      <c r="B7063" s="9" t="s">
        <v>229</v>
      </c>
      <c r="C7063" s="10">
        <v>45800</v>
      </c>
      <c r="D7063" s="15">
        <v>1.4103</v>
      </c>
      <c r="E7063" s="15">
        <v>1.4103</v>
      </c>
      <c r="F7063" s="15">
        <v>1.4103</v>
      </c>
      <c r="G7063" s="11">
        <v>0.0007</v>
      </c>
      <c r="H7063" s="9">
        <f>MAX($F$6211:F7063)</f>
        <v>1.4103</v>
      </c>
      <c r="I7063" s="11">
        <f t="shared" si="174"/>
        <v>0</v>
      </c>
      <c r="J7063" s="9"/>
      <c r="K7063" s="11"/>
      <c r="L7063" s="9">
        <f>MAX($F$6779:F7063)</f>
        <v>1.4103</v>
      </c>
      <c r="M7063" s="11">
        <f t="shared" si="173"/>
        <v>0</v>
      </c>
      <c r="N7063" s="9" t="s">
        <v>804</v>
      </c>
    </row>
    <row r="7064" ht="25" customHeight="1" spans="1:14">
      <c r="A7064" s="9" t="s">
        <v>231</v>
      </c>
      <c r="B7064" s="9" t="s">
        <v>229</v>
      </c>
      <c r="C7064" s="10">
        <v>45807</v>
      </c>
      <c r="D7064" s="15">
        <v>1.411</v>
      </c>
      <c r="E7064" s="15">
        <v>1.411</v>
      </c>
      <c r="F7064" s="15">
        <v>1.411</v>
      </c>
      <c r="G7064" s="11">
        <v>0.0005</v>
      </c>
      <c r="H7064" s="9">
        <f>MAX($F$6211:F7064)</f>
        <v>1.411</v>
      </c>
      <c r="I7064" s="11">
        <f t="shared" si="174"/>
        <v>0</v>
      </c>
      <c r="J7064" s="9"/>
      <c r="K7064" s="11"/>
      <c r="L7064" s="9">
        <f>MAX($F$6779:F7064)</f>
        <v>1.411</v>
      </c>
      <c r="M7064" s="11">
        <f t="shared" si="173"/>
        <v>0</v>
      </c>
      <c r="N7064" s="9" t="s">
        <v>804</v>
      </c>
    </row>
    <row r="7065" ht="25" customHeight="1" spans="1:14">
      <c r="A7065" s="9" t="s">
        <v>231</v>
      </c>
      <c r="B7065" s="9" t="s">
        <v>229</v>
      </c>
      <c r="C7065" s="10">
        <v>45814</v>
      </c>
      <c r="D7065" s="15">
        <v>1.4118</v>
      </c>
      <c r="E7065" s="15">
        <v>1.4118</v>
      </c>
      <c r="F7065" s="15">
        <v>1.4118</v>
      </c>
      <c r="G7065" s="11">
        <v>0.0006</v>
      </c>
      <c r="H7065" s="9">
        <f>MAX($F$6211:F7065)</f>
        <v>1.4118</v>
      </c>
      <c r="I7065" s="11">
        <f t="shared" si="174"/>
        <v>0</v>
      </c>
      <c r="J7065" s="9"/>
      <c r="K7065" s="11"/>
      <c r="L7065" s="9">
        <f>MAX($F$6779:F7065)</f>
        <v>1.4118</v>
      </c>
      <c r="M7065" s="11">
        <f t="shared" si="173"/>
        <v>0</v>
      </c>
      <c r="N7065" s="9" t="s">
        <v>804</v>
      </c>
    </row>
    <row r="7066" ht="25" customHeight="1" spans="1:14">
      <c r="A7066" s="9" t="s">
        <v>231</v>
      </c>
      <c r="B7066" s="9" t="s">
        <v>229</v>
      </c>
      <c r="C7066" s="10">
        <v>45821</v>
      </c>
      <c r="D7066" s="15">
        <v>1.4123</v>
      </c>
      <c r="E7066" s="15">
        <v>1.4123</v>
      </c>
      <c r="F7066" s="15">
        <v>1.4123</v>
      </c>
      <c r="G7066" s="11">
        <v>0.0004</v>
      </c>
      <c r="H7066" s="9">
        <f>MAX($F$6211:F7066)</f>
        <v>1.4123</v>
      </c>
      <c r="I7066" s="11">
        <f t="shared" si="174"/>
        <v>0</v>
      </c>
      <c r="J7066" s="9"/>
      <c r="K7066" s="11"/>
      <c r="L7066" s="9">
        <f>MAX($F$6779:F7066)</f>
        <v>1.4123</v>
      </c>
      <c r="M7066" s="11">
        <f t="shared" si="173"/>
        <v>0</v>
      </c>
      <c r="N7066" s="9" t="s">
        <v>804</v>
      </c>
    </row>
    <row r="7067" ht="25" customHeight="1" spans="1:14">
      <c r="A7067" s="9" t="s">
        <v>231</v>
      </c>
      <c r="B7067" s="9" t="s">
        <v>229</v>
      </c>
      <c r="C7067" s="10">
        <v>45828</v>
      </c>
      <c r="D7067" s="15">
        <v>1.4129</v>
      </c>
      <c r="E7067" s="15">
        <v>1.4129</v>
      </c>
      <c r="F7067" s="15">
        <v>1.4129</v>
      </c>
      <c r="G7067" s="11">
        <v>0.0004</v>
      </c>
      <c r="H7067" s="9">
        <f>MAX($F$6211:F7067)</f>
        <v>1.4129</v>
      </c>
      <c r="I7067" s="11">
        <f t="shared" si="174"/>
        <v>0</v>
      </c>
      <c r="J7067" s="9"/>
      <c r="K7067" s="11"/>
      <c r="L7067" s="9">
        <f>MAX($F$6779:F7067)</f>
        <v>1.4129</v>
      </c>
      <c r="M7067" s="11">
        <f t="shared" si="173"/>
        <v>0</v>
      </c>
      <c r="N7067" s="9" t="s">
        <v>804</v>
      </c>
    </row>
    <row r="7068" ht="25" customHeight="1" spans="1:14">
      <c r="A7068" s="9" t="s">
        <v>231</v>
      </c>
      <c r="B7068" s="9" t="s">
        <v>229</v>
      </c>
      <c r="C7068" s="10">
        <v>45835</v>
      </c>
      <c r="D7068" s="15">
        <v>1.4165</v>
      </c>
      <c r="E7068" s="15">
        <v>1.4165</v>
      </c>
      <c r="F7068" s="15">
        <v>1.4165</v>
      </c>
      <c r="G7068" s="11">
        <v>0.0025</v>
      </c>
      <c r="H7068" s="9">
        <f>MAX($F$6211:F7068)</f>
        <v>1.4165</v>
      </c>
      <c r="I7068" s="11">
        <f t="shared" si="174"/>
        <v>0</v>
      </c>
      <c r="J7068" s="9"/>
      <c r="K7068" s="11"/>
      <c r="L7068" s="9">
        <f>MAX($F$6779:F7068)</f>
        <v>1.4165</v>
      </c>
      <c r="M7068" s="11">
        <f t="shared" si="173"/>
        <v>0</v>
      </c>
      <c r="N7068" s="9" t="s">
        <v>804</v>
      </c>
    </row>
    <row r="7069" ht="25" customHeight="1" spans="1:14">
      <c r="A7069" s="9" t="s">
        <v>231</v>
      </c>
      <c r="B7069" s="9" t="s">
        <v>229</v>
      </c>
      <c r="C7069" s="10">
        <v>45838</v>
      </c>
      <c r="D7069" s="15">
        <v>1.4164</v>
      </c>
      <c r="E7069" s="15">
        <v>1.4164</v>
      </c>
      <c r="F7069" s="15">
        <v>1.4164</v>
      </c>
      <c r="G7069" s="11">
        <v>-0.0001</v>
      </c>
      <c r="H7069" s="9">
        <f>MAX($F$6211:F7069)</f>
        <v>1.4165</v>
      </c>
      <c r="I7069" s="11">
        <f t="shared" si="174"/>
        <v>7.05965407694631e-5</v>
      </c>
      <c r="J7069" s="9"/>
      <c r="K7069" s="11"/>
      <c r="L7069" s="9">
        <f>MAX($F$6779:F7069)</f>
        <v>1.4165</v>
      </c>
      <c r="M7069" s="11">
        <f t="shared" si="173"/>
        <v>7.05965407694631e-5</v>
      </c>
      <c r="N7069" s="9" t="s">
        <v>804</v>
      </c>
    </row>
    <row r="7070" ht="25" customHeight="1" spans="1:14">
      <c r="A7070" s="9" t="s">
        <v>231</v>
      </c>
      <c r="B7070" s="9" t="s">
        <v>229</v>
      </c>
      <c r="C7070" s="10">
        <v>45842</v>
      </c>
      <c r="D7070" s="15">
        <v>1.4169</v>
      </c>
      <c r="E7070" s="15">
        <v>1.4169</v>
      </c>
      <c r="F7070" s="15">
        <v>1.4169</v>
      </c>
      <c r="G7070" s="11">
        <v>0.0004</v>
      </c>
      <c r="H7070" s="9">
        <f>MAX($F$6211:F7070)</f>
        <v>1.4169</v>
      </c>
      <c r="I7070" s="11">
        <f t="shared" si="174"/>
        <v>0</v>
      </c>
      <c r="J7070" s="9"/>
      <c r="K7070" s="11"/>
      <c r="L7070" s="9">
        <f>MAX($F$6779:F7070)</f>
        <v>1.4169</v>
      </c>
      <c r="M7070" s="11">
        <f t="shared" si="173"/>
        <v>0</v>
      </c>
      <c r="N7070" s="9" t="s">
        <v>804</v>
      </c>
    </row>
    <row r="7071" ht="25" customHeight="1" spans="1:14">
      <c r="A7071" s="9" t="s">
        <v>231</v>
      </c>
      <c r="B7071" s="9" t="s">
        <v>229</v>
      </c>
      <c r="C7071" s="10">
        <v>45849</v>
      </c>
      <c r="D7071" s="15">
        <v>1.4193</v>
      </c>
      <c r="E7071" s="15">
        <v>1.4193</v>
      </c>
      <c r="F7071" s="15">
        <v>1.4193</v>
      </c>
      <c r="G7071" s="11">
        <v>0.0017</v>
      </c>
      <c r="H7071" s="9">
        <f>MAX($F$6211:F7071)</f>
        <v>1.4193</v>
      </c>
      <c r="I7071" s="11">
        <f t="shared" si="174"/>
        <v>0</v>
      </c>
      <c r="J7071" s="9"/>
      <c r="K7071" s="11"/>
      <c r="L7071" s="9">
        <f>MAX($F$6779:F7071)</f>
        <v>1.4193</v>
      </c>
      <c r="M7071" s="11">
        <f t="shared" si="173"/>
        <v>0</v>
      </c>
      <c r="N7071" s="9" t="s">
        <v>804</v>
      </c>
    </row>
    <row r="7072" ht="25" customHeight="1" spans="1:14">
      <c r="A7072" s="9" t="s">
        <v>231</v>
      </c>
      <c r="B7072" s="9" t="s">
        <v>229</v>
      </c>
      <c r="C7072" s="10">
        <v>45856</v>
      </c>
      <c r="D7072" s="15">
        <v>1.4192</v>
      </c>
      <c r="E7072" s="15">
        <v>1.4192</v>
      </c>
      <c r="F7072" s="15">
        <v>1.4192</v>
      </c>
      <c r="G7072" s="11">
        <v>-0.0001</v>
      </c>
      <c r="H7072" s="9">
        <f>MAX($F$6211:F7072)</f>
        <v>1.4193</v>
      </c>
      <c r="I7072" s="11">
        <f t="shared" si="174"/>
        <v>7.045726766719e-5</v>
      </c>
      <c r="J7072" s="9"/>
      <c r="K7072" s="11"/>
      <c r="L7072" s="9">
        <f>MAX($F$6779:F7072)</f>
        <v>1.4193</v>
      </c>
      <c r="M7072" s="11">
        <f t="shared" si="173"/>
        <v>7.045726766719e-5</v>
      </c>
      <c r="N7072" s="9" t="s">
        <v>804</v>
      </c>
    </row>
    <row r="7073" ht="25" customHeight="1" spans="1:14">
      <c r="A7073" s="9" t="s">
        <v>231</v>
      </c>
      <c r="B7073" s="9" t="s">
        <v>229</v>
      </c>
      <c r="C7073" s="10">
        <v>45863</v>
      </c>
      <c r="D7073" s="15">
        <v>1.4218</v>
      </c>
      <c r="E7073" s="15">
        <v>1.4218</v>
      </c>
      <c r="F7073" s="15">
        <v>1.4218</v>
      </c>
      <c r="G7073" s="11">
        <v>0.0018</v>
      </c>
      <c r="H7073" s="9">
        <f>MAX($F$6211:F7073)</f>
        <v>1.4218</v>
      </c>
      <c r="I7073" s="11">
        <f t="shared" si="174"/>
        <v>0</v>
      </c>
      <c r="J7073" s="9"/>
      <c r="K7073" s="11"/>
      <c r="L7073" s="9">
        <f>MAX($F$6779:F7073)</f>
        <v>1.4218</v>
      </c>
      <c r="M7073" s="11">
        <f t="shared" si="173"/>
        <v>0</v>
      </c>
      <c r="N7073" s="9" t="s">
        <v>804</v>
      </c>
    </row>
    <row r="7074" ht="25" customHeight="1" spans="1:14">
      <c r="A7074" s="9" t="s">
        <v>231</v>
      </c>
      <c r="B7074" s="9" t="s">
        <v>229</v>
      </c>
      <c r="C7074" s="10">
        <v>45869</v>
      </c>
      <c r="D7074" s="15">
        <v>1.423</v>
      </c>
      <c r="E7074" s="15">
        <v>1.423</v>
      </c>
      <c r="F7074" s="15">
        <v>1.423</v>
      </c>
      <c r="G7074" s="11">
        <v>0.0008</v>
      </c>
      <c r="H7074" s="9">
        <f>MAX($F$6211:F7074)</f>
        <v>1.423</v>
      </c>
      <c r="I7074" s="11">
        <f t="shared" si="174"/>
        <v>0</v>
      </c>
      <c r="J7074" s="9"/>
      <c r="K7074" s="11"/>
      <c r="L7074" s="9">
        <f>MAX($F$6779:F7074)</f>
        <v>1.423</v>
      </c>
      <c r="M7074" s="11">
        <f t="shared" si="173"/>
        <v>0</v>
      </c>
      <c r="N7074" s="9" t="s">
        <v>804</v>
      </c>
    </row>
    <row r="7075" ht="25" customHeight="1" spans="1:14">
      <c r="A7075" s="9" t="s">
        <v>231</v>
      </c>
      <c r="B7075" s="9" t="s">
        <v>229</v>
      </c>
      <c r="C7075" s="10">
        <v>45870</v>
      </c>
      <c r="D7075" s="15">
        <v>1.4235</v>
      </c>
      <c r="E7075" s="15">
        <v>1.4235</v>
      </c>
      <c r="F7075" s="15">
        <v>1.4235</v>
      </c>
      <c r="G7075" s="11">
        <v>0.0004</v>
      </c>
      <c r="H7075" s="9">
        <f>MAX($F$6211:F7075)</f>
        <v>1.4235</v>
      </c>
      <c r="I7075" s="11">
        <f t="shared" si="174"/>
        <v>0</v>
      </c>
      <c r="J7075" s="9"/>
      <c r="K7075" s="11"/>
      <c r="L7075" s="9">
        <f>MAX($F$6779:F7075)</f>
        <v>1.4235</v>
      </c>
      <c r="M7075" s="11">
        <f t="shared" si="173"/>
        <v>0</v>
      </c>
      <c r="N7075" s="9" t="s">
        <v>804</v>
      </c>
    </row>
    <row r="7076" ht="25" customHeight="1" spans="1:14">
      <c r="A7076" s="9" t="s">
        <v>231</v>
      </c>
      <c r="B7076" s="9" t="s">
        <v>229</v>
      </c>
      <c r="C7076" s="10">
        <v>45877</v>
      </c>
      <c r="D7076" s="15">
        <v>1.4244</v>
      </c>
      <c r="E7076" s="15">
        <v>1.4244</v>
      </c>
      <c r="F7076" s="15">
        <v>1.4244</v>
      </c>
      <c r="G7076" s="11">
        <v>0.0006</v>
      </c>
      <c r="H7076" s="9">
        <f>MAX($F$6211:F7076)</f>
        <v>1.4244</v>
      </c>
      <c r="I7076" s="11">
        <f t="shared" si="174"/>
        <v>0</v>
      </c>
      <c r="J7076" s="9"/>
      <c r="K7076" s="11"/>
      <c r="L7076" s="9">
        <f>MAX($F$6779:F7076)</f>
        <v>1.4244</v>
      </c>
      <c r="M7076" s="11">
        <f t="shared" si="173"/>
        <v>0</v>
      </c>
      <c r="N7076" s="9" t="s">
        <v>804</v>
      </c>
    </row>
    <row r="7077" ht="25" customHeight="1" spans="1:14">
      <c r="A7077" s="9" t="s">
        <v>231</v>
      </c>
      <c r="B7077" s="9" t="s">
        <v>229</v>
      </c>
      <c r="C7077" s="10">
        <v>45884</v>
      </c>
      <c r="D7077" s="15">
        <v>1.4229</v>
      </c>
      <c r="E7077" s="15">
        <v>1.4229</v>
      </c>
      <c r="F7077" s="15">
        <v>1.4229</v>
      </c>
      <c r="G7077" s="11">
        <v>-0.0011</v>
      </c>
      <c r="H7077" s="9">
        <f>MAX($F$6211:F7077)</f>
        <v>1.4244</v>
      </c>
      <c r="I7077" s="11">
        <f t="shared" si="174"/>
        <v>0.00105307497893858</v>
      </c>
      <c r="J7077" s="9"/>
      <c r="K7077" s="11"/>
      <c r="L7077" s="9">
        <f>MAX($F$6779:F7077)</f>
        <v>1.4244</v>
      </c>
      <c r="M7077" s="11">
        <f t="shared" si="173"/>
        <v>0.00105307497893858</v>
      </c>
      <c r="N7077" s="9" t="s">
        <v>804</v>
      </c>
    </row>
    <row r="7078" ht="25" customHeight="1" spans="1:14">
      <c r="A7078" s="9" t="s">
        <v>231</v>
      </c>
      <c r="B7078" s="9" t="s">
        <v>229</v>
      </c>
      <c r="C7078" s="10">
        <v>45891</v>
      </c>
      <c r="D7078" s="15">
        <v>1.4236</v>
      </c>
      <c r="E7078" s="15">
        <v>1.4236</v>
      </c>
      <c r="F7078" s="15">
        <v>1.4236</v>
      </c>
      <c r="G7078" s="11">
        <v>0.0005</v>
      </c>
      <c r="H7078" s="9">
        <f>MAX($F$6211:F7078)</f>
        <v>1.4244</v>
      </c>
      <c r="I7078" s="11">
        <f t="shared" si="174"/>
        <v>0.000561639988767348</v>
      </c>
      <c r="J7078" s="9"/>
      <c r="K7078" s="11"/>
      <c r="L7078" s="9">
        <f>MAX($F$6779:F7078)</f>
        <v>1.4244</v>
      </c>
      <c r="M7078" s="11">
        <f t="shared" si="173"/>
        <v>0.000561639988767348</v>
      </c>
      <c r="N7078" s="9" t="s">
        <v>804</v>
      </c>
    </row>
    <row r="7079" ht="25" customHeight="1" spans="1:14">
      <c r="A7079" s="9" t="s">
        <v>231</v>
      </c>
      <c r="B7079" s="9" t="s">
        <v>229</v>
      </c>
      <c r="C7079" s="10">
        <v>45898</v>
      </c>
      <c r="D7079" s="15">
        <v>1.4244</v>
      </c>
      <c r="E7079" s="15">
        <v>1.4244</v>
      </c>
      <c r="F7079" s="15">
        <v>1.4244</v>
      </c>
      <c r="G7079" s="11">
        <v>0.0006</v>
      </c>
      <c r="H7079" s="9">
        <f>MAX($F$6211:F7079)</f>
        <v>1.4244</v>
      </c>
      <c r="I7079" s="11">
        <f t="shared" si="174"/>
        <v>0</v>
      </c>
      <c r="J7079" s="9">
        <f>MAX($F$7079:F7079)</f>
        <v>1.4244</v>
      </c>
      <c r="K7079" s="11">
        <f t="shared" ref="K7079:K7142" si="175">1-F7079/J7079</f>
        <v>0</v>
      </c>
      <c r="L7079" s="9">
        <f>MAX($F$6779:F7079)</f>
        <v>1.4244</v>
      </c>
      <c r="M7079" s="11">
        <f t="shared" si="173"/>
        <v>0</v>
      </c>
      <c r="N7079" s="9" t="s">
        <v>804</v>
      </c>
    </row>
    <row r="7080" ht="25" customHeight="1" spans="1:14">
      <c r="A7080" s="9" t="s">
        <v>231</v>
      </c>
      <c r="B7080" s="9" t="s">
        <v>229</v>
      </c>
      <c r="C7080" s="10">
        <v>45905</v>
      </c>
      <c r="D7080" s="15">
        <v>1.4254</v>
      </c>
      <c r="E7080" s="15">
        <v>1.4254</v>
      </c>
      <c r="F7080" s="15">
        <v>1.4254</v>
      </c>
      <c r="G7080" s="11">
        <v>0.0007</v>
      </c>
      <c r="H7080" s="9">
        <f>MAX($F$6211:F7080)</f>
        <v>1.4254</v>
      </c>
      <c r="I7080" s="11">
        <f t="shared" si="174"/>
        <v>0</v>
      </c>
      <c r="J7080" s="9">
        <f>MAX($F$7079:F7080)</f>
        <v>1.4254</v>
      </c>
      <c r="K7080" s="11">
        <f t="shared" si="175"/>
        <v>0</v>
      </c>
      <c r="L7080" s="9">
        <f>MAX($F$6779:F7080)</f>
        <v>1.4254</v>
      </c>
      <c r="M7080" s="11">
        <f t="shared" si="173"/>
        <v>0</v>
      </c>
      <c r="N7080" s="9" t="s">
        <v>804</v>
      </c>
    </row>
    <row r="7081" ht="25" customHeight="1" spans="1:14">
      <c r="A7081" s="9" t="s">
        <v>231</v>
      </c>
      <c r="B7081" s="9" t="s">
        <v>229</v>
      </c>
      <c r="C7081" s="10">
        <v>45912</v>
      </c>
      <c r="D7081" s="15">
        <v>1.4254</v>
      </c>
      <c r="E7081" s="15">
        <v>1.4254</v>
      </c>
      <c r="F7081" s="15">
        <v>1.4254</v>
      </c>
      <c r="G7081" s="11">
        <v>0</v>
      </c>
      <c r="H7081" s="9">
        <f>MAX($F$6211:F7081)</f>
        <v>1.4254</v>
      </c>
      <c r="I7081" s="11">
        <f t="shared" si="174"/>
        <v>0</v>
      </c>
      <c r="J7081" s="9">
        <f>MAX($F$7079:F7081)</f>
        <v>1.4254</v>
      </c>
      <c r="K7081" s="11">
        <f t="shared" si="175"/>
        <v>0</v>
      </c>
      <c r="L7081" s="9">
        <f>MAX($F$6779:F7081)</f>
        <v>1.4254</v>
      </c>
      <c r="M7081" s="11">
        <f t="shared" si="173"/>
        <v>0</v>
      </c>
      <c r="N7081" s="9" t="s">
        <v>804</v>
      </c>
    </row>
    <row r="7082" ht="25" customHeight="1" spans="1:14">
      <c r="A7082" s="9" t="s">
        <v>231</v>
      </c>
      <c r="B7082" s="9" t="s">
        <v>229</v>
      </c>
      <c r="C7082" s="10">
        <v>45919</v>
      </c>
      <c r="D7082" s="15">
        <v>1.4257</v>
      </c>
      <c r="E7082" s="15">
        <v>1.4257</v>
      </c>
      <c r="F7082" s="15">
        <v>1.4257</v>
      </c>
      <c r="G7082" s="11">
        <v>0.0002</v>
      </c>
      <c r="H7082" s="9">
        <f>MAX($F$6211:F7082)</f>
        <v>1.4257</v>
      </c>
      <c r="I7082" s="11">
        <f t="shared" si="174"/>
        <v>0</v>
      </c>
      <c r="J7082" s="9">
        <f>MAX($F$7079:F7082)</f>
        <v>1.4257</v>
      </c>
      <c r="K7082" s="11">
        <f t="shared" si="175"/>
        <v>0</v>
      </c>
      <c r="L7082" s="9">
        <f>MAX($F$6779:F7082)</f>
        <v>1.4257</v>
      </c>
      <c r="M7082" s="11">
        <f t="shared" si="173"/>
        <v>0</v>
      </c>
      <c r="N7082" s="9" t="s">
        <v>804</v>
      </c>
    </row>
    <row r="7083" ht="25" customHeight="1" spans="1:14">
      <c r="A7083" s="9" t="s">
        <v>231</v>
      </c>
      <c r="B7083" s="9" t="s">
        <v>229</v>
      </c>
      <c r="C7083" s="10">
        <v>45926</v>
      </c>
      <c r="D7083" s="15">
        <v>1.4292</v>
      </c>
      <c r="E7083" s="15">
        <v>1.4292</v>
      </c>
      <c r="F7083" s="15">
        <v>1.4292</v>
      </c>
      <c r="G7083" s="11">
        <v>0.0025</v>
      </c>
      <c r="H7083" s="9">
        <f>MAX($F$6211:F7083)</f>
        <v>1.4292</v>
      </c>
      <c r="I7083" s="11">
        <f t="shared" si="174"/>
        <v>0</v>
      </c>
      <c r="J7083" s="9">
        <f>MAX($F$7079:F7083)</f>
        <v>1.4292</v>
      </c>
      <c r="K7083" s="11">
        <f t="shared" si="175"/>
        <v>0</v>
      </c>
      <c r="L7083" s="9">
        <f>MAX($F$6779:F7083)</f>
        <v>1.4292</v>
      </c>
      <c r="M7083" s="11">
        <f t="shared" si="173"/>
        <v>0</v>
      </c>
      <c r="N7083" s="9" t="s">
        <v>804</v>
      </c>
    </row>
    <row r="7084" ht="25" customHeight="1" spans="1:14">
      <c r="A7084" s="9" t="s">
        <v>231</v>
      </c>
      <c r="B7084" s="9" t="s">
        <v>229</v>
      </c>
      <c r="C7084" s="10">
        <v>45930</v>
      </c>
      <c r="D7084" s="15">
        <v>1.4293</v>
      </c>
      <c r="E7084" s="15">
        <v>1.4293</v>
      </c>
      <c r="F7084" s="15">
        <v>1.4293</v>
      </c>
      <c r="G7084" s="11">
        <v>0.0001</v>
      </c>
      <c r="H7084" s="9">
        <f>MAX($F$6211:F7084)</f>
        <v>1.4293</v>
      </c>
      <c r="I7084" s="11">
        <f t="shared" si="174"/>
        <v>0</v>
      </c>
      <c r="J7084" s="9">
        <f>MAX($F$7079:F7084)</f>
        <v>1.4293</v>
      </c>
      <c r="K7084" s="11">
        <f t="shared" si="175"/>
        <v>0</v>
      </c>
      <c r="L7084" s="9">
        <f>MAX($F$6779:F7084)</f>
        <v>1.4293</v>
      </c>
      <c r="M7084" s="11">
        <f t="shared" si="173"/>
        <v>0</v>
      </c>
      <c r="N7084" s="9" t="s">
        <v>804</v>
      </c>
    </row>
    <row r="7085" ht="25" customHeight="1" spans="1:14">
      <c r="A7085" s="9" t="s">
        <v>231</v>
      </c>
      <c r="B7085" s="9" t="s">
        <v>229</v>
      </c>
      <c r="C7085" s="10">
        <v>45940</v>
      </c>
      <c r="D7085" s="15">
        <v>1.4295</v>
      </c>
      <c r="E7085" s="15">
        <v>1.4295</v>
      </c>
      <c r="F7085" s="15">
        <v>1.4295</v>
      </c>
      <c r="G7085" s="11">
        <v>0.0001</v>
      </c>
      <c r="H7085" s="9">
        <f>MAX($F$6211:F7085)</f>
        <v>1.4295</v>
      </c>
      <c r="I7085" s="11">
        <f t="shared" si="174"/>
        <v>0</v>
      </c>
      <c r="J7085" s="9">
        <f>MAX($F$7079:F7085)</f>
        <v>1.4295</v>
      </c>
      <c r="K7085" s="11">
        <f t="shared" si="175"/>
        <v>0</v>
      </c>
      <c r="L7085" s="9">
        <f>MAX($F$6779:F7085)</f>
        <v>1.4295</v>
      </c>
      <c r="M7085" s="11">
        <f t="shared" si="173"/>
        <v>0</v>
      </c>
      <c r="N7085" s="9" t="s">
        <v>804</v>
      </c>
    </row>
    <row r="7086" ht="25" customHeight="1" spans="1:14">
      <c r="A7086" s="9" t="s">
        <v>231</v>
      </c>
      <c r="B7086" s="9" t="s">
        <v>229</v>
      </c>
      <c r="C7086" s="10">
        <v>45947</v>
      </c>
      <c r="D7086" s="15">
        <v>1.4323</v>
      </c>
      <c r="E7086" s="15">
        <v>1.4323</v>
      </c>
      <c r="F7086" s="15">
        <v>1.4323</v>
      </c>
      <c r="G7086" s="11">
        <v>0.002</v>
      </c>
      <c r="H7086" s="9">
        <f>MAX($F$6211:F7086)</f>
        <v>1.4323</v>
      </c>
      <c r="I7086" s="11">
        <f t="shared" si="174"/>
        <v>0</v>
      </c>
      <c r="J7086" s="9">
        <f>MAX($F$7079:F7086)</f>
        <v>1.4323</v>
      </c>
      <c r="K7086" s="11">
        <f t="shared" si="175"/>
        <v>0</v>
      </c>
      <c r="L7086" s="9">
        <f>MAX($F$6779:F7086)</f>
        <v>1.4323</v>
      </c>
      <c r="M7086" s="11">
        <f t="shared" si="173"/>
        <v>0</v>
      </c>
      <c r="N7086" s="9" t="s">
        <v>804</v>
      </c>
    </row>
    <row r="7087" ht="25" customHeight="1" spans="1:14">
      <c r="A7087" s="9" t="s">
        <v>231</v>
      </c>
      <c r="B7087" s="9" t="s">
        <v>229</v>
      </c>
      <c r="C7087" s="10">
        <v>45954</v>
      </c>
      <c r="D7087" s="15">
        <v>1.4333</v>
      </c>
      <c r="E7087" s="15">
        <v>1.4333</v>
      </c>
      <c r="F7087" s="15">
        <v>1.4333</v>
      </c>
      <c r="G7087" s="11">
        <v>0.0007</v>
      </c>
      <c r="H7087" s="9">
        <f>MAX($F$6211:F7087)</f>
        <v>1.4333</v>
      </c>
      <c r="I7087" s="11">
        <f t="shared" si="174"/>
        <v>0</v>
      </c>
      <c r="J7087" s="9">
        <f>MAX($F$7079:F7087)</f>
        <v>1.4333</v>
      </c>
      <c r="K7087" s="11">
        <f t="shared" si="175"/>
        <v>0</v>
      </c>
      <c r="L7087" s="9">
        <f>MAX($F$6779:F7087)</f>
        <v>1.4333</v>
      </c>
      <c r="M7087" s="11">
        <f t="shared" si="173"/>
        <v>0</v>
      </c>
      <c r="N7087" s="9" t="s">
        <v>804</v>
      </c>
    </row>
    <row r="7088" ht="25" customHeight="1" spans="1:14">
      <c r="A7088" s="9" t="s">
        <v>231</v>
      </c>
      <c r="B7088" s="9" t="s">
        <v>229</v>
      </c>
      <c r="C7088" s="10">
        <v>45961</v>
      </c>
      <c r="D7088" s="15">
        <v>1.4336</v>
      </c>
      <c r="E7088" s="15">
        <v>1.4336</v>
      </c>
      <c r="F7088" s="15">
        <v>1.4336</v>
      </c>
      <c r="G7088" s="11">
        <v>0.0002</v>
      </c>
      <c r="H7088" s="9">
        <f>MAX($F$6211:F7088)</f>
        <v>1.4336</v>
      </c>
      <c r="I7088" s="11">
        <f t="shared" si="174"/>
        <v>0</v>
      </c>
      <c r="J7088" s="9">
        <f>MAX($F$7079:F7088)</f>
        <v>1.4336</v>
      </c>
      <c r="K7088" s="11">
        <f t="shared" si="175"/>
        <v>0</v>
      </c>
      <c r="L7088" s="9">
        <f>MAX($F$6779:F7088)</f>
        <v>1.4336</v>
      </c>
      <c r="M7088" s="11">
        <f t="shared" si="173"/>
        <v>0</v>
      </c>
      <c r="N7088" s="9" t="s">
        <v>804</v>
      </c>
    </row>
    <row r="7089" ht="25" customHeight="1" spans="1:14">
      <c r="A7089" s="9" t="s">
        <v>231</v>
      </c>
      <c r="B7089" s="9" t="s">
        <v>229</v>
      </c>
      <c r="C7089" s="10">
        <v>45968</v>
      </c>
      <c r="D7089" s="15">
        <v>1.4337</v>
      </c>
      <c r="E7089" s="15">
        <v>1.4337</v>
      </c>
      <c r="F7089" s="15">
        <v>1.4337</v>
      </c>
      <c r="G7089" s="11">
        <v>0.0001</v>
      </c>
      <c r="H7089" s="9">
        <f>MAX($F$6211:F7089)</f>
        <v>1.4337</v>
      </c>
      <c r="I7089" s="11">
        <f t="shared" si="174"/>
        <v>0</v>
      </c>
      <c r="J7089" s="9">
        <f>MAX($F$7079:F7089)</f>
        <v>1.4337</v>
      </c>
      <c r="K7089" s="11">
        <f t="shared" si="175"/>
        <v>0</v>
      </c>
      <c r="L7089" s="9">
        <f>MAX($F$6779:F7089)</f>
        <v>1.4337</v>
      </c>
      <c r="M7089" s="11">
        <f t="shared" si="173"/>
        <v>0</v>
      </c>
      <c r="N7089" s="9" t="s">
        <v>804</v>
      </c>
    </row>
    <row r="7090" ht="25" customHeight="1" spans="1:14">
      <c r="A7090" s="9" t="s">
        <v>231</v>
      </c>
      <c r="B7090" s="9" t="s">
        <v>229</v>
      </c>
      <c r="C7090" s="10">
        <v>45975</v>
      </c>
      <c r="D7090" s="15">
        <v>1.4343</v>
      </c>
      <c r="E7090" s="15">
        <v>1.4343</v>
      </c>
      <c r="F7090" s="15">
        <v>1.4343</v>
      </c>
      <c r="G7090" s="11">
        <v>0.0004</v>
      </c>
      <c r="H7090" s="9">
        <f>MAX($F$6211:F7090)</f>
        <v>1.4343</v>
      </c>
      <c r="I7090" s="11">
        <f t="shared" si="174"/>
        <v>0</v>
      </c>
      <c r="J7090" s="9">
        <f>MAX($F$7079:F7090)</f>
        <v>1.4343</v>
      </c>
      <c r="K7090" s="11">
        <f t="shared" si="175"/>
        <v>0</v>
      </c>
      <c r="L7090" s="9">
        <f>MAX($F$6779:F7090)</f>
        <v>1.4343</v>
      </c>
      <c r="M7090" s="11">
        <f t="shared" si="173"/>
        <v>0</v>
      </c>
      <c r="N7090" s="9" t="s">
        <v>804</v>
      </c>
    </row>
    <row r="7091" ht="25" customHeight="1" spans="1:14">
      <c r="A7091" s="9" t="s">
        <v>231</v>
      </c>
      <c r="B7091" s="9" t="s">
        <v>229</v>
      </c>
      <c r="C7091" s="10">
        <v>45982</v>
      </c>
      <c r="D7091" s="15">
        <v>1.4354</v>
      </c>
      <c r="E7091" s="15">
        <v>1.4354</v>
      </c>
      <c r="F7091" s="15">
        <v>1.4354</v>
      </c>
      <c r="G7091" s="11">
        <v>0.0008</v>
      </c>
      <c r="H7091" s="9">
        <f>MAX($F$6211:F7091)</f>
        <v>1.4354</v>
      </c>
      <c r="I7091" s="11">
        <f t="shared" si="174"/>
        <v>0</v>
      </c>
      <c r="J7091" s="9">
        <f>MAX($F$7079:F7091)</f>
        <v>1.4354</v>
      </c>
      <c r="K7091" s="11">
        <f t="shared" si="175"/>
        <v>0</v>
      </c>
      <c r="L7091" s="9">
        <f>MAX($F$6779:F7091)</f>
        <v>1.4354</v>
      </c>
      <c r="M7091" s="11">
        <f t="shared" si="173"/>
        <v>0</v>
      </c>
      <c r="N7091" s="9" t="s">
        <v>804</v>
      </c>
    </row>
    <row r="7092" ht="25" customHeight="1" spans="1:14">
      <c r="A7092" s="9" t="s">
        <v>231</v>
      </c>
      <c r="B7092" s="9" t="s">
        <v>229</v>
      </c>
      <c r="C7092" s="10">
        <v>45989</v>
      </c>
      <c r="D7092" s="15">
        <v>1.4354</v>
      </c>
      <c r="E7092" s="15">
        <v>1.4354</v>
      </c>
      <c r="F7092" s="15">
        <v>1.4354</v>
      </c>
      <c r="G7092" s="11">
        <v>0</v>
      </c>
      <c r="H7092" s="9">
        <f>MAX($F$6211:F7092)</f>
        <v>1.4354</v>
      </c>
      <c r="I7092" s="11">
        <f t="shared" si="174"/>
        <v>0</v>
      </c>
      <c r="J7092" s="9">
        <f>MAX($F$7079:F7092)</f>
        <v>1.4354</v>
      </c>
      <c r="K7092" s="11">
        <f t="shared" si="175"/>
        <v>0</v>
      </c>
      <c r="L7092" s="9">
        <f>MAX($F$6779:F7092)</f>
        <v>1.4354</v>
      </c>
      <c r="M7092" s="11">
        <f t="shared" si="173"/>
        <v>0</v>
      </c>
      <c r="N7092" s="9" t="s">
        <v>804</v>
      </c>
    </row>
    <row r="7093" ht="25" customHeight="1" spans="1:14">
      <c r="A7093" s="9" t="s">
        <v>231</v>
      </c>
      <c r="B7093" s="9" t="s">
        <v>229</v>
      </c>
      <c r="C7093" s="10">
        <v>45996</v>
      </c>
      <c r="D7093" s="15">
        <v>1.4369</v>
      </c>
      <c r="E7093" s="15">
        <v>1.4369</v>
      </c>
      <c r="F7093" s="15">
        <v>1.4369</v>
      </c>
      <c r="G7093" s="11">
        <v>0.001</v>
      </c>
      <c r="H7093" s="9">
        <f>MAX($F$6211:F7093)</f>
        <v>1.4369</v>
      </c>
      <c r="I7093" s="11">
        <f t="shared" si="174"/>
        <v>0</v>
      </c>
      <c r="J7093" s="9">
        <f>MAX($F$7079:F7093)</f>
        <v>1.4369</v>
      </c>
      <c r="K7093" s="11">
        <f t="shared" si="175"/>
        <v>0</v>
      </c>
      <c r="L7093" s="9">
        <f>MAX($F$6779:F7093)</f>
        <v>1.4369</v>
      </c>
      <c r="M7093" s="11">
        <f t="shared" si="173"/>
        <v>0</v>
      </c>
      <c r="N7093" s="9" t="s">
        <v>804</v>
      </c>
    </row>
    <row r="7094" ht="25" customHeight="1" spans="1:14">
      <c r="A7094" s="9" t="s">
        <v>231</v>
      </c>
      <c r="B7094" s="9" t="s">
        <v>229</v>
      </c>
      <c r="C7094" s="10">
        <v>46003</v>
      </c>
      <c r="D7094" s="15">
        <v>1.4387</v>
      </c>
      <c r="E7094" s="15">
        <v>1.4387</v>
      </c>
      <c r="F7094" s="15">
        <v>1.4387</v>
      </c>
      <c r="G7094" s="11">
        <v>0.0013</v>
      </c>
      <c r="H7094" s="9">
        <f>MAX($F$6211:F7094)</f>
        <v>1.4387</v>
      </c>
      <c r="I7094" s="11">
        <f t="shared" si="174"/>
        <v>0</v>
      </c>
      <c r="J7094" s="9">
        <f>MAX($F$7079:F7094)</f>
        <v>1.4387</v>
      </c>
      <c r="K7094" s="11">
        <f t="shared" si="175"/>
        <v>0</v>
      </c>
      <c r="L7094" s="9">
        <f>MAX($F$6779:F7094)</f>
        <v>1.4387</v>
      </c>
      <c r="M7094" s="11">
        <f t="shared" si="173"/>
        <v>0</v>
      </c>
      <c r="N7094" s="9" t="s">
        <v>804</v>
      </c>
    </row>
    <row r="7095" ht="25" customHeight="1" spans="1:14">
      <c r="A7095" s="9" t="s">
        <v>231</v>
      </c>
      <c r="B7095" s="9" t="s">
        <v>229</v>
      </c>
      <c r="C7095" s="10">
        <v>46010</v>
      </c>
      <c r="D7095" s="15">
        <v>1.4394</v>
      </c>
      <c r="E7095" s="15">
        <v>1.4394</v>
      </c>
      <c r="F7095" s="15">
        <v>1.4394</v>
      </c>
      <c r="G7095" s="11">
        <v>0.0005</v>
      </c>
      <c r="H7095" s="9">
        <f>MAX($F$6211:F7095)</f>
        <v>1.4394</v>
      </c>
      <c r="I7095" s="11">
        <f t="shared" si="174"/>
        <v>0</v>
      </c>
      <c r="J7095" s="9">
        <f>MAX($F$7079:F7095)</f>
        <v>1.4394</v>
      </c>
      <c r="K7095" s="11">
        <f t="shared" si="175"/>
        <v>0</v>
      </c>
      <c r="L7095" s="9">
        <f>MAX($F$6779:F7095)</f>
        <v>1.4394</v>
      </c>
      <c r="M7095" s="11">
        <f t="shared" si="173"/>
        <v>0</v>
      </c>
      <c r="N7095" s="9" t="s">
        <v>804</v>
      </c>
    </row>
    <row r="7096" ht="25" customHeight="1" spans="1:14">
      <c r="A7096" s="9" t="s">
        <v>231</v>
      </c>
      <c r="B7096" s="9" t="s">
        <v>229</v>
      </c>
      <c r="C7096" s="10">
        <v>46017</v>
      </c>
      <c r="D7096" s="15">
        <v>1.4275</v>
      </c>
      <c r="E7096" s="15">
        <v>1.4275</v>
      </c>
      <c r="F7096" s="15">
        <v>1.4275</v>
      </c>
      <c r="G7096" s="11">
        <v>-0.0083</v>
      </c>
      <c r="H7096" s="9">
        <f>MAX($F$6211:F7096)</f>
        <v>1.4394</v>
      </c>
      <c r="I7096" s="11">
        <f t="shared" si="174"/>
        <v>0.00826733361122689</v>
      </c>
      <c r="J7096" s="9">
        <f>MAX($F$7079:F7096)</f>
        <v>1.4394</v>
      </c>
      <c r="K7096" s="11">
        <f t="shared" si="175"/>
        <v>0.00826733361122689</v>
      </c>
      <c r="L7096" s="9">
        <f>MAX($F$6779:F7096)</f>
        <v>1.4394</v>
      </c>
      <c r="M7096" s="11">
        <f t="shared" si="173"/>
        <v>0.00826733361122689</v>
      </c>
      <c r="N7096" s="9" t="s">
        <v>804</v>
      </c>
    </row>
    <row r="7097" ht="25" customHeight="1" spans="1:14">
      <c r="A7097" s="9" t="s">
        <v>231</v>
      </c>
      <c r="B7097" s="9" t="s">
        <v>229</v>
      </c>
      <c r="C7097" s="10">
        <v>46022</v>
      </c>
      <c r="D7097" s="15">
        <v>1.4387</v>
      </c>
      <c r="E7097" s="15">
        <v>1.4387</v>
      </c>
      <c r="F7097" s="15">
        <v>1.4387</v>
      </c>
      <c r="G7097" s="11">
        <v>0.0078</v>
      </c>
      <c r="H7097" s="9">
        <f>MAX($F$6211:F7097)</f>
        <v>1.4394</v>
      </c>
      <c r="I7097" s="11">
        <f t="shared" si="174"/>
        <v>0.00048631374183683</v>
      </c>
      <c r="J7097" s="9">
        <f>MAX($F$7079:F7097)</f>
        <v>1.4394</v>
      </c>
      <c r="K7097" s="11">
        <f t="shared" si="175"/>
        <v>0.00048631374183683</v>
      </c>
      <c r="L7097" s="9">
        <f>MAX($F$6779:F7097)</f>
        <v>1.4394</v>
      </c>
      <c r="M7097" s="11">
        <f t="shared" si="173"/>
        <v>0.00048631374183683</v>
      </c>
      <c r="N7097" s="9" t="s">
        <v>804</v>
      </c>
    </row>
    <row r="7098" ht="25" customHeight="1" spans="1:14">
      <c r="A7098" s="9" t="s">
        <v>231</v>
      </c>
      <c r="B7098" s="9" t="s">
        <v>229</v>
      </c>
      <c r="C7098" s="10">
        <v>46031</v>
      </c>
      <c r="D7098" s="15">
        <v>1.4453</v>
      </c>
      <c r="E7098" s="15">
        <v>1.4453</v>
      </c>
      <c r="F7098" s="15">
        <v>1.4453</v>
      </c>
      <c r="G7098" s="11">
        <v>0.0046</v>
      </c>
      <c r="H7098" s="9">
        <f>MAX($F$6211:F7098)</f>
        <v>1.4453</v>
      </c>
      <c r="I7098" s="11">
        <f t="shared" si="174"/>
        <v>0</v>
      </c>
      <c r="J7098" s="9">
        <f>MAX($F$7079:F7098)</f>
        <v>1.4453</v>
      </c>
      <c r="K7098" s="11">
        <f t="shared" si="175"/>
        <v>0</v>
      </c>
      <c r="L7098" s="9">
        <f>MAX($F$6779:F7098)</f>
        <v>1.4453</v>
      </c>
      <c r="M7098" s="11">
        <f t="shared" si="173"/>
        <v>0</v>
      </c>
      <c r="N7098" s="9" t="s">
        <v>804</v>
      </c>
    </row>
    <row r="7099" ht="25" customHeight="1" spans="1:14">
      <c r="A7099" s="9" t="s">
        <v>231</v>
      </c>
      <c r="B7099" s="9" t="s">
        <v>229</v>
      </c>
      <c r="C7099" s="10">
        <v>46038</v>
      </c>
      <c r="D7099" s="15">
        <v>1.4552</v>
      </c>
      <c r="E7099" s="15">
        <v>1.4552</v>
      </c>
      <c r="F7099" s="15">
        <v>1.4552</v>
      </c>
      <c r="G7099" s="11">
        <v>0.0068</v>
      </c>
      <c r="H7099" s="9">
        <f>MAX($F$6211:F7099)</f>
        <v>1.4552</v>
      </c>
      <c r="I7099" s="11">
        <f t="shared" si="174"/>
        <v>0</v>
      </c>
      <c r="J7099" s="9">
        <f>MAX($F$7079:F7099)</f>
        <v>1.4552</v>
      </c>
      <c r="K7099" s="11">
        <f t="shared" si="175"/>
        <v>0</v>
      </c>
      <c r="L7099" s="9">
        <f>MAX($F$6779:F7099)</f>
        <v>1.4552</v>
      </c>
      <c r="M7099" s="11">
        <f t="shared" ref="M7099:M7143" si="176">1-F7099/L7099</f>
        <v>0</v>
      </c>
      <c r="N7099" s="9" t="s">
        <v>804</v>
      </c>
    </row>
    <row r="7100" ht="25" customHeight="1" spans="1:14">
      <c r="A7100" s="9" t="s">
        <v>231</v>
      </c>
      <c r="B7100" s="9" t="s">
        <v>229</v>
      </c>
      <c r="C7100" s="10">
        <v>46045</v>
      </c>
      <c r="D7100" s="15">
        <v>1.4595</v>
      </c>
      <c r="E7100" s="15">
        <v>1.4595</v>
      </c>
      <c r="F7100" s="15">
        <v>1.4595</v>
      </c>
      <c r="G7100" s="11">
        <v>0.003</v>
      </c>
      <c r="H7100" s="9">
        <f>MAX($F$6211:F7100)</f>
        <v>1.4595</v>
      </c>
      <c r="I7100" s="11">
        <f t="shared" si="174"/>
        <v>0</v>
      </c>
      <c r="J7100" s="9">
        <f>MAX($F$7079:F7100)</f>
        <v>1.4595</v>
      </c>
      <c r="K7100" s="11">
        <f t="shared" si="175"/>
        <v>0</v>
      </c>
      <c r="L7100" s="9">
        <f>MAX($F$6779:F7100)</f>
        <v>1.4595</v>
      </c>
      <c r="M7100" s="11">
        <f t="shared" si="176"/>
        <v>0</v>
      </c>
      <c r="N7100" s="9" t="s">
        <v>804</v>
      </c>
    </row>
    <row r="7101" ht="25" customHeight="1" spans="1:14">
      <c r="A7101" s="9" t="s">
        <v>231</v>
      </c>
      <c r="B7101" s="9" t="s">
        <v>229</v>
      </c>
      <c r="C7101" s="10">
        <v>46052</v>
      </c>
      <c r="D7101" s="15">
        <v>1.4659</v>
      </c>
      <c r="E7101" s="15">
        <v>1.4659</v>
      </c>
      <c r="F7101" s="15">
        <v>1.4659</v>
      </c>
      <c r="G7101" s="11">
        <v>0.0044</v>
      </c>
      <c r="H7101" s="9">
        <f>MAX($F$6211:F7101)</f>
        <v>1.4659</v>
      </c>
      <c r="I7101" s="11">
        <f t="shared" si="174"/>
        <v>0</v>
      </c>
      <c r="J7101" s="9">
        <f>MAX($F$7079:F7101)</f>
        <v>1.4659</v>
      </c>
      <c r="K7101" s="11">
        <f t="shared" si="175"/>
        <v>0</v>
      </c>
      <c r="L7101" s="9">
        <f>MAX($F$6779:F7101)</f>
        <v>1.4659</v>
      </c>
      <c r="M7101" s="11">
        <f t="shared" si="176"/>
        <v>0</v>
      </c>
      <c r="N7101" s="9" t="s">
        <v>804</v>
      </c>
    </row>
    <row r="7102" ht="25" customHeight="1" spans="1:14">
      <c r="A7102" s="9" t="s">
        <v>231</v>
      </c>
      <c r="B7102" s="9" t="s">
        <v>229</v>
      </c>
      <c r="C7102" s="10">
        <v>46059</v>
      </c>
      <c r="D7102" s="15">
        <v>1.4718</v>
      </c>
      <c r="E7102" s="15">
        <v>1.4718</v>
      </c>
      <c r="F7102" s="15">
        <v>1.4718</v>
      </c>
      <c r="G7102" s="11">
        <v>0.004</v>
      </c>
      <c r="H7102" s="9">
        <f>MAX($F$6211:F7102)</f>
        <v>1.4718</v>
      </c>
      <c r="I7102" s="11">
        <f t="shared" si="174"/>
        <v>0</v>
      </c>
      <c r="J7102" s="9">
        <f>MAX($F$7079:F7102)</f>
        <v>1.4718</v>
      </c>
      <c r="K7102" s="11">
        <f t="shared" si="175"/>
        <v>0</v>
      </c>
      <c r="L7102" s="9">
        <f>MAX($F$6779:F7102)</f>
        <v>1.4718</v>
      </c>
      <c r="M7102" s="11">
        <f t="shared" si="176"/>
        <v>0</v>
      </c>
      <c r="N7102" s="9" t="s">
        <v>804</v>
      </c>
    </row>
    <row r="7103" ht="25" customHeight="1" spans="1:14">
      <c r="A7103" s="9" t="s">
        <v>231</v>
      </c>
      <c r="B7103" s="9" t="s">
        <v>229</v>
      </c>
      <c r="C7103" s="10">
        <v>46066</v>
      </c>
      <c r="D7103" s="15">
        <v>1.4701</v>
      </c>
      <c r="E7103" s="15">
        <v>1.4701</v>
      </c>
      <c r="F7103" s="15">
        <v>1.4701</v>
      </c>
      <c r="G7103" s="11">
        <v>-0.0012</v>
      </c>
      <c r="H7103" s="9">
        <f>MAX($F$6211:F7103)</f>
        <v>1.4718</v>
      </c>
      <c r="I7103" s="11">
        <f t="shared" si="174"/>
        <v>0.00115504824025003</v>
      </c>
      <c r="J7103" s="9">
        <f>MAX($F$7079:F7103)</f>
        <v>1.4718</v>
      </c>
      <c r="K7103" s="11">
        <f t="shared" si="175"/>
        <v>0.00115504824025003</v>
      </c>
      <c r="L7103" s="9">
        <f>MAX($F$6779:F7103)</f>
        <v>1.4718</v>
      </c>
      <c r="M7103" s="11">
        <f t="shared" si="176"/>
        <v>0.00115504824025003</v>
      </c>
      <c r="N7103" s="9" t="s">
        <v>804</v>
      </c>
    </row>
    <row r="7104" ht="25" customHeight="1" spans="1:14">
      <c r="A7104" s="9" t="s">
        <v>231</v>
      </c>
      <c r="B7104" s="9" t="s">
        <v>229</v>
      </c>
      <c r="C7104" s="10">
        <v>46080</v>
      </c>
      <c r="D7104" s="15">
        <v>1.4731</v>
      </c>
      <c r="E7104" s="15">
        <v>1.4731</v>
      </c>
      <c r="F7104" s="15">
        <v>1.4731</v>
      </c>
      <c r="G7104" s="11">
        <v>0.002</v>
      </c>
      <c r="H7104" s="9">
        <f>MAX($F$6211:F7104)</f>
        <v>1.4731</v>
      </c>
      <c r="I7104" s="11">
        <f t="shared" si="174"/>
        <v>0</v>
      </c>
      <c r="J7104" s="9">
        <f>MAX($F$7079:F7104)</f>
        <v>1.4731</v>
      </c>
      <c r="K7104" s="11">
        <f t="shared" si="175"/>
        <v>0</v>
      </c>
      <c r="L7104" s="9">
        <f>MAX($F$6779:F7104)</f>
        <v>1.4731</v>
      </c>
      <c r="M7104" s="11">
        <f t="shared" si="176"/>
        <v>0</v>
      </c>
      <c r="N7104" s="9" t="s">
        <v>804</v>
      </c>
    </row>
    <row r="7105" ht="25" customHeight="1" spans="1:14">
      <c r="A7105" s="9" t="s">
        <v>231</v>
      </c>
      <c r="B7105" s="9" t="s">
        <v>229</v>
      </c>
      <c r="C7105" s="10">
        <v>46087</v>
      </c>
      <c r="D7105" s="15">
        <v>1.4807</v>
      </c>
      <c r="E7105" s="15">
        <v>1.4807</v>
      </c>
      <c r="F7105" s="15">
        <v>1.4807</v>
      </c>
      <c r="G7105" s="11">
        <v>0.0052</v>
      </c>
      <c r="H7105" s="9">
        <f>MAX($F$6211:F7105)</f>
        <v>1.4807</v>
      </c>
      <c r="I7105" s="11">
        <f t="shared" si="174"/>
        <v>0</v>
      </c>
      <c r="J7105" s="9">
        <f>MAX($F$7079:F7105)</f>
        <v>1.4807</v>
      </c>
      <c r="K7105" s="11">
        <f t="shared" si="175"/>
        <v>0</v>
      </c>
      <c r="L7105" s="9">
        <f>MAX($F$6779:F7105)</f>
        <v>1.4807</v>
      </c>
      <c r="M7105" s="11">
        <f t="shared" si="176"/>
        <v>0</v>
      </c>
      <c r="N7105" s="9" t="s">
        <v>804</v>
      </c>
    </row>
    <row r="7106" ht="25" customHeight="1" spans="1:14">
      <c r="A7106" s="9" t="s">
        <v>231</v>
      </c>
      <c r="B7106" s="9" t="s">
        <v>229</v>
      </c>
      <c r="C7106" s="10">
        <v>46094</v>
      </c>
      <c r="D7106" s="15">
        <v>1.4911</v>
      </c>
      <c r="E7106" s="15">
        <v>1.4911</v>
      </c>
      <c r="F7106" s="15">
        <v>1.4911</v>
      </c>
      <c r="G7106" s="11">
        <v>0.007</v>
      </c>
      <c r="H7106" s="9">
        <f>MAX($F$6211:F7106)</f>
        <v>1.4911</v>
      </c>
      <c r="I7106" s="11">
        <f t="shared" ref="I7106:I7169" si="177">1-F7106/H7106</f>
        <v>0</v>
      </c>
      <c r="J7106" s="9">
        <f>MAX($F$7079:F7106)</f>
        <v>1.4911</v>
      </c>
      <c r="K7106" s="11">
        <f t="shared" si="175"/>
        <v>0</v>
      </c>
      <c r="L7106" s="9">
        <f>MAX($F$6779:F7106)</f>
        <v>1.4911</v>
      </c>
      <c r="M7106" s="11">
        <f t="shared" si="176"/>
        <v>0</v>
      </c>
      <c r="N7106" s="9" t="s">
        <v>804</v>
      </c>
    </row>
    <row r="7107" ht="25" customHeight="1" spans="1:14">
      <c r="A7107" s="9" t="s">
        <v>231</v>
      </c>
      <c r="B7107" s="9" t="s">
        <v>229</v>
      </c>
      <c r="C7107" s="10">
        <v>46101</v>
      </c>
      <c r="D7107" s="15">
        <v>1.5015</v>
      </c>
      <c r="E7107" s="15">
        <v>1.5015</v>
      </c>
      <c r="F7107" s="15">
        <v>1.5015</v>
      </c>
      <c r="G7107" s="11">
        <v>0.007</v>
      </c>
      <c r="H7107" s="9">
        <f>MAX($F$6211:F7107)</f>
        <v>1.5015</v>
      </c>
      <c r="I7107" s="11">
        <f t="shared" si="177"/>
        <v>0</v>
      </c>
      <c r="J7107" s="9">
        <f>MAX($F$7079:F7107)</f>
        <v>1.5015</v>
      </c>
      <c r="K7107" s="11">
        <f t="shared" si="175"/>
        <v>0</v>
      </c>
      <c r="L7107" s="9">
        <f>MAX($F$6779:F7107)</f>
        <v>1.5015</v>
      </c>
      <c r="M7107" s="11">
        <f t="shared" si="176"/>
        <v>0</v>
      </c>
      <c r="N7107" s="9" t="s">
        <v>804</v>
      </c>
    </row>
    <row r="7108" ht="25" customHeight="1" spans="1:14">
      <c r="A7108" s="9" t="s">
        <v>231</v>
      </c>
      <c r="B7108" s="9" t="s">
        <v>229</v>
      </c>
      <c r="C7108" s="10">
        <v>46108</v>
      </c>
      <c r="D7108" s="15">
        <v>1.5094</v>
      </c>
      <c r="E7108" s="15">
        <v>1.5094</v>
      </c>
      <c r="F7108" s="15">
        <v>1.5094</v>
      </c>
      <c r="G7108" s="11">
        <v>0.0053</v>
      </c>
      <c r="H7108" s="9">
        <f>MAX($F$6211:F7108)</f>
        <v>1.5094</v>
      </c>
      <c r="I7108" s="11">
        <f t="shared" si="177"/>
        <v>0</v>
      </c>
      <c r="J7108" s="9">
        <f>MAX($F$7079:F7108)</f>
        <v>1.5094</v>
      </c>
      <c r="K7108" s="11">
        <f t="shared" si="175"/>
        <v>0</v>
      </c>
      <c r="L7108" s="9">
        <f>MAX($F$6779:F7108)</f>
        <v>1.5094</v>
      </c>
      <c r="M7108" s="11">
        <f t="shared" si="176"/>
        <v>0</v>
      </c>
      <c r="N7108" s="9" t="s">
        <v>804</v>
      </c>
    </row>
    <row r="7109" ht="25" customHeight="1" spans="1:14">
      <c r="A7109" s="9" t="s">
        <v>231</v>
      </c>
      <c r="B7109" s="9" t="s">
        <v>229</v>
      </c>
      <c r="C7109" s="10">
        <v>46115</v>
      </c>
      <c r="D7109" s="15">
        <v>1.5187</v>
      </c>
      <c r="E7109" s="15">
        <v>1.5187</v>
      </c>
      <c r="F7109" s="15">
        <v>1.5187</v>
      </c>
      <c r="G7109" s="11">
        <v>0.0062</v>
      </c>
      <c r="H7109" s="9">
        <f>MAX($F$6211:F7109)</f>
        <v>1.5187</v>
      </c>
      <c r="I7109" s="11">
        <f t="shared" si="177"/>
        <v>0</v>
      </c>
      <c r="J7109" s="9">
        <f>MAX($F$7079:F7109)</f>
        <v>1.5187</v>
      </c>
      <c r="K7109" s="11">
        <f t="shared" si="175"/>
        <v>0</v>
      </c>
      <c r="L7109" s="9">
        <f>MAX($F$6779:F7109)</f>
        <v>1.5187</v>
      </c>
      <c r="M7109" s="11">
        <f t="shared" si="176"/>
        <v>0</v>
      </c>
      <c r="N7109" s="9" t="s">
        <v>804</v>
      </c>
    </row>
    <row r="7110" ht="25" customHeight="1" spans="1:14">
      <c r="A7110" s="9" t="s">
        <v>231</v>
      </c>
      <c r="B7110" s="9" t="s">
        <v>229</v>
      </c>
      <c r="C7110" s="10">
        <v>46122</v>
      </c>
      <c r="D7110" s="15">
        <v>1.5201</v>
      </c>
      <c r="E7110" s="15">
        <v>1.5201</v>
      </c>
      <c r="F7110" s="15">
        <v>1.5201</v>
      </c>
      <c r="G7110" s="11">
        <v>0.0009</v>
      </c>
      <c r="H7110" s="9">
        <f>MAX($F$6211:F7110)</f>
        <v>1.5201</v>
      </c>
      <c r="I7110" s="11">
        <f t="shared" si="177"/>
        <v>0</v>
      </c>
      <c r="J7110" s="9">
        <f>MAX($F$7079:F7110)</f>
        <v>1.5201</v>
      </c>
      <c r="K7110" s="11">
        <f t="shared" si="175"/>
        <v>0</v>
      </c>
      <c r="L7110" s="9">
        <f>MAX($F$6779:F7110)</f>
        <v>1.5201</v>
      </c>
      <c r="M7110" s="11">
        <f t="shared" si="176"/>
        <v>0</v>
      </c>
      <c r="N7110" s="9" t="s">
        <v>804</v>
      </c>
    </row>
    <row r="7111" ht="25" customHeight="1" spans="1:14">
      <c r="A7111" s="9" t="s">
        <v>231</v>
      </c>
      <c r="B7111" s="9" t="s">
        <v>229</v>
      </c>
      <c r="C7111" s="10">
        <v>46129</v>
      </c>
      <c r="D7111" s="15">
        <v>1.5216</v>
      </c>
      <c r="E7111" s="15">
        <v>1.5216</v>
      </c>
      <c r="F7111" s="15">
        <v>1.5216</v>
      </c>
      <c r="G7111" s="11">
        <v>0.001</v>
      </c>
      <c r="H7111" s="9">
        <f>MAX($F$6211:F7111)</f>
        <v>1.5216</v>
      </c>
      <c r="I7111" s="11">
        <f t="shared" si="177"/>
        <v>0</v>
      </c>
      <c r="J7111" s="9">
        <f>MAX($F$7079:F7111)</f>
        <v>1.5216</v>
      </c>
      <c r="K7111" s="11">
        <f t="shared" si="175"/>
        <v>0</v>
      </c>
      <c r="L7111" s="9">
        <f>MAX($F$6779:F7111)</f>
        <v>1.5216</v>
      </c>
      <c r="M7111" s="11">
        <f t="shared" si="176"/>
        <v>0</v>
      </c>
      <c r="N7111" s="9" t="s">
        <v>804</v>
      </c>
    </row>
    <row r="7112" ht="25" customHeight="1" spans="1:14">
      <c r="A7112" s="9" t="s">
        <v>231</v>
      </c>
      <c r="B7112" s="9" t="s">
        <v>229</v>
      </c>
      <c r="C7112" s="10">
        <v>46136</v>
      </c>
      <c r="D7112" s="15">
        <v>1.5241</v>
      </c>
      <c r="E7112" s="15">
        <v>1.5241</v>
      </c>
      <c r="F7112" s="15">
        <v>1.5241</v>
      </c>
      <c r="G7112" s="11">
        <v>0.0016</v>
      </c>
      <c r="H7112" s="9">
        <f>MAX($F$6211:F7112)</f>
        <v>1.5241</v>
      </c>
      <c r="I7112" s="11">
        <f t="shared" si="177"/>
        <v>0</v>
      </c>
      <c r="J7112" s="9">
        <f>MAX($F$7079:F7112)</f>
        <v>1.5241</v>
      </c>
      <c r="K7112" s="11">
        <f t="shared" si="175"/>
        <v>0</v>
      </c>
      <c r="L7112" s="9">
        <f>MAX($F$6779:F7112)</f>
        <v>1.5241</v>
      </c>
      <c r="M7112" s="11">
        <f t="shared" si="176"/>
        <v>0</v>
      </c>
      <c r="N7112" s="9" t="s">
        <v>804</v>
      </c>
    </row>
    <row r="7113" ht="25" customHeight="1" spans="1:14">
      <c r="A7113" s="9" t="s">
        <v>231</v>
      </c>
      <c r="B7113" s="9" t="s">
        <v>229</v>
      </c>
      <c r="C7113" s="10">
        <v>46142</v>
      </c>
      <c r="D7113" s="15">
        <v>1.5259</v>
      </c>
      <c r="E7113" s="15">
        <v>1.5259</v>
      </c>
      <c r="F7113" s="15">
        <v>1.5259</v>
      </c>
      <c r="G7113" s="11">
        <v>0.0012</v>
      </c>
      <c r="H7113" s="9">
        <f>MAX($F$6211:F7113)</f>
        <v>1.5259</v>
      </c>
      <c r="I7113" s="11">
        <f t="shared" si="177"/>
        <v>0</v>
      </c>
      <c r="J7113" s="9">
        <f>MAX($F$7079:F7113)</f>
        <v>1.5259</v>
      </c>
      <c r="K7113" s="11">
        <f t="shared" si="175"/>
        <v>0</v>
      </c>
      <c r="L7113" s="9">
        <f>MAX($F$6779:F7113)</f>
        <v>1.5259</v>
      </c>
      <c r="M7113" s="11">
        <f t="shared" si="176"/>
        <v>0</v>
      </c>
      <c r="N7113" s="9" t="s">
        <v>804</v>
      </c>
    </row>
    <row r="7114" ht="25" customHeight="1" spans="1:14">
      <c r="A7114" s="9" t="s">
        <v>231</v>
      </c>
      <c r="B7114" s="9" t="s">
        <v>229</v>
      </c>
      <c r="C7114" s="10">
        <v>46150</v>
      </c>
      <c r="D7114" s="15">
        <v>1.5273</v>
      </c>
      <c r="E7114" s="15">
        <v>1.5273</v>
      </c>
      <c r="F7114" s="15">
        <v>1.5273</v>
      </c>
      <c r="G7114" s="11">
        <v>0.0009</v>
      </c>
      <c r="H7114" s="9">
        <f>MAX($F$6211:F7114)</f>
        <v>1.5273</v>
      </c>
      <c r="I7114" s="11">
        <f t="shared" si="177"/>
        <v>0</v>
      </c>
      <c r="J7114" s="9">
        <f>MAX($F$7079:F7114)</f>
        <v>1.5273</v>
      </c>
      <c r="K7114" s="11">
        <f t="shared" si="175"/>
        <v>0</v>
      </c>
      <c r="L7114" s="9">
        <f>MAX($F$6779:F7114)</f>
        <v>1.5273</v>
      </c>
      <c r="M7114" s="11">
        <f t="shared" si="176"/>
        <v>0</v>
      </c>
      <c r="N7114" s="9" t="s">
        <v>804</v>
      </c>
    </row>
    <row r="7115" ht="25" customHeight="1" spans="1:14">
      <c r="A7115" s="9" t="s">
        <v>231</v>
      </c>
      <c r="B7115" s="9" t="s">
        <v>229</v>
      </c>
      <c r="C7115" s="10">
        <v>46157</v>
      </c>
      <c r="D7115" s="15">
        <v>1.5291</v>
      </c>
      <c r="E7115" s="15">
        <v>1.5291</v>
      </c>
      <c r="F7115" s="15">
        <v>1.5291</v>
      </c>
      <c r="G7115" s="11">
        <v>0.0012</v>
      </c>
      <c r="H7115" s="9">
        <f>MAX($F$6211:F7115)</f>
        <v>1.5291</v>
      </c>
      <c r="I7115" s="11">
        <f t="shared" si="177"/>
        <v>0</v>
      </c>
      <c r="J7115" s="9">
        <f>MAX($F$7079:F7115)</f>
        <v>1.5291</v>
      </c>
      <c r="K7115" s="11">
        <f t="shared" si="175"/>
        <v>0</v>
      </c>
      <c r="L7115" s="9">
        <f>MAX($F$6779:F7115)</f>
        <v>1.5291</v>
      </c>
      <c r="M7115" s="11">
        <f t="shared" si="176"/>
        <v>0</v>
      </c>
      <c r="N7115" s="9" t="s">
        <v>804</v>
      </c>
    </row>
    <row r="7116" ht="25" customHeight="1" spans="1:14">
      <c r="A7116" s="9" t="s">
        <v>231</v>
      </c>
      <c r="B7116" s="9" t="s">
        <v>229</v>
      </c>
      <c r="C7116" s="10">
        <v>46164</v>
      </c>
      <c r="D7116" s="15">
        <v>1.532</v>
      </c>
      <c r="E7116" s="15">
        <v>1.532</v>
      </c>
      <c r="F7116" s="15">
        <v>1.532</v>
      </c>
      <c r="G7116" s="11">
        <v>0.0019</v>
      </c>
      <c r="H7116" s="9">
        <f>MAX($F$6211:F7116)</f>
        <v>1.532</v>
      </c>
      <c r="I7116" s="11">
        <f t="shared" si="177"/>
        <v>0</v>
      </c>
      <c r="J7116" s="9">
        <f>MAX($F$7079:F7116)</f>
        <v>1.532</v>
      </c>
      <c r="K7116" s="11">
        <f t="shared" si="175"/>
        <v>0</v>
      </c>
      <c r="L7116" s="9">
        <f>MAX($F$6779:F7116)</f>
        <v>1.532</v>
      </c>
      <c r="M7116" s="11">
        <f t="shared" si="176"/>
        <v>0</v>
      </c>
      <c r="N7116" s="9" t="s">
        <v>804</v>
      </c>
    </row>
    <row r="7117" ht="25" customHeight="1" spans="1:14">
      <c r="A7117" s="9" t="s">
        <v>231</v>
      </c>
      <c r="B7117" s="9" t="s">
        <v>229</v>
      </c>
      <c r="C7117" s="10">
        <v>46171</v>
      </c>
      <c r="D7117" s="15">
        <v>1.5324</v>
      </c>
      <c r="E7117" s="15">
        <v>1.5324</v>
      </c>
      <c r="F7117" s="15">
        <v>1.5324</v>
      </c>
      <c r="G7117" s="11">
        <v>0.0003</v>
      </c>
      <c r="H7117" s="9">
        <f>MAX($F$6211:F7117)</f>
        <v>1.5324</v>
      </c>
      <c r="I7117" s="11">
        <f t="shared" si="177"/>
        <v>0</v>
      </c>
      <c r="J7117" s="9">
        <f>MAX($F$7079:F7117)</f>
        <v>1.5324</v>
      </c>
      <c r="K7117" s="11">
        <f t="shared" si="175"/>
        <v>0</v>
      </c>
      <c r="L7117" s="9">
        <f>MAX($F$6779:F7117)</f>
        <v>1.5324</v>
      </c>
      <c r="M7117" s="11">
        <f t="shared" si="176"/>
        <v>0</v>
      </c>
      <c r="N7117" s="9" t="s">
        <v>804</v>
      </c>
    </row>
    <row r="7118" ht="25" customHeight="1" spans="1:14">
      <c r="A7118" s="9" t="s">
        <v>231</v>
      </c>
      <c r="B7118" s="9" t="s">
        <v>229</v>
      </c>
      <c r="C7118" s="10">
        <v>46178</v>
      </c>
      <c r="D7118" s="15">
        <v>1.535</v>
      </c>
      <c r="E7118" s="15">
        <v>1.535</v>
      </c>
      <c r="F7118" s="15">
        <v>1.535</v>
      </c>
      <c r="G7118" s="11">
        <v>0.0017</v>
      </c>
      <c r="H7118" s="9">
        <f>MAX($F$6211:F7118)</f>
        <v>1.535</v>
      </c>
      <c r="I7118" s="11">
        <f t="shared" si="177"/>
        <v>0</v>
      </c>
      <c r="J7118" s="9">
        <f>MAX($F$7079:F7118)</f>
        <v>1.535</v>
      </c>
      <c r="K7118" s="11">
        <f t="shared" si="175"/>
        <v>0</v>
      </c>
      <c r="L7118" s="9">
        <f>MAX($F$6779:F7118)</f>
        <v>1.535</v>
      </c>
      <c r="M7118" s="11">
        <f t="shared" si="176"/>
        <v>0</v>
      </c>
      <c r="N7118" s="9" t="s">
        <v>804</v>
      </c>
    </row>
    <row r="7119" ht="25" customHeight="1" spans="1:14">
      <c r="A7119" s="9" t="s">
        <v>231</v>
      </c>
      <c r="B7119" s="9" t="s">
        <v>229</v>
      </c>
      <c r="C7119" s="10">
        <v>46185</v>
      </c>
      <c r="D7119" s="15">
        <v>1.5388</v>
      </c>
      <c r="E7119" s="15">
        <v>1.5388</v>
      </c>
      <c r="F7119" s="15">
        <v>1.5388</v>
      </c>
      <c r="G7119" s="11">
        <v>0.0025</v>
      </c>
      <c r="H7119" s="9">
        <f>MAX($F$6211:F7119)</f>
        <v>1.5388</v>
      </c>
      <c r="I7119" s="11">
        <f t="shared" si="177"/>
        <v>0</v>
      </c>
      <c r="J7119" s="9">
        <f>MAX($F$7079:F7119)</f>
        <v>1.5388</v>
      </c>
      <c r="K7119" s="11">
        <f t="shared" si="175"/>
        <v>0</v>
      </c>
      <c r="L7119" s="9">
        <f>MAX($F$6779:F7119)</f>
        <v>1.5388</v>
      </c>
      <c r="M7119" s="11">
        <f t="shared" si="176"/>
        <v>0</v>
      </c>
      <c r="N7119" s="9" t="s">
        <v>804</v>
      </c>
    </row>
    <row r="7120" ht="25" customHeight="1" spans="1:14">
      <c r="A7120" s="9" t="s">
        <v>231</v>
      </c>
      <c r="B7120" s="9" t="s">
        <v>229</v>
      </c>
      <c r="C7120" s="10">
        <v>46191</v>
      </c>
      <c r="D7120" s="15">
        <v>1.5416</v>
      </c>
      <c r="E7120" s="15">
        <v>1.5416</v>
      </c>
      <c r="F7120" s="15">
        <v>1.5416</v>
      </c>
      <c r="G7120" s="11">
        <v>0.0018</v>
      </c>
      <c r="H7120" s="9">
        <f>MAX($F$6211:F7120)</f>
        <v>1.5416</v>
      </c>
      <c r="I7120" s="11">
        <f t="shared" si="177"/>
        <v>0</v>
      </c>
      <c r="J7120" s="9">
        <f>MAX($F$7079:F7120)</f>
        <v>1.5416</v>
      </c>
      <c r="K7120" s="11">
        <f t="shared" si="175"/>
        <v>0</v>
      </c>
      <c r="L7120" s="9">
        <f>MAX($F$6779:F7120)</f>
        <v>1.5416</v>
      </c>
      <c r="M7120" s="11">
        <f t="shared" si="176"/>
        <v>0</v>
      </c>
      <c r="N7120" s="9" t="s">
        <v>804</v>
      </c>
    </row>
    <row r="7121" ht="25" customHeight="1" spans="1:14">
      <c r="A7121" s="9" t="s">
        <v>231</v>
      </c>
      <c r="B7121" s="9" t="s">
        <v>229</v>
      </c>
      <c r="C7121" s="10">
        <v>46199</v>
      </c>
      <c r="D7121" s="15">
        <v>1.5475</v>
      </c>
      <c r="E7121" s="15">
        <v>1.5475</v>
      </c>
      <c r="F7121" s="15">
        <v>1.5475</v>
      </c>
      <c r="G7121" s="11">
        <v>0.0038</v>
      </c>
      <c r="H7121" s="9">
        <f>MAX($F$6211:F7121)</f>
        <v>1.5475</v>
      </c>
      <c r="I7121" s="11">
        <f t="shared" si="177"/>
        <v>0</v>
      </c>
      <c r="J7121" s="9">
        <f>MAX($F$7079:F7121)</f>
        <v>1.5475</v>
      </c>
      <c r="K7121" s="11">
        <f t="shared" si="175"/>
        <v>0</v>
      </c>
      <c r="L7121" s="9">
        <f>MAX($F$6779:F7121)</f>
        <v>1.5475</v>
      </c>
      <c r="M7121" s="11">
        <f t="shared" si="176"/>
        <v>0</v>
      </c>
      <c r="N7121" s="9" t="s">
        <v>804</v>
      </c>
    </row>
    <row r="7122" ht="25" customHeight="1" spans="1:14">
      <c r="A7122" s="9" t="s">
        <v>231</v>
      </c>
      <c r="B7122" s="9" t="s">
        <v>229</v>
      </c>
      <c r="C7122" s="10">
        <v>46206</v>
      </c>
      <c r="D7122" s="15">
        <v>1.55</v>
      </c>
      <c r="E7122" s="15">
        <v>1.55</v>
      </c>
      <c r="F7122" s="15">
        <v>1.55</v>
      </c>
      <c r="G7122" s="11">
        <v>0.0016</v>
      </c>
      <c r="H7122" s="9">
        <f>MAX($F$6211:F7122)</f>
        <v>1.55</v>
      </c>
      <c r="I7122" s="11">
        <f t="shared" si="177"/>
        <v>0</v>
      </c>
      <c r="J7122" s="9">
        <f>MAX($F$7079:F7122)</f>
        <v>1.55</v>
      </c>
      <c r="K7122" s="11">
        <f t="shared" si="175"/>
        <v>0</v>
      </c>
      <c r="L7122" s="9">
        <f>MAX($F$6779:F7122)</f>
        <v>1.55</v>
      </c>
      <c r="M7122" s="11">
        <f t="shared" si="176"/>
        <v>0</v>
      </c>
      <c r="N7122" s="9" t="s">
        <v>804</v>
      </c>
    </row>
    <row r="7123" ht="25" customHeight="1" spans="1:14">
      <c r="A7123" s="9" t="s">
        <v>231</v>
      </c>
      <c r="B7123" s="9" t="s">
        <v>229</v>
      </c>
      <c r="C7123" s="10">
        <v>46213</v>
      </c>
      <c r="D7123" s="15">
        <v>1.5574</v>
      </c>
      <c r="E7123" s="15">
        <v>1.5574</v>
      </c>
      <c r="F7123" s="15">
        <v>1.5574</v>
      </c>
      <c r="G7123" s="11">
        <v>0.0048</v>
      </c>
      <c r="H7123" s="9">
        <f>MAX($F$6211:F7123)</f>
        <v>1.5574</v>
      </c>
      <c r="I7123" s="11">
        <f t="shared" si="177"/>
        <v>0</v>
      </c>
      <c r="J7123" s="9">
        <f>MAX($F$7079:F7123)</f>
        <v>1.5574</v>
      </c>
      <c r="K7123" s="11">
        <f t="shared" si="175"/>
        <v>0</v>
      </c>
      <c r="L7123" s="9">
        <f>MAX($F$6779:F7123)</f>
        <v>1.5574</v>
      </c>
      <c r="M7123" s="11">
        <f t="shared" si="176"/>
        <v>0</v>
      </c>
      <c r="N7123" s="9" t="s">
        <v>804</v>
      </c>
    </row>
    <row r="7124" ht="25" customHeight="1" spans="1:14">
      <c r="A7124" s="9" t="s">
        <v>231</v>
      </c>
      <c r="B7124" s="9" t="s">
        <v>229</v>
      </c>
      <c r="C7124" s="10">
        <v>46220</v>
      </c>
      <c r="D7124" s="15">
        <v>1.5601</v>
      </c>
      <c r="E7124" s="15">
        <v>1.5601</v>
      </c>
      <c r="F7124" s="15">
        <v>1.5601</v>
      </c>
      <c r="G7124" s="11">
        <v>0.0017</v>
      </c>
      <c r="H7124" s="9">
        <f>MAX($F$6211:F7124)</f>
        <v>1.5601</v>
      </c>
      <c r="I7124" s="11">
        <f t="shared" si="177"/>
        <v>0</v>
      </c>
      <c r="J7124" s="9">
        <f>MAX($F$7079:F7124)</f>
        <v>1.5601</v>
      </c>
      <c r="K7124" s="11">
        <f t="shared" si="175"/>
        <v>0</v>
      </c>
      <c r="L7124" s="9">
        <f>MAX($F$6779:F7124)</f>
        <v>1.5601</v>
      </c>
      <c r="M7124" s="11">
        <f t="shared" si="176"/>
        <v>0</v>
      </c>
      <c r="N7124" s="9" t="s">
        <v>804</v>
      </c>
    </row>
    <row r="7125" ht="25" customHeight="1" spans="1:14">
      <c r="A7125" s="9" t="s">
        <v>231</v>
      </c>
      <c r="B7125" s="9" t="s">
        <v>229</v>
      </c>
      <c r="C7125" s="10">
        <v>46223</v>
      </c>
      <c r="D7125" s="15">
        <v>1.5611</v>
      </c>
      <c r="E7125" s="15">
        <v>1.5611</v>
      </c>
      <c r="F7125" s="15">
        <v>1.5611</v>
      </c>
      <c r="G7125" s="11">
        <v>0.0006</v>
      </c>
      <c r="H7125" s="9">
        <f>MAX($F$6211:F7125)</f>
        <v>1.5611</v>
      </c>
      <c r="I7125" s="11">
        <f t="shared" si="177"/>
        <v>0</v>
      </c>
      <c r="J7125" s="9">
        <f>MAX($F$7079:F7125)</f>
        <v>1.5611</v>
      </c>
      <c r="K7125" s="11">
        <f t="shared" si="175"/>
        <v>0</v>
      </c>
      <c r="L7125" s="9">
        <f>MAX($F$6779:F7125)</f>
        <v>1.5611</v>
      </c>
      <c r="M7125" s="11">
        <f t="shared" si="176"/>
        <v>0</v>
      </c>
      <c r="N7125" s="9" t="s">
        <v>804</v>
      </c>
    </row>
    <row r="7126" ht="25" customHeight="1" spans="1:14">
      <c r="A7126" s="9" t="s">
        <v>231</v>
      </c>
      <c r="B7126" s="9" t="s">
        <v>229</v>
      </c>
      <c r="C7126" s="10">
        <v>46225</v>
      </c>
      <c r="D7126" s="15">
        <v>1.5622</v>
      </c>
      <c r="E7126" s="15">
        <v>1.5622</v>
      </c>
      <c r="F7126" s="15">
        <v>1.5622</v>
      </c>
      <c r="G7126" s="11">
        <v>0.0007</v>
      </c>
      <c r="H7126" s="9">
        <f>MAX($F$6211:F7126)</f>
        <v>1.5622</v>
      </c>
      <c r="I7126" s="11">
        <f t="shared" si="177"/>
        <v>0</v>
      </c>
      <c r="J7126" s="9">
        <f>MAX($F$7079:F7126)</f>
        <v>1.5622</v>
      </c>
      <c r="K7126" s="11">
        <f t="shared" si="175"/>
        <v>0</v>
      </c>
      <c r="L7126" s="9">
        <f>MAX($F$6779:F7126)</f>
        <v>1.5622</v>
      </c>
      <c r="M7126" s="11">
        <f t="shared" si="176"/>
        <v>0</v>
      </c>
      <c r="N7126" s="9" t="s">
        <v>804</v>
      </c>
    </row>
    <row r="7127" ht="25" customHeight="1" spans="1:14">
      <c r="A7127" s="9" t="s">
        <v>231</v>
      </c>
      <c r="B7127" s="9" t="s">
        <v>229</v>
      </c>
      <c r="C7127" s="10">
        <v>46227</v>
      </c>
      <c r="D7127" s="15">
        <v>1.5642</v>
      </c>
      <c r="E7127" s="15">
        <v>1.5642</v>
      </c>
      <c r="F7127" s="15">
        <v>1.5642</v>
      </c>
      <c r="G7127" s="11">
        <v>0.0013</v>
      </c>
      <c r="H7127" s="9">
        <f>MAX($F$6211:F7127)</f>
        <v>1.5642</v>
      </c>
      <c r="I7127" s="11">
        <f t="shared" si="177"/>
        <v>0</v>
      </c>
      <c r="J7127" s="9">
        <f>MAX($F$7079:F7127)</f>
        <v>1.5642</v>
      </c>
      <c r="K7127" s="11">
        <f t="shared" si="175"/>
        <v>0</v>
      </c>
      <c r="L7127" s="9">
        <f>MAX($F$6779:F7127)</f>
        <v>1.5642</v>
      </c>
      <c r="M7127" s="11">
        <f t="shared" si="176"/>
        <v>0</v>
      </c>
      <c r="N7127" s="9" t="s">
        <v>804</v>
      </c>
    </row>
    <row r="7128" ht="25" customHeight="1" spans="1:14">
      <c r="A7128" s="9" t="s">
        <v>231</v>
      </c>
      <c r="B7128" s="9" t="s">
        <v>229</v>
      </c>
      <c r="C7128" s="10">
        <v>46230</v>
      </c>
      <c r="D7128" s="15">
        <v>1.5656</v>
      </c>
      <c r="E7128" s="15">
        <v>1.5656</v>
      </c>
      <c r="F7128" s="15">
        <v>1.5656</v>
      </c>
      <c r="G7128" s="11">
        <v>0.0009</v>
      </c>
      <c r="H7128" s="9">
        <f>MAX($F$6211:F7128)</f>
        <v>1.5656</v>
      </c>
      <c r="I7128" s="11">
        <f t="shared" si="177"/>
        <v>0</v>
      </c>
      <c r="J7128" s="9">
        <f>MAX($F$7079:F7128)</f>
        <v>1.5656</v>
      </c>
      <c r="K7128" s="11">
        <f t="shared" si="175"/>
        <v>0</v>
      </c>
      <c r="L7128" s="9">
        <f>MAX($F$6779:F7128)</f>
        <v>1.5656</v>
      </c>
      <c r="M7128" s="11">
        <f t="shared" si="176"/>
        <v>0</v>
      </c>
      <c r="N7128" s="9" t="s">
        <v>804</v>
      </c>
    </row>
    <row r="7129" ht="25" customHeight="1" spans="1:14">
      <c r="A7129" s="9" t="s">
        <v>231</v>
      </c>
      <c r="B7129" s="9" t="s">
        <v>229</v>
      </c>
      <c r="C7129" s="10">
        <v>46232</v>
      </c>
      <c r="D7129" s="15">
        <v>1.5669</v>
      </c>
      <c r="E7129" s="15">
        <v>1.5669</v>
      </c>
      <c r="F7129" s="15">
        <v>1.5669</v>
      </c>
      <c r="G7129" s="11">
        <v>0.0008</v>
      </c>
      <c r="H7129" s="9">
        <f>MAX($F$6211:F7129)</f>
        <v>1.5669</v>
      </c>
      <c r="I7129" s="11">
        <f t="shared" si="177"/>
        <v>0</v>
      </c>
      <c r="J7129" s="9">
        <f>MAX($F$7079:F7129)</f>
        <v>1.5669</v>
      </c>
      <c r="K7129" s="11">
        <f t="shared" si="175"/>
        <v>0</v>
      </c>
      <c r="L7129" s="9">
        <f>MAX($F$6779:F7129)</f>
        <v>1.5669</v>
      </c>
      <c r="M7129" s="11">
        <f t="shared" si="176"/>
        <v>0</v>
      </c>
      <c r="N7129" s="9" t="s">
        <v>804</v>
      </c>
    </row>
    <row r="7130" ht="25" customHeight="1" spans="1:14">
      <c r="A7130" s="9" t="s">
        <v>231</v>
      </c>
      <c r="B7130" s="9" t="s">
        <v>229</v>
      </c>
      <c r="C7130" s="10">
        <v>46234</v>
      </c>
      <c r="D7130" s="15">
        <v>1.5688</v>
      </c>
      <c r="E7130" s="15">
        <v>1.5688</v>
      </c>
      <c r="F7130" s="15">
        <v>1.5688</v>
      </c>
      <c r="G7130" s="11">
        <v>0.0012</v>
      </c>
      <c r="H7130" s="9">
        <f>MAX($F$6211:F7130)</f>
        <v>1.5688</v>
      </c>
      <c r="I7130" s="11">
        <f t="shared" si="177"/>
        <v>0</v>
      </c>
      <c r="J7130" s="9">
        <f>MAX($F$7079:F7130)</f>
        <v>1.5688</v>
      </c>
      <c r="K7130" s="11">
        <f t="shared" si="175"/>
        <v>0</v>
      </c>
      <c r="L7130" s="9">
        <f>MAX($F$6779:F7130)</f>
        <v>1.5688</v>
      </c>
      <c r="M7130" s="11">
        <f t="shared" si="176"/>
        <v>0</v>
      </c>
      <c r="N7130" s="9" t="s">
        <v>804</v>
      </c>
    </row>
    <row r="7131" ht="25" customHeight="1" spans="1:14">
      <c r="A7131" s="9" t="s">
        <v>231</v>
      </c>
      <c r="B7131" s="9" t="s">
        <v>229</v>
      </c>
      <c r="C7131" s="10">
        <v>46237</v>
      </c>
      <c r="D7131" s="15">
        <v>1.57</v>
      </c>
      <c r="E7131" s="15">
        <v>1.57</v>
      </c>
      <c r="F7131" s="15">
        <v>1.57</v>
      </c>
      <c r="G7131" s="11">
        <v>0.0008</v>
      </c>
      <c r="H7131" s="9">
        <f>MAX($F$6211:F7131)</f>
        <v>1.57</v>
      </c>
      <c r="I7131" s="11">
        <f t="shared" si="177"/>
        <v>0</v>
      </c>
      <c r="J7131" s="9">
        <f>MAX($F$7079:F7131)</f>
        <v>1.57</v>
      </c>
      <c r="K7131" s="11">
        <f t="shared" si="175"/>
        <v>0</v>
      </c>
      <c r="L7131" s="9">
        <f>MAX($F$6779:F7131)</f>
        <v>1.57</v>
      </c>
      <c r="M7131" s="11">
        <f t="shared" si="176"/>
        <v>0</v>
      </c>
      <c r="N7131" s="9" t="s">
        <v>804</v>
      </c>
    </row>
    <row r="7132" ht="25" customHeight="1" spans="1:14">
      <c r="A7132" s="9" t="s">
        <v>231</v>
      </c>
      <c r="B7132" s="9" t="s">
        <v>229</v>
      </c>
      <c r="C7132" s="10">
        <v>46239</v>
      </c>
      <c r="D7132" s="15">
        <v>1.5708</v>
      </c>
      <c r="E7132" s="15">
        <v>1.5708</v>
      </c>
      <c r="F7132" s="15">
        <v>1.5708</v>
      </c>
      <c r="G7132" s="11">
        <v>0.0005</v>
      </c>
      <c r="H7132" s="9">
        <f>MAX($F$6211:F7132)</f>
        <v>1.5708</v>
      </c>
      <c r="I7132" s="11">
        <f t="shared" si="177"/>
        <v>0</v>
      </c>
      <c r="J7132" s="9">
        <f>MAX($F$7079:F7132)</f>
        <v>1.5708</v>
      </c>
      <c r="K7132" s="11">
        <f t="shared" si="175"/>
        <v>0</v>
      </c>
      <c r="L7132" s="9">
        <f>MAX($F$6779:F7132)</f>
        <v>1.5708</v>
      </c>
      <c r="M7132" s="11">
        <f t="shared" si="176"/>
        <v>0</v>
      </c>
      <c r="N7132" s="9" t="s">
        <v>804</v>
      </c>
    </row>
    <row r="7133" ht="25" customHeight="1" spans="1:14">
      <c r="A7133" s="9" t="s">
        <v>231</v>
      </c>
      <c r="B7133" s="9" t="s">
        <v>229</v>
      </c>
      <c r="C7133" s="10">
        <v>46241</v>
      </c>
      <c r="D7133" s="15">
        <v>1.5723</v>
      </c>
      <c r="E7133" s="15">
        <v>1.5723</v>
      </c>
      <c r="F7133" s="15">
        <v>1.5723</v>
      </c>
      <c r="G7133" s="11">
        <v>0.001</v>
      </c>
      <c r="H7133" s="9">
        <f>MAX($F$6211:F7133)</f>
        <v>1.5723</v>
      </c>
      <c r="I7133" s="11">
        <f t="shared" si="177"/>
        <v>0</v>
      </c>
      <c r="J7133" s="9">
        <f>MAX($F$7079:F7133)</f>
        <v>1.5723</v>
      </c>
      <c r="K7133" s="11">
        <f t="shared" si="175"/>
        <v>0</v>
      </c>
      <c r="L7133" s="9">
        <f>MAX($F$6779:F7133)</f>
        <v>1.5723</v>
      </c>
      <c r="M7133" s="11">
        <f t="shared" si="176"/>
        <v>0</v>
      </c>
      <c r="N7133" s="9" t="s">
        <v>804</v>
      </c>
    </row>
    <row r="7134" ht="25" customHeight="1" spans="1:14">
      <c r="A7134" s="9" t="s">
        <v>231</v>
      </c>
      <c r="B7134" s="9" t="s">
        <v>229</v>
      </c>
      <c r="C7134" s="10">
        <v>46244</v>
      </c>
      <c r="D7134" s="15">
        <v>1.5723</v>
      </c>
      <c r="E7134" s="15">
        <v>1.5723</v>
      </c>
      <c r="F7134" s="15">
        <v>1.5723</v>
      </c>
      <c r="G7134" s="11">
        <v>0</v>
      </c>
      <c r="H7134" s="9">
        <f>MAX($F$6211:F7134)</f>
        <v>1.5723</v>
      </c>
      <c r="I7134" s="11">
        <f t="shared" si="177"/>
        <v>0</v>
      </c>
      <c r="J7134" s="9">
        <f>MAX($F$7079:F7134)</f>
        <v>1.5723</v>
      </c>
      <c r="K7134" s="11">
        <f t="shared" si="175"/>
        <v>0</v>
      </c>
      <c r="L7134" s="9">
        <f>MAX($F$6779:F7134)</f>
        <v>1.5723</v>
      </c>
      <c r="M7134" s="11">
        <f t="shared" si="176"/>
        <v>0</v>
      </c>
      <c r="N7134" s="9" t="s">
        <v>804</v>
      </c>
    </row>
    <row r="7135" ht="25" customHeight="1" spans="1:14">
      <c r="A7135" s="9" t="s">
        <v>231</v>
      </c>
      <c r="B7135" s="9" t="s">
        <v>229</v>
      </c>
      <c r="C7135" s="10">
        <v>46246</v>
      </c>
      <c r="D7135" s="15">
        <v>1.5735</v>
      </c>
      <c r="E7135" s="15">
        <v>1.5735</v>
      </c>
      <c r="F7135" s="15">
        <v>1.5735</v>
      </c>
      <c r="G7135" s="11">
        <v>0.0008</v>
      </c>
      <c r="H7135" s="9">
        <f>MAX($F$6211:F7135)</f>
        <v>1.5735</v>
      </c>
      <c r="I7135" s="11">
        <f t="shared" si="177"/>
        <v>0</v>
      </c>
      <c r="J7135" s="9">
        <f>MAX($F$7079:F7135)</f>
        <v>1.5735</v>
      </c>
      <c r="K7135" s="11">
        <f t="shared" si="175"/>
        <v>0</v>
      </c>
      <c r="L7135" s="9">
        <f>MAX($F$6779:F7135)</f>
        <v>1.5735</v>
      </c>
      <c r="M7135" s="11">
        <f t="shared" si="176"/>
        <v>0</v>
      </c>
      <c r="N7135" s="9" t="s">
        <v>804</v>
      </c>
    </row>
    <row r="7136" ht="25" customHeight="1" spans="1:14">
      <c r="A7136" s="9" t="s">
        <v>231</v>
      </c>
      <c r="B7136" s="9" t="s">
        <v>229</v>
      </c>
      <c r="C7136" s="10">
        <v>46248</v>
      </c>
      <c r="D7136" s="15">
        <v>1.5747</v>
      </c>
      <c r="E7136" s="15">
        <v>1.5747</v>
      </c>
      <c r="F7136" s="15">
        <v>1.5747</v>
      </c>
      <c r="G7136" s="11">
        <v>0.0008</v>
      </c>
      <c r="H7136" s="9">
        <f>MAX($F$6211:F7136)</f>
        <v>1.5747</v>
      </c>
      <c r="I7136" s="11">
        <f t="shared" si="177"/>
        <v>0</v>
      </c>
      <c r="J7136" s="9">
        <f>MAX($F$7079:F7136)</f>
        <v>1.5747</v>
      </c>
      <c r="K7136" s="11">
        <f t="shared" si="175"/>
        <v>0</v>
      </c>
      <c r="L7136" s="9">
        <f>MAX($F$6779:F7136)</f>
        <v>1.5747</v>
      </c>
      <c r="M7136" s="11">
        <f t="shared" si="176"/>
        <v>0</v>
      </c>
      <c r="N7136" s="9" t="s">
        <v>804</v>
      </c>
    </row>
    <row r="7137" ht="25" customHeight="1" spans="1:14">
      <c r="A7137" s="9" t="s">
        <v>231</v>
      </c>
      <c r="B7137" s="9" t="s">
        <v>229</v>
      </c>
      <c r="C7137" s="10">
        <v>46251</v>
      </c>
      <c r="D7137" s="15">
        <v>1.5751</v>
      </c>
      <c r="E7137" s="15">
        <v>1.5751</v>
      </c>
      <c r="F7137" s="15">
        <v>1.5751</v>
      </c>
      <c r="G7137" s="11">
        <v>0.0003</v>
      </c>
      <c r="H7137" s="9">
        <f>MAX($F$6211:F7137)</f>
        <v>1.5751</v>
      </c>
      <c r="I7137" s="11">
        <f t="shared" si="177"/>
        <v>0</v>
      </c>
      <c r="J7137" s="9">
        <f>MAX($F$7079:F7137)</f>
        <v>1.5751</v>
      </c>
      <c r="K7137" s="11">
        <f t="shared" si="175"/>
        <v>0</v>
      </c>
      <c r="L7137" s="9">
        <f>MAX($F$6779:F7137)</f>
        <v>1.5751</v>
      </c>
      <c r="M7137" s="11">
        <f t="shared" si="176"/>
        <v>0</v>
      </c>
      <c r="N7137" s="9" t="s">
        <v>804</v>
      </c>
    </row>
    <row r="7138" ht="25" customHeight="1" spans="1:14">
      <c r="A7138" s="9" t="s">
        <v>231</v>
      </c>
      <c r="B7138" s="9" t="s">
        <v>229</v>
      </c>
      <c r="C7138" s="10">
        <v>46253</v>
      </c>
      <c r="D7138" s="15">
        <v>1.5763</v>
      </c>
      <c r="E7138" s="15">
        <v>1.5763</v>
      </c>
      <c r="F7138" s="15">
        <v>1.5763</v>
      </c>
      <c r="G7138" s="11">
        <v>0.0008</v>
      </c>
      <c r="H7138" s="9">
        <f>MAX($F$6211:F7138)</f>
        <v>1.5763</v>
      </c>
      <c r="I7138" s="11">
        <f t="shared" si="177"/>
        <v>0</v>
      </c>
      <c r="J7138" s="9">
        <f>MAX($F$7079:F7138)</f>
        <v>1.5763</v>
      </c>
      <c r="K7138" s="11">
        <f t="shared" si="175"/>
        <v>0</v>
      </c>
      <c r="L7138" s="9">
        <f>MAX($F$6779:F7138)</f>
        <v>1.5763</v>
      </c>
      <c r="M7138" s="11">
        <f t="shared" si="176"/>
        <v>0</v>
      </c>
      <c r="N7138" s="9" t="s">
        <v>804</v>
      </c>
    </row>
    <row r="7139" ht="25" customHeight="1" spans="1:14">
      <c r="A7139" s="9" t="s">
        <v>231</v>
      </c>
      <c r="B7139" s="9" t="s">
        <v>229</v>
      </c>
      <c r="C7139" s="10">
        <v>46255</v>
      </c>
      <c r="D7139" s="15">
        <v>1.5768</v>
      </c>
      <c r="E7139" s="15">
        <v>1.5768</v>
      </c>
      <c r="F7139" s="15">
        <v>1.5768</v>
      </c>
      <c r="G7139" s="11">
        <v>0.0003</v>
      </c>
      <c r="H7139" s="9">
        <f>MAX($F$6211:F7139)</f>
        <v>1.5768</v>
      </c>
      <c r="I7139" s="11">
        <f t="shared" si="177"/>
        <v>0</v>
      </c>
      <c r="J7139" s="9">
        <f>MAX($F$7079:F7139)</f>
        <v>1.5768</v>
      </c>
      <c r="K7139" s="11">
        <f t="shared" si="175"/>
        <v>0</v>
      </c>
      <c r="L7139" s="9">
        <f>MAX($F$6779:F7139)</f>
        <v>1.5768</v>
      </c>
      <c r="M7139" s="11">
        <f t="shared" si="176"/>
        <v>0</v>
      </c>
      <c r="N7139" s="9" t="s">
        <v>804</v>
      </c>
    </row>
    <row r="7140" ht="25" customHeight="1" spans="1:14">
      <c r="A7140" s="9" t="s">
        <v>231</v>
      </c>
      <c r="B7140" s="9" t="s">
        <v>229</v>
      </c>
      <c r="C7140" s="10">
        <v>46258</v>
      </c>
      <c r="D7140" s="15">
        <v>1.5768</v>
      </c>
      <c r="E7140" s="15">
        <v>1.5768</v>
      </c>
      <c r="F7140" s="15">
        <v>1.5768</v>
      </c>
      <c r="G7140" s="11">
        <v>0</v>
      </c>
      <c r="H7140" s="9">
        <f>MAX($F$6211:F7140)</f>
        <v>1.5768</v>
      </c>
      <c r="I7140" s="11">
        <f t="shared" si="177"/>
        <v>0</v>
      </c>
      <c r="J7140" s="9">
        <f>MAX($F$7079:F7140)</f>
        <v>1.5768</v>
      </c>
      <c r="K7140" s="11">
        <f t="shared" si="175"/>
        <v>0</v>
      </c>
      <c r="L7140" s="9">
        <f>MAX($F$6779:F7140)</f>
        <v>1.5768</v>
      </c>
      <c r="M7140" s="11">
        <f t="shared" si="176"/>
        <v>0</v>
      </c>
      <c r="N7140" s="9" t="s">
        <v>804</v>
      </c>
    </row>
    <row r="7141" ht="25" customHeight="1" spans="1:14">
      <c r="A7141" s="9" t="s">
        <v>231</v>
      </c>
      <c r="B7141" s="9" t="s">
        <v>229</v>
      </c>
      <c r="C7141" s="10">
        <v>46260</v>
      </c>
      <c r="D7141" s="15">
        <v>1.5779</v>
      </c>
      <c r="E7141" s="15">
        <v>1.5779</v>
      </c>
      <c r="F7141" s="15">
        <v>1.5779</v>
      </c>
      <c r="G7141" s="11">
        <v>0.0007</v>
      </c>
      <c r="H7141" s="9">
        <f>MAX($F$6211:F7141)</f>
        <v>1.5779</v>
      </c>
      <c r="I7141" s="11">
        <f t="shared" si="177"/>
        <v>0</v>
      </c>
      <c r="J7141" s="9">
        <f>MAX($F$7079:F7141)</f>
        <v>1.5779</v>
      </c>
      <c r="K7141" s="11">
        <f t="shared" si="175"/>
        <v>0</v>
      </c>
      <c r="L7141" s="9">
        <f>MAX($F$6779:F7141)</f>
        <v>1.5779</v>
      </c>
      <c r="M7141" s="11">
        <f t="shared" si="176"/>
        <v>0</v>
      </c>
      <c r="N7141" s="9" t="s">
        <v>804</v>
      </c>
    </row>
    <row r="7142" ht="25" customHeight="1" spans="1:14">
      <c r="A7142" s="9" t="s">
        <v>231</v>
      </c>
      <c r="B7142" s="9" t="s">
        <v>229</v>
      </c>
      <c r="C7142" s="10">
        <v>46262</v>
      </c>
      <c r="D7142" s="15">
        <v>1.5784</v>
      </c>
      <c r="E7142" s="15">
        <v>1.5784</v>
      </c>
      <c r="F7142" s="15">
        <v>1.5784</v>
      </c>
      <c r="G7142" s="11">
        <v>0.0003</v>
      </c>
      <c r="H7142" s="9">
        <f>MAX($F$6211:F7142)</f>
        <v>1.5784</v>
      </c>
      <c r="I7142" s="11">
        <f t="shared" si="177"/>
        <v>0</v>
      </c>
      <c r="J7142" s="9">
        <f>MAX($F$7079:F7142)</f>
        <v>1.5784</v>
      </c>
      <c r="K7142" s="11">
        <f t="shared" si="175"/>
        <v>0</v>
      </c>
      <c r="L7142" s="9">
        <f>MAX($F$6779:F7142)</f>
        <v>1.5784</v>
      </c>
      <c r="M7142" s="11">
        <f t="shared" si="176"/>
        <v>0</v>
      </c>
      <c r="N7142" s="9" t="s">
        <v>804</v>
      </c>
    </row>
    <row r="7143" ht="25" customHeight="1" spans="1:14">
      <c r="A7143" s="9" t="s">
        <v>231</v>
      </c>
      <c r="B7143" s="9" t="s">
        <v>229</v>
      </c>
      <c r="C7143" s="10">
        <v>46265</v>
      </c>
      <c r="D7143" s="15">
        <v>1.5806</v>
      </c>
      <c r="E7143" s="15">
        <v>1.5806</v>
      </c>
      <c r="F7143" s="15">
        <v>1.5806</v>
      </c>
      <c r="G7143" s="11">
        <v>0.0014</v>
      </c>
      <c r="H7143" s="9">
        <f>MAX($F$6211:F7143)</f>
        <v>1.5806</v>
      </c>
      <c r="I7143" s="11">
        <f t="shared" si="177"/>
        <v>0</v>
      </c>
      <c r="J7143" s="9">
        <f>MAX($F$7079:F7143)</f>
        <v>1.5806</v>
      </c>
      <c r="K7143" s="11">
        <f>1-F7143/J7143</f>
        <v>0</v>
      </c>
      <c r="L7143" s="9">
        <f>MAX($F$6779:F7143)</f>
        <v>1.5806</v>
      </c>
      <c r="M7143" s="11">
        <f t="shared" si="176"/>
        <v>0</v>
      </c>
      <c r="N7143" s="9" t="s">
        <v>804</v>
      </c>
    </row>
    <row r="7144" ht="25" customHeight="1" spans="1:14">
      <c r="A7144" s="9" t="s">
        <v>343</v>
      </c>
      <c r="B7144" s="9" t="s">
        <v>342</v>
      </c>
      <c r="C7144" s="10">
        <v>46022</v>
      </c>
      <c r="D7144" s="15">
        <v>1.28</v>
      </c>
      <c r="E7144" s="15">
        <v>1.28</v>
      </c>
      <c r="F7144" s="15">
        <v>1.28</v>
      </c>
      <c r="G7144" s="11"/>
      <c r="H7144" s="9">
        <f>MAX($F$7144:F7144)</f>
        <v>1.28</v>
      </c>
      <c r="I7144" s="11">
        <f t="shared" si="177"/>
        <v>0</v>
      </c>
      <c r="J7144" s="9"/>
      <c r="K7144" s="11"/>
      <c r="L7144" s="9"/>
      <c r="M7144" s="11"/>
      <c r="N7144" s="9" t="s">
        <v>1015</v>
      </c>
    </row>
    <row r="7145" ht="25" customHeight="1" spans="1:14">
      <c r="A7145" s="9" t="s">
        <v>343</v>
      </c>
      <c r="B7145" s="9" t="s">
        <v>342</v>
      </c>
      <c r="C7145" s="10">
        <v>46027</v>
      </c>
      <c r="D7145" s="15">
        <v>1.278</v>
      </c>
      <c r="E7145" s="15">
        <v>1.278</v>
      </c>
      <c r="F7145" s="15">
        <v>1.278</v>
      </c>
      <c r="G7145" s="11">
        <v>-0.0016</v>
      </c>
      <c r="H7145" s="9">
        <f>MAX($F$7144:F7145)</f>
        <v>1.28</v>
      </c>
      <c r="I7145" s="11">
        <f t="shared" si="177"/>
        <v>0.00156250000000002</v>
      </c>
      <c r="J7145" s="9"/>
      <c r="K7145" s="11"/>
      <c r="L7145" s="9"/>
      <c r="M7145" s="11"/>
      <c r="N7145" s="9" t="s">
        <v>1015</v>
      </c>
    </row>
    <row r="7146" ht="25" customHeight="1" spans="1:14">
      <c r="A7146" s="9" t="s">
        <v>343</v>
      </c>
      <c r="B7146" s="9" t="s">
        <v>342</v>
      </c>
      <c r="C7146" s="10">
        <v>46028</v>
      </c>
      <c r="D7146" s="15">
        <v>1.275</v>
      </c>
      <c r="E7146" s="15">
        <v>1.275</v>
      </c>
      <c r="F7146" s="15">
        <v>1.275</v>
      </c>
      <c r="G7146" s="11">
        <v>-0.0023</v>
      </c>
      <c r="H7146" s="9">
        <f>MAX($F$7144:F7146)</f>
        <v>1.28</v>
      </c>
      <c r="I7146" s="11">
        <f t="shared" si="177"/>
        <v>0.00390625000000011</v>
      </c>
      <c r="J7146" s="9"/>
      <c r="K7146" s="11"/>
      <c r="L7146" s="9"/>
      <c r="M7146" s="11"/>
      <c r="N7146" s="9" t="s">
        <v>1015</v>
      </c>
    </row>
    <row r="7147" ht="25" customHeight="1" spans="1:14">
      <c r="A7147" s="9" t="s">
        <v>343</v>
      </c>
      <c r="B7147" s="9" t="s">
        <v>342</v>
      </c>
      <c r="C7147" s="10">
        <v>46029</v>
      </c>
      <c r="D7147" s="15">
        <v>1.276</v>
      </c>
      <c r="E7147" s="15">
        <v>1.276</v>
      </c>
      <c r="F7147" s="15">
        <v>1.276</v>
      </c>
      <c r="G7147" s="11">
        <v>0.0008</v>
      </c>
      <c r="H7147" s="9">
        <f>MAX($F$7144:F7147)</f>
        <v>1.28</v>
      </c>
      <c r="I7147" s="11">
        <f t="shared" si="177"/>
        <v>0.00312500000000004</v>
      </c>
      <c r="J7147" s="9"/>
      <c r="K7147" s="11"/>
      <c r="L7147" s="9"/>
      <c r="M7147" s="11"/>
      <c r="N7147" s="9" t="s">
        <v>1015</v>
      </c>
    </row>
    <row r="7148" ht="25" customHeight="1" spans="1:14">
      <c r="A7148" s="9" t="s">
        <v>343</v>
      </c>
      <c r="B7148" s="9" t="s">
        <v>342</v>
      </c>
      <c r="C7148" s="10">
        <v>46030</v>
      </c>
      <c r="D7148" s="15">
        <v>1.277</v>
      </c>
      <c r="E7148" s="15">
        <v>1.277</v>
      </c>
      <c r="F7148" s="15">
        <v>1.277</v>
      </c>
      <c r="G7148" s="11">
        <v>0.0008</v>
      </c>
      <c r="H7148" s="9">
        <f>MAX($F$7144:F7148)</f>
        <v>1.28</v>
      </c>
      <c r="I7148" s="11">
        <f t="shared" si="177"/>
        <v>0.00234375000000009</v>
      </c>
      <c r="J7148" s="9"/>
      <c r="K7148" s="11"/>
      <c r="L7148" s="9"/>
      <c r="M7148" s="11"/>
      <c r="N7148" s="9" t="s">
        <v>1015</v>
      </c>
    </row>
    <row r="7149" ht="25" customHeight="1" spans="1:14">
      <c r="A7149" s="9" t="s">
        <v>343</v>
      </c>
      <c r="B7149" s="9" t="s">
        <v>342</v>
      </c>
      <c r="C7149" s="10">
        <v>46031</v>
      </c>
      <c r="D7149" s="15">
        <v>1.277</v>
      </c>
      <c r="E7149" s="15">
        <v>1.277</v>
      </c>
      <c r="F7149" s="15">
        <v>1.277</v>
      </c>
      <c r="G7149" s="11">
        <v>0</v>
      </c>
      <c r="H7149" s="9">
        <f>MAX($F$7144:F7149)</f>
        <v>1.28</v>
      </c>
      <c r="I7149" s="11">
        <f t="shared" si="177"/>
        <v>0.00234375000000009</v>
      </c>
      <c r="J7149" s="9"/>
      <c r="K7149" s="11"/>
      <c r="L7149" s="9"/>
      <c r="M7149" s="11"/>
      <c r="N7149" s="9" t="s">
        <v>1015</v>
      </c>
    </row>
    <row r="7150" ht="25" customHeight="1" spans="1:14">
      <c r="A7150" s="9" t="s">
        <v>343</v>
      </c>
      <c r="B7150" s="9" t="s">
        <v>342</v>
      </c>
      <c r="C7150" s="10">
        <v>46034</v>
      </c>
      <c r="D7150" s="15">
        <v>1.277</v>
      </c>
      <c r="E7150" s="15">
        <v>1.277</v>
      </c>
      <c r="F7150" s="15">
        <v>1.277</v>
      </c>
      <c r="G7150" s="11">
        <v>0</v>
      </c>
      <c r="H7150" s="9">
        <f>MAX($F$7144:F7150)</f>
        <v>1.28</v>
      </c>
      <c r="I7150" s="11">
        <f t="shared" si="177"/>
        <v>0.00234375000000009</v>
      </c>
      <c r="J7150" s="9"/>
      <c r="K7150" s="11"/>
      <c r="L7150" s="9"/>
      <c r="M7150" s="11"/>
      <c r="N7150" s="9" t="s">
        <v>1015</v>
      </c>
    </row>
    <row r="7151" ht="25" customHeight="1" spans="1:14">
      <c r="A7151" s="9" t="s">
        <v>343</v>
      </c>
      <c r="B7151" s="9" t="s">
        <v>342</v>
      </c>
      <c r="C7151" s="10">
        <v>46035</v>
      </c>
      <c r="D7151" s="15">
        <v>1.28</v>
      </c>
      <c r="E7151" s="15">
        <v>1.28</v>
      </c>
      <c r="F7151" s="15">
        <v>1.28</v>
      </c>
      <c r="G7151" s="11">
        <v>0.0023</v>
      </c>
      <c r="H7151" s="9">
        <f>MAX($F$7144:F7151)</f>
        <v>1.28</v>
      </c>
      <c r="I7151" s="11">
        <f t="shared" si="177"/>
        <v>0</v>
      </c>
      <c r="J7151" s="9"/>
      <c r="K7151" s="11"/>
      <c r="L7151" s="9"/>
      <c r="M7151" s="11"/>
      <c r="N7151" s="9" t="s">
        <v>1015</v>
      </c>
    </row>
    <row r="7152" ht="25" customHeight="1" spans="1:14">
      <c r="A7152" s="9" t="s">
        <v>343</v>
      </c>
      <c r="B7152" s="9" t="s">
        <v>342</v>
      </c>
      <c r="C7152" s="10">
        <v>46036</v>
      </c>
      <c r="D7152" s="15">
        <v>1.253</v>
      </c>
      <c r="E7152" s="15">
        <v>1.253</v>
      </c>
      <c r="F7152" s="15">
        <v>1.253</v>
      </c>
      <c r="G7152" s="11">
        <v>-0.0211</v>
      </c>
      <c r="H7152" s="9">
        <f>MAX($F$7144:F7152)</f>
        <v>1.28</v>
      </c>
      <c r="I7152" s="11">
        <f t="shared" si="177"/>
        <v>0.0210937500000001</v>
      </c>
      <c r="J7152" s="9"/>
      <c r="K7152" s="11"/>
      <c r="L7152" s="9"/>
      <c r="M7152" s="11"/>
      <c r="N7152" s="9" t="s">
        <v>1015</v>
      </c>
    </row>
    <row r="7153" ht="25" customHeight="1" spans="1:14">
      <c r="A7153" s="9" t="s">
        <v>343</v>
      </c>
      <c r="B7153" s="9" t="s">
        <v>342</v>
      </c>
      <c r="C7153" s="10">
        <v>46037</v>
      </c>
      <c r="D7153" s="15">
        <v>1.252</v>
      </c>
      <c r="E7153" s="15">
        <v>1.252</v>
      </c>
      <c r="F7153" s="15">
        <v>1.252</v>
      </c>
      <c r="G7153" s="11">
        <v>-0.0008</v>
      </c>
      <c r="H7153" s="9">
        <f>MAX($F$7144:F7153)</f>
        <v>1.28</v>
      </c>
      <c r="I7153" s="11">
        <f t="shared" si="177"/>
        <v>0.021875</v>
      </c>
      <c r="J7153" s="9"/>
      <c r="K7153" s="11"/>
      <c r="L7153" s="9"/>
      <c r="M7153" s="11"/>
      <c r="N7153" s="9" t="s">
        <v>1015</v>
      </c>
    </row>
    <row r="7154" ht="25" customHeight="1" spans="1:14">
      <c r="A7154" s="9" t="s">
        <v>343</v>
      </c>
      <c r="B7154" s="9" t="s">
        <v>342</v>
      </c>
      <c r="C7154" s="10">
        <v>46038</v>
      </c>
      <c r="D7154" s="15">
        <v>1.262</v>
      </c>
      <c r="E7154" s="15">
        <v>1.262</v>
      </c>
      <c r="F7154" s="15">
        <v>1.262</v>
      </c>
      <c r="G7154" s="11">
        <v>0.008</v>
      </c>
      <c r="H7154" s="9">
        <f>MAX($F$7144:F7154)</f>
        <v>1.28</v>
      </c>
      <c r="I7154" s="11">
        <f t="shared" si="177"/>
        <v>0.0140625</v>
      </c>
      <c r="J7154" s="9"/>
      <c r="K7154" s="11"/>
      <c r="L7154" s="9"/>
      <c r="M7154" s="11"/>
      <c r="N7154" s="9" t="s">
        <v>1015</v>
      </c>
    </row>
    <row r="7155" ht="25" customHeight="1" spans="1:14">
      <c r="A7155" s="9" t="s">
        <v>343</v>
      </c>
      <c r="B7155" s="9" t="s">
        <v>342</v>
      </c>
      <c r="C7155" s="10">
        <v>46041</v>
      </c>
      <c r="D7155" s="15">
        <v>1.262</v>
      </c>
      <c r="E7155" s="15">
        <v>1.262</v>
      </c>
      <c r="F7155" s="15">
        <v>1.262</v>
      </c>
      <c r="G7155" s="11">
        <v>0</v>
      </c>
      <c r="H7155" s="9">
        <f>MAX($F$7144:F7155)</f>
        <v>1.28</v>
      </c>
      <c r="I7155" s="11">
        <f t="shared" si="177"/>
        <v>0.0140625</v>
      </c>
      <c r="J7155" s="9"/>
      <c r="K7155" s="11"/>
      <c r="L7155" s="9"/>
      <c r="M7155" s="11"/>
      <c r="N7155" s="9" t="s">
        <v>1015</v>
      </c>
    </row>
    <row r="7156" ht="25" customHeight="1" spans="1:14">
      <c r="A7156" s="9" t="s">
        <v>343</v>
      </c>
      <c r="B7156" s="9" t="s">
        <v>342</v>
      </c>
      <c r="C7156" s="10">
        <v>46042</v>
      </c>
      <c r="D7156" s="15">
        <v>1.262</v>
      </c>
      <c r="E7156" s="15">
        <v>1.262</v>
      </c>
      <c r="F7156" s="15">
        <v>1.262</v>
      </c>
      <c r="G7156" s="11">
        <v>0</v>
      </c>
      <c r="H7156" s="9">
        <f>MAX($F$7144:F7156)</f>
        <v>1.28</v>
      </c>
      <c r="I7156" s="11">
        <f t="shared" si="177"/>
        <v>0.0140625</v>
      </c>
      <c r="J7156" s="9"/>
      <c r="K7156" s="11"/>
      <c r="L7156" s="9"/>
      <c r="M7156" s="11"/>
      <c r="N7156" s="9" t="s">
        <v>1015</v>
      </c>
    </row>
    <row r="7157" ht="25" customHeight="1" spans="1:14">
      <c r="A7157" s="9" t="s">
        <v>343</v>
      </c>
      <c r="B7157" s="9" t="s">
        <v>342</v>
      </c>
      <c r="C7157" s="10">
        <v>46043</v>
      </c>
      <c r="D7157" s="15">
        <v>1.262</v>
      </c>
      <c r="E7157" s="15">
        <v>1.262</v>
      </c>
      <c r="F7157" s="15">
        <v>1.262</v>
      </c>
      <c r="G7157" s="11">
        <v>0</v>
      </c>
      <c r="H7157" s="9">
        <f>MAX($F$7144:F7157)</f>
        <v>1.28</v>
      </c>
      <c r="I7157" s="11">
        <f t="shared" si="177"/>
        <v>0.0140625</v>
      </c>
      <c r="J7157" s="9"/>
      <c r="K7157" s="11"/>
      <c r="L7157" s="9"/>
      <c r="M7157" s="11"/>
      <c r="N7157" s="9" t="s">
        <v>1015</v>
      </c>
    </row>
    <row r="7158" ht="25" customHeight="1" spans="1:14">
      <c r="A7158" s="9" t="s">
        <v>343</v>
      </c>
      <c r="B7158" s="9" t="s">
        <v>342</v>
      </c>
      <c r="C7158" s="10">
        <v>46044</v>
      </c>
      <c r="D7158" s="15">
        <v>1.262</v>
      </c>
      <c r="E7158" s="15">
        <v>1.262</v>
      </c>
      <c r="F7158" s="15">
        <v>1.262</v>
      </c>
      <c r="G7158" s="11">
        <v>0</v>
      </c>
      <c r="H7158" s="9">
        <f>MAX($F$7144:F7158)</f>
        <v>1.28</v>
      </c>
      <c r="I7158" s="11">
        <f t="shared" si="177"/>
        <v>0.0140625</v>
      </c>
      <c r="J7158" s="9"/>
      <c r="K7158" s="11"/>
      <c r="L7158" s="9"/>
      <c r="M7158" s="11"/>
      <c r="N7158" s="9" t="s">
        <v>1015</v>
      </c>
    </row>
    <row r="7159" ht="25" customHeight="1" spans="1:14">
      <c r="A7159" s="9" t="s">
        <v>343</v>
      </c>
      <c r="B7159" s="9" t="s">
        <v>342</v>
      </c>
      <c r="C7159" s="10">
        <v>46045</v>
      </c>
      <c r="D7159" s="15">
        <v>1.262</v>
      </c>
      <c r="E7159" s="15">
        <v>1.262</v>
      </c>
      <c r="F7159" s="15">
        <v>1.262</v>
      </c>
      <c r="G7159" s="11">
        <v>0</v>
      </c>
      <c r="H7159" s="9">
        <f>MAX($F$7144:F7159)</f>
        <v>1.28</v>
      </c>
      <c r="I7159" s="11">
        <f t="shared" si="177"/>
        <v>0.0140625</v>
      </c>
      <c r="J7159" s="9"/>
      <c r="K7159" s="11"/>
      <c r="L7159" s="9"/>
      <c r="M7159" s="11"/>
      <c r="N7159" s="9" t="s">
        <v>1015</v>
      </c>
    </row>
    <row r="7160" ht="25" customHeight="1" spans="1:14">
      <c r="A7160" s="9" t="s">
        <v>343</v>
      </c>
      <c r="B7160" s="9" t="s">
        <v>342</v>
      </c>
      <c r="C7160" s="10">
        <v>46048</v>
      </c>
      <c r="D7160" s="15">
        <v>1.262</v>
      </c>
      <c r="E7160" s="15">
        <v>1.262</v>
      </c>
      <c r="F7160" s="15">
        <v>1.262</v>
      </c>
      <c r="G7160" s="11">
        <v>0</v>
      </c>
      <c r="H7160" s="9">
        <f>MAX($F$7144:F7160)</f>
        <v>1.28</v>
      </c>
      <c r="I7160" s="11">
        <f t="shared" si="177"/>
        <v>0.0140625</v>
      </c>
      <c r="J7160" s="9"/>
      <c r="K7160" s="11"/>
      <c r="L7160" s="9"/>
      <c r="M7160" s="11"/>
      <c r="N7160" s="9" t="s">
        <v>1015</v>
      </c>
    </row>
    <row r="7161" ht="25" customHeight="1" spans="1:14">
      <c r="A7161" s="9" t="s">
        <v>343</v>
      </c>
      <c r="B7161" s="9" t="s">
        <v>342</v>
      </c>
      <c r="C7161" s="10">
        <v>46049</v>
      </c>
      <c r="D7161" s="15">
        <v>1.264</v>
      </c>
      <c r="E7161" s="15">
        <v>1.264</v>
      </c>
      <c r="F7161" s="15">
        <v>1.264</v>
      </c>
      <c r="G7161" s="11">
        <v>0.0016</v>
      </c>
      <c r="H7161" s="9">
        <f>MAX($F$7144:F7161)</f>
        <v>1.28</v>
      </c>
      <c r="I7161" s="11">
        <f t="shared" si="177"/>
        <v>0.0125</v>
      </c>
      <c r="J7161" s="9"/>
      <c r="K7161" s="11"/>
      <c r="L7161" s="9"/>
      <c r="M7161" s="11"/>
      <c r="N7161" s="9" t="s">
        <v>1015</v>
      </c>
    </row>
    <row r="7162" ht="25" customHeight="1" spans="1:14">
      <c r="A7162" s="9" t="s">
        <v>343</v>
      </c>
      <c r="B7162" s="9" t="s">
        <v>342</v>
      </c>
      <c r="C7162" s="10">
        <v>46050</v>
      </c>
      <c r="D7162" s="15">
        <v>1.263</v>
      </c>
      <c r="E7162" s="15">
        <v>1.263</v>
      </c>
      <c r="F7162" s="15">
        <v>1.263</v>
      </c>
      <c r="G7162" s="11">
        <v>-0.0008</v>
      </c>
      <c r="H7162" s="9">
        <f>MAX($F$7144:F7162)</f>
        <v>1.28</v>
      </c>
      <c r="I7162" s="11">
        <f t="shared" si="177"/>
        <v>0.0132812500000001</v>
      </c>
      <c r="J7162" s="9"/>
      <c r="K7162" s="11"/>
      <c r="L7162" s="9"/>
      <c r="M7162" s="11"/>
      <c r="N7162" s="9" t="s">
        <v>1015</v>
      </c>
    </row>
    <row r="7163" ht="25" customHeight="1" spans="1:14">
      <c r="A7163" s="9" t="s">
        <v>343</v>
      </c>
      <c r="B7163" s="9" t="s">
        <v>342</v>
      </c>
      <c r="C7163" s="10">
        <v>46051</v>
      </c>
      <c r="D7163" s="15">
        <v>1.261</v>
      </c>
      <c r="E7163" s="15">
        <v>1.261</v>
      </c>
      <c r="F7163" s="15">
        <v>1.261</v>
      </c>
      <c r="G7163" s="11">
        <v>-0.0016</v>
      </c>
      <c r="H7163" s="9">
        <f>MAX($F$7144:F7163)</f>
        <v>1.28</v>
      </c>
      <c r="I7163" s="11">
        <f t="shared" si="177"/>
        <v>0.01484375</v>
      </c>
      <c r="J7163" s="9"/>
      <c r="K7163" s="11"/>
      <c r="L7163" s="9"/>
      <c r="M7163" s="11"/>
      <c r="N7163" s="9" t="s">
        <v>1015</v>
      </c>
    </row>
    <row r="7164" ht="25" customHeight="1" spans="1:14">
      <c r="A7164" s="9" t="s">
        <v>343</v>
      </c>
      <c r="B7164" s="9" t="s">
        <v>342</v>
      </c>
      <c r="C7164" s="10">
        <v>46052</v>
      </c>
      <c r="D7164" s="15">
        <v>1.264</v>
      </c>
      <c r="E7164" s="15">
        <v>1.264</v>
      </c>
      <c r="F7164" s="15">
        <v>1.264</v>
      </c>
      <c r="G7164" s="11">
        <v>0.0024</v>
      </c>
      <c r="H7164" s="9">
        <f>MAX($F$7144:F7164)</f>
        <v>1.28</v>
      </c>
      <c r="I7164" s="11">
        <f t="shared" si="177"/>
        <v>0.0125</v>
      </c>
      <c r="J7164" s="9"/>
      <c r="K7164" s="11"/>
      <c r="L7164" s="9"/>
      <c r="M7164" s="11"/>
      <c r="N7164" s="9" t="s">
        <v>1015</v>
      </c>
    </row>
    <row r="7165" ht="25" customHeight="1" spans="1:14">
      <c r="A7165" s="9" t="s">
        <v>343</v>
      </c>
      <c r="B7165" s="9" t="s">
        <v>342</v>
      </c>
      <c r="C7165" s="10">
        <v>46055</v>
      </c>
      <c r="D7165" s="15">
        <v>1.259</v>
      </c>
      <c r="E7165" s="15">
        <v>1.259</v>
      </c>
      <c r="F7165" s="15">
        <v>1.259</v>
      </c>
      <c r="G7165" s="11">
        <v>-0.004</v>
      </c>
      <c r="H7165" s="9">
        <f>MAX($F$7144:F7165)</f>
        <v>1.28</v>
      </c>
      <c r="I7165" s="11">
        <f t="shared" si="177"/>
        <v>0.0164062500000001</v>
      </c>
      <c r="J7165" s="9"/>
      <c r="K7165" s="11"/>
      <c r="L7165" s="9"/>
      <c r="M7165" s="11"/>
      <c r="N7165" s="9" t="s">
        <v>1015</v>
      </c>
    </row>
    <row r="7166" ht="25" customHeight="1" spans="1:14">
      <c r="A7166" s="9" t="s">
        <v>343</v>
      </c>
      <c r="B7166" s="9" t="s">
        <v>342</v>
      </c>
      <c r="C7166" s="10">
        <v>46056</v>
      </c>
      <c r="D7166" s="15">
        <v>1.262</v>
      </c>
      <c r="E7166" s="15">
        <v>1.262</v>
      </c>
      <c r="F7166" s="15">
        <v>1.262</v>
      </c>
      <c r="G7166" s="11">
        <v>0.0024</v>
      </c>
      <c r="H7166" s="9">
        <f>MAX($F$7144:F7166)</f>
        <v>1.28</v>
      </c>
      <c r="I7166" s="11">
        <f t="shared" si="177"/>
        <v>0.0140625</v>
      </c>
      <c r="J7166" s="9"/>
      <c r="K7166" s="11"/>
      <c r="L7166" s="9"/>
      <c r="M7166" s="11"/>
      <c r="N7166" s="9" t="s">
        <v>1015</v>
      </c>
    </row>
    <row r="7167" ht="25" customHeight="1" spans="1:14">
      <c r="A7167" s="9" t="s">
        <v>343</v>
      </c>
      <c r="B7167" s="9" t="s">
        <v>342</v>
      </c>
      <c r="C7167" s="10">
        <v>46057</v>
      </c>
      <c r="D7167" s="15">
        <v>1.266</v>
      </c>
      <c r="E7167" s="15">
        <v>1.266</v>
      </c>
      <c r="F7167" s="15">
        <v>1.266</v>
      </c>
      <c r="G7167" s="11">
        <v>0.0032</v>
      </c>
      <c r="H7167" s="9">
        <f>MAX($F$7144:F7167)</f>
        <v>1.28</v>
      </c>
      <c r="I7167" s="11">
        <f t="shared" si="177"/>
        <v>0.0109375</v>
      </c>
      <c r="J7167" s="9"/>
      <c r="K7167" s="11"/>
      <c r="L7167" s="9"/>
      <c r="M7167" s="11"/>
      <c r="N7167" s="9" t="s">
        <v>1015</v>
      </c>
    </row>
    <row r="7168" ht="25" customHeight="1" spans="1:14">
      <c r="A7168" s="9" t="s">
        <v>343</v>
      </c>
      <c r="B7168" s="9" t="s">
        <v>342</v>
      </c>
      <c r="C7168" s="10">
        <v>46058</v>
      </c>
      <c r="D7168" s="15">
        <v>1.27</v>
      </c>
      <c r="E7168" s="15">
        <v>1.27</v>
      </c>
      <c r="F7168" s="15">
        <v>1.27</v>
      </c>
      <c r="G7168" s="11">
        <v>0.0032</v>
      </c>
      <c r="H7168" s="9">
        <f>MAX($F$7144:F7168)</f>
        <v>1.28</v>
      </c>
      <c r="I7168" s="11">
        <f t="shared" si="177"/>
        <v>0.0078125</v>
      </c>
      <c r="J7168" s="9"/>
      <c r="K7168" s="11"/>
      <c r="L7168" s="9"/>
      <c r="M7168" s="11"/>
      <c r="N7168" s="9" t="s">
        <v>1015</v>
      </c>
    </row>
    <row r="7169" ht="25" customHeight="1" spans="1:14">
      <c r="A7169" s="9" t="s">
        <v>343</v>
      </c>
      <c r="B7169" s="9" t="s">
        <v>342</v>
      </c>
      <c r="C7169" s="10">
        <v>46059</v>
      </c>
      <c r="D7169" s="15">
        <v>1.273</v>
      </c>
      <c r="E7169" s="15">
        <v>1.273</v>
      </c>
      <c r="F7169" s="15">
        <v>1.273</v>
      </c>
      <c r="G7169" s="11">
        <v>0.0024</v>
      </c>
      <c r="H7169" s="9">
        <f>MAX($F$7144:F7169)</f>
        <v>1.28</v>
      </c>
      <c r="I7169" s="11">
        <f t="shared" si="177"/>
        <v>0.00546875000000013</v>
      </c>
      <c r="J7169" s="9"/>
      <c r="K7169" s="11"/>
      <c r="L7169" s="9"/>
      <c r="M7169" s="11"/>
      <c r="N7169" s="9" t="s">
        <v>1015</v>
      </c>
    </row>
    <row r="7170" ht="25" customHeight="1" spans="1:14">
      <c r="A7170" s="9" t="s">
        <v>343</v>
      </c>
      <c r="B7170" s="9" t="s">
        <v>342</v>
      </c>
      <c r="C7170" s="10">
        <v>46062</v>
      </c>
      <c r="D7170" s="15">
        <v>1.272</v>
      </c>
      <c r="E7170" s="15">
        <v>1.272</v>
      </c>
      <c r="F7170" s="15">
        <v>1.272</v>
      </c>
      <c r="G7170" s="11">
        <v>-0.0008</v>
      </c>
      <c r="H7170" s="9">
        <f>MAX($F$7144:F7170)</f>
        <v>1.28</v>
      </c>
      <c r="I7170" s="11">
        <f t="shared" ref="I7170:I7233" si="178">1-F7170/H7170</f>
        <v>0.00624999999999998</v>
      </c>
      <c r="J7170" s="9"/>
      <c r="K7170" s="11"/>
      <c r="L7170" s="9"/>
      <c r="M7170" s="11"/>
      <c r="N7170" s="9" t="s">
        <v>1015</v>
      </c>
    </row>
    <row r="7171" ht="25" customHeight="1" spans="1:14">
      <c r="A7171" s="9" t="s">
        <v>343</v>
      </c>
      <c r="B7171" s="9" t="s">
        <v>342</v>
      </c>
      <c r="C7171" s="10">
        <v>46063</v>
      </c>
      <c r="D7171" s="15">
        <v>1.277</v>
      </c>
      <c r="E7171" s="15">
        <v>1.277</v>
      </c>
      <c r="F7171" s="15">
        <v>1.277</v>
      </c>
      <c r="G7171" s="11">
        <v>0.0039</v>
      </c>
      <c r="H7171" s="9">
        <f>MAX($F$7144:F7171)</f>
        <v>1.28</v>
      </c>
      <c r="I7171" s="11">
        <f t="shared" si="178"/>
        <v>0.00234375000000009</v>
      </c>
      <c r="J7171" s="9"/>
      <c r="K7171" s="11"/>
      <c r="L7171" s="9"/>
      <c r="M7171" s="11"/>
      <c r="N7171" s="9" t="s">
        <v>1015</v>
      </c>
    </row>
    <row r="7172" ht="25" customHeight="1" spans="1:14">
      <c r="A7172" s="9" t="s">
        <v>343</v>
      </c>
      <c r="B7172" s="9" t="s">
        <v>342</v>
      </c>
      <c r="C7172" s="10">
        <v>46064</v>
      </c>
      <c r="D7172" s="15">
        <v>1.279</v>
      </c>
      <c r="E7172" s="15">
        <v>1.279</v>
      </c>
      <c r="F7172" s="15">
        <v>1.279</v>
      </c>
      <c r="G7172" s="11">
        <v>0.0016</v>
      </c>
      <c r="H7172" s="9">
        <f>MAX($F$7144:F7172)</f>
        <v>1.28</v>
      </c>
      <c r="I7172" s="11">
        <f t="shared" si="178"/>
        <v>0.000781250000000067</v>
      </c>
      <c r="J7172" s="9"/>
      <c r="K7172" s="11"/>
      <c r="L7172" s="9"/>
      <c r="M7172" s="11"/>
      <c r="N7172" s="9" t="s">
        <v>1015</v>
      </c>
    </row>
    <row r="7173" ht="25" customHeight="1" spans="1:14">
      <c r="A7173" s="9" t="s">
        <v>343</v>
      </c>
      <c r="B7173" s="9" t="s">
        <v>342</v>
      </c>
      <c r="C7173" s="10">
        <v>46065</v>
      </c>
      <c r="D7173" s="15">
        <v>1.279</v>
      </c>
      <c r="E7173" s="15">
        <v>1.279</v>
      </c>
      <c r="F7173" s="15">
        <v>1.279</v>
      </c>
      <c r="G7173" s="11">
        <v>0</v>
      </c>
      <c r="H7173" s="9">
        <f>MAX($F$7144:F7173)</f>
        <v>1.28</v>
      </c>
      <c r="I7173" s="11">
        <f t="shared" si="178"/>
        <v>0.000781250000000067</v>
      </c>
      <c r="J7173" s="9"/>
      <c r="K7173" s="11"/>
      <c r="L7173" s="9"/>
      <c r="M7173" s="11"/>
      <c r="N7173" s="9" t="s">
        <v>1015</v>
      </c>
    </row>
    <row r="7174" ht="25" customHeight="1" spans="1:14">
      <c r="A7174" s="9" t="s">
        <v>343</v>
      </c>
      <c r="B7174" s="9" t="s">
        <v>342</v>
      </c>
      <c r="C7174" s="10">
        <v>46066</v>
      </c>
      <c r="D7174" s="15">
        <v>1.279</v>
      </c>
      <c r="E7174" s="15">
        <v>1.279</v>
      </c>
      <c r="F7174" s="15">
        <v>1.279</v>
      </c>
      <c r="G7174" s="11">
        <v>0</v>
      </c>
      <c r="H7174" s="9">
        <f>MAX($F$7144:F7174)</f>
        <v>1.28</v>
      </c>
      <c r="I7174" s="11">
        <f t="shared" si="178"/>
        <v>0.000781250000000067</v>
      </c>
      <c r="J7174" s="9"/>
      <c r="K7174" s="11"/>
      <c r="L7174" s="9"/>
      <c r="M7174" s="11"/>
      <c r="N7174" s="9" t="s">
        <v>1015</v>
      </c>
    </row>
    <row r="7175" ht="25" customHeight="1" spans="1:14">
      <c r="A7175" s="9" t="s">
        <v>343</v>
      </c>
      <c r="B7175" s="9" t="s">
        <v>342</v>
      </c>
      <c r="C7175" s="10">
        <v>46077</v>
      </c>
      <c r="D7175" s="15">
        <v>1.287</v>
      </c>
      <c r="E7175" s="15">
        <v>1.287</v>
      </c>
      <c r="F7175" s="15">
        <v>1.287</v>
      </c>
      <c r="G7175" s="11">
        <v>0.0063</v>
      </c>
      <c r="H7175" s="9">
        <f>MAX($F$7144:F7175)</f>
        <v>1.287</v>
      </c>
      <c r="I7175" s="11">
        <f t="shared" si="178"/>
        <v>0</v>
      </c>
      <c r="J7175" s="9"/>
      <c r="K7175" s="11"/>
      <c r="L7175" s="9"/>
      <c r="M7175" s="11"/>
      <c r="N7175" s="9" t="s">
        <v>1015</v>
      </c>
    </row>
    <row r="7176" ht="25" customHeight="1" spans="1:14">
      <c r="A7176" s="9" t="s">
        <v>343</v>
      </c>
      <c r="B7176" s="9" t="s">
        <v>342</v>
      </c>
      <c r="C7176" s="10">
        <v>46078</v>
      </c>
      <c r="D7176" s="15">
        <v>1.288</v>
      </c>
      <c r="E7176" s="15">
        <v>1.288</v>
      </c>
      <c r="F7176" s="15">
        <v>1.288</v>
      </c>
      <c r="G7176" s="11">
        <v>0.0008</v>
      </c>
      <c r="H7176" s="9">
        <f>MAX($F$7144:F7176)</f>
        <v>1.288</v>
      </c>
      <c r="I7176" s="11">
        <f t="shared" si="178"/>
        <v>0</v>
      </c>
      <c r="J7176" s="9"/>
      <c r="K7176" s="11"/>
      <c r="L7176" s="9"/>
      <c r="M7176" s="11"/>
      <c r="N7176" s="9" t="s">
        <v>1015</v>
      </c>
    </row>
    <row r="7177" ht="25" customHeight="1" spans="1:14">
      <c r="A7177" s="9" t="s">
        <v>343</v>
      </c>
      <c r="B7177" s="9" t="s">
        <v>342</v>
      </c>
      <c r="C7177" s="10">
        <v>46079</v>
      </c>
      <c r="D7177" s="15">
        <v>1.289</v>
      </c>
      <c r="E7177" s="15">
        <v>1.289</v>
      </c>
      <c r="F7177" s="15">
        <v>1.289</v>
      </c>
      <c r="G7177" s="11">
        <v>0.0008</v>
      </c>
      <c r="H7177" s="9">
        <f>MAX($F$7144:F7177)</f>
        <v>1.289</v>
      </c>
      <c r="I7177" s="11">
        <f t="shared" si="178"/>
        <v>0</v>
      </c>
      <c r="J7177" s="9"/>
      <c r="K7177" s="11"/>
      <c r="L7177" s="9"/>
      <c r="M7177" s="11"/>
      <c r="N7177" s="9" t="s">
        <v>1015</v>
      </c>
    </row>
    <row r="7178" ht="25" customHeight="1" spans="1:14">
      <c r="A7178" s="9" t="s">
        <v>343</v>
      </c>
      <c r="B7178" s="9" t="s">
        <v>342</v>
      </c>
      <c r="C7178" s="10">
        <v>46080</v>
      </c>
      <c r="D7178" s="15">
        <v>1.289</v>
      </c>
      <c r="E7178" s="15">
        <v>1.289</v>
      </c>
      <c r="F7178" s="15">
        <v>1.289</v>
      </c>
      <c r="G7178" s="11">
        <v>0</v>
      </c>
      <c r="H7178" s="9">
        <f>MAX($F$7144:F7178)</f>
        <v>1.289</v>
      </c>
      <c r="I7178" s="11">
        <f t="shared" si="178"/>
        <v>0</v>
      </c>
      <c r="J7178" s="9"/>
      <c r="K7178" s="11"/>
      <c r="L7178" s="9"/>
      <c r="M7178" s="11"/>
      <c r="N7178" s="9" t="s">
        <v>1015</v>
      </c>
    </row>
    <row r="7179" ht="25" customHeight="1" spans="1:14">
      <c r="A7179" s="9" t="s">
        <v>343</v>
      </c>
      <c r="B7179" s="9" t="s">
        <v>342</v>
      </c>
      <c r="C7179" s="10">
        <v>46083</v>
      </c>
      <c r="D7179" s="15">
        <v>1.29</v>
      </c>
      <c r="E7179" s="15">
        <v>1.29</v>
      </c>
      <c r="F7179" s="15">
        <v>1.29</v>
      </c>
      <c r="G7179" s="11">
        <v>0.0008</v>
      </c>
      <c r="H7179" s="9">
        <f>MAX($F$7144:F7179)</f>
        <v>1.29</v>
      </c>
      <c r="I7179" s="11">
        <f t="shared" si="178"/>
        <v>0</v>
      </c>
      <c r="J7179" s="9"/>
      <c r="K7179" s="11"/>
      <c r="L7179" s="9"/>
      <c r="M7179" s="11"/>
      <c r="N7179" s="9" t="s">
        <v>1015</v>
      </c>
    </row>
    <row r="7180" ht="25" customHeight="1" spans="1:14">
      <c r="A7180" s="9" t="s">
        <v>343</v>
      </c>
      <c r="B7180" s="9" t="s">
        <v>342</v>
      </c>
      <c r="C7180" s="10">
        <v>46084</v>
      </c>
      <c r="D7180" s="15">
        <v>1.283</v>
      </c>
      <c r="E7180" s="15">
        <v>1.283</v>
      </c>
      <c r="F7180" s="15">
        <v>1.283</v>
      </c>
      <c r="G7180" s="11">
        <v>-0.0054</v>
      </c>
      <c r="H7180" s="9">
        <f>MAX($F$7144:F7180)</f>
        <v>1.29</v>
      </c>
      <c r="I7180" s="11">
        <f t="shared" si="178"/>
        <v>0.00542635658914736</v>
      </c>
      <c r="J7180" s="9"/>
      <c r="K7180" s="11"/>
      <c r="L7180" s="9"/>
      <c r="M7180" s="11"/>
      <c r="N7180" s="9" t="s">
        <v>1015</v>
      </c>
    </row>
    <row r="7181" ht="25" customHeight="1" spans="1:14">
      <c r="A7181" s="9" t="s">
        <v>343</v>
      </c>
      <c r="B7181" s="9" t="s">
        <v>342</v>
      </c>
      <c r="C7181" s="10">
        <v>46085</v>
      </c>
      <c r="D7181" s="15">
        <v>1.281</v>
      </c>
      <c r="E7181" s="15">
        <v>1.281</v>
      </c>
      <c r="F7181" s="15">
        <v>1.281</v>
      </c>
      <c r="G7181" s="11">
        <v>-0.0016</v>
      </c>
      <c r="H7181" s="9">
        <f>MAX($F$7144:F7181)</f>
        <v>1.29</v>
      </c>
      <c r="I7181" s="11">
        <f t="shared" si="178"/>
        <v>0.00697674418604666</v>
      </c>
      <c r="J7181" s="9"/>
      <c r="K7181" s="11"/>
      <c r="L7181" s="9"/>
      <c r="M7181" s="11"/>
      <c r="N7181" s="9" t="s">
        <v>1015</v>
      </c>
    </row>
    <row r="7182" ht="25" customHeight="1" spans="1:14">
      <c r="A7182" s="9" t="s">
        <v>343</v>
      </c>
      <c r="B7182" s="9" t="s">
        <v>342</v>
      </c>
      <c r="C7182" s="10">
        <v>46086</v>
      </c>
      <c r="D7182" s="15">
        <v>1.29</v>
      </c>
      <c r="E7182" s="15">
        <v>1.29</v>
      </c>
      <c r="F7182" s="15">
        <v>1.29</v>
      </c>
      <c r="G7182" s="11">
        <v>0.007</v>
      </c>
      <c r="H7182" s="9">
        <f>MAX($F$7144:F7182)</f>
        <v>1.29</v>
      </c>
      <c r="I7182" s="11">
        <f t="shared" si="178"/>
        <v>0</v>
      </c>
      <c r="J7182" s="9"/>
      <c r="K7182" s="11"/>
      <c r="L7182" s="9"/>
      <c r="M7182" s="11"/>
      <c r="N7182" s="9" t="s">
        <v>1015</v>
      </c>
    </row>
    <row r="7183" ht="25" customHeight="1" spans="1:14">
      <c r="A7183" s="9" t="s">
        <v>343</v>
      </c>
      <c r="B7183" s="9" t="s">
        <v>342</v>
      </c>
      <c r="C7183" s="10">
        <v>46087</v>
      </c>
      <c r="D7183" s="15">
        <v>1.292</v>
      </c>
      <c r="E7183" s="15">
        <v>1.292</v>
      </c>
      <c r="F7183" s="15">
        <v>1.292</v>
      </c>
      <c r="G7183" s="11">
        <v>0.0016</v>
      </c>
      <c r="H7183" s="9">
        <f>MAX($F$7144:F7183)</f>
        <v>1.292</v>
      </c>
      <c r="I7183" s="11">
        <f t="shared" si="178"/>
        <v>0</v>
      </c>
      <c r="J7183" s="9"/>
      <c r="K7183" s="11"/>
      <c r="L7183" s="9"/>
      <c r="M7183" s="11"/>
      <c r="N7183" s="9" t="s">
        <v>1015</v>
      </c>
    </row>
    <row r="7184" ht="25" customHeight="1" spans="1:14">
      <c r="A7184" s="9" t="s">
        <v>343</v>
      </c>
      <c r="B7184" s="9" t="s">
        <v>342</v>
      </c>
      <c r="C7184" s="10">
        <v>46090</v>
      </c>
      <c r="D7184" s="15">
        <v>1.283</v>
      </c>
      <c r="E7184" s="15">
        <v>1.283</v>
      </c>
      <c r="F7184" s="15">
        <v>1.283</v>
      </c>
      <c r="G7184" s="11">
        <v>-0.007</v>
      </c>
      <c r="H7184" s="9">
        <f>MAX($F$7144:F7184)</f>
        <v>1.292</v>
      </c>
      <c r="I7184" s="11">
        <f t="shared" si="178"/>
        <v>0.0069659442724459</v>
      </c>
      <c r="J7184" s="9"/>
      <c r="K7184" s="11"/>
      <c r="L7184" s="9"/>
      <c r="M7184" s="11"/>
      <c r="N7184" s="9" t="s">
        <v>1015</v>
      </c>
    </row>
    <row r="7185" ht="25" customHeight="1" spans="1:14">
      <c r="A7185" s="9" t="s">
        <v>343</v>
      </c>
      <c r="B7185" s="9" t="s">
        <v>342</v>
      </c>
      <c r="C7185" s="10">
        <v>46091</v>
      </c>
      <c r="D7185" s="15">
        <v>1.292</v>
      </c>
      <c r="E7185" s="15">
        <v>1.292</v>
      </c>
      <c r="F7185" s="15">
        <v>1.292</v>
      </c>
      <c r="G7185" s="11">
        <v>0.007</v>
      </c>
      <c r="H7185" s="9">
        <f>MAX($F$7144:F7185)</f>
        <v>1.292</v>
      </c>
      <c r="I7185" s="11">
        <f t="shared" si="178"/>
        <v>0</v>
      </c>
      <c r="J7185" s="9"/>
      <c r="K7185" s="11"/>
      <c r="L7185" s="9"/>
      <c r="M7185" s="11"/>
      <c r="N7185" s="9" t="s">
        <v>1015</v>
      </c>
    </row>
    <row r="7186" ht="25" customHeight="1" spans="1:14">
      <c r="A7186" s="9" t="s">
        <v>343</v>
      </c>
      <c r="B7186" s="9" t="s">
        <v>342</v>
      </c>
      <c r="C7186" s="10">
        <v>46092</v>
      </c>
      <c r="D7186" s="15">
        <v>1.292</v>
      </c>
      <c r="E7186" s="15">
        <v>1.292</v>
      </c>
      <c r="F7186" s="15">
        <v>1.292</v>
      </c>
      <c r="G7186" s="11">
        <v>0</v>
      </c>
      <c r="H7186" s="9">
        <f>MAX($F$7144:F7186)</f>
        <v>1.292</v>
      </c>
      <c r="I7186" s="11">
        <f t="shared" si="178"/>
        <v>0</v>
      </c>
      <c r="J7186" s="9"/>
      <c r="K7186" s="11"/>
      <c r="L7186" s="9"/>
      <c r="M7186" s="11"/>
      <c r="N7186" s="9" t="s">
        <v>1015</v>
      </c>
    </row>
    <row r="7187" ht="25" customHeight="1" spans="1:14">
      <c r="A7187" s="9" t="s">
        <v>343</v>
      </c>
      <c r="B7187" s="9" t="s">
        <v>342</v>
      </c>
      <c r="C7187" s="10">
        <v>46093</v>
      </c>
      <c r="D7187" s="15">
        <v>1.29</v>
      </c>
      <c r="E7187" s="15">
        <v>1.29</v>
      </c>
      <c r="F7187" s="15">
        <v>1.29</v>
      </c>
      <c r="G7187" s="11">
        <v>-0.0015</v>
      </c>
      <c r="H7187" s="9">
        <f>MAX($F$7144:F7187)</f>
        <v>1.292</v>
      </c>
      <c r="I7187" s="11">
        <f t="shared" si="178"/>
        <v>0.00154798761609909</v>
      </c>
      <c r="J7187" s="9"/>
      <c r="K7187" s="11"/>
      <c r="L7187" s="9"/>
      <c r="M7187" s="11"/>
      <c r="N7187" s="9" t="s">
        <v>1015</v>
      </c>
    </row>
    <row r="7188" ht="25" customHeight="1" spans="1:14">
      <c r="A7188" s="9" t="s">
        <v>343</v>
      </c>
      <c r="B7188" s="9" t="s">
        <v>342</v>
      </c>
      <c r="C7188" s="10">
        <v>46094</v>
      </c>
      <c r="D7188" s="15">
        <v>1.29</v>
      </c>
      <c r="E7188" s="15">
        <v>1.29</v>
      </c>
      <c r="F7188" s="15">
        <v>1.29</v>
      </c>
      <c r="G7188" s="11">
        <v>0</v>
      </c>
      <c r="H7188" s="9">
        <f>MAX($F$7144:F7188)</f>
        <v>1.292</v>
      </c>
      <c r="I7188" s="11">
        <f t="shared" si="178"/>
        <v>0.00154798761609909</v>
      </c>
      <c r="J7188" s="9"/>
      <c r="K7188" s="11"/>
      <c r="L7188" s="9"/>
      <c r="M7188" s="11"/>
      <c r="N7188" s="9" t="s">
        <v>1015</v>
      </c>
    </row>
    <row r="7189" ht="25" customHeight="1" spans="1:14">
      <c r="A7189" s="9" t="s">
        <v>343</v>
      </c>
      <c r="B7189" s="9" t="s">
        <v>342</v>
      </c>
      <c r="C7189" s="10">
        <v>46097</v>
      </c>
      <c r="D7189" s="15">
        <v>1.292</v>
      </c>
      <c r="E7189" s="15">
        <v>1.292</v>
      </c>
      <c r="F7189" s="15">
        <v>1.292</v>
      </c>
      <c r="G7189" s="11">
        <v>0.0016</v>
      </c>
      <c r="H7189" s="9">
        <f>MAX($F$7144:F7189)</f>
        <v>1.292</v>
      </c>
      <c r="I7189" s="11">
        <f t="shared" si="178"/>
        <v>0</v>
      </c>
      <c r="J7189" s="9"/>
      <c r="K7189" s="11"/>
      <c r="L7189" s="9"/>
      <c r="M7189" s="11"/>
      <c r="N7189" s="9" t="s">
        <v>1015</v>
      </c>
    </row>
    <row r="7190" ht="25" customHeight="1" spans="1:14">
      <c r="A7190" s="9" t="s">
        <v>343</v>
      </c>
      <c r="B7190" s="9" t="s">
        <v>342</v>
      </c>
      <c r="C7190" s="10">
        <v>46098</v>
      </c>
      <c r="D7190" s="15">
        <v>1.285</v>
      </c>
      <c r="E7190" s="15">
        <v>1.285</v>
      </c>
      <c r="F7190" s="15">
        <v>1.285</v>
      </c>
      <c r="G7190" s="11">
        <v>-0.0054</v>
      </c>
      <c r="H7190" s="9">
        <f>MAX($F$7144:F7190)</f>
        <v>1.292</v>
      </c>
      <c r="I7190" s="11">
        <f t="shared" si="178"/>
        <v>0.00541795665634681</v>
      </c>
      <c r="J7190" s="9"/>
      <c r="K7190" s="11"/>
      <c r="L7190" s="9"/>
      <c r="M7190" s="11"/>
      <c r="N7190" s="9" t="s">
        <v>1015</v>
      </c>
    </row>
    <row r="7191" ht="25" customHeight="1" spans="1:14">
      <c r="A7191" s="9" t="s">
        <v>343</v>
      </c>
      <c r="B7191" s="9" t="s">
        <v>342</v>
      </c>
      <c r="C7191" s="10">
        <v>46099</v>
      </c>
      <c r="D7191" s="15">
        <v>1.291</v>
      </c>
      <c r="E7191" s="15">
        <v>1.291</v>
      </c>
      <c r="F7191" s="15">
        <v>1.291</v>
      </c>
      <c r="G7191" s="11">
        <v>0.0047</v>
      </c>
      <c r="H7191" s="9">
        <f>MAX($F$7144:F7191)</f>
        <v>1.292</v>
      </c>
      <c r="I7191" s="11">
        <f t="shared" si="178"/>
        <v>0.000773993808049656</v>
      </c>
      <c r="J7191" s="9"/>
      <c r="K7191" s="11"/>
      <c r="L7191" s="9"/>
      <c r="M7191" s="11"/>
      <c r="N7191" s="9" t="s">
        <v>1015</v>
      </c>
    </row>
    <row r="7192" ht="25" customHeight="1" spans="1:14">
      <c r="A7192" s="9" t="s">
        <v>343</v>
      </c>
      <c r="B7192" s="9" t="s">
        <v>342</v>
      </c>
      <c r="C7192" s="10">
        <v>46100</v>
      </c>
      <c r="D7192" s="15">
        <v>1.279</v>
      </c>
      <c r="E7192" s="15">
        <v>1.279</v>
      </c>
      <c r="F7192" s="15">
        <v>1.279</v>
      </c>
      <c r="G7192" s="11">
        <v>-0.0093</v>
      </c>
      <c r="H7192" s="9">
        <f>MAX($F$7144:F7192)</f>
        <v>1.292</v>
      </c>
      <c r="I7192" s="11">
        <f t="shared" si="178"/>
        <v>0.0100619195046441</v>
      </c>
      <c r="J7192" s="9"/>
      <c r="K7192" s="11"/>
      <c r="L7192" s="9"/>
      <c r="M7192" s="11"/>
      <c r="N7192" s="9" t="s">
        <v>1015</v>
      </c>
    </row>
    <row r="7193" ht="25" customHeight="1" spans="1:14">
      <c r="A7193" s="9" t="s">
        <v>343</v>
      </c>
      <c r="B7193" s="9" t="s">
        <v>342</v>
      </c>
      <c r="C7193" s="10">
        <v>46101</v>
      </c>
      <c r="D7193" s="15">
        <v>1.283</v>
      </c>
      <c r="E7193" s="15">
        <v>1.283</v>
      </c>
      <c r="F7193" s="15">
        <v>1.283</v>
      </c>
      <c r="G7193" s="11">
        <v>0.0031</v>
      </c>
      <c r="H7193" s="9">
        <f>MAX($F$7144:F7193)</f>
        <v>1.292</v>
      </c>
      <c r="I7193" s="11">
        <f t="shared" si="178"/>
        <v>0.0069659442724459</v>
      </c>
      <c r="J7193" s="9"/>
      <c r="K7193" s="11"/>
      <c r="L7193" s="9"/>
      <c r="M7193" s="11"/>
      <c r="N7193" s="9" t="s">
        <v>1015</v>
      </c>
    </row>
    <row r="7194" ht="25" customHeight="1" spans="1:14">
      <c r="A7194" s="9" t="s">
        <v>343</v>
      </c>
      <c r="B7194" s="9" t="s">
        <v>342</v>
      </c>
      <c r="C7194" s="10">
        <v>46104</v>
      </c>
      <c r="D7194" s="15">
        <v>1.261</v>
      </c>
      <c r="E7194" s="15">
        <v>1.261</v>
      </c>
      <c r="F7194" s="15">
        <v>1.261</v>
      </c>
      <c r="G7194" s="11">
        <v>-0.0171</v>
      </c>
      <c r="H7194" s="9">
        <f>MAX($F$7144:F7194)</f>
        <v>1.292</v>
      </c>
      <c r="I7194" s="11">
        <f t="shared" si="178"/>
        <v>0.0239938080495357</v>
      </c>
      <c r="J7194" s="9"/>
      <c r="K7194" s="11"/>
      <c r="L7194" s="9"/>
      <c r="M7194" s="11"/>
      <c r="N7194" s="9" t="s">
        <v>1015</v>
      </c>
    </row>
    <row r="7195" ht="25" customHeight="1" spans="1:14">
      <c r="A7195" s="9" t="s">
        <v>343</v>
      </c>
      <c r="B7195" s="9" t="s">
        <v>342</v>
      </c>
      <c r="C7195" s="10">
        <v>46105</v>
      </c>
      <c r="D7195" s="15">
        <v>1.277</v>
      </c>
      <c r="E7195" s="15">
        <v>1.277</v>
      </c>
      <c r="F7195" s="15">
        <v>1.277</v>
      </c>
      <c r="G7195" s="11">
        <v>0.0127</v>
      </c>
      <c r="H7195" s="9">
        <f>MAX($F$7144:F7195)</f>
        <v>1.292</v>
      </c>
      <c r="I7195" s="11">
        <f t="shared" si="178"/>
        <v>0.0116099071207432</v>
      </c>
      <c r="J7195" s="9"/>
      <c r="K7195" s="11"/>
      <c r="L7195" s="9"/>
      <c r="M7195" s="11"/>
      <c r="N7195" s="9" t="s">
        <v>1015</v>
      </c>
    </row>
    <row r="7196" ht="25" customHeight="1" spans="1:14">
      <c r="A7196" s="9" t="s">
        <v>343</v>
      </c>
      <c r="B7196" s="9" t="s">
        <v>342</v>
      </c>
      <c r="C7196" s="10">
        <v>46106</v>
      </c>
      <c r="D7196" s="15">
        <v>1.284</v>
      </c>
      <c r="E7196" s="15">
        <v>1.284</v>
      </c>
      <c r="F7196" s="15">
        <v>1.284</v>
      </c>
      <c r="G7196" s="11">
        <v>0.0055</v>
      </c>
      <c r="H7196" s="9">
        <f>MAX($F$7144:F7196)</f>
        <v>1.292</v>
      </c>
      <c r="I7196" s="11">
        <f t="shared" si="178"/>
        <v>0.00619195046439625</v>
      </c>
      <c r="J7196" s="9"/>
      <c r="K7196" s="11"/>
      <c r="L7196" s="9"/>
      <c r="M7196" s="11"/>
      <c r="N7196" s="9" t="s">
        <v>1015</v>
      </c>
    </row>
    <row r="7197" ht="25" customHeight="1" spans="1:14">
      <c r="A7197" s="9" t="s">
        <v>343</v>
      </c>
      <c r="B7197" s="9" t="s">
        <v>342</v>
      </c>
      <c r="C7197" s="10">
        <v>46107</v>
      </c>
      <c r="D7197" s="15">
        <v>1.28</v>
      </c>
      <c r="E7197" s="15">
        <v>1.28</v>
      </c>
      <c r="F7197" s="15">
        <v>1.28</v>
      </c>
      <c r="G7197" s="11">
        <v>-0.0031</v>
      </c>
      <c r="H7197" s="9">
        <f>MAX($F$7144:F7197)</f>
        <v>1.292</v>
      </c>
      <c r="I7197" s="11">
        <f t="shared" si="178"/>
        <v>0.00928792569659442</v>
      </c>
      <c r="J7197" s="9"/>
      <c r="K7197" s="11"/>
      <c r="L7197" s="9"/>
      <c r="M7197" s="11"/>
      <c r="N7197" s="9" t="s">
        <v>1015</v>
      </c>
    </row>
    <row r="7198" ht="25" customHeight="1" spans="1:14">
      <c r="A7198" s="9" t="s">
        <v>343</v>
      </c>
      <c r="B7198" s="9" t="s">
        <v>342</v>
      </c>
      <c r="C7198" s="10">
        <v>46108</v>
      </c>
      <c r="D7198" s="15">
        <v>1.282</v>
      </c>
      <c r="E7198" s="15">
        <v>1.282</v>
      </c>
      <c r="F7198" s="15">
        <v>1.282</v>
      </c>
      <c r="G7198" s="11">
        <v>0.0016</v>
      </c>
      <c r="H7198" s="9">
        <f>MAX($F$7144:F7198)</f>
        <v>1.292</v>
      </c>
      <c r="I7198" s="11">
        <f t="shared" si="178"/>
        <v>0.00773993808049533</v>
      </c>
      <c r="J7198" s="9"/>
      <c r="K7198" s="11"/>
      <c r="L7198" s="9"/>
      <c r="M7198" s="11"/>
      <c r="N7198" s="9" t="s">
        <v>1015</v>
      </c>
    </row>
    <row r="7199" ht="25" customHeight="1" spans="1:14">
      <c r="A7199" s="9" t="s">
        <v>343</v>
      </c>
      <c r="B7199" s="9" t="s">
        <v>342</v>
      </c>
      <c r="C7199" s="10">
        <v>46111</v>
      </c>
      <c r="D7199" s="15">
        <v>1.282</v>
      </c>
      <c r="E7199" s="15">
        <v>1.282</v>
      </c>
      <c r="F7199" s="15">
        <v>1.282</v>
      </c>
      <c r="G7199" s="11">
        <v>0</v>
      </c>
      <c r="H7199" s="9">
        <f>MAX($F$7144:F7199)</f>
        <v>1.292</v>
      </c>
      <c r="I7199" s="11">
        <f t="shared" si="178"/>
        <v>0.00773993808049533</v>
      </c>
      <c r="J7199" s="9"/>
      <c r="K7199" s="11"/>
      <c r="L7199" s="9"/>
      <c r="M7199" s="11"/>
      <c r="N7199" s="9" t="s">
        <v>1015</v>
      </c>
    </row>
    <row r="7200" ht="25" customHeight="1" spans="1:14">
      <c r="A7200" s="9" t="s">
        <v>343</v>
      </c>
      <c r="B7200" s="9" t="s">
        <v>342</v>
      </c>
      <c r="C7200" s="10">
        <v>46112</v>
      </c>
      <c r="D7200" s="15">
        <v>1.281</v>
      </c>
      <c r="E7200" s="15">
        <v>1.281</v>
      </c>
      <c r="F7200" s="15">
        <v>1.281</v>
      </c>
      <c r="G7200" s="11">
        <v>-0.0008</v>
      </c>
      <c r="H7200" s="9">
        <f>MAX($F$7144:F7200)</f>
        <v>1.292</v>
      </c>
      <c r="I7200" s="11">
        <f t="shared" si="178"/>
        <v>0.00851393188854499</v>
      </c>
      <c r="J7200" s="9"/>
      <c r="K7200" s="11"/>
      <c r="L7200" s="9"/>
      <c r="M7200" s="11"/>
      <c r="N7200" s="9" t="s">
        <v>1015</v>
      </c>
    </row>
    <row r="7201" ht="25" customHeight="1" spans="1:14">
      <c r="A7201" s="9" t="s">
        <v>343</v>
      </c>
      <c r="B7201" s="9" t="s">
        <v>342</v>
      </c>
      <c r="C7201" s="10">
        <v>46113</v>
      </c>
      <c r="D7201" s="15">
        <v>1.289</v>
      </c>
      <c r="E7201" s="15">
        <v>1.289</v>
      </c>
      <c r="F7201" s="15">
        <v>1.289</v>
      </c>
      <c r="G7201" s="11">
        <v>0.0062</v>
      </c>
      <c r="H7201" s="9">
        <f>MAX($F$7144:F7201)</f>
        <v>1.292</v>
      </c>
      <c r="I7201" s="11">
        <f t="shared" si="178"/>
        <v>0.00232198142414874</v>
      </c>
      <c r="J7201" s="9"/>
      <c r="K7201" s="11"/>
      <c r="L7201" s="9"/>
      <c r="M7201" s="11"/>
      <c r="N7201" s="9" t="s">
        <v>1015</v>
      </c>
    </row>
    <row r="7202" ht="25" customHeight="1" spans="1:14">
      <c r="A7202" s="9" t="s">
        <v>343</v>
      </c>
      <c r="B7202" s="9" t="s">
        <v>342</v>
      </c>
      <c r="C7202" s="10">
        <v>46114</v>
      </c>
      <c r="D7202" s="15">
        <v>1.286</v>
      </c>
      <c r="E7202" s="15">
        <v>1.286</v>
      </c>
      <c r="F7202" s="15">
        <v>1.286</v>
      </c>
      <c r="G7202" s="11">
        <v>-0.0023</v>
      </c>
      <c r="H7202" s="9">
        <f>MAX($F$7144:F7202)</f>
        <v>1.292</v>
      </c>
      <c r="I7202" s="11">
        <f t="shared" si="178"/>
        <v>0.00464396284829727</v>
      </c>
      <c r="J7202" s="9"/>
      <c r="K7202" s="11"/>
      <c r="L7202" s="9"/>
      <c r="M7202" s="11"/>
      <c r="N7202" s="9" t="s">
        <v>1015</v>
      </c>
    </row>
    <row r="7203" ht="25" customHeight="1" spans="1:14">
      <c r="A7203" s="9" t="s">
        <v>343</v>
      </c>
      <c r="B7203" s="9" t="s">
        <v>342</v>
      </c>
      <c r="C7203" s="10">
        <v>46115</v>
      </c>
      <c r="D7203" s="15">
        <v>1.281</v>
      </c>
      <c r="E7203" s="15">
        <v>1.281</v>
      </c>
      <c r="F7203" s="15">
        <v>1.281</v>
      </c>
      <c r="G7203" s="11">
        <v>-0.0039</v>
      </c>
      <c r="H7203" s="9">
        <f>MAX($F$7144:F7203)</f>
        <v>1.292</v>
      </c>
      <c r="I7203" s="11">
        <f t="shared" si="178"/>
        <v>0.00851393188854499</v>
      </c>
      <c r="J7203" s="9"/>
      <c r="K7203" s="11"/>
      <c r="L7203" s="9"/>
      <c r="M7203" s="11"/>
      <c r="N7203" s="9" t="s">
        <v>1015</v>
      </c>
    </row>
    <row r="7204" ht="25" customHeight="1" spans="1:14">
      <c r="A7204" s="9" t="s">
        <v>343</v>
      </c>
      <c r="B7204" s="9" t="s">
        <v>342</v>
      </c>
      <c r="C7204" s="10">
        <v>46119</v>
      </c>
      <c r="D7204" s="15">
        <v>1.284</v>
      </c>
      <c r="E7204" s="15">
        <v>1.284</v>
      </c>
      <c r="F7204" s="15">
        <v>1.284</v>
      </c>
      <c r="G7204" s="11">
        <v>0.0023</v>
      </c>
      <c r="H7204" s="9">
        <f>MAX($F$7144:F7204)</f>
        <v>1.292</v>
      </c>
      <c r="I7204" s="11">
        <f t="shared" si="178"/>
        <v>0.00619195046439625</v>
      </c>
      <c r="J7204" s="9"/>
      <c r="K7204" s="11"/>
      <c r="L7204" s="9"/>
      <c r="M7204" s="11"/>
      <c r="N7204" s="9" t="s">
        <v>1015</v>
      </c>
    </row>
    <row r="7205" ht="25" customHeight="1" spans="1:14">
      <c r="A7205" s="9" t="s">
        <v>343</v>
      </c>
      <c r="B7205" s="9" t="s">
        <v>342</v>
      </c>
      <c r="C7205" s="10">
        <v>46120</v>
      </c>
      <c r="D7205" s="15">
        <v>1.287</v>
      </c>
      <c r="E7205" s="15">
        <v>1.287</v>
      </c>
      <c r="F7205" s="15">
        <v>1.287</v>
      </c>
      <c r="G7205" s="11">
        <v>0.0023</v>
      </c>
      <c r="H7205" s="9">
        <f>MAX($F$7144:F7205)</f>
        <v>1.292</v>
      </c>
      <c r="I7205" s="11">
        <f t="shared" si="178"/>
        <v>0.00386996904024772</v>
      </c>
      <c r="J7205" s="9"/>
      <c r="K7205" s="11"/>
      <c r="L7205" s="9"/>
      <c r="M7205" s="11"/>
      <c r="N7205" s="9" t="s">
        <v>1015</v>
      </c>
    </row>
    <row r="7206" ht="25" customHeight="1" spans="1:14">
      <c r="A7206" s="9" t="s">
        <v>343</v>
      </c>
      <c r="B7206" s="9" t="s">
        <v>342</v>
      </c>
      <c r="C7206" s="10">
        <v>46121</v>
      </c>
      <c r="D7206" s="15">
        <v>1.288</v>
      </c>
      <c r="E7206" s="15">
        <v>1.288</v>
      </c>
      <c r="F7206" s="15">
        <v>1.288</v>
      </c>
      <c r="G7206" s="11">
        <v>0.0008</v>
      </c>
      <c r="H7206" s="9">
        <f>MAX($F$7144:F7206)</f>
        <v>1.292</v>
      </c>
      <c r="I7206" s="11">
        <f t="shared" si="178"/>
        <v>0.00309597523219818</v>
      </c>
      <c r="J7206" s="9"/>
      <c r="K7206" s="11"/>
      <c r="L7206" s="9"/>
      <c r="M7206" s="11"/>
      <c r="N7206" s="9" t="s">
        <v>1015</v>
      </c>
    </row>
    <row r="7207" ht="25" customHeight="1" spans="1:14">
      <c r="A7207" s="9" t="s">
        <v>343</v>
      </c>
      <c r="B7207" s="9" t="s">
        <v>342</v>
      </c>
      <c r="C7207" s="10">
        <v>46122</v>
      </c>
      <c r="D7207" s="15">
        <v>1.286</v>
      </c>
      <c r="E7207" s="15">
        <v>1.286</v>
      </c>
      <c r="F7207" s="15">
        <v>1.286</v>
      </c>
      <c r="G7207" s="11">
        <v>-0.0016</v>
      </c>
      <c r="H7207" s="9">
        <f>MAX($F$7144:F7207)</f>
        <v>1.292</v>
      </c>
      <c r="I7207" s="11">
        <f t="shared" si="178"/>
        <v>0.00464396284829727</v>
      </c>
      <c r="J7207" s="9"/>
      <c r="K7207" s="11"/>
      <c r="L7207" s="9"/>
      <c r="M7207" s="11"/>
      <c r="N7207" s="9" t="s">
        <v>1015</v>
      </c>
    </row>
    <row r="7208" ht="25" customHeight="1" spans="1:14">
      <c r="A7208" s="9" t="s">
        <v>343</v>
      </c>
      <c r="B7208" s="9" t="s">
        <v>342</v>
      </c>
      <c r="C7208" s="10">
        <v>46125</v>
      </c>
      <c r="D7208" s="15">
        <v>1.286</v>
      </c>
      <c r="E7208" s="15">
        <v>1.286</v>
      </c>
      <c r="F7208" s="15">
        <v>1.286</v>
      </c>
      <c r="G7208" s="11">
        <v>0</v>
      </c>
      <c r="H7208" s="9">
        <f>MAX($F$7144:F7208)</f>
        <v>1.292</v>
      </c>
      <c r="I7208" s="11">
        <f t="shared" si="178"/>
        <v>0.00464396284829727</v>
      </c>
      <c r="J7208" s="9"/>
      <c r="K7208" s="11"/>
      <c r="L7208" s="9"/>
      <c r="M7208" s="11"/>
      <c r="N7208" s="9" t="s">
        <v>1015</v>
      </c>
    </row>
    <row r="7209" ht="25" customHeight="1" spans="1:14">
      <c r="A7209" s="9" t="s">
        <v>343</v>
      </c>
      <c r="B7209" s="9" t="s">
        <v>342</v>
      </c>
      <c r="C7209" s="10">
        <v>46126</v>
      </c>
      <c r="D7209" s="15">
        <v>1.286</v>
      </c>
      <c r="E7209" s="15">
        <v>1.286</v>
      </c>
      <c r="F7209" s="15">
        <v>1.286</v>
      </c>
      <c r="G7209" s="11">
        <v>0</v>
      </c>
      <c r="H7209" s="9">
        <f>MAX($F$7144:F7209)</f>
        <v>1.292</v>
      </c>
      <c r="I7209" s="11">
        <f t="shared" si="178"/>
        <v>0.00464396284829727</v>
      </c>
      <c r="J7209" s="9"/>
      <c r="K7209" s="11"/>
      <c r="L7209" s="9"/>
      <c r="M7209" s="11"/>
      <c r="N7209" s="9" t="s">
        <v>1015</v>
      </c>
    </row>
    <row r="7210" ht="25" customHeight="1" spans="1:14">
      <c r="A7210" s="9" t="s">
        <v>343</v>
      </c>
      <c r="B7210" s="9" t="s">
        <v>342</v>
      </c>
      <c r="C7210" s="10">
        <v>46127</v>
      </c>
      <c r="D7210" s="15">
        <v>1.287</v>
      </c>
      <c r="E7210" s="15">
        <v>1.287</v>
      </c>
      <c r="F7210" s="15">
        <v>1.287</v>
      </c>
      <c r="G7210" s="11">
        <v>0.0008</v>
      </c>
      <c r="H7210" s="9">
        <f>MAX($F$7144:F7210)</f>
        <v>1.292</v>
      </c>
      <c r="I7210" s="11">
        <f t="shared" si="178"/>
        <v>0.00386996904024772</v>
      </c>
      <c r="J7210" s="9"/>
      <c r="K7210" s="11"/>
      <c r="L7210" s="9"/>
      <c r="M7210" s="11"/>
      <c r="N7210" s="9" t="s">
        <v>1015</v>
      </c>
    </row>
    <row r="7211" ht="25" customHeight="1" spans="1:14">
      <c r="A7211" s="9" t="s">
        <v>343</v>
      </c>
      <c r="B7211" s="9" t="s">
        <v>342</v>
      </c>
      <c r="C7211" s="10">
        <v>46128</v>
      </c>
      <c r="D7211" s="15">
        <v>1.285</v>
      </c>
      <c r="E7211" s="15">
        <v>1.285</v>
      </c>
      <c r="F7211" s="15">
        <v>1.285</v>
      </c>
      <c r="G7211" s="11">
        <v>-0.0016</v>
      </c>
      <c r="H7211" s="9">
        <f>MAX($F$7144:F7211)</f>
        <v>1.292</v>
      </c>
      <c r="I7211" s="11">
        <f t="shared" si="178"/>
        <v>0.00541795665634681</v>
      </c>
      <c r="J7211" s="9"/>
      <c r="K7211" s="11"/>
      <c r="L7211" s="9"/>
      <c r="M7211" s="11"/>
      <c r="N7211" s="9" t="s">
        <v>1015</v>
      </c>
    </row>
    <row r="7212" ht="25" customHeight="1" spans="1:14">
      <c r="A7212" s="9" t="s">
        <v>343</v>
      </c>
      <c r="B7212" s="9" t="s">
        <v>342</v>
      </c>
      <c r="C7212" s="10">
        <v>46129</v>
      </c>
      <c r="D7212" s="15">
        <v>1.289</v>
      </c>
      <c r="E7212" s="15">
        <v>1.289</v>
      </c>
      <c r="F7212" s="15">
        <v>1.289</v>
      </c>
      <c r="G7212" s="11">
        <v>0.0031</v>
      </c>
      <c r="H7212" s="9">
        <f>MAX($F$7144:F7212)</f>
        <v>1.292</v>
      </c>
      <c r="I7212" s="11">
        <f t="shared" si="178"/>
        <v>0.00232198142414874</v>
      </c>
      <c r="J7212" s="9"/>
      <c r="K7212" s="11"/>
      <c r="L7212" s="9"/>
      <c r="M7212" s="11"/>
      <c r="N7212" s="9" t="s">
        <v>1015</v>
      </c>
    </row>
    <row r="7213" ht="25" customHeight="1" spans="1:14">
      <c r="A7213" s="9" t="s">
        <v>343</v>
      </c>
      <c r="B7213" s="9" t="s">
        <v>342</v>
      </c>
      <c r="C7213" s="10">
        <v>46132</v>
      </c>
      <c r="D7213" s="15">
        <v>1.288</v>
      </c>
      <c r="E7213" s="15">
        <v>1.288</v>
      </c>
      <c r="F7213" s="15">
        <v>1.288</v>
      </c>
      <c r="G7213" s="11">
        <v>-0.0008</v>
      </c>
      <c r="H7213" s="9">
        <f>MAX($F$7144:F7213)</f>
        <v>1.292</v>
      </c>
      <c r="I7213" s="11">
        <f t="shared" si="178"/>
        <v>0.00309597523219818</v>
      </c>
      <c r="J7213" s="9"/>
      <c r="K7213" s="11"/>
      <c r="L7213" s="9"/>
      <c r="M7213" s="11"/>
      <c r="N7213" s="9" t="s">
        <v>1015</v>
      </c>
    </row>
    <row r="7214" ht="25" customHeight="1" spans="1:14">
      <c r="A7214" s="9" t="s">
        <v>343</v>
      </c>
      <c r="B7214" s="9" t="s">
        <v>342</v>
      </c>
      <c r="C7214" s="10">
        <v>46133</v>
      </c>
      <c r="D7214" s="15">
        <v>1.289</v>
      </c>
      <c r="E7214" s="15">
        <v>1.289</v>
      </c>
      <c r="F7214" s="15">
        <v>1.289</v>
      </c>
      <c r="G7214" s="11">
        <v>0.0008</v>
      </c>
      <c r="H7214" s="9">
        <f>MAX($F$7144:F7214)</f>
        <v>1.292</v>
      </c>
      <c r="I7214" s="11">
        <f t="shared" si="178"/>
        <v>0.00232198142414874</v>
      </c>
      <c r="J7214" s="9"/>
      <c r="K7214" s="11"/>
      <c r="L7214" s="9"/>
      <c r="M7214" s="11"/>
      <c r="N7214" s="9" t="s">
        <v>1015</v>
      </c>
    </row>
    <row r="7215" ht="25" customHeight="1" spans="1:14">
      <c r="A7215" s="9" t="s">
        <v>343</v>
      </c>
      <c r="B7215" s="9" t="s">
        <v>342</v>
      </c>
      <c r="C7215" s="10">
        <v>46134</v>
      </c>
      <c r="D7215" s="15">
        <v>1.289</v>
      </c>
      <c r="E7215" s="15">
        <v>1.289</v>
      </c>
      <c r="F7215" s="15">
        <v>1.289</v>
      </c>
      <c r="G7215" s="11">
        <v>0</v>
      </c>
      <c r="H7215" s="9">
        <f>MAX($F$7144:F7215)</f>
        <v>1.292</v>
      </c>
      <c r="I7215" s="11">
        <f t="shared" si="178"/>
        <v>0.00232198142414874</v>
      </c>
      <c r="J7215" s="9"/>
      <c r="K7215" s="11"/>
      <c r="L7215" s="9"/>
      <c r="M7215" s="11"/>
      <c r="N7215" s="9" t="s">
        <v>1015</v>
      </c>
    </row>
    <row r="7216" ht="25" customHeight="1" spans="1:14">
      <c r="A7216" s="9" t="s">
        <v>343</v>
      </c>
      <c r="B7216" s="9" t="s">
        <v>342</v>
      </c>
      <c r="C7216" s="10">
        <v>46135</v>
      </c>
      <c r="D7216" s="15">
        <v>1.289</v>
      </c>
      <c r="E7216" s="15">
        <v>1.289</v>
      </c>
      <c r="F7216" s="15">
        <v>1.289</v>
      </c>
      <c r="G7216" s="11">
        <v>0</v>
      </c>
      <c r="H7216" s="9">
        <f>MAX($F$7144:F7216)</f>
        <v>1.292</v>
      </c>
      <c r="I7216" s="11">
        <f t="shared" si="178"/>
        <v>0.00232198142414874</v>
      </c>
      <c r="J7216" s="9"/>
      <c r="K7216" s="11"/>
      <c r="L7216" s="9"/>
      <c r="M7216" s="11"/>
      <c r="N7216" s="9" t="s">
        <v>1015</v>
      </c>
    </row>
    <row r="7217" ht="25" customHeight="1" spans="1:14">
      <c r="A7217" s="9" t="s">
        <v>343</v>
      </c>
      <c r="B7217" s="9" t="s">
        <v>342</v>
      </c>
      <c r="C7217" s="10">
        <v>46136</v>
      </c>
      <c r="D7217" s="15">
        <v>1.289</v>
      </c>
      <c r="E7217" s="15">
        <v>1.289</v>
      </c>
      <c r="F7217" s="15">
        <v>1.289</v>
      </c>
      <c r="G7217" s="11">
        <v>0</v>
      </c>
      <c r="H7217" s="9">
        <f>MAX($F$7144:F7217)</f>
        <v>1.292</v>
      </c>
      <c r="I7217" s="11">
        <f t="shared" si="178"/>
        <v>0.00232198142414874</v>
      </c>
      <c r="J7217" s="9"/>
      <c r="K7217" s="11"/>
      <c r="L7217" s="9"/>
      <c r="M7217" s="11"/>
      <c r="N7217" s="9" t="s">
        <v>1015</v>
      </c>
    </row>
    <row r="7218" ht="25" customHeight="1" spans="1:14">
      <c r="A7218" s="9" t="s">
        <v>343</v>
      </c>
      <c r="B7218" s="9" t="s">
        <v>342</v>
      </c>
      <c r="C7218" s="10">
        <v>46139</v>
      </c>
      <c r="D7218" s="15">
        <v>1.292</v>
      </c>
      <c r="E7218" s="15">
        <v>1.292</v>
      </c>
      <c r="F7218" s="15">
        <v>1.292</v>
      </c>
      <c r="G7218" s="11">
        <v>0.0023</v>
      </c>
      <c r="H7218" s="9">
        <f>MAX($F$7144:F7218)</f>
        <v>1.292</v>
      </c>
      <c r="I7218" s="11">
        <f t="shared" si="178"/>
        <v>0</v>
      </c>
      <c r="J7218" s="9"/>
      <c r="K7218" s="11"/>
      <c r="L7218" s="9"/>
      <c r="M7218" s="11"/>
      <c r="N7218" s="9" t="s">
        <v>1015</v>
      </c>
    </row>
    <row r="7219" ht="25" customHeight="1" spans="1:14">
      <c r="A7219" s="9" t="s">
        <v>343</v>
      </c>
      <c r="B7219" s="9" t="s">
        <v>342</v>
      </c>
      <c r="C7219" s="10">
        <v>46140</v>
      </c>
      <c r="D7219" s="15">
        <v>1.292</v>
      </c>
      <c r="E7219" s="15">
        <v>1.292</v>
      </c>
      <c r="F7219" s="15">
        <v>1.292</v>
      </c>
      <c r="G7219" s="11">
        <v>0</v>
      </c>
      <c r="H7219" s="9">
        <f>MAX($F$7144:F7219)</f>
        <v>1.292</v>
      </c>
      <c r="I7219" s="11">
        <f t="shared" si="178"/>
        <v>0</v>
      </c>
      <c r="J7219" s="9"/>
      <c r="K7219" s="11"/>
      <c r="L7219" s="9"/>
      <c r="M7219" s="11"/>
      <c r="N7219" s="9" t="s">
        <v>1015</v>
      </c>
    </row>
    <row r="7220" ht="25" customHeight="1" spans="1:14">
      <c r="A7220" s="9" t="s">
        <v>343</v>
      </c>
      <c r="B7220" s="9" t="s">
        <v>342</v>
      </c>
      <c r="C7220" s="10">
        <v>46141</v>
      </c>
      <c r="D7220" s="15">
        <v>1.293</v>
      </c>
      <c r="E7220" s="15">
        <v>1.293</v>
      </c>
      <c r="F7220" s="15">
        <v>1.293</v>
      </c>
      <c r="G7220" s="11">
        <v>0.0008</v>
      </c>
      <c r="H7220" s="9">
        <f>MAX($F$7144:F7220)</f>
        <v>1.293</v>
      </c>
      <c r="I7220" s="11">
        <f t="shared" si="178"/>
        <v>0</v>
      </c>
      <c r="J7220" s="9"/>
      <c r="K7220" s="11"/>
      <c r="L7220" s="9"/>
      <c r="M7220" s="11"/>
      <c r="N7220" s="9" t="s">
        <v>1015</v>
      </c>
    </row>
    <row r="7221" ht="25" customHeight="1" spans="1:14">
      <c r="A7221" s="9" t="s">
        <v>343</v>
      </c>
      <c r="B7221" s="9" t="s">
        <v>342</v>
      </c>
      <c r="C7221" s="10">
        <v>46142</v>
      </c>
      <c r="D7221" s="15">
        <v>1.29</v>
      </c>
      <c r="E7221" s="15">
        <v>1.29</v>
      </c>
      <c r="F7221" s="15">
        <v>1.29</v>
      </c>
      <c r="G7221" s="11">
        <v>-0.0023</v>
      </c>
      <c r="H7221" s="9">
        <f>MAX($F$7144:F7221)</f>
        <v>1.293</v>
      </c>
      <c r="I7221" s="11">
        <f t="shared" si="178"/>
        <v>0.00232018561484915</v>
      </c>
      <c r="J7221" s="9"/>
      <c r="K7221" s="11"/>
      <c r="L7221" s="9"/>
      <c r="M7221" s="11"/>
      <c r="N7221" s="9" t="s">
        <v>1015</v>
      </c>
    </row>
    <row r="7222" ht="25" customHeight="1" spans="1:14">
      <c r="A7222" s="9" t="s">
        <v>343</v>
      </c>
      <c r="B7222" s="9" t="s">
        <v>342</v>
      </c>
      <c r="C7222" s="10">
        <v>46148</v>
      </c>
      <c r="D7222" s="15">
        <v>1.284</v>
      </c>
      <c r="E7222" s="15">
        <v>1.284</v>
      </c>
      <c r="F7222" s="15">
        <v>1.284</v>
      </c>
      <c r="G7222" s="11">
        <v>-0.0047</v>
      </c>
      <c r="H7222" s="9">
        <f>MAX($F$7144:F7222)</f>
        <v>1.293</v>
      </c>
      <c r="I7222" s="11">
        <f t="shared" si="178"/>
        <v>0.00696055684454744</v>
      </c>
      <c r="J7222" s="9"/>
      <c r="K7222" s="11"/>
      <c r="L7222" s="9"/>
      <c r="M7222" s="11"/>
      <c r="N7222" s="9" t="s">
        <v>1015</v>
      </c>
    </row>
    <row r="7223" ht="25" customHeight="1" spans="1:14">
      <c r="A7223" s="9" t="s">
        <v>343</v>
      </c>
      <c r="B7223" s="9" t="s">
        <v>342</v>
      </c>
      <c r="C7223" s="10">
        <v>46149</v>
      </c>
      <c r="D7223" s="15">
        <v>1.282</v>
      </c>
      <c r="E7223" s="15">
        <v>1.282</v>
      </c>
      <c r="F7223" s="15">
        <v>1.282</v>
      </c>
      <c r="G7223" s="11">
        <v>-0.0016</v>
      </c>
      <c r="H7223" s="9">
        <f>MAX($F$7144:F7223)</f>
        <v>1.293</v>
      </c>
      <c r="I7223" s="11">
        <f t="shared" si="178"/>
        <v>0.00850734725444691</v>
      </c>
      <c r="J7223" s="9"/>
      <c r="K7223" s="11"/>
      <c r="L7223" s="9"/>
      <c r="M7223" s="11"/>
      <c r="N7223" s="9" t="s">
        <v>1015</v>
      </c>
    </row>
    <row r="7224" ht="25" customHeight="1" spans="1:14">
      <c r="A7224" s="9" t="s">
        <v>343</v>
      </c>
      <c r="B7224" s="9" t="s">
        <v>342</v>
      </c>
      <c r="C7224" s="10">
        <v>46150</v>
      </c>
      <c r="D7224" s="15">
        <v>1.288</v>
      </c>
      <c r="E7224" s="15">
        <v>1.288</v>
      </c>
      <c r="F7224" s="15">
        <v>1.288</v>
      </c>
      <c r="G7224" s="11">
        <v>0.0047</v>
      </c>
      <c r="H7224" s="9">
        <f>MAX($F$7144:F7224)</f>
        <v>1.293</v>
      </c>
      <c r="I7224" s="11">
        <f t="shared" si="178"/>
        <v>0.00386697602474861</v>
      </c>
      <c r="J7224" s="9"/>
      <c r="K7224" s="11"/>
      <c r="L7224" s="9"/>
      <c r="M7224" s="11"/>
      <c r="N7224" s="9" t="s">
        <v>1015</v>
      </c>
    </row>
    <row r="7225" ht="25" customHeight="1" spans="1:14">
      <c r="A7225" s="9" t="s">
        <v>343</v>
      </c>
      <c r="B7225" s="9" t="s">
        <v>342</v>
      </c>
      <c r="C7225" s="10">
        <v>46153</v>
      </c>
      <c r="D7225" s="15">
        <v>1.28</v>
      </c>
      <c r="E7225" s="15">
        <v>1.28</v>
      </c>
      <c r="F7225" s="15">
        <v>1.28</v>
      </c>
      <c r="G7225" s="11">
        <v>-0.0062</v>
      </c>
      <c r="H7225" s="9">
        <f>MAX($F$7144:F7225)</f>
        <v>1.293</v>
      </c>
      <c r="I7225" s="11">
        <f t="shared" si="178"/>
        <v>0.0100541376643464</v>
      </c>
      <c r="J7225" s="9"/>
      <c r="K7225" s="11"/>
      <c r="L7225" s="9"/>
      <c r="M7225" s="11"/>
      <c r="N7225" s="9" t="s">
        <v>1015</v>
      </c>
    </row>
    <row r="7226" ht="25" customHeight="1" spans="1:14">
      <c r="A7226" s="9" t="s">
        <v>343</v>
      </c>
      <c r="B7226" s="9" t="s">
        <v>342</v>
      </c>
      <c r="C7226" s="10">
        <v>46154</v>
      </c>
      <c r="D7226" s="15">
        <v>1.28</v>
      </c>
      <c r="E7226" s="15">
        <v>1.28</v>
      </c>
      <c r="F7226" s="15">
        <v>1.28</v>
      </c>
      <c r="G7226" s="11">
        <v>0</v>
      </c>
      <c r="H7226" s="9">
        <f>MAX($F$7144:F7226)</f>
        <v>1.293</v>
      </c>
      <c r="I7226" s="11">
        <f t="shared" si="178"/>
        <v>0.0100541376643464</v>
      </c>
      <c r="J7226" s="9"/>
      <c r="K7226" s="11"/>
      <c r="L7226" s="9"/>
      <c r="M7226" s="11"/>
      <c r="N7226" s="9" t="s">
        <v>1015</v>
      </c>
    </row>
    <row r="7227" ht="25" customHeight="1" spans="1:14">
      <c r="A7227" s="9" t="s">
        <v>343</v>
      </c>
      <c r="B7227" s="9" t="s">
        <v>342</v>
      </c>
      <c r="C7227" s="10">
        <v>46155</v>
      </c>
      <c r="D7227" s="15">
        <v>1.281</v>
      </c>
      <c r="E7227" s="15">
        <v>1.281</v>
      </c>
      <c r="F7227" s="15">
        <v>1.281</v>
      </c>
      <c r="G7227" s="11">
        <v>0.0008</v>
      </c>
      <c r="H7227" s="9">
        <f>MAX($F$7144:F7227)</f>
        <v>1.293</v>
      </c>
      <c r="I7227" s="11">
        <f t="shared" si="178"/>
        <v>0.00928074245939681</v>
      </c>
      <c r="J7227" s="9"/>
      <c r="K7227" s="11"/>
      <c r="L7227" s="9"/>
      <c r="M7227" s="11"/>
      <c r="N7227" s="9" t="s">
        <v>1015</v>
      </c>
    </row>
    <row r="7228" ht="25" customHeight="1" spans="1:14">
      <c r="A7228" s="9" t="s">
        <v>343</v>
      </c>
      <c r="B7228" s="9" t="s">
        <v>342</v>
      </c>
      <c r="C7228" s="10">
        <v>46156</v>
      </c>
      <c r="D7228" s="15">
        <v>1.286</v>
      </c>
      <c r="E7228" s="15">
        <v>1.286</v>
      </c>
      <c r="F7228" s="15">
        <v>1.286</v>
      </c>
      <c r="G7228" s="11">
        <v>0.0039</v>
      </c>
      <c r="H7228" s="9">
        <f>MAX($F$7144:F7228)</f>
        <v>1.293</v>
      </c>
      <c r="I7228" s="11">
        <f t="shared" si="178"/>
        <v>0.00541376643464797</v>
      </c>
      <c r="J7228" s="9"/>
      <c r="K7228" s="11"/>
      <c r="L7228" s="9"/>
      <c r="M7228" s="11"/>
      <c r="N7228" s="9" t="s">
        <v>1015</v>
      </c>
    </row>
    <row r="7229" ht="25" customHeight="1" spans="1:14">
      <c r="A7229" s="9" t="s">
        <v>343</v>
      </c>
      <c r="B7229" s="9" t="s">
        <v>342</v>
      </c>
      <c r="C7229" s="10">
        <v>46157</v>
      </c>
      <c r="D7229" s="15">
        <v>1.288</v>
      </c>
      <c r="E7229" s="15">
        <v>1.288</v>
      </c>
      <c r="F7229" s="15">
        <v>1.288</v>
      </c>
      <c r="G7229" s="11">
        <v>0.0016</v>
      </c>
      <c r="H7229" s="9">
        <f>MAX($F$7144:F7229)</f>
        <v>1.293</v>
      </c>
      <c r="I7229" s="11">
        <f t="shared" si="178"/>
        <v>0.00386697602474861</v>
      </c>
      <c r="J7229" s="9"/>
      <c r="K7229" s="11"/>
      <c r="L7229" s="9"/>
      <c r="M7229" s="11"/>
      <c r="N7229" s="9" t="s">
        <v>1015</v>
      </c>
    </row>
    <row r="7230" ht="25" customHeight="1" spans="1:14">
      <c r="A7230" s="9" t="s">
        <v>343</v>
      </c>
      <c r="B7230" s="9" t="s">
        <v>342</v>
      </c>
      <c r="C7230" s="10">
        <v>46160</v>
      </c>
      <c r="D7230" s="15">
        <v>1.29</v>
      </c>
      <c r="E7230" s="15">
        <v>1.29</v>
      </c>
      <c r="F7230" s="15">
        <v>1.29</v>
      </c>
      <c r="G7230" s="11">
        <v>0.0016</v>
      </c>
      <c r="H7230" s="9">
        <f>MAX($F$7144:F7230)</f>
        <v>1.293</v>
      </c>
      <c r="I7230" s="11">
        <f t="shared" si="178"/>
        <v>0.00232018561484915</v>
      </c>
      <c r="J7230" s="9"/>
      <c r="K7230" s="11"/>
      <c r="L7230" s="9"/>
      <c r="M7230" s="11"/>
      <c r="N7230" s="9" t="s">
        <v>1015</v>
      </c>
    </row>
    <row r="7231" ht="25" customHeight="1" spans="1:14">
      <c r="A7231" s="9" t="s">
        <v>343</v>
      </c>
      <c r="B7231" s="9" t="s">
        <v>342</v>
      </c>
      <c r="C7231" s="10">
        <v>46161</v>
      </c>
      <c r="D7231" s="15">
        <v>1.29</v>
      </c>
      <c r="E7231" s="15">
        <v>1.29</v>
      </c>
      <c r="F7231" s="15">
        <v>1.29</v>
      </c>
      <c r="G7231" s="11">
        <v>0</v>
      </c>
      <c r="H7231" s="9">
        <f>MAX($F$7144:F7231)</f>
        <v>1.293</v>
      </c>
      <c r="I7231" s="11">
        <f t="shared" si="178"/>
        <v>0.00232018561484915</v>
      </c>
      <c r="J7231" s="9"/>
      <c r="K7231" s="11"/>
      <c r="L7231" s="9"/>
      <c r="M7231" s="11"/>
      <c r="N7231" s="9" t="s">
        <v>1015</v>
      </c>
    </row>
    <row r="7232" ht="25" customHeight="1" spans="1:14">
      <c r="A7232" s="9" t="s">
        <v>343</v>
      </c>
      <c r="B7232" s="9" t="s">
        <v>342</v>
      </c>
      <c r="C7232" s="10">
        <v>46162</v>
      </c>
      <c r="D7232" s="15">
        <v>1.291</v>
      </c>
      <c r="E7232" s="15">
        <v>1.291</v>
      </c>
      <c r="F7232" s="15">
        <v>1.291</v>
      </c>
      <c r="G7232" s="11">
        <v>0.0008</v>
      </c>
      <c r="H7232" s="9">
        <f>MAX($F$7144:F7232)</f>
        <v>1.293</v>
      </c>
      <c r="I7232" s="11">
        <f t="shared" si="178"/>
        <v>0.00154679040989947</v>
      </c>
      <c r="J7232" s="9"/>
      <c r="K7232" s="11"/>
      <c r="L7232" s="9"/>
      <c r="M7232" s="11"/>
      <c r="N7232" s="9" t="s">
        <v>1015</v>
      </c>
    </row>
    <row r="7233" ht="25" customHeight="1" spans="1:14">
      <c r="A7233" s="9" t="s">
        <v>343</v>
      </c>
      <c r="B7233" s="9" t="s">
        <v>342</v>
      </c>
      <c r="C7233" s="10">
        <v>46163</v>
      </c>
      <c r="D7233" s="15">
        <v>1.29</v>
      </c>
      <c r="E7233" s="15">
        <v>1.29</v>
      </c>
      <c r="F7233" s="15">
        <v>1.29</v>
      </c>
      <c r="G7233" s="11">
        <v>-0.0008</v>
      </c>
      <c r="H7233" s="9">
        <f>MAX($F$7144:F7233)</f>
        <v>1.293</v>
      </c>
      <c r="I7233" s="11">
        <f t="shared" si="178"/>
        <v>0.00232018561484915</v>
      </c>
      <c r="J7233" s="9"/>
      <c r="K7233" s="11"/>
      <c r="L7233" s="9"/>
      <c r="M7233" s="11"/>
      <c r="N7233" s="9" t="s">
        <v>1015</v>
      </c>
    </row>
    <row r="7234" ht="25" customHeight="1" spans="1:14">
      <c r="A7234" s="9" t="s">
        <v>343</v>
      </c>
      <c r="B7234" s="9" t="s">
        <v>342</v>
      </c>
      <c r="C7234" s="10">
        <v>46164</v>
      </c>
      <c r="D7234" s="15">
        <v>1.29</v>
      </c>
      <c r="E7234" s="15">
        <v>1.29</v>
      </c>
      <c r="F7234" s="15">
        <v>1.29</v>
      </c>
      <c r="G7234" s="11">
        <v>0</v>
      </c>
      <c r="H7234" s="9">
        <f>MAX($F$7144:F7234)</f>
        <v>1.293</v>
      </c>
      <c r="I7234" s="11">
        <f t="shared" ref="I7234:I7297" si="179">1-F7234/H7234</f>
        <v>0.00232018561484915</v>
      </c>
      <c r="J7234" s="9"/>
      <c r="K7234" s="11"/>
      <c r="L7234" s="9"/>
      <c r="M7234" s="11"/>
      <c r="N7234" s="9" t="s">
        <v>1015</v>
      </c>
    </row>
    <row r="7235" ht="25" customHeight="1" spans="1:14">
      <c r="A7235" s="9" t="s">
        <v>343</v>
      </c>
      <c r="B7235" s="9" t="s">
        <v>342</v>
      </c>
      <c r="C7235" s="10">
        <v>46167</v>
      </c>
      <c r="D7235" s="15">
        <v>1.291</v>
      </c>
      <c r="E7235" s="15">
        <v>1.291</v>
      </c>
      <c r="F7235" s="15">
        <v>1.291</v>
      </c>
      <c r="G7235" s="11">
        <v>0.0008</v>
      </c>
      <c r="H7235" s="9">
        <f>MAX($F$7144:F7235)</f>
        <v>1.293</v>
      </c>
      <c r="I7235" s="11">
        <f t="shared" si="179"/>
        <v>0.00154679040989947</v>
      </c>
      <c r="J7235" s="9"/>
      <c r="K7235" s="11"/>
      <c r="L7235" s="9"/>
      <c r="M7235" s="11"/>
      <c r="N7235" s="9" t="s">
        <v>1015</v>
      </c>
    </row>
    <row r="7236" ht="25" customHeight="1" spans="1:14">
      <c r="A7236" s="9" t="s">
        <v>343</v>
      </c>
      <c r="B7236" s="9" t="s">
        <v>342</v>
      </c>
      <c r="C7236" s="10">
        <v>46168</v>
      </c>
      <c r="D7236" s="15">
        <v>1.291</v>
      </c>
      <c r="E7236" s="15">
        <v>1.291</v>
      </c>
      <c r="F7236" s="15">
        <v>1.291</v>
      </c>
      <c r="G7236" s="11">
        <v>0</v>
      </c>
      <c r="H7236" s="9">
        <f>MAX($F$7144:F7236)</f>
        <v>1.293</v>
      </c>
      <c r="I7236" s="11">
        <f t="shared" si="179"/>
        <v>0.00154679040989947</v>
      </c>
      <c r="J7236" s="9"/>
      <c r="K7236" s="11"/>
      <c r="L7236" s="9"/>
      <c r="M7236" s="11"/>
      <c r="N7236" s="9" t="s">
        <v>1015</v>
      </c>
    </row>
    <row r="7237" ht="25" customHeight="1" spans="1:14">
      <c r="A7237" s="9" t="s">
        <v>343</v>
      </c>
      <c r="B7237" s="9" t="s">
        <v>342</v>
      </c>
      <c r="C7237" s="10">
        <v>46169</v>
      </c>
      <c r="D7237" s="15">
        <v>1.29</v>
      </c>
      <c r="E7237" s="15">
        <v>1.29</v>
      </c>
      <c r="F7237" s="15">
        <v>1.29</v>
      </c>
      <c r="G7237" s="11">
        <v>-0.0008</v>
      </c>
      <c r="H7237" s="9">
        <f>MAX($F$7144:F7237)</f>
        <v>1.293</v>
      </c>
      <c r="I7237" s="11">
        <f t="shared" si="179"/>
        <v>0.00232018561484915</v>
      </c>
      <c r="J7237" s="9"/>
      <c r="K7237" s="11"/>
      <c r="L7237" s="9"/>
      <c r="M7237" s="11"/>
      <c r="N7237" s="9" t="s">
        <v>1015</v>
      </c>
    </row>
    <row r="7238" ht="25" customHeight="1" spans="1:14">
      <c r="A7238" s="9" t="s">
        <v>343</v>
      </c>
      <c r="B7238" s="9" t="s">
        <v>342</v>
      </c>
      <c r="C7238" s="10">
        <v>46170</v>
      </c>
      <c r="D7238" s="15">
        <v>1.29</v>
      </c>
      <c r="E7238" s="15">
        <v>1.29</v>
      </c>
      <c r="F7238" s="15">
        <v>1.29</v>
      </c>
      <c r="G7238" s="11">
        <v>0</v>
      </c>
      <c r="H7238" s="9">
        <f>MAX($F$7144:F7238)</f>
        <v>1.293</v>
      </c>
      <c r="I7238" s="11">
        <f t="shared" si="179"/>
        <v>0.00232018561484915</v>
      </c>
      <c r="J7238" s="9"/>
      <c r="K7238" s="11"/>
      <c r="L7238" s="9"/>
      <c r="M7238" s="11"/>
      <c r="N7238" s="9" t="s">
        <v>1015</v>
      </c>
    </row>
    <row r="7239" ht="25" customHeight="1" spans="1:14">
      <c r="A7239" s="9" t="s">
        <v>343</v>
      </c>
      <c r="B7239" s="9" t="s">
        <v>342</v>
      </c>
      <c r="C7239" s="10">
        <v>46171</v>
      </c>
      <c r="D7239" s="15">
        <v>1.291</v>
      </c>
      <c r="E7239" s="15">
        <v>1.291</v>
      </c>
      <c r="F7239" s="15">
        <v>1.291</v>
      </c>
      <c r="G7239" s="11">
        <v>0.0008</v>
      </c>
      <c r="H7239" s="9">
        <f>MAX($F$7144:F7239)</f>
        <v>1.293</v>
      </c>
      <c r="I7239" s="11">
        <f t="shared" si="179"/>
        <v>0.00154679040989947</v>
      </c>
      <c r="J7239" s="9"/>
      <c r="K7239" s="11"/>
      <c r="L7239" s="9"/>
      <c r="M7239" s="11"/>
      <c r="N7239" s="9" t="s">
        <v>1015</v>
      </c>
    </row>
    <row r="7240" ht="25" customHeight="1" spans="1:14">
      <c r="A7240" s="9" t="s">
        <v>343</v>
      </c>
      <c r="B7240" s="9" t="s">
        <v>342</v>
      </c>
      <c r="C7240" s="10">
        <v>46174</v>
      </c>
      <c r="D7240" s="15">
        <v>1.29</v>
      </c>
      <c r="E7240" s="15">
        <v>1.29</v>
      </c>
      <c r="F7240" s="15">
        <v>1.29</v>
      </c>
      <c r="G7240" s="11">
        <v>-0.0008</v>
      </c>
      <c r="H7240" s="9">
        <f>MAX($F$7144:F7240)</f>
        <v>1.293</v>
      </c>
      <c r="I7240" s="11">
        <f t="shared" si="179"/>
        <v>0.00232018561484915</v>
      </c>
      <c r="J7240" s="9"/>
      <c r="K7240" s="11"/>
      <c r="L7240" s="9"/>
      <c r="M7240" s="11"/>
      <c r="N7240" s="9" t="s">
        <v>1015</v>
      </c>
    </row>
    <row r="7241" ht="25" customHeight="1" spans="1:14">
      <c r="A7241" s="9" t="s">
        <v>343</v>
      </c>
      <c r="B7241" s="9" t="s">
        <v>342</v>
      </c>
      <c r="C7241" s="10">
        <v>46175</v>
      </c>
      <c r="D7241" s="15">
        <v>1.291</v>
      </c>
      <c r="E7241" s="15">
        <v>1.291</v>
      </c>
      <c r="F7241" s="15">
        <v>1.291</v>
      </c>
      <c r="G7241" s="11">
        <v>0.0008</v>
      </c>
      <c r="H7241" s="9">
        <f>MAX($F$7144:F7241)</f>
        <v>1.293</v>
      </c>
      <c r="I7241" s="11">
        <f t="shared" si="179"/>
        <v>0.00154679040989947</v>
      </c>
      <c r="J7241" s="9"/>
      <c r="K7241" s="11"/>
      <c r="L7241" s="9"/>
      <c r="M7241" s="11"/>
      <c r="N7241" s="9" t="s">
        <v>1015</v>
      </c>
    </row>
    <row r="7242" ht="25" customHeight="1" spans="1:14">
      <c r="A7242" s="9" t="s">
        <v>343</v>
      </c>
      <c r="B7242" s="9" t="s">
        <v>342</v>
      </c>
      <c r="C7242" s="10">
        <v>46176</v>
      </c>
      <c r="D7242" s="15">
        <v>1.291</v>
      </c>
      <c r="E7242" s="15">
        <v>1.291</v>
      </c>
      <c r="F7242" s="15">
        <v>1.291</v>
      </c>
      <c r="G7242" s="11">
        <v>0</v>
      </c>
      <c r="H7242" s="9">
        <f>MAX($F$7144:F7242)</f>
        <v>1.293</v>
      </c>
      <c r="I7242" s="11">
        <f t="shared" si="179"/>
        <v>0.00154679040989947</v>
      </c>
      <c r="J7242" s="9"/>
      <c r="K7242" s="11"/>
      <c r="L7242" s="9"/>
      <c r="M7242" s="11"/>
      <c r="N7242" s="9" t="s">
        <v>1015</v>
      </c>
    </row>
    <row r="7243" ht="25" customHeight="1" spans="1:14">
      <c r="A7243" s="9" t="s">
        <v>343</v>
      </c>
      <c r="B7243" s="9" t="s">
        <v>342</v>
      </c>
      <c r="C7243" s="10">
        <v>46177</v>
      </c>
      <c r="D7243" s="15">
        <v>1.291</v>
      </c>
      <c r="E7243" s="15">
        <v>1.291</v>
      </c>
      <c r="F7243" s="15">
        <v>1.291</v>
      </c>
      <c r="G7243" s="11">
        <v>0</v>
      </c>
      <c r="H7243" s="9">
        <f>MAX($F$7144:F7243)</f>
        <v>1.293</v>
      </c>
      <c r="I7243" s="11">
        <f t="shared" si="179"/>
        <v>0.00154679040989947</v>
      </c>
      <c r="J7243" s="9"/>
      <c r="K7243" s="11"/>
      <c r="L7243" s="9"/>
      <c r="M7243" s="11"/>
      <c r="N7243" s="9" t="s">
        <v>1015</v>
      </c>
    </row>
    <row r="7244" ht="25" customHeight="1" spans="1:14">
      <c r="A7244" s="9" t="s">
        <v>343</v>
      </c>
      <c r="B7244" s="9" t="s">
        <v>342</v>
      </c>
      <c r="C7244" s="10">
        <v>46178</v>
      </c>
      <c r="D7244" s="15">
        <v>1.29</v>
      </c>
      <c r="E7244" s="15">
        <v>1.29</v>
      </c>
      <c r="F7244" s="15">
        <v>1.29</v>
      </c>
      <c r="G7244" s="11">
        <v>-0.0008</v>
      </c>
      <c r="H7244" s="9">
        <f>MAX($F$7144:F7244)</f>
        <v>1.293</v>
      </c>
      <c r="I7244" s="11">
        <f t="shared" si="179"/>
        <v>0.00232018561484915</v>
      </c>
      <c r="J7244" s="9"/>
      <c r="K7244" s="11"/>
      <c r="L7244" s="9"/>
      <c r="M7244" s="11"/>
      <c r="N7244" s="9" t="s">
        <v>1015</v>
      </c>
    </row>
    <row r="7245" ht="25" customHeight="1" spans="1:14">
      <c r="A7245" s="9" t="s">
        <v>343</v>
      </c>
      <c r="B7245" s="9" t="s">
        <v>342</v>
      </c>
      <c r="C7245" s="10">
        <v>46181</v>
      </c>
      <c r="D7245" s="15">
        <v>1.286</v>
      </c>
      <c r="E7245" s="15">
        <v>1.286</v>
      </c>
      <c r="F7245" s="15">
        <v>1.286</v>
      </c>
      <c r="G7245" s="11">
        <v>-0.0031</v>
      </c>
      <c r="H7245" s="9">
        <f>MAX($F$7144:F7245)</f>
        <v>1.293</v>
      </c>
      <c r="I7245" s="11">
        <f t="shared" si="179"/>
        <v>0.00541376643464797</v>
      </c>
      <c r="J7245" s="9"/>
      <c r="K7245" s="11"/>
      <c r="L7245" s="9"/>
      <c r="M7245" s="11"/>
      <c r="N7245" s="9" t="s">
        <v>1015</v>
      </c>
    </row>
    <row r="7246" ht="25" customHeight="1" spans="1:14">
      <c r="A7246" s="9" t="s">
        <v>343</v>
      </c>
      <c r="B7246" s="9" t="s">
        <v>342</v>
      </c>
      <c r="C7246" s="10">
        <v>46182</v>
      </c>
      <c r="D7246" s="15">
        <v>1.29</v>
      </c>
      <c r="E7246" s="15">
        <v>1.29</v>
      </c>
      <c r="F7246" s="15">
        <v>1.29</v>
      </c>
      <c r="G7246" s="11">
        <v>0.0031</v>
      </c>
      <c r="H7246" s="9">
        <f>MAX($F$7144:F7246)</f>
        <v>1.293</v>
      </c>
      <c r="I7246" s="11">
        <f t="shared" si="179"/>
        <v>0.00232018561484915</v>
      </c>
      <c r="J7246" s="9"/>
      <c r="K7246" s="11"/>
      <c r="L7246" s="9"/>
      <c r="M7246" s="11"/>
      <c r="N7246" s="9" t="s">
        <v>1015</v>
      </c>
    </row>
    <row r="7247" ht="25" customHeight="1" spans="1:14">
      <c r="A7247" s="9" t="s">
        <v>343</v>
      </c>
      <c r="B7247" s="9" t="s">
        <v>342</v>
      </c>
      <c r="C7247" s="10">
        <v>46183</v>
      </c>
      <c r="D7247" s="15">
        <v>1.291</v>
      </c>
      <c r="E7247" s="15">
        <v>1.291</v>
      </c>
      <c r="F7247" s="15">
        <v>1.291</v>
      </c>
      <c r="G7247" s="11">
        <v>0.0008</v>
      </c>
      <c r="H7247" s="9">
        <f>MAX($F$7144:F7247)</f>
        <v>1.293</v>
      </c>
      <c r="I7247" s="11">
        <f t="shared" si="179"/>
        <v>0.00154679040989947</v>
      </c>
      <c r="J7247" s="9"/>
      <c r="K7247" s="11"/>
      <c r="L7247" s="9"/>
      <c r="M7247" s="11"/>
      <c r="N7247" s="9" t="s">
        <v>1015</v>
      </c>
    </row>
    <row r="7248" ht="25" customHeight="1" spans="1:14">
      <c r="A7248" s="9" t="s">
        <v>343</v>
      </c>
      <c r="B7248" s="9" t="s">
        <v>342</v>
      </c>
      <c r="C7248" s="10">
        <v>46184</v>
      </c>
      <c r="D7248" s="15">
        <v>1.292</v>
      </c>
      <c r="E7248" s="15">
        <v>1.292</v>
      </c>
      <c r="F7248" s="15">
        <v>1.292</v>
      </c>
      <c r="G7248" s="11">
        <v>0.0008</v>
      </c>
      <c r="H7248" s="9">
        <f>MAX($F$7144:F7248)</f>
        <v>1.293</v>
      </c>
      <c r="I7248" s="11">
        <f t="shared" si="179"/>
        <v>0.000773395204949678</v>
      </c>
      <c r="J7248" s="9"/>
      <c r="K7248" s="11"/>
      <c r="L7248" s="9"/>
      <c r="M7248" s="11"/>
      <c r="N7248" s="9" t="s">
        <v>1015</v>
      </c>
    </row>
    <row r="7249" ht="25" customHeight="1" spans="1:14">
      <c r="A7249" s="9" t="s">
        <v>343</v>
      </c>
      <c r="B7249" s="9" t="s">
        <v>342</v>
      </c>
      <c r="C7249" s="10">
        <v>46185</v>
      </c>
      <c r="D7249" s="15">
        <v>1.296</v>
      </c>
      <c r="E7249" s="15">
        <v>1.296</v>
      </c>
      <c r="F7249" s="15">
        <v>1.296</v>
      </c>
      <c r="G7249" s="11">
        <v>0.0031</v>
      </c>
      <c r="H7249" s="9">
        <f>MAX($F$7144:F7249)</f>
        <v>1.296</v>
      </c>
      <c r="I7249" s="11">
        <f t="shared" si="179"/>
        <v>0</v>
      </c>
      <c r="J7249" s="9"/>
      <c r="K7249" s="11"/>
      <c r="L7249" s="9"/>
      <c r="M7249" s="11"/>
      <c r="N7249" s="9" t="s">
        <v>1015</v>
      </c>
    </row>
    <row r="7250" ht="25" customHeight="1" spans="1:14">
      <c r="A7250" s="9" t="s">
        <v>343</v>
      </c>
      <c r="B7250" s="9" t="s">
        <v>342</v>
      </c>
      <c r="C7250" s="10">
        <v>46188</v>
      </c>
      <c r="D7250" s="15">
        <v>1.297</v>
      </c>
      <c r="E7250" s="15">
        <v>1.297</v>
      </c>
      <c r="F7250" s="15">
        <v>1.297</v>
      </c>
      <c r="G7250" s="11">
        <v>0.0008</v>
      </c>
      <c r="H7250" s="9">
        <f>MAX($F$7144:F7250)</f>
        <v>1.297</v>
      </c>
      <c r="I7250" s="11">
        <f t="shared" si="179"/>
        <v>0</v>
      </c>
      <c r="J7250" s="9"/>
      <c r="K7250" s="11"/>
      <c r="L7250" s="9"/>
      <c r="M7250" s="11"/>
      <c r="N7250" s="9" t="s">
        <v>1015</v>
      </c>
    </row>
    <row r="7251" ht="25" customHeight="1" spans="1:14">
      <c r="A7251" s="9" t="s">
        <v>343</v>
      </c>
      <c r="B7251" s="9" t="s">
        <v>342</v>
      </c>
      <c r="C7251" s="10">
        <v>46189</v>
      </c>
      <c r="D7251" s="15">
        <v>1.298</v>
      </c>
      <c r="E7251" s="15">
        <v>1.298</v>
      </c>
      <c r="F7251" s="15">
        <v>1.298</v>
      </c>
      <c r="G7251" s="11">
        <v>0.0008</v>
      </c>
      <c r="H7251" s="9">
        <f>MAX($F$7144:F7251)</f>
        <v>1.298</v>
      </c>
      <c r="I7251" s="11">
        <f t="shared" si="179"/>
        <v>0</v>
      </c>
      <c r="J7251" s="9"/>
      <c r="K7251" s="11"/>
      <c r="L7251" s="9"/>
      <c r="M7251" s="11"/>
      <c r="N7251" s="9" t="s">
        <v>1015</v>
      </c>
    </row>
    <row r="7252" ht="25" customHeight="1" spans="1:14">
      <c r="A7252" s="9" t="s">
        <v>343</v>
      </c>
      <c r="B7252" s="9" t="s">
        <v>342</v>
      </c>
      <c r="C7252" s="10">
        <v>46190</v>
      </c>
      <c r="D7252" s="15">
        <v>1.297</v>
      </c>
      <c r="E7252" s="15">
        <v>1.297</v>
      </c>
      <c r="F7252" s="15">
        <v>1.297</v>
      </c>
      <c r="G7252" s="11">
        <v>-0.0008</v>
      </c>
      <c r="H7252" s="9">
        <f>MAX($F$7144:F7252)</f>
        <v>1.298</v>
      </c>
      <c r="I7252" s="11">
        <f t="shared" si="179"/>
        <v>0.000770416024653442</v>
      </c>
      <c r="J7252" s="9"/>
      <c r="K7252" s="11"/>
      <c r="L7252" s="9"/>
      <c r="M7252" s="11"/>
      <c r="N7252" s="9" t="s">
        <v>1015</v>
      </c>
    </row>
    <row r="7253" ht="25" customHeight="1" spans="1:14">
      <c r="A7253" s="9" t="s">
        <v>343</v>
      </c>
      <c r="B7253" s="9" t="s">
        <v>342</v>
      </c>
      <c r="C7253" s="10">
        <v>46191</v>
      </c>
      <c r="D7253" s="15">
        <v>1.296</v>
      </c>
      <c r="E7253" s="15">
        <v>1.296</v>
      </c>
      <c r="F7253" s="15">
        <v>1.296</v>
      </c>
      <c r="G7253" s="11">
        <v>-0.0008</v>
      </c>
      <c r="H7253" s="9">
        <f>MAX($F$7144:F7253)</f>
        <v>1.298</v>
      </c>
      <c r="I7253" s="11">
        <f t="shared" si="179"/>
        <v>0.00154083204930666</v>
      </c>
      <c r="J7253" s="9"/>
      <c r="K7253" s="11"/>
      <c r="L7253" s="9"/>
      <c r="M7253" s="11"/>
      <c r="N7253" s="9" t="s">
        <v>1015</v>
      </c>
    </row>
    <row r="7254" ht="25" customHeight="1" spans="1:14">
      <c r="A7254" s="9" t="s">
        <v>343</v>
      </c>
      <c r="B7254" s="9" t="s">
        <v>342</v>
      </c>
      <c r="C7254" s="10">
        <v>46195</v>
      </c>
      <c r="D7254" s="15">
        <v>1.292</v>
      </c>
      <c r="E7254" s="15">
        <v>1.292</v>
      </c>
      <c r="F7254" s="15">
        <v>1.292</v>
      </c>
      <c r="G7254" s="11">
        <v>-0.0031</v>
      </c>
      <c r="H7254" s="9">
        <f>MAX($F$7144:F7254)</f>
        <v>1.298</v>
      </c>
      <c r="I7254" s="11">
        <f t="shared" si="179"/>
        <v>0.00462249614791987</v>
      </c>
      <c r="J7254" s="9"/>
      <c r="K7254" s="11"/>
      <c r="L7254" s="9"/>
      <c r="M7254" s="11"/>
      <c r="N7254" s="9" t="s">
        <v>1015</v>
      </c>
    </row>
    <row r="7255" ht="25" customHeight="1" spans="1:14">
      <c r="A7255" s="9" t="s">
        <v>343</v>
      </c>
      <c r="B7255" s="9" t="s">
        <v>342</v>
      </c>
      <c r="C7255" s="10">
        <v>46196</v>
      </c>
      <c r="D7255" s="15">
        <v>1.299</v>
      </c>
      <c r="E7255" s="15">
        <v>1.299</v>
      </c>
      <c r="F7255" s="15">
        <v>1.299</v>
      </c>
      <c r="G7255" s="11">
        <v>0.0054</v>
      </c>
      <c r="H7255" s="9">
        <f>MAX($F$7144:F7255)</f>
        <v>1.299</v>
      </c>
      <c r="I7255" s="11">
        <f t="shared" si="179"/>
        <v>0</v>
      </c>
      <c r="J7255" s="9"/>
      <c r="K7255" s="11"/>
      <c r="L7255" s="9"/>
      <c r="M7255" s="11"/>
      <c r="N7255" s="9" t="s">
        <v>1015</v>
      </c>
    </row>
    <row r="7256" ht="25" customHeight="1" spans="1:14">
      <c r="A7256" s="9" t="s">
        <v>343</v>
      </c>
      <c r="B7256" s="9" t="s">
        <v>342</v>
      </c>
      <c r="C7256" s="10">
        <v>46197</v>
      </c>
      <c r="D7256" s="15">
        <v>1.3</v>
      </c>
      <c r="E7256" s="15">
        <v>1.3</v>
      </c>
      <c r="F7256" s="15">
        <v>1.3</v>
      </c>
      <c r="G7256" s="11">
        <v>0.0008</v>
      </c>
      <c r="H7256" s="9">
        <f>MAX($F$7144:F7256)</f>
        <v>1.3</v>
      </c>
      <c r="I7256" s="11">
        <f t="shared" si="179"/>
        <v>0</v>
      </c>
      <c r="J7256" s="9"/>
      <c r="K7256" s="11"/>
      <c r="L7256" s="9"/>
      <c r="M7256" s="11"/>
      <c r="N7256" s="9" t="s">
        <v>1015</v>
      </c>
    </row>
    <row r="7257" ht="25" customHeight="1" spans="1:14">
      <c r="A7257" s="9" t="s">
        <v>343</v>
      </c>
      <c r="B7257" s="9" t="s">
        <v>342</v>
      </c>
      <c r="C7257" s="10">
        <v>46198</v>
      </c>
      <c r="D7257" s="15">
        <v>1.3</v>
      </c>
      <c r="E7257" s="15">
        <v>1.3</v>
      </c>
      <c r="F7257" s="15">
        <v>1.3</v>
      </c>
      <c r="G7257" s="11">
        <v>0</v>
      </c>
      <c r="H7257" s="9">
        <f>MAX($F$7144:F7257)</f>
        <v>1.3</v>
      </c>
      <c r="I7257" s="11">
        <f t="shared" si="179"/>
        <v>0</v>
      </c>
      <c r="J7257" s="9"/>
      <c r="K7257" s="11"/>
      <c r="L7257" s="9"/>
      <c r="M7257" s="11"/>
      <c r="N7257" s="9" t="s">
        <v>1015</v>
      </c>
    </row>
    <row r="7258" ht="25" customHeight="1" spans="1:14">
      <c r="A7258" s="9" t="s">
        <v>343</v>
      </c>
      <c r="B7258" s="9" t="s">
        <v>342</v>
      </c>
      <c r="C7258" s="10">
        <v>46199</v>
      </c>
      <c r="D7258" s="15">
        <v>1.3</v>
      </c>
      <c r="E7258" s="15">
        <v>1.3</v>
      </c>
      <c r="F7258" s="15">
        <v>1.3</v>
      </c>
      <c r="G7258" s="11">
        <v>0</v>
      </c>
      <c r="H7258" s="9">
        <f>MAX($F$7144:F7258)</f>
        <v>1.3</v>
      </c>
      <c r="I7258" s="11">
        <f t="shared" si="179"/>
        <v>0</v>
      </c>
      <c r="J7258" s="9"/>
      <c r="K7258" s="11"/>
      <c r="L7258" s="9"/>
      <c r="M7258" s="11"/>
      <c r="N7258" s="9" t="s">
        <v>1015</v>
      </c>
    </row>
    <row r="7259" ht="25" customHeight="1" spans="1:14">
      <c r="A7259" s="9" t="s">
        <v>343</v>
      </c>
      <c r="B7259" s="9" t="s">
        <v>342</v>
      </c>
      <c r="C7259" s="10">
        <v>46202</v>
      </c>
      <c r="D7259" s="15">
        <v>1.298</v>
      </c>
      <c r="E7259" s="15">
        <v>1.298</v>
      </c>
      <c r="F7259" s="15">
        <v>1.298</v>
      </c>
      <c r="G7259" s="11">
        <v>-0.0015</v>
      </c>
      <c r="H7259" s="9">
        <f>MAX($F$7144:F7259)</f>
        <v>1.3</v>
      </c>
      <c r="I7259" s="11">
        <f t="shared" si="179"/>
        <v>0.00153846153846149</v>
      </c>
      <c r="J7259" s="9"/>
      <c r="K7259" s="11"/>
      <c r="L7259" s="9"/>
      <c r="M7259" s="11"/>
      <c r="N7259" s="9" t="s">
        <v>1015</v>
      </c>
    </row>
    <row r="7260" ht="25" customHeight="1" spans="1:14">
      <c r="A7260" s="9" t="s">
        <v>343</v>
      </c>
      <c r="B7260" s="9" t="s">
        <v>342</v>
      </c>
      <c r="C7260" s="10">
        <v>46203</v>
      </c>
      <c r="D7260" s="15">
        <v>1.299</v>
      </c>
      <c r="E7260" s="15">
        <v>1.299</v>
      </c>
      <c r="F7260" s="15">
        <v>1.299</v>
      </c>
      <c r="G7260" s="11">
        <v>0.0008</v>
      </c>
      <c r="H7260" s="9">
        <f>MAX($F$7144:F7260)</f>
        <v>1.3</v>
      </c>
      <c r="I7260" s="11">
        <f t="shared" si="179"/>
        <v>0.000769230769230855</v>
      </c>
      <c r="J7260" s="9"/>
      <c r="K7260" s="11"/>
      <c r="L7260" s="9"/>
      <c r="M7260" s="11"/>
      <c r="N7260" s="9" t="s">
        <v>1015</v>
      </c>
    </row>
    <row r="7261" ht="25" customHeight="1" spans="1:14">
      <c r="A7261" s="9" t="s">
        <v>343</v>
      </c>
      <c r="B7261" s="9" t="s">
        <v>342</v>
      </c>
      <c r="C7261" s="10">
        <v>46204</v>
      </c>
      <c r="D7261" s="15">
        <v>1.3</v>
      </c>
      <c r="E7261" s="15">
        <v>1.3</v>
      </c>
      <c r="F7261" s="15">
        <v>1.3</v>
      </c>
      <c r="G7261" s="11">
        <v>0.0008</v>
      </c>
      <c r="H7261" s="9">
        <f>MAX($F$7144:F7261)</f>
        <v>1.3</v>
      </c>
      <c r="I7261" s="11">
        <f t="shared" si="179"/>
        <v>0</v>
      </c>
      <c r="J7261" s="9"/>
      <c r="K7261" s="11"/>
      <c r="L7261" s="9"/>
      <c r="M7261" s="11"/>
      <c r="N7261" s="9" t="s">
        <v>1015</v>
      </c>
    </row>
    <row r="7262" ht="25" customHeight="1" spans="1:14">
      <c r="A7262" s="9" t="s">
        <v>343</v>
      </c>
      <c r="B7262" s="9" t="s">
        <v>342</v>
      </c>
      <c r="C7262" s="10">
        <v>46205</v>
      </c>
      <c r="D7262" s="15">
        <v>1.3</v>
      </c>
      <c r="E7262" s="15">
        <v>1.3</v>
      </c>
      <c r="F7262" s="15">
        <v>1.3</v>
      </c>
      <c r="G7262" s="11">
        <v>0</v>
      </c>
      <c r="H7262" s="9">
        <f>MAX($F$7144:F7262)</f>
        <v>1.3</v>
      </c>
      <c r="I7262" s="11">
        <f t="shared" si="179"/>
        <v>0</v>
      </c>
      <c r="J7262" s="9"/>
      <c r="K7262" s="11"/>
      <c r="L7262" s="9"/>
      <c r="M7262" s="11"/>
      <c r="N7262" s="9" t="s">
        <v>1015</v>
      </c>
    </row>
    <row r="7263" ht="25" customHeight="1" spans="1:14">
      <c r="A7263" s="9" t="s">
        <v>343</v>
      </c>
      <c r="B7263" s="9" t="s">
        <v>342</v>
      </c>
      <c r="C7263" s="10">
        <v>46206</v>
      </c>
      <c r="D7263" s="15">
        <v>1.301</v>
      </c>
      <c r="E7263" s="15">
        <v>1.301</v>
      </c>
      <c r="F7263" s="15">
        <v>1.301</v>
      </c>
      <c r="G7263" s="11">
        <v>0.0008</v>
      </c>
      <c r="H7263" s="9">
        <f>MAX($F$7144:F7263)</f>
        <v>1.301</v>
      </c>
      <c r="I7263" s="11">
        <f t="shared" si="179"/>
        <v>0</v>
      </c>
      <c r="J7263" s="9"/>
      <c r="K7263" s="11"/>
      <c r="L7263" s="9"/>
      <c r="M7263" s="11"/>
      <c r="N7263" s="9" t="s">
        <v>1015</v>
      </c>
    </row>
    <row r="7264" ht="25" customHeight="1" spans="1:14">
      <c r="A7264" s="9" t="s">
        <v>343</v>
      </c>
      <c r="B7264" s="9" t="s">
        <v>342</v>
      </c>
      <c r="C7264" s="10">
        <v>46209</v>
      </c>
      <c r="D7264" s="15">
        <v>1.301</v>
      </c>
      <c r="E7264" s="15">
        <v>1.301</v>
      </c>
      <c r="F7264" s="15">
        <v>1.301</v>
      </c>
      <c r="G7264" s="11">
        <v>0</v>
      </c>
      <c r="H7264" s="9">
        <f>MAX($F$7144:F7264)</f>
        <v>1.301</v>
      </c>
      <c r="I7264" s="11">
        <f t="shared" si="179"/>
        <v>0</v>
      </c>
      <c r="J7264" s="9"/>
      <c r="K7264" s="11"/>
      <c r="L7264" s="9"/>
      <c r="M7264" s="11"/>
      <c r="N7264" s="9" t="s">
        <v>1015</v>
      </c>
    </row>
    <row r="7265" ht="25" customHeight="1" spans="1:14">
      <c r="A7265" s="9" t="s">
        <v>343</v>
      </c>
      <c r="B7265" s="9" t="s">
        <v>342</v>
      </c>
      <c r="C7265" s="10">
        <v>46210</v>
      </c>
      <c r="D7265" s="15">
        <v>1.302</v>
      </c>
      <c r="E7265" s="15">
        <v>1.302</v>
      </c>
      <c r="F7265" s="15">
        <v>1.302</v>
      </c>
      <c r="G7265" s="11">
        <v>0.0008</v>
      </c>
      <c r="H7265" s="9">
        <f>MAX($F$7144:F7265)</f>
        <v>1.302</v>
      </c>
      <c r="I7265" s="11">
        <f t="shared" si="179"/>
        <v>0</v>
      </c>
      <c r="J7265" s="9"/>
      <c r="K7265" s="11"/>
      <c r="L7265" s="9"/>
      <c r="M7265" s="11"/>
      <c r="N7265" s="9" t="s">
        <v>1015</v>
      </c>
    </row>
    <row r="7266" ht="25" customHeight="1" spans="1:14">
      <c r="A7266" s="9" t="s">
        <v>343</v>
      </c>
      <c r="B7266" s="9" t="s">
        <v>342</v>
      </c>
      <c r="C7266" s="10">
        <v>46211</v>
      </c>
      <c r="D7266" s="15">
        <v>1.301</v>
      </c>
      <c r="E7266" s="15">
        <v>1.301</v>
      </c>
      <c r="F7266" s="15">
        <v>1.301</v>
      </c>
      <c r="G7266" s="11">
        <v>-0.0008</v>
      </c>
      <c r="H7266" s="9">
        <f>MAX($F$7144:F7266)</f>
        <v>1.302</v>
      </c>
      <c r="I7266" s="11">
        <f t="shared" si="179"/>
        <v>0.000768049155146056</v>
      </c>
      <c r="J7266" s="9"/>
      <c r="K7266" s="11"/>
      <c r="L7266" s="9"/>
      <c r="M7266" s="11"/>
      <c r="N7266" s="9" t="s">
        <v>1015</v>
      </c>
    </row>
    <row r="7267" ht="25" customHeight="1" spans="1:14">
      <c r="A7267" s="9" t="s">
        <v>343</v>
      </c>
      <c r="B7267" s="9" t="s">
        <v>342</v>
      </c>
      <c r="C7267" s="10">
        <v>46212</v>
      </c>
      <c r="D7267" s="15">
        <v>1.3</v>
      </c>
      <c r="E7267" s="15">
        <v>1.3</v>
      </c>
      <c r="F7267" s="15">
        <v>1.3</v>
      </c>
      <c r="G7267" s="11">
        <v>-0.0008</v>
      </c>
      <c r="H7267" s="9">
        <f>MAX($F$7144:F7267)</f>
        <v>1.302</v>
      </c>
      <c r="I7267" s="11">
        <f t="shared" si="179"/>
        <v>0.00153609831029189</v>
      </c>
      <c r="J7267" s="9"/>
      <c r="K7267" s="11"/>
      <c r="L7267" s="9"/>
      <c r="M7267" s="11"/>
      <c r="N7267" s="9" t="s">
        <v>1015</v>
      </c>
    </row>
    <row r="7268" ht="25" customHeight="1" spans="1:14">
      <c r="A7268" s="9" t="s">
        <v>343</v>
      </c>
      <c r="B7268" s="9" t="s">
        <v>342</v>
      </c>
      <c r="C7268" s="10">
        <v>46213</v>
      </c>
      <c r="D7268" s="15">
        <v>1.3</v>
      </c>
      <c r="E7268" s="15">
        <v>1.3</v>
      </c>
      <c r="F7268" s="15">
        <v>1.3</v>
      </c>
      <c r="G7268" s="11">
        <v>0</v>
      </c>
      <c r="H7268" s="9">
        <f>MAX($F$7144:F7268)</f>
        <v>1.302</v>
      </c>
      <c r="I7268" s="11">
        <f t="shared" si="179"/>
        <v>0.00153609831029189</v>
      </c>
      <c r="J7268" s="9"/>
      <c r="K7268" s="11"/>
      <c r="L7268" s="9"/>
      <c r="M7268" s="11"/>
      <c r="N7268" s="9" t="s">
        <v>1015</v>
      </c>
    </row>
    <row r="7269" ht="25" customHeight="1" spans="1:14">
      <c r="A7269" s="9" t="s">
        <v>343</v>
      </c>
      <c r="B7269" s="9" t="s">
        <v>342</v>
      </c>
      <c r="C7269" s="10">
        <v>46216</v>
      </c>
      <c r="D7269" s="15">
        <v>1.299</v>
      </c>
      <c r="E7269" s="15">
        <v>1.299</v>
      </c>
      <c r="F7269" s="15">
        <v>1.299</v>
      </c>
      <c r="G7269" s="11">
        <v>-0.0008</v>
      </c>
      <c r="H7269" s="9">
        <f>MAX($F$7144:F7269)</f>
        <v>1.302</v>
      </c>
      <c r="I7269" s="11">
        <f t="shared" si="179"/>
        <v>0.00230414746543783</v>
      </c>
      <c r="J7269" s="9"/>
      <c r="K7269" s="11"/>
      <c r="L7269" s="9"/>
      <c r="M7269" s="11"/>
      <c r="N7269" s="9" t="s">
        <v>1015</v>
      </c>
    </row>
    <row r="7270" ht="25" customHeight="1" spans="1:14">
      <c r="A7270" s="9" t="s">
        <v>343</v>
      </c>
      <c r="B7270" s="9" t="s">
        <v>342</v>
      </c>
      <c r="C7270" s="10">
        <v>46217</v>
      </c>
      <c r="D7270" s="15">
        <v>1.3</v>
      </c>
      <c r="E7270" s="15">
        <v>1.3</v>
      </c>
      <c r="F7270" s="15">
        <v>1.3</v>
      </c>
      <c r="G7270" s="11">
        <v>0.0008</v>
      </c>
      <c r="H7270" s="9">
        <f>MAX($F$7144:F7270)</f>
        <v>1.302</v>
      </c>
      <c r="I7270" s="11">
        <f t="shared" si="179"/>
        <v>0.00153609831029189</v>
      </c>
      <c r="J7270" s="9"/>
      <c r="K7270" s="11"/>
      <c r="L7270" s="9"/>
      <c r="M7270" s="11"/>
      <c r="N7270" s="9" t="s">
        <v>1015</v>
      </c>
    </row>
    <row r="7271" ht="25" customHeight="1" spans="1:14">
      <c r="A7271" s="9" t="s">
        <v>343</v>
      </c>
      <c r="B7271" s="9" t="s">
        <v>342</v>
      </c>
      <c r="C7271" s="10">
        <v>46218</v>
      </c>
      <c r="D7271" s="15">
        <v>1.302</v>
      </c>
      <c r="E7271" s="15">
        <v>1.302</v>
      </c>
      <c r="F7271" s="15">
        <v>1.302</v>
      </c>
      <c r="G7271" s="11">
        <v>0.0015</v>
      </c>
      <c r="H7271" s="9">
        <f>MAX($F$7144:F7271)</f>
        <v>1.302</v>
      </c>
      <c r="I7271" s="11">
        <f t="shared" si="179"/>
        <v>0</v>
      </c>
      <c r="J7271" s="9"/>
      <c r="K7271" s="11"/>
      <c r="L7271" s="9"/>
      <c r="M7271" s="11"/>
      <c r="N7271" s="9" t="s">
        <v>1015</v>
      </c>
    </row>
    <row r="7272" ht="25" customHeight="1" spans="1:14">
      <c r="A7272" s="9" t="s">
        <v>343</v>
      </c>
      <c r="B7272" s="9" t="s">
        <v>342</v>
      </c>
      <c r="C7272" s="10">
        <v>46219</v>
      </c>
      <c r="D7272" s="15">
        <v>1.302</v>
      </c>
      <c r="E7272" s="15">
        <v>1.302</v>
      </c>
      <c r="F7272" s="15">
        <v>1.302</v>
      </c>
      <c r="G7272" s="11">
        <v>0</v>
      </c>
      <c r="H7272" s="9">
        <f>MAX($F$7144:F7272)</f>
        <v>1.302</v>
      </c>
      <c r="I7272" s="11">
        <f t="shared" si="179"/>
        <v>0</v>
      </c>
      <c r="J7272" s="9"/>
      <c r="K7272" s="11"/>
      <c r="L7272" s="9"/>
      <c r="M7272" s="11"/>
      <c r="N7272" s="9" t="s">
        <v>1015</v>
      </c>
    </row>
    <row r="7273" ht="25" customHeight="1" spans="1:14">
      <c r="A7273" s="9" t="s">
        <v>343</v>
      </c>
      <c r="B7273" s="9" t="s">
        <v>342</v>
      </c>
      <c r="C7273" s="10">
        <v>46220</v>
      </c>
      <c r="D7273" s="15">
        <v>1.302</v>
      </c>
      <c r="E7273" s="15">
        <v>1.302</v>
      </c>
      <c r="F7273" s="15">
        <v>1.302</v>
      </c>
      <c r="G7273" s="11">
        <v>0</v>
      </c>
      <c r="H7273" s="9">
        <f>MAX($F$7144:F7273)</f>
        <v>1.302</v>
      </c>
      <c r="I7273" s="11">
        <f t="shared" si="179"/>
        <v>0</v>
      </c>
      <c r="J7273" s="9"/>
      <c r="K7273" s="11"/>
      <c r="L7273" s="9"/>
      <c r="M7273" s="11"/>
      <c r="N7273" s="9" t="s">
        <v>1015</v>
      </c>
    </row>
    <row r="7274" ht="25" customHeight="1" spans="1:14">
      <c r="A7274" s="9" t="s">
        <v>343</v>
      </c>
      <c r="B7274" s="9" t="s">
        <v>342</v>
      </c>
      <c r="C7274" s="10">
        <v>46223</v>
      </c>
      <c r="D7274" s="15">
        <v>1.316</v>
      </c>
      <c r="E7274" s="15">
        <v>1.316</v>
      </c>
      <c r="F7274" s="15">
        <v>1.316</v>
      </c>
      <c r="G7274" s="11">
        <v>0.0108</v>
      </c>
      <c r="H7274" s="9">
        <f>MAX($F$7144:F7274)</f>
        <v>1.316</v>
      </c>
      <c r="I7274" s="11">
        <f t="shared" si="179"/>
        <v>0</v>
      </c>
      <c r="J7274" s="9"/>
      <c r="K7274" s="11"/>
      <c r="L7274" s="9"/>
      <c r="M7274" s="11"/>
      <c r="N7274" s="9" t="s">
        <v>1015</v>
      </c>
    </row>
    <row r="7275" ht="25" customHeight="1" spans="1:14">
      <c r="A7275" s="9" t="s">
        <v>343</v>
      </c>
      <c r="B7275" s="9" t="s">
        <v>342</v>
      </c>
      <c r="C7275" s="10">
        <v>46224</v>
      </c>
      <c r="D7275" s="15">
        <v>1.316</v>
      </c>
      <c r="E7275" s="15">
        <v>1.316</v>
      </c>
      <c r="F7275" s="15">
        <v>1.316</v>
      </c>
      <c r="G7275" s="11">
        <v>0</v>
      </c>
      <c r="H7275" s="9">
        <f>MAX($F$7144:F7275)</f>
        <v>1.316</v>
      </c>
      <c r="I7275" s="11">
        <f t="shared" si="179"/>
        <v>0</v>
      </c>
      <c r="J7275" s="9"/>
      <c r="K7275" s="11"/>
      <c r="L7275" s="9"/>
      <c r="M7275" s="11"/>
      <c r="N7275" s="9" t="s">
        <v>1015</v>
      </c>
    </row>
    <row r="7276" ht="25" customHeight="1" spans="1:14">
      <c r="A7276" s="9" t="s">
        <v>343</v>
      </c>
      <c r="B7276" s="9" t="s">
        <v>342</v>
      </c>
      <c r="C7276" s="10">
        <v>46225</v>
      </c>
      <c r="D7276" s="15">
        <v>1.316</v>
      </c>
      <c r="E7276" s="15">
        <v>1.316</v>
      </c>
      <c r="F7276" s="15">
        <v>1.316</v>
      </c>
      <c r="G7276" s="11">
        <v>0</v>
      </c>
      <c r="H7276" s="9">
        <f>MAX($F$7144:F7276)</f>
        <v>1.316</v>
      </c>
      <c r="I7276" s="11">
        <f t="shared" si="179"/>
        <v>0</v>
      </c>
      <c r="J7276" s="9"/>
      <c r="K7276" s="11"/>
      <c r="L7276" s="9"/>
      <c r="M7276" s="11"/>
      <c r="N7276" s="9" t="s">
        <v>1015</v>
      </c>
    </row>
    <row r="7277" ht="25" customHeight="1" spans="1:14">
      <c r="A7277" s="9" t="s">
        <v>343</v>
      </c>
      <c r="B7277" s="9" t="s">
        <v>342</v>
      </c>
      <c r="C7277" s="10">
        <v>46226</v>
      </c>
      <c r="D7277" s="15">
        <v>1.316</v>
      </c>
      <c r="E7277" s="15">
        <v>1.316</v>
      </c>
      <c r="F7277" s="15">
        <v>1.316</v>
      </c>
      <c r="G7277" s="11">
        <v>0</v>
      </c>
      <c r="H7277" s="9">
        <f>MAX($F$7144:F7277)</f>
        <v>1.316</v>
      </c>
      <c r="I7277" s="11">
        <f t="shared" si="179"/>
        <v>0</v>
      </c>
      <c r="J7277" s="9"/>
      <c r="K7277" s="11"/>
      <c r="L7277" s="9"/>
      <c r="M7277" s="11"/>
      <c r="N7277" s="9" t="s">
        <v>1015</v>
      </c>
    </row>
    <row r="7278" ht="25" customHeight="1" spans="1:14">
      <c r="A7278" s="9" t="s">
        <v>343</v>
      </c>
      <c r="B7278" s="9" t="s">
        <v>342</v>
      </c>
      <c r="C7278" s="10">
        <v>46227</v>
      </c>
      <c r="D7278" s="15">
        <v>1.316</v>
      </c>
      <c r="E7278" s="15">
        <v>1.316</v>
      </c>
      <c r="F7278" s="15">
        <v>1.316</v>
      </c>
      <c r="G7278" s="11">
        <v>0</v>
      </c>
      <c r="H7278" s="9">
        <f>MAX($F$7144:F7278)</f>
        <v>1.316</v>
      </c>
      <c r="I7278" s="11">
        <f t="shared" si="179"/>
        <v>0</v>
      </c>
      <c r="J7278" s="9"/>
      <c r="K7278" s="11"/>
      <c r="L7278" s="9"/>
      <c r="M7278" s="11"/>
      <c r="N7278" s="9" t="s">
        <v>1015</v>
      </c>
    </row>
    <row r="7279" ht="25" customHeight="1" spans="1:14">
      <c r="A7279" s="9" t="s">
        <v>343</v>
      </c>
      <c r="B7279" s="9" t="s">
        <v>342</v>
      </c>
      <c r="C7279" s="10">
        <v>46230</v>
      </c>
      <c r="D7279" s="15">
        <v>1.316</v>
      </c>
      <c r="E7279" s="15">
        <v>1.316</v>
      </c>
      <c r="F7279" s="15">
        <v>1.316</v>
      </c>
      <c r="G7279" s="11">
        <v>0</v>
      </c>
      <c r="H7279" s="9">
        <f>MAX($F$7144:F7279)</f>
        <v>1.316</v>
      </c>
      <c r="I7279" s="11">
        <f t="shared" si="179"/>
        <v>0</v>
      </c>
      <c r="J7279" s="9"/>
      <c r="K7279" s="11"/>
      <c r="L7279" s="9"/>
      <c r="M7279" s="11"/>
      <c r="N7279" s="9" t="s">
        <v>1015</v>
      </c>
    </row>
    <row r="7280" ht="25" customHeight="1" spans="1:14">
      <c r="A7280" s="9" t="s">
        <v>343</v>
      </c>
      <c r="B7280" s="9" t="s">
        <v>342</v>
      </c>
      <c r="C7280" s="10">
        <v>46231</v>
      </c>
      <c r="D7280" s="15">
        <v>1.316</v>
      </c>
      <c r="E7280" s="15">
        <v>1.316</v>
      </c>
      <c r="F7280" s="15">
        <v>1.316</v>
      </c>
      <c r="G7280" s="11">
        <v>0</v>
      </c>
      <c r="H7280" s="9">
        <f>MAX($F$7144:F7280)</f>
        <v>1.316</v>
      </c>
      <c r="I7280" s="11">
        <f t="shared" si="179"/>
        <v>0</v>
      </c>
      <c r="J7280" s="9"/>
      <c r="K7280" s="11"/>
      <c r="L7280" s="9"/>
      <c r="M7280" s="11"/>
      <c r="N7280" s="9" t="s">
        <v>1015</v>
      </c>
    </row>
    <row r="7281" ht="25" customHeight="1" spans="1:14">
      <c r="A7281" s="9" t="s">
        <v>343</v>
      </c>
      <c r="B7281" s="9" t="s">
        <v>342</v>
      </c>
      <c r="C7281" s="10">
        <v>46232</v>
      </c>
      <c r="D7281" s="15">
        <v>1.316</v>
      </c>
      <c r="E7281" s="15">
        <v>1.316</v>
      </c>
      <c r="F7281" s="15">
        <v>1.316</v>
      </c>
      <c r="G7281" s="11">
        <v>0</v>
      </c>
      <c r="H7281" s="9">
        <f>MAX($F$7144:F7281)</f>
        <v>1.316</v>
      </c>
      <c r="I7281" s="11">
        <f t="shared" si="179"/>
        <v>0</v>
      </c>
      <c r="J7281" s="9"/>
      <c r="K7281" s="11"/>
      <c r="L7281" s="9"/>
      <c r="M7281" s="11"/>
      <c r="N7281" s="9" t="s">
        <v>1015</v>
      </c>
    </row>
    <row r="7282" ht="25" customHeight="1" spans="1:14">
      <c r="A7282" s="9" t="s">
        <v>343</v>
      </c>
      <c r="B7282" s="9" t="s">
        <v>342</v>
      </c>
      <c r="C7282" s="10">
        <v>46233</v>
      </c>
      <c r="D7282" s="15">
        <v>1.316</v>
      </c>
      <c r="E7282" s="15">
        <v>1.316</v>
      </c>
      <c r="F7282" s="15">
        <v>1.316</v>
      </c>
      <c r="G7282" s="11">
        <v>0</v>
      </c>
      <c r="H7282" s="9">
        <f>MAX($F$7144:F7282)</f>
        <v>1.316</v>
      </c>
      <c r="I7282" s="11">
        <f t="shared" si="179"/>
        <v>0</v>
      </c>
      <c r="J7282" s="9"/>
      <c r="K7282" s="11"/>
      <c r="L7282" s="9"/>
      <c r="M7282" s="11"/>
      <c r="N7282" s="9" t="s">
        <v>1015</v>
      </c>
    </row>
    <row r="7283" ht="25" customHeight="1" spans="1:14">
      <c r="A7283" s="9" t="s">
        <v>343</v>
      </c>
      <c r="B7283" s="9" t="s">
        <v>342</v>
      </c>
      <c r="C7283" s="10">
        <v>46234</v>
      </c>
      <c r="D7283" s="15">
        <v>1.319</v>
      </c>
      <c r="E7283" s="15">
        <v>1.319</v>
      </c>
      <c r="F7283" s="15">
        <v>1.319</v>
      </c>
      <c r="G7283" s="11">
        <v>0.0023</v>
      </c>
      <c r="H7283" s="9">
        <f>MAX($F$7144:F7283)</f>
        <v>1.319</v>
      </c>
      <c r="I7283" s="11">
        <f t="shared" si="179"/>
        <v>0</v>
      </c>
      <c r="J7283" s="9"/>
      <c r="K7283" s="11"/>
      <c r="L7283" s="9"/>
      <c r="M7283" s="11"/>
      <c r="N7283" s="9" t="s">
        <v>1015</v>
      </c>
    </row>
    <row r="7284" ht="25" customHeight="1" spans="1:14">
      <c r="A7284" s="9" t="s">
        <v>343</v>
      </c>
      <c r="B7284" s="9" t="s">
        <v>342</v>
      </c>
      <c r="C7284" s="10">
        <v>46237</v>
      </c>
      <c r="D7284" s="15">
        <v>1.319</v>
      </c>
      <c r="E7284" s="15">
        <v>1.319</v>
      </c>
      <c r="F7284" s="15">
        <v>1.319</v>
      </c>
      <c r="G7284" s="11">
        <v>0</v>
      </c>
      <c r="H7284" s="9">
        <f>MAX($F$7144:F7284)</f>
        <v>1.319</v>
      </c>
      <c r="I7284" s="11">
        <f t="shared" si="179"/>
        <v>0</v>
      </c>
      <c r="J7284" s="9"/>
      <c r="K7284" s="11"/>
      <c r="L7284" s="9"/>
      <c r="M7284" s="11"/>
      <c r="N7284" s="9" t="s">
        <v>1015</v>
      </c>
    </row>
    <row r="7285" ht="25" customHeight="1" spans="1:14">
      <c r="A7285" s="9" t="s">
        <v>343</v>
      </c>
      <c r="B7285" s="9" t="s">
        <v>342</v>
      </c>
      <c r="C7285" s="10">
        <v>46238</v>
      </c>
      <c r="D7285" s="15">
        <v>1.319</v>
      </c>
      <c r="E7285" s="15">
        <v>1.319</v>
      </c>
      <c r="F7285" s="15">
        <v>1.319</v>
      </c>
      <c r="G7285" s="11">
        <v>0</v>
      </c>
      <c r="H7285" s="9">
        <f>MAX($F$7144:F7285)</f>
        <v>1.319</v>
      </c>
      <c r="I7285" s="11">
        <f t="shared" si="179"/>
        <v>0</v>
      </c>
      <c r="J7285" s="9"/>
      <c r="K7285" s="11"/>
      <c r="L7285" s="9"/>
      <c r="M7285" s="11"/>
      <c r="N7285" s="9" t="s">
        <v>1015</v>
      </c>
    </row>
    <row r="7286" ht="25" customHeight="1" spans="1:14">
      <c r="A7286" s="9" t="s">
        <v>343</v>
      </c>
      <c r="B7286" s="9" t="s">
        <v>342</v>
      </c>
      <c r="C7286" s="10">
        <v>46239</v>
      </c>
      <c r="D7286" s="15">
        <v>1.319</v>
      </c>
      <c r="E7286" s="15">
        <v>1.319</v>
      </c>
      <c r="F7286" s="15">
        <v>1.319</v>
      </c>
      <c r="G7286" s="11">
        <v>0</v>
      </c>
      <c r="H7286" s="9">
        <f>MAX($F$7144:F7286)</f>
        <v>1.319</v>
      </c>
      <c r="I7286" s="11">
        <f t="shared" si="179"/>
        <v>0</v>
      </c>
      <c r="J7286" s="9"/>
      <c r="K7286" s="11"/>
      <c r="L7286" s="9"/>
      <c r="M7286" s="11"/>
      <c r="N7286" s="9" t="s">
        <v>1015</v>
      </c>
    </row>
    <row r="7287" ht="25" customHeight="1" spans="1:14">
      <c r="A7287" s="9" t="s">
        <v>343</v>
      </c>
      <c r="B7287" s="9" t="s">
        <v>342</v>
      </c>
      <c r="C7287" s="10">
        <v>46240</v>
      </c>
      <c r="D7287" s="15">
        <v>1.319</v>
      </c>
      <c r="E7287" s="15">
        <v>1.319</v>
      </c>
      <c r="F7287" s="15">
        <v>1.319</v>
      </c>
      <c r="G7287" s="11">
        <v>0</v>
      </c>
      <c r="H7287" s="9">
        <f>MAX($F$7144:F7287)</f>
        <v>1.319</v>
      </c>
      <c r="I7287" s="11">
        <f t="shared" si="179"/>
        <v>0</v>
      </c>
      <c r="J7287" s="9"/>
      <c r="K7287" s="11"/>
      <c r="L7287" s="9"/>
      <c r="M7287" s="11"/>
      <c r="N7287" s="9" t="s">
        <v>1015</v>
      </c>
    </row>
    <row r="7288" ht="25" customHeight="1" spans="1:14">
      <c r="A7288" s="9" t="s">
        <v>343</v>
      </c>
      <c r="B7288" s="9" t="s">
        <v>342</v>
      </c>
      <c r="C7288" s="10">
        <v>46241</v>
      </c>
      <c r="D7288" s="15">
        <v>1.32</v>
      </c>
      <c r="E7288" s="15">
        <v>1.32</v>
      </c>
      <c r="F7288" s="15">
        <v>1.32</v>
      </c>
      <c r="G7288" s="11">
        <v>0.0008</v>
      </c>
      <c r="H7288" s="9">
        <f>MAX($F$7144:F7288)</f>
        <v>1.32</v>
      </c>
      <c r="I7288" s="11">
        <f t="shared" si="179"/>
        <v>0</v>
      </c>
      <c r="J7288" s="9"/>
      <c r="K7288" s="11"/>
      <c r="L7288" s="9"/>
      <c r="M7288" s="11"/>
      <c r="N7288" s="9" t="s">
        <v>1015</v>
      </c>
    </row>
    <row r="7289" ht="25" customHeight="1" spans="1:14">
      <c r="A7289" s="9" t="s">
        <v>343</v>
      </c>
      <c r="B7289" s="9" t="s">
        <v>342</v>
      </c>
      <c r="C7289" s="10">
        <v>46244</v>
      </c>
      <c r="D7289" s="15">
        <v>1.32</v>
      </c>
      <c r="E7289" s="15">
        <v>1.32</v>
      </c>
      <c r="F7289" s="15">
        <v>1.32</v>
      </c>
      <c r="G7289" s="11">
        <v>0</v>
      </c>
      <c r="H7289" s="9">
        <f>MAX($F$7144:F7289)</f>
        <v>1.32</v>
      </c>
      <c r="I7289" s="11">
        <f t="shared" si="179"/>
        <v>0</v>
      </c>
      <c r="J7289" s="9"/>
      <c r="K7289" s="11"/>
      <c r="L7289" s="9"/>
      <c r="M7289" s="11"/>
      <c r="N7289" s="9" t="s">
        <v>1015</v>
      </c>
    </row>
    <row r="7290" ht="25" customHeight="1" spans="1:14">
      <c r="A7290" s="9" t="s">
        <v>343</v>
      </c>
      <c r="B7290" s="9" t="s">
        <v>342</v>
      </c>
      <c r="C7290" s="10">
        <v>46245</v>
      </c>
      <c r="D7290" s="15">
        <v>1.322</v>
      </c>
      <c r="E7290" s="15">
        <v>1.322</v>
      </c>
      <c r="F7290" s="15">
        <v>1.322</v>
      </c>
      <c r="G7290" s="11">
        <v>0.0015</v>
      </c>
      <c r="H7290" s="9">
        <f>MAX($F$7144:F7290)</f>
        <v>1.322</v>
      </c>
      <c r="I7290" s="11">
        <f t="shared" si="179"/>
        <v>0</v>
      </c>
      <c r="J7290" s="9"/>
      <c r="K7290" s="11"/>
      <c r="L7290" s="9"/>
      <c r="M7290" s="11"/>
      <c r="N7290" s="9" t="s">
        <v>1015</v>
      </c>
    </row>
    <row r="7291" ht="25" customHeight="1" spans="1:14">
      <c r="A7291" s="9" t="s">
        <v>343</v>
      </c>
      <c r="B7291" s="9" t="s">
        <v>342</v>
      </c>
      <c r="C7291" s="10">
        <v>46246</v>
      </c>
      <c r="D7291" s="15">
        <v>1.325</v>
      </c>
      <c r="E7291" s="15">
        <v>1.325</v>
      </c>
      <c r="F7291" s="15">
        <v>1.325</v>
      </c>
      <c r="G7291" s="11">
        <v>0.0023</v>
      </c>
      <c r="H7291" s="9">
        <f>MAX($F$7144:F7291)</f>
        <v>1.325</v>
      </c>
      <c r="I7291" s="11">
        <f t="shared" si="179"/>
        <v>0</v>
      </c>
      <c r="J7291" s="9"/>
      <c r="K7291" s="11"/>
      <c r="L7291" s="9"/>
      <c r="M7291" s="11"/>
      <c r="N7291" s="9" t="s">
        <v>1015</v>
      </c>
    </row>
    <row r="7292" ht="25" customHeight="1" spans="1:14">
      <c r="A7292" s="9" t="s">
        <v>343</v>
      </c>
      <c r="B7292" s="9" t="s">
        <v>342</v>
      </c>
      <c r="C7292" s="10">
        <v>46247</v>
      </c>
      <c r="D7292" s="15">
        <v>1.326</v>
      </c>
      <c r="E7292" s="15">
        <v>1.326</v>
      </c>
      <c r="F7292" s="15">
        <v>1.326</v>
      </c>
      <c r="G7292" s="11">
        <v>0.0008</v>
      </c>
      <c r="H7292" s="9">
        <f>MAX($F$7144:F7292)</f>
        <v>1.326</v>
      </c>
      <c r="I7292" s="11">
        <f t="shared" si="179"/>
        <v>0</v>
      </c>
      <c r="J7292" s="9"/>
      <c r="K7292" s="11"/>
      <c r="L7292" s="9"/>
      <c r="M7292" s="11"/>
      <c r="N7292" s="9" t="s">
        <v>1015</v>
      </c>
    </row>
    <row r="7293" ht="25" customHeight="1" spans="1:14">
      <c r="A7293" s="9" t="s">
        <v>343</v>
      </c>
      <c r="B7293" s="9" t="s">
        <v>342</v>
      </c>
      <c r="C7293" s="10">
        <v>46248</v>
      </c>
      <c r="D7293" s="15">
        <v>1.33</v>
      </c>
      <c r="E7293" s="15">
        <v>1.33</v>
      </c>
      <c r="F7293" s="15">
        <v>1.33</v>
      </c>
      <c r="G7293" s="11">
        <v>0.003</v>
      </c>
      <c r="H7293" s="9">
        <f>MAX($F$7144:F7293)</f>
        <v>1.33</v>
      </c>
      <c r="I7293" s="11">
        <f t="shared" si="179"/>
        <v>0</v>
      </c>
      <c r="J7293" s="9"/>
      <c r="K7293" s="11"/>
      <c r="L7293" s="9"/>
      <c r="M7293" s="11"/>
      <c r="N7293" s="9" t="s">
        <v>1015</v>
      </c>
    </row>
    <row r="7294" ht="25" customHeight="1" spans="1:14">
      <c r="A7294" s="9" t="s">
        <v>343</v>
      </c>
      <c r="B7294" s="9" t="s">
        <v>342</v>
      </c>
      <c r="C7294" s="10">
        <v>46251</v>
      </c>
      <c r="D7294" s="15">
        <v>1.339</v>
      </c>
      <c r="E7294" s="15">
        <v>1.339</v>
      </c>
      <c r="F7294" s="15">
        <v>1.339</v>
      </c>
      <c r="G7294" s="11">
        <v>0.0068</v>
      </c>
      <c r="H7294" s="9">
        <f>MAX($F$7144:F7294)</f>
        <v>1.339</v>
      </c>
      <c r="I7294" s="11">
        <f t="shared" si="179"/>
        <v>0</v>
      </c>
      <c r="J7294" s="9"/>
      <c r="K7294" s="11"/>
      <c r="L7294" s="9"/>
      <c r="M7294" s="11"/>
      <c r="N7294" s="9" t="s">
        <v>1015</v>
      </c>
    </row>
    <row r="7295" ht="25" customHeight="1" spans="1:14">
      <c r="A7295" s="9" t="s">
        <v>343</v>
      </c>
      <c r="B7295" s="9" t="s">
        <v>342</v>
      </c>
      <c r="C7295" s="10">
        <v>46252</v>
      </c>
      <c r="D7295" s="15">
        <v>1.339</v>
      </c>
      <c r="E7295" s="15">
        <v>1.339</v>
      </c>
      <c r="F7295" s="15">
        <v>1.339</v>
      </c>
      <c r="G7295" s="11">
        <v>0</v>
      </c>
      <c r="H7295" s="9">
        <f>MAX($F$7144:F7295)</f>
        <v>1.339</v>
      </c>
      <c r="I7295" s="11">
        <f t="shared" si="179"/>
        <v>0</v>
      </c>
      <c r="J7295" s="9"/>
      <c r="K7295" s="11"/>
      <c r="L7295" s="9"/>
      <c r="M7295" s="11"/>
      <c r="N7295" s="9" t="s">
        <v>1015</v>
      </c>
    </row>
    <row r="7296" ht="25" customHeight="1" spans="1:14">
      <c r="A7296" s="9" t="s">
        <v>343</v>
      </c>
      <c r="B7296" s="9" t="s">
        <v>342</v>
      </c>
      <c r="C7296" s="10">
        <v>46253</v>
      </c>
      <c r="D7296" s="15">
        <v>1.31</v>
      </c>
      <c r="E7296" s="15">
        <v>1.31</v>
      </c>
      <c r="F7296" s="15">
        <v>1.31</v>
      </c>
      <c r="G7296" s="11">
        <v>-0.0217</v>
      </c>
      <c r="H7296" s="9">
        <f>MAX($F$7144:F7296)</f>
        <v>1.339</v>
      </c>
      <c r="I7296" s="11">
        <f t="shared" si="179"/>
        <v>0.0216579536967886</v>
      </c>
      <c r="J7296" s="9"/>
      <c r="K7296" s="11"/>
      <c r="L7296" s="9"/>
      <c r="M7296" s="11"/>
      <c r="N7296" s="9" t="s">
        <v>1015</v>
      </c>
    </row>
    <row r="7297" ht="25" customHeight="1" spans="1:14">
      <c r="A7297" s="9" t="s">
        <v>343</v>
      </c>
      <c r="B7297" s="9" t="s">
        <v>342</v>
      </c>
      <c r="C7297" s="10">
        <v>46254</v>
      </c>
      <c r="D7297" s="15">
        <v>1.313</v>
      </c>
      <c r="E7297" s="15">
        <v>1.313</v>
      </c>
      <c r="F7297" s="15">
        <v>1.313</v>
      </c>
      <c r="G7297" s="11">
        <v>0.0023</v>
      </c>
      <c r="H7297" s="9">
        <f>MAX($F$7144:F7297)</f>
        <v>1.339</v>
      </c>
      <c r="I7297" s="11">
        <f t="shared" si="179"/>
        <v>0.0194174757281553</v>
      </c>
      <c r="J7297" s="9"/>
      <c r="K7297" s="11"/>
      <c r="L7297" s="9"/>
      <c r="M7297" s="11"/>
      <c r="N7297" s="9" t="s">
        <v>1015</v>
      </c>
    </row>
    <row r="7298" ht="25" customHeight="1" spans="1:14">
      <c r="A7298" s="9" t="s">
        <v>343</v>
      </c>
      <c r="B7298" s="9" t="s">
        <v>342</v>
      </c>
      <c r="C7298" s="10">
        <v>46255</v>
      </c>
      <c r="D7298" s="15">
        <v>1.323</v>
      </c>
      <c r="E7298" s="15">
        <v>1.323</v>
      </c>
      <c r="F7298" s="15">
        <v>1.323</v>
      </c>
      <c r="G7298" s="11">
        <v>0.0076</v>
      </c>
      <c r="H7298" s="9">
        <f>MAX($F$7144:F7298)</f>
        <v>1.339</v>
      </c>
      <c r="I7298" s="11">
        <f t="shared" ref="I7298:I7361" si="180">1-F7298/H7298</f>
        <v>0.011949215832711</v>
      </c>
      <c r="J7298" s="9"/>
      <c r="K7298" s="11"/>
      <c r="L7298" s="9"/>
      <c r="M7298" s="11"/>
      <c r="N7298" s="9" t="s">
        <v>1015</v>
      </c>
    </row>
    <row r="7299" ht="25" customHeight="1" spans="1:14">
      <c r="A7299" s="9" t="s">
        <v>343</v>
      </c>
      <c r="B7299" s="9" t="s">
        <v>342</v>
      </c>
      <c r="C7299" s="10">
        <v>46258</v>
      </c>
      <c r="D7299" s="15">
        <v>1.319</v>
      </c>
      <c r="E7299" s="15">
        <v>1.319</v>
      </c>
      <c r="F7299" s="15">
        <v>1.319</v>
      </c>
      <c r="G7299" s="11">
        <v>-0.003</v>
      </c>
      <c r="H7299" s="9">
        <f>MAX($F$7144:F7299)</f>
        <v>1.339</v>
      </c>
      <c r="I7299" s="11">
        <f t="shared" si="180"/>
        <v>0.0149365197908887</v>
      </c>
      <c r="J7299" s="9"/>
      <c r="K7299" s="11"/>
      <c r="L7299" s="9"/>
      <c r="M7299" s="11"/>
      <c r="N7299" s="9" t="s">
        <v>1015</v>
      </c>
    </row>
    <row r="7300" ht="25" customHeight="1" spans="1:14">
      <c r="A7300" s="9" t="s">
        <v>343</v>
      </c>
      <c r="B7300" s="9" t="s">
        <v>342</v>
      </c>
      <c r="C7300" s="10">
        <v>46259</v>
      </c>
      <c r="D7300" s="15">
        <v>1.322</v>
      </c>
      <c r="E7300" s="15">
        <v>1.322</v>
      </c>
      <c r="F7300" s="15">
        <v>1.322</v>
      </c>
      <c r="G7300" s="11">
        <v>0.0023</v>
      </c>
      <c r="H7300" s="9">
        <f>MAX($F$7144:F7300)</f>
        <v>1.339</v>
      </c>
      <c r="I7300" s="11">
        <f t="shared" si="180"/>
        <v>0.0126960418222554</v>
      </c>
      <c r="J7300" s="9"/>
      <c r="K7300" s="11"/>
      <c r="L7300" s="9"/>
      <c r="M7300" s="11"/>
      <c r="N7300" s="9" t="s">
        <v>1015</v>
      </c>
    </row>
    <row r="7301" ht="25" customHeight="1" spans="1:14">
      <c r="A7301" s="9" t="s">
        <v>343</v>
      </c>
      <c r="B7301" s="9" t="s">
        <v>342</v>
      </c>
      <c r="C7301" s="10">
        <v>46260</v>
      </c>
      <c r="D7301" s="15">
        <v>1.335</v>
      </c>
      <c r="E7301" s="15">
        <v>1.335</v>
      </c>
      <c r="F7301" s="15">
        <v>1.335</v>
      </c>
      <c r="G7301" s="11">
        <v>0.0098</v>
      </c>
      <c r="H7301" s="9">
        <f>MAX($F$7144:F7301)</f>
        <v>1.339</v>
      </c>
      <c r="I7301" s="11">
        <f t="shared" si="180"/>
        <v>0.0029873039581777</v>
      </c>
      <c r="J7301" s="9"/>
      <c r="K7301" s="11"/>
      <c r="L7301" s="9"/>
      <c r="M7301" s="11"/>
      <c r="N7301" s="9" t="s">
        <v>1015</v>
      </c>
    </row>
    <row r="7302" ht="25" customHeight="1" spans="1:14">
      <c r="A7302" s="9" t="s">
        <v>343</v>
      </c>
      <c r="B7302" s="9" t="s">
        <v>342</v>
      </c>
      <c r="C7302" s="10">
        <v>46261</v>
      </c>
      <c r="D7302" s="15">
        <v>1.341</v>
      </c>
      <c r="E7302" s="15">
        <v>1.341</v>
      </c>
      <c r="F7302" s="15">
        <v>1.341</v>
      </c>
      <c r="G7302" s="11">
        <v>0.0045</v>
      </c>
      <c r="H7302" s="9">
        <f>MAX($F$7144:F7302)</f>
        <v>1.341</v>
      </c>
      <c r="I7302" s="11">
        <f t="shared" si="180"/>
        <v>0</v>
      </c>
      <c r="J7302" s="9"/>
      <c r="K7302" s="11"/>
      <c r="L7302" s="9"/>
      <c r="M7302" s="11"/>
      <c r="N7302" s="9" t="s">
        <v>1015</v>
      </c>
    </row>
    <row r="7303" ht="25" customHeight="1" spans="1:14">
      <c r="A7303" s="9" t="s">
        <v>343</v>
      </c>
      <c r="B7303" s="9" t="s">
        <v>342</v>
      </c>
      <c r="C7303" s="10">
        <v>46262</v>
      </c>
      <c r="D7303" s="15">
        <v>1.343</v>
      </c>
      <c r="E7303" s="15">
        <v>1.343</v>
      </c>
      <c r="F7303" s="15">
        <v>1.343</v>
      </c>
      <c r="G7303" s="11">
        <v>0.0015</v>
      </c>
      <c r="H7303" s="9">
        <f>MAX($F$7144:F7303)</f>
        <v>1.343</v>
      </c>
      <c r="I7303" s="11">
        <f t="shared" si="180"/>
        <v>0</v>
      </c>
      <c r="J7303" s="9"/>
      <c r="K7303" s="11"/>
      <c r="L7303" s="9"/>
      <c r="M7303" s="11"/>
      <c r="N7303" s="9" t="s">
        <v>1015</v>
      </c>
    </row>
    <row r="7304" ht="25" customHeight="1" spans="1:14">
      <c r="A7304" s="9" t="s">
        <v>343</v>
      </c>
      <c r="B7304" s="9" t="s">
        <v>342</v>
      </c>
      <c r="C7304" s="10">
        <v>46265</v>
      </c>
      <c r="D7304" s="15">
        <v>1.344</v>
      </c>
      <c r="E7304" s="15">
        <v>1.344</v>
      </c>
      <c r="F7304" s="15">
        <v>1.344</v>
      </c>
      <c r="G7304" s="11">
        <v>0.0007</v>
      </c>
      <c r="H7304" s="9">
        <f>MAX($F$7144:F7304)</f>
        <v>1.344</v>
      </c>
      <c r="I7304" s="11">
        <f t="shared" si="180"/>
        <v>0</v>
      </c>
      <c r="J7304" s="9"/>
      <c r="K7304" s="11"/>
      <c r="L7304" s="9"/>
      <c r="M7304" s="11"/>
      <c r="N7304" s="9" t="s">
        <v>1015</v>
      </c>
    </row>
    <row r="7305" ht="25" customHeight="1" spans="1:14">
      <c r="A7305" s="9" t="s">
        <v>343</v>
      </c>
      <c r="B7305" s="9" t="s">
        <v>342</v>
      </c>
      <c r="C7305" s="10">
        <v>46266</v>
      </c>
      <c r="D7305" s="15">
        <v>1.346</v>
      </c>
      <c r="E7305" s="15">
        <v>1.346</v>
      </c>
      <c r="F7305" s="15">
        <v>1.346</v>
      </c>
      <c r="G7305" s="11">
        <v>0.0015</v>
      </c>
      <c r="H7305" s="9">
        <f>MAX($F$7144:F7305)</f>
        <v>1.346</v>
      </c>
      <c r="I7305" s="11">
        <f t="shared" si="180"/>
        <v>0</v>
      </c>
      <c r="J7305" s="9"/>
      <c r="K7305" s="11"/>
      <c r="L7305" s="9"/>
      <c r="M7305" s="11"/>
      <c r="N7305" s="9" t="s">
        <v>1015</v>
      </c>
    </row>
    <row r="7306" ht="25" customHeight="1" spans="1:14">
      <c r="A7306" s="9" t="s">
        <v>343</v>
      </c>
      <c r="B7306" s="9" t="s">
        <v>342</v>
      </c>
      <c r="C7306" s="10">
        <v>46267</v>
      </c>
      <c r="D7306" s="15">
        <v>1.338</v>
      </c>
      <c r="E7306" s="15">
        <v>1.338</v>
      </c>
      <c r="F7306" s="15">
        <v>1.338</v>
      </c>
      <c r="G7306" s="11">
        <v>-0.0059</v>
      </c>
      <c r="H7306" s="9">
        <f>MAX($F$7144:F7306)</f>
        <v>1.346</v>
      </c>
      <c r="I7306" s="11">
        <f t="shared" si="180"/>
        <v>0.00594353640416045</v>
      </c>
      <c r="J7306" s="9"/>
      <c r="K7306" s="11"/>
      <c r="L7306" s="9"/>
      <c r="M7306" s="11"/>
      <c r="N7306" s="9" t="s">
        <v>1015</v>
      </c>
    </row>
    <row r="7307" ht="25" customHeight="1" spans="1:14">
      <c r="A7307" s="9" t="s">
        <v>343</v>
      </c>
      <c r="B7307" s="9" t="s">
        <v>342</v>
      </c>
      <c r="C7307" s="10">
        <v>46268</v>
      </c>
      <c r="D7307" s="15">
        <v>1.338</v>
      </c>
      <c r="E7307" s="15">
        <v>1.338</v>
      </c>
      <c r="F7307" s="15">
        <v>1.338</v>
      </c>
      <c r="G7307" s="11">
        <v>0</v>
      </c>
      <c r="H7307" s="9">
        <f>MAX($F$7144:F7307)</f>
        <v>1.346</v>
      </c>
      <c r="I7307" s="11">
        <f t="shared" si="180"/>
        <v>0.00594353640416045</v>
      </c>
      <c r="J7307" s="9"/>
      <c r="K7307" s="11"/>
      <c r="L7307" s="9"/>
      <c r="M7307" s="11"/>
      <c r="N7307" s="9" t="s">
        <v>1015</v>
      </c>
    </row>
    <row r="7308" ht="25" customHeight="1" spans="1:14">
      <c r="A7308" s="9" t="s">
        <v>343</v>
      </c>
      <c r="B7308" s="9" t="s">
        <v>342</v>
      </c>
      <c r="C7308" s="10">
        <v>46269</v>
      </c>
      <c r="D7308" s="15">
        <v>1.337</v>
      </c>
      <c r="E7308" s="15">
        <v>1.337</v>
      </c>
      <c r="F7308" s="15">
        <v>1.337</v>
      </c>
      <c r="G7308" s="11">
        <v>-0.0007</v>
      </c>
      <c r="H7308" s="9">
        <f>MAX($F$7144:F7308)</f>
        <v>1.346</v>
      </c>
      <c r="I7308" s="11">
        <f t="shared" si="180"/>
        <v>0.00668647845468062</v>
      </c>
      <c r="J7308" s="9"/>
      <c r="K7308" s="11"/>
      <c r="L7308" s="9"/>
      <c r="M7308" s="11"/>
      <c r="N7308" s="9" t="s">
        <v>1015</v>
      </c>
    </row>
    <row r="7309" ht="25" customHeight="1" spans="1:14">
      <c r="A7309" s="9" t="s">
        <v>343</v>
      </c>
      <c r="B7309" s="9" t="s">
        <v>342</v>
      </c>
      <c r="C7309" s="10">
        <v>46272</v>
      </c>
      <c r="D7309" s="15">
        <v>1.341</v>
      </c>
      <c r="E7309" s="15">
        <v>1.341</v>
      </c>
      <c r="F7309" s="15">
        <v>1.341</v>
      </c>
      <c r="G7309" s="11">
        <v>0.003</v>
      </c>
      <c r="H7309" s="9">
        <f>MAX($F$7144:F7309)</f>
        <v>1.346</v>
      </c>
      <c r="I7309" s="11">
        <f t="shared" si="180"/>
        <v>0.0037147102526004</v>
      </c>
      <c r="J7309" s="9"/>
      <c r="K7309" s="11"/>
      <c r="L7309" s="9"/>
      <c r="M7309" s="11"/>
      <c r="N7309" s="9" t="s">
        <v>1015</v>
      </c>
    </row>
    <row r="7310" ht="25" customHeight="1" spans="1:14">
      <c r="A7310" s="9" t="s">
        <v>343</v>
      </c>
      <c r="B7310" s="9" t="s">
        <v>342</v>
      </c>
      <c r="C7310" s="10">
        <v>46273</v>
      </c>
      <c r="D7310" s="15">
        <v>1.345</v>
      </c>
      <c r="E7310" s="15">
        <v>1.345</v>
      </c>
      <c r="F7310" s="15">
        <v>1.345</v>
      </c>
      <c r="G7310" s="11">
        <v>0.003</v>
      </c>
      <c r="H7310" s="9">
        <f>MAX($F$7144:F7310)</f>
        <v>1.346</v>
      </c>
      <c r="I7310" s="11">
        <f t="shared" si="180"/>
        <v>0.000742942050520168</v>
      </c>
      <c r="J7310" s="9"/>
      <c r="K7310" s="11"/>
      <c r="L7310" s="9"/>
      <c r="M7310" s="11"/>
      <c r="N7310" s="9" t="s">
        <v>1015</v>
      </c>
    </row>
    <row r="7311" ht="25" customHeight="1" spans="1:14">
      <c r="A7311" s="9" t="s">
        <v>343</v>
      </c>
      <c r="B7311" s="9" t="s">
        <v>342</v>
      </c>
      <c r="C7311" s="10">
        <v>46274</v>
      </c>
      <c r="D7311" s="15">
        <v>1.345</v>
      </c>
      <c r="E7311" s="15">
        <v>1.345</v>
      </c>
      <c r="F7311" s="15">
        <v>1.345</v>
      </c>
      <c r="G7311" s="11">
        <v>0</v>
      </c>
      <c r="H7311" s="9">
        <f>MAX($F$7144:F7311)</f>
        <v>1.346</v>
      </c>
      <c r="I7311" s="11">
        <f t="shared" si="180"/>
        <v>0.000742942050520168</v>
      </c>
      <c r="J7311" s="9"/>
      <c r="K7311" s="11"/>
      <c r="L7311" s="9"/>
      <c r="M7311" s="11"/>
      <c r="N7311" s="9" t="s">
        <v>1015</v>
      </c>
    </row>
    <row r="7312" ht="25" customHeight="1" spans="1:14">
      <c r="A7312" s="9" t="s">
        <v>194</v>
      </c>
      <c r="B7312" s="9" t="s">
        <v>193</v>
      </c>
      <c r="C7312" s="10">
        <v>45694</v>
      </c>
      <c r="D7312" s="15">
        <v>1</v>
      </c>
      <c r="E7312" s="15">
        <v>1</v>
      </c>
      <c r="F7312" s="15">
        <v>1</v>
      </c>
      <c r="G7312" s="11"/>
      <c r="H7312" s="9">
        <f>MAX($F$7312:F7312)</f>
        <v>1</v>
      </c>
      <c r="I7312" s="11">
        <f t="shared" si="180"/>
        <v>0</v>
      </c>
      <c r="J7312" s="9"/>
      <c r="K7312" s="11"/>
      <c r="L7312" s="9"/>
      <c r="M7312" s="11"/>
      <c r="N7312" s="9" t="s">
        <v>798</v>
      </c>
    </row>
    <row r="7313" ht="25" customHeight="1" spans="1:14">
      <c r="A7313" s="9" t="s">
        <v>194</v>
      </c>
      <c r="B7313" s="9" t="s">
        <v>193</v>
      </c>
      <c r="C7313" s="10">
        <v>45695</v>
      </c>
      <c r="D7313" s="15">
        <v>1</v>
      </c>
      <c r="E7313" s="15">
        <v>1</v>
      </c>
      <c r="F7313" s="15">
        <v>1</v>
      </c>
      <c r="G7313" s="11">
        <v>0</v>
      </c>
      <c r="H7313" s="9">
        <f>MAX($F$7312:F7313)</f>
        <v>1</v>
      </c>
      <c r="I7313" s="11">
        <f t="shared" si="180"/>
        <v>0</v>
      </c>
      <c r="J7313" s="9"/>
      <c r="K7313" s="11"/>
      <c r="L7313" s="9"/>
      <c r="M7313" s="11"/>
      <c r="N7313" s="9" t="s">
        <v>798</v>
      </c>
    </row>
    <row r="7314" ht="25" customHeight="1" spans="1:14">
      <c r="A7314" s="9" t="s">
        <v>194</v>
      </c>
      <c r="B7314" s="9" t="s">
        <v>193</v>
      </c>
      <c r="C7314" s="10">
        <v>45702</v>
      </c>
      <c r="D7314" s="15">
        <v>1.0002</v>
      </c>
      <c r="E7314" s="15">
        <v>1.0002</v>
      </c>
      <c r="F7314" s="15">
        <v>1.0002</v>
      </c>
      <c r="G7314" s="11">
        <v>0.0002</v>
      </c>
      <c r="H7314" s="9">
        <f>MAX($F$7312:F7314)</f>
        <v>1.0002</v>
      </c>
      <c r="I7314" s="11">
        <f t="shared" si="180"/>
        <v>0</v>
      </c>
      <c r="J7314" s="9"/>
      <c r="K7314" s="11"/>
      <c r="L7314" s="9"/>
      <c r="M7314" s="11"/>
      <c r="N7314" s="9" t="s">
        <v>798</v>
      </c>
    </row>
    <row r="7315" ht="25" customHeight="1" spans="1:14">
      <c r="A7315" s="9" t="s">
        <v>194</v>
      </c>
      <c r="B7315" s="9" t="s">
        <v>193</v>
      </c>
      <c r="C7315" s="10">
        <v>45709</v>
      </c>
      <c r="D7315" s="15">
        <v>1.0001</v>
      </c>
      <c r="E7315" s="15">
        <v>1.0001</v>
      </c>
      <c r="F7315" s="15">
        <v>1.0001</v>
      </c>
      <c r="G7315" s="11">
        <v>-0.0001</v>
      </c>
      <c r="H7315" s="9">
        <f>MAX($F$7312:F7315)</f>
        <v>1.0002</v>
      </c>
      <c r="I7315" s="11">
        <f t="shared" si="180"/>
        <v>9.99800039991339e-5</v>
      </c>
      <c r="J7315" s="9"/>
      <c r="K7315" s="11"/>
      <c r="L7315" s="9"/>
      <c r="M7315" s="11"/>
      <c r="N7315" s="9" t="s">
        <v>798</v>
      </c>
    </row>
    <row r="7316" ht="25" customHeight="1" spans="1:14">
      <c r="A7316" s="9" t="s">
        <v>194</v>
      </c>
      <c r="B7316" s="9" t="s">
        <v>193</v>
      </c>
      <c r="C7316" s="10">
        <v>45716</v>
      </c>
      <c r="D7316" s="15">
        <v>0.9991</v>
      </c>
      <c r="E7316" s="15">
        <v>0.9991</v>
      </c>
      <c r="F7316" s="15">
        <v>0.9991</v>
      </c>
      <c r="G7316" s="11">
        <v>-0.001</v>
      </c>
      <c r="H7316" s="9">
        <f>MAX($F$7312:F7316)</f>
        <v>1.0002</v>
      </c>
      <c r="I7316" s="11">
        <f t="shared" si="180"/>
        <v>0.00109978004399114</v>
      </c>
      <c r="J7316" s="9"/>
      <c r="K7316" s="11"/>
      <c r="L7316" s="9"/>
      <c r="M7316" s="11"/>
      <c r="N7316" s="9" t="s">
        <v>798</v>
      </c>
    </row>
    <row r="7317" ht="25" customHeight="1" spans="1:14">
      <c r="A7317" s="9" t="s">
        <v>194</v>
      </c>
      <c r="B7317" s="9" t="s">
        <v>193</v>
      </c>
      <c r="C7317" s="10">
        <v>45723</v>
      </c>
      <c r="D7317" s="15">
        <v>1.0014</v>
      </c>
      <c r="E7317" s="15">
        <v>1.0014</v>
      </c>
      <c r="F7317" s="15">
        <v>1.0014</v>
      </c>
      <c r="G7317" s="11">
        <v>0.0023</v>
      </c>
      <c r="H7317" s="9">
        <f>MAX($F$7312:F7317)</f>
        <v>1.0014</v>
      </c>
      <c r="I7317" s="11">
        <f t="shared" si="180"/>
        <v>0</v>
      </c>
      <c r="J7317" s="9"/>
      <c r="K7317" s="11"/>
      <c r="L7317" s="9"/>
      <c r="M7317" s="11"/>
      <c r="N7317" s="9" t="s">
        <v>798</v>
      </c>
    </row>
    <row r="7318" ht="25" customHeight="1" spans="1:14">
      <c r="A7318" s="9" t="s">
        <v>194</v>
      </c>
      <c r="B7318" s="9" t="s">
        <v>193</v>
      </c>
      <c r="C7318" s="10">
        <v>45730</v>
      </c>
      <c r="D7318" s="15">
        <v>1.002</v>
      </c>
      <c r="E7318" s="15">
        <v>1.002</v>
      </c>
      <c r="F7318" s="15">
        <v>1.002</v>
      </c>
      <c r="G7318" s="11">
        <v>0.0006</v>
      </c>
      <c r="H7318" s="9">
        <f>MAX($F$7312:F7318)</f>
        <v>1.002</v>
      </c>
      <c r="I7318" s="11">
        <f t="shared" si="180"/>
        <v>0</v>
      </c>
      <c r="J7318" s="9"/>
      <c r="K7318" s="11"/>
      <c r="L7318" s="9"/>
      <c r="M7318" s="11"/>
      <c r="N7318" s="9" t="s">
        <v>798</v>
      </c>
    </row>
    <row r="7319" ht="25" customHeight="1" spans="1:14">
      <c r="A7319" s="9" t="s">
        <v>194</v>
      </c>
      <c r="B7319" s="9" t="s">
        <v>193</v>
      </c>
      <c r="C7319" s="10">
        <v>45737</v>
      </c>
      <c r="D7319" s="15">
        <v>1.0022</v>
      </c>
      <c r="E7319" s="15">
        <v>1.0022</v>
      </c>
      <c r="F7319" s="15">
        <v>1.0022</v>
      </c>
      <c r="G7319" s="11">
        <v>0.0002</v>
      </c>
      <c r="H7319" s="9">
        <f>MAX($F$7312:F7319)</f>
        <v>1.0022</v>
      </c>
      <c r="I7319" s="11">
        <f t="shared" si="180"/>
        <v>0</v>
      </c>
      <c r="J7319" s="9"/>
      <c r="K7319" s="11"/>
      <c r="L7319" s="9"/>
      <c r="M7319" s="11"/>
      <c r="N7319" s="9" t="s">
        <v>798</v>
      </c>
    </row>
    <row r="7320" ht="25" customHeight="1" spans="1:14">
      <c r="A7320" s="9" t="s">
        <v>194</v>
      </c>
      <c r="B7320" s="9" t="s">
        <v>193</v>
      </c>
      <c r="C7320" s="10">
        <v>45744</v>
      </c>
      <c r="D7320" s="15">
        <v>1.0027</v>
      </c>
      <c r="E7320" s="15">
        <v>1.0027</v>
      </c>
      <c r="F7320" s="15">
        <v>1.0027</v>
      </c>
      <c r="G7320" s="11">
        <v>0.0005</v>
      </c>
      <c r="H7320" s="9">
        <f>MAX($F$7312:F7320)</f>
        <v>1.0027</v>
      </c>
      <c r="I7320" s="11">
        <f t="shared" si="180"/>
        <v>0</v>
      </c>
      <c r="J7320" s="9"/>
      <c r="K7320" s="11"/>
      <c r="L7320" s="9"/>
      <c r="M7320" s="11"/>
      <c r="N7320" s="9" t="s">
        <v>798</v>
      </c>
    </row>
    <row r="7321" ht="25" customHeight="1" spans="1:14">
      <c r="A7321" s="9" t="s">
        <v>194</v>
      </c>
      <c r="B7321" s="9" t="s">
        <v>193</v>
      </c>
      <c r="C7321" s="10">
        <v>45747</v>
      </c>
      <c r="D7321" s="15">
        <v>1.0031</v>
      </c>
      <c r="E7321" s="15">
        <v>1.0031</v>
      </c>
      <c r="F7321" s="15">
        <v>1.0031</v>
      </c>
      <c r="G7321" s="11">
        <v>0.0004</v>
      </c>
      <c r="H7321" s="9">
        <f>MAX($F$7312:F7321)</f>
        <v>1.0031</v>
      </c>
      <c r="I7321" s="11">
        <f t="shared" si="180"/>
        <v>0</v>
      </c>
      <c r="J7321" s="9"/>
      <c r="K7321" s="11"/>
      <c r="L7321" s="9"/>
      <c r="M7321" s="11"/>
      <c r="N7321" s="9" t="s">
        <v>798</v>
      </c>
    </row>
    <row r="7322" ht="25" customHeight="1" spans="1:14">
      <c r="A7322" s="9" t="s">
        <v>194</v>
      </c>
      <c r="B7322" s="9" t="s">
        <v>193</v>
      </c>
      <c r="C7322" s="10">
        <v>45750</v>
      </c>
      <c r="D7322" s="15">
        <v>1.0035</v>
      </c>
      <c r="E7322" s="15">
        <v>1.0035</v>
      </c>
      <c r="F7322" s="15">
        <v>1.0035</v>
      </c>
      <c r="G7322" s="11">
        <v>0.0004</v>
      </c>
      <c r="H7322" s="9">
        <f>MAX($F$7312:F7322)</f>
        <v>1.0035</v>
      </c>
      <c r="I7322" s="11">
        <f t="shared" si="180"/>
        <v>0</v>
      </c>
      <c r="J7322" s="9"/>
      <c r="K7322" s="11"/>
      <c r="L7322" s="9"/>
      <c r="M7322" s="11"/>
      <c r="N7322" s="9" t="s">
        <v>798</v>
      </c>
    </row>
    <row r="7323" ht="25" customHeight="1" spans="1:14">
      <c r="A7323" s="9" t="s">
        <v>194</v>
      </c>
      <c r="B7323" s="9" t="s">
        <v>193</v>
      </c>
      <c r="C7323" s="10">
        <v>45758</v>
      </c>
      <c r="D7323" s="15">
        <v>1.0201</v>
      </c>
      <c r="E7323" s="15">
        <v>1.0201</v>
      </c>
      <c r="F7323" s="15">
        <v>1.0201</v>
      </c>
      <c r="G7323" s="11">
        <v>0.0165</v>
      </c>
      <c r="H7323" s="9">
        <f>MAX($F$7312:F7323)</f>
        <v>1.0201</v>
      </c>
      <c r="I7323" s="11">
        <f t="shared" si="180"/>
        <v>0</v>
      </c>
      <c r="J7323" s="9"/>
      <c r="K7323" s="11"/>
      <c r="L7323" s="9"/>
      <c r="M7323" s="11"/>
      <c r="N7323" s="9" t="s">
        <v>798</v>
      </c>
    </row>
    <row r="7324" ht="25" customHeight="1" spans="1:14">
      <c r="A7324" s="9" t="s">
        <v>194</v>
      </c>
      <c r="B7324" s="9" t="s">
        <v>193</v>
      </c>
      <c r="C7324" s="10">
        <v>45765</v>
      </c>
      <c r="D7324" s="15">
        <v>1.0269</v>
      </c>
      <c r="E7324" s="15">
        <v>1.0269</v>
      </c>
      <c r="F7324" s="15">
        <v>1.0269</v>
      </c>
      <c r="G7324" s="11">
        <v>0.0067</v>
      </c>
      <c r="H7324" s="9">
        <f>MAX($F$7312:F7324)</f>
        <v>1.0269</v>
      </c>
      <c r="I7324" s="11">
        <f t="shared" si="180"/>
        <v>0</v>
      </c>
      <c r="J7324" s="9"/>
      <c r="K7324" s="11"/>
      <c r="L7324" s="9"/>
      <c r="M7324" s="11"/>
      <c r="N7324" s="9" t="s">
        <v>798</v>
      </c>
    </row>
    <row r="7325" ht="25" customHeight="1" spans="1:14">
      <c r="A7325" s="9" t="s">
        <v>194</v>
      </c>
      <c r="B7325" s="9" t="s">
        <v>193</v>
      </c>
      <c r="C7325" s="10">
        <v>45772</v>
      </c>
      <c r="D7325" s="15">
        <v>1.0273</v>
      </c>
      <c r="E7325" s="15">
        <v>1.0273</v>
      </c>
      <c r="F7325" s="15">
        <v>1.0273</v>
      </c>
      <c r="G7325" s="11">
        <v>0.0004</v>
      </c>
      <c r="H7325" s="9">
        <f>MAX($F$7312:F7325)</f>
        <v>1.0273</v>
      </c>
      <c r="I7325" s="11">
        <f t="shared" si="180"/>
        <v>0</v>
      </c>
      <c r="J7325" s="9"/>
      <c r="K7325" s="11"/>
      <c r="L7325" s="9"/>
      <c r="M7325" s="11"/>
      <c r="N7325" s="9" t="s">
        <v>798</v>
      </c>
    </row>
    <row r="7326" ht="25" customHeight="1" spans="1:14">
      <c r="A7326" s="9" t="s">
        <v>194</v>
      </c>
      <c r="B7326" s="9" t="s">
        <v>193</v>
      </c>
      <c r="C7326" s="10">
        <v>45777</v>
      </c>
      <c r="D7326" s="15">
        <v>1.0276</v>
      </c>
      <c r="E7326" s="15">
        <v>1.0276</v>
      </c>
      <c r="F7326" s="15">
        <v>1.0276</v>
      </c>
      <c r="G7326" s="11">
        <v>0.0003</v>
      </c>
      <c r="H7326" s="9">
        <f>MAX($F$7312:F7326)</f>
        <v>1.0276</v>
      </c>
      <c r="I7326" s="11">
        <f t="shared" si="180"/>
        <v>0</v>
      </c>
      <c r="J7326" s="9"/>
      <c r="K7326" s="11"/>
      <c r="L7326" s="9"/>
      <c r="M7326" s="11"/>
      <c r="N7326" s="9" t="s">
        <v>798</v>
      </c>
    </row>
    <row r="7327" ht="25" customHeight="1" spans="1:14">
      <c r="A7327" s="9" t="s">
        <v>194</v>
      </c>
      <c r="B7327" s="9" t="s">
        <v>193</v>
      </c>
      <c r="C7327" s="10">
        <v>45786</v>
      </c>
      <c r="D7327" s="15">
        <v>1.0294</v>
      </c>
      <c r="E7327" s="15">
        <v>1.0294</v>
      </c>
      <c r="F7327" s="15">
        <v>1.0294</v>
      </c>
      <c r="G7327" s="11">
        <v>0.0018</v>
      </c>
      <c r="H7327" s="9">
        <f>MAX($F$7312:F7327)</f>
        <v>1.0294</v>
      </c>
      <c r="I7327" s="11">
        <f t="shared" si="180"/>
        <v>0</v>
      </c>
      <c r="J7327" s="9"/>
      <c r="K7327" s="11"/>
      <c r="L7327" s="9"/>
      <c r="M7327" s="11"/>
      <c r="N7327" s="9" t="s">
        <v>798</v>
      </c>
    </row>
    <row r="7328" ht="25" customHeight="1" spans="1:14">
      <c r="A7328" s="9" t="s">
        <v>194</v>
      </c>
      <c r="B7328" s="9" t="s">
        <v>193</v>
      </c>
      <c r="C7328" s="10">
        <v>45793</v>
      </c>
      <c r="D7328" s="15">
        <v>1.0302</v>
      </c>
      <c r="E7328" s="15">
        <v>1.0302</v>
      </c>
      <c r="F7328" s="15">
        <v>1.0302</v>
      </c>
      <c r="G7328" s="11">
        <v>0.0008</v>
      </c>
      <c r="H7328" s="9">
        <f>MAX($F$7312:F7328)</f>
        <v>1.0302</v>
      </c>
      <c r="I7328" s="11">
        <f t="shared" si="180"/>
        <v>0</v>
      </c>
      <c r="J7328" s="9"/>
      <c r="K7328" s="11"/>
      <c r="L7328" s="9"/>
      <c r="M7328" s="11"/>
      <c r="N7328" s="9" t="s">
        <v>798</v>
      </c>
    </row>
    <row r="7329" ht="25" customHeight="1" spans="1:14">
      <c r="A7329" s="9" t="s">
        <v>194</v>
      </c>
      <c r="B7329" s="9" t="s">
        <v>193</v>
      </c>
      <c r="C7329" s="10">
        <v>45800</v>
      </c>
      <c r="D7329" s="15">
        <v>1.0308</v>
      </c>
      <c r="E7329" s="15">
        <v>1.0308</v>
      </c>
      <c r="F7329" s="15">
        <v>1.0308</v>
      </c>
      <c r="G7329" s="11">
        <v>0.0006</v>
      </c>
      <c r="H7329" s="9">
        <f>MAX($F$7312:F7329)</f>
        <v>1.0308</v>
      </c>
      <c r="I7329" s="11">
        <f t="shared" si="180"/>
        <v>0</v>
      </c>
      <c r="J7329" s="9"/>
      <c r="K7329" s="11"/>
      <c r="L7329" s="9"/>
      <c r="M7329" s="11"/>
      <c r="N7329" s="9" t="s">
        <v>798</v>
      </c>
    </row>
    <row r="7330" ht="25" customHeight="1" spans="1:14">
      <c r="A7330" s="9" t="s">
        <v>194</v>
      </c>
      <c r="B7330" s="9" t="s">
        <v>193</v>
      </c>
      <c r="C7330" s="10">
        <v>45807</v>
      </c>
      <c r="D7330" s="15">
        <v>1.0314</v>
      </c>
      <c r="E7330" s="15">
        <v>1.0314</v>
      </c>
      <c r="F7330" s="15">
        <v>1.0314</v>
      </c>
      <c r="G7330" s="11">
        <v>0.0006</v>
      </c>
      <c r="H7330" s="9">
        <f>MAX($F$7312:F7330)</f>
        <v>1.0314</v>
      </c>
      <c r="I7330" s="11">
        <f t="shared" si="180"/>
        <v>0</v>
      </c>
      <c r="J7330" s="9"/>
      <c r="K7330" s="11"/>
      <c r="L7330" s="9"/>
      <c r="M7330" s="11"/>
      <c r="N7330" s="9" t="s">
        <v>798</v>
      </c>
    </row>
    <row r="7331" ht="25" customHeight="1" spans="1:14">
      <c r="A7331" s="9" t="s">
        <v>194</v>
      </c>
      <c r="B7331" s="9" t="s">
        <v>193</v>
      </c>
      <c r="C7331" s="10">
        <v>45814</v>
      </c>
      <c r="D7331" s="15">
        <v>1.0316</v>
      </c>
      <c r="E7331" s="15">
        <v>1.0316</v>
      </c>
      <c r="F7331" s="15">
        <v>1.0316</v>
      </c>
      <c r="G7331" s="11">
        <v>0.0002</v>
      </c>
      <c r="H7331" s="9">
        <f>MAX($F$7312:F7331)</f>
        <v>1.0316</v>
      </c>
      <c r="I7331" s="11">
        <f t="shared" si="180"/>
        <v>0</v>
      </c>
      <c r="J7331" s="9"/>
      <c r="K7331" s="11"/>
      <c r="L7331" s="9"/>
      <c r="M7331" s="11"/>
      <c r="N7331" s="9" t="s">
        <v>798</v>
      </c>
    </row>
    <row r="7332" ht="25" customHeight="1" spans="1:14">
      <c r="A7332" s="9" t="s">
        <v>194</v>
      </c>
      <c r="B7332" s="9" t="s">
        <v>193</v>
      </c>
      <c r="C7332" s="10">
        <v>45821</v>
      </c>
      <c r="D7332" s="15">
        <v>1.0356</v>
      </c>
      <c r="E7332" s="15">
        <v>1.0356</v>
      </c>
      <c r="F7332" s="15">
        <v>1.0356</v>
      </c>
      <c r="G7332" s="11">
        <v>0.0039</v>
      </c>
      <c r="H7332" s="9">
        <f>MAX($F$7312:F7332)</f>
        <v>1.0356</v>
      </c>
      <c r="I7332" s="11">
        <f t="shared" si="180"/>
        <v>0</v>
      </c>
      <c r="J7332" s="9"/>
      <c r="K7332" s="11"/>
      <c r="L7332" s="9"/>
      <c r="M7332" s="11"/>
      <c r="N7332" s="9" t="s">
        <v>798</v>
      </c>
    </row>
    <row r="7333" ht="25" customHeight="1" spans="1:14">
      <c r="A7333" s="9" t="s">
        <v>194</v>
      </c>
      <c r="B7333" s="9" t="s">
        <v>193</v>
      </c>
      <c r="C7333" s="10">
        <v>45828</v>
      </c>
      <c r="D7333" s="15">
        <v>1.0361</v>
      </c>
      <c r="E7333" s="15">
        <v>1.0361</v>
      </c>
      <c r="F7333" s="15">
        <v>1.0361</v>
      </c>
      <c r="G7333" s="11">
        <v>0.0005</v>
      </c>
      <c r="H7333" s="9">
        <f>MAX($F$7312:F7333)</f>
        <v>1.0361</v>
      </c>
      <c r="I7333" s="11">
        <f t="shared" si="180"/>
        <v>0</v>
      </c>
      <c r="J7333" s="9"/>
      <c r="K7333" s="11"/>
      <c r="L7333" s="9"/>
      <c r="M7333" s="11"/>
      <c r="N7333" s="9" t="s">
        <v>798</v>
      </c>
    </row>
    <row r="7334" ht="25" customHeight="1" spans="1:14">
      <c r="A7334" s="9" t="s">
        <v>194</v>
      </c>
      <c r="B7334" s="9" t="s">
        <v>193</v>
      </c>
      <c r="C7334" s="10">
        <v>45835</v>
      </c>
      <c r="D7334" s="15">
        <v>1.0367</v>
      </c>
      <c r="E7334" s="15">
        <v>1.0367</v>
      </c>
      <c r="F7334" s="15">
        <v>1.0367</v>
      </c>
      <c r="G7334" s="11">
        <v>0.0006</v>
      </c>
      <c r="H7334" s="9">
        <f>MAX($F$7312:F7334)</f>
        <v>1.0367</v>
      </c>
      <c r="I7334" s="11">
        <f t="shared" si="180"/>
        <v>0</v>
      </c>
      <c r="J7334" s="9"/>
      <c r="K7334" s="11"/>
      <c r="L7334" s="9"/>
      <c r="M7334" s="11"/>
      <c r="N7334" s="9" t="s">
        <v>798</v>
      </c>
    </row>
    <row r="7335" ht="25" customHeight="1" spans="1:14">
      <c r="A7335" s="9" t="s">
        <v>194</v>
      </c>
      <c r="B7335" s="9" t="s">
        <v>193</v>
      </c>
      <c r="C7335" s="10">
        <v>45838</v>
      </c>
      <c r="D7335" s="15">
        <v>1.037</v>
      </c>
      <c r="E7335" s="15">
        <v>1.037</v>
      </c>
      <c r="F7335" s="15">
        <v>1.037</v>
      </c>
      <c r="G7335" s="11">
        <v>0.0003</v>
      </c>
      <c r="H7335" s="9">
        <f>MAX($F$7312:F7335)</f>
        <v>1.037</v>
      </c>
      <c r="I7335" s="11">
        <f t="shared" si="180"/>
        <v>0</v>
      </c>
      <c r="J7335" s="9"/>
      <c r="K7335" s="11"/>
      <c r="L7335" s="9"/>
      <c r="M7335" s="11"/>
      <c r="N7335" s="9" t="s">
        <v>798</v>
      </c>
    </row>
    <row r="7336" ht="25" customHeight="1" spans="1:14">
      <c r="A7336" s="9" t="s">
        <v>194</v>
      </c>
      <c r="B7336" s="9" t="s">
        <v>193</v>
      </c>
      <c r="C7336" s="10">
        <v>45842</v>
      </c>
      <c r="D7336" s="15">
        <v>1.0381</v>
      </c>
      <c r="E7336" s="15">
        <v>1.0381</v>
      </c>
      <c r="F7336" s="15">
        <v>1.0381</v>
      </c>
      <c r="G7336" s="11">
        <v>0.0011</v>
      </c>
      <c r="H7336" s="9">
        <f>MAX($F$7312:F7336)</f>
        <v>1.0381</v>
      </c>
      <c r="I7336" s="11">
        <f t="shared" si="180"/>
        <v>0</v>
      </c>
      <c r="J7336" s="9"/>
      <c r="K7336" s="11"/>
      <c r="L7336" s="9"/>
      <c r="M7336" s="11"/>
      <c r="N7336" s="9" t="s">
        <v>798</v>
      </c>
    </row>
    <row r="7337" ht="25" customHeight="1" spans="1:14">
      <c r="A7337" s="9" t="s">
        <v>194</v>
      </c>
      <c r="B7337" s="9" t="s">
        <v>193</v>
      </c>
      <c r="C7337" s="10">
        <v>45849</v>
      </c>
      <c r="D7337" s="15">
        <v>1.0378</v>
      </c>
      <c r="E7337" s="15">
        <v>1.0378</v>
      </c>
      <c r="F7337" s="15">
        <v>1.0378</v>
      </c>
      <c r="G7337" s="11">
        <v>-0.0003</v>
      </c>
      <c r="H7337" s="9">
        <f>MAX($F$7312:F7337)</f>
        <v>1.0381</v>
      </c>
      <c r="I7337" s="11">
        <f t="shared" si="180"/>
        <v>0.000288989500048187</v>
      </c>
      <c r="J7337" s="9"/>
      <c r="K7337" s="11"/>
      <c r="L7337" s="9"/>
      <c r="M7337" s="11"/>
      <c r="N7337" s="9" t="s">
        <v>798</v>
      </c>
    </row>
    <row r="7338" ht="25" customHeight="1" spans="1:14">
      <c r="A7338" s="9" t="s">
        <v>194</v>
      </c>
      <c r="B7338" s="9" t="s">
        <v>193</v>
      </c>
      <c r="C7338" s="10">
        <v>45856</v>
      </c>
      <c r="D7338" s="15">
        <v>1.0379</v>
      </c>
      <c r="E7338" s="15">
        <v>1.0379</v>
      </c>
      <c r="F7338" s="15">
        <v>1.0379</v>
      </c>
      <c r="G7338" s="11">
        <v>0.0001</v>
      </c>
      <c r="H7338" s="9">
        <f>MAX($F$7312:F7338)</f>
        <v>1.0381</v>
      </c>
      <c r="I7338" s="11">
        <f t="shared" si="180"/>
        <v>0.000192659666698791</v>
      </c>
      <c r="J7338" s="9"/>
      <c r="K7338" s="11"/>
      <c r="L7338" s="9"/>
      <c r="M7338" s="11"/>
      <c r="N7338" s="9" t="s">
        <v>798</v>
      </c>
    </row>
    <row r="7339" ht="25" customHeight="1" spans="1:14">
      <c r="A7339" s="9" t="s">
        <v>194</v>
      </c>
      <c r="B7339" s="9" t="s">
        <v>193</v>
      </c>
      <c r="C7339" s="10">
        <v>45863</v>
      </c>
      <c r="D7339" s="15">
        <v>1.0391</v>
      </c>
      <c r="E7339" s="15">
        <v>1.0391</v>
      </c>
      <c r="F7339" s="15">
        <v>1.0391</v>
      </c>
      <c r="G7339" s="11">
        <v>0.0012</v>
      </c>
      <c r="H7339" s="9">
        <f>MAX($F$7312:F7339)</f>
        <v>1.0391</v>
      </c>
      <c r="I7339" s="11">
        <f t="shared" si="180"/>
        <v>0</v>
      </c>
      <c r="J7339" s="9"/>
      <c r="K7339" s="11"/>
      <c r="L7339" s="9"/>
      <c r="M7339" s="11"/>
      <c r="N7339" s="9" t="s">
        <v>798</v>
      </c>
    </row>
    <row r="7340" ht="25" customHeight="1" spans="1:14">
      <c r="A7340" s="9" t="s">
        <v>194</v>
      </c>
      <c r="B7340" s="9" t="s">
        <v>193</v>
      </c>
      <c r="C7340" s="10">
        <v>45869</v>
      </c>
      <c r="D7340" s="15">
        <v>1.0387</v>
      </c>
      <c r="E7340" s="15">
        <v>1.0387</v>
      </c>
      <c r="F7340" s="15">
        <v>1.0387</v>
      </c>
      <c r="G7340" s="11">
        <v>-0.0004</v>
      </c>
      <c r="H7340" s="9">
        <f>MAX($F$7312:F7340)</f>
        <v>1.0391</v>
      </c>
      <c r="I7340" s="11">
        <f t="shared" si="180"/>
        <v>0.000384948513136307</v>
      </c>
      <c r="J7340" s="9"/>
      <c r="K7340" s="11"/>
      <c r="L7340" s="9"/>
      <c r="M7340" s="11"/>
      <c r="N7340" s="9" t="s">
        <v>798</v>
      </c>
    </row>
    <row r="7341" ht="25" customHeight="1" spans="1:14">
      <c r="A7341" s="9" t="s">
        <v>194</v>
      </c>
      <c r="B7341" s="9" t="s">
        <v>193</v>
      </c>
      <c r="C7341" s="10">
        <v>45870</v>
      </c>
      <c r="D7341" s="15">
        <v>1.0385</v>
      </c>
      <c r="E7341" s="15">
        <v>1.0385</v>
      </c>
      <c r="F7341" s="15">
        <v>1.0385</v>
      </c>
      <c r="G7341" s="11">
        <v>-0.0002</v>
      </c>
      <c r="H7341" s="9">
        <f>MAX($F$7312:F7341)</f>
        <v>1.0391</v>
      </c>
      <c r="I7341" s="11">
        <f t="shared" si="180"/>
        <v>0.000577422769704516</v>
      </c>
      <c r="J7341" s="9"/>
      <c r="K7341" s="11"/>
      <c r="L7341" s="9"/>
      <c r="M7341" s="11"/>
      <c r="N7341" s="9" t="s">
        <v>798</v>
      </c>
    </row>
    <row r="7342" ht="25" customHeight="1" spans="1:14">
      <c r="A7342" s="9" t="s">
        <v>194</v>
      </c>
      <c r="B7342" s="9" t="s">
        <v>193</v>
      </c>
      <c r="C7342" s="10">
        <v>45877</v>
      </c>
      <c r="D7342" s="15">
        <v>1.0388</v>
      </c>
      <c r="E7342" s="15">
        <v>1.0388</v>
      </c>
      <c r="F7342" s="15">
        <v>1.0388</v>
      </c>
      <c r="G7342" s="11">
        <v>0.0003</v>
      </c>
      <c r="H7342" s="9">
        <f>MAX($F$7312:F7342)</f>
        <v>1.0391</v>
      </c>
      <c r="I7342" s="11">
        <f t="shared" si="180"/>
        <v>0.000288711384852203</v>
      </c>
      <c r="J7342" s="9"/>
      <c r="K7342" s="11"/>
      <c r="L7342" s="9"/>
      <c r="M7342" s="11"/>
      <c r="N7342" s="9" t="s">
        <v>798</v>
      </c>
    </row>
    <row r="7343" ht="25" customHeight="1" spans="1:14">
      <c r="A7343" s="9" t="s">
        <v>194</v>
      </c>
      <c r="B7343" s="9" t="s">
        <v>193</v>
      </c>
      <c r="C7343" s="10">
        <v>45884</v>
      </c>
      <c r="D7343" s="15">
        <v>1.0408</v>
      </c>
      <c r="E7343" s="15">
        <v>1.0408</v>
      </c>
      <c r="F7343" s="15">
        <v>1.0408</v>
      </c>
      <c r="G7343" s="11">
        <v>0.0019</v>
      </c>
      <c r="H7343" s="9">
        <f>MAX($F$7312:F7343)</f>
        <v>1.0408</v>
      </c>
      <c r="I7343" s="11">
        <f t="shared" si="180"/>
        <v>0</v>
      </c>
      <c r="J7343" s="9"/>
      <c r="K7343" s="11"/>
      <c r="L7343" s="9"/>
      <c r="M7343" s="11"/>
      <c r="N7343" s="9" t="s">
        <v>798</v>
      </c>
    </row>
    <row r="7344" ht="25" customHeight="1" spans="1:14">
      <c r="A7344" s="9" t="s">
        <v>194</v>
      </c>
      <c r="B7344" s="9" t="s">
        <v>193</v>
      </c>
      <c r="C7344" s="10">
        <v>45891</v>
      </c>
      <c r="D7344" s="15">
        <v>1.0443</v>
      </c>
      <c r="E7344" s="15">
        <v>1.0443</v>
      </c>
      <c r="F7344" s="15">
        <v>1.0443</v>
      </c>
      <c r="G7344" s="11">
        <v>0.0034</v>
      </c>
      <c r="H7344" s="9">
        <f>MAX($F$7312:F7344)</f>
        <v>1.0443</v>
      </c>
      <c r="I7344" s="11">
        <f t="shared" si="180"/>
        <v>0</v>
      </c>
      <c r="J7344" s="9"/>
      <c r="K7344" s="11"/>
      <c r="L7344" s="9"/>
      <c r="M7344" s="11"/>
      <c r="N7344" s="9" t="s">
        <v>798</v>
      </c>
    </row>
    <row r="7345" ht="25" customHeight="1" spans="1:14">
      <c r="A7345" s="9" t="s">
        <v>194</v>
      </c>
      <c r="B7345" s="9" t="s">
        <v>193</v>
      </c>
      <c r="C7345" s="10">
        <v>45898</v>
      </c>
      <c r="D7345" s="15">
        <v>1.0481</v>
      </c>
      <c r="E7345" s="15">
        <v>1.0481</v>
      </c>
      <c r="F7345" s="15">
        <v>1.0481</v>
      </c>
      <c r="G7345" s="11">
        <v>0.0036</v>
      </c>
      <c r="H7345" s="9">
        <f>MAX($F$7312:F7345)</f>
        <v>1.0481</v>
      </c>
      <c r="I7345" s="11">
        <f t="shared" si="180"/>
        <v>0</v>
      </c>
      <c r="J7345" s="9">
        <f>MAX($F$7345:F7345)</f>
        <v>1.0481</v>
      </c>
      <c r="K7345" s="11">
        <f t="shared" ref="K7345:K7399" si="181">1-F7345/J7345</f>
        <v>0</v>
      </c>
      <c r="L7345" s="9"/>
      <c r="M7345" s="11"/>
      <c r="N7345" s="9" t="s">
        <v>798</v>
      </c>
    </row>
    <row r="7346" ht="25" customHeight="1" spans="1:14">
      <c r="A7346" s="9" t="s">
        <v>194</v>
      </c>
      <c r="B7346" s="9" t="s">
        <v>193</v>
      </c>
      <c r="C7346" s="10">
        <v>45905</v>
      </c>
      <c r="D7346" s="15">
        <v>1.0565</v>
      </c>
      <c r="E7346" s="15">
        <v>1.0565</v>
      </c>
      <c r="F7346" s="15">
        <v>1.0565</v>
      </c>
      <c r="G7346" s="11">
        <v>0.008</v>
      </c>
      <c r="H7346" s="9">
        <f>MAX($F$7312:F7346)</f>
        <v>1.0565</v>
      </c>
      <c r="I7346" s="11">
        <f t="shared" si="180"/>
        <v>0</v>
      </c>
      <c r="J7346" s="9">
        <f>MAX($F$7345:F7346)</f>
        <v>1.0565</v>
      </c>
      <c r="K7346" s="11">
        <f t="shared" si="181"/>
        <v>0</v>
      </c>
      <c r="L7346" s="9"/>
      <c r="M7346" s="11"/>
      <c r="N7346" s="9" t="s">
        <v>798</v>
      </c>
    </row>
    <row r="7347" ht="25" customHeight="1" spans="1:14">
      <c r="A7347" s="9" t="s">
        <v>194</v>
      </c>
      <c r="B7347" s="9" t="s">
        <v>193</v>
      </c>
      <c r="C7347" s="10">
        <v>45912</v>
      </c>
      <c r="D7347" s="15">
        <v>1.0645</v>
      </c>
      <c r="E7347" s="15">
        <v>1.0645</v>
      </c>
      <c r="F7347" s="15">
        <v>1.0645</v>
      </c>
      <c r="G7347" s="11">
        <v>0.0076</v>
      </c>
      <c r="H7347" s="9">
        <f>MAX($F$7312:F7347)</f>
        <v>1.0645</v>
      </c>
      <c r="I7347" s="11">
        <f t="shared" si="180"/>
        <v>0</v>
      </c>
      <c r="J7347" s="9">
        <f>MAX($F$7345:F7347)</f>
        <v>1.0645</v>
      </c>
      <c r="K7347" s="11">
        <f t="shared" si="181"/>
        <v>0</v>
      </c>
      <c r="L7347" s="9"/>
      <c r="M7347" s="11"/>
      <c r="N7347" s="9" t="s">
        <v>798</v>
      </c>
    </row>
    <row r="7348" ht="25" customHeight="1" spans="1:14">
      <c r="A7348" s="9" t="s">
        <v>194</v>
      </c>
      <c r="B7348" s="9" t="s">
        <v>193</v>
      </c>
      <c r="C7348" s="10">
        <v>45919</v>
      </c>
      <c r="D7348" s="15">
        <v>1.064</v>
      </c>
      <c r="E7348" s="15">
        <v>1.064</v>
      </c>
      <c r="F7348" s="15">
        <v>1.064</v>
      </c>
      <c r="G7348" s="11">
        <v>-0.0005</v>
      </c>
      <c r="H7348" s="9">
        <f>MAX($F$7312:F7348)</f>
        <v>1.0645</v>
      </c>
      <c r="I7348" s="11">
        <f t="shared" si="180"/>
        <v>0.000469704086425549</v>
      </c>
      <c r="J7348" s="9">
        <f>MAX($F$7345:F7348)</f>
        <v>1.0645</v>
      </c>
      <c r="K7348" s="11">
        <f t="shared" si="181"/>
        <v>0.000469704086425549</v>
      </c>
      <c r="L7348" s="9"/>
      <c r="M7348" s="11"/>
      <c r="N7348" s="9" t="s">
        <v>798</v>
      </c>
    </row>
    <row r="7349" ht="25" customHeight="1" spans="1:14">
      <c r="A7349" s="9" t="s">
        <v>194</v>
      </c>
      <c r="B7349" s="9" t="s">
        <v>193</v>
      </c>
      <c r="C7349" s="10">
        <v>45926</v>
      </c>
      <c r="D7349" s="15">
        <v>1.0661</v>
      </c>
      <c r="E7349" s="15">
        <v>1.0661</v>
      </c>
      <c r="F7349" s="15">
        <v>1.0661</v>
      </c>
      <c r="G7349" s="11">
        <v>0.002</v>
      </c>
      <c r="H7349" s="9">
        <f>MAX($F$7312:F7349)</f>
        <v>1.0661</v>
      </c>
      <c r="I7349" s="11">
        <f t="shared" si="180"/>
        <v>0</v>
      </c>
      <c r="J7349" s="9">
        <f>MAX($F$7345:F7349)</f>
        <v>1.0661</v>
      </c>
      <c r="K7349" s="11">
        <f t="shared" si="181"/>
        <v>0</v>
      </c>
      <c r="L7349" s="9"/>
      <c r="M7349" s="11"/>
      <c r="N7349" s="9" t="s">
        <v>798</v>
      </c>
    </row>
    <row r="7350" ht="25" customHeight="1" spans="1:14">
      <c r="A7350" s="9" t="s">
        <v>194</v>
      </c>
      <c r="B7350" s="9" t="s">
        <v>193</v>
      </c>
      <c r="C7350" s="10">
        <v>45930</v>
      </c>
      <c r="D7350" s="15">
        <v>1.0663</v>
      </c>
      <c r="E7350" s="15">
        <v>1.0663</v>
      </c>
      <c r="F7350" s="15">
        <v>1.0663</v>
      </c>
      <c r="G7350" s="11">
        <v>0.0002</v>
      </c>
      <c r="H7350" s="9">
        <f>MAX($F$7312:F7350)</f>
        <v>1.0663</v>
      </c>
      <c r="I7350" s="11">
        <f t="shared" si="180"/>
        <v>0</v>
      </c>
      <c r="J7350" s="9">
        <f>MAX($F$7345:F7350)</f>
        <v>1.0663</v>
      </c>
      <c r="K7350" s="11">
        <f t="shared" si="181"/>
        <v>0</v>
      </c>
      <c r="L7350" s="9"/>
      <c r="M7350" s="11"/>
      <c r="N7350" s="9" t="s">
        <v>798</v>
      </c>
    </row>
    <row r="7351" ht="25" customHeight="1" spans="1:14">
      <c r="A7351" s="9" t="s">
        <v>194</v>
      </c>
      <c r="B7351" s="9" t="s">
        <v>193</v>
      </c>
      <c r="C7351" s="10">
        <v>45940</v>
      </c>
      <c r="D7351" s="15">
        <v>1.0668</v>
      </c>
      <c r="E7351" s="15">
        <v>1.0668</v>
      </c>
      <c r="F7351" s="15">
        <v>1.0668</v>
      </c>
      <c r="G7351" s="11">
        <v>0.0005</v>
      </c>
      <c r="H7351" s="9">
        <f>MAX($F$7312:F7351)</f>
        <v>1.0668</v>
      </c>
      <c r="I7351" s="11">
        <f t="shared" si="180"/>
        <v>0</v>
      </c>
      <c r="J7351" s="9">
        <f>MAX($F$7345:F7351)</f>
        <v>1.0668</v>
      </c>
      <c r="K7351" s="11">
        <f t="shared" si="181"/>
        <v>0</v>
      </c>
      <c r="L7351" s="9"/>
      <c r="M7351" s="11"/>
      <c r="N7351" s="9" t="s">
        <v>798</v>
      </c>
    </row>
    <row r="7352" ht="25" customHeight="1" spans="1:14">
      <c r="A7352" s="9" t="s">
        <v>194</v>
      </c>
      <c r="B7352" s="9" t="s">
        <v>193</v>
      </c>
      <c r="C7352" s="10">
        <v>45947</v>
      </c>
      <c r="D7352" s="15">
        <v>1.0669</v>
      </c>
      <c r="E7352" s="15">
        <v>1.0669</v>
      </c>
      <c r="F7352" s="15">
        <v>1.0669</v>
      </c>
      <c r="G7352" s="11">
        <v>0.0001</v>
      </c>
      <c r="H7352" s="9">
        <f>MAX($F$7312:F7352)</f>
        <v>1.0669</v>
      </c>
      <c r="I7352" s="11">
        <f t="shared" si="180"/>
        <v>0</v>
      </c>
      <c r="J7352" s="9">
        <f>MAX($F$7345:F7352)</f>
        <v>1.0669</v>
      </c>
      <c r="K7352" s="11">
        <f t="shared" si="181"/>
        <v>0</v>
      </c>
      <c r="L7352" s="9"/>
      <c r="M7352" s="11"/>
      <c r="N7352" s="9" t="s">
        <v>798</v>
      </c>
    </row>
    <row r="7353" ht="25" customHeight="1" spans="1:14">
      <c r="A7353" s="9" t="s">
        <v>194</v>
      </c>
      <c r="B7353" s="9" t="s">
        <v>193</v>
      </c>
      <c r="C7353" s="10">
        <v>45954</v>
      </c>
      <c r="D7353" s="15">
        <v>1.0693</v>
      </c>
      <c r="E7353" s="15">
        <v>1.0693</v>
      </c>
      <c r="F7353" s="15">
        <v>1.0693</v>
      </c>
      <c r="G7353" s="11">
        <v>0.0022</v>
      </c>
      <c r="H7353" s="9">
        <f>MAX($F$7312:F7353)</f>
        <v>1.0693</v>
      </c>
      <c r="I7353" s="11">
        <f t="shared" si="180"/>
        <v>0</v>
      </c>
      <c r="J7353" s="9">
        <f>MAX($F$7345:F7353)</f>
        <v>1.0693</v>
      </c>
      <c r="K7353" s="11">
        <f t="shared" si="181"/>
        <v>0</v>
      </c>
      <c r="L7353" s="9"/>
      <c r="M7353" s="11"/>
      <c r="N7353" s="9" t="s">
        <v>798</v>
      </c>
    </row>
    <row r="7354" ht="25" customHeight="1" spans="1:14">
      <c r="A7354" s="9" t="s">
        <v>194</v>
      </c>
      <c r="B7354" s="9" t="s">
        <v>193</v>
      </c>
      <c r="C7354" s="10">
        <v>45961</v>
      </c>
      <c r="D7354" s="15">
        <v>1.0701</v>
      </c>
      <c r="E7354" s="15">
        <v>1.0701</v>
      </c>
      <c r="F7354" s="15">
        <v>1.0701</v>
      </c>
      <c r="G7354" s="11">
        <v>0.0007</v>
      </c>
      <c r="H7354" s="9">
        <f>MAX($F$7312:F7354)</f>
        <v>1.0701</v>
      </c>
      <c r="I7354" s="11">
        <f t="shared" si="180"/>
        <v>0</v>
      </c>
      <c r="J7354" s="9">
        <f>MAX($F$7345:F7354)</f>
        <v>1.0701</v>
      </c>
      <c r="K7354" s="11">
        <f t="shared" si="181"/>
        <v>0</v>
      </c>
      <c r="L7354" s="9"/>
      <c r="M7354" s="11"/>
      <c r="N7354" s="9" t="s">
        <v>798</v>
      </c>
    </row>
    <row r="7355" ht="25" customHeight="1" spans="1:14">
      <c r="A7355" s="9" t="s">
        <v>194</v>
      </c>
      <c r="B7355" s="9" t="s">
        <v>193</v>
      </c>
      <c r="C7355" s="10">
        <v>45968</v>
      </c>
      <c r="D7355" s="15">
        <v>1.0687</v>
      </c>
      <c r="E7355" s="15">
        <v>1.0687</v>
      </c>
      <c r="F7355" s="15">
        <v>1.0687</v>
      </c>
      <c r="G7355" s="11">
        <v>-0.0013</v>
      </c>
      <c r="H7355" s="9">
        <f>MAX($F$7312:F7355)</f>
        <v>1.0701</v>
      </c>
      <c r="I7355" s="11">
        <f t="shared" si="180"/>
        <v>0.00130828894495849</v>
      </c>
      <c r="J7355" s="9">
        <f>MAX($F$7345:F7355)</f>
        <v>1.0701</v>
      </c>
      <c r="K7355" s="11">
        <f t="shared" si="181"/>
        <v>0.00130828894495849</v>
      </c>
      <c r="L7355" s="9"/>
      <c r="M7355" s="11"/>
      <c r="N7355" s="9" t="s">
        <v>798</v>
      </c>
    </row>
    <row r="7356" ht="25" customHeight="1" spans="1:14">
      <c r="A7356" s="9" t="s">
        <v>194</v>
      </c>
      <c r="B7356" s="9" t="s">
        <v>193</v>
      </c>
      <c r="C7356" s="10">
        <v>45975</v>
      </c>
      <c r="D7356" s="15">
        <v>1.0692</v>
      </c>
      <c r="E7356" s="15">
        <v>1.0692</v>
      </c>
      <c r="F7356" s="15">
        <v>1.0692</v>
      </c>
      <c r="G7356" s="11">
        <v>0.0005</v>
      </c>
      <c r="H7356" s="9">
        <f>MAX($F$7312:F7356)</f>
        <v>1.0701</v>
      </c>
      <c r="I7356" s="11">
        <f t="shared" si="180"/>
        <v>0.000841042893187649</v>
      </c>
      <c r="J7356" s="9">
        <f>MAX($F$7345:F7356)</f>
        <v>1.0701</v>
      </c>
      <c r="K7356" s="11">
        <f t="shared" si="181"/>
        <v>0.000841042893187649</v>
      </c>
      <c r="L7356" s="9"/>
      <c r="M7356" s="11"/>
      <c r="N7356" s="9" t="s">
        <v>798</v>
      </c>
    </row>
    <row r="7357" ht="25" customHeight="1" spans="1:14">
      <c r="A7357" s="9" t="s">
        <v>194</v>
      </c>
      <c r="B7357" s="9" t="s">
        <v>193</v>
      </c>
      <c r="C7357" s="10">
        <v>45982</v>
      </c>
      <c r="D7357" s="15">
        <v>1.0673</v>
      </c>
      <c r="E7357" s="15">
        <v>1.0673</v>
      </c>
      <c r="F7357" s="15">
        <v>1.0673</v>
      </c>
      <c r="G7357" s="11">
        <v>-0.0018</v>
      </c>
      <c r="H7357" s="9">
        <f>MAX($F$7312:F7357)</f>
        <v>1.0701</v>
      </c>
      <c r="I7357" s="11">
        <f t="shared" si="180"/>
        <v>0.00261657788991698</v>
      </c>
      <c r="J7357" s="9">
        <f>MAX($F$7345:F7357)</f>
        <v>1.0701</v>
      </c>
      <c r="K7357" s="11">
        <f t="shared" si="181"/>
        <v>0.00261657788991698</v>
      </c>
      <c r="L7357" s="9"/>
      <c r="M7357" s="11"/>
      <c r="N7357" s="9" t="s">
        <v>798</v>
      </c>
    </row>
    <row r="7358" ht="25" customHeight="1" spans="1:14">
      <c r="A7358" s="9" t="s">
        <v>194</v>
      </c>
      <c r="B7358" s="9" t="s">
        <v>193</v>
      </c>
      <c r="C7358" s="10">
        <v>45989</v>
      </c>
      <c r="D7358" s="15">
        <v>1.0707</v>
      </c>
      <c r="E7358" s="15">
        <v>1.0707</v>
      </c>
      <c r="F7358" s="15">
        <v>1.0707</v>
      </c>
      <c r="G7358" s="11">
        <v>0.0032</v>
      </c>
      <c r="H7358" s="9">
        <f>MAX($F$7312:F7358)</f>
        <v>1.0707</v>
      </c>
      <c r="I7358" s="11">
        <f t="shared" si="180"/>
        <v>0</v>
      </c>
      <c r="J7358" s="9">
        <f>MAX($F$7345:F7358)</f>
        <v>1.0707</v>
      </c>
      <c r="K7358" s="11">
        <f t="shared" si="181"/>
        <v>0</v>
      </c>
      <c r="L7358" s="9"/>
      <c r="M7358" s="11"/>
      <c r="N7358" s="9" t="s">
        <v>798</v>
      </c>
    </row>
    <row r="7359" ht="25" customHeight="1" spans="1:14">
      <c r="A7359" s="9" t="s">
        <v>194</v>
      </c>
      <c r="B7359" s="9" t="s">
        <v>193</v>
      </c>
      <c r="C7359" s="10">
        <v>45996</v>
      </c>
      <c r="D7359" s="15">
        <v>1.071</v>
      </c>
      <c r="E7359" s="15">
        <v>1.071</v>
      </c>
      <c r="F7359" s="15">
        <v>1.071</v>
      </c>
      <c r="G7359" s="11">
        <v>0.0003</v>
      </c>
      <c r="H7359" s="9">
        <f>MAX($F$7312:F7359)</f>
        <v>1.071</v>
      </c>
      <c r="I7359" s="11">
        <f t="shared" si="180"/>
        <v>0</v>
      </c>
      <c r="J7359" s="9">
        <f>MAX($F$7345:F7359)</f>
        <v>1.071</v>
      </c>
      <c r="K7359" s="11">
        <f t="shared" si="181"/>
        <v>0</v>
      </c>
      <c r="L7359" s="9"/>
      <c r="M7359" s="11"/>
      <c r="N7359" s="9" t="s">
        <v>798</v>
      </c>
    </row>
    <row r="7360" ht="25" customHeight="1" spans="1:14">
      <c r="A7360" s="9" t="s">
        <v>194</v>
      </c>
      <c r="B7360" s="9" t="s">
        <v>193</v>
      </c>
      <c r="C7360" s="10">
        <v>46003</v>
      </c>
      <c r="D7360" s="15">
        <v>1.07</v>
      </c>
      <c r="E7360" s="15">
        <v>1.07</v>
      </c>
      <c r="F7360" s="15">
        <v>1.07</v>
      </c>
      <c r="G7360" s="11">
        <v>-0.0009</v>
      </c>
      <c r="H7360" s="9">
        <f>MAX($F$7312:F7360)</f>
        <v>1.071</v>
      </c>
      <c r="I7360" s="11">
        <f t="shared" si="180"/>
        <v>0.000933706816059643</v>
      </c>
      <c r="J7360" s="9">
        <f>MAX($F$7345:F7360)</f>
        <v>1.071</v>
      </c>
      <c r="K7360" s="11">
        <f t="shared" si="181"/>
        <v>0.000933706816059643</v>
      </c>
      <c r="L7360" s="9"/>
      <c r="M7360" s="11"/>
      <c r="N7360" s="9" t="s">
        <v>798</v>
      </c>
    </row>
    <row r="7361" ht="25" customHeight="1" spans="1:14">
      <c r="A7361" s="9" t="s">
        <v>194</v>
      </c>
      <c r="B7361" s="9" t="s">
        <v>193</v>
      </c>
      <c r="C7361" s="10">
        <v>46010</v>
      </c>
      <c r="D7361" s="15">
        <v>1.0718</v>
      </c>
      <c r="E7361" s="15">
        <v>1.0718</v>
      </c>
      <c r="F7361" s="15">
        <v>1.0718</v>
      </c>
      <c r="G7361" s="11">
        <v>0.0017</v>
      </c>
      <c r="H7361" s="9">
        <f>MAX($F$7312:F7361)</f>
        <v>1.0718</v>
      </c>
      <c r="I7361" s="11">
        <f t="shared" si="180"/>
        <v>0</v>
      </c>
      <c r="J7361" s="9">
        <f>MAX($F$7345:F7361)</f>
        <v>1.0718</v>
      </c>
      <c r="K7361" s="11">
        <f t="shared" si="181"/>
        <v>0</v>
      </c>
      <c r="L7361" s="9"/>
      <c r="M7361" s="11"/>
      <c r="N7361" s="9" t="s">
        <v>798</v>
      </c>
    </row>
    <row r="7362" ht="25" customHeight="1" spans="1:14">
      <c r="A7362" s="9" t="s">
        <v>194</v>
      </c>
      <c r="B7362" s="9" t="s">
        <v>193</v>
      </c>
      <c r="C7362" s="10">
        <v>46017</v>
      </c>
      <c r="D7362" s="15">
        <v>1.0744</v>
      </c>
      <c r="E7362" s="15">
        <v>1.0744</v>
      </c>
      <c r="F7362" s="15">
        <v>1.0744</v>
      </c>
      <c r="G7362" s="11">
        <v>0.0024</v>
      </c>
      <c r="H7362" s="9">
        <f>MAX($F$7312:F7362)</f>
        <v>1.0744</v>
      </c>
      <c r="I7362" s="11">
        <f t="shared" ref="I7362:I7425" si="182">1-F7362/H7362</f>
        <v>0</v>
      </c>
      <c r="J7362" s="9">
        <f>MAX($F$7345:F7362)</f>
        <v>1.0744</v>
      </c>
      <c r="K7362" s="11">
        <f t="shared" si="181"/>
        <v>0</v>
      </c>
      <c r="L7362" s="9"/>
      <c r="M7362" s="11"/>
      <c r="N7362" s="9" t="s">
        <v>798</v>
      </c>
    </row>
    <row r="7363" ht="25" customHeight="1" spans="1:14">
      <c r="A7363" s="9" t="s">
        <v>194</v>
      </c>
      <c r="B7363" s="9" t="s">
        <v>193</v>
      </c>
      <c r="C7363" s="10">
        <v>46022</v>
      </c>
      <c r="D7363" s="15">
        <v>1.0773</v>
      </c>
      <c r="E7363" s="15">
        <v>1.0773</v>
      </c>
      <c r="F7363" s="15">
        <v>1.0773</v>
      </c>
      <c r="G7363" s="11">
        <v>0.0027</v>
      </c>
      <c r="H7363" s="9">
        <f>MAX($F$7312:F7363)</f>
        <v>1.0773</v>
      </c>
      <c r="I7363" s="11">
        <f t="shared" si="182"/>
        <v>0</v>
      </c>
      <c r="J7363" s="9">
        <f>MAX($F$7345:F7363)</f>
        <v>1.0773</v>
      </c>
      <c r="K7363" s="11">
        <f t="shared" si="181"/>
        <v>0</v>
      </c>
      <c r="L7363" s="9"/>
      <c r="M7363" s="11"/>
      <c r="N7363" s="9" t="s">
        <v>798</v>
      </c>
    </row>
    <row r="7364" ht="25" customHeight="1" spans="1:14">
      <c r="A7364" s="9" t="s">
        <v>194</v>
      </c>
      <c r="B7364" s="9" t="s">
        <v>193</v>
      </c>
      <c r="C7364" s="10">
        <v>46031</v>
      </c>
      <c r="D7364" s="15">
        <v>1.0793</v>
      </c>
      <c r="E7364" s="15">
        <v>1.0793</v>
      </c>
      <c r="F7364" s="15">
        <v>1.0793</v>
      </c>
      <c r="G7364" s="11">
        <v>0.0019</v>
      </c>
      <c r="H7364" s="9">
        <f>MAX($F$7312:F7364)</f>
        <v>1.0793</v>
      </c>
      <c r="I7364" s="11">
        <f t="shared" si="182"/>
        <v>0</v>
      </c>
      <c r="J7364" s="9">
        <f>MAX($F$7345:F7364)</f>
        <v>1.0793</v>
      </c>
      <c r="K7364" s="11">
        <f t="shared" si="181"/>
        <v>0</v>
      </c>
      <c r="L7364" s="9"/>
      <c r="M7364" s="11"/>
      <c r="N7364" s="9" t="s">
        <v>798</v>
      </c>
    </row>
    <row r="7365" ht="25" customHeight="1" spans="1:14">
      <c r="A7365" s="9" t="s">
        <v>194</v>
      </c>
      <c r="B7365" s="9" t="s">
        <v>193</v>
      </c>
      <c r="C7365" s="10">
        <v>46038</v>
      </c>
      <c r="D7365" s="15">
        <v>1.1075</v>
      </c>
      <c r="E7365" s="15">
        <v>1.1075</v>
      </c>
      <c r="F7365" s="15">
        <v>1.1075</v>
      </c>
      <c r="G7365" s="11">
        <v>0.0261</v>
      </c>
      <c r="H7365" s="9">
        <f>MAX($F$7312:F7365)</f>
        <v>1.1075</v>
      </c>
      <c r="I7365" s="11">
        <f t="shared" si="182"/>
        <v>0</v>
      </c>
      <c r="J7365" s="9">
        <f>MAX($F$7345:F7365)</f>
        <v>1.1075</v>
      </c>
      <c r="K7365" s="11">
        <f t="shared" si="181"/>
        <v>0</v>
      </c>
      <c r="L7365" s="9"/>
      <c r="M7365" s="11"/>
      <c r="N7365" s="9" t="s">
        <v>798</v>
      </c>
    </row>
    <row r="7366" ht="25" customHeight="1" spans="1:14">
      <c r="A7366" s="9" t="s">
        <v>194</v>
      </c>
      <c r="B7366" s="9" t="s">
        <v>193</v>
      </c>
      <c r="C7366" s="10">
        <v>46045</v>
      </c>
      <c r="D7366" s="15">
        <v>1.1265</v>
      </c>
      <c r="E7366" s="15">
        <v>1.1265</v>
      </c>
      <c r="F7366" s="15">
        <v>1.1265</v>
      </c>
      <c r="G7366" s="11">
        <v>0.0172</v>
      </c>
      <c r="H7366" s="9">
        <f>MAX($F$7312:F7366)</f>
        <v>1.1265</v>
      </c>
      <c r="I7366" s="11">
        <f t="shared" si="182"/>
        <v>0</v>
      </c>
      <c r="J7366" s="9">
        <f>MAX($F$7345:F7366)</f>
        <v>1.1265</v>
      </c>
      <c r="K7366" s="11">
        <f t="shared" si="181"/>
        <v>0</v>
      </c>
      <c r="L7366" s="9"/>
      <c r="M7366" s="11"/>
      <c r="N7366" s="9" t="s">
        <v>798</v>
      </c>
    </row>
    <row r="7367" ht="25" customHeight="1" spans="1:14">
      <c r="A7367" s="9" t="s">
        <v>194</v>
      </c>
      <c r="B7367" s="9" t="s">
        <v>193</v>
      </c>
      <c r="C7367" s="10">
        <v>46052</v>
      </c>
      <c r="D7367" s="15">
        <v>1.1326</v>
      </c>
      <c r="E7367" s="15">
        <v>1.1326</v>
      </c>
      <c r="F7367" s="15">
        <v>1.1326</v>
      </c>
      <c r="G7367" s="11">
        <v>0.0054</v>
      </c>
      <c r="H7367" s="9">
        <f>MAX($F$7312:F7367)</f>
        <v>1.1326</v>
      </c>
      <c r="I7367" s="11">
        <f t="shared" si="182"/>
        <v>0</v>
      </c>
      <c r="J7367" s="9">
        <f>MAX($F$7345:F7367)</f>
        <v>1.1326</v>
      </c>
      <c r="K7367" s="11">
        <f t="shared" si="181"/>
        <v>0</v>
      </c>
      <c r="L7367" s="9"/>
      <c r="M7367" s="11"/>
      <c r="N7367" s="9" t="s">
        <v>798</v>
      </c>
    </row>
    <row r="7368" ht="25" customHeight="1" spans="1:14">
      <c r="A7368" s="9" t="s">
        <v>194</v>
      </c>
      <c r="B7368" s="9" t="s">
        <v>193</v>
      </c>
      <c r="C7368" s="10">
        <v>46059</v>
      </c>
      <c r="D7368" s="15">
        <v>1.1495</v>
      </c>
      <c r="E7368" s="15">
        <v>1.1495</v>
      </c>
      <c r="F7368" s="15">
        <v>1.1495</v>
      </c>
      <c r="G7368" s="11">
        <v>0.0149</v>
      </c>
      <c r="H7368" s="9">
        <f>MAX($F$7312:F7368)</f>
        <v>1.1495</v>
      </c>
      <c r="I7368" s="11">
        <f t="shared" si="182"/>
        <v>0</v>
      </c>
      <c r="J7368" s="9">
        <f>MAX($F$7345:F7368)</f>
        <v>1.1495</v>
      </c>
      <c r="K7368" s="11">
        <f t="shared" si="181"/>
        <v>0</v>
      </c>
      <c r="L7368" s="9"/>
      <c r="M7368" s="11"/>
      <c r="N7368" s="9" t="s">
        <v>798</v>
      </c>
    </row>
    <row r="7369" ht="25" customHeight="1" spans="1:14">
      <c r="A7369" s="9" t="s">
        <v>194</v>
      </c>
      <c r="B7369" s="9" t="s">
        <v>193</v>
      </c>
      <c r="C7369" s="10">
        <v>46066</v>
      </c>
      <c r="D7369" s="15">
        <v>1.1516</v>
      </c>
      <c r="E7369" s="15">
        <v>1.1516</v>
      </c>
      <c r="F7369" s="15">
        <v>1.1516</v>
      </c>
      <c r="G7369" s="11">
        <v>0.0018</v>
      </c>
      <c r="H7369" s="9">
        <f>MAX($F$7312:F7369)</f>
        <v>1.1516</v>
      </c>
      <c r="I7369" s="11">
        <f t="shared" si="182"/>
        <v>0</v>
      </c>
      <c r="J7369" s="9">
        <f>MAX($F$7345:F7369)</f>
        <v>1.1516</v>
      </c>
      <c r="K7369" s="11">
        <f t="shared" si="181"/>
        <v>0</v>
      </c>
      <c r="L7369" s="9"/>
      <c r="M7369" s="11"/>
      <c r="N7369" s="9" t="s">
        <v>798</v>
      </c>
    </row>
    <row r="7370" ht="25" customHeight="1" spans="1:14">
      <c r="A7370" s="9" t="s">
        <v>194</v>
      </c>
      <c r="B7370" s="9" t="s">
        <v>193</v>
      </c>
      <c r="C7370" s="10">
        <v>46080</v>
      </c>
      <c r="D7370" s="15">
        <v>1.1528</v>
      </c>
      <c r="E7370" s="15">
        <v>1.1528</v>
      </c>
      <c r="F7370" s="15">
        <v>1.1528</v>
      </c>
      <c r="G7370" s="11">
        <v>0.001</v>
      </c>
      <c r="H7370" s="9">
        <f>MAX($F$7312:F7370)</f>
        <v>1.1528</v>
      </c>
      <c r="I7370" s="11">
        <f t="shared" si="182"/>
        <v>0</v>
      </c>
      <c r="J7370" s="9">
        <f>MAX($F$7345:F7370)</f>
        <v>1.1528</v>
      </c>
      <c r="K7370" s="11">
        <f t="shared" si="181"/>
        <v>0</v>
      </c>
      <c r="L7370" s="9"/>
      <c r="M7370" s="11"/>
      <c r="N7370" s="9" t="s">
        <v>798</v>
      </c>
    </row>
    <row r="7371" ht="25" customHeight="1" spans="1:14">
      <c r="A7371" s="9" t="s">
        <v>194</v>
      </c>
      <c r="B7371" s="9" t="s">
        <v>193</v>
      </c>
      <c r="C7371" s="10">
        <v>46087</v>
      </c>
      <c r="D7371" s="15">
        <v>1.1586</v>
      </c>
      <c r="E7371" s="15">
        <v>1.1586</v>
      </c>
      <c r="F7371" s="15">
        <v>1.1586</v>
      </c>
      <c r="G7371" s="11">
        <v>0.005</v>
      </c>
      <c r="H7371" s="9">
        <f>MAX($F$7312:F7371)</f>
        <v>1.1586</v>
      </c>
      <c r="I7371" s="11">
        <f t="shared" si="182"/>
        <v>0</v>
      </c>
      <c r="J7371" s="9">
        <f>MAX($F$7345:F7371)</f>
        <v>1.1586</v>
      </c>
      <c r="K7371" s="11">
        <f t="shared" si="181"/>
        <v>0</v>
      </c>
      <c r="L7371" s="9"/>
      <c r="M7371" s="11"/>
      <c r="N7371" s="9" t="s">
        <v>798</v>
      </c>
    </row>
    <row r="7372" ht="25" customHeight="1" spans="1:14">
      <c r="A7372" s="9" t="s">
        <v>194</v>
      </c>
      <c r="B7372" s="9" t="s">
        <v>193</v>
      </c>
      <c r="C7372" s="10">
        <v>46094</v>
      </c>
      <c r="D7372" s="15">
        <v>1.1571</v>
      </c>
      <c r="E7372" s="15">
        <v>1.1571</v>
      </c>
      <c r="F7372" s="15">
        <v>1.1571</v>
      </c>
      <c r="G7372" s="11">
        <v>-0.0013</v>
      </c>
      <c r="H7372" s="9">
        <f>MAX($F$7312:F7372)</f>
        <v>1.1586</v>
      </c>
      <c r="I7372" s="11">
        <f t="shared" si="182"/>
        <v>0.00129466597617822</v>
      </c>
      <c r="J7372" s="9">
        <f>MAX($F$7345:F7372)</f>
        <v>1.1586</v>
      </c>
      <c r="K7372" s="11">
        <f t="shared" si="181"/>
        <v>0.00129466597617822</v>
      </c>
      <c r="L7372" s="9"/>
      <c r="M7372" s="11"/>
      <c r="N7372" s="9" t="s">
        <v>798</v>
      </c>
    </row>
    <row r="7373" ht="25" customHeight="1" spans="1:14">
      <c r="A7373" s="9" t="s">
        <v>194</v>
      </c>
      <c r="B7373" s="9" t="s">
        <v>193</v>
      </c>
      <c r="C7373" s="10">
        <v>46101</v>
      </c>
      <c r="D7373" s="15">
        <v>1.1562</v>
      </c>
      <c r="E7373" s="15">
        <v>1.1562</v>
      </c>
      <c r="F7373" s="15">
        <v>1.1562</v>
      </c>
      <c r="G7373" s="11">
        <v>-0.0008</v>
      </c>
      <c r="H7373" s="9">
        <f>MAX($F$7312:F7373)</f>
        <v>1.1586</v>
      </c>
      <c r="I7373" s="11">
        <f t="shared" si="182"/>
        <v>0.0020714655618852</v>
      </c>
      <c r="J7373" s="9">
        <f>MAX($F$7345:F7373)</f>
        <v>1.1586</v>
      </c>
      <c r="K7373" s="11">
        <f t="shared" si="181"/>
        <v>0.0020714655618852</v>
      </c>
      <c r="L7373" s="9"/>
      <c r="M7373" s="11"/>
      <c r="N7373" s="9" t="s">
        <v>798</v>
      </c>
    </row>
    <row r="7374" ht="25" customHeight="1" spans="1:14">
      <c r="A7374" s="9" t="s">
        <v>194</v>
      </c>
      <c r="B7374" s="9" t="s">
        <v>193</v>
      </c>
      <c r="C7374" s="10">
        <v>46108</v>
      </c>
      <c r="D7374" s="15">
        <v>1.1577</v>
      </c>
      <c r="E7374" s="15">
        <v>1.1577</v>
      </c>
      <c r="F7374" s="15">
        <v>1.1577</v>
      </c>
      <c r="G7374" s="11">
        <v>0.0013</v>
      </c>
      <c r="H7374" s="9">
        <f>MAX($F$7312:F7374)</f>
        <v>1.1586</v>
      </c>
      <c r="I7374" s="11">
        <f t="shared" si="182"/>
        <v>0.000776799585706978</v>
      </c>
      <c r="J7374" s="9">
        <f>MAX($F$7345:F7374)</f>
        <v>1.1586</v>
      </c>
      <c r="K7374" s="11">
        <f t="shared" si="181"/>
        <v>0.000776799585706978</v>
      </c>
      <c r="L7374" s="9"/>
      <c r="M7374" s="11"/>
      <c r="N7374" s="9" t="s">
        <v>798</v>
      </c>
    </row>
    <row r="7375" ht="25" customHeight="1" spans="1:14">
      <c r="A7375" s="9" t="s">
        <v>194</v>
      </c>
      <c r="B7375" s="9" t="s">
        <v>193</v>
      </c>
      <c r="C7375" s="10">
        <v>46115</v>
      </c>
      <c r="D7375" s="15">
        <v>1.1583</v>
      </c>
      <c r="E7375" s="15">
        <v>1.1583</v>
      </c>
      <c r="F7375" s="15">
        <v>1.1583</v>
      </c>
      <c r="G7375" s="11">
        <v>0.0005</v>
      </c>
      <c r="H7375" s="9">
        <f>MAX($F$7312:F7375)</f>
        <v>1.1586</v>
      </c>
      <c r="I7375" s="11">
        <f t="shared" si="182"/>
        <v>0.000258933195235622</v>
      </c>
      <c r="J7375" s="9">
        <f>MAX($F$7345:F7375)</f>
        <v>1.1586</v>
      </c>
      <c r="K7375" s="11">
        <f t="shared" si="181"/>
        <v>0.000258933195235622</v>
      </c>
      <c r="L7375" s="9"/>
      <c r="M7375" s="11"/>
      <c r="N7375" s="9" t="s">
        <v>798</v>
      </c>
    </row>
    <row r="7376" ht="25" customHeight="1" spans="1:14">
      <c r="A7376" s="9" t="s">
        <v>194</v>
      </c>
      <c r="B7376" s="9" t="s">
        <v>193</v>
      </c>
      <c r="C7376" s="10">
        <v>46122</v>
      </c>
      <c r="D7376" s="15">
        <v>1.1598</v>
      </c>
      <c r="E7376" s="15">
        <v>1.1598</v>
      </c>
      <c r="F7376" s="15">
        <v>1.1598</v>
      </c>
      <c r="G7376" s="11">
        <v>0.0013</v>
      </c>
      <c r="H7376" s="9">
        <f>MAX($F$7312:F7376)</f>
        <v>1.1598</v>
      </c>
      <c r="I7376" s="11">
        <f t="shared" si="182"/>
        <v>0</v>
      </c>
      <c r="J7376" s="9">
        <f>MAX($F$7345:F7376)</f>
        <v>1.1598</v>
      </c>
      <c r="K7376" s="11">
        <f t="shared" si="181"/>
        <v>0</v>
      </c>
      <c r="L7376" s="9"/>
      <c r="M7376" s="11"/>
      <c r="N7376" s="9" t="s">
        <v>798</v>
      </c>
    </row>
    <row r="7377" ht="25" customHeight="1" spans="1:14">
      <c r="A7377" s="9" t="s">
        <v>194</v>
      </c>
      <c r="B7377" s="9" t="s">
        <v>193</v>
      </c>
      <c r="C7377" s="10">
        <v>46129</v>
      </c>
      <c r="D7377" s="15">
        <v>1.1612</v>
      </c>
      <c r="E7377" s="15">
        <v>1.1612</v>
      </c>
      <c r="F7377" s="15">
        <v>1.1612</v>
      </c>
      <c r="G7377" s="11">
        <v>0.0012</v>
      </c>
      <c r="H7377" s="9">
        <f>MAX($F$7312:F7377)</f>
        <v>1.1612</v>
      </c>
      <c r="I7377" s="11">
        <f t="shared" si="182"/>
        <v>0</v>
      </c>
      <c r="J7377" s="9">
        <f>MAX($F$7345:F7377)</f>
        <v>1.1612</v>
      </c>
      <c r="K7377" s="11">
        <f t="shared" si="181"/>
        <v>0</v>
      </c>
      <c r="L7377" s="9"/>
      <c r="M7377" s="11"/>
      <c r="N7377" s="9" t="s">
        <v>798</v>
      </c>
    </row>
    <row r="7378" ht="25" customHeight="1" spans="1:14">
      <c r="A7378" s="9" t="s">
        <v>194</v>
      </c>
      <c r="B7378" s="9" t="s">
        <v>193</v>
      </c>
      <c r="C7378" s="10">
        <v>46136</v>
      </c>
      <c r="D7378" s="15">
        <v>1.1635</v>
      </c>
      <c r="E7378" s="15">
        <v>1.1635</v>
      </c>
      <c r="F7378" s="15">
        <v>1.1635</v>
      </c>
      <c r="G7378" s="11">
        <v>0.002</v>
      </c>
      <c r="H7378" s="9">
        <f>MAX($F$7312:F7378)</f>
        <v>1.1635</v>
      </c>
      <c r="I7378" s="11">
        <f t="shared" si="182"/>
        <v>0</v>
      </c>
      <c r="J7378" s="9">
        <f>MAX($F$7345:F7378)</f>
        <v>1.1635</v>
      </c>
      <c r="K7378" s="11">
        <f t="shared" si="181"/>
        <v>0</v>
      </c>
      <c r="L7378" s="9"/>
      <c r="M7378" s="11"/>
      <c r="N7378" s="9" t="s">
        <v>798</v>
      </c>
    </row>
    <row r="7379" ht="25" customHeight="1" spans="1:14">
      <c r="A7379" s="9" t="s">
        <v>194</v>
      </c>
      <c r="B7379" s="9" t="s">
        <v>193</v>
      </c>
      <c r="C7379" s="10">
        <v>46142</v>
      </c>
      <c r="D7379" s="15">
        <v>1.1656</v>
      </c>
      <c r="E7379" s="15">
        <v>1.1656</v>
      </c>
      <c r="F7379" s="15">
        <v>1.1656</v>
      </c>
      <c r="G7379" s="11">
        <v>0.0018</v>
      </c>
      <c r="H7379" s="9">
        <f>MAX($F$7312:F7379)</f>
        <v>1.1656</v>
      </c>
      <c r="I7379" s="11">
        <f t="shared" si="182"/>
        <v>0</v>
      </c>
      <c r="J7379" s="9">
        <f>MAX($F$7345:F7379)</f>
        <v>1.1656</v>
      </c>
      <c r="K7379" s="11">
        <f t="shared" si="181"/>
        <v>0</v>
      </c>
      <c r="L7379" s="9"/>
      <c r="M7379" s="11"/>
      <c r="N7379" s="9" t="s">
        <v>798</v>
      </c>
    </row>
    <row r="7380" ht="25" customHeight="1" spans="1:14">
      <c r="A7380" s="9" t="s">
        <v>194</v>
      </c>
      <c r="B7380" s="9" t="s">
        <v>193</v>
      </c>
      <c r="C7380" s="10">
        <v>46150</v>
      </c>
      <c r="D7380" s="15">
        <v>1.1716</v>
      </c>
      <c r="E7380" s="15">
        <v>1.1716</v>
      </c>
      <c r="F7380" s="15">
        <v>1.1716</v>
      </c>
      <c r="G7380" s="11">
        <v>0.0051</v>
      </c>
      <c r="H7380" s="9">
        <f>MAX($F$7312:F7380)</f>
        <v>1.1716</v>
      </c>
      <c r="I7380" s="11">
        <f t="shared" si="182"/>
        <v>0</v>
      </c>
      <c r="J7380" s="9">
        <f>MAX($F$7345:F7380)</f>
        <v>1.1716</v>
      </c>
      <c r="K7380" s="11">
        <f t="shared" si="181"/>
        <v>0</v>
      </c>
      <c r="L7380" s="9"/>
      <c r="M7380" s="11"/>
      <c r="N7380" s="9" t="s">
        <v>798</v>
      </c>
    </row>
    <row r="7381" ht="25" customHeight="1" spans="1:14">
      <c r="A7381" s="9" t="s">
        <v>194</v>
      </c>
      <c r="B7381" s="9" t="s">
        <v>193</v>
      </c>
      <c r="C7381" s="10">
        <v>46157</v>
      </c>
      <c r="D7381" s="15">
        <v>1.1751</v>
      </c>
      <c r="E7381" s="15">
        <v>1.1751</v>
      </c>
      <c r="F7381" s="15">
        <v>1.1751</v>
      </c>
      <c r="G7381" s="11">
        <v>0.003</v>
      </c>
      <c r="H7381" s="9">
        <f>MAX($F$7312:F7381)</f>
        <v>1.1751</v>
      </c>
      <c r="I7381" s="11">
        <f t="shared" si="182"/>
        <v>0</v>
      </c>
      <c r="J7381" s="9">
        <f>MAX($F$7345:F7381)</f>
        <v>1.1751</v>
      </c>
      <c r="K7381" s="11">
        <f t="shared" si="181"/>
        <v>0</v>
      </c>
      <c r="L7381" s="9"/>
      <c r="M7381" s="11"/>
      <c r="N7381" s="9" t="s">
        <v>798</v>
      </c>
    </row>
    <row r="7382" ht="25" customHeight="1" spans="1:14">
      <c r="A7382" s="9" t="s">
        <v>194</v>
      </c>
      <c r="B7382" s="9" t="s">
        <v>193</v>
      </c>
      <c r="C7382" s="10">
        <v>46164</v>
      </c>
      <c r="D7382" s="15">
        <v>1.1732</v>
      </c>
      <c r="E7382" s="15">
        <v>1.1732</v>
      </c>
      <c r="F7382" s="15">
        <v>1.1732</v>
      </c>
      <c r="G7382" s="11">
        <v>-0.0016</v>
      </c>
      <c r="H7382" s="9">
        <f>MAX($F$7312:F7382)</f>
        <v>1.1751</v>
      </c>
      <c r="I7382" s="11">
        <f t="shared" si="182"/>
        <v>0.00161688366947499</v>
      </c>
      <c r="J7382" s="9">
        <f>MAX($F$7345:F7382)</f>
        <v>1.1751</v>
      </c>
      <c r="K7382" s="11">
        <f t="shared" si="181"/>
        <v>0.00161688366947499</v>
      </c>
      <c r="L7382" s="9"/>
      <c r="M7382" s="11"/>
      <c r="N7382" s="9" t="s">
        <v>798</v>
      </c>
    </row>
    <row r="7383" ht="25" customHeight="1" spans="1:14">
      <c r="A7383" s="9" t="s">
        <v>194</v>
      </c>
      <c r="B7383" s="9" t="s">
        <v>193</v>
      </c>
      <c r="C7383" s="10">
        <v>46171</v>
      </c>
      <c r="D7383" s="15">
        <v>1.1766</v>
      </c>
      <c r="E7383" s="15">
        <v>1.1766</v>
      </c>
      <c r="F7383" s="15">
        <v>1.1766</v>
      </c>
      <c r="G7383" s="11">
        <v>0.0029</v>
      </c>
      <c r="H7383" s="9">
        <f>MAX($F$7312:F7383)</f>
        <v>1.1766</v>
      </c>
      <c r="I7383" s="11">
        <f t="shared" si="182"/>
        <v>0</v>
      </c>
      <c r="J7383" s="9">
        <f>MAX($F$7345:F7383)</f>
        <v>1.1766</v>
      </c>
      <c r="K7383" s="11">
        <f t="shared" si="181"/>
        <v>0</v>
      </c>
      <c r="L7383" s="9"/>
      <c r="M7383" s="11"/>
      <c r="N7383" s="9" t="s">
        <v>798</v>
      </c>
    </row>
    <row r="7384" ht="25" customHeight="1" spans="1:14">
      <c r="A7384" s="9" t="s">
        <v>194</v>
      </c>
      <c r="B7384" s="9" t="s">
        <v>193</v>
      </c>
      <c r="C7384" s="10">
        <v>46178</v>
      </c>
      <c r="D7384" s="15">
        <v>1.1797</v>
      </c>
      <c r="E7384" s="15">
        <v>1.1797</v>
      </c>
      <c r="F7384" s="15">
        <v>1.1797</v>
      </c>
      <c r="G7384" s="11">
        <v>0.0026</v>
      </c>
      <c r="H7384" s="9">
        <f>MAX($F$7312:F7384)</f>
        <v>1.1797</v>
      </c>
      <c r="I7384" s="11">
        <f t="shared" si="182"/>
        <v>0</v>
      </c>
      <c r="J7384" s="9">
        <f>MAX($F$7345:F7384)</f>
        <v>1.1797</v>
      </c>
      <c r="K7384" s="11">
        <f t="shared" si="181"/>
        <v>0</v>
      </c>
      <c r="L7384" s="9"/>
      <c r="M7384" s="11"/>
      <c r="N7384" s="9" t="s">
        <v>798</v>
      </c>
    </row>
    <row r="7385" ht="25" customHeight="1" spans="1:14">
      <c r="A7385" s="9" t="s">
        <v>194</v>
      </c>
      <c r="B7385" s="9" t="s">
        <v>193</v>
      </c>
      <c r="C7385" s="10">
        <v>46185</v>
      </c>
      <c r="D7385" s="15">
        <v>1.1876</v>
      </c>
      <c r="E7385" s="15">
        <v>1.1876</v>
      </c>
      <c r="F7385" s="15">
        <v>1.1876</v>
      </c>
      <c r="G7385" s="11">
        <v>0.0067</v>
      </c>
      <c r="H7385" s="9">
        <f>MAX($F$7312:F7385)</f>
        <v>1.1876</v>
      </c>
      <c r="I7385" s="11">
        <f t="shared" si="182"/>
        <v>0</v>
      </c>
      <c r="J7385" s="9">
        <f>MAX($F$7345:F7385)</f>
        <v>1.1876</v>
      </c>
      <c r="K7385" s="11">
        <f t="shared" si="181"/>
        <v>0</v>
      </c>
      <c r="L7385" s="9"/>
      <c r="M7385" s="11"/>
      <c r="N7385" s="9" t="s">
        <v>798</v>
      </c>
    </row>
    <row r="7386" ht="25" customHeight="1" spans="1:14">
      <c r="A7386" s="9" t="s">
        <v>194</v>
      </c>
      <c r="B7386" s="9" t="s">
        <v>193</v>
      </c>
      <c r="C7386" s="10">
        <v>46191</v>
      </c>
      <c r="D7386" s="15">
        <v>1.1917</v>
      </c>
      <c r="E7386" s="15">
        <v>1.1917</v>
      </c>
      <c r="F7386" s="15">
        <v>1.1917</v>
      </c>
      <c r="G7386" s="11">
        <v>0.0035</v>
      </c>
      <c r="H7386" s="9">
        <f>MAX($F$7312:F7386)</f>
        <v>1.1917</v>
      </c>
      <c r="I7386" s="11">
        <f t="shared" si="182"/>
        <v>0</v>
      </c>
      <c r="J7386" s="9">
        <f>MAX($F$7345:F7386)</f>
        <v>1.1917</v>
      </c>
      <c r="K7386" s="11">
        <f t="shared" si="181"/>
        <v>0</v>
      </c>
      <c r="L7386" s="9"/>
      <c r="M7386" s="11"/>
      <c r="N7386" s="9" t="s">
        <v>798</v>
      </c>
    </row>
    <row r="7387" ht="25" customHeight="1" spans="1:14">
      <c r="A7387" s="9" t="s">
        <v>194</v>
      </c>
      <c r="B7387" s="9" t="s">
        <v>193</v>
      </c>
      <c r="C7387" s="10">
        <v>46199</v>
      </c>
      <c r="D7387" s="15">
        <v>1.1939</v>
      </c>
      <c r="E7387" s="15">
        <v>1.1939</v>
      </c>
      <c r="F7387" s="15">
        <v>1.1939</v>
      </c>
      <c r="G7387" s="11">
        <v>0.0018</v>
      </c>
      <c r="H7387" s="9">
        <f>MAX($F$7312:F7387)</f>
        <v>1.1939</v>
      </c>
      <c r="I7387" s="11">
        <f t="shared" si="182"/>
        <v>0</v>
      </c>
      <c r="J7387" s="9">
        <f>MAX($F$7345:F7387)</f>
        <v>1.1939</v>
      </c>
      <c r="K7387" s="11">
        <f t="shared" si="181"/>
        <v>0</v>
      </c>
      <c r="L7387" s="9"/>
      <c r="M7387" s="11"/>
      <c r="N7387" s="9" t="s">
        <v>798</v>
      </c>
    </row>
    <row r="7388" ht="25" customHeight="1" spans="1:14">
      <c r="A7388" s="9" t="s">
        <v>194</v>
      </c>
      <c r="B7388" s="9" t="s">
        <v>193</v>
      </c>
      <c r="C7388" s="10">
        <v>46203</v>
      </c>
      <c r="D7388" s="15">
        <v>1.2043</v>
      </c>
      <c r="E7388" s="15">
        <v>1.2043</v>
      </c>
      <c r="F7388" s="15">
        <v>1.2043</v>
      </c>
      <c r="G7388" s="11">
        <v>0.0087</v>
      </c>
      <c r="H7388" s="9">
        <f>MAX($F$7312:F7388)</f>
        <v>1.2043</v>
      </c>
      <c r="I7388" s="11">
        <f t="shared" si="182"/>
        <v>0</v>
      </c>
      <c r="J7388" s="9">
        <f>MAX($F$7345:F7388)</f>
        <v>1.2043</v>
      </c>
      <c r="K7388" s="11">
        <f t="shared" si="181"/>
        <v>0</v>
      </c>
      <c r="L7388" s="9"/>
      <c r="M7388" s="11"/>
      <c r="N7388" s="9" t="s">
        <v>798</v>
      </c>
    </row>
    <row r="7389" ht="25" customHeight="1" spans="1:14">
      <c r="A7389" s="9" t="s">
        <v>194</v>
      </c>
      <c r="B7389" s="9" t="s">
        <v>193</v>
      </c>
      <c r="C7389" s="10">
        <v>46206</v>
      </c>
      <c r="D7389" s="15">
        <v>1.2007</v>
      </c>
      <c r="E7389" s="15">
        <v>1.2007</v>
      </c>
      <c r="F7389" s="15">
        <v>1.2007</v>
      </c>
      <c r="G7389" s="11">
        <v>-0.003</v>
      </c>
      <c r="H7389" s="9">
        <f>MAX($F$7312:F7389)</f>
        <v>1.2043</v>
      </c>
      <c r="I7389" s="11">
        <f t="shared" si="182"/>
        <v>0.00298928838329304</v>
      </c>
      <c r="J7389" s="9">
        <f>MAX($F$7345:F7389)</f>
        <v>1.2043</v>
      </c>
      <c r="K7389" s="11">
        <f t="shared" si="181"/>
        <v>0.00298928838329304</v>
      </c>
      <c r="L7389" s="9"/>
      <c r="M7389" s="11"/>
      <c r="N7389" s="9" t="s">
        <v>798</v>
      </c>
    </row>
    <row r="7390" ht="25" customHeight="1" spans="1:14">
      <c r="A7390" s="9" t="s">
        <v>194</v>
      </c>
      <c r="B7390" s="9" t="s">
        <v>193</v>
      </c>
      <c r="C7390" s="10">
        <v>46213</v>
      </c>
      <c r="D7390" s="15">
        <v>1.3357</v>
      </c>
      <c r="E7390" s="15">
        <v>1.3357</v>
      </c>
      <c r="F7390" s="15">
        <v>1.3357</v>
      </c>
      <c r="G7390" s="11">
        <v>0.1124</v>
      </c>
      <c r="H7390" s="9">
        <f>MAX($F$7312:F7390)</f>
        <v>1.3357</v>
      </c>
      <c r="I7390" s="11">
        <f t="shared" si="182"/>
        <v>0</v>
      </c>
      <c r="J7390" s="9">
        <f>MAX($F$7345:F7390)</f>
        <v>1.3357</v>
      </c>
      <c r="K7390" s="11">
        <f t="shared" si="181"/>
        <v>0</v>
      </c>
      <c r="L7390" s="9"/>
      <c r="M7390" s="11"/>
      <c r="N7390" s="9" t="s">
        <v>798</v>
      </c>
    </row>
    <row r="7391" ht="25" customHeight="1" spans="1:14">
      <c r="A7391" s="9" t="s">
        <v>194</v>
      </c>
      <c r="B7391" s="9" t="s">
        <v>193</v>
      </c>
      <c r="C7391" s="10">
        <v>46220</v>
      </c>
      <c r="D7391" s="15">
        <v>1.3447</v>
      </c>
      <c r="E7391" s="15">
        <v>1.3447</v>
      </c>
      <c r="F7391" s="15">
        <v>1.3447</v>
      </c>
      <c r="G7391" s="11">
        <v>0.0067</v>
      </c>
      <c r="H7391" s="9">
        <f>MAX($F$7312:F7391)</f>
        <v>1.3447</v>
      </c>
      <c r="I7391" s="11">
        <f t="shared" si="182"/>
        <v>0</v>
      </c>
      <c r="J7391" s="9">
        <f>MAX($F$7345:F7391)</f>
        <v>1.3447</v>
      </c>
      <c r="K7391" s="11">
        <f t="shared" si="181"/>
        <v>0</v>
      </c>
      <c r="L7391" s="9"/>
      <c r="M7391" s="11"/>
      <c r="N7391" s="9" t="s">
        <v>798</v>
      </c>
    </row>
    <row r="7392" ht="25" customHeight="1" spans="1:14">
      <c r="A7392" s="9" t="s">
        <v>194</v>
      </c>
      <c r="B7392" s="9" t="s">
        <v>193</v>
      </c>
      <c r="C7392" s="10">
        <v>46227</v>
      </c>
      <c r="D7392" s="15">
        <v>1.3601</v>
      </c>
      <c r="E7392" s="15">
        <v>1.3601</v>
      </c>
      <c r="F7392" s="15">
        <v>1.3601</v>
      </c>
      <c r="G7392" s="11">
        <v>0.0115</v>
      </c>
      <c r="H7392" s="9">
        <f>MAX($F$7312:F7392)</f>
        <v>1.3601</v>
      </c>
      <c r="I7392" s="11">
        <f t="shared" si="182"/>
        <v>0</v>
      </c>
      <c r="J7392" s="9">
        <f>MAX($F$7345:F7392)</f>
        <v>1.3601</v>
      </c>
      <c r="K7392" s="11">
        <f t="shared" si="181"/>
        <v>0</v>
      </c>
      <c r="L7392" s="9"/>
      <c r="M7392" s="11"/>
      <c r="N7392" s="9" t="s">
        <v>798</v>
      </c>
    </row>
    <row r="7393" ht="25" customHeight="1" spans="1:14">
      <c r="A7393" s="9" t="s">
        <v>194</v>
      </c>
      <c r="B7393" s="9" t="s">
        <v>193</v>
      </c>
      <c r="C7393" s="10">
        <v>46234</v>
      </c>
      <c r="D7393" s="15">
        <v>1.3816</v>
      </c>
      <c r="E7393" s="15">
        <v>1.3816</v>
      </c>
      <c r="F7393" s="15">
        <v>1.3816</v>
      </c>
      <c r="G7393" s="11">
        <v>0.0158</v>
      </c>
      <c r="H7393" s="9">
        <f>MAX($F$7312:F7393)</f>
        <v>1.3816</v>
      </c>
      <c r="I7393" s="11">
        <f t="shared" si="182"/>
        <v>0</v>
      </c>
      <c r="J7393" s="9">
        <f>MAX($F$7345:F7393)</f>
        <v>1.3816</v>
      </c>
      <c r="K7393" s="11">
        <f t="shared" si="181"/>
        <v>0</v>
      </c>
      <c r="L7393" s="9"/>
      <c r="M7393" s="11"/>
      <c r="N7393" s="9" t="s">
        <v>798</v>
      </c>
    </row>
    <row r="7394" ht="25" customHeight="1" spans="1:14">
      <c r="A7394" s="9" t="s">
        <v>194</v>
      </c>
      <c r="B7394" s="9" t="s">
        <v>193</v>
      </c>
      <c r="C7394" s="10">
        <v>46240</v>
      </c>
      <c r="D7394" s="15">
        <v>1.3871</v>
      </c>
      <c r="E7394" s="15">
        <v>1.3871</v>
      </c>
      <c r="F7394" s="15">
        <v>1.3871</v>
      </c>
      <c r="G7394" s="11">
        <v>0.004</v>
      </c>
      <c r="H7394" s="9">
        <f>MAX($F$7312:F7394)</f>
        <v>1.3871</v>
      </c>
      <c r="I7394" s="11">
        <f t="shared" si="182"/>
        <v>0</v>
      </c>
      <c r="J7394" s="9">
        <f>MAX($F$7345:F7394)</f>
        <v>1.3871</v>
      </c>
      <c r="K7394" s="11">
        <f t="shared" si="181"/>
        <v>0</v>
      </c>
      <c r="L7394" s="9"/>
      <c r="M7394" s="11"/>
      <c r="N7394" s="9" t="s">
        <v>798</v>
      </c>
    </row>
    <row r="7395" ht="25" customHeight="1" spans="1:14">
      <c r="A7395" s="9" t="s">
        <v>194</v>
      </c>
      <c r="B7395" s="9" t="s">
        <v>193</v>
      </c>
      <c r="C7395" s="10">
        <v>46241</v>
      </c>
      <c r="D7395" s="15">
        <v>1.3845</v>
      </c>
      <c r="E7395" s="15">
        <v>1.3845</v>
      </c>
      <c r="F7395" s="15">
        <v>1.3845</v>
      </c>
      <c r="G7395" s="11">
        <v>-0.0019</v>
      </c>
      <c r="H7395" s="9">
        <f>MAX($F$7312:F7395)</f>
        <v>1.3871</v>
      </c>
      <c r="I7395" s="11">
        <f t="shared" si="182"/>
        <v>0.00187441424554824</v>
      </c>
      <c r="J7395" s="9">
        <f>MAX($F$7345:F7395)</f>
        <v>1.3871</v>
      </c>
      <c r="K7395" s="11">
        <f t="shared" si="181"/>
        <v>0.00187441424554824</v>
      </c>
      <c r="L7395" s="9"/>
      <c r="M7395" s="11"/>
      <c r="N7395" s="9" t="s">
        <v>798</v>
      </c>
    </row>
    <row r="7396" ht="25" customHeight="1" spans="1:14">
      <c r="A7396" s="9" t="s">
        <v>194</v>
      </c>
      <c r="B7396" s="9" t="s">
        <v>193</v>
      </c>
      <c r="C7396" s="10">
        <v>46248</v>
      </c>
      <c r="D7396" s="15">
        <v>1.3835</v>
      </c>
      <c r="E7396" s="15">
        <v>1.3835</v>
      </c>
      <c r="F7396" s="15">
        <v>1.3835</v>
      </c>
      <c r="G7396" s="11">
        <v>-0.0007</v>
      </c>
      <c r="H7396" s="9">
        <f>MAX($F$7312:F7396)</f>
        <v>1.3871</v>
      </c>
      <c r="I7396" s="11">
        <f t="shared" si="182"/>
        <v>0.0025953428015284</v>
      </c>
      <c r="J7396" s="9">
        <f>MAX($F$7345:F7396)</f>
        <v>1.3871</v>
      </c>
      <c r="K7396" s="11">
        <f t="shared" si="181"/>
        <v>0.0025953428015284</v>
      </c>
      <c r="L7396" s="9"/>
      <c r="M7396" s="11"/>
      <c r="N7396" s="9" t="s">
        <v>798</v>
      </c>
    </row>
    <row r="7397" ht="25" customHeight="1" spans="1:14">
      <c r="A7397" s="9" t="s">
        <v>194</v>
      </c>
      <c r="B7397" s="9" t="s">
        <v>193</v>
      </c>
      <c r="C7397" s="10">
        <v>46255</v>
      </c>
      <c r="D7397" s="15">
        <v>1.3785</v>
      </c>
      <c r="E7397" s="15">
        <v>1.3785</v>
      </c>
      <c r="F7397" s="15">
        <v>1.3785</v>
      </c>
      <c r="G7397" s="11">
        <v>-0.0036</v>
      </c>
      <c r="H7397" s="9">
        <f>MAX($F$7312:F7397)</f>
        <v>1.3871</v>
      </c>
      <c r="I7397" s="11">
        <f t="shared" si="182"/>
        <v>0.00619998558142887</v>
      </c>
      <c r="J7397" s="9">
        <f>MAX($F$7345:F7397)</f>
        <v>1.3871</v>
      </c>
      <c r="K7397" s="11">
        <f t="shared" si="181"/>
        <v>0.00619998558142887</v>
      </c>
      <c r="L7397" s="9"/>
      <c r="M7397" s="11"/>
      <c r="N7397" s="9" t="s">
        <v>798</v>
      </c>
    </row>
    <row r="7398" ht="25" customHeight="1" spans="1:14">
      <c r="A7398" s="9" t="s">
        <v>194</v>
      </c>
      <c r="B7398" s="9" t="s">
        <v>193</v>
      </c>
      <c r="C7398" s="10">
        <v>46262</v>
      </c>
      <c r="D7398" s="15">
        <v>1.3817</v>
      </c>
      <c r="E7398" s="15">
        <v>1.3817</v>
      </c>
      <c r="F7398" s="15">
        <v>1.3817</v>
      </c>
      <c r="G7398" s="11">
        <v>0.0023</v>
      </c>
      <c r="H7398" s="9">
        <f>MAX($F$7312:F7398)</f>
        <v>1.3871</v>
      </c>
      <c r="I7398" s="11">
        <f t="shared" si="182"/>
        <v>0.0038930142022926</v>
      </c>
      <c r="J7398" s="9">
        <f>MAX($F$7345:F7398)</f>
        <v>1.3871</v>
      </c>
      <c r="K7398" s="11">
        <f t="shared" si="181"/>
        <v>0.0038930142022926</v>
      </c>
      <c r="L7398" s="9"/>
      <c r="M7398" s="11"/>
      <c r="N7398" s="9" t="s">
        <v>798</v>
      </c>
    </row>
    <row r="7399" ht="25" customHeight="1" spans="1:14">
      <c r="A7399" s="9" t="s">
        <v>194</v>
      </c>
      <c r="B7399" s="9" t="s">
        <v>193</v>
      </c>
      <c r="C7399" s="10">
        <v>46265</v>
      </c>
      <c r="D7399" s="15">
        <v>1.3824</v>
      </c>
      <c r="E7399" s="15">
        <v>1.3824</v>
      </c>
      <c r="F7399" s="15">
        <v>1.3824</v>
      </c>
      <c r="G7399" s="11">
        <v>0.0005</v>
      </c>
      <c r="H7399" s="9">
        <f>MAX($F$7312:F7399)</f>
        <v>1.3871</v>
      </c>
      <c r="I7399" s="11">
        <f t="shared" si="182"/>
        <v>0.0033883642131064</v>
      </c>
      <c r="J7399" s="9">
        <f>MAX($F$7345:F7399)</f>
        <v>1.3871</v>
      </c>
      <c r="K7399" s="11">
        <f t="shared" si="181"/>
        <v>0.0033883642131064</v>
      </c>
      <c r="L7399" s="9"/>
      <c r="M7399" s="11"/>
      <c r="N7399" s="9" t="s">
        <v>798</v>
      </c>
    </row>
    <row r="7400" ht="25" customHeight="1" spans="1:14">
      <c r="A7400" s="9" t="s">
        <v>199</v>
      </c>
      <c r="B7400" s="9" t="s">
        <v>198</v>
      </c>
      <c r="C7400" s="10">
        <v>45750</v>
      </c>
      <c r="D7400" s="15">
        <v>1.0001</v>
      </c>
      <c r="E7400" s="15">
        <v>1.0001</v>
      </c>
      <c r="F7400" s="15">
        <v>1.0001</v>
      </c>
      <c r="G7400" s="11"/>
      <c r="H7400" s="9">
        <f>MAX($F$7400:F7400)</f>
        <v>1.0001</v>
      </c>
      <c r="I7400" s="11">
        <f t="shared" si="182"/>
        <v>0</v>
      </c>
      <c r="J7400" s="9"/>
      <c r="K7400" s="11"/>
      <c r="L7400" s="9"/>
      <c r="M7400" s="11"/>
      <c r="N7400" s="9" t="s">
        <v>799</v>
      </c>
    </row>
    <row r="7401" ht="25" customHeight="1" spans="1:14">
      <c r="A7401" s="9" t="s">
        <v>199</v>
      </c>
      <c r="B7401" s="9" t="s">
        <v>198</v>
      </c>
      <c r="C7401" s="10">
        <v>45758</v>
      </c>
      <c r="D7401" s="15">
        <v>1.0023</v>
      </c>
      <c r="E7401" s="15">
        <v>1.0023</v>
      </c>
      <c r="F7401" s="15">
        <v>1.0023</v>
      </c>
      <c r="G7401" s="11">
        <v>0.0022</v>
      </c>
      <c r="H7401" s="9">
        <f>MAX($F$7400:F7401)</f>
        <v>1.0023</v>
      </c>
      <c r="I7401" s="11">
        <f t="shared" si="182"/>
        <v>0</v>
      </c>
      <c r="J7401" s="9"/>
      <c r="K7401" s="11"/>
      <c r="L7401" s="9"/>
      <c r="M7401" s="11"/>
      <c r="N7401" s="9" t="s">
        <v>799</v>
      </c>
    </row>
    <row r="7402" ht="25" customHeight="1" spans="1:14">
      <c r="A7402" s="9" t="s">
        <v>199</v>
      </c>
      <c r="B7402" s="9" t="s">
        <v>198</v>
      </c>
      <c r="C7402" s="10">
        <v>45765</v>
      </c>
      <c r="D7402" s="15">
        <v>1.0043</v>
      </c>
      <c r="E7402" s="15">
        <v>1.0043</v>
      </c>
      <c r="F7402" s="15">
        <v>1.0043</v>
      </c>
      <c r="G7402" s="11">
        <v>0.002</v>
      </c>
      <c r="H7402" s="9">
        <f>MAX($F$7400:F7402)</f>
        <v>1.0043</v>
      </c>
      <c r="I7402" s="11">
        <f t="shared" si="182"/>
        <v>0</v>
      </c>
      <c r="J7402" s="9"/>
      <c r="K7402" s="11"/>
      <c r="L7402" s="9"/>
      <c r="M7402" s="11"/>
      <c r="N7402" s="9" t="s">
        <v>799</v>
      </c>
    </row>
    <row r="7403" ht="25" customHeight="1" spans="1:14">
      <c r="A7403" s="9" t="s">
        <v>199</v>
      </c>
      <c r="B7403" s="9" t="s">
        <v>198</v>
      </c>
      <c r="C7403" s="10">
        <v>45772</v>
      </c>
      <c r="D7403" s="15">
        <v>1.0042</v>
      </c>
      <c r="E7403" s="15">
        <v>1.0042</v>
      </c>
      <c r="F7403" s="15">
        <v>1.0042</v>
      </c>
      <c r="G7403" s="11">
        <v>-0.0001</v>
      </c>
      <c r="H7403" s="9">
        <f>MAX($F$7400:F7403)</f>
        <v>1.0043</v>
      </c>
      <c r="I7403" s="11">
        <f t="shared" si="182"/>
        <v>9.95718410833346e-5</v>
      </c>
      <c r="J7403" s="9"/>
      <c r="K7403" s="11"/>
      <c r="L7403" s="9"/>
      <c r="M7403" s="11"/>
      <c r="N7403" s="9" t="s">
        <v>799</v>
      </c>
    </row>
    <row r="7404" ht="25" customHeight="1" spans="1:14">
      <c r="A7404" s="9" t="s">
        <v>199</v>
      </c>
      <c r="B7404" s="9" t="s">
        <v>198</v>
      </c>
      <c r="C7404" s="10">
        <v>45777</v>
      </c>
      <c r="D7404" s="15">
        <v>1.0042</v>
      </c>
      <c r="E7404" s="15">
        <v>1.0042</v>
      </c>
      <c r="F7404" s="15">
        <v>1.0042</v>
      </c>
      <c r="G7404" s="11">
        <v>0</v>
      </c>
      <c r="H7404" s="9">
        <f>MAX($F$7400:F7404)</f>
        <v>1.0043</v>
      </c>
      <c r="I7404" s="11">
        <f t="shared" si="182"/>
        <v>9.95718410833346e-5</v>
      </c>
      <c r="J7404" s="9"/>
      <c r="K7404" s="11"/>
      <c r="L7404" s="9"/>
      <c r="M7404" s="11"/>
      <c r="N7404" s="9" t="s">
        <v>799</v>
      </c>
    </row>
    <row r="7405" ht="25" customHeight="1" spans="1:14">
      <c r="A7405" s="9" t="s">
        <v>199</v>
      </c>
      <c r="B7405" s="9" t="s">
        <v>198</v>
      </c>
      <c r="C7405" s="10">
        <v>45786</v>
      </c>
      <c r="D7405" s="15">
        <v>1.0042</v>
      </c>
      <c r="E7405" s="15">
        <v>1.0042</v>
      </c>
      <c r="F7405" s="15">
        <v>1.0042</v>
      </c>
      <c r="G7405" s="11">
        <v>0</v>
      </c>
      <c r="H7405" s="9">
        <f>MAX($F$7400:F7405)</f>
        <v>1.0043</v>
      </c>
      <c r="I7405" s="11">
        <f t="shared" si="182"/>
        <v>9.95718410833346e-5</v>
      </c>
      <c r="J7405" s="9"/>
      <c r="K7405" s="11"/>
      <c r="L7405" s="9"/>
      <c r="M7405" s="11"/>
      <c r="N7405" s="9" t="s">
        <v>799</v>
      </c>
    </row>
    <row r="7406" ht="25" customHeight="1" spans="1:14">
      <c r="A7406" s="9" t="s">
        <v>199</v>
      </c>
      <c r="B7406" s="9" t="s">
        <v>198</v>
      </c>
      <c r="C7406" s="10">
        <v>45793</v>
      </c>
      <c r="D7406" s="15">
        <v>1.0053</v>
      </c>
      <c r="E7406" s="15">
        <v>1.0053</v>
      </c>
      <c r="F7406" s="15">
        <v>1.0053</v>
      </c>
      <c r="G7406" s="11">
        <v>0.0011</v>
      </c>
      <c r="H7406" s="9">
        <f>MAX($F$7400:F7406)</f>
        <v>1.0053</v>
      </c>
      <c r="I7406" s="11">
        <f t="shared" si="182"/>
        <v>0</v>
      </c>
      <c r="J7406" s="9"/>
      <c r="K7406" s="11"/>
      <c r="L7406" s="9"/>
      <c r="M7406" s="11"/>
      <c r="N7406" s="9" t="s">
        <v>799</v>
      </c>
    </row>
    <row r="7407" ht="25" customHeight="1" spans="1:14">
      <c r="A7407" s="9" t="s">
        <v>199</v>
      </c>
      <c r="B7407" s="9" t="s">
        <v>198</v>
      </c>
      <c r="C7407" s="10">
        <v>45800</v>
      </c>
      <c r="D7407" s="15">
        <v>1.0062</v>
      </c>
      <c r="E7407" s="15">
        <v>1.0062</v>
      </c>
      <c r="F7407" s="15">
        <v>1.0062</v>
      </c>
      <c r="G7407" s="11">
        <v>0.0009</v>
      </c>
      <c r="H7407" s="9">
        <f>MAX($F$7400:F7407)</f>
        <v>1.0062</v>
      </c>
      <c r="I7407" s="11">
        <f t="shared" si="182"/>
        <v>0</v>
      </c>
      <c r="J7407" s="9"/>
      <c r="K7407" s="11"/>
      <c r="L7407" s="9"/>
      <c r="M7407" s="11"/>
      <c r="N7407" s="9" t="s">
        <v>799</v>
      </c>
    </row>
    <row r="7408" ht="25" customHeight="1" spans="1:14">
      <c r="A7408" s="9" t="s">
        <v>199</v>
      </c>
      <c r="B7408" s="9" t="s">
        <v>198</v>
      </c>
      <c r="C7408" s="10">
        <v>45807</v>
      </c>
      <c r="D7408" s="15">
        <v>1.0056</v>
      </c>
      <c r="E7408" s="15">
        <v>1.0056</v>
      </c>
      <c r="F7408" s="15">
        <v>1.0056</v>
      </c>
      <c r="G7408" s="11">
        <v>-0.0006</v>
      </c>
      <c r="H7408" s="9">
        <f>MAX($F$7400:F7408)</f>
        <v>1.0062</v>
      </c>
      <c r="I7408" s="11">
        <f t="shared" si="182"/>
        <v>0.000596302921884284</v>
      </c>
      <c r="J7408" s="9"/>
      <c r="K7408" s="11"/>
      <c r="L7408" s="9"/>
      <c r="M7408" s="11"/>
      <c r="N7408" s="9" t="s">
        <v>799</v>
      </c>
    </row>
    <row r="7409" ht="25" customHeight="1" spans="1:14">
      <c r="A7409" s="9" t="s">
        <v>199</v>
      </c>
      <c r="B7409" s="9" t="s">
        <v>198</v>
      </c>
      <c r="C7409" s="10">
        <v>45814</v>
      </c>
      <c r="D7409" s="15">
        <v>1.0078</v>
      </c>
      <c r="E7409" s="15">
        <v>1.0078</v>
      </c>
      <c r="F7409" s="15">
        <v>1.0078</v>
      </c>
      <c r="G7409" s="11">
        <v>0.0022</v>
      </c>
      <c r="H7409" s="9">
        <f>MAX($F$7400:F7409)</f>
        <v>1.0078</v>
      </c>
      <c r="I7409" s="11">
        <f t="shared" si="182"/>
        <v>0</v>
      </c>
      <c r="J7409" s="9"/>
      <c r="K7409" s="11"/>
      <c r="L7409" s="9"/>
      <c r="M7409" s="11"/>
      <c r="N7409" s="9" t="s">
        <v>799</v>
      </c>
    </row>
    <row r="7410" ht="25" customHeight="1" spans="1:14">
      <c r="A7410" s="9" t="s">
        <v>199</v>
      </c>
      <c r="B7410" s="9" t="s">
        <v>198</v>
      </c>
      <c r="C7410" s="10">
        <v>45821</v>
      </c>
      <c r="D7410" s="15">
        <v>1.0065</v>
      </c>
      <c r="E7410" s="15">
        <v>1.0065</v>
      </c>
      <c r="F7410" s="15">
        <v>1.0065</v>
      </c>
      <c r="G7410" s="11">
        <v>-0.0013</v>
      </c>
      <c r="H7410" s="9">
        <f>MAX($F$7400:F7410)</f>
        <v>1.0078</v>
      </c>
      <c r="I7410" s="11">
        <f t="shared" si="182"/>
        <v>0.00128993847985714</v>
      </c>
      <c r="J7410" s="9"/>
      <c r="K7410" s="11"/>
      <c r="L7410" s="9"/>
      <c r="M7410" s="11"/>
      <c r="N7410" s="9" t="s">
        <v>799</v>
      </c>
    </row>
    <row r="7411" ht="25" customHeight="1" spans="1:14">
      <c r="A7411" s="9" t="s">
        <v>199</v>
      </c>
      <c r="B7411" s="9" t="s">
        <v>198</v>
      </c>
      <c r="C7411" s="10">
        <v>45828</v>
      </c>
      <c r="D7411" s="15">
        <v>1.0062</v>
      </c>
      <c r="E7411" s="15">
        <v>1.0062</v>
      </c>
      <c r="F7411" s="15">
        <v>1.0062</v>
      </c>
      <c r="G7411" s="11">
        <v>-0.0003</v>
      </c>
      <c r="H7411" s="9">
        <f>MAX($F$7400:F7411)</f>
        <v>1.0078</v>
      </c>
      <c r="I7411" s="11">
        <f t="shared" si="182"/>
        <v>0.00158761659059337</v>
      </c>
      <c r="J7411" s="9"/>
      <c r="K7411" s="11"/>
      <c r="L7411" s="9"/>
      <c r="M7411" s="11"/>
      <c r="N7411" s="9" t="s">
        <v>799</v>
      </c>
    </row>
    <row r="7412" ht="25" customHeight="1" spans="1:14">
      <c r="A7412" s="9" t="s">
        <v>199</v>
      </c>
      <c r="B7412" s="9" t="s">
        <v>198</v>
      </c>
      <c r="C7412" s="10">
        <v>45835</v>
      </c>
      <c r="D7412" s="15">
        <v>1.0087</v>
      </c>
      <c r="E7412" s="15">
        <v>1.0087</v>
      </c>
      <c r="F7412" s="15">
        <v>1.0087</v>
      </c>
      <c r="G7412" s="11">
        <v>0.0025</v>
      </c>
      <c r="H7412" s="9">
        <f>MAX($F$7400:F7412)</f>
        <v>1.0087</v>
      </c>
      <c r="I7412" s="11">
        <f t="shared" si="182"/>
        <v>0</v>
      </c>
      <c r="J7412" s="9"/>
      <c r="K7412" s="11"/>
      <c r="L7412" s="9"/>
      <c r="M7412" s="11"/>
      <c r="N7412" s="9" t="s">
        <v>799</v>
      </c>
    </row>
    <row r="7413" ht="25" customHeight="1" spans="1:14">
      <c r="A7413" s="9" t="s">
        <v>199</v>
      </c>
      <c r="B7413" s="9" t="s">
        <v>198</v>
      </c>
      <c r="C7413" s="10">
        <v>45842</v>
      </c>
      <c r="D7413" s="15">
        <v>1.0104</v>
      </c>
      <c r="E7413" s="15">
        <v>1.0104</v>
      </c>
      <c r="F7413" s="15">
        <v>1.0104</v>
      </c>
      <c r="G7413" s="11">
        <v>0.0017</v>
      </c>
      <c r="H7413" s="9">
        <f>MAX($F$7400:F7413)</f>
        <v>1.0104</v>
      </c>
      <c r="I7413" s="11">
        <f t="shared" si="182"/>
        <v>0</v>
      </c>
      <c r="J7413" s="9"/>
      <c r="K7413" s="11"/>
      <c r="L7413" s="9"/>
      <c r="M7413" s="11"/>
      <c r="N7413" s="9" t="s">
        <v>799</v>
      </c>
    </row>
    <row r="7414" ht="25" customHeight="1" spans="1:14">
      <c r="A7414" s="9" t="s">
        <v>199</v>
      </c>
      <c r="B7414" s="9" t="s">
        <v>198</v>
      </c>
      <c r="C7414" s="10">
        <v>45849</v>
      </c>
      <c r="D7414" s="15">
        <v>1.0122</v>
      </c>
      <c r="E7414" s="15">
        <v>1.0122</v>
      </c>
      <c r="F7414" s="15">
        <v>1.0122</v>
      </c>
      <c r="G7414" s="11">
        <v>0.0018</v>
      </c>
      <c r="H7414" s="9">
        <f>MAX($F$7400:F7414)</f>
        <v>1.0122</v>
      </c>
      <c r="I7414" s="11">
        <f t="shared" si="182"/>
        <v>0</v>
      </c>
      <c r="J7414" s="9"/>
      <c r="K7414" s="11"/>
      <c r="L7414" s="9"/>
      <c r="M7414" s="11"/>
      <c r="N7414" s="9" t="s">
        <v>799</v>
      </c>
    </row>
    <row r="7415" ht="25" customHeight="1" spans="1:14">
      <c r="A7415" s="9" t="s">
        <v>199</v>
      </c>
      <c r="B7415" s="9" t="s">
        <v>198</v>
      </c>
      <c r="C7415" s="10">
        <v>45856</v>
      </c>
      <c r="D7415" s="15">
        <v>1.0124</v>
      </c>
      <c r="E7415" s="15">
        <v>1.0124</v>
      </c>
      <c r="F7415" s="15">
        <v>1.0124</v>
      </c>
      <c r="G7415" s="11">
        <v>0.0002</v>
      </c>
      <c r="H7415" s="9">
        <f>MAX($F$7400:F7415)</f>
        <v>1.0124</v>
      </c>
      <c r="I7415" s="11">
        <f t="shared" si="182"/>
        <v>0</v>
      </c>
      <c r="J7415" s="9"/>
      <c r="K7415" s="11"/>
      <c r="L7415" s="9"/>
      <c r="M7415" s="11"/>
      <c r="N7415" s="9" t="s">
        <v>799</v>
      </c>
    </row>
    <row r="7416" ht="25" customHeight="1" spans="1:14">
      <c r="A7416" s="9" t="s">
        <v>199</v>
      </c>
      <c r="B7416" s="9" t="s">
        <v>198</v>
      </c>
      <c r="C7416" s="10">
        <v>45863</v>
      </c>
      <c r="D7416" s="15">
        <v>1.0066</v>
      </c>
      <c r="E7416" s="15">
        <v>1.0066</v>
      </c>
      <c r="F7416" s="15">
        <v>1.0066</v>
      </c>
      <c r="G7416" s="11">
        <v>-0.0057</v>
      </c>
      <c r="H7416" s="9">
        <f>MAX($F$7400:F7416)</f>
        <v>1.0124</v>
      </c>
      <c r="I7416" s="11">
        <f t="shared" si="182"/>
        <v>0.00572896088502572</v>
      </c>
      <c r="J7416" s="9"/>
      <c r="K7416" s="11"/>
      <c r="L7416" s="9"/>
      <c r="M7416" s="11"/>
      <c r="N7416" s="9" t="s">
        <v>799</v>
      </c>
    </row>
    <row r="7417" ht="25" customHeight="1" spans="1:14">
      <c r="A7417" s="9" t="s">
        <v>199</v>
      </c>
      <c r="B7417" s="9" t="s">
        <v>198</v>
      </c>
      <c r="C7417" s="10">
        <v>45870</v>
      </c>
      <c r="D7417" s="15">
        <v>1.0076</v>
      </c>
      <c r="E7417" s="15">
        <v>1.0076</v>
      </c>
      <c r="F7417" s="15">
        <v>1.0076</v>
      </c>
      <c r="G7417" s="11">
        <v>0.001</v>
      </c>
      <c r="H7417" s="9">
        <f>MAX($F$7400:F7417)</f>
        <v>1.0124</v>
      </c>
      <c r="I7417" s="11">
        <f t="shared" si="182"/>
        <v>0.004741209008297</v>
      </c>
      <c r="J7417" s="9"/>
      <c r="K7417" s="11"/>
      <c r="L7417" s="9"/>
      <c r="M7417" s="11"/>
      <c r="N7417" s="9" t="s">
        <v>799</v>
      </c>
    </row>
    <row r="7418" ht="25" customHeight="1" spans="1:14">
      <c r="A7418" s="9" t="s">
        <v>199</v>
      </c>
      <c r="B7418" s="9" t="s">
        <v>198</v>
      </c>
      <c r="C7418" s="10">
        <v>45877</v>
      </c>
      <c r="D7418" s="15">
        <v>1.0095</v>
      </c>
      <c r="E7418" s="15">
        <v>1.0095</v>
      </c>
      <c r="F7418" s="15">
        <v>1.0095</v>
      </c>
      <c r="G7418" s="11">
        <v>0.0019</v>
      </c>
      <c r="H7418" s="9">
        <f>MAX($F$7400:F7418)</f>
        <v>1.0124</v>
      </c>
      <c r="I7418" s="11">
        <f t="shared" si="182"/>
        <v>0.00286448044251275</v>
      </c>
      <c r="J7418" s="9"/>
      <c r="K7418" s="11"/>
      <c r="L7418" s="9"/>
      <c r="M7418" s="11"/>
      <c r="N7418" s="9" t="s">
        <v>799</v>
      </c>
    </row>
    <row r="7419" ht="25" customHeight="1" spans="1:14">
      <c r="A7419" s="9" t="s">
        <v>199</v>
      </c>
      <c r="B7419" s="9" t="s">
        <v>198</v>
      </c>
      <c r="C7419" s="10">
        <v>45884</v>
      </c>
      <c r="D7419" s="15">
        <v>1.0137</v>
      </c>
      <c r="E7419" s="15">
        <v>1.0137</v>
      </c>
      <c r="F7419" s="15">
        <v>1.0137</v>
      </c>
      <c r="G7419" s="11">
        <v>0.0042</v>
      </c>
      <c r="H7419" s="9">
        <f>MAX($F$7400:F7419)</f>
        <v>1.0137</v>
      </c>
      <c r="I7419" s="11">
        <f t="shared" si="182"/>
        <v>0</v>
      </c>
      <c r="J7419" s="9"/>
      <c r="K7419" s="11"/>
      <c r="L7419" s="9"/>
      <c r="M7419" s="11"/>
      <c r="N7419" s="9" t="s">
        <v>799</v>
      </c>
    </row>
    <row r="7420" ht="25" customHeight="1" spans="1:14">
      <c r="A7420" s="9" t="s">
        <v>199</v>
      </c>
      <c r="B7420" s="9" t="s">
        <v>198</v>
      </c>
      <c r="C7420" s="10">
        <v>45891</v>
      </c>
      <c r="D7420" s="15">
        <v>1.0126</v>
      </c>
      <c r="E7420" s="15">
        <v>1.0126</v>
      </c>
      <c r="F7420" s="15">
        <v>1.0126</v>
      </c>
      <c r="G7420" s="11">
        <v>-0.0011</v>
      </c>
      <c r="H7420" s="9">
        <f>MAX($F$7400:F7420)</f>
        <v>1.0137</v>
      </c>
      <c r="I7420" s="11">
        <f t="shared" si="182"/>
        <v>0.00108513366873841</v>
      </c>
      <c r="J7420" s="9"/>
      <c r="K7420" s="11"/>
      <c r="L7420" s="9"/>
      <c r="M7420" s="11"/>
      <c r="N7420" s="9" t="s">
        <v>799</v>
      </c>
    </row>
    <row r="7421" ht="25" customHeight="1" spans="1:14">
      <c r="A7421" s="9" t="s">
        <v>199</v>
      </c>
      <c r="B7421" s="9" t="s">
        <v>198</v>
      </c>
      <c r="C7421" s="10">
        <v>45898</v>
      </c>
      <c r="D7421" s="15">
        <v>1.0196</v>
      </c>
      <c r="E7421" s="15">
        <v>1.0196</v>
      </c>
      <c r="F7421" s="15">
        <v>1.0196</v>
      </c>
      <c r="G7421" s="11">
        <v>0.0069</v>
      </c>
      <c r="H7421" s="9">
        <f>MAX($F$7400:F7421)</f>
        <v>1.0196</v>
      </c>
      <c r="I7421" s="11">
        <f t="shared" si="182"/>
        <v>0</v>
      </c>
      <c r="J7421" s="9">
        <f>MAX($F$7421:F7421)</f>
        <v>1.0196</v>
      </c>
      <c r="K7421" s="11">
        <f t="shared" ref="K7421:K7476" si="183">1-F7421/J7421</f>
        <v>0</v>
      </c>
      <c r="L7421" s="9"/>
      <c r="M7421" s="11"/>
      <c r="N7421" s="9" t="s">
        <v>799</v>
      </c>
    </row>
    <row r="7422" ht="25" customHeight="1" spans="1:14">
      <c r="A7422" s="9" t="s">
        <v>199</v>
      </c>
      <c r="B7422" s="9" t="s">
        <v>198</v>
      </c>
      <c r="C7422" s="10">
        <v>45905</v>
      </c>
      <c r="D7422" s="15">
        <v>1.0292</v>
      </c>
      <c r="E7422" s="15">
        <v>1.0292</v>
      </c>
      <c r="F7422" s="15">
        <v>1.0292</v>
      </c>
      <c r="G7422" s="11">
        <v>0.0094</v>
      </c>
      <c r="H7422" s="9">
        <f>MAX($F$7400:F7422)</f>
        <v>1.0292</v>
      </c>
      <c r="I7422" s="11">
        <f t="shared" si="182"/>
        <v>0</v>
      </c>
      <c r="J7422" s="9">
        <f>MAX($F$7421:F7422)</f>
        <v>1.0292</v>
      </c>
      <c r="K7422" s="11">
        <f t="shared" si="183"/>
        <v>0</v>
      </c>
      <c r="L7422" s="9"/>
      <c r="M7422" s="11"/>
      <c r="N7422" s="9" t="s">
        <v>799</v>
      </c>
    </row>
    <row r="7423" ht="25" customHeight="1" spans="1:14">
      <c r="A7423" s="9" t="s">
        <v>199</v>
      </c>
      <c r="B7423" s="9" t="s">
        <v>198</v>
      </c>
      <c r="C7423" s="10">
        <v>45912</v>
      </c>
      <c r="D7423" s="15">
        <v>1.0309</v>
      </c>
      <c r="E7423" s="15">
        <v>1.0309</v>
      </c>
      <c r="F7423" s="15">
        <v>1.0309</v>
      </c>
      <c r="G7423" s="11">
        <v>0.0017</v>
      </c>
      <c r="H7423" s="9">
        <f>MAX($F$7400:F7423)</f>
        <v>1.0309</v>
      </c>
      <c r="I7423" s="11">
        <f t="shared" si="182"/>
        <v>0</v>
      </c>
      <c r="J7423" s="9">
        <f>MAX($F$7421:F7423)</f>
        <v>1.0309</v>
      </c>
      <c r="K7423" s="11">
        <f t="shared" si="183"/>
        <v>0</v>
      </c>
      <c r="L7423" s="9"/>
      <c r="M7423" s="11"/>
      <c r="N7423" s="9" t="s">
        <v>799</v>
      </c>
    </row>
    <row r="7424" ht="25" customHeight="1" spans="1:14">
      <c r="A7424" s="9" t="s">
        <v>199</v>
      </c>
      <c r="B7424" s="9" t="s">
        <v>198</v>
      </c>
      <c r="C7424" s="10">
        <v>45919</v>
      </c>
      <c r="D7424" s="15">
        <v>1.0292</v>
      </c>
      <c r="E7424" s="15">
        <v>1.0292</v>
      </c>
      <c r="F7424" s="15">
        <v>1.0292</v>
      </c>
      <c r="G7424" s="11">
        <v>-0.0016</v>
      </c>
      <c r="H7424" s="9">
        <f>MAX($F$7400:F7424)</f>
        <v>1.0309</v>
      </c>
      <c r="I7424" s="11">
        <f t="shared" si="182"/>
        <v>0.00164904452420223</v>
      </c>
      <c r="J7424" s="9">
        <f>MAX($F$7421:F7424)</f>
        <v>1.0309</v>
      </c>
      <c r="K7424" s="11">
        <f t="shared" si="183"/>
        <v>0.00164904452420223</v>
      </c>
      <c r="L7424" s="9"/>
      <c r="M7424" s="11"/>
      <c r="N7424" s="9" t="s">
        <v>799</v>
      </c>
    </row>
    <row r="7425" ht="25" customHeight="1" spans="1:14">
      <c r="A7425" s="9" t="s">
        <v>199</v>
      </c>
      <c r="B7425" s="9" t="s">
        <v>198</v>
      </c>
      <c r="C7425" s="10">
        <v>45926</v>
      </c>
      <c r="D7425" s="15">
        <v>1.0265</v>
      </c>
      <c r="E7425" s="15">
        <v>1.0265</v>
      </c>
      <c r="F7425" s="15">
        <v>1.0265</v>
      </c>
      <c r="G7425" s="11">
        <v>-0.0026</v>
      </c>
      <c r="H7425" s="9">
        <f>MAX($F$7400:F7425)</f>
        <v>1.0309</v>
      </c>
      <c r="I7425" s="11">
        <f t="shared" si="182"/>
        <v>0.00426811523911141</v>
      </c>
      <c r="J7425" s="9">
        <f>MAX($F$7421:F7425)</f>
        <v>1.0309</v>
      </c>
      <c r="K7425" s="11">
        <f t="shared" si="183"/>
        <v>0.00426811523911141</v>
      </c>
      <c r="L7425" s="9"/>
      <c r="M7425" s="11"/>
      <c r="N7425" s="9" t="s">
        <v>799</v>
      </c>
    </row>
    <row r="7426" ht="25" customHeight="1" spans="1:14">
      <c r="A7426" s="9" t="s">
        <v>199</v>
      </c>
      <c r="B7426" s="9" t="s">
        <v>198</v>
      </c>
      <c r="C7426" s="10">
        <v>45930</v>
      </c>
      <c r="D7426" s="15">
        <v>1.0265</v>
      </c>
      <c r="E7426" s="15">
        <v>1.0265</v>
      </c>
      <c r="F7426" s="15">
        <v>1.0265</v>
      </c>
      <c r="G7426" s="11">
        <v>0</v>
      </c>
      <c r="H7426" s="9">
        <f>MAX($F$7400:F7426)</f>
        <v>1.0309</v>
      </c>
      <c r="I7426" s="11">
        <f t="shared" ref="I7426:I7489" si="184">1-F7426/H7426</f>
        <v>0.00426811523911141</v>
      </c>
      <c r="J7426" s="9">
        <f>MAX($F$7421:F7426)</f>
        <v>1.0309</v>
      </c>
      <c r="K7426" s="11">
        <f t="shared" si="183"/>
        <v>0.00426811523911141</v>
      </c>
      <c r="L7426" s="9"/>
      <c r="M7426" s="11"/>
      <c r="N7426" s="9" t="s">
        <v>799</v>
      </c>
    </row>
    <row r="7427" ht="25" customHeight="1" spans="1:14">
      <c r="A7427" s="9" t="s">
        <v>199</v>
      </c>
      <c r="B7427" s="9" t="s">
        <v>198</v>
      </c>
      <c r="C7427" s="10">
        <v>45940</v>
      </c>
      <c r="D7427" s="15">
        <v>1.0267</v>
      </c>
      <c r="E7427" s="15">
        <v>1.0267</v>
      </c>
      <c r="F7427" s="15">
        <v>1.0267</v>
      </c>
      <c r="G7427" s="11">
        <v>0.0002</v>
      </c>
      <c r="H7427" s="9">
        <f>MAX($F$7400:F7427)</f>
        <v>1.0309</v>
      </c>
      <c r="I7427" s="11">
        <f t="shared" si="184"/>
        <v>0.00407411000097002</v>
      </c>
      <c r="J7427" s="9">
        <f>MAX($F$7421:F7427)</f>
        <v>1.0309</v>
      </c>
      <c r="K7427" s="11">
        <f t="shared" si="183"/>
        <v>0.00407411000097002</v>
      </c>
      <c r="L7427" s="9"/>
      <c r="M7427" s="11"/>
      <c r="N7427" s="9" t="s">
        <v>799</v>
      </c>
    </row>
    <row r="7428" ht="25" customHeight="1" spans="1:14">
      <c r="A7428" s="9" t="s">
        <v>199</v>
      </c>
      <c r="B7428" s="9" t="s">
        <v>198</v>
      </c>
      <c r="C7428" s="10">
        <v>45947</v>
      </c>
      <c r="D7428" s="15">
        <v>1.0292</v>
      </c>
      <c r="E7428" s="15">
        <v>1.0292</v>
      </c>
      <c r="F7428" s="15">
        <v>1.0292</v>
      </c>
      <c r="G7428" s="11">
        <v>0.0024</v>
      </c>
      <c r="H7428" s="9">
        <f>MAX($F$7400:F7428)</f>
        <v>1.0309</v>
      </c>
      <c r="I7428" s="11">
        <f t="shared" si="184"/>
        <v>0.00164904452420223</v>
      </c>
      <c r="J7428" s="9">
        <f>MAX($F$7421:F7428)</f>
        <v>1.0309</v>
      </c>
      <c r="K7428" s="11">
        <f t="shared" si="183"/>
        <v>0.00164904452420223</v>
      </c>
      <c r="L7428" s="9"/>
      <c r="M7428" s="11"/>
      <c r="N7428" s="9" t="s">
        <v>799</v>
      </c>
    </row>
    <row r="7429" ht="25" customHeight="1" spans="1:14">
      <c r="A7429" s="9" t="s">
        <v>199</v>
      </c>
      <c r="B7429" s="9" t="s">
        <v>198</v>
      </c>
      <c r="C7429" s="10">
        <v>45954</v>
      </c>
      <c r="D7429" s="15">
        <v>1.0345</v>
      </c>
      <c r="E7429" s="15">
        <v>1.0345</v>
      </c>
      <c r="F7429" s="15">
        <v>1.0345</v>
      </c>
      <c r="G7429" s="11">
        <v>0.0051</v>
      </c>
      <c r="H7429" s="9">
        <f>MAX($F$7400:F7429)</f>
        <v>1.0345</v>
      </c>
      <c r="I7429" s="11">
        <f t="shared" si="184"/>
        <v>0</v>
      </c>
      <c r="J7429" s="9">
        <f>MAX($F$7421:F7429)</f>
        <v>1.0345</v>
      </c>
      <c r="K7429" s="11">
        <f t="shared" si="183"/>
        <v>0</v>
      </c>
      <c r="L7429" s="9"/>
      <c r="M7429" s="11"/>
      <c r="N7429" s="9" t="s">
        <v>799</v>
      </c>
    </row>
    <row r="7430" ht="25" customHeight="1" spans="1:14">
      <c r="A7430" s="9" t="s">
        <v>199</v>
      </c>
      <c r="B7430" s="9" t="s">
        <v>198</v>
      </c>
      <c r="C7430" s="10">
        <v>45961</v>
      </c>
      <c r="D7430" s="15">
        <v>1.0349</v>
      </c>
      <c r="E7430" s="15">
        <v>1.0349</v>
      </c>
      <c r="F7430" s="15">
        <v>1.0349</v>
      </c>
      <c r="G7430" s="11">
        <v>0.0004</v>
      </c>
      <c r="H7430" s="9">
        <f>MAX($F$7400:F7430)</f>
        <v>1.0349</v>
      </c>
      <c r="I7430" s="11">
        <f t="shared" si="184"/>
        <v>0</v>
      </c>
      <c r="J7430" s="9">
        <f>MAX($F$7421:F7430)</f>
        <v>1.0349</v>
      </c>
      <c r="K7430" s="11">
        <f t="shared" si="183"/>
        <v>0</v>
      </c>
      <c r="L7430" s="9"/>
      <c r="M7430" s="11"/>
      <c r="N7430" s="9" t="s">
        <v>799</v>
      </c>
    </row>
    <row r="7431" ht="25" customHeight="1" spans="1:14">
      <c r="A7431" s="9" t="s">
        <v>199</v>
      </c>
      <c r="B7431" s="9" t="s">
        <v>198</v>
      </c>
      <c r="C7431" s="10">
        <v>45968</v>
      </c>
      <c r="D7431" s="15">
        <v>1.0353</v>
      </c>
      <c r="E7431" s="15">
        <v>1.0353</v>
      </c>
      <c r="F7431" s="15">
        <v>1.0353</v>
      </c>
      <c r="G7431" s="11">
        <v>0.0004</v>
      </c>
      <c r="H7431" s="9">
        <f>MAX($F$7400:F7431)</f>
        <v>1.0353</v>
      </c>
      <c r="I7431" s="11">
        <f t="shared" si="184"/>
        <v>0</v>
      </c>
      <c r="J7431" s="9">
        <f>MAX($F$7421:F7431)</f>
        <v>1.0353</v>
      </c>
      <c r="K7431" s="11">
        <f t="shared" si="183"/>
        <v>0</v>
      </c>
      <c r="L7431" s="9"/>
      <c r="M7431" s="11"/>
      <c r="N7431" s="9" t="s">
        <v>799</v>
      </c>
    </row>
    <row r="7432" ht="25" customHeight="1" spans="1:14">
      <c r="A7432" s="9" t="s">
        <v>199</v>
      </c>
      <c r="B7432" s="9" t="s">
        <v>198</v>
      </c>
      <c r="C7432" s="10">
        <v>45975</v>
      </c>
      <c r="D7432" s="15">
        <v>1.0354</v>
      </c>
      <c r="E7432" s="15">
        <v>1.0354</v>
      </c>
      <c r="F7432" s="15">
        <v>1.0354</v>
      </c>
      <c r="G7432" s="11">
        <v>0.0001</v>
      </c>
      <c r="H7432" s="9">
        <f>MAX($F$7400:F7432)</f>
        <v>1.0354</v>
      </c>
      <c r="I7432" s="11">
        <f t="shared" si="184"/>
        <v>0</v>
      </c>
      <c r="J7432" s="9">
        <f>MAX($F$7421:F7432)</f>
        <v>1.0354</v>
      </c>
      <c r="K7432" s="11">
        <f t="shared" si="183"/>
        <v>0</v>
      </c>
      <c r="L7432" s="9"/>
      <c r="M7432" s="11"/>
      <c r="N7432" s="9" t="s">
        <v>799</v>
      </c>
    </row>
    <row r="7433" ht="25" customHeight="1" spans="1:14">
      <c r="A7433" s="9" t="s">
        <v>199</v>
      </c>
      <c r="B7433" s="9" t="s">
        <v>198</v>
      </c>
      <c r="C7433" s="10">
        <v>45982</v>
      </c>
      <c r="D7433" s="15">
        <v>1.0398</v>
      </c>
      <c r="E7433" s="15">
        <v>1.0398</v>
      </c>
      <c r="F7433" s="15">
        <v>1.0398</v>
      </c>
      <c r="G7433" s="11">
        <v>0.0042</v>
      </c>
      <c r="H7433" s="9">
        <f>MAX($F$7400:F7433)</f>
        <v>1.0398</v>
      </c>
      <c r="I7433" s="11">
        <f t="shared" si="184"/>
        <v>0</v>
      </c>
      <c r="J7433" s="9">
        <f>MAX($F$7421:F7433)</f>
        <v>1.0398</v>
      </c>
      <c r="K7433" s="11">
        <f t="shared" si="183"/>
        <v>0</v>
      </c>
      <c r="L7433" s="9"/>
      <c r="M7433" s="11"/>
      <c r="N7433" s="9" t="s">
        <v>799</v>
      </c>
    </row>
    <row r="7434" ht="25" customHeight="1" spans="1:14">
      <c r="A7434" s="9" t="s">
        <v>199</v>
      </c>
      <c r="B7434" s="9" t="s">
        <v>198</v>
      </c>
      <c r="C7434" s="10">
        <v>45989</v>
      </c>
      <c r="D7434" s="15">
        <v>1.0389</v>
      </c>
      <c r="E7434" s="15">
        <v>1.0389</v>
      </c>
      <c r="F7434" s="15">
        <v>1.0389</v>
      </c>
      <c r="G7434" s="11">
        <v>-0.0009</v>
      </c>
      <c r="H7434" s="9">
        <f>MAX($F$7400:F7434)</f>
        <v>1.0398</v>
      </c>
      <c r="I7434" s="11">
        <f t="shared" si="184"/>
        <v>0.000865551067513071</v>
      </c>
      <c r="J7434" s="9">
        <f>MAX($F$7421:F7434)</f>
        <v>1.0398</v>
      </c>
      <c r="K7434" s="11">
        <f t="shared" si="183"/>
        <v>0.000865551067513071</v>
      </c>
      <c r="L7434" s="9"/>
      <c r="M7434" s="11"/>
      <c r="N7434" s="9" t="s">
        <v>799</v>
      </c>
    </row>
    <row r="7435" ht="25" customHeight="1" spans="1:14">
      <c r="A7435" s="9" t="s">
        <v>199</v>
      </c>
      <c r="B7435" s="9" t="s">
        <v>198</v>
      </c>
      <c r="C7435" s="10">
        <v>45996</v>
      </c>
      <c r="D7435" s="15">
        <v>1.0392</v>
      </c>
      <c r="E7435" s="15">
        <v>1.0392</v>
      </c>
      <c r="F7435" s="15">
        <v>1.0392</v>
      </c>
      <c r="G7435" s="11">
        <v>0.0003</v>
      </c>
      <c r="H7435" s="9">
        <f>MAX($F$7400:F7435)</f>
        <v>1.0398</v>
      </c>
      <c r="I7435" s="11">
        <f t="shared" si="184"/>
        <v>0.000577034045008751</v>
      </c>
      <c r="J7435" s="9">
        <f>MAX($F$7421:F7435)</f>
        <v>1.0398</v>
      </c>
      <c r="K7435" s="11">
        <f t="shared" si="183"/>
        <v>0.000577034045008751</v>
      </c>
      <c r="L7435" s="9"/>
      <c r="M7435" s="11"/>
      <c r="N7435" s="9" t="s">
        <v>799</v>
      </c>
    </row>
    <row r="7436" ht="25" customHeight="1" spans="1:14">
      <c r="A7436" s="9" t="s">
        <v>199</v>
      </c>
      <c r="B7436" s="9" t="s">
        <v>198</v>
      </c>
      <c r="C7436" s="10">
        <v>46003</v>
      </c>
      <c r="D7436" s="15">
        <v>1.0394</v>
      </c>
      <c r="E7436" s="15">
        <v>1.0394</v>
      </c>
      <c r="F7436" s="15">
        <v>1.0394</v>
      </c>
      <c r="G7436" s="11">
        <v>0.0002</v>
      </c>
      <c r="H7436" s="9">
        <f>MAX($F$7400:F7436)</f>
        <v>1.0398</v>
      </c>
      <c r="I7436" s="11">
        <f t="shared" si="184"/>
        <v>0.000384689363339019</v>
      </c>
      <c r="J7436" s="9">
        <f>MAX($F$7421:F7436)</f>
        <v>1.0398</v>
      </c>
      <c r="K7436" s="11">
        <f t="shared" si="183"/>
        <v>0.000384689363339019</v>
      </c>
      <c r="L7436" s="9"/>
      <c r="M7436" s="11"/>
      <c r="N7436" s="9" t="s">
        <v>799</v>
      </c>
    </row>
    <row r="7437" ht="25" customHeight="1" spans="1:14">
      <c r="A7437" s="9" t="s">
        <v>199</v>
      </c>
      <c r="B7437" s="9" t="s">
        <v>198</v>
      </c>
      <c r="C7437" s="10">
        <v>46010</v>
      </c>
      <c r="D7437" s="15">
        <v>1.0395</v>
      </c>
      <c r="E7437" s="15">
        <v>1.0395</v>
      </c>
      <c r="F7437" s="15">
        <v>1.0395</v>
      </c>
      <c r="G7437" s="11">
        <v>0.0001</v>
      </c>
      <c r="H7437" s="9">
        <f>MAX($F$7400:F7437)</f>
        <v>1.0398</v>
      </c>
      <c r="I7437" s="11">
        <f t="shared" si="184"/>
        <v>0.00028851702250432</v>
      </c>
      <c r="J7437" s="9">
        <f>MAX($F$7421:F7437)</f>
        <v>1.0398</v>
      </c>
      <c r="K7437" s="11">
        <f t="shared" si="183"/>
        <v>0.00028851702250432</v>
      </c>
      <c r="L7437" s="9"/>
      <c r="M7437" s="11"/>
      <c r="N7437" s="9" t="s">
        <v>799</v>
      </c>
    </row>
    <row r="7438" ht="25" customHeight="1" spans="1:14">
      <c r="A7438" s="9" t="s">
        <v>199</v>
      </c>
      <c r="B7438" s="9" t="s">
        <v>198</v>
      </c>
      <c r="C7438" s="10">
        <v>46017</v>
      </c>
      <c r="D7438" s="15">
        <v>1.0413</v>
      </c>
      <c r="E7438" s="15">
        <v>1.0413</v>
      </c>
      <c r="F7438" s="15">
        <v>1.0413</v>
      </c>
      <c r="G7438" s="11">
        <v>0.0017</v>
      </c>
      <c r="H7438" s="9">
        <f>MAX($F$7400:F7438)</f>
        <v>1.0413</v>
      </c>
      <c r="I7438" s="11">
        <f t="shared" si="184"/>
        <v>0</v>
      </c>
      <c r="J7438" s="9">
        <f>MAX($F$7421:F7438)</f>
        <v>1.0413</v>
      </c>
      <c r="K7438" s="11">
        <f t="shared" si="183"/>
        <v>0</v>
      </c>
      <c r="L7438" s="9"/>
      <c r="M7438" s="11"/>
      <c r="N7438" s="9" t="s">
        <v>799</v>
      </c>
    </row>
    <row r="7439" ht="25" customHeight="1" spans="1:14">
      <c r="A7439" s="9" t="s">
        <v>199</v>
      </c>
      <c r="B7439" s="9" t="s">
        <v>198</v>
      </c>
      <c r="C7439" s="10">
        <v>46022</v>
      </c>
      <c r="D7439" s="15">
        <v>1.0414</v>
      </c>
      <c r="E7439" s="15">
        <v>1.0414</v>
      </c>
      <c r="F7439" s="15">
        <v>1.0414</v>
      </c>
      <c r="G7439" s="11">
        <v>0.0001</v>
      </c>
      <c r="H7439" s="9">
        <f>MAX($F$7400:F7439)</f>
        <v>1.0414</v>
      </c>
      <c r="I7439" s="11">
        <f t="shared" si="184"/>
        <v>0</v>
      </c>
      <c r="J7439" s="9">
        <f>MAX($F$7421:F7439)</f>
        <v>1.0414</v>
      </c>
      <c r="K7439" s="11">
        <f t="shared" si="183"/>
        <v>0</v>
      </c>
      <c r="L7439" s="9"/>
      <c r="M7439" s="11"/>
      <c r="N7439" s="9" t="s">
        <v>799</v>
      </c>
    </row>
    <row r="7440" ht="25" customHeight="1" spans="1:14">
      <c r="A7440" s="9" t="s">
        <v>199</v>
      </c>
      <c r="B7440" s="9" t="s">
        <v>198</v>
      </c>
      <c r="C7440" s="10">
        <v>46031</v>
      </c>
      <c r="D7440" s="15">
        <v>1.046</v>
      </c>
      <c r="E7440" s="15">
        <v>1.046</v>
      </c>
      <c r="F7440" s="15">
        <v>1.046</v>
      </c>
      <c r="G7440" s="11">
        <v>0.0044</v>
      </c>
      <c r="H7440" s="9">
        <f>MAX($F$7400:F7440)</f>
        <v>1.046</v>
      </c>
      <c r="I7440" s="11">
        <f t="shared" si="184"/>
        <v>0</v>
      </c>
      <c r="J7440" s="9">
        <f>MAX($F$7421:F7440)</f>
        <v>1.046</v>
      </c>
      <c r="K7440" s="11">
        <f t="shared" si="183"/>
        <v>0</v>
      </c>
      <c r="L7440" s="9"/>
      <c r="M7440" s="11"/>
      <c r="N7440" s="9" t="s">
        <v>799</v>
      </c>
    </row>
    <row r="7441" ht="25" customHeight="1" spans="1:14">
      <c r="A7441" s="9" t="s">
        <v>199</v>
      </c>
      <c r="B7441" s="9" t="s">
        <v>198</v>
      </c>
      <c r="C7441" s="10">
        <v>46038</v>
      </c>
      <c r="D7441" s="15">
        <v>1.0599</v>
      </c>
      <c r="E7441" s="15">
        <v>1.0599</v>
      </c>
      <c r="F7441" s="15">
        <v>1.0599</v>
      </c>
      <c r="G7441" s="11">
        <v>0.0133</v>
      </c>
      <c r="H7441" s="9">
        <f>MAX($F$7400:F7441)</f>
        <v>1.0599</v>
      </c>
      <c r="I7441" s="11">
        <f t="shared" si="184"/>
        <v>0</v>
      </c>
      <c r="J7441" s="9">
        <f>MAX($F$7421:F7441)</f>
        <v>1.0599</v>
      </c>
      <c r="K7441" s="11">
        <f t="shared" si="183"/>
        <v>0</v>
      </c>
      <c r="L7441" s="9"/>
      <c r="M7441" s="11"/>
      <c r="N7441" s="9" t="s">
        <v>799</v>
      </c>
    </row>
    <row r="7442" ht="25" customHeight="1" spans="1:14">
      <c r="A7442" s="9" t="s">
        <v>199</v>
      </c>
      <c r="B7442" s="9" t="s">
        <v>198</v>
      </c>
      <c r="C7442" s="10">
        <v>46045</v>
      </c>
      <c r="D7442" s="15">
        <v>1.0657</v>
      </c>
      <c r="E7442" s="15">
        <v>1.0657</v>
      </c>
      <c r="F7442" s="15">
        <v>1.0657</v>
      </c>
      <c r="G7442" s="11">
        <v>0.0055</v>
      </c>
      <c r="H7442" s="9">
        <f>MAX($F$7400:F7442)</f>
        <v>1.0657</v>
      </c>
      <c r="I7442" s="11">
        <f t="shared" si="184"/>
        <v>0</v>
      </c>
      <c r="J7442" s="9">
        <f>MAX($F$7421:F7442)</f>
        <v>1.0657</v>
      </c>
      <c r="K7442" s="11">
        <f t="shared" si="183"/>
        <v>0</v>
      </c>
      <c r="L7442" s="9"/>
      <c r="M7442" s="11"/>
      <c r="N7442" s="9" t="s">
        <v>799</v>
      </c>
    </row>
    <row r="7443" ht="25" customHeight="1" spans="1:14">
      <c r="A7443" s="9" t="s">
        <v>199</v>
      </c>
      <c r="B7443" s="9" t="s">
        <v>198</v>
      </c>
      <c r="C7443" s="10">
        <v>46052</v>
      </c>
      <c r="D7443" s="15">
        <v>1.0693</v>
      </c>
      <c r="E7443" s="15">
        <v>1.0693</v>
      </c>
      <c r="F7443" s="15">
        <v>1.0693</v>
      </c>
      <c r="G7443" s="11">
        <v>0.0034</v>
      </c>
      <c r="H7443" s="9">
        <f>MAX($F$7400:F7443)</f>
        <v>1.0693</v>
      </c>
      <c r="I7443" s="11">
        <f t="shared" si="184"/>
        <v>0</v>
      </c>
      <c r="J7443" s="9">
        <f>MAX($F$7421:F7443)</f>
        <v>1.0693</v>
      </c>
      <c r="K7443" s="11">
        <f t="shared" si="183"/>
        <v>0</v>
      </c>
      <c r="L7443" s="9"/>
      <c r="M7443" s="11"/>
      <c r="N7443" s="9" t="s">
        <v>799</v>
      </c>
    </row>
    <row r="7444" ht="25" customHeight="1" spans="1:14">
      <c r="A7444" s="9" t="s">
        <v>199</v>
      </c>
      <c r="B7444" s="9" t="s">
        <v>198</v>
      </c>
      <c r="C7444" s="10">
        <v>46059</v>
      </c>
      <c r="D7444" s="15">
        <v>1.0896</v>
      </c>
      <c r="E7444" s="15">
        <v>1.0896</v>
      </c>
      <c r="F7444" s="15">
        <v>1.0896</v>
      </c>
      <c r="G7444" s="11">
        <v>0.019</v>
      </c>
      <c r="H7444" s="9">
        <f>MAX($F$7400:F7444)</f>
        <v>1.0896</v>
      </c>
      <c r="I7444" s="11">
        <f t="shared" si="184"/>
        <v>0</v>
      </c>
      <c r="J7444" s="9">
        <f>MAX($F$7421:F7444)</f>
        <v>1.0896</v>
      </c>
      <c r="K7444" s="11">
        <f t="shared" si="183"/>
        <v>0</v>
      </c>
      <c r="L7444" s="9"/>
      <c r="M7444" s="11"/>
      <c r="N7444" s="9" t="s">
        <v>799</v>
      </c>
    </row>
    <row r="7445" ht="25" customHeight="1" spans="1:14">
      <c r="A7445" s="9" t="s">
        <v>199</v>
      </c>
      <c r="B7445" s="9" t="s">
        <v>198</v>
      </c>
      <c r="C7445" s="10">
        <v>46066</v>
      </c>
      <c r="D7445" s="15">
        <v>1.0893</v>
      </c>
      <c r="E7445" s="15">
        <v>1.0893</v>
      </c>
      <c r="F7445" s="15">
        <v>1.0893</v>
      </c>
      <c r="G7445" s="11">
        <v>-0.0003</v>
      </c>
      <c r="H7445" s="9">
        <f>MAX($F$7400:F7445)</f>
        <v>1.0896</v>
      </c>
      <c r="I7445" s="11">
        <f t="shared" si="184"/>
        <v>0.000275330396475759</v>
      </c>
      <c r="J7445" s="9">
        <f>MAX($F$7421:F7445)</f>
        <v>1.0896</v>
      </c>
      <c r="K7445" s="11">
        <f t="shared" si="183"/>
        <v>0.000275330396475759</v>
      </c>
      <c r="L7445" s="9"/>
      <c r="M7445" s="11"/>
      <c r="N7445" s="9" t="s">
        <v>799</v>
      </c>
    </row>
    <row r="7446" ht="25" customHeight="1" spans="1:14">
      <c r="A7446" s="9" t="s">
        <v>199</v>
      </c>
      <c r="B7446" s="9" t="s">
        <v>198</v>
      </c>
      <c r="C7446" s="10">
        <v>46080</v>
      </c>
      <c r="D7446" s="15">
        <v>1.0917</v>
      </c>
      <c r="E7446" s="15">
        <v>1.0917</v>
      </c>
      <c r="F7446" s="15">
        <v>1.0917</v>
      </c>
      <c r="G7446" s="11">
        <v>0.0022</v>
      </c>
      <c r="H7446" s="9">
        <f>MAX($F$7400:F7446)</f>
        <v>1.0917</v>
      </c>
      <c r="I7446" s="11">
        <f t="shared" si="184"/>
        <v>0</v>
      </c>
      <c r="J7446" s="9">
        <f>MAX($F$7421:F7446)</f>
        <v>1.0917</v>
      </c>
      <c r="K7446" s="11">
        <f t="shared" si="183"/>
        <v>0</v>
      </c>
      <c r="L7446" s="9"/>
      <c r="M7446" s="11"/>
      <c r="N7446" s="9" t="s">
        <v>799</v>
      </c>
    </row>
    <row r="7447" ht="25" customHeight="1" spans="1:14">
      <c r="A7447" s="9" t="s">
        <v>199</v>
      </c>
      <c r="B7447" s="9" t="s">
        <v>198</v>
      </c>
      <c r="C7447" s="10">
        <v>46087</v>
      </c>
      <c r="D7447" s="15">
        <v>1.1059</v>
      </c>
      <c r="E7447" s="15">
        <v>1.1059</v>
      </c>
      <c r="F7447" s="15">
        <v>1.1059</v>
      </c>
      <c r="G7447" s="11">
        <v>0.013</v>
      </c>
      <c r="H7447" s="9">
        <f>MAX($F$7400:F7447)</f>
        <v>1.1059</v>
      </c>
      <c r="I7447" s="11">
        <f t="shared" si="184"/>
        <v>0</v>
      </c>
      <c r="J7447" s="9">
        <f>MAX($F$7421:F7447)</f>
        <v>1.1059</v>
      </c>
      <c r="K7447" s="11">
        <f t="shared" si="183"/>
        <v>0</v>
      </c>
      <c r="L7447" s="9"/>
      <c r="M7447" s="11"/>
      <c r="N7447" s="9" t="s">
        <v>799</v>
      </c>
    </row>
    <row r="7448" ht="25" customHeight="1" spans="1:14">
      <c r="A7448" s="9" t="s">
        <v>199</v>
      </c>
      <c r="B7448" s="9" t="s">
        <v>198</v>
      </c>
      <c r="C7448" s="10">
        <v>46094</v>
      </c>
      <c r="D7448" s="15">
        <v>1.1058</v>
      </c>
      <c r="E7448" s="15">
        <v>1.1058</v>
      </c>
      <c r="F7448" s="15">
        <v>1.1058</v>
      </c>
      <c r="G7448" s="11">
        <v>-0.0001</v>
      </c>
      <c r="H7448" s="9">
        <f>MAX($F$7400:F7448)</f>
        <v>1.1059</v>
      </c>
      <c r="I7448" s="11">
        <f t="shared" si="184"/>
        <v>9.04240889775254e-5</v>
      </c>
      <c r="J7448" s="9">
        <f>MAX($F$7421:F7448)</f>
        <v>1.1059</v>
      </c>
      <c r="K7448" s="11">
        <f t="shared" si="183"/>
        <v>9.04240889775254e-5</v>
      </c>
      <c r="L7448" s="9"/>
      <c r="M7448" s="11"/>
      <c r="N7448" s="9" t="s">
        <v>799</v>
      </c>
    </row>
    <row r="7449" ht="25" customHeight="1" spans="1:14">
      <c r="A7449" s="9" t="s">
        <v>199</v>
      </c>
      <c r="B7449" s="9" t="s">
        <v>198</v>
      </c>
      <c r="C7449" s="10">
        <v>46101</v>
      </c>
      <c r="D7449" s="15">
        <v>1.1047</v>
      </c>
      <c r="E7449" s="15">
        <v>1.1047</v>
      </c>
      <c r="F7449" s="15">
        <v>1.1047</v>
      </c>
      <c r="G7449" s="11">
        <v>-0.001</v>
      </c>
      <c r="H7449" s="9">
        <f>MAX($F$7400:F7449)</f>
        <v>1.1059</v>
      </c>
      <c r="I7449" s="11">
        <f t="shared" si="184"/>
        <v>0.00108508906772775</v>
      </c>
      <c r="J7449" s="9">
        <f>MAX($F$7421:F7449)</f>
        <v>1.1059</v>
      </c>
      <c r="K7449" s="11">
        <f t="shared" si="183"/>
        <v>0.00108508906772775</v>
      </c>
      <c r="L7449" s="9"/>
      <c r="M7449" s="11"/>
      <c r="N7449" s="9" t="s">
        <v>799</v>
      </c>
    </row>
    <row r="7450" ht="25" customHeight="1" spans="1:14">
      <c r="A7450" s="9" t="s">
        <v>199</v>
      </c>
      <c r="B7450" s="9" t="s">
        <v>198</v>
      </c>
      <c r="C7450" s="10">
        <v>46108</v>
      </c>
      <c r="D7450" s="15">
        <v>1.1046</v>
      </c>
      <c r="E7450" s="15">
        <v>1.1046</v>
      </c>
      <c r="F7450" s="15">
        <v>1.1046</v>
      </c>
      <c r="G7450" s="11">
        <v>-0.0001</v>
      </c>
      <c r="H7450" s="9">
        <f>MAX($F$7400:F7450)</f>
        <v>1.1059</v>
      </c>
      <c r="I7450" s="11">
        <f t="shared" si="184"/>
        <v>0.00117551315670505</v>
      </c>
      <c r="J7450" s="9">
        <f>MAX($F$7421:F7450)</f>
        <v>1.1059</v>
      </c>
      <c r="K7450" s="11">
        <f t="shared" si="183"/>
        <v>0.00117551315670505</v>
      </c>
      <c r="L7450" s="9"/>
      <c r="M7450" s="11"/>
      <c r="N7450" s="9" t="s">
        <v>799</v>
      </c>
    </row>
    <row r="7451" ht="25" customHeight="1" spans="1:14">
      <c r="A7451" s="9" t="s">
        <v>199</v>
      </c>
      <c r="B7451" s="9" t="s">
        <v>198</v>
      </c>
      <c r="C7451" s="10">
        <v>46115</v>
      </c>
      <c r="D7451" s="15">
        <v>1.1241</v>
      </c>
      <c r="E7451" s="15">
        <v>1.1241</v>
      </c>
      <c r="F7451" s="15">
        <v>1.1241</v>
      </c>
      <c r="G7451" s="11">
        <v>0.0177</v>
      </c>
      <c r="H7451" s="9">
        <f>MAX($F$7400:F7451)</f>
        <v>1.1241</v>
      </c>
      <c r="I7451" s="11">
        <f t="shared" si="184"/>
        <v>0</v>
      </c>
      <c r="J7451" s="9">
        <f>MAX($F$7421:F7451)</f>
        <v>1.1241</v>
      </c>
      <c r="K7451" s="11">
        <f t="shared" si="183"/>
        <v>0</v>
      </c>
      <c r="L7451" s="9"/>
      <c r="M7451" s="11"/>
      <c r="N7451" s="9" t="s">
        <v>799</v>
      </c>
    </row>
    <row r="7452" ht="25" customHeight="1" spans="1:14">
      <c r="A7452" s="9" t="s">
        <v>199</v>
      </c>
      <c r="B7452" s="9" t="s">
        <v>198</v>
      </c>
      <c r="C7452" s="10">
        <v>46122</v>
      </c>
      <c r="D7452" s="15">
        <v>1.124</v>
      </c>
      <c r="E7452" s="15">
        <v>1.124</v>
      </c>
      <c r="F7452" s="15">
        <v>1.124</v>
      </c>
      <c r="G7452" s="11">
        <v>-0.0001</v>
      </c>
      <c r="H7452" s="9">
        <f>MAX($F$7400:F7452)</f>
        <v>1.1241</v>
      </c>
      <c r="I7452" s="11">
        <f t="shared" si="184"/>
        <v>8.89600569343729e-5</v>
      </c>
      <c r="J7452" s="9">
        <f>MAX($F$7421:F7452)</f>
        <v>1.1241</v>
      </c>
      <c r="K7452" s="11">
        <f t="shared" si="183"/>
        <v>8.89600569343729e-5</v>
      </c>
      <c r="L7452" s="9"/>
      <c r="M7452" s="11"/>
      <c r="N7452" s="9" t="s">
        <v>799</v>
      </c>
    </row>
    <row r="7453" ht="25" customHeight="1" spans="1:14">
      <c r="A7453" s="9" t="s">
        <v>199</v>
      </c>
      <c r="B7453" s="9" t="s">
        <v>198</v>
      </c>
      <c r="C7453" s="10">
        <v>46129</v>
      </c>
      <c r="D7453" s="15">
        <v>1.1239</v>
      </c>
      <c r="E7453" s="15">
        <v>1.1239</v>
      </c>
      <c r="F7453" s="15">
        <v>1.1239</v>
      </c>
      <c r="G7453" s="11">
        <v>-0.0001</v>
      </c>
      <c r="H7453" s="9">
        <f>MAX($F$7400:F7453)</f>
        <v>1.1241</v>
      </c>
      <c r="I7453" s="11">
        <f t="shared" si="184"/>
        <v>0.000177920113869079</v>
      </c>
      <c r="J7453" s="9">
        <f>MAX($F$7421:F7453)</f>
        <v>1.1241</v>
      </c>
      <c r="K7453" s="11">
        <f t="shared" si="183"/>
        <v>0.000177920113869079</v>
      </c>
      <c r="L7453" s="9"/>
      <c r="M7453" s="11"/>
      <c r="N7453" s="9" t="s">
        <v>799</v>
      </c>
    </row>
    <row r="7454" ht="25" customHeight="1" spans="1:14">
      <c r="A7454" s="9" t="s">
        <v>199</v>
      </c>
      <c r="B7454" s="9" t="s">
        <v>198</v>
      </c>
      <c r="C7454" s="10">
        <v>46136</v>
      </c>
      <c r="D7454" s="15">
        <v>1.1239</v>
      </c>
      <c r="E7454" s="15">
        <v>1.1239</v>
      </c>
      <c r="F7454" s="15">
        <v>1.1239</v>
      </c>
      <c r="G7454" s="11">
        <v>0</v>
      </c>
      <c r="H7454" s="9">
        <f>MAX($F$7400:F7454)</f>
        <v>1.1241</v>
      </c>
      <c r="I7454" s="11">
        <f t="shared" si="184"/>
        <v>0.000177920113869079</v>
      </c>
      <c r="J7454" s="9">
        <f>MAX($F$7421:F7454)</f>
        <v>1.1241</v>
      </c>
      <c r="K7454" s="11">
        <f t="shared" si="183"/>
        <v>0.000177920113869079</v>
      </c>
      <c r="L7454" s="9"/>
      <c r="M7454" s="11"/>
      <c r="N7454" s="9" t="s">
        <v>799</v>
      </c>
    </row>
    <row r="7455" ht="25" customHeight="1" spans="1:14">
      <c r="A7455" s="9" t="s">
        <v>199</v>
      </c>
      <c r="B7455" s="9" t="s">
        <v>198</v>
      </c>
      <c r="C7455" s="10">
        <v>46142</v>
      </c>
      <c r="D7455" s="15">
        <v>1.1225</v>
      </c>
      <c r="E7455" s="15">
        <v>1.1225</v>
      </c>
      <c r="F7455" s="15">
        <v>1.1225</v>
      </c>
      <c r="G7455" s="11">
        <v>-0.0012</v>
      </c>
      <c r="H7455" s="9">
        <f>MAX($F$7400:F7455)</f>
        <v>1.1241</v>
      </c>
      <c r="I7455" s="11">
        <f t="shared" si="184"/>
        <v>0.00142336091095108</v>
      </c>
      <c r="J7455" s="9">
        <f>MAX($F$7421:F7455)</f>
        <v>1.1241</v>
      </c>
      <c r="K7455" s="11">
        <f t="shared" si="183"/>
        <v>0.00142336091095108</v>
      </c>
      <c r="L7455" s="9"/>
      <c r="M7455" s="11"/>
      <c r="N7455" s="9" t="s">
        <v>799</v>
      </c>
    </row>
    <row r="7456" ht="25" customHeight="1" spans="1:14">
      <c r="A7456" s="9" t="s">
        <v>199</v>
      </c>
      <c r="B7456" s="9" t="s">
        <v>198</v>
      </c>
      <c r="C7456" s="10">
        <v>46150</v>
      </c>
      <c r="D7456" s="15">
        <v>1.125</v>
      </c>
      <c r="E7456" s="15">
        <v>1.125</v>
      </c>
      <c r="F7456" s="15">
        <v>1.125</v>
      </c>
      <c r="G7456" s="11">
        <v>0.0022</v>
      </c>
      <c r="H7456" s="9">
        <f>MAX($F$7400:F7456)</f>
        <v>1.125</v>
      </c>
      <c r="I7456" s="11">
        <f t="shared" si="184"/>
        <v>0</v>
      </c>
      <c r="J7456" s="9">
        <f>MAX($F$7421:F7456)</f>
        <v>1.125</v>
      </c>
      <c r="K7456" s="11">
        <f t="shared" si="183"/>
        <v>0</v>
      </c>
      <c r="L7456" s="9"/>
      <c r="M7456" s="11"/>
      <c r="N7456" s="9" t="s">
        <v>799</v>
      </c>
    </row>
    <row r="7457" ht="25" customHeight="1" spans="1:14">
      <c r="A7457" s="9" t="s">
        <v>199</v>
      </c>
      <c r="B7457" s="9" t="s">
        <v>198</v>
      </c>
      <c r="C7457" s="10">
        <v>46157</v>
      </c>
      <c r="D7457" s="15">
        <v>1.1241</v>
      </c>
      <c r="E7457" s="15">
        <v>1.1241</v>
      </c>
      <c r="F7457" s="15">
        <v>1.1241</v>
      </c>
      <c r="G7457" s="11">
        <v>-0.0008</v>
      </c>
      <c r="H7457" s="9">
        <f>MAX($F$7400:F7457)</f>
        <v>1.125</v>
      </c>
      <c r="I7457" s="11">
        <f t="shared" si="184"/>
        <v>0.000799999999999912</v>
      </c>
      <c r="J7457" s="9">
        <f>MAX($F$7421:F7457)</f>
        <v>1.125</v>
      </c>
      <c r="K7457" s="11">
        <f t="shared" si="183"/>
        <v>0.000799999999999912</v>
      </c>
      <c r="L7457" s="9"/>
      <c r="M7457" s="11"/>
      <c r="N7457" s="9" t="s">
        <v>799</v>
      </c>
    </row>
    <row r="7458" ht="25" customHeight="1" spans="1:14">
      <c r="A7458" s="9" t="s">
        <v>199</v>
      </c>
      <c r="B7458" s="9" t="s">
        <v>198</v>
      </c>
      <c r="C7458" s="10">
        <v>46164</v>
      </c>
      <c r="D7458" s="15">
        <v>1.1243</v>
      </c>
      <c r="E7458" s="15">
        <v>1.1243</v>
      </c>
      <c r="F7458" s="15">
        <v>1.1243</v>
      </c>
      <c r="G7458" s="11">
        <v>0.0002</v>
      </c>
      <c r="H7458" s="9">
        <f>MAX($F$7400:F7458)</f>
        <v>1.125</v>
      </c>
      <c r="I7458" s="11">
        <f t="shared" si="184"/>
        <v>0.000622222222222191</v>
      </c>
      <c r="J7458" s="9">
        <f>MAX($F$7421:F7458)</f>
        <v>1.125</v>
      </c>
      <c r="K7458" s="11">
        <f t="shared" si="183"/>
        <v>0.000622222222222191</v>
      </c>
      <c r="L7458" s="9"/>
      <c r="M7458" s="11"/>
      <c r="N7458" s="9" t="s">
        <v>799</v>
      </c>
    </row>
    <row r="7459" ht="25" customHeight="1" spans="1:14">
      <c r="A7459" s="9" t="s">
        <v>199</v>
      </c>
      <c r="B7459" s="9" t="s">
        <v>198</v>
      </c>
      <c r="C7459" s="10">
        <v>46171</v>
      </c>
      <c r="D7459" s="15">
        <v>1.1245</v>
      </c>
      <c r="E7459" s="15">
        <v>1.1245</v>
      </c>
      <c r="F7459" s="15">
        <v>1.1245</v>
      </c>
      <c r="G7459" s="11">
        <v>0.0002</v>
      </c>
      <c r="H7459" s="9">
        <f>MAX($F$7400:F7459)</f>
        <v>1.125</v>
      </c>
      <c r="I7459" s="11">
        <f t="shared" si="184"/>
        <v>0.000444444444444358</v>
      </c>
      <c r="J7459" s="9">
        <f>MAX($F$7421:F7459)</f>
        <v>1.125</v>
      </c>
      <c r="K7459" s="11">
        <f t="shared" si="183"/>
        <v>0.000444444444444358</v>
      </c>
      <c r="L7459" s="9"/>
      <c r="M7459" s="11"/>
      <c r="N7459" s="9" t="s">
        <v>799</v>
      </c>
    </row>
    <row r="7460" ht="25" customHeight="1" spans="1:14">
      <c r="A7460" s="9" t="s">
        <v>199</v>
      </c>
      <c r="B7460" s="9" t="s">
        <v>198</v>
      </c>
      <c r="C7460" s="10">
        <v>46178</v>
      </c>
      <c r="D7460" s="15">
        <v>1.1242</v>
      </c>
      <c r="E7460" s="15">
        <v>1.1242</v>
      </c>
      <c r="F7460" s="15">
        <v>1.1242</v>
      </c>
      <c r="G7460" s="11">
        <v>-0.0003</v>
      </c>
      <c r="H7460" s="9">
        <f>MAX($F$7400:F7460)</f>
        <v>1.125</v>
      </c>
      <c r="I7460" s="11">
        <f t="shared" si="184"/>
        <v>0.000711111111110996</v>
      </c>
      <c r="J7460" s="9">
        <f>MAX($F$7421:F7460)</f>
        <v>1.125</v>
      </c>
      <c r="K7460" s="11">
        <f t="shared" si="183"/>
        <v>0.000711111111110996</v>
      </c>
      <c r="L7460" s="9"/>
      <c r="M7460" s="11"/>
      <c r="N7460" s="9" t="s">
        <v>799</v>
      </c>
    </row>
    <row r="7461" ht="25" customHeight="1" spans="1:14">
      <c r="A7461" s="9" t="s">
        <v>199</v>
      </c>
      <c r="B7461" s="9" t="s">
        <v>198</v>
      </c>
      <c r="C7461" s="10">
        <v>46185</v>
      </c>
      <c r="D7461" s="15">
        <v>1.125</v>
      </c>
      <c r="E7461" s="15">
        <v>1.125</v>
      </c>
      <c r="F7461" s="15">
        <v>1.125</v>
      </c>
      <c r="G7461" s="11">
        <v>0.0007</v>
      </c>
      <c r="H7461" s="9">
        <f>MAX($F$7400:F7461)</f>
        <v>1.125</v>
      </c>
      <c r="I7461" s="11">
        <f t="shared" si="184"/>
        <v>0</v>
      </c>
      <c r="J7461" s="9">
        <f>MAX($F$7421:F7461)</f>
        <v>1.125</v>
      </c>
      <c r="K7461" s="11">
        <f t="shared" si="183"/>
        <v>0</v>
      </c>
      <c r="L7461" s="9"/>
      <c r="M7461" s="11"/>
      <c r="N7461" s="9" t="s">
        <v>799</v>
      </c>
    </row>
    <row r="7462" ht="25" customHeight="1" spans="1:14">
      <c r="A7462" s="9" t="s">
        <v>199</v>
      </c>
      <c r="B7462" s="9" t="s">
        <v>198</v>
      </c>
      <c r="C7462" s="10">
        <v>46189</v>
      </c>
      <c r="D7462" s="15">
        <v>1.126</v>
      </c>
      <c r="E7462" s="15">
        <v>1.126</v>
      </c>
      <c r="F7462" s="15">
        <v>1.126</v>
      </c>
      <c r="G7462" s="11">
        <v>0.0009</v>
      </c>
      <c r="H7462" s="9">
        <f>MAX($F$7400:F7462)</f>
        <v>1.126</v>
      </c>
      <c r="I7462" s="11">
        <f t="shared" si="184"/>
        <v>0</v>
      </c>
      <c r="J7462" s="9">
        <f>MAX($F$7421:F7462)</f>
        <v>1.126</v>
      </c>
      <c r="K7462" s="11">
        <f t="shared" si="183"/>
        <v>0</v>
      </c>
      <c r="L7462" s="9"/>
      <c r="M7462" s="11"/>
      <c r="N7462" s="9" t="s">
        <v>799</v>
      </c>
    </row>
    <row r="7463" ht="25" customHeight="1" spans="1:14">
      <c r="A7463" s="9" t="s">
        <v>199</v>
      </c>
      <c r="B7463" s="9" t="s">
        <v>198</v>
      </c>
      <c r="C7463" s="10">
        <v>46191</v>
      </c>
      <c r="D7463" s="15">
        <v>1.1262</v>
      </c>
      <c r="E7463" s="15">
        <v>1.1262</v>
      </c>
      <c r="F7463" s="15">
        <v>1.1262</v>
      </c>
      <c r="G7463" s="11">
        <v>0.0002</v>
      </c>
      <c r="H7463" s="9">
        <f>MAX($F$7400:F7463)</f>
        <v>1.1262</v>
      </c>
      <c r="I7463" s="11">
        <f t="shared" si="184"/>
        <v>0</v>
      </c>
      <c r="J7463" s="9">
        <f>MAX($F$7421:F7463)</f>
        <v>1.1262</v>
      </c>
      <c r="K7463" s="11">
        <f t="shared" si="183"/>
        <v>0</v>
      </c>
      <c r="L7463" s="9"/>
      <c r="M7463" s="11"/>
      <c r="N7463" s="9" t="s">
        <v>799</v>
      </c>
    </row>
    <row r="7464" ht="25" customHeight="1" spans="1:14">
      <c r="A7464" s="9" t="s">
        <v>199</v>
      </c>
      <c r="B7464" s="9" t="s">
        <v>198</v>
      </c>
      <c r="C7464" s="10">
        <v>46199</v>
      </c>
      <c r="D7464" s="15">
        <v>1.1276</v>
      </c>
      <c r="E7464" s="15">
        <v>1.1276</v>
      </c>
      <c r="F7464" s="15">
        <v>1.1276</v>
      </c>
      <c r="G7464" s="11">
        <v>0.0012</v>
      </c>
      <c r="H7464" s="9">
        <f>MAX($F$7400:F7464)</f>
        <v>1.1276</v>
      </c>
      <c r="I7464" s="11">
        <f t="shared" si="184"/>
        <v>0</v>
      </c>
      <c r="J7464" s="9">
        <f>MAX($F$7421:F7464)</f>
        <v>1.1276</v>
      </c>
      <c r="K7464" s="11">
        <f t="shared" si="183"/>
        <v>0</v>
      </c>
      <c r="L7464" s="9"/>
      <c r="M7464" s="11"/>
      <c r="N7464" s="9" t="s">
        <v>799</v>
      </c>
    </row>
    <row r="7465" ht="25" customHeight="1" spans="1:14">
      <c r="A7465" s="9" t="s">
        <v>199</v>
      </c>
      <c r="B7465" s="9" t="s">
        <v>198</v>
      </c>
      <c r="C7465" s="10">
        <v>46206</v>
      </c>
      <c r="D7465" s="15">
        <v>1.1287</v>
      </c>
      <c r="E7465" s="15">
        <v>1.1287</v>
      </c>
      <c r="F7465" s="15">
        <v>1.1287</v>
      </c>
      <c r="G7465" s="11">
        <v>0.001</v>
      </c>
      <c r="H7465" s="9">
        <f>MAX($F$7400:F7465)</f>
        <v>1.1287</v>
      </c>
      <c r="I7465" s="11">
        <f t="shared" si="184"/>
        <v>0</v>
      </c>
      <c r="J7465" s="9">
        <f>MAX($F$7421:F7465)</f>
        <v>1.1287</v>
      </c>
      <c r="K7465" s="11">
        <f t="shared" si="183"/>
        <v>0</v>
      </c>
      <c r="L7465" s="9"/>
      <c r="M7465" s="11"/>
      <c r="N7465" s="9" t="s">
        <v>799</v>
      </c>
    </row>
    <row r="7466" ht="25" customHeight="1" spans="1:14">
      <c r="A7466" s="9" t="s">
        <v>199</v>
      </c>
      <c r="B7466" s="9" t="s">
        <v>198</v>
      </c>
      <c r="C7466" s="10">
        <v>46211</v>
      </c>
      <c r="D7466" s="15">
        <v>1.1282</v>
      </c>
      <c r="E7466" s="15">
        <v>1.1282</v>
      </c>
      <c r="F7466" s="15">
        <v>1.1282</v>
      </c>
      <c r="G7466" s="11">
        <v>-0.0004</v>
      </c>
      <c r="H7466" s="9">
        <f>MAX($F$7400:F7466)</f>
        <v>1.1287</v>
      </c>
      <c r="I7466" s="11">
        <f t="shared" si="184"/>
        <v>0.000442987507752179</v>
      </c>
      <c r="J7466" s="9">
        <f>MAX($F$7421:F7466)</f>
        <v>1.1287</v>
      </c>
      <c r="K7466" s="11">
        <f t="shared" si="183"/>
        <v>0.000442987507752179</v>
      </c>
      <c r="L7466" s="9"/>
      <c r="M7466" s="11"/>
      <c r="N7466" s="9" t="s">
        <v>799</v>
      </c>
    </row>
    <row r="7467" ht="25" customHeight="1" spans="1:14">
      <c r="A7467" s="9" t="s">
        <v>199</v>
      </c>
      <c r="B7467" s="9" t="s">
        <v>198</v>
      </c>
      <c r="C7467" s="10">
        <v>46213</v>
      </c>
      <c r="D7467" s="15">
        <v>1.1282</v>
      </c>
      <c r="E7467" s="15">
        <v>1.1282</v>
      </c>
      <c r="F7467" s="15">
        <v>1.1282</v>
      </c>
      <c r="G7467" s="11">
        <v>0</v>
      </c>
      <c r="H7467" s="9">
        <f>MAX($F$7400:F7467)</f>
        <v>1.1287</v>
      </c>
      <c r="I7467" s="11">
        <f t="shared" si="184"/>
        <v>0.000442987507752179</v>
      </c>
      <c r="J7467" s="9">
        <f>MAX($F$7421:F7467)</f>
        <v>1.1287</v>
      </c>
      <c r="K7467" s="11">
        <f t="shared" si="183"/>
        <v>0.000442987507752179</v>
      </c>
      <c r="L7467" s="9"/>
      <c r="M7467" s="11"/>
      <c r="N7467" s="9" t="s">
        <v>799</v>
      </c>
    </row>
    <row r="7468" ht="25" customHeight="1" spans="1:14">
      <c r="A7468" s="9" t="s">
        <v>199</v>
      </c>
      <c r="B7468" s="9" t="s">
        <v>198</v>
      </c>
      <c r="C7468" s="10">
        <v>46220</v>
      </c>
      <c r="D7468" s="15">
        <v>1.1315</v>
      </c>
      <c r="E7468" s="15">
        <v>1.1315</v>
      </c>
      <c r="F7468" s="15">
        <v>1.1315</v>
      </c>
      <c r="G7468" s="11">
        <v>0.0029</v>
      </c>
      <c r="H7468" s="9">
        <f>MAX($F$7400:F7468)</f>
        <v>1.1315</v>
      </c>
      <c r="I7468" s="11">
        <f t="shared" si="184"/>
        <v>0</v>
      </c>
      <c r="J7468" s="9">
        <f>MAX($F$7421:F7468)</f>
        <v>1.1315</v>
      </c>
      <c r="K7468" s="11">
        <f t="shared" si="183"/>
        <v>0</v>
      </c>
      <c r="L7468" s="9"/>
      <c r="M7468" s="11"/>
      <c r="N7468" s="9" t="s">
        <v>799</v>
      </c>
    </row>
    <row r="7469" ht="25" customHeight="1" spans="1:14">
      <c r="A7469" s="9" t="s">
        <v>199</v>
      </c>
      <c r="B7469" s="9" t="s">
        <v>198</v>
      </c>
      <c r="C7469" s="10">
        <v>46227</v>
      </c>
      <c r="D7469" s="15">
        <v>1.1364</v>
      </c>
      <c r="E7469" s="15">
        <v>1.1364</v>
      </c>
      <c r="F7469" s="15">
        <v>1.1364</v>
      </c>
      <c r="G7469" s="11">
        <v>0.0043</v>
      </c>
      <c r="H7469" s="9">
        <f>MAX($F$7400:F7469)</f>
        <v>1.1364</v>
      </c>
      <c r="I7469" s="11">
        <f t="shared" si="184"/>
        <v>0</v>
      </c>
      <c r="J7469" s="9">
        <f>MAX($F$7421:F7469)</f>
        <v>1.1364</v>
      </c>
      <c r="K7469" s="11">
        <f t="shared" si="183"/>
        <v>0</v>
      </c>
      <c r="L7469" s="9"/>
      <c r="M7469" s="11"/>
      <c r="N7469" s="9" t="s">
        <v>799</v>
      </c>
    </row>
    <row r="7470" ht="25" customHeight="1" spans="1:14">
      <c r="A7470" s="9" t="s">
        <v>199</v>
      </c>
      <c r="B7470" s="9" t="s">
        <v>198</v>
      </c>
      <c r="C7470" s="10">
        <v>46234</v>
      </c>
      <c r="D7470" s="15">
        <v>1.1397</v>
      </c>
      <c r="E7470" s="15">
        <v>1.1397</v>
      </c>
      <c r="F7470" s="15">
        <v>1.1397</v>
      </c>
      <c r="G7470" s="11">
        <v>0.0029</v>
      </c>
      <c r="H7470" s="9">
        <f>MAX($F$7400:F7470)</f>
        <v>1.1397</v>
      </c>
      <c r="I7470" s="11">
        <f t="shared" si="184"/>
        <v>0</v>
      </c>
      <c r="J7470" s="9">
        <f>MAX($F$7421:F7470)</f>
        <v>1.1397</v>
      </c>
      <c r="K7470" s="11">
        <f t="shared" si="183"/>
        <v>0</v>
      </c>
      <c r="L7470" s="9"/>
      <c r="M7470" s="11"/>
      <c r="N7470" s="9" t="s">
        <v>799</v>
      </c>
    </row>
    <row r="7471" ht="25" customHeight="1" spans="1:14">
      <c r="A7471" s="9" t="s">
        <v>199</v>
      </c>
      <c r="B7471" s="9" t="s">
        <v>198</v>
      </c>
      <c r="C7471" s="10">
        <v>46241</v>
      </c>
      <c r="D7471" s="15">
        <v>1.1404</v>
      </c>
      <c r="E7471" s="15">
        <v>1.1404</v>
      </c>
      <c r="F7471" s="15">
        <v>1.1404</v>
      </c>
      <c r="G7471" s="11">
        <v>0.0006</v>
      </c>
      <c r="H7471" s="9">
        <f>MAX($F$7400:F7471)</f>
        <v>1.1404</v>
      </c>
      <c r="I7471" s="11">
        <f t="shared" si="184"/>
        <v>0</v>
      </c>
      <c r="J7471" s="9">
        <f>MAX($F$7421:F7471)</f>
        <v>1.1404</v>
      </c>
      <c r="K7471" s="11">
        <f t="shared" si="183"/>
        <v>0</v>
      </c>
      <c r="L7471" s="9"/>
      <c r="M7471" s="11"/>
      <c r="N7471" s="9" t="s">
        <v>799</v>
      </c>
    </row>
    <row r="7472" ht="25" customHeight="1" spans="1:14">
      <c r="A7472" s="9" t="s">
        <v>199</v>
      </c>
      <c r="B7472" s="9" t="s">
        <v>198</v>
      </c>
      <c r="C7472" s="10">
        <v>46248</v>
      </c>
      <c r="D7472" s="15">
        <v>1.1396</v>
      </c>
      <c r="E7472" s="15">
        <v>1.1396</v>
      </c>
      <c r="F7472" s="15">
        <v>1.1396</v>
      </c>
      <c r="G7472" s="11">
        <v>-0.0007</v>
      </c>
      <c r="H7472" s="9">
        <f>MAX($F$7400:F7472)</f>
        <v>1.1404</v>
      </c>
      <c r="I7472" s="11">
        <f t="shared" si="184"/>
        <v>0.000701508242721971</v>
      </c>
      <c r="J7472" s="9">
        <f>MAX($F$7421:F7472)</f>
        <v>1.1404</v>
      </c>
      <c r="K7472" s="11">
        <f t="shared" si="183"/>
        <v>0.000701508242721971</v>
      </c>
      <c r="L7472" s="9"/>
      <c r="M7472" s="11"/>
      <c r="N7472" s="9" t="s">
        <v>799</v>
      </c>
    </row>
    <row r="7473" ht="25" customHeight="1" spans="1:14">
      <c r="A7473" s="9" t="s">
        <v>199</v>
      </c>
      <c r="B7473" s="9" t="s">
        <v>198</v>
      </c>
      <c r="C7473" s="10">
        <v>46251</v>
      </c>
      <c r="D7473" s="15">
        <v>1.1396</v>
      </c>
      <c r="E7473" s="15">
        <v>1.1396</v>
      </c>
      <c r="F7473" s="15">
        <v>1.1396</v>
      </c>
      <c r="G7473" s="11">
        <v>0</v>
      </c>
      <c r="H7473" s="9">
        <f>MAX($F$7400:F7473)</f>
        <v>1.1404</v>
      </c>
      <c r="I7473" s="11">
        <f t="shared" si="184"/>
        <v>0.000701508242721971</v>
      </c>
      <c r="J7473" s="9">
        <f>MAX($F$7421:F7473)</f>
        <v>1.1404</v>
      </c>
      <c r="K7473" s="11">
        <f t="shared" si="183"/>
        <v>0.000701508242721971</v>
      </c>
      <c r="L7473" s="9"/>
      <c r="M7473" s="11"/>
      <c r="N7473" s="9" t="s">
        <v>799</v>
      </c>
    </row>
    <row r="7474" ht="25" customHeight="1" spans="1:14">
      <c r="A7474" s="9" t="s">
        <v>199</v>
      </c>
      <c r="B7474" s="9" t="s">
        <v>198</v>
      </c>
      <c r="C7474" s="10">
        <v>46255</v>
      </c>
      <c r="D7474" s="15">
        <v>1.1369</v>
      </c>
      <c r="E7474" s="15">
        <v>1.1369</v>
      </c>
      <c r="F7474" s="15">
        <v>1.1369</v>
      </c>
      <c r="G7474" s="11">
        <v>-0.0024</v>
      </c>
      <c r="H7474" s="9">
        <f>MAX($F$7400:F7474)</f>
        <v>1.1404</v>
      </c>
      <c r="I7474" s="11">
        <f t="shared" si="184"/>
        <v>0.00306909856190818</v>
      </c>
      <c r="J7474" s="9">
        <f>MAX($F$7421:F7474)</f>
        <v>1.1404</v>
      </c>
      <c r="K7474" s="11">
        <f t="shared" si="183"/>
        <v>0.00306909856190818</v>
      </c>
      <c r="L7474" s="9"/>
      <c r="M7474" s="11"/>
      <c r="N7474" s="9" t="s">
        <v>799</v>
      </c>
    </row>
    <row r="7475" ht="25" customHeight="1" spans="1:14">
      <c r="A7475" s="9" t="s">
        <v>199</v>
      </c>
      <c r="B7475" s="9" t="s">
        <v>198</v>
      </c>
      <c r="C7475" s="10">
        <v>46262</v>
      </c>
      <c r="D7475" s="15">
        <v>1.1367</v>
      </c>
      <c r="E7475" s="15">
        <v>1.1367</v>
      </c>
      <c r="F7475" s="15">
        <v>1.1367</v>
      </c>
      <c r="G7475" s="11">
        <v>-0.0002</v>
      </c>
      <c r="H7475" s="9">
        <f>MAX($F$7400:F7475)</f>
        <v>1.1404</v>
      </c>
      <c r="I7475" s="11">
        <f t="shared" si="184"/>
        <v>0.00324447562258856</v>
      </c>
      <c r="J7475" s="9">
        <f>MAX($F$7421:F7475)</f>
        <v>1.1404</v>
      </c>
      <c r="K7475" s="11">
        <f t="shared" si="183"/>
        <v>0.00324447562258856</v>
      </c>
      <c r="L7475" s="9"/>
      <c r="M7475" s="11"/>
      <c r="N7475" s="9" t="s">
        <v>799</v>
      </c>
    </row>
    <row r="7476" ht="25" customHeight="1" spans="1:14">
      <c r="A7476" s="9" t="s">
        <v>199</v>
      </c>
      <c r="B7476" s="9" t="s">
        <v>198</v>
      </c>
      <c r="C7476" s="10">
        <v>46269</v>
      </c>
      <c r="D7476" s="15">
        <v>1.1362</v>
      </c>
      <c r="E7476" s="15">
        <v>1.1362</v>
      </c>
      <c r="F7476" s="15">
        <v>1.1362</v>
      </c>
      <c r="G7476" s="11">
        <v>-0.0004</v>
      </c>
      <c r="H7476" s="9">
        <f>MAX($F$7400:F7476)</f>
        <v>1.1404</v>
      </c>
      <c r="I7476" s="11">
        <f t="shared" si="184"/>
        <v>0.00368291827428968</v>
      </c>
      <c r="J7476" s="9">
        <f>MAX($F$7421:F7476)</f>
        <v>1.1404</v>
      </c>
      <c r="K7476" s="11">
        <f t="shared" si="183"/>
        <v>0.00368291827428968</v>
      </c>
      <c r="L7476" s="9"/>
      <c r="M7476" s="11"/>
      <c r="N7476" s="9" t="s">
        <v>799</v>
      </c>
    </row>
    <row r="7477" ht="25" customHeight="1" spans="1:14">
      <c r="A7477" s="9" t="s">
        <v>203</v>
      </c>
      <c r="B7477" s="9" t="s">
        <v>202</v>
      </c>
      <c r="C7477" s="10">
        <v>45819</v>
      </c>
      <c r="D7477" s="15">
        <v>1</v>
      </c>
      <c r="E7477" s="15">
        <v>1</v>
      </c>
      <c r="F7477" s="15">
        <v>1</v>
      </c>
      <c r="G7477" s="11"/>
      <c r="H7477" s="9">
        <f>MAX($F$7477:F7477)</f>
        <v>1</v>
      </c>
      <c r="I7477" s="11">
        <f t="shared" si="184"/>
        <v>0</v>
      </c>
      <c r="J7477" s="9"/>
      <c r="K7477" s="11"/>
      <c r="L7477" s="9"/>
      <c r="M7477" s="11"/>
      <c r="N7477" s="9" t="s">
        <v>800</v>
      </c>
    </row>
    <row r="7478" ht="25" customHeight="1" spans="1:14">
      <c r="A7478" s="9" t="s">
        <v>203</v>
      </c>
      <c r="B7478" s="9" t="s">
        <v>202</v>
      </c>
      <c r="C7478" s="10">
        <v>45821</v>
      </c>
      <c r="D7478" s="15">
        <v>1</v>
      </c>
      <c r="E7478" s="15">
        <v>1</v>
      </c>
      <c r="F7478" s="15">
        <v>1</v>
      </c>
      <c r="G7478" s="11">
        <v>0</v>
      </c>
      <c r="H7478" s="9">
        <f>MAX($F$7477:F7478)</f>
        <v>1</v>
      </c>
      <c r="I7478" s="11">
        <f t="shared" si="184"/>
        <v>0</v>
      </c>
      <c r="J7478" s="9"/>
      <c r="K7478" s="11"/>
      <c r="L7478" s="9"/>
      <c r="M7478" s="11"/>
      <c r="N7478" s="9" t="s">
        <v>800</v>
      </c>
    </row>
    <row r="7479" ht="25" customHeight="1" spans="1:14">
      <c r="A7479" s="9" t="s">
        <v>203</v>
      </c>
      <c r="B7479" s="9" t="s">
        <v>202</v>
      </c>
      <c r="C7479" s="10">
        <v>45828</v>
      </c>
      <c r="D7479" s="15">
        <v>1</v>
      </c>
      <c r="E7479" s="15">
        <v>1</v>
      </c>
      <c r="F7479" s="15">
        <v>1</v>
      </c>
      <c r="G7479" s="11">
        <v>0</v>
      </c>
      <c r="H7479" s="9">
        <f>MAX($F$7477:F7479)</f>
        <v>1</v>
      </c>
      <c r="I7479" s="11">
        <f t="shared" si="184"/>
        <v>0</v>
      </c>
      <c r="J7479" s="9"/>
      <c r="K7479" s="11"/>
      <c r="L7479" s="9"/>
      <c r="M7479" s="11"/>
      <c r="N7479" s="9" t="s">
        <v>800</v>
      </c>
    </row>
    <row r="7480" ht="25" customHeight="1" spans="1:14">
      <c r="A7480" s="9" t="s">
        <v>203</v>
      </c>
      <c r="B7480" s="9" t="s">
        <v>202</v>
      </c>
      <c r="C7480" s="10">
        <v>45835</v>
      </c>
      <c r="D7480" s="15">
        <v>1.0124</v>
      </c>
      <c r="E7480" s="15">
        <v>1.0124</v>
      </c>
      <c r="F7480" s="15">
        <v>1.0124</v>
      </c>
      <c r="G7480" s="11">
        <v>0.0124</v>
      </c>
      <c r="H7480" s="9">
        <f>MAX($F$7477:F7480)</f>
        <v>1.0124</v>
      </c>
      <c r="I7480" s="11">
        <f t="shared" si="184"/>
        <v>0</v>
      </c>
      <c r="J7480" s="9"/>
      <c r="K7480" s="11"/>
      <c r="L7480" s="9"/>
      <c r="M7480" s="11"/>
      <c r="N7480" s="9" t="s">
        <v>800</v>
      </c>
    </row>
    <row r="7481" ht="25" customHeight="1" spans="1:14">
      <c r="A7481" s="9" t="s">
        <v>203</v>
      </c>
      <c r="B7481" s="9" t="s">
        <v>202</v>
      </c>
      <c r="C7481" s="10">
        <v>45838</v>
      </c>
      <c r="D7481" s="15">
        <v>1.0123</v>
      </c>
      <c r="E7481" s="15">
        <v>1.0123</v>
      </c>
      <c r="F7481" s="15">
        <v>1.0123</v>
      </c>
      <c r="G7481" s="11">
        <v>-0.0001</v>
      </c>
      <c r="H7481" s="9">
        <f>MAX($F$7477:F7481)</f>
        <v>1.0124</v>
      </c>
      <c r="I7481" s="11">
        <f t="shared" si="184"/>
        <v>9.87751876728726e-5</v>
      </c>
      <c r="J7481" s="9"/>
      <c r="K7481" s="11"/>
      <c r="L7481" s="9"/>
      <c r="M7481" s="11"/>
      <c r="N7481" s="9" t="s">
        <v>800</v>
      </c>
    </row>
    <row r="7482" ht="25" customHeight="1" spans="1:14">
      <c r="A7482" s="9" t="s">
        <v>203</v>
      </c>
      <c r="B7482" s="9" t="s">
        <v>202</v>
      </c>
      <c r="C7482" s="10">
        <v>45842</v>
      </c>
      <c r="D7482" s="15">
        <v>1.0123</v>
      </c>
      <c r="E7482" s="15">
        <v>1.0123</v>
      </c>
      <c r="F7482" s="15">
        <v>1.0123</v>
      </c>
      <c r="G7482" s="11">
        <v>0</v>
      </c>
      <c r="H7482" s="9">
        <f>MAX($F$7477:F7482)</f>
        <v>1.0124</v>
      </c>
      <c r="I7482" s="11">
        <f t="shared" si="184"/>
        <v>9.87751876728726e-5</v>
      </c>
      <c r="J7482" s="9"/>
      <c r="K7482" s="11"/>
      <c r="L7482" s="9"/>
      <c r="M7482" s="11"/>
      <c r="N7482" s="9" t="s">
        <v>800</v>
      </c>
    </row>
    <row r="7483" ht="25" customHeight="1" spans="1:14">
      <c r="A7483" s="9" t="s">
        <v>203</v>
      </c>
      <c r="B7483" s="9" t="s">
        <v>202</v>
      </c>
      <c r="C7483" s="10">
        <v>45849</v>
      </c>
      <c r="D7483" s="15">
        <v>1.0126</v>
      </c>
      <c r="E7483" s="15">
        <v>1.0126</v>
      </c>
      <c r="F7483" s="15">
        <v>1.0126</v>
      </c>
      <c r="G7483" s="11">
        <v>0.0003</v>
      </c>
      <c r="H7483" s="9">
        <f>MAX($F$7477:F7483)</f>
        <v>1.0126</v>
      </c>
      <c r="I7483" s="11">
        <f t="shared" si="184"/>
        <v>0</v>
      </c>
      <c r="J7483" s="9"/>
      <c r="K7483" s="11"/>
      <c r="L7483" s="9"/>
      <c r="M7483" s="11"/>
      <c r="N7483" s="9" t="s">
        <v>800</v>
      </c>
    </row>
    <row r="7484" ht="25" customHeight="1" spans="1:14">
      <c r="A7484" s="9" t="s">
        <v>203</v>
      </c>
      <c r="B7484" s="9" t="s">
        <v>202</v>
      </c>
      <c r="C7484" s="10">
        <v>45856</v>
      </c>
      <c r="D7484" s="15">
        <v>1.0129</v>
      </c>
      <c r="E7484" s="15">
        <v>1.0129</v>
      </c>
      <c r="F7484" s="15">
        <v>1.0129</v>
      </c>
      <c r="G7484" s="11">
        <v>0.0003</v>
      </c>
      <c r="H7484" s="9">
        <f>MAX($F$7477:F7484)</f>
        <v>1.0129</v>
      </c>
      <c r="I7484" s="11">
        <f t="shared" si="184"/>
        <v>0</v>
      </c>
      <c r="J7484" s="9"/>
      <c r="K7484" s="11"/>
      <c r="L7484" s="9"/>
      <c r="M7484" s="11"/>
      <c r="N7484" s="9" t="s">
        <v>800</v>
      </c>
    </row>
    <row r="7485" ht="25" customHeight="1" spans="1:14">
      <c r="A7485" s="9" t="s">
        <v>203</v>
      </c>
      <c r="B7485" s="9" t="s">
        <v>202</v>
      </c>
      <c r="C7485" s="10">
        <v>45863</v>
      </c>
      <c r="D7485" s="15">
        <v>1.0172</v>
      </c>
      <c r="E7485" s="15">
        <v>1.0172</v>
      </c>
      <c r="F7485" s="15">
        <v>1.0172</v>
      </c>
      <c r="G7485" s="11">
        <v>0.0042</v>
      </c>
      <c r="H7485" s="9">
        <f>MAX($F$7477:F7485)</f>
        <v>1.0172</v>
      </c>
      <c r="I7485" s="11">
        <f t="shared" si="184"/>
        <v>0</v>
      </c>
      <c r="J7485" s="9"/>
      <c r="K7485" s="11"/>
      <c r="L7485" s="9"/>
      <c r="M7485" s="11"/>
      <c r="N7485" s="9" t="s">
        <v>800</v>
      </c>
    </row>
    <row r="7486" ht="25" customHeight="1" spans="1:14">
      <c r="A7486" s="9" t="s">
        <v>203</v>
      </c>
      <c r="B7486" s="9" t="s">
        <v>202</v>
      </c>
      <c r="C7486" s="10">
        <v>45869</v>
      </c>
      <c r="D7486" s="15">
        <v>1.0156</v>
      </c>
      <c r="E7486" s="15">
        <v>1.0156</v>
      </c>
      <c r="F7486" s="15">
        <v>1.0156</v>
      </c>
      <c r="G7486" s="11">
        <v>-0.0016</v>
      </c>
      <c r="H7486" s="9">
        <f>MAX($F$7477:F7486)</f>
        <v>1.0172</v>
      </c>
      <c r="I7486" s="11">
        <f t="shared" si="184"/>
        <v>0.00157294534014951</v>
      </c>
      <c r="J7486" s="9"/>
      <c r="K7486" s="11"/>
      <c r="L7486" s="9"/>
      <c r="M7486" s="11"/>
      <c r="N7486" s="9" t="s">
        <v>800</v>
      </c>
    </row>
    <row r="7487" ht="25" customHeight="1" spans="1:14">
      <c r="A7487" s="9" t="s">
        <v>203</v>
      </c>
      <c r="B7487" s="9" t="s">
        <v>202</v>
      </c>
      <c r="C7487" s="10">
        <v>45870</v>
      </c>
      <c r="D7487" s="15">
        <v>1.0149</v>
      </c>
      <c r="E7487" s="15">
        <v>1.0149</v>
      </c>
      <c r="F7487" s="15">
        <v>1.0149</v>
      </c>
      <c r="G7487" s="11">
        <v>-0.0007</v>
      </c>
      <c r="H7487" s="9">
        <f>MAX($F$7477:F7487)</f>
        <v>1.0172</v>
      </c>
      <c r="I7487" s="11">
        <f t="shared" si="184"/>
        <v>0.00226110892646503</v>
      </c>
      <c r="J7487" s="9"/>
      <c r="K7487" s="11"/>
      <c r="L7487" s="9"/>
      <c r="M7487" s="11"/>
      <c r="N7487" s="9" t="s">
        <v>800</v>
      </c>
    </row>
    <row r="7488" ht="25" customHeight="1" spans="1:14">
      <c r="A7488" s="9" t="s">
        <v>203</v>
      </c>
      <c r="B7488" s="9" t="s">
        <v>202</v>
      </c>
      <c r="C7488" s="10">
        <v>45877</v>
      </c>
      <c r="D7488" s="15">
        <v>1.0157</v>
      </c>
      <c r="E7488" s="15">
        <v>1.0157</v>
      </c>
      <c r="F7488" s="15">
        <v>1.0157</v>
      </c>
      <c r="G7488" s="11">
        <v>0.0008</v>
      </c>
      <c r="H7488" s="9">
        <f>MAX($F$7477:F7488)</f>
        <v>1.0172</v>
      </c>
      <c r="I7488" s="11">
        <f t="shared" si="184"/>
        <v>0.0014746362563901</v>
      </c>
      <c r="J7488" s="9"/>
      <c r="K7488" s="11"/>
      <c r="L7488" s="9"/>
      <c r="M7488" s="11"/>
      <c r="N7488" s="9" t="s">
        <v>800</v>
      </c>
    </row>
    <row r="7489" ht="25" customHeight="1" spans="1:14">
      <c r="A7489" s="9" t="s">
        <v>203</v>
      </c>
      <c r="B7489" s="9" t="s">
        <v>202</v>
      </c>
      <c r="C7489" s="10">
        <v>45884</v>
      </c>
      <c r="D7489" s="15">
        <v>1.0139</v>
      </c>
      <c r="E7489" s="15">
        <v>1.0139</v>
      </c>
      <c r="F7489" s="15">
        <v>1.0139</v>
      </c>
      <c r="G7489" s="11">
        <v>-0.0018</v>
      </c>
      <c r="H7489" s="9">
        <f>MAX($F$7477:F7489)</f>
        <v>1.0172</v>
      </c>
      <c r="I7489" s="11">
        <f t="shared" si="184"/>
        <v>0.00324419976405832</v>
      </c>
      <c r="J7489" s="9"/>
      <c r="K7489" s="11"/>
      <c r="L7489" s="9"/>
      <c r="M7489" s="11"/>
      <c r="N7489" s="9" t="s">
        <v>800</v>
      </c>
    </row>
    <row r="7490" ht="25" customHeight="1" spans="1:14">
      <c r="A7490" s="9" t="s">
        <v>203</v>
      </c>
      <c r="B7490" s="9" t="s">
        <v>202</v>
      </c>
      <c r="C7490" s="10">
        <v>45891</v>
      </c>
      <c r="D7490" s="15">
        <v>1.0169</v>
      </c>
      <c r="E7490" s="15">
        <v>1.0169</v>
      </c>
      <c r="F7490" s="15">
        <v>1.0169</v>
      </c>
      <c r="G7490" s="11">
        <v>0.003</v>
      </c>
      <c r="H7490" s="9">
        <f>MAX($F$7477:F7490)</f>
        <v>1.0172</v>
      </c>
      <c r="I7490" s="11">
        <f t="shared" ref="I7490:I7553" si="185">1-F7490/H7490</f>
        <v>0.000294927251278221</v>
      </c>
      <c r="J7490" s="9"/>
      <c r="K7490" s="11"/>
      <c r="L7490" s="9"/>
      <c r="M7490" s="11"/>
      <c r="N7490" s="9" t="s">
        <v>800</v>
      </c>
    </row>
    <row r="7491" ht="25" customHeight="1" spans="1:14">
      <c r="A7491" s="9" t="s">
        <v>203</v>
      </c>
      <c r="B7491" s="9" t="s">
        <v>202</v>
      </c>
      <c r="C7491" s="10">
        <v>45898</v>
      </c>
      <c r="D7491" s="15">
        <v>1.0222</v>
      </c>
      <c r="E7491" s="15">
        <v>1.0222</v>
      </c>
      <c r="F7491" s="15">
        <v>1.0222</v>
      </c>
      <c r="G7491" s="11">
        <v>0.0052</v>
      </c>
      <c r="H7491" s="9">
        <f>MAX($F$7477:F7491)</f>
        <v>1.0222</v>
      </c>
      <c r="I7491" s="11">
        <f t="shared" si="185"/>
        <v>0</v>
      </c>
      <c r="J7491" s="9">
        <f>MAX($F$7491:F7491)</f>
        <v>1.0222</v>
      </c>
      <c r="K7491" s="11">
        <f t="shared" ref="K7491:K7550" si="186">1-F7491/J7491</f>
        <v>0</v>
      </c>
      <c r="L7491" s="9"/>
      <c r="M7491" s="11"/>
      <c r="N7491" s="9" t="s">
        <v>800</v>
      </c>
    </row>
    <row r="7492" ht="25" customHeight="1" spans="1:14">
      <c r="A7492" s="9" t="s">
        <v>203</v>
      </c>
      <c r="B7492" s="9" t="s">
        <v>202</v>
      </c>
      <c r="C7492" s="10">
        <v>45905</v>
      </c>
      <c r="D7492" s="15">
        <v>1.0261</v>
      </c>
      <c r="E7492" s="15">
        <v>1.0261</v>
      </c>
      <c r="F7492" s="15">
        <v>1.0261</v>
      </c>
      <c r="G7492" s="11">
        <v>0.0038</v>
      </c>
      <c r="H7492" s="9">
        <f>MAX($F$7477:F7492)</f>
        <v>1.0261</v>
      </c>
      <c r="I7492" s="11">
        <f t="shared" si="185"/>
        <v>0</v>
      </c>
      <c r="J7492" s="9">
        <f>MAX($F$7491:F7492)</f>
        <v>1.0261</v>
      </c>
      <c r="K7492" s="11">
        <f t="shared" si="186"/>
        <v>0</v>
      </c>
      <c r="L7492" s="9"/>
      <c r="M7492" s="11"/>
      <c r="N7492" s="9" t="s">
        <v>800</v>
      </c>
    </row>
    <row r="7493" ht="25" customHeight="1" spans="1:14">
      <c r="A7493" s="9" t="s">
        <v>203</v>
      </c>
      <c r="B7493" s="9" t="s">
        <v>202</v>
      </c>
      <c r="C7493" s="10">
        <v>45912</v>
      </c>
      <c r="D7493" s="15">
        <v>1.0277</v>
      </c>
      <c r="E7493" s="15">
        <v>1.0277</v>
      </c>
      <c r="F7493" s="15">
        <v>1.0277</v>
      </c>
      <c r="G7493" s="11">
        <v>0.0016</v>
      </c>
      <c r="H7493" s="9">
        <f>MAX($F$7477:F7493)</f>
        <v>1.0277</v>
      </c>
      <c r="I7493" s="11">
        <f t="shared" si="185"/>
        <v>0</v>
      </c>
      <c r="J7493" s="9">
        <f>MAX($F$7491:F7493)</f>
        <v>1.0277</v>
      </c>
      <c r="K7493" s="11">
        <f t="shared" si="186"/>
        <v>0</v>
      </c>
      <c r="L7493" s="9"/>
      <c r="M7493" s="11"/>
      <c r="N7493" s="9" t="s">
        <v>800</v>
      </c>
    </row>
    <row r="7494" ht="25" customHeight="1" spans="1:14">
      <c r="A7494" s="9" t="s">
        <v>203</v>
      </c>
      <c r="B7494" s="9" t="s">
        <v>202</v>
      </c>
      <c r="C7494" s="10">
        <v>45919</v>
      </c>
      <c r="D7494" s="15">
        <v>1.0268</v>
      </c>
      <c r="E7494" s="15">
        <v>1.0268</v>
      </c>
      <c r="F7494" s="15">
        <v>1.0268</v>
      </c>
      <c r="G7494" s="11">
        <v>-0.0009</v>
      </c>
      <c r="H7494" s="9">
        <f>MAX($F$7477:F7494)</f>
        <v>1.0277</v>
      </c>
      <c r="I7494" s="11">
        <f t="shared" si="185"/>
        <v>0.00087574194803941</v>
      </c>
      <c r="J7494" s="9">
        <f>MAX($F$7491:F7494)</f>
        <v>1.0277</v>
      </c>
      <c r="K7494" s="11">
        <f t="shared" si="186"/>
        <v>0.00087574194803941</v>
      </c>
      <c r="L7494" s="9"/>
      <c r="M7494" s="11"/>
      <c r="N7494" s="9" t="s">
        <v>800</v>
      </c>
    </row>
    <row r="7495" ht="25" customHeight="1" spans="1:14">
      <c r="A7495" s="9" t="s">
        <v>203</v>
      </c>
      <c r="B7495" s="9" t="s">
        <v>202</v>
      </c>
      <c r="C7495" s="10">
        <v>45926</v>
      </c>
      <c r="D7495" s="15">
        <v>1.0253</v>
      </c>
      <c r="E7495" s="15">
        <v>1.0253</v>
      </c>
      <c r="F7495" s="15">
        <v>1.0253</v>
      </c>
      <c r="G7495" s="11">
        <v>-0.0015</v>
      </c>
      <c r="H7495" s="9">
        <f>MAX($F$7477:F7495)</f>
        <v>1.0277</v>
      </c>
      <c r="I7495" s="11">
        <f t="shared" si="185"/>
        <v>0.00233531186143809</v>
      </c>
      <c r="J7495" s="9">
        <f>MAX($F$7491:F7495)</f>
        <v>1.0277</v>
      </c>
      <c r="K7495" s="11">
        <f t="shared" si="186"/>
        <v>0.00233531186143809</v>
      </c>
      <c r="L7495" s="9"/>
      <c r="M7495" s="11"/>
      <c r="N7495" s="9" t="s">
        <v>800</v>
      </c>
    </row>
    <row r="7496" ht="25" customHeight="1" spans="1:14">
      <c r="A7496" s="9" t="s">
        <v>203</v>
      </c>
      <c r="B7496" s="9" t="s">
        <v>202</v>
      </c>
      <c r="C7496" s="10">
        <v>45930</v>
      </c>
      <c r="D7496" s="15">
        <v>1.0256</v>
      </c>
      <c r="E7496" s="15">
        <v>1.0256</v>
      </c>
      <c r="F7496" s="15">
        <v>1.0256</v>
      </c>
      <c r="G7496" s="11">
        <v>0.0003</v>
      </c>
      <c r="H7496" s="9">
        <f>MAX($F$7477:F7496)</f>
        <v>1.0277</v>
      </c>
      <c r="I7496" s="11">
        <f t="shared" si="185"/>
        <v>0.0020433978787584</v>
      </c>
      <c r="J7496" s="9">
        <f>MAX($F$7491:F7496)</f>
        <v>1.0277</v>
      </c>
      <c r="K7496" s="11">
        <f t="shared" si="186"/>
        <v>0.0020433978787584</v>
      </c>
      <c r="L7496" s="9"/>
      <c r="M7496" s="11"/>
      <c r="N7496" s="9" t="s">
        <v>800</v>
      </c>
    </row>
    <row r="7497" ht="25" customHeight="1" spans="1:14">
      <c r="A7497" s="9" t="s">
        <v>203</v>
      </c>
      <c r="B7497" s="9" t="s">
        <v>202</v>
      </c>
      <c r="C7497" s="10">
        <v>45940</v>
      </c>
      <c r="D7497" s="15">
        <v>1.0268</v>
      </c>
      <c r="E7497" s="15">
        <v>1.0268</v>
      </c>
      <c r="F7497" s="15">
        <v>1.0268</v>
      </c>
      <c r="G7497" s="11">
        <v>0.0012</v>
      </c>
      <c r="H7497" s="9">
        <f>MAX($F$7477:F7497)</f>
        <v>1.0277</v>
      </c>
      <c r="I7497" s="11">
        <f t="shared" si="185"/>
        <v>0.00087574194803941</v>
      </c>
      <c r="J7497" s="9">
        <f>MAX($F$7491:F7497)</f>
        <v>1.0277</v>
      </c>
      <c r="K7497" s="11">
        <f t="shared" si="186"/>
        <v>0.00087574194803941</v>
      </c>
      <c r="L7497" s="9"/>
      <c r="M7497" s="11"/>
      <c r="N7497" s="9" t="s">
        <v>800</v>
      </c>
    </row>
    <row r="7498" ht="25" customHeight="1" spans="1:14">
      <c r="A7498" s="9" t="s">
        <v>203</v>
      </c>
      <c r="B7498" s="9" t="s">
        <v>202</v>
      </c>
      <c r="C7498" s="10">
        <v>45947</v>
      </c>
      <c r="D7498" s="15">
        <v>1.029</v>
      </c>
      <c r="E7498" s="15">
        <v>1.029</v>
      </c>
      <c r="F7498" s="15">
        <v>1.029</v>
      </c>
      <c r="G7498" s="11">
        <v>0.0021</v>
      </c>
      <c r="H7498" s="9">
        <f>MAX($F$7477:F7498)</f>
        <v>1.029</v>
      </c>
      <c r="I7498" s="11">
        <f t="shared" si="185"/>
        <v>0</v>
      </c>
      <c r="J7498" s="9">
        <f>MAX($F$7491:F7498)</f>
        <v>1.029</v>
      </c>
      <c r="K7498" s="11">
        <f t="shared" si="186"/>
        <v>0</v>
      </c>
      <c r="L7498" s="9"/>
      <c r="M7498" s="11"/>
      <c r="N7498" s="9" t="s">
        <v>800</v>
      </c>
    </row>
    <row r="7499" ht="25" customHeight="1" spans="1:14">
      <c r="A7499" s="9" t="s">
        <v>203</v>
      </c>
      <c r="B7499" s="9" t="s">
        <v>202</v>
      </c>
      <c r="C7499" s="10">
        <v>45954</v>
      </c>
      <c r="D7499" s="15">
        <v>1.0286</v>
      </c>
      <c r="E7499" s="15">
        <v>1.0286</v>
      </c>
      <c r="F7499" s="15">
        <v>1.0286</v>
      </c>
      <c r="G7499" s="11">
        <v>-0.0004</v>
      </c>
      <c r="H7499" s="9">
        <f>MAX($F$7477:F7499)</f>
        <v>1.029</v>
      </c>
      <c r="I7499" s="11">
        <f t="shared" si="185"/>
        <v>0.000388726919339111</v>
      </c>
      <c r="J7499" s="9">
        <f>MAX($F$7491:F7499)</f>
        <v>1.029</v>
      </c>
      <c r="K7499" s="11">
        <f t="shared" si="186"/>
        <v>0.000388726919339111</v>
      </c>
      <c r="L7499" s="9"/>
      <c r="M7499" s="11"/>
      <c r="N7499" s="9" t="s">
        <v>800</v>
      </c>
    </row>
    <row r="7500" ht="25" customHeight="1" spans="1:14">
      <c r="A7500" s="9" t="s">
        <v>203</v>
      </c>
      <c r="B7500" s="9" t="s">
        <v>202</v>
      </c>
      <c r="C7500" s="10">
        <v>45961</v>
      </c>
      <c r="D7500" s="15">
        <v>1.0297</v>
      </c>
      <c r="E7500" s="15">
        <v>1.0297</v>
      </c>
      <c r="F7500" s="15">
        <v>1.0297</v>
      </c>
      <c r="G7500" s="11">
        <v>0.0011</v>
      </c>
      <c r="H7500" s="9">
        <f>MAX($F$7477:F7500)</f>
        <v>1.0297</v>
      </c>
      <c r="I7500" s="11">
        <f t="shared" si="185"/>
        <v>0</v>
      </c>
      <c r="J7500" s="9">
        <f>MAX($F$7491:F7500)</f>
        <v>1.0297</v>
      </c>
      <c r="K7500" s="11">
        <f t="shared" si="186"/>
        <v>0</v>
      </c>
      <c r="L7500" s="9"/>
      <c r="M7500" s="11"/>
      <c r="N7500" s="9" t="s">
        <v>800</v>
      </c>
    </row>
    <row r="7501" ht="25" customHeight="1" spans="1:14">
      <c r="A7501" s="9" t="s">
        <v>203</v>
      </c>
      <c r="B7501" s="9" t="s">
        <v>202</v>
      </c>
      <c r="C7501" s="10">
        <v>45968</v>
      </c>
      <c r="D7501" s="15">
        <v>1.0301</v>
      </c>
      <c r="E7501" s="15">
        <v>1.0301</v>
      </c>
      <c r="F7501" s="15">
        <v>1.0301</v>
      </c>
      <c r="G7501" s="11">
        <v>0.0004</v>
      </c>
      <c r="H7501" s="9">
        <f>MAX($F$7477:F7501)</f>
        <v>1.0301</v>
      </c>
      <c r="I7501" s="11">
        <f t="shared" si="185"/>
        <v>0</v>
      </c>
      <c r="J7501" s="9">
        <f>MAX($F$7491:F7501)</f>
        <v>1.0301</v>
      </c>
      <c r="K7501" s="11">
        <f t="shared" si="186"/>
        <v>0</v>
      </c>
      <c r="L7501" s="9"/>
      <c r="M7501" s="11"/>
      <c r="N7501" s="9" t="s">
        <v>800</v>
      </c>
    </row>
    <row r="7502" ht="25" customHeight="1" spans="1:14">
      <c r="A7502" s="9" t="s">
        <v>203</v>
      </c>
      <c r="B7502" s="9" t="s">
        <v>202</v>
      </c>
      <c r="C7502" s="10">
        <v>45975</v>
      </c>
      <c r="D7502" s="15">
        <v>1.0289</v>
      </c>
      <c r="E7502" s="15">
        <v>1.0289</v>
      </c>
      <c r="F7502" s="15">
        <v>1.0289</v>
      </c>
      <c r="G7502" s="11">
        <v>-0.0012</v>
      </c>
      <c r="H7502" s="9">
        <f>MAX($F$7477:F7502)</f>
        <v>1.0301</v>
      </c>
      <c r="I7502" s="11">
        <f t="shared" si="185"/>
        <v>0.00116493544316099</v>
      </c>
      <c r="J7502" s="9">
        <f>MAX($F$7491:F7502)</f>
        <v>1.0301</v>
      </c>
      <c r="K7502" s="11">
        <f t="shared" si="186"/>
        <v>0.00116493544316099</v>
      </c>
      <c r="L7502" s="9"/>
      <c r="M7502" s="11"/>
      <c r="N7502" s="9" t="s">
        <v>800</v>
      </c>
    </row>
    <row r="7503" ht="25" customHeight="1" spans="1:14">
      <c r="A7503" s="9" t="s">
        <v>203</v>
      </c>
      <c r="B7503" s="9" t="s">
        <v>202</v>
      </c>
      <c r="C7503" s="10">
        <v>45982</v>
      </c>
      <c r="D7503" s="15">
        <v>1.0258</v>
      </c>
      <c r="E7503" s="15">
        <v>1.0258</v>
      </c>
      <c r="F7503" s="15">
        <v>1.0258</v>
      </c>
      <c r="G7503" s="11">
        <v>-0.003</v>
      </c>
      <c r="H7503" s="9">
        <f>MAX($F$7477:F7503)</f>
        <v>1.0301</v>
      </c>
      <c r="I7503" s="11">
        <f t="shared" si="185"/>
        <v>0.00417435200465976</v>
      </c>
      <c r="J7503" s="9">
        <f>MAX($F$7491:F7503)</f>
        <v>1.0301</v>
      </c>
      <c r="K7503" s="11">
        <f t="shared" si="186"/>
        <v>0.00417435200465976</v>
      </c>
      <c r="L7503" s="9"/>
      <c r="M7503" s="11"/>
      <c r="N7503" s="9" t="s">
        <v>800</v>
      </c>
    </row>
    <row r="7504" ht="25" customHeight="1" spans="1:14">
      <c r="A7504" s="9" t="s">
        <v>203</v>
      </c>
      <c r="B7504" s="9" t="s">
        <v>202</v>
      </c>
      <c r="C7504" s="10">
        <v>45989</v>
      </c>
      <c r="D7504" s="15">
        <v>1.0302</v>
      </c>
      <c r="E7504" s="15">
        <v>1.0302</v>
      </c>
      <c r="F7504" s="15">
        <v>1.0302</v>
      </c>
      <c r="G7504" s="11">
        <v>0.0043</v>
      </c>
      <c r="H7504" s="9">
        <f>MAX($F$7477:F7504)</f>
        <v>1.0302</v>
      </c>
      <c r="I7504" s="11">
        <f t="shared" si="185"/>
        <v>0</v>
      </c>
      <c r="J7504" s="9">
        <f>MAX($F$7491:F7504)</f>
        <v>1.0302</v>
      </c>
      <c r="K7504" s="11">
        <f t="shared" si="186"/>
        <v>0</v>
      </c>
      <c r="L7504" s="9"/>
      <c r="M7504" s="11"/>
      <c r="N7504" s="9" t="s">
        <v>800</v>
      </c>
    </row>
    <row r="7505" ht="25" customHeight="1" spans="1:14">
      <c r="A7505" s="9" t="s">
        <v>203</v>
      </c>
      <c r="B7505" s="9" t="s">
        <v>202</v>
      </c>
      <c r="C7505" s="10">
        <v>45996</v>
      </c>
      <c r="D7505" s="15">
        <v>1.03</v>
      </c>
      <c r="E7505" s="15">
        <v>1.03</v>
      </c>
      <c r="F7505" s="15">
        <v>1.03</v>
      </c>
      <c r="G7505" s="11">
        <v>-0.0002</v>
      </c>
      <c r="H7505" s="9">
        <f>MAX($F$7477:F7505)</f>
        <v>1.0302</v>
      </c>
      <c r="I7505" s="11">
        <f t="shared" si="185"/>
        <v>0.000194137060764876</v>
      </c>
      <c r="J7505" s="9">
        <f>MAX($F$7491:F7505)</f>
        <v>1.0302</v>
      </c>
      <c r="K7505" s="11">
        <f t="shared" si="186"/>
        <v>0.000194137060764876</v>
      </c>
      <c r="L7505" s="9"/>
      <c r="M7505" s="11"/>
      <c r="N7505" s="9" t="s">
        <v>800</v>
      </c>
    </row>
    <row r="7506" ht="25" customHeight="1" spans="1:14">
      <c r="A7506" s="9" t="s">
        <v>203</v>
      </c>
      <c r="B7506" s="9" t="s">
        <v>202</v>
      </c>
      <c r="C7506" s="10">
        <v>46003</v>
      </c>
      <c r="D7506" s="15">
        <v>1.0285</v>
      </c>
      <c r="E7506" s="15">
        <v>1.0285</v>
      </c>
      <c r="F7506" s="15">
        <v>1.0285</v>
      </c>
      <c r="G7506" s="11">
        <v>-0.0015</v>
      </c>
      <c r="H7506" s="9">
        <f>MAX($F$7477:F7506)</f>
        <v>1.0302</v>
      </c>
      <c r="I7506" s="11">
        <f t="shared" si="185"/>
        <v>0.00165016501650173</v>
      </c>
      <c r="J7506" s="9">
        <f>MAX($F$7491:F7506)</f>
        <v>1.0302</v>
      </c>
      <c r="K7506" s="11">
        <f t="shared" si="186"/>
        <v>0.00165016501650173</v>
      </c>
      <c r="L7506" s="9"/>
      <c r="M7506" s="11"/>
      <c r="N7506" s="9" t="s">
        <v>800</v>
      </c>
    </row>
    <row r="7507" ht="25" customHeight="1" spans="1:14">
      <c r="A7507" s="9" t="s">
        <v>203</v>
      </c>
      <c r="B7507" s="9" t="s">
        <v>202</v>
      </c>
      <c r="C7507" s="10">
        <v>46010</v>
      </c>
      <c r="D7507" s="15">
        <v>1.0284</v>
      </c>
      <c r="E7507" s="15">
        <v>1.0284</v>
      </c>
      <c r="F7507" s="15">
        <v>1.0284</v>
      </c>
      <c r="G7507" s="11">
        <v>-0.0001</v>
      </c>
      <c r="H7507" s="9">
        <f>MAX($F$7477:F7507)</f>
        <v>1.0302</v>
      </c>
      <c r="I7507" s="11">
        <f t="shared" si="185"/>
        <v>0.00174723354688411</v>
      </c>
      <c r="J7507" s="9">
        <f>MAX($F$7491:F7507)</f>
        <v>1.0302</v>
      </c>
      <c r="K7507" s="11">
        <f t="shared" si="186"/>
        <v>0.00174723354688411</v>
      </c>
      <c r="L7507" s="9"/>
      <c r="M7507" s="11"/>
      <c r="N7507" s="9" t="s">
        <v>800</v>
      </c>
    </row>
    <row r="7508" ht="25" customHeight="1" spans="1:14">
      <c r="A7508" s="9" t="s">
        <v>203</v>
      </c>
      <c r="B7508" s="9" t="s">
        <v>202</v>
      </c>
      <c r="C7508" s="10">
        <v>46017</v>
      </c>
      <c r="D7508" s="15">
        <v>1.0301</v>
      </c>
      <c r="E7508" s="15">
        <v>1.0301</v>
      </c>
      <c r="F7508" s="15">
        <v>1.0301</v>
      </c>
      <c r="G7508" s="11">
        <v>0.0017</v>
      </c>
      <c r="H7508" s="9">
        <f>MAX($F$7477:F7508)</f>
        <v>1.0302</v>
      </c>
      <c r="I7508" s="11">
        <f t="shared" si="185"/>
        <v>9.70685303824936e-5</v>
      </c>
      <c r="J7508" s="9">
        <f>MAX($F$7491:F7508)</f>
        <v>1.0302</v>
      </c>
      <c r="K7508" s="11">
        <f t="shared" si="186"/>
        <v>9.70685303824936e-5</v>
      </c>
      <c r="L7508" s="9"/>
      <c r="M7508" s="11"/>
      <c r="N7508" s="9" t="s">
        <v>800</v>
      </c>
    </row>
    <row r="7509" ht="25" customHeight="1" spans="1:14">
      <c r="A7509" s="9" t="s">
        <v>203</v>
      </c>
      <c r="B7509" s="9" t="s">
        <v>202</v>
      </c>
      <c r="C7509" s="10">
        <v>46022</v>
      </c>
      <c r="D7509" s="15">
        <v>1.0311</v>
      </c>
      <c r="E7509" s="15">
        <v>1.0311</v>
      </c>
      <c r="F7509" s="15">
        <v>1.0311</v>
      </c>
      <c r="G7509" s="11">
        <v>0.001</v>
      </c>
      <c r="H7509" s="9">
        <f>MAX($F$7477:F7509)</f>
        <v>1.0311</v>
      </c>
      <c r="I7509" s="11">
        <f t="shared" si="185"/>
        <v>0</v>
      </c>
      <c r="J7509" s="9">
        <f>MAX($F$7491:F7509)</f>
        <v>1.0311</v>
      </c>
      <c r="K7509" s="11">
        <f t="shared" si="186"/>
        <v>0</v>
      </c>
      <c r="L7509" s="9"/>
      <c r="M7509" s="11"/>
      <c r="N7509" s="9" t="s">
        <v>800</v>
      </c>
    </row>
    <row r="7510" ht="25" customHeight="1" spans="1:14">
      <c r="A7510" s="9" t="s">
        <v>203</v>
      </c>
      <c r="B7510" s="9" t="s">
        <v>202</v>
      </c>
      <c r="C7510" s="10">
        <v>46031</v>
      </c>
      <c r="D7510" s="15">
        <v>1.0366</v>
      </c>
      <c r="E7510" s="15">
        <v>1.0366</v>
      </c>
      <c r="F7510" s="15">
        <v>1.0366</v>
      </c>
      <c r="G7510" s="11">
        <v>0.0053</v>
      </c>
      <c r="H7510" s="9">
        <f>MAX($F$7477:F7510)</f>
        <v>1.0366</v>
      </c>
      <c r="I7510" s="11">
        <f t="shared" si="185"/>
        <v>0</v>
      </c>
      <c r="J7510" s="9">
        <f>MAX($F$7491:F7510)</f>
        <v>1.0366</v>
      </c>
      <c r="K7510" s="11">
        <f t="shared" si="186"/>
        <v>0</v>
      </c>
      <c r="L7510" s="9"/>
      <c r="M7510" s="11"/>
      <c r="N7510" s="9" t="s">
        <v>800</v>
      </c>
    </row>
    <row r="7511" ht="25" customHeight="1" spans="1:14">
      <c r="A7511" s="9" t="s">
        <v>203</v>
      </c>
      <c r="B7511" s="9" t="s">
        <v>202</v>
      </c>
      <c r="C7511" s="10">
        <v>46038</v>
      </c>
      <c r="D7511" s="15">
        <v>1.047</v>
      </c>
      <c r="E7511" s="15">
        <v>1.047</v>
      </c>
      <c r="F7511" s="15">
        <v>1.047</v>
      </c>
      <c r="G7511" s="11">
        <v>0.01</v>
      </c>
      <c r="H7511" s="9">
        <f>MAX($F$7477:F7511)</f>
        <v>1.047</v>
      </c>
      <c r="I7511" s="11">
        <f t="shared" si="185"/>
        <v>0</v>
      </c>
      <c r="J7511" s="9">
        <f>MAX($F$7491:F7511)</f>
        <v>1.047</v>
      </c>
      <c r="K7511" s="11">
        <f t="shared" si="186"/>
        <v>0</v>
      </c>
      <c r="L7511" s="9"/>
      <c r="M7511" s="11"/>
      <c r="N7511" s="9" t="s">
        <v>800</v>
      </c>
    </row>
    <row r="7512" ht="25" customHeight="1" spans="1:14">
      <c r="A7512" s="9" t="s">
        <v>203</v>
      </c>
      <c r="B7512" s="9" t="s">
        <v>202</v>
      </c>
      <c r="C7512" s="10">
        <v>46045</v>
      </c>
      <c r="D7512" s="15">
        <v>1.0448</v>
      </c>
      <c r="E7512" s="15">
        <v>1.0448</v>
      </c>
      <c r="F7512" s="15">
        <v>1.0448</v>
      </c>
      <c r="G7512" s="11">
        <v>-0.0021</v>
      </c>
      <c r="H7512" s="9">
        <f>MAX($F$7477:F7512)</f>
        <v>1.047</v>
      </c>
      <c r="I7512" s="11">
        <f t="shared" si="185"/>
        <v>0.00210124164278891</v>
      </c>
      <c r="J7512" s="9">
        <f>MAX($F$7491:F7512)</f>
        <v>1.047</v>
      </c>
      <c r="K7512" s="11">
        <f t="shared" si="186"/>
        <v>0.00210124164278891</v>
      </c>
      <c r="L7512" s="9"/>
      <c r="M7512" s="11"/>
      <c r="N7512" s="9" t="s">
        <v>800</v>
      </c>
    </row>
    <row r="7513" ht="25" customHeight="1" spans="1:14">
      <c r="A7513" s="9" t="s">
        <v>203</v>
      </c>
      <c r="B7513" s="9" t="s">
        <v>202</v>
      </c>
      <c r="C7513" s="10">
        <v>46052</v>
      </c>
      <c r="D7513" s="15">
        <v>1.0472</v>
      </c>
      <c r="E7513" s="15">
        <v>1.0472</v>
      </c>
      <c r="F7513" s="15">
        <v>1.0472</v>
      </c>
      <c r="G7513" s="11">
        <v>0.0023</v>
      </c>
      <c r="H7513" s="9">
        <f>MAX($F$7477:F7513)</f>
        <v>1.0472</v>
      </c>
      <c r="I7513" s="11">
        <f t="shared" si="185"/>
        <v>0</v>
      </c>
      <c r="J7513" s="9">
        <f>MAX($F$7491:F7513)</f>
        <v>1.0472</v>
      </c>
      <c r="K7513" s="11">
        <f t="shared" si="186"/>
        <v>0</v>
      </c>
      <c r="L7513" s="9"/>
      <c r="M7513" s="11"/>
      <c r="N7513" s="9" t="s">
        <v>800</v>
      </c>
    </row>
    <row r="7514" ht="25" customHeight="1" spans="1:14">
      <c r="A7514" s="9" t="s">
        <v>203</v>
      </c>
      <c r="B7514" s="9" t="s">
        <v>202</v>
      </c>
      <c r="C7514" s="10">
        <v>46059</v>
      </c>
      <c r="D7514" s="15">
        <v>1.0638</v>
      </c>
      <c r="E7514" s="15">
        <v>1.0638</v>
      </c>
      <c r="F7514" s="15">
        <v>1.0638</v>
      </c>
      <c r="G7514" s="11">
        <v>0.0159</v>
      </c>
      <c r="H7514" s="9">
        <f>MAX($F$7477:F7514)</f>
        <v>1.0638</v>
      </c>
      <c r="I7514" s="11">
        <f t="shared" si="185"/>
        <v>0</v>
      </c>
      <c r="J7514" s="9">
        <f>MAX($F$7491:F7514)</f>
        <v>1.0638</v>
      </c>
      <c r="K7514" s="11">
        <f t="shared" si="186"/>
        <v>0</v>
      </c>
      <c r="L7514" s="9"/>
      <c r="M7514" s="11"/>
      <c r="N7514" s="9" t="s">
        <v>800</v>
      </c>
    </row>
    <row r="7515" ht="25" customHeight="1" spans="1:14">
      <c r="A7515" s="9" t="s">
        <v>203</v>
      </c>
      <c r="B7515" s="9" t="s">
        <v>202</v>
      </c>
      <c r="C7515" s="10">
        <v>46066</v>
      </c>
      <c r="D7515" s="15">
        <v>1.0631</v>
      </c>
      <c r="E7515" s="15">
        <v>1.0631</v>
      </c>
      <c r="F7515" s="15">
        <v>1.0631</v>
      </c>
      <c r="G7515" s="11">
        <v>-0.0007</v>
      </c>
      <c r="H7515" s="9">
        <f>MAX($F$7477:F7515)</f>
        <v>1.0638</v>
      </c>
      <c r="I7515" s="11">
        <f t="shared" si="185"/>
        <v>0.000658018424516071</v>
      </c>
      <c r="J7515" s="9">
        <f>MAX($F$7491:F7515)</f>
        <v>1.0638</v>
      </c>
      <c r="K7515" s="11">
        <f t="shared" si="186"/>
        <v>0.000658018424516071</v>
      </c>
      <c r="L7515" s="9"/>
      <c r="M7515" s="11"/>
      <c r="N7515" s="9" t="s">
        <v>800</v>
      </c>
    </row>
    <row r="7516" ht="25" customHeight="1" spans="1:14">
      <c r="A7516" s="9" t="s">
        <v>203</v>
      </c>
      <c r="B7516" s="9" t="s">
        <v>202</v>
      </c>
      <c r="C7516" s="10">
        <v>46080</v>
      </c>
      <c r="D7516" s="15">
        <v>1.064</v>
      </c>
      <c r="E7516" s="15">
        <v>1.064</v>
      </c>
      <c r="F7516" s="15">
        <v>1.064</v>
      </c>
      <c r="G7516" s="11">
        <v>0.0008</v>
      </c>
      <c r="H7516" s="9">
        <f>MAX($F$7477:F7516)</f>
        <v>1.064</v>
      </c>
      <c r="I7516" s="11">
        <f t="shared" si="185"/>
        <v>0</v>
      </c>
      <c r="J7516" s="9">
        <f>MAX($F$7491:F7516)</f>
        <v>1.064</v>
      </c>
      <c r="K7516" s="11">
        <f t="shared" si="186"/>
        <v>0</v>
      </c>
      <c r="L7516" s="9"/>
      <c r="M7516" s="11"/>
      <c r="N7516" s="9" t="s">
        <v>800</v>
      </c>
    </row>
    <row r="7517" ht="25" customHeight="1" spans="1:14">
      <c r="A7517" s="9" t="s">
        <v>203</v>
      </c>
      <c r="B7517" s="9" t="s">
        <v>202</v>
      </c>
      <c r="C7517" s="10">
        <v>46087</v>
      </c>
      <c r="D7517" s="15">
        <v>1.0819</v>
      </c>
      <c r="E7517" s="15">
        <v>1.0819</v>
      </c>
      <c r="F7517" s="15">
        <v>1.0819</v>
      </c>
      <c r="G7517" s="11">
        <v>0.0168</v>
      </c>
      <c r="H7517" s="9">
        <f>MAX($F$7477:F7517)</f>
        <v>1.0819</v>
      </c>
      <c r="I7517" s="11">
        <f t="shared" si="185"/>
        <v>0</v>
      </c>
      <c r="J7517" s="9">
        <f>MAX($F$7491:F7517)</f>
        <v>1.0819</v>
      </c>
      <c r="K7517" s="11">
        <f t="shared" si="186"/>
        <v>0</v>
      </c>
      <c r="L7517" s="9"/>
      <c r="M7517" s="11"/>
      <c r="N7517" s="9" t="s">
        <v>800</v>
      </c>
    </row>
    <row r="7518" ht="25" customHeight="1" spans="1:14">
      <c r="A7518" s="9" t="s">
        <v>203</v>
      </c>
      <c r="B7518" s="9" t="s">
        <v>202</v>
      </c>
      <c r="C7518" s="10">
        <v>46094</v>
      </c>
      <c r="D7518" s="15">
        <v>1.0821</v>
      </c>
      <c r="E7518" s="15">
        <v>1.0821</v>
      </c>
      <c r="F7518" s="15">
        <v>1.0821</v>
      </c>
      <c r="G7518" s="11">
        <v>0.0002</v>
      </c>
      <c r="H7518" s="9">
        <f>MAX($F$7477:F7518)</f>
        <v>1.0821</v>
      </c>
      <c r="I7518" s="11">
        <f t="shared" si="185"/>
        <v>0</v>
      </c>
      <c r="J7518" s="9">
        <f>MAX($F$7491:F7518)</f>
        <v>1.0821</v>
      </c>
      <c r="K7518" s="11">
        <f t="shared" si="186"/>
        <v>0</v>
      </c>
      <c r="L7518" s="9"/>
      <c r="M7518" s="11"/>
      <c r="N7518" s="9" t="s">
        <v>800</v>
      </c>
    </row>
    <row r="7519" ht="25" customHeight="1" spans="1:14">
      <c r="A7519" s="9" t="s">
        <v>203</v>
      </c>
      <c r="B7519" s="9" t="s">
        <v>202</v>
      </c>
      <c r="C7519" s="10">
        <v>46101</v>
      </c>
      <c r="D7519" s="15">
        <v>1.081</v>
      </c>
      <c r="E7519" s="15">
        <v>1.081</v>
      </c>
      <c r="F7519" s="15">
        <v>1.081</v>
      </c>
      <c r="G7519" s="11">
        <v>-0.001</v>
      </c>
      <c r="H7519" s="9">
        <f>MAX($F$7477:F7519)</f>
        <v>1.0821</v>
      </c>
      <c r="I7519" s="11">
        <f t="shared" si="185"/>
        <v>0.0010165419092506</v>
      </c>
      <c r="J7519" s="9">
        <f>MAX($F$7491:F7519)</f>
        <v>1.0821</v>
      </c>
      <c r="K7519" s="11">
        <f t="shared" si="186"/>
        <v>0.0010165419092506</v>
      </c>
      <c r="L7519" s="9"/>
      <c r="M7519" s="11"/>
      <c r="N7519" s="9" t="s">
        <v>800</v>
      </c>
    </row>
    <row r="7520" ht="25" customHeight="1" spans="1:14">
      <c r="A7520" s="9" t="s">
        <v>203</v>
      </c>
      <c r="B7520" s="9" t="s">
        <v>202</v>
      </c>
      <c r="C7520" s="10">
        <v>46105</v>
      </c>
      <c r="D7520" s="15">
        <v>1</v>
      </c>
      <c r="E7520" s="15">
        <v>1.0826</v>
      </c>
      <c r="F7520" s="15">
        <v>1.0826</v>
      </c>
      <c r="G7520" s="11">
        <v>0.0015</v>
      </c>
      <c r="H7520" s="9">
        <f>MAX($F$7477:F7520)</f>
        <v>1.0826</v>
      </c>
      <c r="I7520" s="11">
        <f t="shared" si="185"/>
        <v>0</v>
      </c>
      <c r="J7520" s="9">
        <f>MAX($F$7491:F7520)</f>
        <v>1.0826</v>
      </c>
      <c r="K7520" s="11">
        <f t="shared" si="186"/>
        <v>0</v>
      </c>
      <c r="L7520" s="9"/>
      <c r="M7520" s="11"/>
      <c r="N7520" s="9" t="s">
        <v>800</v>
      </c>
    </row>
    <row r="7521" ht="25" customHeight="1" spans="1:14">
      <c r="A7521" s="9" t="s">
        <v>203</v>
      </c>
      <c r="B7521" s="9" t="s">
        <v>202</v>
      </c>
      <c r="C7521" s="10">
        <v>46108</v>
      </c>
      <c r="D7521" s="15">
        <v>1.001</v>
      </c>
      <c r="E7521" s="15">
        <v>1.0836</v>
      </c>
      <c r="F7521" s="15">
        <v>1.0837</v>
      </c>
      <c r="G7521" s="11">
        <v>0.001</v>
      </c>
      <c r="H7521" s="9">
        <f>MAX($F$7477:F7521)</f>
        <v>1.0837</v>
      </c>
      <c r="I7521" s="11">
        <f t="shared" si="185"/>
        <v>0</v>
      </c>
      <c r="J7521" s="9">
        <f>MAX($F$7491:F7521)</f>
        <v>1.0837</v>
      </c>
      <c r="K7521" s="11">
        <f t="shared" si="186"/>
        <v>0</v>
      </c>
      <c r="L7521" s="9"/>
      <c r="M7521" s="11"/>
      <c r="N7521" s="9" t="s">
        <v>800</v>
      </c>
    </row>
    <row r="7522" ht="25" customHeight="1" spans="1:14">
      <c r="A7522" s="9" t="s">
        <v>203</v>
      </c>
      <c r="B7522" s="9" t="s">
        <v>202</v>
      </c>
      <c r="C7522" s="10">
        <v>46112</v>
      </c>
      <c r="D7522" s="15">
        <v>1.0014</v>
      </c>
      <c r="E7522" s="15">
        <v>1.084</v>
      </c>
      <c r="F7522" s="15">
        <v>1.0841</v>
      </c>
      <c r="G7522" s="11">
        <v>0.0004</v>
      </c>
      <c r="H7522" s="9">
        <f>MAX($F$7477:F7522)</f>
        <v>1.0841</v>
      </c>
      <c r="I7522" s="11">
        <f t="shared" si="185"/>
        <v>0</v>
      </c>
      <c r="J7522" s="9">
        <f>MAX($F$7491:F7522)</f>
        <v>1.0841</v>
      </c>
      <c r="K7522" s="11">
        <f t="shared" si="186"/>
        <v>0</v>
      </c>
      <c r="L7522" s="9"/>
      <c r="M7522" s="11"/>
      <c r="N7522" s="9" t="s">
        <v>800</v>
      </c>
    </row>
    <row r="7523" ht="25" customHeight="1" spans="1:14">
      <c r="A7523" s="9" t="s">
        <v>203</v>
      </c>
      <c r="B7523" s="9" t="s">
        <v>202</v>
      </c>
      <c r="C7523" s="10">
        <v>46115</v>
      </c>
      <c r="D7523" s="15">
        <v>1.001</v>
      </c>
      <c r="E7523" s="15">
        <v>1.0836</v>
      </c>
      <c r="F7523" s="15">
        <v>1.0837</v>
      </c>
      <c r="G7523" s="11">
        <v>-0.0004</v>
      </c>
      <c r="H7523" s="9">
        <f>MAX($F$7477:F7523)</f>
        <v>1.0841</v>
      </c>
      <c r="I7523" s="11">
        <f t="shared" si="185"/>
        <v>0.000368969652246087</v>
      </c>
      <c r="J7523" s="9">
        <f>MAX($F$7491:F7523)</f>
        <v>1.0841</v>
      </c>
      <c r="K7523" s="11">
        <f t="shared" si="186"/>
        <v>0.000368969652246087</v>
      </c>
      <c r="L7523" s="9"/>
      <c r="M7523" s="11"/>
      <c r="N7523" s="9" t="s">
        <v>800</v>
      </c>
    </row>
    <row r="7524" ht="25" customHeight="1" spans="1:14">
      <c r="A7524" s="9" t="s">
        <v>203</v>
      </c>
      <c r="B7524" s="9" t="s">
        <v>202</v>
      </c>
      <c r="C7524" s="10">
        <v>46122</v>
      </c>
      <c r="D7524" s="15">
        <v>1.0015</v>
      </c>
      <c r="E7524" s="15">
        <v>1.0841</v>
      </c>
      <c r="F7524" s="15">
        <v>1.0842</v>
      </c>
      <c r="G7524" s="11">
        <v>0.0005</v>
      </c>
      <c r="H7524" s="9">
        <f>MAX($F$7477:F7524)</f>
        <v>1.0842</v>
      </c>
      <c r="I7524" s="11">
        <f t="shared" si="185"/>
        <v>0</v>
      </c>
      <c r="J7524" s="9">
        <f>MAX($F$7491:F7524)</f>
        <v>1.0842</v>
      </c>
      <c r="K7524" s="11">
        <f t="shared" si="186"/>
        <v>0</v>
      </c>
      <c r="L7524" s="9"/>
      <c r="M7524" s="11"/>
      <c r="N7524" s="9" t="s">
        <v>800</v>
      </c>
    </row>
    <row r="7525" ht="25" customHeight="1" spans="1:14">
      <c r="A7525" s="9" t="s">
        <v>203</v>
      </c>
      <c r="B7525" s="9" t="s">
        <v>202</v>
      </c>
      <c r="C7525" s="10">
        <v>46129</v>
      </c>
      <c r="D7525" s="15">
        <v>1.0016</v>
      </c>
      <c r="E7525" s="15">
        <v>1.0842</v>
      </c>
      <c r="F7525" s="15">
        <v>1.0843</v>
      </c>
      <c r="G7525" s="11">
        <v>0.0001</v>
      </c>
      <c r="H7525" s="9">
        <f>MAX($F$7477:F7525)</f>
        <v>1.0843</v>
      </c>
      <c r="I7525" s="11">
        <f t="shared" si="185"/>
        <v>0</v>
      </c>
      <c r="J7525" s="9">
        <f>MAX($F$7491:F7525)</f>
        <v>1.0843</v>
      </c>
      <c r="K7525" s="11">
        <f t="shared" si="186"/>
        <v>0</v>
      </c>
      <c r="L7525" s="9"/>
      <c r="M7525" s="11"/>
      <c r="N7525" s="9" t="s">
        <v>800</v>
      </c>
    </row>
    <row r="7526" ht="25" customHeight="1" spans="1:14">
      <c r="A7526" s="9" t="s">
        <v>203</v>
      </c>
      <c r="B7526" s="9" t="s">
        <v>202</v>
      </c>
      <c r="C7526" s="10">
        <v>46136</v>
      </c>
      <c r="D7526" s="15">
        <v>1.0011</v>
      </c>
      <c r="E7526" s="15">
        <v>1.0837</v>
      </c>
      <c r="F7526" s="15">
        <v>1.0838</v>
      </c>
      <c r="G7526" s="11">
        <v>-0.0005</v>
      </c>
      <c r="H7526" s="9">
        <f>MAX($F$7477:F7526)</f>
        <v>1.0843</v>
      </c>
      <c r="I7526" s="11">
        <f t="shared" si="185"/>
        <v>0.000461126994374172</v>
      </c>
      <c r="J7526" s="9">
        <f>MAX($F$7491:F7526)</f>
        <v>1.0843</v>
      </c>
      <c r="K7526" s="11">
        <f t="shared" si="186"/>
        <v>0.000461126994374172</v>
      </c>
      <c r="L7526" s="9"/>
      <c r="M7526" s="11"/>
      <c r="N7526" s="9" t="s">
        <v>800</v>
      </c>
    </row>
    <row r="7527" ht="25" customHeight="1" spans="1:14">
      <c r="A7527" s="9" t="s">
        <v>203</v>
      </c>
      <c r="B7527" s="9" t="s">
        <v>202</v>
      </c>
      <c r="C7527" s="10">
        <v>46142</v>
      </c>
      <c r="D7527" s="15">
        <v>1.0028</v>
      </c>
      <c r="E7527" s="15">
        <v>1.0854</v>
      </c>
      <c r="F7527" s="15">
        <v>1.0856</v>
      </c>
      <c r="G7527" s="11">
        <v>0.0017</v>
      </c>
      <c r="H7527" s="9">
        <f>MAX($F$7477:F7527)</f>
        <v>1.0856</v>
      </c>
      <c r="I7527" s="11">
        <f t="shared" si="185"/>
        <v>0</v>
      </c>
      <c r="J7527" s="9">
        <f>MAX($F$7491:F7527)</f>
        <v>1.0856</v>
      </c>
      <c r="K7527" s="11">
        <f t="shared" si="186"/>
        <v>0</v>
      </c>
      <c r="L7527" s="9"/>
      <c r="M7527" s="11"/>
      <c r="N7527" s="9" t="s">
        <v>800</v>
      </c>
    </row>
    <row r="7528" ht="25" customHeight="1" spans="1:14">
      <c r="A7528" s="9" t="s">
        <v>203</v>
      </c>
      <c r="B7528" s="9" t="s">
        <v>202</v>
      </c>
      <c r="C7528" s="10">
        <v>46150</v>
      </c>
      <c r="D7528" s="15">
        <v>1.0053</v>
      </c>
      <c r="E7528" s="15">
        <v>1.0879</v>
      </c>
      <c r="F7528" s="15">
        <v>1.0883</v>
      </c>
      <c r="G7528" s="11">
        <v>0.0025</v>
      </c>
      <c r="H7528" s="9">
        <f>MAX($F$7477:F7528)</f>
        <v>1.0883</v>
      </c>
      <c r="I7528" s="11">
        <f t="shared" si="185"/>
        <v>0</v>
      </c>
      <c r="J7528" s="9">
        <f>MAX($F$7491:F7528)</f>
        <v>1.0883</v>
      </c>
      <c r="K7528" s="11">
        <f t="shared" si="186"/>
        <v>0</v>
      </c>
      <c r="L7528" s="9"/>
      <c r="M7528" s="11"/>
      <c r="N7528" s="9" t="s">
        <v>800</v>
      </c>
    </row>
    <row r="7529" ht="25" customHeight="1" spans="1:14">
      <c r="A7529" s="9" t="s">
        <v>203</v>
      </c>
      <c r="B7529" s="9" t="s">
        <v>202</v>
      </c>
      <c r="C7529" s="10">
        <v>46157</v>
      </c>
      <c r="D7529" s="15">
        <v>1.005</v>
      </c>
      <c r="E7529" s="15">
        <v>1.0876</v>
      </c>
      <c r="F7529" s="15">
        <v>1.088</v>
      </c>
      <c r="G7529" s="11">
        <v>-0.0003</v>
      </c>
      <c r="H7529" s="9">
        <f>MAX($F$7477:F7529)</f>
        <v>1.0883</v>
      </c>
      <c r="I7529" s="11">
        <f t="shared" si="185"/>
        <v>0.00027565928512352</v>
      </c>
      <c r="J7529" s="9">
        <f>MAX($F$7491:F7529)</f>
        <v>1.0883</v>
      </c>
      <c r="K7529" s="11">
        <f t="shared" si="186"/>
        <v>0.00027565928512352</v>
      </c>
      <c r="L7529" s="9"/>
      <c r="M7529" s="11"/>
      <c r="N7529" s="9" t="s">
        <v>800</v>
      </c>
    </row>
    <row r="7530" ht="25" customHeight="1" spans="1:14">
      <c r="A7530" s="9" t="s">
        <v>203</v>
      </c>
      <c r="B7530" s="9" t="s">
        <v>202</v>
      </c>
      <c r="C7530" s="10">
        <v>46164</v>
      </c>
      <c r="D7530" s="15">
        <v>1.006</v>
      </c>
      <c r="E7530" s="15">
        <v>1.0886</v>
      </c>
      <c r="F7530" s="15">
        <v>1.0891</v>
      </c>
      <c r="G7530" s="11">
        <v>0.001</v>
      </c>
      <c r="H7530" s="9">
        <f>MAX($F$7477:F7530)</f>
        <v>1.0891</v>
      </c>
      <c r="I7530" s="11">
        <f t="shared" si="185"/>
        <v>0</v>
      </c>
      <c r="J7530" s="9">
        <f>MAX($F$7491:F7530)</f>
        <v>1.0891</v>
      </c>
      <c r="K7530" s="11">
        <f t="shared" si="186"/>
        <v>0</v>
      </c>
      <c r="L7530" s="9"/>
      <c r="M7530" s="11"/>
      <c r="N7530" s="9" t="s">
        <v>800</v>
      </c>
    </row>
    <row r="7531" ht="25" customHeight="1" spans="1:14">
      <c r="A7531" s="9" t="s">
        <v>203</v>
      </c>
      <c r="B7531" s="9" t="s">
        <v>202</v>
      </c>
      <c r="C7531" s="10">
        <v>46171</v>
      </c>
      <c r="D7531" s="15">
        <v>1.0072</v>
      </c>
      <c r="E7531" s="15">
        <v>1.0898</v>
      </c>
      <c r="F7531" s="15">
        <v>1.0904</v>
      </c>
      <c r="G7531" s="11">
        <v>0.0012</v>
      </c>
      <c r="H7531" s="9">
        <f>MAX($F$7477:F7531)</f>
        <v>1.0904</v>
      </c>
      <c r="I7531" s="11">
        <f t="shared" si="185"/>
        <v>0</v>
      </c>
      <c r="J7531" s="9">
        <f>MAX($F$7491:F7531)</f>
        <v>1.0904</v>
      </c>
      <c r="K7531" s="11">
        <f t="shared" si="186"/>
        <v>0</v>
      </c>
      <c r="L7531" s="9"/>
      <c r="M7531" s="11"/>
      <c r="N7531" s="9" t="s">
        <v>800</v>
      </c>
    </row>
    <row r="7532" ht="25" customHeight="1" spans="1:14">
      <c r="A7532" s="9" t="s">
        <v>203</v>
      </c>
      <c r="B7532" s="9" t="s">
        <v>202</v>
      </c>
      <c r="C7532" s="10">
        <v>46178</v>
      </c>
      <c r="D7532" s="15">
        <v>1.007</v>
      </c>
      <c r="E7532" s="15">
        <v>1.0896</v>
      </c>
      <c r="F7532" s="15">
        <v>1.0902</v>
      </c>
      <c r="G7532" s="11">
        <v>-0.0002</v>
      </c>
      <c r="H7532" s="9">
        <f>MAX($F$7477:F7532)</f>
        <v>1.0904</v>
      </c>
      <c r="I7532" s="11">
        <f t="shared" si="185"/>
        <v>0.000183418928833445</v>
      </c>
      <c r="J7532" s="9">
        <f>MAX($F$7491:F7532)</f>
        <v>1.0904</v>
      </c>
      <c r="K7532" s="11">
        <f t="shared" si="186"/>
        <v>0.000183418928833445</v>
      </c>
      <c r="L7532" s="9"/>
      <c r="M7532" s="11"/>
      <c r="N7532" s="9" t="s">
        <v>800</v>
      </c>
    </row>
    <row r="7533" ht="25" customHeight="1" spans="1:14">
      <c r="A7533" s="9" t="s">
        <v>203</v>
      </c>
      <c r="B7533" s="9" t="s">
        <v>202</v>
      </c>
      <c r="C7533" s="10">
        <v>46185</v>
      </c>
      <c r="D7533" s="15">
        <v>1.0088</v>
      </c>
      <c r="E7533" s="15">
        <v>1.0914</v>
      </c>
      <c r="F7533" s="15">
        <v>1.0921</v>
      </c>
      <c r="G7533" s="11">
        <v>0.0018</v>
      </c>
      <c r="H7533" s="9">
        <f>MAX($F$7477:F7533)</f>
        <v>1.0921</v>
      </c>
      <c r="I7533" s="11">
        <f t="shared" si="185"/>
        <v>0</v>
      </c>
      <c r="J7533" s="9">
        <f>MAX($F$7491:F7533)</f>
        <v>1.0921</v>
      </c>
      <c r="K7533" s="11">
        <f t="shared" si="186"/>
        <v>0</v>
      </c>
      <c r="L7533" s="9"/>
      <c r="M7533" s="11"/>
      <c r="N7533" s="9" t="s">
        <v>800</v>
      </c>
    </row>
    <row r="7534" ht="25" customHeight="1" spans="1:14">
      <c r="A7534" s="9" t="s">
        <v>203</v>
      </c>
      <c r="B7534" s="9" t="s">
        <v>202</v>
      </c>
      <c r="C7534" s="10">
        <v>46191</v>
      </c>
      <c r="D7534" s="15">
        <v>1.0102</v>
      </c>
      <c r="E7534" s="15">
        <v>1.0928</v>
      </c>
      <c r="F7534" s="15">
        <v>1.0936</v>
      </c>
      <c r="G7534" s="11">
        <v>0.0014</v>
      </c>
      <c r="H7534" s="9">
        <f>MAX($F$7477:F7534)</f>
        <v>1.0936</v>
      </c>
      <c r="I7534" s="11">
        <f t="shared" si="185"/>
        <v>0</v>
      </c>
      <c r="J7534" s="9">
        <f>MAX($F$7491:F7534)</f>
        <v>1.0936</v>
      </c>
      <c r="K7534" s="11">
        <f t="shared" si="186"/>
        <v>0</v>
      </c>
      <c r="L7534" s="9"/>
      <c r="M7534" s="11"/>
      <c r="N7534" s="9" t="s">
        <v>800</v>
      </c>
    </row>
    <row r="7535" ht="25" customHeight="1" spans="1:14">
      <c r="A7535" s="9" t="s">
        <v>203</v>
      </c>
      <c r="B7535" s="9" t="s">
        <v>202</v>
      </c>
      <c r="C7535" s="10">
        <v>46199</v>
      </c>
      <c r="D7535" s="15">
        <v>1.0101</v>
      </c>
      <c r="E7535" s="15">
        <v>1.0927</v>
      </c>
      <c r="F7535" s="15">
        <v>1.0935</v>
      </c>
      <c r="G7535" s="11">
        <v>-0.0001</v>
      </c>
      <c r="H7535" s="9">
        <f>MAX($F$7477:F7535)</f>
        <v>1.0936</v>
      </c>
      <c r="I7535" s="11">
        <f t="shared" si="185"/>
        <v>9.144111192394e-5</v>
      </c>
      <c r="J7535" s="9">
        <f>MAX($F$7491:F7535)</f>
        <v>1.0936</v>
      </c>
      <c r="K7535" s="11">
        <f t="shared" si="186"/>
        <v>9.144111192394e-5</v>
      </c>
      <c r="L7535" s="9"/>
      <c r="M7535" s="11"/>
      <c r="N7535" s="9" t="s">
        <v>800</v>
      </c>
    </row>
    <row r="7536" ht="25" customHeight="1" spans="1:14">
      <c r="A7536" s="9" t="s">
        <v>203</v>
      </c>
      <c r="B7536" s="9" t="s">
        <v>202</v>
      </c>
      <c r="C7536" s="10">
        <v>46206</v>
      </c>
      <c r="D7536" s="15">
        <v>1.0127</v>
      </c>
      <c r="E7536" s="15">
        <v>1.0953</v>
      </c>
      <c r="F7536" s="15">
        <v>1.0963</v>
      </c>
      <c r="G7536" s="11">
        <v>0.0026</v>
      </c>
      <c r="H7536" s="9">
        <f>MAX($F$7477:F7536)</f>
        <v>1.0963</v>
      </c>
      <c r="I7536" s="11">
        <f t="shared" si="185"/>
        <v>0</v>
      </c>
      <c r="J7536" s="9">
        <f>MAX($F$7491:F7536)</f>
        <v>1.0963</v>
      </c>
      <c r="K7536" s="11">
        <f t="shared" si="186"/>
        <v>0</v>
      </c>
      <c r="L7536" s="9"/>
      <c r="M7536" s="11"/>
      <c r="N7536" s="9" t="s">
        <v>800</v>
      </c>
    </row>
    <row r="7537" ht="25" customHeight="1" spans="1:14">
      <c r="A7537" s="9" t="s">
        <v>203</v>
      </c>
      <c r="B7537" s="9" t="s">
        <v>202</v>
      </c>
      <c r="C7537" s="10">
        <v>46213</v>
      </c>
      <c r="D7537" s="15">
        <v>1.0173</v>
      </c>
      <c r="E7537" s="15">
        <v>1.0999</v>
      </c>
      <c r="F7537" s="15">
        <v>1.1013</v>
      </c>
      <c r="G7537" s="11">
        <v>0.0045</v>
      </c>
      <c r="H7537" s="9">
        <f>MAX($F$7477:F7537)</f>
        <v>1.1013</v>
      </c>
      <c r="I7537" s="11">
        <f t="shared" si="185"/>
        <v>0</v>
      </c>
      <c r="J7537" s="9">
        <f>MAX($F$7491:F7537)</f>
        <v>1.1013</v>
      </c>
      <c r="K7537" s="11">
        <f t="shared" si="186"/>
        <v>0</v>
      </c>
      <c r="L7537" s="9"/>
      <c r="M7537" s="11"/>
      <c r="N7537" s="9" t="s">
        <v>800</v>
      </c>
    </row>
    <row r="7538" ht="25" customHeight="1" spans="1:14">
      <c r="A7538" s="9" t="s">
        <v>203</v>
      </c>
      <c r="B7538" s="9" t="s">
        <v>202</v>
      </c>
      <c r="C7538" s="10">
        <v>46220</v>
      </c>
      <c r="D7538" s="15">
        <v>1.0191</v>
      </c>
      <c r="E7538" s="15">
        <v>1.1017</v>
      </c>
      <c r="F7538" s="15">
        <v>1.1033</v>
      </c>
      <c r="G7538" s="11">
        <v>0.0018</v>
      </c>
      <c r="H7538" s="9">
        <f>MAX($F$7477:F7538)</f>
        <v>1.1033</v>
      </c>
      <c r="I7538" s="11">
        <f t="shared" si="185"/>
        <v>0</v>
      </c>
      <c r="J7538" s="9">
        <f>MAX($F$7491:F7538)</f>
        <v>1.1033</v>
      </c>
      <c r="K7538" s="11">
        <f t="shared" si="186"/>
        <v>0</v>
      </c>
      <c r="L7538" s="9"/>
      <c r="M7538" s="11"/>
      <c r="N7538" s="9" t="s">
        <v>800</v>
      </c>
    </row>
    <row r="7539" ht="25" customHeight="1" spans="1:14">
      <c r="A7539" s="9" t="s">
        <v>203</v>
      </c>
      <c r="B7539" s="9" t="s">
        <v>202</v>
      </c>
      <c r="C7539" s="10">
        <v>46227</v>
      </c>
      <c r="D7539" s="15">
        <v>1.0243</v>
      </c>
      <c r="E7539" s="15">
        <v>1.1069</v>
      </c>
      <c r="F7539" s="15">
        <v>1.1089</v>
      </c>
      <c r="G7539" s="11">
        <v>0.0051</v>
      </c>
      <c r="H7539" s="9">
        <f>MAX($F$7477:F7539)</f>
        <v>1.1089</v>
      </c>
      <c r="I7539" s="11">
        <f t="shared" si="185"/>
        <v>0</v>
      </c>
      <c r="J7539" s="9">
        <f>MAX($F$7491:F7539)</f>
        <v>1.1089</v>
      </c>
      <c r="K7539" s="11">
        <f t="shared" si="186"/>
        <v>0</v>
      </c>
      <c r="L7539" s="9"/>
      <c r="M7539" s="11"/>
      <c r="N7539" s="9" t="s">
        <v>800</v>
      </c>
    </row>
    <row r="7540" ht="25" customHeight="1" spans="1:14">
      <c r="A7540" s="9" t="s">
        <v>203</v>
      </c>
      <c r="B7540" s="9" t="s">
        <v>202</v>
      </c>
      <c r="C7540" s="10">
        <v>46232</v>
      </c>
      <c r="D7540" s="15">
        <v>1.0238</v>
      </c>
      <c r="E7540" s="15">
        <v>1.1064</v>
      </c>
      <c r="F7540" s="15">
        <v>1.1084</v>
      </c>
      <c r="G7540" s="11">
        <v>-0.0005</v>
      </c>
      <c r="H7540" s="9">
        <f>MAX($F$7477:F7540)</f>
        <v>1.1089</v>
      </c>
      <c r="I7540" s="11">
        <f t="shared" si="185"/>
        <v>0.000450897285598328</v>
      </c>
      <c r="J7540" s="9">
        <f>MAX($F$7491:F7540)</f>
        <v>1.1089</v>
      </c>
      <c r="K7540" s="11">
        <f t="shared" si="186"/>
        <v>0.000450897285598328</v>
      </c>
      <c r="L7540" s="9"/>
      <c r="M7540" s="11"/>
      <c r="N7540" s="9" t="s">
        <v>800</v>
      </c>
    </row>
    <row r="7541" ht="25" customHeight="1" spans="1:14">
      <c r="A7541" s="9" t="s">
        <v>203</v>
      </c>
      <c r="B7541" s="9" t="s">
        <v>202</v>
      </c>
      <c r="C7541" s="10">
        <v>46234</v>
      </c>
      <c r="D7541" s="15">
        <v>1.0255</v>
      </c>
      <c r="E7541" s="15">
        <v>1.1081</v>
      </c>
      <c r="F7541" s="15">
        <v>1.1102</v>
      </c>
      <c r="G7541" s="11">
        <v>0.0017</v>
      </c>
      <c r="H7541" s="9">
        <f>MAX($F$7477:F7541)</f>
        <v>1.1102</v>
      </c>
      <c r="I7541" s="11">
        <f t="shared" si="185"/>
        <v>0</v>
      </c>
      <c r="J7541" s="9">
        <f>MAX($F$7491:F7541)</f>
        <v>1.1102</v>
      </c>
      <c r="K7541" s="11">
        <f t="shared" si="186"/>
        <v>0</v>
      </c>
      <c r="L7541" s="9"/>
      <c r="M7541" s="11"/>
      <c r="N7541" s="9" t="s">
        <v>800</v>
      </c>
    </row>
    <row r="7542" ht="25" customHeight="1" spans="1:14">
      <c r="A7542" s="9" t="s">
        <v>203</v>
      </c>
      <c r="B7542" s="9" t="s">
        <v>202</v>
      </c>
      <c r="C7542" s="10">
        <v>46239</v>
      </c>
      <c r="D7542" s="15">
        <v>1.0254</v>
      </c>
      <c r="E7542" s="15">
        <v>1.108</v>
      </c>
      <c r="F7542" s="15">
        <v>1.1101</v>
      </c>
      <c r="G7542" s="11">
        <v>-0.0001</v>
      </c>
      <c r="H7542" s="9">
        <f>MAX($F$7477:F7542)</f>
        <v>1.1102</v>
      </c>
      <c r="I7542" s="11">
        <f t="shared" si="185"/>
        <v>9.00738605656981e-5</v>
      </c>
      <c r="J7542" s="9">
        <f>MAX($F$7491:F7542)</f>
        <v>1.1102</v>
      </c>
      <c r="K7542" s="11">
        <f t="shared" si="186"/>
        <v>9.00738605656981e-5</v>
      </c>
      <c r="L7542" s="9"/>
      <c r="M7542" s="11"/>
      <c r="N7542" s="9" t="s">
        <v>800</v>
      </c>
    </row>
    <row r="7543" ht="25" customHeight="1" spans="1:14">
      <c r="A7543" s="9" t="s">
        <v>203</v>
      </c>
      <c r="B7543" s="9" t="s">
        <v>202</v>
      </c>
      <c r="C7543" s="10">
        <v>46241</v>
      </c>
      <c r="D7543" s="15">
        <v>1.025</v>
      </c>
      <c r="E7543" s="15">
        <v>1.1076</v>
      </c>
      <c r="F7543" s="15">
        <v>1.1097</v>
      </c>
      <c r="G7543" s="11">
        <v>-0.0004</v>
      </c>
      <c r="H7543" s="9">
        <f>MAX($F$7477:F7543)</f>
        <v>1.1102</v>
      </c>
      <c r="I7543" s="11">
        <f t="shared" si="185"/>
        <v>0.000450369302828491</v>
      </c>
      <c r="J7543" s="9">
        <f>MAX($F$7491:F7543)</f>
        <v>1.1102</v>
      </c>
      <c r="K7543" s="11">
        <f t="shared" si="186"/>
        <v>0.000450369302828491</v>
      </c>
      <c r="L7543" s="9"/>
      <c r="M7543" s="11"/>
      <c r="N7543" s="9" t="s">
        <v>800</v>
      </c>
    </row>
    <row r="7544" ht="25" customHeight="1" spans="1:14">
      <c r="A7544" s="9" t="s">
        <v>203</v>
      </c>
      <c r="B7544" s="9" t="s">
        <v>202</v>
      </c>
      <c r="C7544" s="10">
        <v>46246</v>
      </c>
      <c r="D7544" s="15">
        <v>1.0252</v>
      </c>
      <c r="E7544" s="15">
        <v>1.1078</v>
      </c>
      <c r="F7544" s="15">
        <v>1.1099</v>
      </c>
      <c r="G7544" s="11">
        <v>0.0002</v>
      </c>
      <c r="H7544" s="9">
        <f>MAX($F$7477:F7544)</f>
        <v>1.1102</v>
      </c>
      <c r="I7544" s="11">
        <f t="shared" si="185"/>
        <v>0.000270221581696983</v>
      </c>
      <c r="J7544" s="9">
        <f>MAX($F$7491:F7544)</f>
        <v>1.1102</v>
      </c>
      <c r="K7544" s="11">
        <f t="shared" si="186"/>
        <v>0.000270221581696983</v>
      </c>
      <c r="L7544" s="9"/>
      <c r="M7544" s="11"/>
      <c r="N7544" s="9" t="s">
        <v>800</v>
      </c>
    </row>
    <row r="7545" ht="25" customHeight="1" spans="1:14">
      <c r="A7545" s="9" t="s">
        <v>203</v>
      </c>
      <c r="B7545" s="9" t="s">
        <v>202</v>
      </c>
      <c r="C7545" s="10">
        <v>46248</v>
      </c>
      <c r="D7545" s="15">
        <v>1.0256</v>
      </c>
      <c r="E7545" s="15">
        <v>1.1082</v>
      </c>
      <c r="F7545" s="15">
        <v>1.1103</v>
      </c>
      <c r="G7545" s="11">
        <v>0.0004</v>
      </c>
      <c r="H7545" s="9">
        <f>MAX($F$7477:F7545)</f>
        <v>1.1103</v>
      </c>
      <c r="I7545" s="11">
        <f t="shared" si="185"/>
        <v>0</v>
      </c>
      <c r="J7545" s="9">
        <f>MAX($F$7491:F7545)</f>
        <v>1.1103</v>
      </c>
      <c r="K7545" s="11">
        <f t="shared" si="186"/>
        <v>0</v>
      </c>
      <c r="L7545" s="9"/>
      <c r="M7545" s="11"/>
      <c r="N7545" s="9" t="s">
        <v>800</v>
      </c>
    </row>
    <row r="7546" ht="25" customHeight="1" spans="1:14">
      <c r="A7546" s="9" t="s">
        <v>203</v>
      </c>
      <c r="B7546" s="9" t="s">
        <v>202</v>
      </c>
      <c r="C7546" s="10">
        <v>46253</v>
      </c>
      <c r="D7546" s="15">
        <v>1.0249</v>
      </c>
      <c r="E7546" s="15">
        <v>1.1075</v>
      </c>
      <c r="F7546" s="15">
        <v>1.1096</v>
      </c>
      <c r="G7546" s="11">
        <v>-0.0007</v>
      </c>
      <c r="H7546" s="9">
        <f>MAX($F$7477:F7546)</f>
        <v>1.1103</v>
      </c>
      <c r="I7546" s="11">
        <f t="shared" si="185"/>
        <v>0.000630460235972352</v>
      </c>
      <c r="J7546" s="9">
        <f>MAX($F$7491:F7546)</f>
        <v>1.1103</v>
      </c>
      <c r="K7546" s="11">
        <f t="shared" si="186"/>
        <v>0.000630460235972352</v>
      </c>
      <c r="L7546" s="9"/>
      <c r="M7546" s="11"/>
      <c r="N7546" s="9" t="s">
        <v>800</v>
      </c>
    </row>
    <row r="7547" ht="25" customHeight="1" spans="1:14">
      <c r="A7547" s="9" t="s">
        <v>203</v>
      </c>
      <c r="B7547" s="9" t="s">
        <v>202</v>
      </c>
      <c r="C7547" s="10">
        <v>46255</v>
      </c>
      <c r="D7547" s="15">
        <v>1.0247</v>
      </c>
      <c r="E7547" s="15">
        <v>1.1073</v>
      </c>
      <c r="F7547" s="15">
        <v>1.1093</v>
      </c>
      <c r="G7547" s="11">
        <v>-0.0002</v>
      </c>
      <c r="H7547" s="9">
        <f>MAX($F$7477:F7547)</f>
        <v>1.1103</v>
      </c>
      <c r="I7547" s="11">
        <f t="shared" si="185"/>
        <v>0.000900657479960487</v>
      </c>
      <c r="J7547" s="9">
        <f>MAX($F$7491:F7547)</f>
        <v>1.1103</v>
      </c>
      <c r="K7547" s="11">
        <f t="shared" si="186"/>
        <v>0.000900657479960487</v>
      </c>
      <c r="L7547" s="9"/>
      <c r="M7547" s="11"/>
      <c r="N7547" s="9" t="s">
        <v>800</v>
      </c>
    </row>
    <row r="7548" ht="25" customHeight="1" spans="1:14">
      <c r="A7548" s="9" t="s">
        <v>203</v>
      </c>
      <c r="B7548" s="9" t="s">
        <v>202</v>
      </c>
      <c r="C7548" s="10">
        <v>46260</v>
      </c>
      <c r="D7548" s="15">
        <v>1.0256</v>
      </c>
      <c r="E7548" s="15">
        <v>1.1082</v>
      </c>
      <c r="F7548" s="15">
        <v>1.1103</v>
      </c>
      <c r="G7548" s="11">
        <v>0.0009</v>
      </c>
      <c r="H7548" s="9">
        <f>MAX($F$7477:F7548)</f>
        <v>1.1103</v>
      </c>
      <c r="I7548" s="11">
        <f t="shared" si="185"/>
        <v>0</v>
      </c>
      <c r="J7548" s="9">
        <f>MAX($F$7491:F7548)</f>
        <v>1.1103</v>
      </c>
      <c r="K7548" s="11">
        <f t="shared" si="186"/>
        <v>0</v>
      </c>
      <c r="L7548" s="9"/>
      <c r="M7548" s="11"/>
      <c r="N7548" s="9" t="s">
        <v>800</v>
      </c>
    </row>
    <row r="7549" ht="25" customHeight="1" spans="1:14">
      <c r="A7549" s="9" t="s">
        <v>203</v>
      </c>
      <c r="B7549" s="9" t="s">
        <v>202</v>
      </c>
      <c r="C7549" s="10">
        <v>46262</v>
      </c>
      <c r="D7549" s="15">
        <v>1.0257</v>
      </c>
      <c r="E7549" s="15">
        <v>1.1083</v>
      </c>
      <c r="F7549" s="15">
        <v>1.1104</v>
      </c>
      <c r="G7549" s="11">
        <v>0.0001</v>
      </c>
      <c r="H7549" s="9">
        <f>MAX($F$7477:F7549)</f>
        <v>1.1104</v>
      </c>
      <c r="I7549" s="11">
        <f t="shared" si="185"/>
        <v>0</v>
      </c>
      <c r="J7549" s="9">
        <f>MAX($F$7491:F7549)</f>
        <v>1.1104</v>
      </c>
      <c r="K7549" s="11">
        <f t="shared" si="186"/>
        <v>0</v>
      </c>
      <c r="L7549" s="9"/>
      <c r="M7549" s="11"/>
      <c r="N7549" s="9" t="s">
        <v>800</v>
      </c>
    </row>
    <row r="7550" ht="25" customHeight="1" spans="1:14">
      <c r="A7550" s="9" t="s">
        <v>203</v>
      </c>
      <c r="B7550" s="9" t="s">
        <v>202</v>
      </c>
      <c r="C7550" s="10">
        <v>46265</v>
      </c>
      <c r="D7550" s="15">
        <v>1.0252</v>
      </c>
      <c r="E7550" s="15">
        <v>1.1078</v>
      </c>
      <c r="F7550" s="15">
        <v>1.1099</v>
      </c>
      <c r="G7550" s="11">
        <v>-0.0005</v>
      </c>
      <c r="H7550" s="9">
        <f>MAX($F$7477:F7550)</f>
        <v>1.1104</v>
      </c>
      <c r="I7550" s="11">
        <f t="shared" si="185"/>
        <v>0.000450288184438041</v>
      </c>
      <c r="J7550" s="9">
        <f>MAX($F$7491:F7550)</f>
        <v>1.1104</v>
      </c>
      <c r="K7550" s="11">
        <f t="shared" si="186"/>
        <v>0.000450288184438041</v>
      </c>
      <c r="L7550" s="9"/>
      <c r="M7550" s="11"/>
      <c r="N7550" s="9" t="s">
        <v>800</v>
      </c>
    </row>
    <row r="7551" ht="25" customHeight="1" spans="1:14">
      <c r="A7551" s="9" t="s">
        <v>260</v>
      </c>
      <c r="B7551" s="9" t="s">
        <v>259</v>
      </c>
      <c r="C7551" s="10">
        <v>46154</v>
      </c>
      <c r="D7551" s="15">
        <v>1.0868</v>
      </c>
      <c r="E7551" s="15">
        <v>1.0868</v>
      </c>
      <c r="F7551" s="15">
        <v>1.0868</v>
      </c>
      <c r="G7551" s="11"/>
      <c r="H7551" s="9">
        <f>MAX($F$7551:F7551)</f>
        <v>1.0868</v>
      </c>
      <c r="I7551" s="11">
        <f t="shared" si="185"/>
        <v>0</v>
      </c>
      <c r="J7551" s="9"/>
      <c r="K7551" s="11"/>
      <c r="L7551" s="9"/>
      <c r="M7551" s="11"/>
      <c r="N7551" s="9" t="s">
        <v>1016</v>
      </c>
    </row>
    <row r="7552" ht="25" customHeight="1" spans="1:14">
      <c r="A7552" s="9" t="s">
        <v>260</v>
      </c>
      <c r="B7552" s="9" t="s">
        <v>259</v>
      </c>
      <c r="C7552" s="10">
        <v>46156</v>
      </c>
      <c r="D7552" s="15">
        <v>1.0878</v>
      </c>
      <c r="E7552" s="15">
        <v>1.0878</v>
      </c>
      <c r="F7552" s="15">
        <v>1.0878</v>
      </c>
      <c r="G7552" s="11">
        <v>0.0009</v>
      </c>
      <c r="H7552" s="9">
        <f>MAX($F$7551:F7552)</f>
        <v>1.0878</v>
      </c>
      <c r="I7552" s="11">
        <f t="shared" si="185"/>
        <v>0</v>
      </c>
      <c r="J7552" s="9"/>
      <c r="K7552" s="11"/>
      <c r="L7552" s="9"/>
      <c r="M7552" s="11"/>
      <c r="N7552" s="9" t="s">
        <v>1016</v>
      </c>
    </row>
    <row r="7553" ht="25" customHeight="1" spans="1:14">
      <c r="A7553" s="9" t="s">
        <v>260</v>
      </c>
      <c r="B7553" s="9" t="s">
        <v>259</v>
      </c>
      <c r="C7553" s="10">
        <v>46157</v>
      </c>
      <c r="D7553" s="15">
        <v>1.0889</v>
      </c>
      <c r="E7553" s="15">
        <v>1.0889</v>
      </c>
      <c r="F7553" s="15">
        <v>1.0889</v>
      </c>
      <c r="G7553" s="11">
        <v>0.001</v>
      </c>
      <c r="H7553" s="9">
        <f>MAX($F$7551:F7553)</f>
        <v>1.0889</v>
      </c>
      <c r="I7553" s="11">
        <f t="shared" si="185"/>
        <v>0</v>
      </c>
      <c r="J7553" s="9"/>
      <c r="K7553" s="11"/>
      <c r="L7553" s="9"/>
      <c r="M7553" s="11"/>
      <c r="N7553" s="9" t="s">
        <v>1016</v>
      </c>
    </row>
    <row r="7554" ht="25" customHeight="1" spans="1:14">
      <c r="A7554" s="9" t="s">
        <v>260</v>
      </c>
      <c r="B7554" s="9" t="s">
        <v>259</v>
      </c>
      <c r="C7554" s="10">
        <v>46160</v>
      </c>
      <c r="D7554" s="15">
        <v>1.0889</v>
      </c>
      <c r="E7554" s="15">
        <v>1.0889</v>
      </c>
      <c r="F7554" s="15">
        <v>1.0889</v>
      </c>
      <c r="G7554" s="11">
        <v>0</v>
      </c>
      <c r="H7554" s="9">
        <f>MAX($F$7551:F7554)</f>
        <v>1.0889</v>
      </c>
      <c r="I7554" s="11">
        <f t="shared" ref="I7554:I7617" si="187">1-F7554/H7554</f>
        <v>0</v>
      </c>
      <c r="J7554" s="9"/>
      <c r="K7554" s="11"/>
      <c r="L7554" s="9"/>
      <c r="M7554" s="11"/>
      <c r="N7554" s="9" t="s">
        <v>1016</v>
      </c>
    </row>
    <row r="7555" ht="25" customHeight="1" spans="1:14">
      <c r="A7555" s="9" t="s">
        <v>260</v>
      </c>
      <c r="B7555" s="9" t="s">
        <v>259</v>
      </c>
      <c r="C7555" s="10">
        <v>46161</v>
      </c>
      <c r="D7555" s="15">
        <v>1.0897</v>
      </c>
      <c r="E7555" s="15">
        <v>1.0897</v>
      </c>
      <c r="F7555" s="15">
        <v>1.0897</v>
      </c>
      <c r="G7555" s="11">
        <v>0.0007</v>
      </c>
      <c r="H7555" s="9">
        <f>MAX($F$7551:F7555)</f>
        <v>1.0897</v>
      </c>
      <c r="I7555" s="11">
        <f t="shared" si="187"/>
        <v>0</v>
      </c>
      <c r="J7555" s="9"/>
      <c r="K7555" s="11"/>
      <c r="L7555" s="9"/>
      <c r="M7555" s="11"/>
      <c r="N7555" s="9" t="s">
        <v>1016</v>
      </c>
    </row>
    <row r="7556" ht="25" customHeight="1" spans="1:14">
      <c r="A7556" s="9" t="s">
        <v>260</v>
      </c>
      <c r="B7556" s="9" t="s">
        <v>259</v>
      </c>
      <c r="C7556" s="10">
        <v>46162</v>
      </c>
      <c r="D7556" s="15">
        <v>1.0899</v>
      </c>
      <c r="E7556" s="15">
        <v>1.0899</v>
      </c>
      <c r="F7556" s="15">
        <v>1.0899</v>
      </c>
      <c r="G7556" s="11">
        <v>0.0002</v>
      </c>
      <c r="H7556" s="9">
        <f>MAX($F$7551:F7556)</f>
        <v>1.0899</v>
      </c>
      <c r="I7556" s="11">
        <f t="shared" si="187"/>
        <v>0</v>
      </c>
      <c r="J7556" s="9"/>
      <c r="K7556" s="11"/>
      <c r="L7556" s="9"/>
      <c r="M7556" s="11"/>
      <c r="N7556" s="9" t="s">
        <v>1016</v>
      </c>
    </row>
    <row r="7557" ht="25" customHeight="1" spans="1:14">
      <c r="A7557" s="9" t="s">
        <v>260</v>
      </c>
      <c r="B7557" s="9" t="s">
        <v>259</v>
      </c>
      <c r="C7557" s="10">
        <v>46163</v>
      </c>
      <c r="D7557" s="15">
        <v>1.0914</v>
      </c>
      <c r="E7557" s="15">
        <v>1.0914</v>
      </c>
      <c r="F7557" s="15">
        <v>1.0914</v>
      </c>
      <c r="G7557" s="11">
        <v>0.0014</v>
      </c>
      <c r="H7557" s="9">
        <f>MAX($F$7551:F7557)</f>
        <v>1.0914</v>
      </c>
      <c r="I7557" s="11">
        <f t="shared" si="187"/>
        <v>0</v>
      </c>
      <c r="J7557" s="9"/>
      <c r="K7557" s="11"/>
      <c r="L7557" s="9"/>
      <c r="M7557" s="11"/>
      <c r="N7557" s="9" t="s">
        <v>1016</v>
      </c>
    </row>
    <row r="7558" ht="25" customHeight="1" spans="1:14">
      <c r="A7558" s="9" t="s">
        <v>260</v>
      </c>
      <c r="B7558" s="9" t="s">
        <v>259</v>
      </c>
      <c r="C7558" s="10">
        <v>46164</v>
      </c>
      <c r="D7558" s="15">
        <v>1.0921</v>
      </c>
      <c r="E7558" s="15">
        <v>1.0921</v>
      </c>
      <c r="F7558" s="15">
        <v>1.0921</v>
      </c>
      <c r="G7558" s="11">
        <v>0.0006</v>
      </c>
      <c r="H7558" s="9">
        <f>MAX($F$7551:F7558)</f>
        <v>1.0921</v>
      </c>
      <c r="I7558" s="11">
        <f t="shared" si="187"/>
        <v>0</v>
      </c>
      <c r="J7558" s="9"/>
      <c r="K7558" s="11"/>
      <c r="L7558" s="9"/>
      <c r="M7558" s="11"/>
      <c r="N7558" s="9" t="s">
        <v>1016</v>
      </c>
    </row>
    <row r="7559" ht="25" customHeight="1" spans="1:14">
      <c r="A7559" s="9" t="s">
        <v>260</v>
      </c>
      <c r="B7559" s="9" t="s">
        <v>259</v>
      </c>
      <c r="C7559" s="10">
        <v>46167</v>
      </c>
      <c r="D7559" s="15">
        <v>1.0922</v>
      </c>
      <c r="E7559" s="15">
        <v>1.0922</v>
      </c>
      <c r="F7559" s="15">
        <v>1.0922</v>
      </c>
      <c r="G7559" s="11">
        <v>0.0001</v>
      </c>
      <c r="H7559" s="9">
        <f>MAX($F$7551:F7559)</f>
        <v>1.0922</v>
      </c>
      <c r="I7559" s="11">
        <f t="shared" si="187"/>
        <v>0</v>
      </c>
      <c r="J7559" s="9"/>
      <c r="K7559" s="11"/>
      <c r="L7559" s="9"/>
      <c r="M7559" s="11"/>
      <c r="N7559" s="9" t="s">
        <v>1016</v>
      </c>
    </row>
    <row r="7560" ht="25" customHeight="1" spans="1:14">
      <c r="A7560" s="9" t="s">
        <v>260</v>
      </c>
      <c r="B7560" s="9" t="s">
        <v>259</v>
      </c>
      <c r="C7560" s="10">
        <v>46168</v>
      </c>
      <c r="D7560" s="15">
        <v>1.0927</v>
      </c>
      <c r="E7560" s="15">
        <v>1.0927</v>
      </c>
      <c r="F7560" s="15">
        <v>1.0927</v>
      </c>
      <c r="G7560" s="11">
        <v>0.0005</v>
      </c>
      <c r="H7560" s="9">
        <f>MAX($F$7551:F7560)</f>
        <v>1.0927</v>
      </c>
      <c r="I7560" s="11">
        <f t="shared" si="187"/>
        <v>0</v>
      </c>
      <c r="J7560" s="9"/>
      <c r="K7560" s="11"/>
      <c r="L7560" s="9"/>
      <c r="M7560" s="11"/>
      <c r="N7560" s="9" t="s">
        <v>1016</v>
      </c>
    </row>
    <row r="7561" ht="25" customHeight="1" spans="1:14">
      <c r="A7561" s="9" t="s">
        <v>260</v>
      </c>
      <c r="B7561" s="9" t="s">
        <v>259</v>
      </c>
      <c r="C7561" s="10">
        <v>46169</v>
      </c>
      <c r="D7561" s="15">
        <v>1.0938</v>
      </c>
      <c r="E7561" s="15">
        <v>1.0938</v>
      </c>
      <c r="F7561" s="15">
        <v>1.0938</v>
      </c>
      <c r="G7561" s="11">
        <v>0.001</v>
      </c>
      <c r="H7561" s="9">
        <f>MAX($F$7551:F7561)</f>
        <v>1.0938</v>
      </c>
      <c r="I7561" s="11">
        <f t="shared" si="187"/>
        <v>0</v>
      </c>
      <c r="J7561" s="9"/>
      <c r="K7561" s="11"/>
      <c r="L7561" s="9"/>
      <c r="M7561" s="11"/>
      <c r="N7561" s="9" t="s">
        <v>1016</v>
      </c>
    </row>
    <row r="7562" ht="25" customHeight="1" spans="1:14">
      <c r="A7562" s="9" t="s">
        <v>260</v>
      </c>
      <c r="B7562" s="9" t="s">
        <v>259</v>
      </c>
      <c r="C7562" s="10">
        <v>46170</v>
      </c>
      <c r="D7562" s="15">
        <v>1.0943</v>
      </c>
      <c r="E7562" s="15">
        <v>1.0943</v>
      </c>
      <c r="F7562" s="15">
        <v>1.0943</v>
      </c>
      <c r="G7562" s="11">
        <v>0.0005</v>
      </c>
      <c r="H7562" s="9">
        <f>MAX($F$7551:F7562)</f>
        <v>1.0943</v>
      </c>
      <c r="I7562" s="11">
        <f t="shared" si="187"/>
        <v>0</v>
      </c>
      <c r="J7562" s="9"/>
      <c r="K7562" s="11"/>
      <c r="L7562" s="9"/>
      <c r="M7562" s="11"/>
      <c r="N7562" s="9" t="s">
        <v>1016</v>
      </c>
    </row>
    <row r="7563" ht="25" customHeight="1" spans="1:14">
      <c r="A7563" s="9" t="s">
        <v>260</v>
      </c>
      <c r="B7563" s="9" t="s">
        <v>259</v>
      </c>
      <c r="C7563" s="10">
        <v>46171</v>
      </c>
      <c r="D7563" s="15">
        <v>1.0952</v>
      </c>
      <c r="E7563" s="15">
        <v>1.0952</v>
      </c>
      <c r="F7563" s="15">
        <v>1.0952</v>
      </c>
      <c r="G7563" s="11">
        <v>0.0008</v>
      </c>
      <c r="H7563" s="9">
        <f>MAX($F$7551:F7563)</f>
        <v>1.0952</v>
      </c>
      <c r="I7563" s="11">
        <f t="shared" si="187"/>
        <v>0</v>
      </c>
      <c r="J7563" s="9"/>
      <c r="K7563" s="11"/>
      <c r="L7563" s="9"/>
      <c r="M7563" s="11"/>
      <c r="N7563" s="9" t="s">
        <v>1016</v>
      </c>
    </row>
    <row r="7564" ht="25" customHeight="1" spans="1:14">
      <c r="A7564" s="9" t="s">
        <v>260</v>
      </c>
      <c r="B7564" s="9" t="s">
        <v>259</v>
      </c>
      <c r="C7564" s="10">
        <v>46174</v>
      </c>
      <c r="D7564" s="15">
        <v>1.0954</v>
      </c>
      <c r="E7564" s="15">
        <v>1.0954</v>
      </c>
      <c r="F7564" s="15">
        <v>1.0954</v>
      </c>
      <c r="G7564" s="11">
        <v>0.0002</v>
      </c>
      <c r="H7564" s="9">
        <f>MAX($F$7551:F7564)</f>
        <v>1.0954</v>
      </c>
      <c r="I7564" s="11">
        <f t="shared" si="187"/>
        <v>0</v>
      </c>
      <c r="J7564" s="9"/>
      <c r="K7564" s="11"/>
      <c r="L7564" s="9"/>
      <c r="M7564" s="11"/>
      <c r="N7564" s="9" t="s">
        <v>1016</v>
      </c>
    </row>
    <row r="7565" ht="25" customHeight="1" spans="1:14">
      <c r="A7565" s="9" t="s">
        <v>260</v>
      </c>
      <c r="B7565" s="9" t="s">
        <v>259</v>
      </c>
      <c r="C7565" s="10">
        <v>46175</v>
      </c>
      <c r="D7565" s="15">
        <v>1.0956</v>
      </c>
      <c r="E7565" s="15">
        <v>1.0956</v>
      </c>
      <c r="F7565" s="15">
        <v>1.0956</v>
      </c>
      <c r="G7565" s="11">
        <v>0.0002</v>
      </c>
      <c r="H7565" s="9">
        <f>MAX($F$7551:F7565)</f>
        <v>1.0956</v>
      </c>
      <c r="I7565" s="11">
        <f t="shared" si="187"/>
        <v>0</v>
      </c>
      <c r="J7565" s="9"/>
      <c r="K7565" s="11"/>
      <c r="L7565" s="9"/>
      <c r="M7565" s="11"/>
      <c r="N7565" s="9" t="s">
        <v>1016</v>
      </c>
    </row>
    <row r="7566" ht="25" customHeight="1" spans="1:14">
      <c r="A7566" s="9" t="s">
        <v>260</v>
      </c>
      <c r="B7566" s="9" t="s">
        <v>259</v>
      </c>
      <c r="C7566" s="10">
        <v>46176</v>
      </c>
      <c r="D7566" s="15">
        <v>1.0959</v>
      </c>
      <c r="E7566" s="15">
        <v>1.0959</v>
      </c>
      <c r="F7566" s="15">
        <v>1.0959</v>
      </c>
      <c r="G7566" s="11">
        <v>0.0003</v>
      </c>
      <c r="H7566" s="9">
        <f>MAX($F$7551:F7566)</f>
        <v>1.0959</v>
      </c>
      <c r="I7566" s="11">
        <f t="shared" si="187"/>
        <v>0</v>
      </c>
      <c r="J7566" s="9"/>
      <c r="K7566" s="11"/>
      <c r="L7566" s="9"/>
      <c r="M7566" s="11"/>
      <c r="N7566" s="9" t="s">
        <v>1016</v>
      </c>
    </row>
    <row r="7567" ht="25" customHeight="1" spans="1:14">
      <c r="A7567" s="9" t="s">
        <v>260</v>
      </c>
      <c r="B7567" s="9" t="s">
        <v>259</v>
      </c>
      <c r="C7567" s="10">
        <v>46177</v>
      </c>
      <c r="D7567" s="15">
        <v>1.0962</v>
      </c>
      <c r="E7567" s="15">
        <v>1.0962</v>
      </c>
      <c r="F7567" s="15">
        <v>1.0962</v>
      </c>
      <c r="G7567" s="11">
        <v>0.0003</v>
      </c>
      <c r="H7567" s="9">
        <f>MAX($F$7551:F7567)</f>
        <v>1.0962</v>
      </c>
      <c r="I7567" s="11">
        <f t="shared" si="187"/>
        <v>0</v>
      </c>
      <c r="J7567" s="9"/>
      <c r="K7567" s="11"/>
      <c r="L7567" s="9"/>
      <c r="M7567" s="11"/>
      <c r="N7567" s="9" t="s">
        <v>1016</v>
      </c>
    </row>
    <row r="7568" ht="25" customHeight="1" spans="1:14">
      <c r="A7568" s="9" t="s">
        <v>260</v>
      </c>
      <c r="B7568" s="9" t="s">
        <v>259</v>
      </c>
      <c r="C7568" s="10">
        <v>46178</v>
      </c>
      <c r="D7568" s="15">
        <v>1.0969</v>
      </c>
      <c r="E7568" s="15">
        <v>1.0969</v>
      </c>
      <c r="F7568" s="15">
        <v>1.0969</v>
      </c>
      <c r="G7568" s="11">
        <v>0.0006</v>
      </c>
      <c r="H7568" s="9">
        <f>MAX($F$7551:F7568)</f>
        <v>1.0969</v>
      </c>
      <c r="I7568" s="11">
        <f t="shared" si="187"/>
        <v>0</v>
      </c>
      <c r="J7568" s="9"/>
      <c r="K7568" s="11"/>
      <c r="L7568" s="9"/>
      <c r="M7568" s="11"/>
      <c r="N7568" s="9" t="s">
        <v>1016</v>
      </c>
    </row>
    <row r="7569" ht="25" customHeight="1" spans="1:14">
      <c r="A7569" s="9" t="s">
        <v>260</v>
      </c>
      <c r="B7569" s="9" t="s">
        <v>259</v>
      </c>
      <c r="C7569" s="10">
        <v>46181</v>
      </c>
      <c r="D7569" s="15">
        <v>1.0967</v>
      </c>
      <c r="E7569" s="15">
        <v>1.0967</v>
      </c>
      <c r="F7569" s="15">
        <v>1.0967</v>
      </c>
      <c r="G7569" s="11">
        <v>-0.0002</v>
      </c>
      <c r="H7569" s="9">
        <f>MAX($F$7551:F7569)</f>
        <v>1.0969</v>
      </c>
      <c r="I7569" s="11">
        <f t="shared" si="187"/>
        <v>0.000182332026620435</v>
      </c>
      <c r="J7569" s="9"/>
      <c r="K7569" s="11"/>
      <c r="L7569" s="9"/>
      <c r="M7569" s="11"/>
      <c r="N7569" s="9" t="s">
        <v>1016</v>
      </c>
    </row>
    <row r="7570" ht="25" customHeight="1" spans="1:14">
      <c r="A7570" s="9" t="s">
        <v>260</v>
      </c>
      <c r="B7570" s="9" t="s">
        <v>259</v>
      </c>
      <c r="C7570" s="10">
        <v>46182</v>
      </c>
      <c r="D7570" s="15">
        <v>1.0975</v>
      </c>
      <c r="E7570" s="15">
        <v>1.0975</v>
      </c>
      <c r="F7570" s="15">
        <v>1.0975</v>
      </c>
      <c r="G7570" s="11">
        <v>0.0007</v>
      </c>
      <c r="H7570" s="9">
        <f>MAX($F$7551:F7570)</f>
        <v>1.0975</v>
      </c>
      <c r="I7570" s="11">
        <f t="shared" si="187"/>
        <v>0</v>
      </c>
      <c r="J7570" s="9"/>
      <c r="K7570" s="11"/>
      <c r="L7570" s="9"/>
      <c r="M7570" s="11"/>
      <c r="N7570" s="9" t="s">
        <v>1016</v>
      </c>
    </row>
    <row r="7571" ht="25" customHeight="1" spans="1:14">
      <c r="A7571" s="9" t="s">
        <v>260</v>
      </c>
      <c r="B7571" s="9" t="s">
        <v>259</v>
      </c>
      <c r="C7571" s="10">
        <v>46183</v>
      </c>
      <c r="D7571" s="15">
        <v>1.0977</v>
      </c>
      <c r="E7571" s="15">
        <v>1.0977</v>
      </c>
      <c r="F7571" s="15">
        <v>1.0977</v>
      </c>
      <c r="G7571" s="11">
        <v>0.0002</v>
      </c>
      <c r="H7571" s="9">
        <f>MAX($F$7551:F7571)</f>
        <v>1.0977</v>
      </c>
      <c r="I7571" s="11">
        <f t="shared" si="187"/>
        <v>0</v>
      </c>
      <c r="J7571" s="9"/>
      <c r="K7571" s="11"/>
      <c r="L7571" s="9"/>
      <c r="M7571" s="11"/>
      <c r="N7571" s="9" t="s">
        <v>1016</v>
      </c>
    </row>
    <row r="7572" ht="25" customHeight="1" spans="1:14">
      <c r="A7572" s="9" t="s">
        <v>260</v>
      </c>
      <c r="B7572" s="9" t="s">
        <v>259</v>
      </c>
      <c r="C7572" s="10">
        <v>46184</v>
      </c>
      <c r="D7572" s="15">
        <v>1.0982</v>
      </c>
      <c r="E7572" s="15">
        <v>1.0982</v>
      </c>
      <c r="F7572" s="15">
        <v>1.0982</v>
      </c>
      <c r="G7572" s="11">
        <v>0.0005</v>
      </c>
      <c r="H7572" s="9">
        <f>MAX($F$7551:F7572)</f>
        <v>1.0982</v>
      </c>
      <c r="I7572" s="11">
        <f t="shared" si="187"/>
        <v>0</v>
      </c>
      <c r="J7572" s="9"/>
      <c r="K7572" s="11"/>
      <c r="L7572" s="9"/>
      <c r="M7572" s="11"/>
      <c r="N7572" s="9" t="s">
        <v>1016</v>
      </c>
    </row>
    <row r="7573" ht="25" customHeight="1" spans="1:14">
      <c r="A7573" s="9" t="s">
        <v>260</v>
      </c>
      <c r="B7573" s="9" t="s">
        <v>259</v>
      </c>
      <c r="C7573" s="10">
        <v>46185</v>
      </c>
      <c r="D7573" s="15">
        <v>1.0988</v>
      </c>
      <c r="E7573" s="15">
        <v>1.0988</v>
      </c>
      <c r="F7573" s="15">
        <v>1.0988</v>
      </c>
      <c r="G7573" s="11">
        <v>0.0005</v>
      </c>
      <c r="H7573" s="9">
        <f>MAX($F$7551:F7573)</f>
        <v>1.0988</v>
      </c>
      <c r="I7573" s="11">
        <f t="shared" si="187"/>
        <v>0</v>
      </c>
      <c r="J7573" s="9"/>
      <c r="K7573" s="11"/>
      <c r="L7573" s="9"/>
      <c r="M7573" s="11"/>
      <c r="N7573" s="9" t="s">
        <v>1016</v>
      </c>
    </row>
    <row r="7574" ht="25" customHeight="1" spans="1:14">
      <c r="A7574" s="9" t="s">
        <v>260</v>
      </c>
      <c r="B7574" s="9" t="s">
        <v>259</v>
      </c>
      <c r="C7574" s="10">
        <v>46188</v>
      </c>
      <c r="D7574" s="15">
        <v>1.0984</v>
      </c>
      <c r="E7574" s="15">
        <v>1.0984</v>
      </c>
      <c r="F7574" s="15">
        <v>1.0984</v>
      </c>
      <c r="G7574" s="11">
        <v>-0.0004</v>
      </c>
      <c r="H7574" s="9">
        <f>MAX($F$7551:F7574)</f>
        <v>1.0988</v>
      </c>
      <c r="I7574" s="11">
        <f t="shared" si="187"/>
        <v>0.000364033491081162</v>
      </c>
      <c r="J7574" s="9"/>
      <c r="K7574" s="11"/>
      <c r="L7574" s="9"/>
      <c r="M7574" s="11"/>
      <c r="N7574" s="9" t="s">
        <v>1016</v>
      </c>
    </row>
    <row r="7575" ht="25" customHeight="1" spans="1:14">
      <c r="A7575" s="9" t="s">
        <v>260</v>
      </c>
      <c r="B7575" s="9" t="s">
        <v>259</v>
      </c>
      <c r="C7575" s="10">
        <v>46189</v>
      </c>
      <c r="D7575" s="15">
        <v>1.0993</v>
      </c>
      <c r="E7575" s="15">
        <v>1.0993</v>
      </c>
      <c r="F7575" s="15">
        <v>1.0993</v>
      </c>
      <c r="G7575" s="11">
        <v>0.0008</v>
      </c>
      <c r="H7575" s="9">
        <f>MAX($F$7551:F7575)</f>
        <v>1.0993</v>
      </c>
      <c r="I7575" s="11">
        <f t="shared" si="187"/>
        <v>0</v>
      </c>
      <c r="J7575" s="9"/>
      <c r="K7575" s="11"/>
      <c r="L7575" s="9"/>
      <c r="M7575" s="11"/>
      <c r="N7575" s="9" t="s">
        <v>1016</v>
      </c>
    </row>
    <row r="7576" ht="25" customHeight="1" spans="1:14">
      <c r="A7576" s="9" t="s">
        <v>260</v>
      </c>
      <c r="B7576" s="9" t="s">
        <v>259</v>
      </c>
      <c r="C7576" s="10">
        <v>46190</v>
      </c>
      <c r="D7576" s="15">
        <v>1.0991</v>
      </c>
      <c r="E7576" s="15">
        <v>1.0991</v>
      </c>
      <c r="F7576" s="15">
        <v>1.0991</v>
      </c>
      <c r="G7576" s="11">
        <v>-0.0002</v>
      </c>
      <c r="H7576" s="9">
        <f>MAX($F$7551:F7576)</f>
        <v>1.0993</v>
      </c>
      <c r="I7576" s="11">
        <f t="shared" si="187"/>
        <v>0.000181933957973279</v>
      </c>
      <c r="J7576" s="9"/>
      <c r="K7576" s="11"/>
      <c r="L7576" s="9"/>
      <c r="M7576" s="11"/>
      <c r="N7576" s="9" t="s">
        <v>1016</v>
      </c>
    </row>
    <row r="7577" ht="25" customHeight="1" spans="1:14">
      <c r="A7577" s="9" t="s">
        <v>260</v>
      </c>
      <c r="B7577" s="9" t="s">
        <v>259</v>
      </c>
      <c r="C7577" s="10">
        <v>46191</v>
      </c>
      <c r="D7577" s="15">
        <v>1.1</v>
      </c>
      <c r="E7577" s="15">
        <v>1.1</v>
      </c>
      <c r="F7577" s="15">
        <v>1.1</v>
      </c>
      <c r="G7577" s="11">
        <v>0.0008</v>
      </c>
      <c r="H7577" s="9">
        <f>MAX($F$7551:F7577)</f>
        <v>1.1</v>
      </c>
      <c r="I7577" s="11">
        <f t="shared" si="187"/>
        <v>0</v>
      </c>
      <c r="J7577" s="9"/>
      <c r="K7577" s="11"/>
      <c r="L7577" s="9"/>
      <c r="M7577" s="11"/>
      <c r="N7577" s="9" t="s">
        <v>1016</v>
      </c>
    </row>
    <row r="7578" ht="25" customHeight="1" spans="1:14">
      <c r="A7578" s="9" t="s">
        <v>260</v>
      </c>
      <c r="B7578" s="9" t="s">
        <v>259</v>
      </c>
      <c r="C7578" s="10">
        <v>46195</v>
      </c>
      <c r="D7578" s="15">
        <v>1.1004</v>
      </c>
      <c r="E7578" s="15">
        <v>1.1004</v>
      </c>
      <c r="F7578" s="15">
        <v>1.1004</v>
      </c>
      <c r="G7578" s="11">
        <v>0.0004</v>
      </c>
      <c r="H7578" s="9">
        <f>MAX($F$7551:F7578)</f>
        <v>1.1004</v>
      </c>
      <c r="I7578" s="11">
        <f t="shared" si="187"/>
        <v>0</v>
      </c>
      <c r="J7578" s="9"/>
      <c r="K7578" s="11"/>
      <c r="L7578" s="9"/>
      <c r="M7578" s="11"/>
      <c r="N7578" s="9" t="s">
        <v>1016</v>
      </c>
    </row>
    <row r="7579" ht="25" customHeight="1" spans="1:14">
      <c r="A7579" s="9" t="s">
        <v>260</v>
      </c>
      <c r="B7579" s="9" t="s">
        <v>259</v>
      </c>
      <c r="C7579" s="10">
        <v>46196</v>
      </c>
      <c r="D7579" s="15">
        <v>1.101</v>
      </c>
      <c r="E7579" s="15">
        <v>1.101</v>
      </c>
      <c r="F7579" s="15">
        <v>1.101</v>
      </c>
      <c r="G7579" s="11">
        <v>0.0005</v>
      </c>
      <c r="H7579" s="9">
        <f>MAX($F$7551:F7579)</f>
        <v>1.101</v>
      </c>
      <c r="I7579" s="11">
        <f t="shared" si="187"/>
        <v>0</v>
      </c>
      <c r="J7579" s="9"/>
      <c r="K7579" s="11"/>
      <c r="L7579" s="9"/>
      <c r="M7579" s="11"/>
      <c r="N7579" s="9" t="s">
        <v>1016</v>
      </c>
    </row>
    <row r="7580" ht="25" customHeight="1" spans="1:14">
      <c r="A7580" s="9" t="s">
        <v>260</v>
      </c>
      <c r="B7580" s="9" t="s">
        <v>259</v>
      </c>
      <c r="C7580" s="10">
        <v>46197</v>
      </c>
      <c r="D7580" s="15">
        <v>1.1012</v>
      </c>
      <c r="E7580" s="15">
        <v>1.1012</v>
      </c>
      <c r="F7580" s="15">
        <v>1.1012</v>
      </c>
      <c r="G7580" s="11">
        <v>0.0002</v>
      </c>
      <c r="H7580" s="9">
        <f>MAX($F$7551:F7580)</f>
        <v>1.1012</v>
      </c>
      <c r="I7580" s="11">
        <f t="shared" si="187"/>
        <v>0</v>
      </c>
      <c r="J7580" s="9"/>
      <c r="K7580" s="11"/>
      <c r="L7580" s="9"/>
      <c r="M7580" s="11"/>
      <c r="N7580" s="9" t="s">
        <v>1016</v>
      </c>
    </row>
    <row r="7581" ht="25" customHeight="1" spans="1:14">
      <c r="A7581" s="9" t="s">
        <v>260</v>
      </c>
      <c r="B7581" s="9" t="s">
        <v>259</v>
      </c>
      <c r="C7581" s="10">
        <v>46198</v>
      </c>
      <c r="D7581" s="15">
        <v>1.1018</v>
      </c>
      <c r="E7581" s="15">
        <v>1.1018</v>
      </c>
      <c r="F7581" s="15">
        <v>1.1018</v>
      </c>
      <c r="G7581" s="11">
        <v>0.0005</v>
      </c>
      <c r="H7581" s="9">
        <f>MAX($F$7551:F7581)</f>
        <v>1.1018</v>
      </c>
      <c r="I7581" s="11">
        <f t="shared" si="187"/>
        <v>0</v>
      </c>
      <c r="J7581" s="9"/>
      <c r="K7581" s="11"/>
      <c r="L7581" s="9"/>
      <c r="M7581" s="11"/>
      <c r="N7581" s="9" t="s">
        <v>1016</v>
      </c>
    </row>
    <row r="7582" ht="25" customHeight="1" spans="1:14">
      <c r="A7582" s="9" t="s">
        <v>260</v>
      </c>
      <c r="B7582" s="9" t="s">
        <v>259</v>
      </c>
      <c r="C7582" s="10">
        <v>46199</v>
      </c>
      <c r="D7582" s="15">
        <v>1.1017</v>
      </c>
      <c r="E7582" s="15">
        <v>1.1017</v>
      </c>
      <c r="F7582" s="15">
        <v>1.1017</v>
      </c>
      <c r="G7582" s="11">
        <v>-0.0001</v>
      </c>
      <c r="H7582" s="9">
        <f>MAX($F$7551:F7582)</f>
        <v>1.1018</v>
      </c>
      <c r="I7582" s="11">
        <f t="shared" si="187"/>
        <v>9.07605736067962e-5</v>
      </c>
      <c r="J7582" s="9"/>
      <c r="K7582" s="11"/>
      <c r="L7582" s="9"/>
      <c r="M7582" s="11"/>
      <c r="N7582" s="9" t="s">
        <v>1016</v>
      </c>
    </row>
    <row r="7583" ht="25" customHeight="1" spans="1:14">
      <c r="A7583" s="9" t="s">
        <v>260</v>
      </c>
      <c r="B7583" s="9" t="s">
        <v>259</v>
      </c>
      <c r="C7583" s="10">
        <v>46202</v>
      </c>
      <c r="D7583" s="15">
        <v>1.1022</v>
      </c>
      <c r="E7583" s="15">
        <v>1.1022</v>
      </c>
      <c r="F7583" s="15">
        <v>1.1022</v>
      </c>
      <c r="G7583" s="11">
        <v>0.0005</v>
      </c>
      <c r="H7583" s="9">
        <f>MAX($F$7551:F7583)</f>
        <v>1.1022</v>
      </c>
      <c r="I7583" s="11">
        <f t="shared" si="187"/>
        <v>0</v>
      </c>
      <c r="J7583" s="9"/>
      <c r="K7583" s="11"/>
      <c r="L7583" s="9"/>
      <c r="M7583" s="11"/>
      <c r="N7583" s="9" t="s">
        <v>1016</v>
      </c>
    </row>
    <row r="7584" ht="25" customHeight="1" spans="1:14">
      <c r="A7584" s="9" t="s">
        <v>260</v>
      </c>
      <c r="B7584" s="9" t="s">
        <v>259</v>
      </c>
      <c r="C7584" s="10">
        <v>46203</v>
      </c>
      <c r="D7584" s="15">
        <v>1.1027</v>
      </c>
      <c r="E7584" s="15">
        <v>1.1027</v>
      </c>
      <c r="F7584" s="15">
        <v>1.1027</v>
      </c>
      <c r="G7584" s="11">
        <v>0.0005</v>
      </c>
      <c r="H7584" s="9">
        <f>MAX($F$7551:F7584)</f>
        <v>1.1027</v>
      </c>
      <c r="I7584" s="11">
        <f t="shared" si="187"/>
        <v>0</v>
      </c>
      <c r="J7584" s="9"/>
      <c r="K7584" s="11"/>
      <c r="L7584" s="9"/>
      <c r="M7584" s="11"/>
      <c r="N7584" s="9" t="s">
        <v>1016</v>
      </c>
    </row>
    <row r="7585" ht="25" customHeight="1" spans="1:14">
      <c r="A7585" s="9" t="s">
        <v>260</v>
      </c>
      <c r="B7585" s="9" t="s">
        <v>259</v>
      </c>
      <c r="C7585" s="10">
        <v>46204</v>
      </c>
      <c r="D7585" s="15">
        <v>1.103</v>
      </c>
      <c r="E7585" s="15">
        <v>1.103</v>
      </c>
      <c r="F7585" s="15">
        <v>1.103</v>
      </c>
      <c r="G7585" s="11">
        <v>0.0003</v>
      </c>
      <c r="H7585" s="9">
        <f>MAX($F$7551:F7585)</f>
        <v>1.103</v>
      </c>
      <c r="I7585" s="11">
        <f t="shared" si="187"/>
        <v>0</v>
      </c>
      <c r="J7585" s="9"/>
      <c r="K7585" s="11"/>
      <c r="L7585" s="9"/>
      <c r="M7585" s="11"/>
      <c r="N7585" s="9" t="s">
        <v>1016</v>
      </c>
    </row>
    <row r="7586" ht="25" customHeight="1" spans="1:14">
      <c r="A7586" s="9" t="s">
        <v>260</v>
      </c>
      <c r="B7586" s="9" t="s">
        <v>259</v>
      </c>
      <c r="C7586" s="10">
        <v>46205</v>
      </c>
      <c r="D7586" s="15">
        <v>1.1032</v>
      </c>
      <c r="E7586" s="15">
        <v>1.1032</v>
      </c>
      <c r="F7586" s="15">
        <v>1.1032</v>
      </c>
      <c r="G7586" s="11">
        <v>0.0002</v>
      </c>
      <c r="H7586" s="9">
        <f>MAX($F$7551:F7586)</f>
        <v>1.1032</v>
      </c>
      <c r="I7586" s="11">
        <f t="shared" si="187"/>
        <v>0</v>
      </c>
      <c r="J7586" s="9"/>
      <c r="K7586" s="11"/>
      <c r="L7586" s="9"/>
      <c r="M7586" s="11"/>
      <c r="N7586" s="9" t="s">
        <v>1016</v>
      </c>
    </row>
    <row r="7587" ht="25" customHeight="1" spans="1:14">
      <c r="A7587" s="9" t="s">
        <v>260</v>
      </c>
      <c r="B7587" s="9" t="s">
        <v>259</v>
      </c>
      <c r="C7587" s="10">
        <v>46206</v>
      </c>
      <c r="D7587" s="15">
        <v>1.104</v>
      </c>
      <c r="E7587" s="15">
        <v>1.104</v>
      </c>
      <c r="F7587" s="15">
        <v>1.104</v>
      </c>
      <c r="G7587" s="11">
        <v>0.0007</v>
      </c>
      <c r="H7587" s="9">
        <f>MAX($F$7551:F7587)</f>
        <v>1.104</v>
      </c>
      <c r="I7587" s="11">
        <f t="shared" si="187"/>
        <v>0</v>
      </c>
      <c r="J7587" s="9"/>
      <c r="K7587" s="11"/>
      <c r="L7587" s="9"/>
      <c r="M7587" s="11"/>
      <c r="N7587" s="9" t="s">
        <v>1016</v>
      </c>
    </row>
    <row r="7588" ht="25" customHeight="1" spans="1:14">
      <c r="A7588" s="9" t="s">
        <v>260</v>
      </c>
      <c r="B7588" s="9" t="s">
        <v>259</v>
      </c>
      <c r="C7588" s="10">
        <v>46209</v>
      </c>
      <c r="D7588" s="15">
        <v>1.1041</v>
      </c>
      <c r="E7588" s="15">
        <v>1.1041</v>
      </c>
      <c r="F7588" s="15">
        <v>1.1041</v>
      </c>
      <c r="G7588" s="11">
        <v>0.0001</v>
      </c>
      <c r="H7588" s="9">
        <f>MAX($F$7551:F7588)</f>
        <v>1.1041</v>
      </c>
      <c r="I7588" s="11">
        <f t="shared" si="187"/>
        <v>0</v>
      </c>
      <c r="J7588" s="9"/>
      <c r="K7588" s="11"/>
      <c r="L7588" s="9"/>
      <c r="M7588" s="11"/>
      <c r="N7588" s="9" t="s">
        <v>1016</v>
      </c>
    </row>
    <row r="7589" ht="25" customHeight="1" spans="1:14">
      <c r="A7589" s="9" t="s">
        <v>260</v>
      </c>
      <c r="B7589" s="9" t="s">
        <v>259</v>
      </c>
      <c r="C7589" s="10">
        <v>46210</v>
      </c>
      <c r="D7589" s="15">
        <v>1.1042</v>
      </c>
      <c r="E7589" s="15">
        <v>1.1042</v>
      </c>
      <c r="F7589" s="15">
        <v>1.1042</v>
      </c>
      <c r="G7589" s="11">
        <v>0.0001</v>
      </c>
      <c r="H7589" s="9">
        <f>MAX($F$7551:F7589)</f>
        <v>1.1042</v>
      </c>
      <c r="I7589" s="11">
        <f t="shared" si="187"/>
        <v>0</v>
      </c>
      <c r="J7589" s="9"/>
      <c r="K7589" s="11"/>
      <c r="L7589" s="9"/>
      <c r="M7589" s="11"/>
      <c r="N7589" s="9" t="s">
        <v>1016</v>
      </c>
    </row>
    <row r="7590" ht="25" customHeight="1" spans="1:14">
      <c r="A7590" s="9" t="s">
        <v>260</v>
      </c>
      <c r="B7590" s="9" t="s">
        <v>259</v>
      </c>
      <c r="C7590" s="10">
        <v>46211</v>
      </c>
      <c r="D7590" s="15">
        <v>1.1037</v>
      </c>
      <c r="E7590" s="15">
        <v>1.1037</v>
      </c>
      <c r="F7590" s="15">
        <v>1.1037</v>
      </c>
      <c r="G7590" s="11">
        <v>-0.0005</v>
      </c>
      <c r="H7590" s="9">
        <f>MAX($F$7551:F7590)</f>
        <v>1.1042</v>
      </c>
      <c r="I7590" s="11">
        <f t="shared" si="187"/>
        <v>0.000452816518746735</v>
      </c>
      <c r="J7590" s="9"/>
      <c r="K7590" s="11"/>
      <c r="L7590" s="9"/>
      <c r="M7590" s="11"/>
      <c r="N7590" s="9" t="s">
        <v>1016</v>
      </c>
    </row>
    <row r="7591" ht="25" customHeight="1" spans="1:14">
      <c r="A7591" s="9" t="s">
        <v>260</v>
      </c>
      <c r="B7591" s="9" t="s">
        <v>259</v>
      </c>
      <c r="C7591" s="10">
        <v>46212</v>
      </c>
      <c r="D7591" s="15">
        <v>1.1053</v>
      </c>
      <c r="E7591" s="15">
        <v>1.1053</v>
      </c>
      <c r="F7591" s="15">
        <v>1.1053</v>
      </c>
      <c r="G7591" s="11">
        <v>0.0014</v>
      </c>
      <c r="H7591" s="9">
        <f>MAX($F$7551:F7591)</f>
        <v>1.1053</v>
      </c>
      <c r="I7591" s="11">
        <f t="shared" si="187"/>
        <v>0</v>
      </c>
      <c r="J7591" s="9"/>
      <c r="K7591" s="11"/>
      <c r="L7591" s="9"/>
      <c r="M7591" s="11"/>
      <c r="N7591" s="9" t="s">
        <v>1016</v>
      </c>
    </row>
    <row r="7592" ht="25" customHeight="1" spans="1:14">
      <c r="A7592" s="9" t="s">
        <v>260</v>
      </c>
      <c r="B7592" s="9" t="s">
        <v>259</v>
      </c>
      <c r="C7592" s="10">
        <v>46213</v>
      </c>
      <c r="D7592" s="15">
        <v>1.1058</v>
      </c>
      <c r="E7592" s="15">
        <v>1.1058</v>
      </c>
      <c r="F7592" s="15">
        <v>1.1058</v>
      </c>
      <c r="G7592" s="11">
        <v>0.0005</v>
      </c>
      <c r="H7592" s="9">
        <f>MAX($F$7551:F7592)</f>
        <v>1.1058</v>
      </c>
      <c r="I7592" s="11">
        <f t="shared" si="187"/>
        <v>0</v>
      </c>
      <c r="J7592" s="9"/>
      <c r="K7592" s="11"/>
      <c r="L7592" s="9"/>
      <c r="M7592" s="11"/>
      <c r="N7592" s="9" t="s">
        <v>1016</v>
      </c>
    </row>
    <row r="7593" ht="25" customHeight="1" spans="1:14">
      <c r="A7593" s="9" t="s">
        <v>260</v>
      </c>
      <c r="B7593" s="9" t="s">
        <v>259</v>
      </c>
      <c r="C7593" s="10">
        <v>46216</v>
      </c>
      <c r="D7593" s="15">
        <v>1.105</v>
      </c>
      <c r="E7593" s="15">
        <v>1.105</v>
      </c>
      <c r="F7593" s="15">
        <v>1.105</v>
      </c>
      <c r="G7593" s="11">
        <v>-0.0007</v>
      </c>
      <c r="H7593" s="9">
        <f>MAX($F$7551:F7593)</f>
        <v>1.1058</v>
      </c>
      <c r="I7593" s="11">
        <f t="shared" si="187"/>
        <v>0.000723458129860632</v>
      </c>
      <c r="J7593" s="9"/>
      <c r="K7593" s="11"/>
      <c r="L7593" s="9"/>
      <c r="M7593" s="11"/>
      <c r="N7593" s="9" t="s">
        <v>1016</v>
      </c>
    </row>
    <row r="7594" ht="25" customHeight="1" spans="1:14">
      <c r="A7594" s="9" t="s">
        <v>260</v>
      </c>
      <c r="B7594" s="9" t="s">
        <v>259</v>
      </c>
      <c r="C7594" s="10">
        <v>46217</v>
      </c>
      <c r="D7594" s="15">
        <v>1.1074</v>
      </c>
      <c r="E7594" s="15">
        <v>1.1074</v>
      </c>
      <c r="F7594" s="15">
        <v>1.1074</v>
      </c>
      <c r="G7594" s="11">
        <v>0.0022</v>
      </c>
      <c r="H7594" s="9">
        <f>MAX($F$7551:F7594)</f>
        <v>1.1074</v>
      </c>
      <c r="I7594" s="11">
        <f t="shared" si="187"/>
        <v>0</v>
      </c>
      <c r="J7594" s="9"/>
      <c r="K7594" s="11"/>
      <c r="L7594" s="9"/>
      <c r="M7594" s="11"/>
      <c r="N7594" s="9" t="s">
        <v>1016</v>
      </c>
    </row>
    <row r="7595" ht="25" customHeight="1" spans="1:14">
      <c r="A7595" s="9" t="s">
        <v>260</v>
      </c>
      <c r="B7595" s="9" t="s">
        <v>259</v>
      </c>
      <c r="C7595" s="10">
        <v>46218</v>
      </c>
      <c r="D7595" s="15">
        <v>1.1078</v>
      </c>
      <c r="E7595" s="15">
        <v>1.1078</v>
      </c>
      <c r="F7595" s="15">
        <v>1.1078</v>
      </c>
      <c r="G7595" s="11">
        <v>0.0004</v>
      </c>
      <c r="H7595" s="9">
        <f>MAX($F$7551:F7595)</f>
        <v>1.1078</v>
      </c>
      <c r="I7595" s="11">
        <f t="shared" si="187"/>
        <v>0</v>
      </c>
      <c r="J7595" s="9"/>
      <c r="K7595" s="11"/>
      <c r="L7595" s="9"/>
      <c r="M7595" s="11"/>
      <c r="N7595" s="9" t="s">
        <v>1016</v>
      </c>
    </row>
    <row r="7596" ht="25" customHeight="1" spans="1:14">
      <c r="A7596" s="9" t="s">
        <v>260</v>
      </c>
      <c r="B7596" s="9" t="s">
        <v>259</v>
      </c>
      <c r="C7596" s="10">
        <v>46219</v>
      </c>
      <c r="D7596" s="15">
        <v>1.1085</v>
      </c>
      <c r="E7596" s="15">
        <v>1.1085</v>
      </c>
      <c r="F7596" s="15">
        <v>1.1085</v>
      </c>
      <c r="G7596" s="11">
        <v>0.0006</v>
      </c>
      <c r="H7596" s="9">
        <f>MAX($F$7551:F7596)</f>
        <v>1.1085</v>
      </c>
      <c r="I7596" s="11">
        <f t="shared" si="187"/>
        <v>0</v>
      </c>
      <c r="J7596" s="9"/>
      <c r="K7596" s="11"/>
      <c r="L7596" s="9"/>
      <c r="M7596" s="11"/>
      <c r="N7596" s="9" t="s">
        <v>1016</v>
      </c>
    </row>
    <row r="7597" ht="25" customHeight="1" spans="1:14">
      <c r="A7597" s="9" t="s">
        <v>260</v>
      </c>
      <c r="B7597" s="9" t="s">
        <v>259</v>
      </c>
      <c r="C7597" s="10">
        <v>46220</v>
      </c>
      <c r="D7597" s="15">
        <v>1.1098</v>
      </c>
      <c r="E7597" s="15">
        <v>1.1098</v>
      </c>
      <c r="F7597" s="15">
        <v>1.1098</v>
      </c>
      <c r="G7597" s="11">
        <v>0.0012</v>
      </c>
      <c r="H7597" s="9">
        <f>MAX($F$7551:F7597)</f>
        <v>1.1098</v>
      </c>
      <c r="I7597" s="11">
        <f t="shared" si="187"/>
        <v>0</v>
      </c>
      <c r="J7597" s="9"/>
      <c r="K7597" s="11"/>
      <c r="L7597" s="9"/>
      <c r="M7597" s="11"/>
      <c r="N7597" s="9" t="s">
        <v>1016</v>
      </c>
    </row>
    <row r="7598" ht="25" customHeight="1" spans="1:14">
      <c r="A7598" s="9" t="s">
        <v>260</v>
      </c>
      <c r="B7598" s="9" t="s">
        <v>259</v>
      </c>
      <c r="C7598" s="10">
        <v>46223</v>
      </c>
      <c r="D7598" s="15">
        <v>1.1117</v>
      </c>
      <c r="E7598" s="15">
        <v>1.1117</v>
      </c>
      <c r="F7598" s="15">
        <v>1.1117</v>
      </c>
      <c r="G7598" s="11">
        <v>0.0017</v>
      </c>
      <c r="H7598" s="9">
        <f>MAX($F$7551:F7598)</f>
        <v>1.1117</v>
      </c>
      <c r="I7598" s="11">
        <f t="shared" si="187"/>
        <v>0</v>
      </c>
      <c r="J7598" s="9"/>
      <c r="K7598" s="11"/>
      <c r="L7598" s="9"/>
      <c r="M7598" s="11"/>
      <c r="N7598" s="9" t="s">
        <v>1016</v>
      </c>
    </row>
    <row r="7599" ht="25" customHeight="1" spans="1:14">
      <c r="A7599" s="9" t="s">
        <v>260</v>
      </c>
      <c r="B7599" s="9" t="s">
        <v>259</v>
      </c>
      <c r="C7599" s="10">
        <v>46224</v>
      </c>
      <c r="D7599" s="15">
        <v>1.1165</v>
      </c>
      <c r="E7599" s="15">
        <v>1.1165</v>
      </c>
      <c r="F7599" s="15">
        <v>1.1165</v>
      </c>
      <c r="G7599" s="11">
        <v>0.0043</v>
      </c>
      <c r="H7599" s="9">
        <f>MAX($F$7551:F7599)</f>
        <v>1.1165</v>
      </c>
      <c r="I7599" s="11">
        <f t="shared" si="187"/>
        <v>0</v>
      </c>
      <c r="J7599" s="9"/>
      <c r="K7599" s="11"/>
      <c r="L7599" s="9"/>
      <c r="M7599" s="11"/>
      <c r="N7599" s="9" t="s">
        <v>1016</v>
      </c>
    </row>
    <row r="7600" ht="25" customHeight="1" spans="1:14">
      <c r="A7600" s="9" t="s">
        <v>260</v>
      </c>
      <c r="B7600" s="9" t="s">
        <v>259</v>
      </c>
      <c r="C7600" s="10">
        <v>46225</v>
      </c>
      <c r="D7600" s="15">
        <v>1.1177</v>
      </c>
      <c r="E7600" s="15">
        <v>1.1177</v>
      </c>
      <c r="F7600" s="15">
        <v>1.1177</v>
      </c>
      <c r="G7600" s="11">
        <v>0.0011</v>
      </c>
      <c r="H7600" s="9">
        <f>MAX($F$7551:F7600)</f>
        <v>1.1177</v>
      </c>
      <c r="I7600" s="11">
        <f t="shared" si="187"/>
        <v>0</v>
      </c>
      <c r="J7600" s="9"/>
      <c r="K7600" s="11"/>
      <c r="L7600" s="9"/>
      <c r="M7600" s="11"/>
      <c r="N7600" s="9" t="s">
        <v>1016</v>
      </c>
    </row>
    <row r="7601" ht="25" customHeight="1" spans="1:14">
      <c r="A7601" s="9" t="s">
        <v>260</v>
      </c>
      <c r="B7601" s="9" t="s">
        <v>259</v>
      </c>
      <c r="C7601" s="10">
        <v>46226</v>
      </c>
      <c r="D7601" s="15">
        <v>1.1181</v>
      </c>
      <c r="E7601" s="15">
        <v>1.1181</v>
      </c>
      <c r="F7601" s="15">
        <v>1.1181</v>
      </c>
      <c r="G7601" s="11">
        <v>0.0004</v>
      </c>
      <c r="H7601" s="9">
        <f>MAX($F$7551:F7601)</f>
        <v>1.1181</v>
      </c>
      <c r="I7601" s="11">
        <f t="shared" si="187"/>
        <v>0</v>
      </c>
      <c r="J7601" s="9"/>
      <c r="K7601" s="11"/>
      <c r="L7601" s="9"/>
      <c r="M7601" s="11"/>
      <c r="N7601" s="9" t="s">
        <v>1016</v>
      </c>
    </row>
    <row r="7602" ht="25" customHeight="1" spans="1:14">
      <c r="A7602" s="9" t="s">
        <v>260</v>
      </c>
      <c r="B7602" s="9" t="s">
        <v>259</v>
      </c>
      <c r="C7602" s="10">
        <v>46227</v>
      </c>
      <c r="D7602" s="15">
        <v>1.1186</v>
      </c>
      <c r="E7602" s="15">
        <v>1.1186</v>
      </c>
      <c r="F7602" s="15">
        <v>1.1186</v>
      </c>
      <c r="G7602" s="11">
        <v>0.0004</v>
      </c>
      <c r="H7602" s="9">
        <f>MAX($F$7551:F7602)</f>
        <v>1.1186</v>
      </c>
      <c r="I7602" s="11">
        <f t="shared" si="187"/>
        <v>0</v>
      </c>
      <c r="J7602" s="9"/>
      <c r="K7602" s="11"/>
      <c r="L7602" s="9"/>
      <c r="M7602" s="11"/>
      <c r="N7602" s="9" t="s">
        <v>1016</v>
      </c>
    </row>
    <row r="7603" ht="25" customHeight="1" spans="1:14">
      <c r="A7603" s="9" t="s">
        <v>260</v>
      </c>
      <c r="B7603" s="9" t="s">
        <v>259</v>
      </c>
      <c r="C7603" s="10">
        <v>46230</v>
      </c>
      <c r="D7603" s="15">
        <v>1.1196</v>
      </c>
      <c r="E7603" s="15">
        <v>1.1196</v>
      </c>
      <c r="F7603" s="15">
        <v>1.1196</v>
      </c>
      <c r="G7603" s="11">
        <v>0.0009</v>
      </c>
      <c r="H7603" s="9">
        <f>MAX($F$7551:F7603)</f>
        <v>1.1196</v>
      </c>
      <c r="I7603" s="11">
        <f t="shared" si="187"/>
        <v>0</v>
      </c>
      <c r="J7603" s="9"/>
      <c r="K7603" s="11"/>
      <c r="L7603" s="9"/>
      <c r="M7603" s="11"/>
      <c r="N7603" s="9" t="s">
        <v>1016</v>
      </c>
    </row>
    <row r="7604" ht="25" customHeight="1" spans="1:14">
      <c r="A7604" s="9" t="s">
        <v>260</v>
      </c>
      <c r="B7604" s="9" t="s">
        <v>259</v>
      </c>
      <c r="C7604" s="10">
        <v>46231</v>
      </c>
      <c r="D7604" s="15">
        <v>1.1198</v>
      </c>
      <c r="E7604" s="15">
        <v>1.1198</v>
      </c>
      <c r="F7604" s="15">
        <v>1.1198</v>
      </c>
      <c r="G7604" s="11">
        <v>0.0002</v>
      </c>
      <c r="H7604" s="9">
        <f>MAX($F$7551:F7604)</f>
        <v>1.1198</v>
      </c>
      <c r="I7604" s="11">
        <f t="shared" si="187"/>
        <v>0</v>
      </c>
      <c r="J7604" s="9"/>
      <c r="K7604" s="11"/>
      <c r="L7604" s="9"/>
      <c r="M7604" s="11"/>
      <c r="N7604" s="9" t="s">
        <v>1016</v>
      </c>
    </row>
    <row r="7605" ht="25" customHeight="1" spans="1:14">
      <c r="A7605" s="9" t="s">
        <v>260</v>
      </c>
      <c r="B7605" s="9" t="s">
        <v>259</v>
      </c>
      <c r="C7605" s="10">
        <v>46232</v>
      </c>
      <c r="D7605" s="15">
        <v>1.1208</v>
      </c>
      <c r="E7605" s="15">
        <v>1.1208</v>
      </c>
      <c r="F7605" s="15">
        <v>1.1208</v>
      </c>
      <c r="G7605" s="11">
        <v>0.0009</v>
      </c>
      <c r="H7605" s="9">
        <f>MAX($F$7551:F7605)</f>
        <v>1.1208</v>
      </c>
      <c r="I7605" s="11">
        <f t="shared" si="187"/>
        <v>0</v>
      </c>
      <c r="J7605" s="9"/>
      <c r="K7605" s="11"/>
      <c r="L7605" s="9"/>
      <c r="M7605" s="11"/>
      <c r="N7605" s="9" t="s">
        <v>1016</v>
      </c>
    </row>
    <row r="7606" ht="25" customHeight="1" spans="1:14">
      <c r="A7606" s="9" t="s">
        <v>260</v>
      </c>
      <c r="B7606" s="9" t="s">
        <v>259</v>
      </c>
      <c r="C7606" s="10">
        <v>46233</v>
      </c>
      <c r="D7606" s="15">
        <v>1.121</v>
      </c>
      <c r="E7606" s="15">
        <v>1.121</v>
      </c>
      <c r="F7606" s="15">
        <v>1.121</v>
      </c>
      <c r="G7606" s="11">
        <v>0.0002</v>
      </c>
      <c r="H7606" s="9">
        <f>MAX($F$7551:F7606)</f>
        <v>1.121</v>
      </c>
      <c r="I7606" s="11">
        <f t="shared" si="187"/>
        <v>0</v>
      </c>
      <c r="J7606" s="9"/>
      <c r="K7606" s="11"/>
      <c r="L7606" s="9"/>
      <c r="M7606" s="11"/>
      <c r="N7606" s="9" t="s">
        <v>1016</v>
      </c>
    </row>
    <row r="7607" ht="25" customHeight="1" spans="1:14">
      <c r="A7607" s="9" t="s">
        <v>260</v>
      </c>
      <c r="B7607" s="9" t="s">
        <v>259</v>
      </c>
      <c r="C7607" s="10">
        <v>46234</v>
      </c>
      <c r="D7607" s="15">
        <v>1.1224</v>
      </c>
      <c r="E7607" s="15">
        <v>1.1224</v>
      </c>
      <c r="F7607" s="15">
        <v>1.1224</v>
      </c>
      <c r="G7607" s="11">
        <v>0.0012</v>
      </c>
      <c r="H7607" s="9">
        <f>MAX($F$7551:F7607)</f>
        <v>1.1224</v>
      </c>
      <c r="I7607" s="11">
        <f t="shared" si="187"/>
        <v>0</v>
      </c>
      <c r="J7607" s="9"/>
      <c r="K7607" s="11"/>
      <c r="L7607" s="9"/>
      <c r="M7607" s="11"/>
      <c r="N7607" s="9" t="s">
        <v>1016</v>
      </c>
    </row>
    <row r="7608" ht="25" customHeight="1" spans="1:14">
      <c r="A7608" s="9" t="s">
        <v>260</v>
      </c>
      <c r="B7608" s="9" t="s">
        <v>259</v>
      </c>
      <c r="C7608" s="10">
        <v>46237</v>
      </c>
      <c r="D7608" s="15">
        <v>1.1223</v>
      </c>
      <c r="E7608" s="15">
        <v>1.1223</v>
      </c>
      <c r="F7608" s="15">
        <v>1.1223</v>
      </c>
      <c r="G7608" s="11">
        <v>-0.0001</v>
      </c>
      <c r="H7608" s="9">
        <f>MAX($F$7551:F7608)</f>
        <v>1.1224</v>
      </c>
      <c r="I7608" s="11">
        <f t="shared" si="187"/>
        <v>8.90947968638089e-5</v>
      </c>
      <c r="J7608" s="9"/>
      <c r="K7608" s="11"/>
      <c r="L7608" s="9"/>
      <c r="M7608" s="11"/>
      <c r="N7608" s="9" t="s">
        <v>1016</v>
      </c>
    </row>
    <row r="7609" ht="25" customHeight="1" spans="1:14">
      <c r="A7609" s="9" t="s">
        <v>260</v>
      </c>
      <c r="B7609" s="9" t="s">
        <v>259</v>
      </c>
      <c r="C7609" s="10">
        <v>46238</v>
      </c>
      <c r="D7609" s="15">
        <v>1.1242</v>
      </c>
      <c r="E7609" s="15">
        <v>1.1242</v>
      </c>
      <c r="F7609" s="15">
        <v>1.1242</v>
      </c>
      <c r="G7609" s="11">
        <v>0.0017</v>
      </c>
      <c r="H7609" s="9">
        <f>MAX($F$7551:F7609)</f>
        <v>1.1242</v>
      </c>
      <c r="I7609" s="11">
        <f t="shared" si="187"/>
        <v>0</v>
      </c>
      <c r="J7609" s="9"/>
      <c r="K7609" s="11"/>
      <c r="L7609" s="9"/>
      <c r="M7609" s="11"/>
      <c r="N7609" s="9" t="s">
        <v>1016</v>
      </c>
    </row>
    <row r="7610" ht="25" customHeight="1" spans="1:14">
      <c r="A7610" s="9" t="s">
        <v>260</v>
      </c>
      <c r="B7610" s="9" t="s">
        <v>259</v>
      </c>
      <c r="C7610" s="10">
        <v>46239</v>
      </c>
      <c r="D7610" s="15">
        <v>1.1252</v>
      </c>
      <c r="E7610" s="15">
        <v>1.1252</v>
      </c>
      <c r="F7610" s="15">
        <v>1.1252</v>
      </c>
      <c r="G7610" s="11">
        <v>0.0009</v>
      </c>
      <c r="H7610" s="9">
        <f>MAX($F$7551:F7610)</f>
        <v>1.1252</v>
      </c>
      <c r="I7610" s="11">
        <f t="shared" si="187"/>
        <v>0</v>
      </c>
      <c r="J7610" s="9"/>
      <c r="K7610" s="11"/>
      <c r="L7610" s="9"/>
      <c r="M7610" s="11"/>
      <c r="N7610" s="9" t="s">
        <v>1016</v>
      </c>
    </row>
    <row r="7611" ht="25" customHeight="1" spans="1:14">
      <c r="A7611" s="9" t="s">
        <v>260</v>
      </c>
      <c r="B7611" s="9" t="s">
        <v>259</v>
      </c>
      <c r="C7611" s="10">
        <v>46240</v>
      </c>
      <c r="D7611" s="15">
        <v>1.1257</v>
      </c>
      <c r="E7611" s="15">
        <v>1.1257</v>
      </c>
      <c r="F7611" s="15">
        <v>1.1257</v>
      </c>
      <c r="G7611" s="11">
        <v>0.0004</v>
      </c>
      <c r="H7611" s="9">
        <f>MAX($F$7551:F7611)</f>
        <v>1.1257</v>
      </c>
      <c r="I7611" s="11">
        <f t="shared" si="187"/>
        <v>0</v>
      </c>
      <c r="J7611" s="9"/>
      <c r="K7611" s="11"/>
      <c r="L7611" s="9"/>
      <c r="M7611" s="11"/>
      <c r="N7611" s="9" t="s">
        <v>1016</v>
      </c>
    </row>
    <row r="7612" ht="25" customHeight="1" spans="1:14">
      <c r="A7612" s="9" t="s">
        <v>260</v>
      </c>
      <c r="B7612" s="9" t="s">
        <v>259</v>
      </c>
      <c r="C7612" s="10">
        <v>46241</v>
      </c>
      <c r="D7612" s="15">
        <v>1.1268</v>
      </c>
      <c r="E7612" s="15">
        <v>1.1268</v>
      </c>
      <c r="F7612" s="15">
        <v>1.1268</v>
      </c>
      <c r="G7612" s="11">
        <v>0.001</v>
      </c>
      <c r="H7612" s="9">
        <f>MAX($F$7551:F7612)</f>
        <v>1.1268</v>
      </c>
      <c r="I7612" s="11">
        <f t="shared" si="187"/>
        <v>0</v>
      </c>
      <c r="J7612" s="9"/>
      <c r="K7612" s="11"/>
      <c r="L7612" s="9"/>
      <c r="M7612" s="11"/>
      <c r="N7612" s="9" t="s">
        <v>1016</v>
      </c>
    </row>
    <row r="7613" ht="25" customHeight="1" spans="1:14">
      <c r="A7613" s="9" t="s">
        <v>260</v>
      </c>
      <c r="B7613" s="9" t="s">
        <v>259</v>
      </c>
      <c r="C7613" s="10">
        <v>46244</v>
      </c>
      <c r="D7613" s="15">
        <v>1.1272</v>
      </c>
      <c r="E7613" s="15">
        <v>1.1272</v>
      </c>
      <c r="F7613" s="15">
        <v>1.1272</v>
      </c>
      <c r="G7613" s="11">
        <v>0.0004</v>
      </c>
      <c r="H7613" s="9">
        <f>MAX($F$7551:F7613)</f>
        <v>1.1272</v>
      </c>
      <c r="I7613" s="11">
        <f t="shared" si="187"/>
        <v>0</v>
      </c>
      <c r="J7613" s="9"/>
      <c r="K7613" s="11"/>
      <c r="L7613" s="9"/>
      <c r="M7613" s="11"/>
      <c r="N7613" s="9" t="s">
        <v>1016</v>
      </c>
    </row>
    <row r="7614" ht="25" customHeight="1" spans="1:14">
      <c r="A7614" s="9" t="s">
        <v>260</v>
      </c>
      <c r="B7614" s="9" t="s">
        <v>259</v>
      </c>
      <c r="C7614" s="10">
        <v>46245</v>
      </c>
      <c r="D7614" s="15">
        <v>1.1276</v>
      </c>
      <c r="E7614" s="15">
        <v>1.1276</v>
      </c>
      <c r="F7614" s="15">
        <v>1.1276</v>
      </c>
      <c r="G7614" s="11">
        <v>0.0004</v>
      </c>
      <c r="H7614" s="9">
        <f>MAX($F$7551:F7614)</f>
        <v>1.1276</v>
      </c>
      <c r="I7614" s="11">
        <f t="shared" si="187"/>
        <v>0</v>
      </c>
      <c r="J7614" s="9"/>
      <c r="K7614" s="11"/>
      <c r="L7614" s="9"/>
      <c r="M7614" s="11"/>
      <c r="N7614" s="9" t="s">
        <v>1016</v>
      </c>
    </row>
    <row r="7615" ht="25" customHeight="1" spans="1:14">
      <c r="A7615" s="9" t="s">
        <v>260</v>
      </c>
      <c r="B7615" s="9" t="s">
        <v>259</v>
      </c>
      <c r="C7615" s="10">
        <v>46246</v>
      </c>
      <c r="D7615" s="15">
        <v>1.1278</v>
      </c>
      <c r="E7615" s="15">
        <v>1.1278</v>
      </c>
      <c r="F7615" s="15">
        <v>1.1278</v>
      </c>
      <c r="G7615" s="11">
        <v>0.0002</v>
      </c>
      <c r="H7615" s="9">
        <f>MAX($F$7551:F7615)</f>
        <v>1.1278</v>
      </c>
      <c r="I7615" s="11">
        <f t="shared" si="187"/>
        <v>0</v>
      </c>
      <c r="J7615" s="9"/>
      <c r="K7615" s="11"/>
      <c r="L7615" s="9"/>
      <c r="M7615" s="11"/>
      <c r="N7615" s="9" t="s">
        <v>1016</v>
      </c>
    </row>
    <row r="7616" ht="25" customHeight="1" spans="1:14">
      <c r="A7616" s="9" t="s">
        <v>260</v>
      </c>
      <c r="B7616" s="9" t="s">
        <v>259</v>
      </c>
      <c r="C7616" s="10">
        <v>46247</v>
      </c>
      <c r="D7616" s="15">
        <v>1.1286</v>
      </c>
      <c r="E7616" s="15">
        <v>1.1286</v>
      </c>
      <c r="F7616" s="15">
        <v>1.1286</v>
      </c>
      <c r="G7616" s="11">
        <v>0.0007</v>
      </c>
      <c r="H7616" s="9">
        <f>MAX($F$7551:F7616)</f>
        <v>1.1286</v>
      </c>
      <c r="I7616" s="11">
        <f t="shared" si="187"/>
        <v>0</v>
      </c>
      <c r="J7616" s="9"/>
      <c r="K7616" s="11"/>
      <c r="L7616" s="9"/>
      <c r="M7616" s="11"/>
      <c r="N7616" s="9" t="s">
        <v>1016</v>
      </c>
    </row>
    <row r="7617" ht="25" customHeight="1" spans="1:14">
      <c r="A7617" s="9" t="s">
        <v>260</v>
      </c>
      <c r="B7617" s="9" t="s">
        <v>259</v>
      </c>
      <c r="C7617" s="10">
        <v>46248</v>
      </c>
      <c r="D7617" s="15">
        <v>1.1292</v>
      </c>
      <c r="E7617" s="15">
        <v>1.1292</v>
      </c>
      <c r="F7617" s="15">
        <v>1.1292</v>
      </c>
      <c r="G7617" s="11">
        <v>0.0005</v>
      </c>
      <c r="H7617" s="9">
        <f>MAX($F$7551:F7617)</f>
        <v>1.1292</v>
      </c>
      <c r="I7617" s="11">
        <f t="shared" si="187"/>
        <v>0</v>
      </c>
      <c r="J7617" s="9"/>
      <c r="K7617" s="11"/>
      <c r="L7617" s="9"/>
      <c r="M7617" s="11"/>
      <c r="N7617" s="9" t="s">
        <v>1016</v>
      </c>
    </row>
    <row r="7618" ht="25" customHeight="1" spans="1:14">
      <c r="A7618" s="9" t="s">
        <v>260</v>
      </c>
      <c r="B7618" s="9" t="s">
        <v>259</v>
      </c>
      <c r="C7618" s="10">
        <v>46251</v>
      </c>
      <c r="D7618" s="15">
        <v>1.1294</v>
      </c>
      <c r="E7618" s="15">
        <v>1.1294</v>
      </c>
      <c r="F7618" s="15">
        <v>1.1294</v>
      </c>
      <c r="G7618" s="11">
        <v>0.0002</v>
      </c>
      <c r="H7618" s="9">
        <f>MAX($F$7551:F7618)</f>
        <v>1.1294</v>
      </c>
      <c r="I7618" s="11">
        <f t="shared" ref="I7618:I7635" si="188">1-F7618/H7618</f>
        <v>0</v>
      </c>
      <c r="J7618" s="9"/>
      <c r="K7618" s="11"/>
      <c r="L7618" s="9"/>
      <c r="M7618" s="11"/>
      <c r="N7618" s="9" t="s">
        <v>1016</v>
      </c>
    </row>
    <row r="7619" ht="25" customHeight="1" spans="1:14">
      <c r="A7619" s="9" t="s">
        <v>260</v>
      </c>
      <c r="B7619" s="9" t="s">
        <v>259</v>
      </c>
      <c r="C7619" s="10">
        <v>46252</v>
      </c>
      <c r="D7619" s="15">
        <v>1.1298</v>
      </c>
      <c r="E7619" s="15">
        <v>1.1298</v>
      </c>
      <c r="F7619" s="15">
        <v>1.1298</v>
      </c>
      <c r="G7619" s="11">
        <v>0.0004</v>
      </c>
      <c r="H7619" s="9">
        <f>MAX($F$7551:F7619)</f>
        <v>1.1298</v>
      </c>
      <c r="I7619" s="11">
        <f t="shared" si="188"/>
        <v>0</v>
      </c>
      <c r="J7619" s="9"/>
      <c r="K7619" s="11"/>
      <c r="L7619" s="9"/>
      <c r="M7619" s="11"/>
      <c r="N7619" s="9" t="s">
        <v>1016</v>
      </c>
    </row>
    <row r="7620" ht="25" customHeight="1" spans="1:14">
      <c r="A7620" s="9" t="s">
        <v>260</v>
      </c>
      <c r="B7620" s="9" t="s">
        <v>259</v>
      </c>
      <c r="C7620" s="10">
        <v>46253</v>
      </c>
      <c r="D7620" s="15">
        <v>1.1302</v>
      </c>
      <c r="E7620" s="15">
        <v>1.1302</v>
      </c>
      <c r="F7620" s="15">
        <v>1.1302</v>
      </c>
      <c r="G7620" s="11">
        <v>0.0004</v>
      </c>
      <c r="H7620" s="9">
        <f>MAX($F$7551:F7620)</f>
        <v>1.1302</v>
      </c>
      <c r="I7620" s="11">
        <f t="shared" si="188"/>
        <v>0</v>
      </c>
      <c r="J7620" s="9"/>
      <c r="K7620" s="11"/>
      <c r="L7620" s="9"/>
      <c r="M7620" s="11"/>
      <c r="N7620" s="9" t="s">
        <v>1016</v>
      </c>
    </row>
    <row r="7621" ht="25" customHeight="1" spans="1:14">
      <c r="A7621" s="9" t="s">
        <v>260</v>
      </c>
      <c r="B7621" s="9" t="s">
        <v>259</v>
      </c>
      <c r="C7621" s="10">
        <v>46254</v>
      </c>
      <c r="D7621" s="15">
        <v>1.1311</v>
      </c>
      <c r="E7621" s="15">
        <v>1.1311</v>
      </c>
      <c r="F7621" s="15">
        <v>1.1311</v>
      </c>
      <c r="G7621" s="11">
        <v>0.0008</v>
      </c>
      <c r="H7621" s="9">
        <f>MAX($F$7551:F7621)</f>
        <v>1.1311</v>
      </c>
      <c r="I7621" s="11">
        <f t="shared" si="188"/>
        <v>0</v>
      </c>
      <c r="J7621" s="9"/>
      <c r="K7621" s="11"/>
      <c r="L7621" s="9"/>
      <c r="M7621" s="11"/>
      <c r="N7621" s="9" t="s">
        <v>1016</v>
      </c>
    </row>
    <row r="7622" ht="25" customHeight="1" spans="1:14">
      <c r="A7622" s="9" t="s">
        <v>260</v>
      </c>
      <c r="B7622" s="9" t="s">
        <v>259</v>
      </c>
      <c r="C7622" s="10">
        <v>46255</v>
      </c>
      <c r="D7622" s="15">
        <v>1.1323</v>
      </c>
      <c r="E7622" s="15">
        <v>1.1323</v>
      </c>
      <c r="F7622" s="15">
        <v>1.1323</v>
      </c>
      <c r="G7622" s="11">
        <v>0.0011</v>
      </c>
      <c r="H7622" s="9">
        <f>MAX($F$7551:F7622)</f>
        <v>1.1323</v>
      </c>
      <c r="I7622" s="11">
        <f t="shared" si="188"/>
        <v>0</v>
      </c>
      <c r="J7622" s="9"/>
      <c r="K7622" s="11"/>
      <c r="L7622" s="9"/>
      <c r="M7622" s="11"/>
      <c r="N7622" s="9" t="s">
        <v>1016</v>
      </c>
    </row>
    <row r="7623" ht="25" customHeight="1" spans="1:14">
      <c r="A7623" s="9" t="s">
        <v>260</v>
      </c>
      <c r="B7623" s="9" t="s">
        <v>259</v>
      </c>
      <c r="C7623" s="10">
        <v>46258</v>
      </c>
      <c r="D7623" s="15">
        <v>1.1324</v>
      </c>
      <c r="E7623" s="15">
        <v>1.1324</v>
      </c>
      <c r="F7623" s="15">
        <v>1.1324</v>
      </c>
      <c r="G7623" s="11">
        <v>0.0001</v>
      </c>
      <c r="H7623" s="9">
        <f>MAX($F$7551:F7623)</f>
        <v>1.1324</v>
      </c>
      <c r="I7623" s="11">
        <f t="shared" si="188"/>
        <v>0</v>
      </c>
      <c r="J7623" s="9"/>
      <c r="K7623" s="11"/>
      <c r="L7623" s="9"/>
      <c r="M7623" s="11"/>
      <c r="N7623" s="9" t="s">
        <v>1016</v>
      </c>
    </row>
    <row r="7624" ht="25" customHeight="1" spans="1:14">
      <c r="A7624" s="9" t="s">
        <v>260</v>
      </c>
      <c r="B7624" s="9" t="s">
        <v>259</v>
      </c>
      <c r="C7624" s="10">
        <v>46259</v>
      </c>
      <c r="D7624" s="15">
        <v>1.133</v>
      </c>
      <c r="E7624" s="15">
        <v>1.133</v>
      </c>
      <c r="F7624" s="15">
        <v>1.133</v>
      </c>
      <c r="G7624" s="11">
        <v>0.0005</v>
      </c>
      <c r="H7624" s="9">
        <f>MAX($F$7551:F7624)</f>
        <v>1.133</v>
      </c>
      <c r="I7624" s="11">
        <f t="shared" si="188"/>
        <v>0</v>
      </c>
      <c r="J7624" s="9"/>
      <c r="K7624" s="11"/>
      <c r="L7624" s="9"/>
      <c r="M7624" s="11"/>
      <c r="N7624" s="9" t="s">
        <v>1016</v>
      </c>
    </row>
    <row r="7625" ht="25" customHeight="1" spans="1:14">
      <c r="A7625" s="9" t="s">
        <v>260</v>
      </c>
      <c r="B7625" s="9" t="s">
        <v>259</v>
      </c>
      <c r="C7625" s="10">
        <v>46260</v>
      </c>
      <c r="D7625" s="15">
        <v>1.134</v>
      </c>
      <c r="E7625" s="15">
        <v>1.134</v>
      </c>
      <c r="F7625" s="15">
        <v>1.134</v>
      </c>
      <c r="G7625" s="11">
        <v>0.0009</v>
      </c>
      <c r="H7625" s="9">
        <f>MAX($F$7551:F7625)</f>
        <v>1.134</v>
      </c>
      <c r="I7625" s="11">
        <f t="shared" si="188"/>
        <v>0</v>
      </c>
      <c r="J7625" s="9"/>
      <c r="K7625" s="11"/>
      <c r="L7625" s="9"/>
      <c r="M7625" s="11"/>
      <c r="N7625" s="9" t="s">
        <v>1016</v>
      </c>
    </row>
    <row r="7626" ht="25" customHeight="1" spans="1:14">
      <c r="A7626" s="9" t="s">
        <v>260</v>
      </c>
      <c r="B7626" s="9" t="s">
        <v>259</v>
      </c>
      <c r="C7626" s="10">
        <v>46261</v>
      </c>
      <c r="D7626" s="15">
        <v>1.1342</v>
      </c>
      <c r="E7626" s="15">
        <v>1.1342</v>
      </c>
      <c r="F7626" s="15">
        <v>1.1342</v>
      </c>
      <c r="G7626" s="11">
        <v>0.0002</v>
      </c>
      <c r="H7626" s="9">
        <f>MAX($F$7551:F7626)</f>
        <v>1.1342</v>
      </c>
      <c r="I7626" s="11">
        <f t="shared" si="188"/>
        <v>0</v>
      </c>
      <c r="J7626" s="9"/>
      <c r="K7626" s="11"/>
      <c r="L7626" s="9"/>
      <c r="M7626" s="11"/>
      <c r="N7626" s="9" t="s">
        <v>1016</v>
      </c>
    </row>
    <row r="7627" ht="25" customHeight="1" spans="1:14">
      <c r="A7627" s="9" t="s">
        <v>260</v>
      </c>
      <c r="B7627" s="9" t="s">
        <v>259</v>
      </c>
      <c r="C7627" s="10">
        <v>46262</v>
      </c>
      <c r="D7627" s="15">
        <v>1.1348</v>
      </c>
      <c r="E7627" s="15">
        <v>1.1348</v>
      </c>
      <c r="F7627" s="15">
        <v>1.1348</v>
      </c>
      <c r="G7627" s="11">
        <v>0.0005</v>
      </c>
      <c r="H7627" s="9">
        <f>MAX($F$7551:F7627)</f>
        <v>1.1348</v>
      </c>
      <c r="I7627" s="11">
        <f t="shared" si="188"/>
        <v>0</v>
      </c>
      <c r="J7627" s="9"/>
      <c r="K7627" s="11"/>
      <c r="L7627" s="9"/>
      <c r="M7627" s="11"/>
      <c r="N7627" s="9" t="s">
        <v>1016</v>
      </c>
    </row>
    <row r="7628" ht="25" customHeight="1" spans="1:14">
      <c r="A7628" s="9" t="s">
        <v>260</v>
      </c>
      <c r="B7628" s="9" t="s">
        <v>259</v>
      </c>
      <c r="C7628" s="10">
        <v>46265</v>
      </c>
      <c r="D7628" s="15">
        <v>1.1365</v>
      </c>
      <c r="E7628" s="15">
        <v>1.1365</v>
      </c>
      <c r="F7628" s="15">
        <v>1.1365</v>
      </c>
      <c r="G7628" s="11">
        <v>0.0015</v>
      </c>
      <c r="H7628" s="9">
        <f>MAX($F$7551:F7628)</f>
        <v>1.1365</v>
      </c>
      <c r="I7628" s="11">
        <f t="shared" si="188"/>
        <v>0</v>
      </c>
      <c r="J7628" s="9"/>
      <c r="K7628" s="11"/>
      <c r="L7628" s="9"/>
      <c r="M7628" s="11"/>
      <c r="N7628" s="9" t="s">
        <v>1016</v>
      </c>
    </row>
    <row r="7629" ht="25" customHeight="1" spans="1:14">
      <c r="A7629" s="9" t="s">
        <v>260</v>
      </c>
      <c r="B7629" s="9" t="s">
        <v>259</v>
      </c>
      <c r="C7629" s="10">
        <v>46266</v>
      </c>
      <c r="D7629" s="15">
        <v>1.1366</v>
      </c>
      <c r="E7629" s="15">
        <v>1.1366</v>
      </c>
      <c r="F7629" s="15">
        <v>1.1366</v>
      </c>
      <c r="G7629" s="11">
        <v>0.0001</v>
      </c>
      <c r="H7629" s="9">
        <f>MAX($F$7551:F7629)</f>
        <v>1.1366</v>
      </c>
      <c r="I7629" s="11">
        <f t="shared" si="188"/>
        <v>0</v>
      </c>
      <c r="J7629" s="9"/>
      <c r="K7629" s="11"/>
      <c r="L7629" s="9"/>
      <c r="M7629" s="11"/>
      <c r="N7629" s="9" t="s">
        <v>1016</v>
      </c>
    </row>
    <row r="7630" ht="25" customHeight="1" spans="1:14">
      <c r="A7630" s="9" t="s">
        <v>260</v>
      </c>
      <c r="B7630" s="9" t="s">
        <v>259</v>
      </c>
      <c r="C7630" s="10">
        <v>46267</v>
      </c>
      <c r="D7630" s="15">
        <v>1.1373</v>
      </c>
      <c r="E7630" s="15">
        <v>1.1373</v>
      </c>
      <c r="F7630" s="15">
        <v>1.1373</v>
      </c>
      <c r="G7630" s="11">
        <v>0.0006</v>
      </c>
      <c r="H7630" s="9">
        <f>MAX($F$7551:F7630)</f>
        <v>1.1373</v>
      </c>
      <c r="I7630" s="11">
        <f t="shared" si="188"/>
        <v>0</v>
      </c>
      <c r="J7630" s="9"/>
      <c r="K7630" s="11"/>
      <c r="L7630" s="9"/>
      <c r="M7630" s="11"/>
      <c r="N7630" s="9" t="s">
        <v>1016</v>
      </c>
    </row>
    <row r="7631" ht="25" customHeight="1" spans="1:14">
      <c r="A7631" s="9" t="s">
        <v>260</v>
      </c>
      <c r="B7631" s="9" t="s">
        <v>259</v>
      </c>
      <c r="C7631" s="10">
        <v>46268</v>
      </c>
      <c r="D7631" s="15">
        <v>1.1375</v>
      </c>
      <c r="E7631" s="15">
        <v>1.1375</v>
      </c>
      <c r="F7631" s="15">
        <v>1.1375</v>
      </c>
      <c r="G7631" s="11">
        <v>0.0002</v>
      </c>
      <c r="H7631" s="9">
        <f>MAX($F$7551:F7631)</f>
        <v>1.1375</v>
      </c>
      <c r="I7631" s="11">
        <f t="shared" si="188"/>
        <v>0</v>
      </c>
      <c r="J7631" s="9"/>
      <c r="K7631" s="11"/>
      <c r="L7631" s="9"/>
      <c r="M7631" s="11"/>
      <c r="N7631" s="9" t="s">
        <v>1016</v>
      </c>
    </row>
    <row r="7632" ht="25" customHeight="1" spans="1:14">
      <c r="A7632" s="9" t="s">
        <v>260</v>
      </c>
      <c r="B7632" s="9" t="s">
        <v>259</v>
      </c>
      <c r="C7632" s="10">
        <v>46269</v>
      </c>
      <c r="D7632" s="15">
        <v>1.1383</v>
      </c>
      <c r="E7632" s="15">
        <v>1.1383</v>
      </c>
      <c r="F7632" s="15">
        <v>1.1383</v>
      </c>
      <c r="G7632" s="11">
        <v>0.0007</v>
      </c>
      <c r="H7632" s="9">
        <f>MAX($F$7551:F7632)</f>
        <v>1.1383</v>
      </c>
      <c r="I7632" s="11">
        <f t="shared" si="188"/>
        <v>0</v>
      </c>
      <c r="J7632" s="9"/>
      <c r="K7632" s="11"/>
      <c r="L7632" s="9"/>
      <c r="M7632" s="11"/>
      <c r="N7632" s="9" t="s">
        <v>1016</v>
      </c>
    </row>
    <row r="7633" ht="25" customHeight="1" spans="1:14">
      <c r="A7633" s="9" t="s">
        <v>260</v>
      </c>
      <c r="B7633" s="9" t="s">
        <v>259</v>
      </c>
      <c r="C7633" s="10">
        <v>46272</v>
      </c>
      <c r="D7633" s="15">
        <v>1.1385</v>
      </c>
      <c r="E7633" s="15">
        <v>1.1385</v>
      </c>
      <c r="F7633" s="15">
        <v>1.1385</v>
      </c>
      <c r="G7633" s="11">
        <v>0.0002</v>
      </c>
      <c r="H7633" s="9">
        <f>MAX($F$7551:F7633)</f>
        <v>1.1385</v>
      </c>
      <c r="I7633" s="11">
        <f t="shared" si="188"/>
        <v>0</v>
      </c>
      <c r="J7633" s="9"/>
      <c r="K7633" s="11"/>
      <c r="L7633" s="9"/>
      <c r="M7633" s="11"/>
      <c r="N7633" s="9" t="s">
        <v>1016</v>
      </c>
    </row>
    <row r="7634" ht="25" customHeight="1" spans="1:14">
      <c r="A7634" s="9" t="s">
        <v>260</v>
      </c>
      <c r="B7634" s="9" t="s">
        <v>259</v>
      </c>
      <c r="C7634" s="10">
        <v>46273</v>
      </c>
      <c r="D7634" s="15">
        <v>1.139</v>
      </c>
      <c r="E7634" s="15">
        <v>1.139</v>
      </c>
      <c r="F7634" s="15">
        <v>1.139</v>
      </c>
      <c r="G7634" s="11">
        <v>0.0004</v>
      </c>
      <c r="H7634" s="9">
        <f>MAX($F$7551:F7634)</f>
        <v>1.139</v>
      </c>
      <c r="I7634" s="11">
        <f t="shared" si="188"/>
        <v>0</v>
      </c>
      <c r="J7634" s="9"/>
      <c r="K7634" s="11"/>
      <c r="L7634" s="9"/>
      <c r="M7634" s="11"/>
      <c r="N7634" s="9" t="s">
        <v>1016</v>
      </c>
    </row>
    <row r="7635" ht="25" customHeight="1" spans="1:14">
      <c r="A7635" s="9" t="s">
        <v>260</v>
      </c>
      <c r="B7635" s="9" t="s">
        <v>259</v>
      </c>
      <c r="C7635" s="10">
        <v>46274</v>
      </c>
      <c r="D7635" s="15">
        <v>1.1391</v>
      </c>
      <c r="E7635" s="15">
        <v>1.1391</v>
      </c>
      <c r="F7635" s="15">
        <v>1.1391</v>
      </c>
      <c r="G7635" s="11">
        <v>0.0001</v>
      </c>
      <c r="H7635" s="9">
        <f>MAX($F$7551:F7635)</f>
        <v>1.1391</v>
      </c>
      <c r="I7635" s="11">
        <f t="shared" si="188"/>
        <v>0</v>
      </c>
      <c r="J7635" s="9"/>
      <c r="K7635" s="11"/>
      <c r="L7635" s="9"/>
      <c r="M7635" s="11"/>
      <c r="N7635" s="9" t="s">
        <v>1016</v>
      </c>
    </row>
  </sheetData>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63"/>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6.8"/>
  <cols>
    <col min="1" max="1" width="15" customWidth="1"/>
    <col min="2" max="2" width="30" customWidth="1"/>
    <col min="3" max="13" width="15" customWidth="1"/>
  </cols>
  <sheetData>
    <row r="1" ht="43" customHeight="1" spans="1:13">
      <c r="A1" s="7" t="s">
        <v>673</v>
      </c>
      <c r="B1" s="8" t="s">
        <v>2</v>
      </c>
      <c r="C1" s="8" t="s">
        <v>1017</v>
      </c>
      <c r="D1" s="8" t="s">
        <v>1018</v>
      </c>
      <c r="E1" s="8" t="s">
        <v>1019</v>
      </c>
      <c r="F1" s="8" t="s">
        <v>1020</v>
      </c>
      <c r="G1" s="8" t="s">
        <v>1021</v>
      </c>
      <c r="H1" s="8" t="s">
        <v>1022</v>
      </c>
      <c r="I1" s="8" t="s">
        <v>1023</v>
      </c>
      <c r="J1" s="8" t="s">
        <v>1024</v>
      </c>
      <c r="K1" s="8" t="s">
        <v>1025</v>
      </c>
      <c r="L1" s="8" t="s">
        <v>1026</v>
      </c>
      <c r="M1" s="14" t="s">
        <v>1027</v>
      </c>
    </row>
    <row r="2" ht="25" customHeight="1" spans="1:13">
      <c r="A2" s="9" t="s">
        <v>383</v>
      </c>
      <c r="B2" s="9" t="s">
        <v>381</v>
      </c>
      <c r="C2" s="9" t="s">
        <v>1028</v>
      </c>
      <c r="D2" s="10">
        <v>45169</v>
      </c>
      <c r="E2" s="10">
        <v>45199</v>
      </c>
      <c r="F2" s="10"/>
      <c r="G2" s="10"/>
      <c r="H2" s="15"/>
      <c r="I2" s="15"/>
      <c r="J2" s="11" t="str">
        <f t="shared" ref="J2:J65" si="0">IF(K2=1,I2/H2-1,"")</f>
        <v/>
      </c>
      <c r="K2" s="9">
        <f>IF(COUNT(F2:I2)&lt;&gt;4,0,IF(AND(G2&gt;F2,H2&gt;0,I2&gt;0,L2&lt;='Sheet1-指标体系'!$J$31,M2&lt;='Sheet1-指标体系'!$J$31),1,0))</f>
        <v>0</v>
      </c>
      <c r="L2" s="9" t="str">
        <f t="shared" ref="L2:L65" si="1">IF(ISNUMBER(F2),D2-F2,"")</f>
        <v/>
      </c>
      <c r="M2" s="9" t="str">
        <f t="shared" ref="M2:M65" si="2">IF(ISNUMBER(G2),E2-G2,"")</f>
        <v/>
      </c>
    </row>
    <row r="3" ht="25" customHeight="1" spans="1:13">
      <c r="A3" s="9" t="s">
        <v>383</v>
      </c>
      <c r="B3" s="9" t="s">
        <v>381</v>
      </c>
      <c r="C3" s="9" t="s">
        <v>1029</v>
      </c>
      <c r="D3" s="10">
        <v>45199</v>
      </c>
      <c r="E3" s="10">
        <v>45230</v>
      </c>
      <c r="F3" s="10"/>
      <c r="G3" s="10"/>
      <c r="H3" s="15"/>
      <c r="I3" s="15"/>
      <c r="J3" s="11" t="str">
        <f t="shared" si="0"/>
        <v/>
      </c>
      <c r="K3" s="9">
        <f>IF(COUNT(F3:I3)&lt;&gt;4,0,IF(AND(G3&gt;F3,H3&gt;0,I3&gt;0,L3&lt;='Sheet1-指标体系'!$J$31,M3&lt;='Sheet1-指标体系'!$J$31),1,0))</f>
        <v>0</v>
      </c>
      <c r="L3" s="9" t="str">
        <f t="shared" si="1"/>
        <v/>
      </c>
      <c r="M3" s="9" t="str">
        <f t="shared" si="2"/>
        <v/>
      </c>
    </row>
    <row r="4" ht="25" customHeight="1" spans="1:13">
      <c r="A4" s="9" t="s">
        <v>383</v>
      </c>
      <c r="B4" s="9" t="s">
        <v>381</v>
      </c>
      <c r="C4" s="9" t="s">
        <v>1030</v>
      </c>
      <c r="D4" s="10">
        <v>45230</v>
      </c>
      <c r="E4" s="10">
        <v>45260</v>
      </c>
      <c r="F4" s="10"/>
      <c r="G4" s="10"/>
      <c r="H4" s="15"/>
      <c r="I4" s="15"/>
      <c r="J4" s="11" t="str">
        <f t="shared" si="0"/>
        <v/>
      </c>
      <c r="K4" s="9">
        <f>IF(COUNT(F4:I4)&lt;&gt;4,0,IF(AND(G4&gt;F4,H4&gt;0,I4&gt;0,L4&lt;='Sheet1-指标体系'!$J$31,M4&lt;='Sheet1-指标体系'!$J$31),1,0))</f>
        <v>0</v>
      </c>
      <c r="L4" s="9" t="str">
        <f t="shared" si="1"/>
        <v/>
      </c>
      <c r="M4" s="9" t="str">
        <f t="shared" si="2"/>
        <v/>
      </c>
    </row>
    <row r="5" ht="25" customHeight="1" spans="1:13">
      <c r="A5" s="9" t="s">
        <v>383</v>
      </c>
      <c r="B5" s="9" t="s">
        <v>381</v>
      </c>
      <c r="C5" s="9" t="s">
        <v>1031</v>
      </c>
      <c r="D5" s="10">
        <v>45260</v>
      </c>
      <c r="E5" s="10">
        <v>45291</v>
      </c>
      <c r="F5" s="10"/>
      <c r="G5" s="10"/>
      <c r="H5" s="15"/>
      <c r="I5" s="15"/>
      <c r="J5" s="11" t="str">
        <f t="shared" si="0"/>
        <v/>
      </c>
      <c r="K5" s="9">
        <f>IF(COUNT(F5:I5)&lt;&gt;4,0,IF(AND(G5&gt;F5,H5&gt;0,I5&gt;0,L5&lt;='Sheet1-指标体系'!$J$31,M5&lt;='Sheet1-指标体系'!$J$31),1,0))</f>
        <v>0</v>
      </c>
      <c r="L5" s="9" t="str">
        <f t="shared" si="1"/>
        <v/>
      </c>
      <c r="M5" s="9" t="str">
        <f t="shared" si="2"/>
        <v/>
      </c>
    </row>
    <row r="6" ht="25" customHeight="1" spans="1:13">
      <c r="A6" s="9" t="s">
        <v>383</v>
      </c>
      <c r="B6" s="9" t="s">
        <v>381</v>
      </c>
      <c r="C6" s="9" t="s">
        <v>1032</v>
      </c>
      <c r="D6" s="10">
        <v>45291</v>
      </c>
      <c r="E6" s="10">
        <v>45322</v>
      </c>
      <c r="F6" s="10"/>
      <c r="G6" s="10"/>
      <c r="H6" s="15"/>
      <c r="I6" s="15"/>
      <c r="J6" s="11" t="str">
        <f t="shared" si="0"/>
        <v/>
      </c>
      <c r="K6" s="9">
        <f>IF(COUNT(F6:I6)&lt;&gt;4,0,IF(AND(G6&gt;F6,H6&gt;0,I6&gt;0,L6&lt;='Sheet1-指标体系'!$J$31,M6&lt;='Sheet1-指标体系'!$J$31),1,0))</f>
        <v>0</v>
      </c>
      <c r="L6" s="9" t="str">
        <f t="shared" si="1"/>
        <v/>
      </c>
      <c r="M6" s="9" t="str">
        <f t="shared" si="2"/>
        <v/>
      </c>
    </row>
    <row r="7" ht="25" customHeight="1" spans="1:13">
      <c r="A7" s="9" t="s">
        <v>383</v>
      </c>
      <c r="B7" s="9" t="s">
        <v>381</v>
      </c>
      <c r="C7" s="9" t="s">
        <v>1033</v>
      </c>
      <c r="D7" s="10">
        <v>45322</v>
      </c>
      <c r="E7" s="10">
        <v>45351</v>
      </c>
      <c r="F7" s="10"/>
      <c r="G7" s="10"/>
      <c r="H7" s="15"/>
      <c r="I7" s="15"/>
      <c r="J7" s="11" t="str">
        <f t="shared" si="0"/>
        <v/>
      </c>
      <c r="K7" s="9">
        <f>IF(COUNT(F7:I7)&lt;&gt;4,0,IF(AND(G7&gt;F7,H7&gt;0,I7&gt;0,L7&lt;='Sheet1-指标体系'!$J$31,M7&lt;='Sheet1-指标体系'!$J$31),1,0))</f>
        <v>0</v>
      </c>
      <c r="L7" s="9" t="str">
        <f t="shared" si="1"/>
        <v/>
      </c>
      <c r="M7" s="9" t="str">
        <f t="shared" si="2"/>
        <v/>
      </c>
    </row>
    <row r="8" ht="25" customHeight="1" spans="1:13">
      <c r="A8" s="9" t="s">
        <v>383</v>
      </c>
      <c r="B8" s="9" t="s">
        <v>381</v>
      </c>
      <c r="C8" s="9" t="s">
        <v>1034</v>
      </c>
      <c r="D8" s="10">
        <v>45351</v>
      </c>
      <c r="E8" s="10">
        <v>45382</v>
      </c>
      <c r="F8" s="10"/>
      <c r="G8" s="10"/>
      <c r="H8" s="15"/>
      <c r="I8" s="15"/>
      <c r="J8" s="11" t="str">
        <f t="shared" si="0"/>
        <v/>
      </c>
      <c r="K8" s="9">
        <f>IF(COUNT(F8:I8)&lt;&gt;4,0,IF(AND(G8&gt;F8,H8&gt;0,I8&gt;0,L8&lt;='Sheet1-指标体系'!$J$31,M8&lt;='Sheet1-指标体系'!$J$31),1,0))</f>
        <v>0</v>
      </c>
      <c r="L8" s="9" t="str">
        <f t="shared" si="1"/>
        <v/>
      </c>
      <c r="M8" s="9" t="str">
        <f t="shared" si="2"/>
        <v/>
      </c>
    </row>
    <row r="9" ht="25" customHeight="1" spans="1:13">
      <c r="A9" s="9" t="s">
        <v>383</v>
      </c>
      <c r="B9" s="9" t="s">
        <v>381</v>
      </c>
      <c r="C9" s="9" t="s">
        <v>1035</v>
      </c>
      <c r="D9" s="10">
        <v>45382</v>
      </c>
      <c r="E9" s="10">
        <v>45412</v>
      </c>
      <c r="F9" s="10"/>
      <c r="G9" s="10"/>
      <c r="H9" s="15"/>
      <c r="I9" s="15"/>
      <c r="J9" s="11" t="str">
        <f t="shared" si="0"/>
        <v/>
      </c>
      <c r="K9" s="9">
        <f>IF(COUNT(F9:I9)&lt;&gt;4,0,IF(AND(G9&gt;F9,H9&gt;0,I9&gt;0,L9&lt;='Sheet1-指标体系'!$J$31,M9&lt;='Sheet1-指标体系'!$J$31),1,0))</f>
        <v>0</v>
      </c>
      <c r="L9" s="9" t="str">
        <f t="shared" si="1"/>
        <v/>
      </c>
      <c r="M9" s="9" t="str">
        <f t="shared" si="2"/>
        <v/>
      </c>
    </row>
    <row r="10" ht="25" customHeight="1" spans="1:13">
      <c r="A10" s="9" t="s">
        <v>383</v>
      </c>
      <c r="B10" s="9" t="s">
        <v>381</v>
      </c>
      <c r="C10" s="9" t="s">
        <v>1036</v>
      </c>
      <c r="D10" s="10">
        <v>45412</v>
      </c>
      <c r="E10" s="10">
        <v>45443</v>
      </c>
      <c r="F10" s="10"/>
      <c r="G10" s="10"/>
      <c r="H10" s="15"/>
      <c r="I10" s="15"/>
      <c r="J10" s="11" t="str">
        <f t="shared" si="0"/>
        <v/>
      </c>
      <c r="K10" s="9">
        <f>IF(COUNT(F10:I10)&lt;&gt;4,0,IF(AND(G10&gt;F10,H10&gt;0,I10&gt;0,L10&lt;='Sheet1-指标体系'!$J$31,M10&lt;='Sheet1-指标体系'!$J$31),1,0))</f>
        <v>0</v>
      </c>
      <c r="L10" s="9" t="str">
        <f t="shared" si="1"/>
        <v/>
      </c>
      <c r="M10" s="9" t="str">
        <f t="shared" si="2"/>
        <v/>
      </c>
    </row>
    <row r="11" ht="25" customHeight="1" spans="1:13">
      <c r="A11" s="9" t="s">
        <v>383</v>
      </c>
      <c r="B11" s="9" t="s">
        <v>381</v>
      </c>
      <c r="C11" s="9" t="s">
        <v>1037</v>
      </c>
      <c r="D11" s="10">
        <v>45443</v>
      </c>
      <c r="E11" s="10">
        <v>45473</v>
      </c>
      <c r="F11" s="10"/>
      <c r="G11" s="10"/>
      <c r="H11" s="15"/>
      <c r="I11" s="15"/>
      <c r="J11" s="11" t="str">
        <f t="shared" si="0"/>
        <v/>
      </c>
      <c r="K11" s="9">
        <f>IF(COUNT(F11:I11)&lt;&gt;4,0,IF(AND(G11&gt;F11,H11&gt;0,I11&gt;0,L11&lt;='Sheet1-指标体系'!$J$31,M11&lt;='Sheet1-指标体系'!$J$31),1,0))</f>
        <v>0</v>
      </c>
      <c r="L11" s="9" t="str">
        <f t="shared" si="1"/>
        <v/>
      </c>
      <c r="M11" s="9" t="str">
        <f t="shared" si="2"/>
        <v/>
      </c>
    </row>
    <row r="12" ht="25" customHeight="1" spans="1:13">
      <c r="A12" s="9" t="s">
        <v>383</v>
      </c>
      <c r="B12" s="9" t="s">
        <v>381</v>
      </c>
      <c r="C12" s="9" t="s">
        <v>1038</v>
      </c>
      <c r="D12" s="10">
        <v>45473</v>
      </c>
      <c r="E12" s="10">
        <v>45504</v>
      </c>
      <c r="F12" s="10"/>
      <c r="G12" s="10"/>
      <c r="H12" s="15"/>
      <c r="I12" s="15"/>
      <c r="J12" s="11" t="str">
        <f t="shared" si="0"/>
        <v/>
      </c>
      <c r="K12" s="9">
        <f>IF(COUNT(F12:I12)&lt;&gt;4,0,IF(AND(G12&gt;F12,H12&gt;0,I12&gt;0,L12&lt;='Sheet1-指标体系'!$J$31,M12&lt;='Sheet1-指标体系'!$J$31),1,0))</f>
        <v>0</v>
      </c>
      <c r="L12" s="9" t="str">
        <f t="shared" si="1"/>
        <v/>
      </c>
      <c r="M12" s="9" t="str">
        <f t="shared" si="2"/>
        <v/>
      </c>
    </row>
    <row r="13" ht="25" customHeight="1" spans="1:13">
      <c r="A13" s="9" t="s">
        <v>383</v>
      </c>
      <c r="B13" s="9" t="s">
        <v>381</v>
      </c>
      <c r="C13" s="9" t="s">
        <v>1039</v>
      </c>
      <c r="D13" s="10">
        <v>45504</v>
      </c>
      <c r="E13" s="10">
        <v>45535</v>
      </c>
      <c r="F13" s="10"/>
      <c r="G13" s="10">
        <f>净值原始!C5</f>
        <v>45534</v>
      </c>
      <c r="H13" s="15"/>
      <c r="I13" s="15">
        <f>净值原始!F5</f>
        <v>1.048</v>
      </c>
      <c r="J13" s="11" t="str">
        <f t="shared" si="0"/>
        <v/>
      </c>
      <c r="K13" s="9">
        <f>IF(COUNT(F13:I13)&lt;&gt;4,0,IF(AND(G13&gt;F13,H13&gt;0,I13&gt;0,L13&lt;='Sheet1-指标体系'!$J$31,M13&lt;='Sheet1-指标体系'!$J$31),1,0))</f>
        <v>0</v>
      </c>
      <c r="L13" s="9" t="str">
        <f t="shared" si="1"/>
        <v/>
      </c>
      <c r="M13" s="9">
        <f t="shared" si="2"/>
        <v>1</v>
      </c>
    </row>
    <row r="14" ht="25" customHeight="1" spans="1:13">
      <c r="A14" s="9" t="s">
        <v>383</v>
      </c>
      <c r="B14" s="9" t="s">
        <v>381</v>
      </c>
      <c r="C14" s="9" t="s">
        <v>1040</v>
      </c>
      <c r="D14" s="10">
        <v>45535</v>
      </c>
      <c r="E14" s="10">
        <v>45565</v>
      </c>
      <c r="F14" s="10">
        <f>净值原始!C5</f>
        <v>45534</v>
      </c>
      <c r="G14" s="10">
        <f>净值原始!C10</f>
        <v>45565</v>
      </c>
      <c r="H14" s="15">
        <f>净值原始!F5</f>
        <v>1.048</v>
      </c>
      <c r="I14" s="15">
        <f>净值原始!F10</f>
        <v>1.0695</v>
      </c>
      <c r="J14" s="11">
        <f t="shared" si="0"/>
        <v>0.0205152671755724</v>
      </c>
      <c r="K14" s="9">
        <f>IF(COUNT(F14:I14)&lt;&gt;4,0,IF(AND(G14&gt;F14,H14&gt;0,I14&gt;0,L14&lt;='Sheet1-指标体系'!$J$31,M14&lt;='Sheet1-指标体系'!$J$31),1,0))</f>
        <v>1</v>
      </c>
      <c r="L14" s="9">
        <f t="shared" si="1"/>
        <v>1</v>
      </c>
      <c r="M14" s="9">
        <f t="shared" si="2"/>
        <v>0</v>
      </c>
    </row>
    <row r="15" ht="25" customHeight="1" spans="1:13">
      <c r="A15" s="9" t="s">
        <v>383</v>
      </c>
      <c r="B15" s="9" t="s">
        <v>381</v>
      </c>
      <c r="C15" s="9" t="s">
        <v>1041</v>
      </c>
      <c r="D15" s="10">
        <v>45565</v>
      </c>
      <c r="E15" s="10">
        <v>45596</v>
      </c>
      <c r="F15" s="10">
        <f>净值原始!C10</f>
        <v>45565</v>
      </c>
      <c r="G15" s="10">
        <f>净值原始!C14</f>
        <v>45596</v>
      </c>
      <c r="H15" s="15">
        <f>净值原始!F10</f>
        <v>1.0695</v>
      </c>
      <c r="I15" s="15">
        <f>净值原始!F14</f>
        <v>1.1263</v>
      </c>
      <c r="J15" s="11">
        <f t="shared" si="0"/>
        <v>0.0531089294062648</v>
      </c>
      <c r="K15" s="9">
        <f>IF(COUNT(F15:I15)&lt;&gt;4,0,IF(AND(G15&gt;F15,H15&gt;0,I15&gt;0,L15&lt;='Sheet1-指标体系'!$J$31,M15&lt;='Sheet1-指标体系'!$J$31),1,0))</f>
        <v>1</v>
      </c>
      <c r="L15" s="9">
        <f t="shared" si="1"/>
        <v>0</v>
      </c>
      <c r="M15" s="9">
        <f t="shared" si="2"/>
        <v>0</v>
      </c>
    </row>
    <row r="16" ht="25" customHeight="1" spans="1:13">
      <c r="A16" s="9" t="s">
        <v>383</v>
      </c>
      <c r="B16" s="9" t="s">
        <v>381</v>
      </c>
      <c r="C16" s="9" t="s">
        <v>1042</v>
      </c>
      <c r="D16" s="10">
        <v>45596</v>
      </c>
      <c r="E16" s="10">
        <v>45626</v>
      </c>
      <c r="F16" s="10">
        <f>净值原始!C14</f>
        <v>45596</v>
      </c>
      <c r="G16" s="10">
        <f>净值原始!C19</f>
        <v>45625</v>
      </c>
      <c r="H16" s="15">
        <f>净值原始!F14</f>
        <v>1.1263</v>
      </c>
      <c r="I16" s="15">
        <f>净值原始!F19</f>
        <v>1.1466</v>
      </c>
      <c r="J16" s="11">
        <f t="shared" si="0"/>
        <v>0.0180236171535115</v>
      </c>
      <c r="K16" s="9">
        <f>IF(COUNT(F16:I16)&lt;&gt;4,0,IF(AND(G16&gt;F16,H16&gt;0,I16&gt;0,L16&lt;='Sheet1-指标体系'!$J$31,M16&lt;='Sheet1-指标体系'!$J$31),1,0))</f>
        <v>1</v>
      </c>
      <c r="L16" s="9">
        <f t="shared" si="1"/>
        <v>0</v>
      </c>
      <c r="M16" s="9">
        <f t="shared" si="2"/>
        <v>1</v>
      </c>
    </row>
    <row r="17" ht="25" customHeight="1" spans="1:13">
      <c r="A17" s="9" t="s">
        <v>383</v>
      </c>
      <c r="B17" s="9" t="s">
        <v>381</v>
      </c>
      <c r="C17" s="9" t="s">
        <v>1043</v>
      </c>
      <c r="D17" s="10">
        <v>45626</v>
      </c>
      <c r="E17" s="10">
        <v>45657</v>
      </c>
      <c r="F17" s="10">
        <f>净值原始!C19</f>
        <v>45625</v>
      </c>
      <c r="G17" s="10">
        <f>净值原始!C24</f>
        <v>45657</v>
      </c>
      <c r="H17" s="15">
        <f>净值原始!F19</f>
        <v>1.1466</v>
      </c>
      <c r="I17" s="15">
        <f>净值原始!F24</f>
        <v>1.1596</v>
      </c>
      <c r="J17" s="11">
        <f t="shared" si="0"/>
        <v>0.0113378684807255</v>
      </c>
      <c r="K17" s="9">
        <f>IF(COUNT(F17:I17)&lt;&gt;4,0,IF(AND(G17&gt;F17,H17&gt;0,I17&gt;0,L17&lt;='Sheet1-指标体系'!$J$31,M17&lt;='Sheet1-指标体系'!$J$31),1,0))</f>
        <v>1</v>
      </c>
      <c r="L17" s="9">
        <f t="shared" si="1"/>
        <v>1</v>
      </c>
      <c r="M17" s="9">
        <f t="shared" si="2"/>
        <v>0</v>
      </c>
    </row>
    <row r="18" ht="25" customHeight="1" spans="1:13">
      <c r="A18" s="9" t="s">
        <v>383</v>
      </c>
      <c r="B18" s="9" t="s">
        <v>381</v>
      </c>
      <c r="C18" s="9" t="s">
        <v>1044</v>
      </c>
      <c r="D18" s="10">
        <v>45657</v>
      </c>
      <c r="E18" s="10">
        <v>45688</v>
      </c>
      <c r="F18" s="10">
        <f>净值原始!C24</f>
        <v>45657</v>
      </c>
      <c r="G18" s="10">
        <f>净值原始!C29</f>
        <v>45684</v>
      </c>
      <c r="H18" s="15">
        <f>净值原始!F24</f>
        <v>1.1596</v>
      </c>
      <c r="I18" s="15">
        <f>净值原始!F29</f>
        <v>1.1763</v>
      </c>
      <c r="J18" s="11">
        <f t="shared" si="0"/>
        <v>0.0144015177647465</v>
      </c>
      <c r="K18" s="9">
        <f>IF(COUNT(F18:I18)&lt;&gt;4,0,IF(AND(G18&gt;F18,H18&gt;0,I18&gt;0,L18&lt;='Sheet1-指标体系'!$J$31,M18&lt;='Sheet1-指标体系'!$J$31),1,0))</f>
        <v>1</v>
      </c>
      <c r="L18" s="9">
        <f t="shared" si="1"/>
        <v>0</v>
      </c>
      <c r="M18" s="9">
        <f t="shared" si="2"/>
        <v>4</v>
      </c>
    </row>
    <row r="19" ht="25" customHeight="1" spans="1:13">
      <c r="A19" s="9" t="s">
        <v>383</v>
      </c>
      <c r="B19" s="9" t="s">
        <v>381</v>
      </c>
      <c r="C19" s="9" t="s">
        <v>1045</v>
      </c>
      <c r="D19" s="10">
        <v>45688</v>
      </c>
      <c r="E19" s="10">
        <v>45716</v>
      </c>
      <c r="F19" s="10">
        <f>净值原始!C29</f>
        <v>45684</v>
      </c>
      <c r="G19" s="10">
        <f>净值原始!C34</f>
        <v>45716</v>
      </c>
      <c r="H19" s="15">
        <f>净值原始!F29</f>
        <v>1.1763</v>
      </c>
      <c r="I19" s="15">
        <f>净值原始!F34</f>
        <v>1.1776</v>
      </c>
      <c r="J19" s="11">
        <f t="shared" si="0"/>
        <v>0.00110516024823615</v>
      </c>
      <c r="K19" s="9">
        <f>IF(COUNT(F19:I19)&lt;&gt;4,0,IF(AND(G19&gt;F19,H19&gt;0,I19&gt;0,L19&lt;='Sheet1-指标体系'!$J$31,M19&lt;='Sheet1-指标体系'!$J$31),1,0))</f>
        <v>1</v>
      </c>
      <c r="L19" s="9">
        <f t="shared" si="1"/>
        <v>4</v>
      </c>
      <c r="M19" s="9">
        <f t="shared" si="2"/>
        <v>0</v>
      </c>
    </row>
    <row r="20" ht="25" customHeight="1" spans="1:13">
      <c r="A20" s="9" t="s">
        <v>383</v>
      </c>
      <c r="B20" s="9" t="s">
        <v>381</v>
      </c>
      <c r="C20" s="9" t="s">
        <v>1046</v>
      </c>
      <c r="D20" s="10">
        <v>45716</v>
      </c>
      <c r="E20" s="10">
        <v>45747</v>
      </c>
      <c r="F20" s="10">
        <f>净值原始!C34</f>
        <v>45716</v>
      </c>
      <c r="G20" s="10">
        <f>净值原始!C39</f>
        <v>45747</v>
      </c>
      <c r="H20" s="15">
        <f>净值原始!F34</f>
        <v>1.1776</v>
      </c>
      <c r="I20" s="15">
        <f>净值原始!F39</f>
        <v>1.1821</v>
      </c>
      <c r="J20" s="11">
        <f t="shared" si="0"/>
        <v>0.00382133152173902</v>
      </c>
      <c r="K20" s="9">
        <f>IF(COUNT(F20:I20)&lt;&gt;4,0,IF(AND(G20&gt;F20,H20&gt;0,I20&gt;0,L20&lt;='Sheet1-指标体系'!$J$31,M20&lt;='Sheet1-指标体系'!$J$31),1,0))</f>
        <v>1</v>
      </c>
      <c r="L20" s="9">
        <f t="shared" si="1"/>
        <v>0</v>
      </c>
      <c r="M20" s="9">
        <f t="shared" si="2"/>
        <v>0</v>
      </c>
    </row>
    <row r="21" ht="25" customHeight="1" spans="1:13">
      <c r="A21" s="9" t="s">
        <v>383</v>
      </c>
      <c r="B21" s="9" t="s">
        <v>381</v>
      </c>
      <c r="C21" s="9" t="s">
        <v>1047</v>
      </c>
      <c r="D21" s="10">
        <v>45747</v>
      </c>
      <c r="E21" s="10">
        <v>45777</v>
      </c>
      <c r="F21" s="10">
        <f>净值原始!C39</f>
        <v>45747</v>
      </c>
      <c r="G21" s="10">
        <f>净值原始!C44</f>
        <v>45777</v>
      </c>
      <c r="H21" s="15">
        <f>净值原始!F39</f>
        <v>1.1821</v>
      </c>
      <c r="I21" s="15">
        <f>净值原始!F44</f>
        <v>1.2164</v>
      </c>
      <c r="J21" s="11">
        <f t="shared" si="0"/>
        <v>0.0290161576854751</v>
      </c>
      <c r="K21" s="9">
        <f>IF(COUNT(F21:I21)&lt;&gt;4,0,IF(AND(G21&gt;F21,H21&gt;0,I21&gt;0,L21&lt;='Sheet1-指标体系'!$J$31,M21&lt;='Sheet1-指标体系'!$J$31),1,0))</f>
        <v>1</v>
      </c>
      <c r="L21" s="9">
        <f t="shared" si="1"/>
        <v>0</v>
      </c>
      <c r="M21" s="9">
        <f t="shared" si="2"/>
        <v>0</v>
      </c>
    </row>
    <row r="22" ht="25" customHeight="1" spans="1:13">
      <c r="A22" s="9" t="s">
        <v>383</v>
      </c>
      <c r="B22" s="9" t="s">
        <v>381</v>
      </c>
      <c r="C22" s="9" t="s">
        <v>1048</v>
      </c>
      <c r="D22" s="10">
        <v>45777</v>
      </c>
      <c r="E22" s="10">
        <v>45808</v>
      </c>
      <c r="F22" s="10">
        <f>净值原始!C44</f>
        <v>45777</v>
      </c>
      <c r="G22" s="10">
        <f>净值原始!C48</f>
        <v>45807</v>
      </c>
      <c r="H22" s="15">
        <f>净值原始!F44</f>
        <v>1.2164</v>
      </c>
      <c r="I22" s="15">
        <f>净值原始!F48</f>
        <v>1.2241</v>
      </c>
      <c r="J22" s="11">
        <f t="shared" si="0"/>
        <v>0.00633015455442298</v>
      </c>
      <c r="K22" s="9">
        <f>IF(COUNT(F22:I22)&lt;&gt;4,0,IF(AND(G22&gt;F22,H22&gt;0,I22&gt;0,L22&lt;='Sheet1-指标体系'!$J$31,M22&lt;='Sheet1-指标体系'!$J$31),1,0))</f>
        <v>1</v>
      </c>
      <c r="L22" s="9">
        <f t="shared" si="1"/>
        <v>0</v>
      </c>
      <c r="M22" s="9">
        <f t="shared" si="2"/>
        <v>1</v>
      </c>
    </row>
    <row r="23" ht="25" customHeight="1" spans="1:13">
      <c r="A23" s="9" t="s">
        <v>383</v>
      </c>
      <c r="B23" s="9" t="s">
        <v>381</v>
      </c>
      <c r="C23" s="9" t="s">
        <v>1049</v>
      </c>
      <c r="D23" s="10">
        <v>45808</v>
      </c>
      <c r="E23" s="10">
        <v>45838</v>
      </c>
      <c r="F23" s="10">
        <f>净值原始!C48</f>
        <v>45807</v>
      </c>
      <c r="G23" s="10">
        <f>净值原始!C53</f>
        <v>45838</v>
      </c>
      <c r="H23" s="15">
        <f>净值原始!F48</f>
        <v>1.2241</v>
      </c>
      <c r="I23" s="15">
        <f>净值原始!F53</f>
        <v>1.2201</v>
      </c>
      <c r="J23" s="11">
        <f t="shared" si="0"/>
        <v>-0.00326770688669231</v>
      </c>
      <c r="K23" s="9">
        <f>IF(COUNT(F23:I23)&lt;&gt;4,0,IF(AND(G23&gt;F23,H23&gt;0,I23&gt;0,L23&lt;='Sheet1-指标体系'!$J$31,M23&lt;='Sheet1-指标体系'!$J$31),1,0))</f>
        <v>1</v>
      </c>
      <c r="L23" s="9">
        <f t="shared" si="1"/>
        <v>1</v>
      </c>
      <c r="M23" s="9">
        <f t="shared" si="2"/>
        <v>0</v>
      </c>
    </row>
    <row r="24" ht="25" customHeight="1" spans="1:13">
      <c r="A24" s="9" t="s">
        <v>383</v>
      </c>
      <c r="B24" s="9" t="s">
        <v>381</v>
      </c>
      <c r="C24" s="9" t="s">
        <v>1050</v>
      </c>
      <c r="D24" s="10">
        <v>45838</v>
      </c>
      <c r="E24" s="10">
        <v>45869</v>
      </c>
      <c r="F24" s="10">
        <f>净值原始!C53</f>
        <v>45838</v>
      </c>
      <c r="G24" s="10">
        <f>净值原始!C58</f>
        <v>45869</v>
      </c>
      <c r="H24" s="15">
        <f>净值原始!F53</f>
        <v>1.2201</v>
      </c>
      <c r="I24" s="15">
        <f>净值原始!F58</f>
        <v>1.2394</v>
      </c>
      <c r="J24" s="11">
        <f t="shared" si="0"/>
        <v>0.0158183755429884</v>
      </c>
      <c r="K24" s="9">
        <f>IF(COUNT(F24:I24)&lt;&gt;4,0,IF(AND(G24&gt;F24,H24&gt;0,I24&gt;0,L24&lt;='Sheet1-指标体系'!$J$31,M24&lt;='Sheet1-指标体系'!$J$31),1,0))</f>
        <v>1</v>
      </c>
      <c r="L24" s="9">
        <f t="shared" si="1"/>
        <v>0</v>
      </c>
      <c r="M24" s="9">
        <f t="shared" si="2"/>
        <v>0</v>
      </c>
    </row>
    <row r="25" ht="25" customHeight="1" spans="1:13">
      <c r="A25" s="9" t="s">
        <v>383</v>
      </c>
      <c r="B25" s="9" t="s">
        <v>381</v>
      </c>
      <c r="C25" s="9" t="s">
        <v>1051</v>
      </c>
      <c r="D25" s="10">
        <v>45869</v>
      </c>
      <c r="E25" s="10">
        <v>45900</v>
      </c>
      <c r="F25" s="10">
        <f>净值原始!C58</f>
        <v>45869</v>
      </c>
      <c r="G25" s="10">
        <f>净值原始!C63</f>
        <v>45898</v>
      </c>
      <c r="H25" s="15">
        <f>净值原始!F58</f>
        <v>1.2394</v>
      </c>
      <c r="I25" s="15">
        <f>净值原始!F63</f>
        <v>1.2553</v>
      </c>
      <c r="J25" s="11">
        <f t="shared" si="0"/>
        <v>0.0128287881232856</v>
      </c>
      <c r="K25" s="9">
        <f>IF(COUNT(F25:I25)&lt;&gt;4,0,IF(AND(G25&gt;F25,H25&gt;0,I25&gt;0,L25&lt;='Sheet1-指标体系'!$J$31,M25&lt;='Sheet1-指标体系'!$J$31),1,0))</f>
        <v>1</v>
      </c>
      <c r="L25" s="9">
        <f t="shared" si="1"/>
        <v>0</v>
      </c>
      <c r="M25" s="9">
        <f t="shared" si="2"/>
        <v>2</v>
      </c>
    </row>
    <row r="26" ht="25" customHeight="1" spans="1:13">
      <c r="A26" s="9" t="s">
        <v>383</v>
      </c>
      <c r="B26" s="9" t="s">
        <v>381</v>
      </c>
      <c r="C26" s="9" t="s">
        <v>1052</v>
      </c>
      <c r="D26" s="10">
        <v>45900</v>
      </c>
      <c r="E26" s="10">
        <v>45930</v>
      </c>
      <c r="F26" s="10">
        <f>净值原始!C63</f>
        <v>45898</v>
      </c>
      <c r="G26" s="10">
        <f>净值原始!C68</f>
        <v>45930</v>
      </c>
      <c r="H26" s="15">
        <f>净值原始!F63</f>
        <v>1.2553</v>
      </c>
      <c r="I26" s="15">
        <f>净值原始!F68</f>
        <v>1.2705</v>
      </c>
      <c r="J26" s="11">
        <f t="shared" si="0"/>
        <v>0.0121086592846331</v>
      </c>
      <c r="K26" s="9">
        <f>IF(COUNT(F26:I26)&lt;&gt;4,0,IF(AND(G26&gt;F26,H26&gt;0,I26&gt;0,L26&lt;='Sheet1-指标体系'!$J$31,M26&lt;='Sheet1-指标体系'!$J$31),1,0))</f>
        <v>1</v>
      </c>
      <c r="L26" s="9">
        <f t="shared" si="1"/>
        <v>2</v>
      </c>
      <c r="M26" s="9">
        <f t="shared" si="2"/>
        <v>0</v>
      </c>
    </row>
    <row r="27" ht="25" customHeight="1" spans="1:13">
      <c r="A27" s="9" t="s">
        <v>383</v>
      </c>
      <c r="B27" s="9" t="s">
        <v>381</v>
      </c>
      <c r="C27" s="9" t="s">
        <v>1053</v>
      </c>
      <c r="D27" s="10">
        <v>45930</v>
      </c>
      <c r="E27" s="10">
        <v>45961</v>
      </c>
      <c r="F27" s="10">
        <f>净值原始!C68</f>
        <v>45930</v>
      </c>
      <c r="G27" s="10">
        <f>净值原始!C72</f>
        <v>45961</v>
      </c>
      <c r="H27" s="15">
        <f>净值原始!F68</f>
        <v>1.2705</v>
      </c>
      <c r="I27" s="15">
        <f>净值原始!F72</f>
        <v>1.2822</v>
      </c>
      <c r="J27" s="11">
        <f t="shared" si="0"/>
        <v>0.00920897284533662</v>
      </c>
      <c r="K27" s="9">
        <f>IF(COUNT(F27:I27)&lt;&gt;4,0,IF(AND(G27&gt;F27,H27&gt;0,I27&gt;0,L27&lt;='Sheet1-指标体系'!$J$31,M27&lt;='Sheet1-指标体系'!$J$31),1,0))</f>
        <v>1</v>
      </c>
      <c r="L27" s="9">
        <f t="shared" si="1"/>
        <v>0</v>
      </c>
      <c r="M27" s="9">
        <f t="shared" si="2"/>
        <v>0</v>
      </c>
    </row>
    <row r="28" ht="25" customHeight="1" spans="1:13">
      <c r="A28" s="9" t="s">
        <v>383</v>
      </c>
      <c r="B28" s="9" t="s">
        <v>381</v>
      </c>
      <c r="C28" s="9" t="s">
        <v>1054</v>
      </c>
      <c r="D28" s="10">
        <v>45961</v>
      </c>
      <c r="E28" s="10">
        <v>45991</v>
      </c>
      <c r="F28" s="10">
        <f>净值原始!C72</f>
        <v>45961</v>
      </c>
      <c r="G28" s="10">
        <f>净值原始!C76</f>
        <v>45989</v>
      </c>
      <c r="H28" s="15">
        <f>净值原始!F72</f>
        <v>1.2822</v>
      </c>
      <c r="I28" s="15">
        <f>净值原始!F76</f>
        <v>1.2802</v>
      </c>
      <c r="J28" s="11">
        <f t="shared" si="0"/>
        <v>-0.0015598190609889</v>
      </c>
      <c r="K28" s="9">
        <f>IF(COUNT(F28:I28)&lt;&gt;4,0,IF(AND(G28&gt;F28,H28&gt;0,I28&gt;0,L28&lt;='Sheet1-指标体系'!$J$31,M28&lt;='Sheet1-指标体系'!$J$31),1,0))</f>
        <v>1</v>
      </c>
      <c r="L28" s="9">
        <f t="shared" si="1"/>
        <v>0</v>
      </c>
      <c r="M28" s="9">
        <f t="shared" si="2"/>
        <v>2</v>
      </c>
    </row>
    <row r="29" ht="25" customHeight="1" spans="1:13">
      <c r="A29" s="9" t="s">
        <v>383</v>
      </c>
      <c r="B29" s="9" t="s">
        <v>381</v>
      </c>
      <c r="C29" s="9" t="s">
        <v>1055</v>
      </c>
      <c r="D29" s="10">
        <v>45991</v>
      </c>
      <c r="E29" s="10">
        <v>46022</v>
      </c>
      <c r="F29" s="10">
        <f>净值原始!C76</f>
        <v>45989</v>
      </c>
      <c r="G29" s="10">
        <f>净值原始!C81</f>
        <v>46022</v>
      </c>
      <c r="H29" s="15">
        <f>净值原始!F76</f>
        <v>1.2802</v>
      </c>
      <c r="I29" s="15">
        <f>净值原始!F81</f>
        <v>1.2844</v>
      </c>
      <c r="J29" s="11">
        <f t="shared" si="0"/>
        <v>0.00328073738478363</v>
      </c>
      <c r="K29" s="9">
        <f>IF(COUNT(F29:I29)&lt;&gt;4,0,IF(AND(G29&gt;F29,H29&gt;0,I29&gt;0,L29&lt;='Sheet1-指标体系'!$J$31,M29&lt;='Sheet1-指标体系'!$J$31),1,0))</f>
        <v>1</v>
      </c>
      <c r="L29" s="9">
        <f t="shared" si="1"/>
        <v>2</v>
      </c>
      <c r="M29" s="9">
        <f t="shared" si="2"/>
        <v>0</v>
      </c>
    </row>
    <row r="30" ht="25" customHeight="1" spans="1:13">
      <c r="A30" s="9" t="s">
        <v>383</v>
      </c>
      <c r="B30" s="9" t="s">
        <v>381</v>
      </c>
      <c r="C30" s="9" t="s">
        <v>1056</v>
      </c>
      <c r="D30" s="10">
        <v>46022</v>
      </c>
      <c r="E30" s="10">
        <v>46053</v>
      </c>
      <c r="F30" s="10">
        <f>净值原始!C81</f>
        <v>46022</v>
      </c>
      <c r="G30" s="10">
        <f>净值原始!C85</f>
        <v>46052</v>
      </c>
      <c r="H30" s="15">
        <f>净值原始!F81</f>
        <v>1.2844</v>
      </c>
      <c r="I30" s="15">
        <f>净值原始!F85</f>
        <v>1.3113</v>
      </c>
      <c r="J30" s="11">
        <f t="shared" si="0"/>
        <v>0.0209436312675177</v>
      </c>
      <c r="K30" s="9">
        <f>IF(COUNT(F30:I30)&lt;&gt;4,0,IF(AND(G30&gt;F30,H30&gt;0,I30&gt;0,L30&lt;='Sheet1-指标体系'!$J$31,M30&lt;='Sheet1-指标体系'!$J$31),1,0))</f>
        <v>1</v>
      </c>
      <c r="L30" s="9">
        <f t="shared" si="1"/>
        <v>0</v>
      </c>
      <c r="M30" s="9">
        <f t="shared" si="2"/>
        <v>1</v>
      </c>
    </row>
    <row r="31" ht="25" customHeight="1" spans="1:13">
      <c r="A31" s="9" t="s">
        <v>383</v>
      </c>
      <c r="B31" s="9" t="s">
        <v>381</v>
      </c>
      <c r="C31" s="9" t="s">
        <v>1057</v>
      </c>
      <c r="D31" s="10">
        <v>46053</v>
      </c>
      <c r="E31" s="10">
        <v>46081</v>
      </c>
      <c r="F31" s="10">
        <f>净值原始!C85</f>
        <v>46052</v>
      </c>
      <c r="G31" s="10">
        <f>净值原始!C88</f>
        <v>46080</v>
      </c>
      <c r="H31" s="15">
        <f>净值原始!F85</f>
        <v>1.3113</v>
      </c>
      <c r="I31" s="15">
        <f>净值原始!F88</f>
        <v>1.2922</v>
      </c>
      <c r="J31" s="11">
        <f t="shared" si="0"/>
        <v>-0.0145656981621292</v>
      </c>
      <c r="K31" s="9">
        <f>IF(COUNT(F31:I31)&lt;&gt;4,0,IF(AND(G31&gt;F31,H31&gt;0,I31&gt;0,L31&lt;='Sheet1-指标体系'!$J$31,M31&lt;='Sheet1-指标体系'!$J$31),1,0))</f>
        <v>1</v>
      </c>
      <c r="L31" s="9">
        <f t="shared" si="1"/>
        <v>1</v>
      </c>
      <c r="M31" s="9">
        <f t="shared" si="2"/>
        <v>1</v>
      </c>
    </row>
    <row r="32" ht="25" customHeight="1" spans="1:13">
      <c r="A32" s="9" t="s">
        <v>383</v>
      </c>
      <c r="B32" s="9" t="s">
        <v>381</v>
      </c>
      <c r="C32" s="9" t="s">
        <v>1058</v>
      </c>
      <c r="D32" s="10">
        <v>46081</v>
      </c>
      <c r="E32" s="10">
        <v>46112</v>
      </c>
      <c r="F32" s="10">
        <f>净值原始!C88</f>
        <v>46080</v>
      </c>
      <c r="G32" s="10">
        <f>净值原始!C92</f>
        <v>46108</v>
      </c>
      <c r="H32" s="15">
        <f>净值原始!F88</f>
        <v>1.2922</v>
      </c>
      <c r="I32" s="15">
        <f>净值原始!F92</f>
        <v>1.3181</v>
      </c>
      <c r="J32" s="11">
        <f t="shared" si="0"/>
        <v>0.0200433369447455</v>
      </c>
      <c r="K32" s="9">
        <f>IF(COUNT(F32:I32)&lt;&gt;4,0,IF(AND(G32&gt;F32,H32&gt;0,I32&gt;0,L32&lt;='Sheet1-指标体系'!$J$31,M32&lt;='Sheet1-指标体系'!$J$31),1,0))</f>
        <v>1</v>
      </c>
      <c r="L32" s="9">
        <f t="shared" si="1"/>
        <v>1</v>
      </c>
      <c r="M32" s="9">
        <f t="shared" si="2"/>
        <v>4</v>
      </c>
    </row>
    <row r="33" ht="25" customHeight="1" spans="1:13">
      <c r="A33" s="9" t="s">
        <v>383</v>
      </c>
      <c r="B33" s="9" t="s">
        <v>381</v>
      </c>
      <c r="C33" s="9" t="s">
        <v>1059</v>
      </c>
      <c r="D33" s="10">
        <v>46112</v>
      </c>
      <c r="E33" s="10">
        <v>46142</v>
      </c>
      <c r="F33" s="10">
        <f>净值原始!C92</f>
        <v>46108</v>
      </c>
      <c r="G33" s="10">
        <f>净值原始!C97</f>
        <v>46142</v>
      </c>
      <c r="H33" s="15">
        <f>净值原始!F92</f>
        <v>1.3181</v>
      </c>
      <c r="I33" s="15">
        <f>净值原始!F97</f>
        <v>1.3122</v>
      </c>
      <c r="J33" s="11">
        <f t="shared" si="0"/>
        <v>-0.0044761398983385</v>
      </c>
      <c r="K33" s="9">
        <f>IF(COUNT(F33:I33)&lt;&gt;4,0,IF(AND(G33&gt;F33,H33&gt;0,I33&gt;0,L33&lt;='Sheet1-指标体系'!$J$31,M33&lt;='Sheet1-指标体系'!$J$31),1,0))</f>
        <v>1</v>
      </c>
      <c r="L33" s="9">
        <f t="shared" si="1"/>
        <v>4</v>
      </c>
      <c r="M33" s="9">
        <f t="shared" si="2"/>
        <v>0</v>
      </c>
    </row>
    <row r="34" ht="25" customHeight="1" spans="1:13">
      <c r="A34" s="9" t="s">
        <v>383</v>
      </c>
      <c r="B34" s="9" t="s">
        <v>381</v>
      </c>
      <c r="C34" s="9" t="s">
        <v>1060</v>
      </c>
      <c r="D34" s="10">
        <v>46142</v>
      </c>
      <c r="E34" s="10">
        <v>46173</v>
      </c>
      <c r="F34" s="10">
        <f>净值原始!C97</f>
        <v>46142</v>
      </c>
      <c r="G34" s="10">
        <f>净值原始!C101</f>
        <v>46171</v>
      </c>
      <c r="H34" s="15">
        <f>净值原始!F97</f>
        <v>1.3122</v>
      </c>
      <c r="I34" s="15">
        <f>净值原始!F101</f>
        <v>1.349</v>
      </c>
      <c r="J34" s="11">
        <f t="shared" si="0"/>
        <v>0.0280445054107605</v>
      </c>
      <c r="K34" s="9">
        <f>IF(COUNT(F34:I34)&lt;&gt;4,0,IF(AND(G34&gt;F34,H34&gt;0,I34&gt;0,L34&lt;='Sheet1-指标体系'!$J$31,M34&lt;='Sheet1-指标体系'!$J$31),1,0))</f>
        <v>1</v>
      </c>
      <c r="L34" s="9">
        <f t="shared" si="1"/>
        <v>0</v>
      </c>
      <c r="M34" s="9">
        <f t="shared" si="2"/>
        <v>2</v>
      </c>
    </row>
    <row r="35" ht="25" customHeight="1" spans="1:13">
      <c r="A35" s="9" t="s">
        <v>383</v>
      </c>
      <c r="B35" s="9" t="s">
        <v>381</v>
      </c>
      <c r="C35" s="9" t="s">
        <v>1061</v>
      </c>
      <c r="D35" s="10">
        <v>46173</v>
      </c>
      <c r="E35" s="10">
        <v>46203</v>
      </c>
      <c r="F35" s="10">
        <f>净值原始!C101</f>
        <v>46171</v>
      </c>
      <c r="G35" s="10">
        <f>净值原始!C105</f>
        <v>46199</v>
      </c>
      <c r="H35" s="15">
        <f>净值原始!F101</f>
        <v>1.349</v>
      </c>
      <c r="I35" s="15">
        <f>净值原始!F105</f>
        <v>1.3834</v>
      </c>
      <c r="J35" s="11">
        <f t="shared" si="0"/>
        <v>0.0255003706449222</v>
      </c>
      <c r="K35" s="9">
        <f>IF(COUNT(F35:I35)&lt;&gt;4,0,IF(AND(G35&gt;F35,H35&gt;0,I35&gt;0,L35&lt;='Sheet1-指标体系'!$J$31,M35&lt;='Sheet1-指标体系'!$J$31),1,0))</f>
        <v>1</v>
      </c>
      <c r="L35" s="9">
        <f t="shared" si="1"/>
        <v>2</v>
      </c>
      <c r="M35" s="9">
        <f t="shared" si="2"/>
        <v>4</v>
      </c>
    </row>
    <row r="36" ht="25" customHeight="1" spans="1:13">
      <c r="A36" s="9" t="s">
        <v>383</v>
      </c>
      <c r="B36" s="9" t="s">
        <v>381</v>
      </c>
      <c r="C36" s="9" t="s">
        <v>1062</v>
      </c>
      <c r="D36" s="10">
        <v>46203</v>
      </c>
      <c r="E36" s="10">
        <v>46234</v>
      </c>
      <c r="F36" s="10">
        <f>净值原始!C105</f>
        <v>46199</v>
      </c>
      <c r="G36" s="10">
        <f>净值原始!C110</f>
        <v>46234</v>
      </c>
      <c r="H36" s="15">
        <f>净值原始!F105</f>
        <v>1.3834</v>
      </c>
      <c r="I36" s="15">
        <f>净值原始!F110</f>
        <v>1.4304</v>
      </c>
      <c r="J36" s="11">
        <f t="shared" si="0"/>
        <v>0.0339742663004192</v>
      </c>
      <c r="K36" s="9">
        <f>IF(COUNT(F36:I36)&lt;&gt;4,0,IF(AND(G36&gt;F36,H36&gt;0,I36&gt;0,L36&lt;='Sheet1-指标体系'!$J$31,M36&lt;='Sheet1-指标体系'!$J$31),1,0))</f>
        <v>1</v>
      </c>
      <c r="L36" s="9">
        <f t="shared" si="1"/>
        <v>4</v>
      </c>
      <c r="M36" s="9">
        <f t="shared" si="2"/>
        <v>0</v>
      </c>
    </row>
    <row r="37" ht="25" customHeight="1" spans="1:13">
      <c r="A37" s="9" t="s">
        <v>383</v>
      </c>
      <c r="B37" s="9" t="s">
        <v>381</v>
      </c>
      <c r="C37" s="9" t="s">
        <v>1063</v>
      </c>
      <c r="D37" s="10">
        <v>46234</v>
      </c>
      <c r="E37" s="10">
        <v>46265</v>
      </c>
      <c r="F37" s="10">
        <f>净值原始!C110</f>
        <v>46234</v>
      </c>
      <c r="G37" s="10">
        <f>净值原始!C114</f>
        <v>46262</v>
      </c>
      <c r="H37" s="15">
        <f>净值原始!F110</f>
        <v>1.4304</v>
      </c>
      <c r="I37" s="15">
        <f>净值原始!F114</f>
        <v>1.4597</v>
      </c>
      <c r="J37" s="11">
        <f t="shared" si="0"/>
        <v>0.0204837807606264</v>
      </c>
      <c r="K37" s="9">
        <f>IF(COUNT(F37:I37)&lt;&gt;4,0,IF(AND(G37&gt;F37,H37&gt;0,I37&gt;0,L37&lt;='Sheet1-指标体系'!$J$31,M37&lt;='Sheet1-指标体系'!$J$31),1,0))</f>
        <v>1</v>
      </c>
      <c r="L37" s="9">
        <f t="shared" si="1"/>
        <v>0</v>
      </c>
      <c r="M37" s="9">
        <f t="shared" si="2"/>
        <v>3</v>
      </c>
    </row>
    <row r="38" ht="25" customHeight="1" spans="1:13">
      <c r="A38" s="9" t="s">
        <v>383</v>
      </c>
      <c r="B38" s="9" t="s">
        <v>381</v>
      </c>
      <c r="C38" s="9" t="s">
        <v>1064</v>
      </c>
      <c r="D38" s="10">
        <v>46265</v>
      </c>
      <c r="E38" s="10">
        <v>46269</v>
      </c>
      <c r="F38" s="10">
        <f>净值原始!C114</f>
        <v>46262</v>
      </c>
      <c r="G38" s="10">
        <f>净值原始!C115</f>
        <v>46269</v>
      </c>
      <c r="H38" s="15">
        <f>净值原始!F114</f>
        <v>1.4597</v>
      </c>
      <c r="I38" s="15">
        <f>净值原始!F115</f>
        <v>1.4573</v>
      </c>
      <c r="J38" s="11">
        <f t="shared" si="0"/>
        <v>-0.00164417346029999</v>
      </c>
      <c r="K38" s="9">
        <f>IF(COUNT(F38:I38)&lt;&gt;4,0,IF(AND(G38&gt;F38,H38&gt;0,I38&gt;0,L38&lt;='Sheet1-指标体系'!$J$31,M38&lt;='Sheet1-指标体系'!$J$31),1,0))</f>
        <v>1</v>
      </c>
      <c r="L38" s="9">
        <f t="shared" si="1"/>
        <v>3</v>
      </c>
      <c r="M38" s="9">
        <f t="shared" si="2"/>
        <v>0</v>
      </c>
    </row>
    <row r="39" ht="25" customHeight="1" spans="1:13">
      <c r="A39" s="9" t="s">
        <v>388</v>
      </c>
      <c r="B39" s="9" t="s">
        <v>387</v>
      </c>
      <c r="C39" s="9" t="s">
        <v>1028</v>
      </c>
      <c r="D39" s="10">
        <v>45169</v>
      </c>
      <c r="E39" s="10">
        <v>45199</v>
      </c>
      <c r="F39" s="10">
        <f>净值原始!C163</f>
        <v>45169</v>
      </c>
      <c r="G39" s="10">
        <f>净值原始!C168</f>
        <v>45197</v>
      </c>
      <c r="H39" s="15">
        <f>净值原始!F163</f>
        <v>1</v>
      </c>
      <c r="I39" s="15">
        <f>净值原始!F168</f>
        <v>1.0055</v>
      </c>
      <c r="J39" s="11">
        <f t="shared" si="0"/>
        <v>0.00550000000000006</v>
      </c>
      <c r="K39" s="9">
        <f>IF(COUNT(F39:I39)&lt;&gt;4,0,IF(AND(G39&gt;F39,H39&gt;0,I39&gt;0,L39&lt;='Sheet1-指标体系'!$J$31,M39&lt;='Sheet1-指标体系'!$J$31),1,0))</f>
        <v>1</v>
      </c>
      <c r="L39" s="9">
        <f t="shared" si="1"/>
        <v>0</v>
      </c>
      <c r="M39" s="9">
        <f t="shared" si="2"/>
        <v>2</v>
      </c>
    </row>
    <row r="40" ht="25" customHeight="1" spans="1:13">
      <c r="A40" s="9" t="s">
        <v>388</v>
      </c>
      <c r="B40" s="9" t="s">
        <v>387</v>
      </c>
      <c r="C40" s="9" t="s">
        <v>1029</v>
      </c>
      <c r="D40" s="10">
        <v>45199</v>
      </c>
      <c r="E40" s="10">
        <v>45230</v>
      </c>
      <c r="F40" s="10">
        <f>净值原始!C168</f>
        <v>45197</v>
      </c>
      <c r="G40" s="10">
        <f>净值原始!C172</f>
        <v>45230</v>
      </c>
      <c r="H40" s="15">
        <f>净值原始!F168</f>
        <v>1.0055</v>
      </c>
      <c r="I40" s="15">
        <f>净值原始!F172</f>
        <v>1.003</v>
      </c>
      <c r="J40" s="11">
        <f t="shared" si="0"/>
        <v>-0.00248632521133785</v>
      </c>
      <c r="K40" s="9">
        <f>IF(COUNT(F40:I40)&lt;&gt;4,0,IF(AND(G40&gt;F40,H40&gt;0,I40&gt;0,L40&lt;='Sheet1-指标体系'!$J$31,M40&lt;='Sheet1-指标体系'!$J$31),1,0))</f>
        <v>1</v>
      </c>
      <c r="L40" s="9">
        <f t="shared" si="1"/>
        <v>2</v>
      </c>
      <c r="M40" s="9">
        <f t="shared" si="2"/>
        <v>0</v>
      </c>
    </row>
    <row r="41" ht="25" customHeight="1" spans="1:13">
      <c r="A41" s="9" t="s">
        <v>388</v>
      </c>
      <c r="B41" s="9" t="s">
        <v>387</v>
      </c>
      <c r="C41" s="9" t="s">
        <v>1030</v>
      </c>
      <c r="D41" s="10">
        <v>45230</v>
      </c>
      <c r="E41" s="10">
        <v>45260</v>
      </c>
      <c r="F41" s="10">
        <f>净值原始!C172</f>
        <v>45230</v>
      </c>
      <c r="G41" s="10">
        <f>净值原始!C177</f>
        <v>45260</v>
      </c>
      <c r="H41" s="15">
        <f>净值原始!F172</f>
        <v>1.003</v>
      </c>
      <c r="I41" s="15">
        <f>净值原始!F177</f>
        <v>1.013</v>
      </c>
      <c r="J41" s="11">
        <f t="shared" si="0"/>
        <v>0.00997008973080749</v>
      </c>
      <c r="K41" s="9">
        <f>IF(COUNT(F41:I41)&lt;&gt;4,0,IF(AND(G41&gt;F41,H41&gt;0,I41&gt;0,L41&lt;='Sheet1-指标体系'!$J$31,M41&lt;='Sheet1-指标体系'!$J$31),1,0))</f>
        <v>1</v>
      </c>
      <c r="L41" s="9">
        <f t="shared" si="1"/>
        <v>0</v>
      </c>
      <c r="M41" s="9">
        <f t="shared" si="2"/>
        <v>0</v>
      </c>
    </row>
    <row r="42" ht="25" customHeight="1" spans="1:13">
      <c r="A42" s="9" t="s">
        <v>388</v>
      </c>
      <c r="B42" s="9" t="s">
        <v>387</v>
      </c>
      <c r="C42" s="9" t="s">
        <v>1031</v>
      </c>
      <c r="D42" s="10">
        <v>45260</v>
      </c>
      <c r="E42" s="10">
        <v>45291</v>
      </c>
      <c r="F42" s="10">
        <f>净值原始!C177</f>
        <v>45260</v>
      </c>
      <c r="G42" s="10">
        <f>净值原始!C182</f>
        <v>45289</v>
      </c>
      <c r="H42" s="15">
        <f>净值原始!F177</f>
        <v>1.013</v>
      </c>
      <c r="I42" s="15">
        <f>净值原始!F182</f>
        <v>1.0165</v>
      </c>
      <c r="J42" s="11">
        <f t="shared" si="0"/>
        <v>0.0034550839091807</v>
      </c>
      <c r="K42" s="9">
        <f>IF(COUNT(F42:I42)&lt;&gt;4,0,IF(AND(G42&gt;F42,H42&gt;0,I42&gt;0,L42&lt;='Sheet1-指标体系'!$J$31,M42&lt;='Sheet1-指标体系'!$J$31),1,0))</f>
        <v>1</v>
      </c>
      <c r="L42" s="9">
        <f t="shared" si="1"/>
        <v>0</v>
      </c>
      <c r="M42" s="9">
        <f t="shared" si="2"/>
        <v>2</v>
      </c>
    </row>
    <row r="43" ht="25" customHeight="1" spans="1:13">
      <c r="A43" s="9" t="s">
        <v>388</v>
      </c>
      <c r="B43" s="9" t="s">
        <v>387</v>
      </c>
      <c r="C43" s="9" t="s">
        <v>1032</v>
      </c>
      <c r="D43" s="10">
        <v>45291</v>
      </c>
      <c r="E43" s="10">
        <v>45322</v>
      </c>
      <c r="F43" s="10">
        <f>净值原始!C182</f>
        <v>45289</v>
      </c>
      <c r="G43" s="10">
        <f>净值原始!C187</f>
        <v>45322</v>
      </c>
      <c r="H43" s="15">
        <f>净值原始!F182</f>
        <v>1.0165</v>
      </c>
      <c r="I43" s="15">
        <f>净值原始!F187</f>
        <v>1.0152</v>
      </c>
      <c r="J43" s="11">
        <f t="shared" si="0"/>
        <v>-0.00127889818002935</v>
      </c>
      <c r="K43" s="9">
        <f>IF(COUNT(F43:I43)&lt;&gt;4,0,IF(AND(G43&gt;F43,H43&gt;0,I43&gt;0,L43&lt;='Sheet1-指标体系'!$J$31,M43&lt;='Sheet1-指标体系'!$J$31),1,0))</f>
        <v>1</v>
      </c>
      <c r="L43" s="9">
        <f t="shared" si="1"/>
        <v>2</v>
      </c>
      <c r="M43" s="9">
        <f t="shared" si="2"/>
        <v>0</v>
      </c>
    </row>
    <row r="44" ht="25" customHeight="1" spans="1:13">
      <c r="A44" s="9" t="s">
        <v>388</v>
      </c>
      <c r="B44" s="9" t="s">
        <v>387</v>
      </c>
      <c r="C44" s="9" t="s">
        <v>1033</v>
      </c>
      <c r="D44" s="10">
        <v>45322</v>
      </c>
      <c r="E44" s="10">
        <v>45351</v>
      </c>
      <c r="F44" s="10">
        <f>净值原始!C187</f>
        <v>45322</v>
      </c>
      <c r="G44" s="10">
        <f>净值原始!C192</f>
        <v>45351</v>
      </c>
      <c r="H44" s="15">
        <f>净值原始!F187</f>
        <v>1.0152</v>
      </c>
      <c r="I44" s="15">
        <f>净值原始!F192</f>
        <v>1.0642</v>
      </c>
      <c r="J44" s="11">
        <f t="shared" si="0"/>
        <v>0.0482663514578408</v>
      </c>
      <c r="K44" s="9">
        <f>IF(COUNT(F44:I44)&lt;&gt;4,0,IF(AND(G44&gt;F44,H44&gt;0,I44&gt;0,L44&lt;='Sheet1-指标体系'!$J$31,M44&lt;='Sheet1-指标体系'!$J$31),1,0))</f>
        <v>1</v>
      </c>
      <c r="L44" s="9">
        <f t="shared" si="1"/>
        <v>0</v>
      </c>
      <c r="M44" s="9">
        <f t="shared" si="2"/>
        <v>0</v>
      </c>
    </row>
    <row r="45" ht="25" customHeight="1" spans="1:13">
      <c r="A45" s="9" t="s">
        <v>388</v>
      </c>
      <c r="B45" s="9" t="s">
        <v>387</v>
      </c>
      <c r="C45" s="9" t="s">
        <v>1034</v>
      </c>
      <c r="D45" s="10">
        <v>45351</v>
      </c>
      <c r="E45" s="10">
        <v>45382</v>
      </c>
      <c r="F45" s="10">
        <f>净值原始!C192</f>
        <v>45351</v>
      </c>
      <c r="G45" s="10">
        <f>净值原始!C197</f>
        <v>45380</v>
      </c>
      <c r="H45" s="15">
        <f>净值原始!F192</f>
        <v>1.0642</v>
      </c>
      <c r="I45" s="15">
        <f>净值原始!F197</f>
        <v>1.0731</v>
      </c>
      <c r="J45" s="11">
        <f t="shared" si="0"/>
        <v>0.00836308964480348</v>
      </c>
      <c r="K45" s="9">
        <f>IF(COUNT(F45:I45)&lt;&gt;4,0,IF(AND(G45&gt;F45,H45&gt;0,I45&gt;0,L45&lt;='Sheet1-指标体系'!$J$31,M45&lt;='Sheet1-指标体系'!$J$31),1,0))</f>
        <v>1</v>
      </c>
      <c r="L45" s="9">
        <f t="shared" si="1"/>
        <v>0</v>
      </c>
      <c r="M45" s="9">
        <f t="shared" si="2"/>
        <v>2</v>
      </c>
    </row>
    <row r="46" ht="25" customHeight="1" spans="1:13">
      <c r="A46" s="9" t="s">
        <v>388</v>
      </c>
      <c r="B46" s="9" t="s">
        <v>387</v>
      </c>
      <c r="C46" s="9" t="s">
        <v>1035</v>
      </c>
      <c r="D46" s="10">
        <v>45382</v>
      </c>
      <c r="E46" s="10">
        <v>45412</v>
      </c>
      <c r="F46" s="10">
        <f>净值原始!C197</f>
        <v>45380</v>
      </c>
      <c r="G46" s="10">
        <f>净值原始!C202</f>
        <v>45412</v>
      </c>
      <c r="H46" s="15">
        <f>净值原始!F197</f>
        <v>1.0731</v>
      </c>
      <c r="I46" s="15">
        <f>净值原始!F202</f>
        <v>1.086</v>
      </c>
      <c r="J46" s="11">
        <f t="shared" si="0"/>
        <v>0.0120212468549066</v>
      </c>
      <c r="K46" s="9">
        <f>IF(COUNT(F46:I46)&lt;&gt;4,0,IF(AND(G46&gt;F46,H46&gt;0,I46&gt;0,L46&lt;='Sheet1-指标体系'!$J$31,M46&lt;='Sheet1-指标体系'!$J$31),1,0))</f>
        <v>1</v>
      </c>
      <c r="L46" s="9">
        <f t="shared" si="1"/>
        <v>2</v>
      </c>
      <c r="M46" s="9">
        <f t="shared" si="2"/>
        <v>0</v>
      </c>
    </row>
    <row r="47" ht="25" customHeight="1" spans="1:13">
      <c r="A47" s="9" t="s">
        <v>388</v>
      </c>
      <c r="B47" s="9" t="s">
        <v>387</v>
      </c>
      <c r="C47" s="9" t="s">
        <v>1036</v>
      </c>
      <c r="D47" s="10">
        <v>45412</v>
      </c>
      <c r="E47" s="10">
        <v>45443</v>
      </c>
      <c r="F47" s="10">
        <f>净值原始!C202</f>
        <v>45412</v>
      </c>
      <c r="G47" s="10">
        <f>净值原始!C206</f>
        <v>45443</v>
      </c>
      <c r="H47" s="15">
        <f>净值原始!F202</f>
        <v>1.086</v>
      </c>
      <c r="I47" s="15">
        <f>净值原始!F206</f>
        <v>1.0816</v>
      </c>
      <c r="J47" s="11">
        <f t="shared" si="0"/>
        <v>-0.00405156537753237</v>
      </c>
      <c r="K47" s="9">
        <f>IF(COUNT(F47:I47)&lt;&gt;4,0,IF(AND(G47&gt;F47,H47&gt;0,I47&gt;0,L47&lt;='Sheet1-指标体系'!$J$31,M47&lt;='Sheet1-指标体系'!$J$31),1,0))</f>
        <v>1</v>
      </c>
      <c r="L47" s="9">
        <f t="shared" si="1"/>
        <v>0</v>
      </c>
      <c r="M47" s="9">
        <f t="shared" si="2"/>
        <v>0</v>
      </c>
    </row>
    <row r="48" ht="25" customHeight="1" spans="1:13">
      <c r="A48" s="9" t="s">
        <v>388</v>
      </c>
      <c r="B48" s="9" t="s">
        <v>387</v>
      </c>
      <c r="C48" s="9" t="s">
        <v>1037</v>
      </c>
      <c r="D48" s="10">
        <v>45443</v>
      </c>
      <c r="E48" s="10">
        <v>45473</v>
      </c>
      <c r="F48" s="10">
        <f>净值原始!C206</f>
        <v>45443</v>
      </c>
      <c r="G48" s="10">
        <f>净值原始!C210</f>
        <v>45471</v>
      </c>
      <c r="H48" s="15">
        <f>净值原始!F206</f>
        <v>1.0816</v>
      </c>
      <c r="I48" s="15">
        <f>净值原始!F210</f>
        <v>1.0927</v>
      </c>
      <c r="J48" s="11">
        <f t="shared" si="0"/>
        <v>0.010262573964497</v>
      </c>
      <c r="K48" s="9">
        <f>IF(COUNT(F48:I48)&lt;&gt;4,0,IF(AND(G48&gt;F48,H48&gt;0,I48&gt;0,L48&lt;='Sheet1-指标体系'!$J$31,M48&lt;='Sheet1-指标体系'!$J$31),1,0))</f>
        <v>1</v>
      </c>
      <c r="L48" s="9">
        <f t="shared" si="1"/>
        <v>0</v>
      </c>
      <c r="M48" s="9">
        <f t="shared" si="2"/>
        <v>2</v>
      </c>
    </row>
    <row r="49" ht="25" customHeight="1" spans="1:13">
      <c r="A49" s="9" t="s">
        <v>388</v>
      </c>
      <c r="B49" s="9" t="s">
        <v>387</v>
      </c>
      <c r="C49" s="9" t="s">
        <v>1038</v>
      </c>
      <c r="D49" s="10">
        <v>45473</v>
      </c>
      <c r="E49" s="10">
        <v>45504</v>
      </c>
      <c r="F49" s="10">
        <f>净值原始!C210</f>
        <v>45471</v>
      </c>
      <c r="G49" s="10">
        <f>净值原始!C215</f>
        <v>45504</v>
      </c>
      <c r="H49" s="15">
        <f>净值原始!F210</f>
        <v>1.0927</v>
      </c>
      <c r="I49" s="15">
        <f>净值原始!F215</f>
        <v>1.0982</v>
      </c>
      <c r="J49" s="11">
        <f t="shared" si="0"/>
        <v>0.00503340349592762</v>
      </c>
      <c r="K49" s="9">
        <f>IF(COUNT(F49:I49)&lt;&gt;4,0,IF(AND(G49&gt;F49,H49&gt;0,I49&gt;0,L49&lt;='Sheet1-指标体系'!$J$31,M49&lt;='Sheet1-指标体系'!$J$31),1,0))</f>
        <v>1</v>
      </c>
      <c r="L49" s="9">
        <f t="shared" si="1"/>
        <v>2</v>
      </c>
      <c r="M49" s="9">
        <f t="shared" si="2"/>
        <v>0</v>
      </c>
    </row>
    <row r="50" ht="25" customHeight="1" spans="1:13">
      <c r="A50" s="9" t="s">
        <v>388</v>
      </c>
      <c r="B50" s="9" t="s">
        <v>387</v>
      </c>
      <c r="C50" s="9" t="s">
        <v>1039</v>
      </c>
      <c r="D50" s="10">
        <v>45504</v>
      </c>
      <c r="E50" s="10">
        <v>45535</v>
      </c>
      <c r="F50" s="10">
        <f>净值原始!C215</f>
        <v>45504</v>
      </c>
      <c r="G50" s="10">
        <f>净值原始!C220</f>
        <v>45534</v>
      </c>
      <c r="H50" s="15">
        <f>净值原始!F215</f>
        <v>1.0982</v>
      </c>
      <c r="I50" s="15">
        <f>净值原始!F220</f>
        <v>1.1146</v>
      </c>
      <c r="J50" s="11">
        <f t="shared" si="0"/>
        <v>0.0149335275906028</v>
      </c>
      <c r="K50" s="9">
        <f>IF(COUNT(F50:I50)&lt;&gt;4,0,IF(AND(G50&gt;F50,H50&gt;0,I50&gt;0,L50&lt;='Sheet1-指标体系'!$J$31,M50&lt;='Sheet1-指标体系'!$J$31),1,0))</f>
        <v>1</v>
      </c>
      <c r="L50" s="9">
        <f t="shared" si="1"/>
        <v>0</v>
      </c>
      <c r="M50" s="9">
        <f t="shared" si="2"/>
        <v>1</v>
      </c>
    </row>
    <row r="51" ht="25" customHeight="1" spans="1:13">
      <c r="A51" s="9" t="s">
        <v>388</v>
      </c>
      <c r="B51" s="9" t="s">
        <v>387</v>
      </c>
      <c r="C51" s="9" t="s">
        <v>1040</v>
      </c>
      <c r="D51" s="10">
        <v>45535</v>
      </c>
      <c r="E51" s="10">
        <v>45565</v>
      </c>
      <c r="F51" s="10">
        <f>净值原始!C220</f>
        <v>45534</v>
      </c>
      <c r="G51" s="10">
        <f>净值原始!C225</f>
        <v>45565</v>
      </c>
      <c r="H51" s="15">
        <f>净值原始!F220</f>
        <v>1.1146</v>
      </c>
      <c r="I51" s="15">
        <f>净值原始!F225</f>
        <v>1.1301</v>
      </c>
      <c r="J51" s="11">
        <f t="shared" si="0"/>
        <v>0.0139063341108918</v>
      </c>
      <c r="K51" s="9">
        <f>IF(COUNT(F51:I51)&lt;&gt;4,0,IF(AND(G51&gt;F51,H51&gt;0,I51&gt;0,L51&lt;='Sheet1-指标体系'!$J$31,M51&lt;='Sheet1-指标体系'!$J$31),1,0))</f>
        <v>1</v>
      </c>
      <c r="L51" s="9">
        <f t="shared" si="1"/>
        <v>1</v>
      </c>
      <c r="M51" s="9">
        <f t="shared" si="2"/>
        <v>0</v>
      </c>
    </row>
    <row r="52" ht="25" customHeight="1" spans="1:13">
      <c r="A52" s="9" t="s">
        <v>388</v>
      </c>
      <c r="B52" s="9" t="s">
        <v>387</v>
      </c>
      <c r="C52" s="9" t="s">
        <v>1041</v>
      </c>
      <c r="D52" s="10">
        <v>45565</v>
      </c>
      <c r="E52" s="10">
        <v>45596</v>
      </c>
      <c r="F52" s="10">
        <f>净值原始!C225</f>
        <v>45565</v>
      </c>
      <c r="G52" s="10">
        <f>净值原始!C229</f>
        <v>45596</v>
      </c>
      <c r="H52" s="15">
        <f>净值原始!F225</f>
        <v>1.1301</v>
      </c>
      <c r="I52" s="15">
        <f>净值原始!F229</f>
        <v>1.1877</v>
      </c>
      <c r="J52" s="11">
        <f t="shared" si="0"/>
        <v>0.0509689408016989</v>
      </c>
      <c r="K52" s="9">
        <f>IF(COUNT(F52:I52)&lt;&gt;4,0,IF(AND(G52&gt;F52,H52&gt;0,I52&gt;0,L52&lt;='Sheet1-指标体系'!$J$31,M52&lt;='Sheet1-指标体系'!$J$31),1,0))</f>
        <v>1</v>
      </c>
      <c r="L52" s="9">
        <f t="shared" si="1"/>
        <v>0</v>
      </c>
      <c r="M52" s="9">
        <f t="shared" si="2"/>
        <v>0</v>
      </c>
    </row>
    <row r="53" ht="25" customHeight="1" spans="1:13">
      <c r="A53" s="9" t="s">
        <v>388</v>
      </c>
      <c r="B53" s="9" t="s">
        <v>387</v>
      </c>
      <c r="C53" s="9" t="s">
        <v>1042</v>
      </c>
      <c r="D53" s="10">
        <v>45596</v>
      </c>
      <c r="E53" s="10">
        <v>45626</v>
      </c>
      <c r="F53" s="10">
        <f>净值原始!C229</f>
        <v>45596</v>
      </c>
      <c r="G53" s="10">
        <f>净值原始!C234</f>
        <v>45625</v>
      </c>
      <c r="H53" s="15">
        <f>净值原始!F229</f>
        <v>1.1877</v>
      </c>
      <c r="I53" s="15">
        <f>净值原始!F234</f>
        <v>1.2324</v>
      </c>
      <c r="J53" s="11">
        <f t="shared" si="0"/>
        <v>0.0376357666077292</v>
      </c>
      <c r="K53" s="9">
        <f>IF(COUNT(F53:I53)&lt;&gt;4,0,IF(AND(G53&gt;F53,H53&gt;0,I53&gt;0,L53&lt;='Sheet1-指标体系'!$J$31,M53&lt;='Sheet1-指标体系'!$J$31),1,0))</f>
        <v>1</v>
      </c>
      <c r="L53" s="9">
        <f t="shared" si="1"/>
        <v>0</v>
      </c>
      <c r="M53" s="9">
        <f t="shared" si="2"/>
        <v>1</v>
      </c>
    </row>
    <row r="54" ht="25" customHeight="1" spans="1:13">
      <c r="A54" s="9" t="s">
        <v>388</v>
      </c>
      <c r="B54" s="9" t="s">
        <v>387</v>
      </c>
      <c r="C54" s="9" t="s">
        <v>1043</v>
      </c>
      <c r="D54" s="10">
        <v>45626</v>
      </c>
      <c r="E54" s="10">
        <v>45657</v>
      </c>
      <c r="F54" s="10">
        <f>净值原始!C234</f>
        <v>45625</v>
      </c>
      <c r="G54" s="10">
        <f>净值原始!C239</f>
        <v>45657</v>
      </c>
      <c r="H54" s="15">
        <f>净值原始!F234</f>
        <v>1.2324</v>
      </c>
      <c r="I54" s="15">
        <f>净值原始!F239</f>
        <v>1.2429</v>
      </c>
      <c r="J54" s="11">
        <f t="shared" si="0"/>
        <v>0.00851996105160668</v>
      </c>
      <c r="K54" s="9">
        <f>IF(COUNT(F54:I54)&lt;&gt;4,0,IF(AND(G54&gt;F54,H54&gt;0,I54&gt;0,L54&lt;='Sheet1-指标体系'!$J$31,M54&lt;='Sheet1-指标体系'!$J$31),1,0))</f>
        <v>1</v>
      </c>
      <c r="L54" s="9">
        <f t="shared" si="1"/>
        <v>1</v>
      </c>
      <c r="M54" s="9">
        <f t="shared" si="2"/>
        <v>0</v>
      </c>
    </row>
    <row r="55" ht="25" customHeight="1" spans="1:13">
      <c r="A55" s="9" t="s">
        <v>388</v>
      </c>
      <c r="B55" s="9" t="s">
        <v>387</v>
      </c>
      <c r="C55" s="9" t="s">
        <v>1044</v>
      </c>
      <c r="D55" s="10">
        <v>45657</v>
      </c>
      <c r="E55" s="10">
        <v>45688</v>
      </c>
      <c r="F55" s="10">
        <f>净值原始!C239</f>
        <v>45657</v>
      </c>
      <c r="G55" s="10">
        <f>净值原始!C244</f>
        <v>45684</v>
      </c>
      <c r="H55" s="15">
        <f>净值原始!F239</f>
        <v>1.2429</v>
      </c>
      <c r="I55" s="15">
        <f>净值原始!F244</f>
        <v>1.2371</v>
      </c>
      <c r="J55" s="11">
        <f t="shared" si="0"/>
        <v>-0.00466650575267502</v>
      </c>
      <c r="K55" s="9">
        <f>IF(COUNT(F55:I55)&lt;&gt;4,0,IF(AND(G55&gt;F55,H55&gt;0,I55&gt;0,L55&lt;='Sheet1-指标体系'!$J$31,M55&lt;='Sheet1-指标体系'!$J$31),1,0))</f>
        <v>1</v>
      </c>
      <c r="L55" s="9">
        <f t="shared" si="1"/>
        <v>0</v>
      </c>
      <c r="M55" s="9">
        <f t="shared" si="2"/>
        <v>4</v>
      </c>
    </row>
    <row r="56" ht="25" customHeight="1" spans="1:13">
      <c r="A56" s="9" t="s">
        <v>388</v>
      </c>
      <c r="B56" s="9" t="s">
        <v>387</v>
      </c>
      <c r="C56" s="9" t="s">
        <v>1045</v>
      </c>
      <c r="D56" s="10">
        <v>45688</v>
      </c>
      <c r="E56" s="10">
        <v>45716</v>
      </c>
      <c r="F56" s="10">
        <f>净值原始!C244</f>
        <v>45684</v>
      </c>
      <c r="G56" s="10">
        <f>净值原始!C249</f>
        <v>45716</v>
      </c>
      <c r="H56" s="15">
        <f>净值原始!F244</f>
        <v>1.2371</v>
      </c>
      <c r="I56" s="15">
        <f>净值原始!F249</f>
        <v>1.2447</v>
      </c>
      <c r="J56" s="11">
        <f t="shared" si="0"/>
        <v>0.00614339988683188</v>
      </c>
      <c r="K56" s="9">
        <f>IF(COUNT(F56:I56)&lt;&gt;4,0,IF(AND(G56&gt;F56,H56&gt;0,I56&gt;0,L56&lt;='Sheet1-指标体系'!$J$31,M56&lt;='Sheet1-指标体系'!$J$31),1,0))</f>
        <v>1</v>
      </c>
      <c r="L56" s="9">
        <f t="shared" si="1"/>
        <v>4</v>
      </c>
      <c r="M56" s="9">
        <f t="shared" si="2"/>
        <v>0</v>
      </c>
    </row>
    <row r="57" ht="25" customHeight="1" spans="1:13">
      <c r="A57" s="9" t="s">
        <v>388</v>
      </c>
      <c r="B57" s="9" t="s">
        <v>387</v>
      </c>
      <c r="C57" s="9" t="s">
        <v>1046</v>
      </c>
      <c r="D57" s="10">
        <v>45716</v>
      </c>
      <c r="E57" s="10">
        <v>45747</v>
      </c>
      <c r="F57" s="10">
        <f>净值原始!C249</f>
        <v>45716</v>
      </c>
      <c r="G57" s="10">
        <f>净值原始!C254</f>
        <v>45747</v>
      </c>
      <c r="H57" s="15">
        <f>净值原始!F249</f>
        <v>1.2447</v>
      </c>
      <c r="I57" s="15">
        <f>净值原始!F254</f>
        <v>1.2486</v>
      </c>
      <c r="J57" s="11">
        <f t="shared" si="0"/>
        <v>0.00313328512894673</v>
      </c>
      <c r="K57" s="9">
        <f>IF(COUNT(F57:I57)&lt;&gt;4,0,IF(AND(G57&gt;F57,H57&gt;0,I57&gt;0,L57&lt;='Sheet1-指标体系'!$J$31,M57&lt;='Sheet1-指标体系'!$J$31),1,0))</f>
        <v>1</v>
      </c>
      <c r="L57" s="9">
        <f t="shared" si="1"/>
        <v>0</v>
      </c>
      <c r="M57" s="9">
        <f t="shared" si="2"/>
        <v>0</v>
      </c>
    </row>
    <row r="58" ht="25" customHeight="1" spans="1:13">
      <c r="A58" s="9" t="s">
        <v>388</v>
      </c>
      <c r="B58" s="9" t="s">
        <v>387</v>
      </c>
      <c r="C58" s="9" t="s">
        <v>1047</v>
      </c>
      <c r="D58" s="10">
        <v>45747</v>
      </c>
      <c r="E58" s="10">
        <v>45777</v>
      </c>
      <c r="F58" s="10">
        <f>净值原始!C254</f>
        <v>45747</v>
      </c>
      <c r="G58" s="10">
        <f>净值原始!C259</f>
        <v>45777</v>
      </c>
      <c r="H58" s="15">
        <f>净值原始!F254</f>
        <v>1.2486</v>
      </c>
      <c r="I58" s="15">
        <f>净值原始!F259</f>
        <v>1.2463</v>
      </c>
      <c r="J58" s="11">
        <f t="shared" si="0"/>
        <v>-0.00184206311068391</v>
      </c>
      <c r="K58" s="9">
        <f>IF(COUNT(F58:I58)&lt;&gt;4,0,IF(AND(G58&gt;F58,H58&gt;0,I58&gt;0,L58&lt;='Sheet1-指标体系'!$J$31,M58&lt;='Sheet1-指标体系'!$J$31),1,0))</f>
        <v>1</v>
      </c>
      <c r="L58" s="9">
        <f t="shared" si="1"/>
        <v>0</v>
      </c>
      <c r="M58" s="9">
        <f t="shared" si="2"/>
        <v>0</v>
      </c>
    </row>
    <row r="59" ht="25" customHeight="1" spans="1:13">
      <c r="A59" s="9" t="s">
        <v>388</v>
      </c>
      <c r="B59" s="9" t="s">
        <v>387</v>
      </c>
      <c r="C59" s="9" t="s">
        <v>1048</v>
      </c>
      <c r="D59" s="10">
        <v>45777</v>
      </c>
      <c r="E59" s="10">
        <v>45808</v>
      </c>
      <c r="F59" s="10">
        <f>净值原始!C259</f>
        <v>45777</v>
      </c>
      <c r="G59" s="10">
        <f>净值原始!C263</f>
        <v>45807</v>
      </c>
      <c r="H59" s="15">
        <f>净值原始!F259</f>
        <v>1.2463</v>
      </c>
      <c r="I59" s="15">
        <f>净值原始!F263</f>
        <v>1.2432</v>
      </c>
      <c r="J59" s="11">
        <f t="shared" si="0"/>
        <v>-0.00248736259327598</v>
      </c>
      <c r="K59" s="9">
        <f>IF(COUNT(F59:I59)&lt;&gt;4,0,IF(AND(G59&gt;F59,H59&gt;0,I59&gt;0,L59&lt;='Sheet1-指标体系'!$J$31,M59&lt;='Sheet1-指标体系'!$J$31),1,0))</f>
        <v>1</v>
      </c>
      <c r="L59" s="9">
        <f t="shared" si="1"/>
        <v>0</v>
      </c>
      <c r="M59" s="9">
        <f t="shared" si="2"/>
        <v>1</v>
      </c>
    </row>
    <row r="60" ht="25" customHeight="1" spans="1:13">
      <c r="A60" s="9" t="s">
        <v>388</v>
      </c>
      <c r="B60" s="9" t="s">
        <v>387</v>
      </c>
      <c r="C60" s="9" t="s">
        <v>1049</v>
      </c>
      <c r="D60" s="10">
        <v>45808</v>
      </c>
      <c r="E60" s="10">
        <v>45838</v>
      </c>
      <c r="F60" s="10">
        <f>净值原始!C263</f>
        <v>45807</v>
      </c>
      <c r="G60" s="10">
        <f>净值原始!C268</f>
        <v>45838</v>
      </c>
      <c r="H60" s="15">
        <f>净值原始!F263</f>
        <v>1.2432</v>
      </c>
      <c r="I60" s="15">
        <f>净值原始!F268</f>
        <v>1.2494</v>
      </c>
      <c r="J60" s="11">
        <f t="shared" si="0"/>
        <v>0.00498712998713002</v>
      </c>
      <c r="K60" s="9">
        <f>IF(COUNT(F60:I60)&lt;&gt;4,0,IF(AND(G60&gt;F60,H60&gt;0,I60&gt;0,L60&lt;='Sheet1-指标体系'!$J$31,M60&lt;='Sheet1-指标体系'!$J$31),1,0))</f>
        <v>1</v>
      </c>
      <c r="L60" s="9">
        <f t="shared" si="1"/>
        <v>1</v>
      </c>
      <c r="M60" s="9">
        <f t="shared" si="2"/>
        <v>0</v>
      </c>
    </row>
    <row r="61" ht="25" customHeight="1" spans="1:13">
      <c r="A61" s="9" t="s">
        <v>388</v>
      </c>
      <c r="B61" s="9" t="s">
        <v>387</v>
      </c>
      <c r="C61" s="9" t="s">
        <v>1050</v>
      </c>
      <c r="D61" s="10">
        <v>45838</v>
      </c>
      <c r="E61" s="10">
        <v>45869</v>
      </c>
      <c r="F61" s="10">
        <f>净值原始!C268</f>
        <v>45838</v>
      </c>
      <c r="G61" s="10">
        <f>净值原始!C273</f>
        <v>45869</v>
      </c>
      <c r="H61" s="15">
        <f>净值原始!F268</f>
        <v>1.2494</v>
      </c>
      <c r="I61" s="15">
        <f>净值原始!F273</f>
        <v>1.2443</v>
      </c>
      <c r="J61" s="11">
        <f t="shared" si="0"/>
        <v>-0.0040819593404835</v>
      </c>
      <c r="K61" s="9">
        <f>IF(COUNT(F61:I61)&lt;&gt;4,0,IF(AND(G61&gt;F61,H61&gt;0,I61&gt;0,L61&lt;='Sheet1-指标体系'!$J$31,M61&lt;='Sheet1-指标体系'!$J$31),1,0))</f>
        <v>1</v>
      </c>
      <c r="L61" s="9">
        <f t="shared" si="1"/>
        <v>0</v>
      </c>
      <c r="M61" s="9">
        <f t="shared" si="2"/>
        <v>0</v>
      </c>
    </row>
    <row r="62" ht="25" customHeight="1" spans="1:13">
      <c r="A62" s="9" t="s">
        <v>388</v>
      </c>
      <c r="B62" s="9" t="s">
        <v>387</v>
      </c>
      <c r="C62" s="9" t="s">
        <v>1051</v>
      </c>
      <c r="D62" s="10">
        <v>45869</v>
      </c>
      <c r="E62" s="10">
        <v>45900</v>
      </c>
      <c r="F62" s="10">
        <f>净值原始!C273</f>
        <v>45869</v>
      </c>
      <c r="G62" s="10">
        <f>净值原始!C278</f>
        <v>45898</v>
      </c>
      <c r="H62" s="15">
        <f>净值原始!F273</f>
        <v>1.2443</v>
      </c>
      <c r="I62" s="15">
        <f>净值原始!F278</f>
        <v>1.2721</v>
      </c>
      <c r="J62" s="11">
        <f t="shared" si="0"/>
        <v>0.0223418789680945</v>
      </c>
      <c r="K62" s="9">
        <f>IF(COUNT(F62:I62)&lt;&gt;4,0,IF(AND(G62&gt;F62,H62&gt;0,I62&gt;0,L62&lt;='Sheet1-指标体系'!$J$31,M62&lt;='Sheet1-指标体系'!$J$31),1,0))</f>
        <v>1</v>
      </c>
      <c r="L62" s="9">
        <f t="shared" si="1"/>
        <v>0</v>
      </c>
      <c r="M62" s="9">
        <f t="shared" si="2"/>
        <v>2</v>
      </c>
    </row>
    <row r="63" ht="25" customHeight="1" spans="1:13">
      <c r="A63" s="9" t="s">
        <v>388</v>
      </c>
      <c r="B63" s="9" t="s">
        <v>387</v>
      </c>
      <c r="C63" s="9" t="s">
        <v>1052</v>
      </c>
      <c r="D63" s="10">
        <v>45900</v>
      </c>
      <c r="E63" s="10">
        <v>45930</v>
      </c>
      <c r="F63" s="10">
        <f>净值原始!C278</f>
        <v>45898</v>
      </c>
      <c r="G63" s="10">
        <f>净值原始!C283</f>
        <v>45930</v>
      </c>
      <c r="H63" s="15">
        <f>净值原始!F278</f>
        <v>1.2721</v>
      </c>
      <c r="I63" s="15">
        <f>净值原始!F283</f>
        <v>1.3131</v>
      </c>
      <c r="J63" s="11">
        <f t="shared" si="0"/>
        <v>0.0322301705840735</v>
      </c>
      <c r="K63" s="9">
        <f>IF(COUNT(F63:I63)&lt;&gt;4,0,IF(AND(G63&gt;F63,H63&gt;0,I63&gt;0,L63&lt;='Sheet1-指标体系'!$J$31,M63&lt;='Sheet1-指标体系'!$J$31),1,0))</f>
        <v>1</v>
      </c>
      <c r="L63" s="9">
        <f t="shared" si="1"/>
        <v>2</v>
      </c>
      <c r="M63" s="9">
        <f t="shared" si="2"/>
        <v>0</v>
      </c>
    </row>
    <row r="64" ht="25" customHeight="1" spans="1:13">
      <c r="A64" s="9" t="s">
        <v>388</v>
      </c>
      <c r="B64" s="9" t="s">
        <v>387</v>
      </c>
      <c r="C64" s="9" t="s">
        <v>1053</v>
      </c>
      <c r="D64" s="10">
        <v>45930</v>
      </c>
      <c r="E64" s="10">
        <v>45961</v>
      </c>
      <c r="F64" s="10">
        <f>净值原始!C283</f>
        <v>45930</v>
      </c>
      <c r="G64" s="10">
        <f>净值原始!C287</f>
        <v>45961</v>
      </c>
      <c r="H64" s="15">
        <f>净值原始!F283</f>
        <v>1.3131</v>
      </c>
      <c r="I64" s="15">
        <f>净值原始!F287</f>
        <v>1.3392</v>
      </c>
      <c r="J64" s="11">
        <f t="shared" si="0"/>
        <v>0.0198766278272791</v>
      </c>
      <c r="K64" s="9">
        <f>IF(COUNT(F64:I64)&lt;&gt;4,0,IF(AND(G64&gt;F64,H64&gt;0,I64&gt;0,L64&lt;='Sheet1-指标体系'!$J$31,M64&lt;='Sheet1-指标体系'!$J$31),1,0))</f>
        <v>1</v>
      </c>
      <c r="L64" s="9">
        <f t="shared" si="1"/>
        <v>0</v>
      </c>
      <c r="M64" s="9">
        <f t="shared" si="2"/>
        <v>0</v>
      </c>
    </row>
    <row r="65" ht="25" customHeight="1" spans="1:13">
      <c r="A65" s="9" t="s">
        <v>388</v>
      </c>
      <c r="B65" s="9" t="s">
        <v>387</v>
      </c>
      <c r="C65" s="9" t="s">
        <v>1054</v>
      </c>
      <c r="D65" s="10">
        <v>45961</v>
      </c>
      <c r="E65" s="10">
        <v>45991</v>
      </c>
      <c r="F65" s="10">
        <f>净值原始!C287</f>
        <v>45961</v>
      </c>
      <c r="G65" s="10">
        <f>净值原始!C291</f>
        <v>45989</v>
      </c>
      <c r="H65" s="15">
        <f>净值原始!F287</f>
        <v>1.3392</v>
      </c>
      <c r="I65" s="15">
        <f>净值原始!F291</f>
        <v>1.3652</v>
      </c>
      <c r="J65" s="11">
        <f t="shared" si="0"/>
        <v>0.0194145758661888</v>
      </c>
      <c r="K65" s="9">
        <f>IF(COUNT(F65:I65)&lt;&gt;4,0,IF(AND(G65&gt;F65,H65&gt;0,I65&gt;0,L65&lt;='Sheet1-指标体系'!$J$31,M65&lt;='Sheet1-指标体系'!$J$31),1,0))</f>
        <v>1</v>
      </c>
      <c r="L65" s="9">
        <f t="shared" si="1"/>
        <v>0</v>
      </c>
      <c r="M65" s="9">
        <f t="shared" si="2"/>
        <v>2</v>
      </c>
    </row>
    <row r="66" ht="25" customHeight="1" spans="1:13">
      <c r="A66" s="9" t="s">
        <v>388</v>
      </c>
      <c r="B66" s="9" t="s">
        <v>387</v>
      </c>
      <c r="C66" s="9" t="s">
        <v>1055</v>
      </c>
      <c r="D66" s="10">
        <v>45991</v>
      </c>
      <c r="E66" s="10">
        <v>46022</v>
      </c>
      <c r="F66" s="10">
        <f>净值原始!C291</f>
        <v>45989</v>
      </c>
      <c r="G66" s="10">
        <f>净值原始!C296</f>
        <v>46022</v>
      </c>
      <c r="H66" s="15">
        <f>净值原始!F291</f>
        <v>1.3652</v>
      </c>
      <c r="I66" s="15">
        <f>净值原始!F296</f>
        <v>1.3845</v>
      </c>
      <c r="J66" s="11">
        <f t="shared" ref="J66:J129" si="3">IF(K66=1,I66/H66-1,"")</f>
        <v>0.0141371227658951</v>
      </c>
      <c r="K66" s="9">
        <f>IF(COUNT(F66:I66)&lt;&gt;4,0,IF(AND(G66&gt;F66,H66&gt;0,I66&gt;0,L66&lt;='Sheet1-指标体系'!$J$31,M66&lt;='Sheet1-指标体系'!$J$31),1,0))</f>
        <v>1</v>
      </c>
      <c r="L66" s="9">
        <f t="shared" ref="L66:L129" si="4">IF(ISNUMBER(F66),D66-F66,"")</f>
        <v>2</v>
      </c>
      <c r="M66" s="9">
        <f t="shared" ref="M66:M129" si="5">IF(ISNUMBER(G66),E66-G66,"")</f>
        <v>0</v>
      </c>
    </row>
    <row r="67" ht="25" customHeight="1" spans="1:13">
      <c r="A67" s="9" t="s">
        <v>388</v>
      </c>
      <c r="B67" s="9" t="s">
        <v>387</v>
      </c>
      <c r="C67" s="9" t="s">
        <v>1056</v>
      </c>
      <c r="D67" s="10">
        <v>46022</v>
      </c>
      <c r="E67" s="10">
        <v>46053</v>
      </c>
      <c r="F67" s="10">
        <f>净值原始!C296</f>
        <v>46022</v>
      </c>
      <c r="G67" s="10">
        <f>净值原始!C300</f>
        <v>46052</v>
      </c>
      <c r="H67" s="15">
        <f>净值原始!F296</f>
        <v>1.3845</v>
      </c>
      <c r="I67" s="15">
        <f>净值原始!F300</f>
        <v>1.4221</v>
      </c>
      <c r="J67" s="11">
        <f t="shared" si="3"/>
        <v>0.0271578187071144</v>
      </c>
      <c r="K67" s="9">
        <f>IF(COUNT(F67:I67)&lt;&gt;4,0,IF(AND(G67&gt;F67,H67&gt;0,I67&gt;0,L67&lt;='Sheet1-指标体系'!$J$31,M67&lt;='Sheet1-指标体系'!$J$31),1,0))</f>
        <v>1</v>
      </c>
      <c r="L67" s="9">
        <f t="shared" si="4"/>
        <v>0</v>
      </c>
      <c r="M67" s="9">
        <f t="shared" si="5"/>
        <v>1</v>
      </c>
    </row>
    <row r="68" ht="25" customHeight="1" spans="1:13">
      <c r="A68" s="9" t="s">
        <v>388</v>
      </c>
      <c r="B68" s="9" t="s">
        <v>387</v>
      </c>
      <c r="C68" s="9" t="s">
        <v>1057</v>
      </c>
      <c r="D68" s="10">
        <v>46053</v>
      </c>
      <c r="E68" s="10">
        <v>46081</v>
      </c>
      <c r="F68" s="10">
        <f>净值原始!C300</f>
        <v>46052</v>
      </c>
      <c r="G68" s="10">
        <f>净值原始!C303</f>
        <v>46080</v>
      </c>
      <c r="H68" s="15">
        <f>净值原始!F300</f>
        <v>1.4221</v>
      </c>
      <c r="I68" s="15">
        <f>净值原始!F303</f>
        <v>1.4331</v>
      </c>
      <c r="J68" s="11">
        <f t="shared" si="3"/>
        <v>0.00773503972997691</v>
      </c>
      <c r="K68" s="9">
        <f>IF(COUNT(F68:I68)&lt;&gt;4,0,IF(AND(G68&gt;F68,H68&gt;0,I68&gt;0,L68&lt;='Sheet1-指标体系'!$J$31,M68&lt;='Sheet1-指标体系'!$J$31),1,0))</f>
        <v>1</v>
      </c>
      <c r="L68" s="9">
        <f t="shared" si="4"/>
        <v>1</v>
      </c>
      <c r="M68" s="9">
        <f t="shared" si="5"/>
        <v>1</v>
      </c>
    </row>
    <row r="69" ht="25" customHeight="1" spans="1:13">
      <c r="A69" s="9" t="s">
        <v>388</v>
      </c>
      <c r="B69" s="9" t="s">
        <v>387</v>
      </c>
      <c r="C69" s="9" t="s">
        <v>1058</v>
      </c>
      <c r="D69" s="10">
        <v>46081</v>
      </c>
      <c r="E69" s="10">
        <v>46112</v>
      </c>
      <c r="F69" s="10">
        <f>净值原始!C303</f>
        <v>46080</v>
      </c>
      <c r="G69" s="10">
        <f>净值原始!C307</f>
        <v>46108</v>
      </c>
      <c r="H69" s="15">
        <f>净值原始!F303</f>
        <v>1.4331</v>
      </c>
      <c r="I69" s="15">
        <f>净值原始!F307</f>
        <v>1.422</v>
      </c>
      <c r="J69" s="11">
        <f t="shared" si="3"/>
        <v>-0.00774544693322177</v>
      </c>
      <c r="K69" s="9">
        <f>IF(COUNT(F69:I69)&lt;&gt;4,0,IF(AND(G69&gt;F69,H69&gt;0,I69&gt;0,L69&lt;='Sheet1-指标体系'!$J$31,M69&lt;='Sheet1-指标体系'!$J$31),1,0))</f>
        <v>1</v>
      </c>
      <c r="L69" s="9">
        <f t="shared" si="4"/>
        <v>1</v>
      </c>
      <c r="M69" s="9">
        <f t="shared" si="5"/>
        <v>4</v>
      </c>
    </row>
    <row r="70" ht="25" customHeight="1" spans="1:13">
      <c r="A70" s="9" t="s">
        <v>388</v>
      </c>
      <c r="B70" s="9" t="s">
        <v>387</v>
      </c>
      <c r="C70" s="9" t="s">
        <v>1059</v>
      </c>
      <c r="D70" s="10">
        <v>46112</v>
      </c>
      <c r="E70" s="10">
        <v>46142</v>
      </c>
      <c r="F70" s="10">
        <f>净值原始!C307</f>
        <v>46108</v>
      </c>
      <c r="G70" s="10">
        <f>净值原始!C312</f>
        <v>46142</v>
      </c>
      <c r="H70" s="15">
        <f>净值原始!F307</f>
        <v>1.422</v>
      </c>
      <c r="I70" s="15">
        <f>净值原始!F312</f>
        <v>1.4588</v>
      </c>
      <c r="J70" s="11">
        <f t="shared" si="3"/>
        <v>0.0258790436005627</v>
      </c>
      <c r="K70" s="9">
        <f>IF(COUNT(F70:I70)&lt;&gt;4,0,IF(AND(G70&gt;F70,H70&gt;0,I70&gt;0,L70&lt;='Sheet1-指标体系'!$J$31,M70&lt;='Sheet1-指标体系'!$J$31),1,0))</f>
        <v>1</v>
      </c>
      <c r="L70" s="9">
        <f t="shared" si="4"/>
        <v>4</v>
      </c>
      <c r="M70" s="9">
        <f t="shared" si="5"/>
        <v>0</v>
      </c>
    </row>
    <row r="71" ht="25" customHeight="1" spans="1:13">
      <c r="A71" s="9" t="s">
        <v>388</v>
      </c>
      <c r="B71" s="9" t="s">
        <v>387</v>
      </c>
      <c r="C71" s="9" t="s">
        <v>1060</v>
      </c>
      <c r="D71" s="10">
        <v>46142</v>
      </c>
      <c r="E71" s="10">
        <v>46173</v>
      </c>
      <c r="F71" s="10">
        <f>净值原始!C312</f>
        <v>46142</v>
      </c>
      <c r="G71" s="10">
        <f>净值原始!C316</f>
        <v>46171</v>
      </c>
      <c r="H71" s="15">
        <f>净值原始!F312</f>
        <v>1.4588</v>
      </c>
      <c r="I71" s="15">
        <f>净值原始!F316</f>
        <v>1.4687</v>
      </c>
      <c r="J71" s="11">
        <f t="shared" si="3"/>
        <v>0.00678639978064144</v>
      </c>
      <c r="K71" s="9">
        <f>IF(COUNT(F71:I71)&lt;&gt;4,0,IF(AND(G71&gt;F71,H71&gt;0,I71&gt;0,L71&lt;='Sheet1-指标体系'!$J$31,M71&lt;='Sheet1-指标体系'!$J$31),1,0))</f>
        <v>1</v>
      </c>
      <c r="L71" s="9">
        <f t="shared" si="4"/>
        <v>0</v>
      </c>
      <c r="M71" s="9">
        <f t="shared" si="5"/>
        <v>2</v>
      </c>
    </row>
    <row r="72" ht="25" customHeight="1" spans="1:13">
      <c r="A72" s="9" t="s">
        <v>388</v>
      </c>
      <c r="B72" s="9" t="s">
        <v>387</v>
      </c>
      <c r="C72" s="9" t="s">
        <v>1061</v>
      </c>
      <c r="D72" s="10">
        <v>46173</v>
      </c>
      <c r="E72" s="10">
        <v>46203</v>
      </c>
      <c r="F72" s="10">
        <f>净值原始!C316</f>
        <v>46171</v>
      </c>
      <c r="G72" s="10">
        <f>净值原始!C321</f>
        <v>46203</v>
      </c>
      <c r="H72" s="15">
        <f>净值原始!F316</f>
        <v>1.4687</v>
      </c>
      <c r="I72" s="15">
        <f>净值原始!F321</f>
        <v>1.5055</v>
      </c>
      <c r="J72" s="11">
        <f t="shared" si="3"/>
        <v>0.0250561721250087</v>
      </c>
      <c r="K72" s="9">
        <f>IF(COUNT(F72:I72)&lt;&gt;4,0,IF(AND(G72&gt;F72,H72&gt;0,I72&gt;0,L72&lt;='Sheet1-指标体系'!$J$31,M72&lt;='Sheet1-指标体系'!$J$31),1,0))</f>
        <v>1</v>
      </c>
      <c r="L72" s="9">
        <f t="shared" si="4"/>
        <v>2</v>
      </c>
      <c r="M72" s="9">
        <f t="shared" si="5"/>
        <v>0</v>
      </c>
    </row>
    <row r="73" ht="25" customHeight="1" spans="1:13">
      <c r="A73" s="9" t="s">
        <v>388</v>
      </c>
      <c r="B73" s="9" t="s">
        <v>387</v>
      </c>
      <c r="C73" s="9" t="s">
        <v>1062</v>
      </c>
      <c r="D73" s="10">
        <v>46203</v>
      </c>
      <c r="E73" s="10">
        <v>46234</v>
      </c>
      <c r="F73" s="10">
        <f>净值原始!C321</f>
        <v>46203</v>
      </c>
      <c r="G73" s="10">
        <f>净值原始!C334</f>
        <v>46234</v>
      </c>
      <c r="H73" s="15">
        <f>净值原始!F321</f>
        <v>1.5055</v>
      </c>
      <c r="I73" s="15">
        <f>净值原始!F334</f>
        <v>1.5448</v>
      </c>
      <c r="J73" s="11">
        <f t="shared" si="3"/>
        <v>0.0261042842909331</v>
      </c>
      <c r="K73" s="9">
        <f>IF(COUNT(F73:I73)&lt;&gt;4,0,IF(AND(G73&gt;F73,H73&gt;0,I73&gt;0,L73&lt;='Sheet1-指标体系'!$J$31,M73&lt;='Sheet1-指标体系'!$J$31),1,0))</f>
        <v>1</v>
      </c>
      <c r="L73" s="9">
        <f t="shared" si="4"/>
        <v>0</v>
      </c>
      <c r="M73" s="9">
        <f t="shared" si="5"/>
        <v>0</v>
      </c>
    </row>
    <row r="74" ht="25" customHeight="1" spans="1:13">
      <c r="A74" s="9" t="s">
        <v>388</v>
      </c>
      <c r="B74" s="9" t="s">
        <v>387</v>
      </c>
      <c r="C74" s="9" t="s">
        <v>1063</v>
      </c>
      <c r="D74" s="10">
        <v>46234</v>
      </c>
      <c r="E74" s="10">
        <v>46265</v>
      </c>
      <c r="F74" s="10">
        <f>净值原始!C334</f>
        <v>46234</v>
      </c>
      <c r="G74" s="10">
        <f>净值原始!C355</f>
        <v>46265</v>
      </c>
      <c r="H74" s="15">
        <f>净值原始!F334</f>
        <v>1.5448</v>
      </c>
      <c r="I74" s="15">
        <f>净值原始!F355</f>
        <v>1.5343</v>
      </c>
      <c r="J74" s="11">
        <f t="shared" si="3"/>
        <v>-0.00679699637493525</v>
      </c>
      <c r="K74" s="9">
        <f>IF(COUNT(F74:I74)&lt;&gt;4,0,IF(AND(G74&gt;F74,H74&gt;0,I74&gt;0,L74&lt;='Sheet1-指标体系'!$J$31,M74&lt;='Sheet1-指标体系'!$J$31),1,0))</f>
        <v>1</v>
      </c>
      <c r="L74" s="9">
        <f t="shared" si="4"/>
        <v>0</v>
      </c>
      <c r="M74" s="9">
        <f t="shared" si="5"/>
        <v>0</v>
      </c>
    </row>
    <row r="75" ht="25" customHeight="1" spans="1:13">
      <c r="A75" s="9" t="s">
        <v>388</v>
      </c>
      <c r="B75" s="9" t="s">
        <v>387</v>
      </c>
      <c r="C75" s="9" t="s">
        <v>1064</v>
      </c>
      <c r="D75" s="10">
        <v>46265</v>
      </c>
      <c r="E75" s="10">
        <v>46269</v>
      </c>
      <c r="F75" s="10">
        <f>净值原始!C355</f>
        <v>46265</v>
      </c>
      <c r="G75" s="10">
        <f>净值原始!C355</f>
        <v>46265</v>
      </c>
      <c r="H75" s="15">
        <f>净值原始!F355</f>
        <v>1.5343</v>
      </c>
      <c r="I75" s="15">
        <f>净值原始!F355</f>
        <v>1.5343</v>
      </c>
      <c r="J75" s="11" t="str">
        <f t="shared" si="3"/>
        <v/>
      </c>
      <c r="K75" s="9">
        <f>IF(COUNT(F75:I75)&lt;&gt;4,0,IF(AND(G75&gt;F75,H75&gt;0,I75&gt;0,L75&lt;='Sheet1-指标体系'!$J$31,M75&lt;='Sheet1-指标体系'!$J$31),1,0))</f>
        <v>0</v>
      </c>
      <c r="L75" s="9">
        <f t="shared" si="4"/>
        <v>0</v>
      </c>
      <c r="M75" s="9">
        <f t="shared" si="5"/>
        <v>4</v>
      </c>
    </row>
    <row r="76" ht="25" customHeight="1" spans="1:13">
      <c r="A76" s="9" t="s">
        <v>139</v>
      </c>
      <c r="B76" s="9" t="s">
        <v>135</v>
      </c>
      <c r="C76" s="9" t="s">
        <v>1028</v>
      </c>
      <c r="D76" s="10">
        <v>45169</v>
      </c>
      <c r="E76" s="10">
        <v>45199</v>
      </c>
      <c r="F76" s="10"/>
      <c r="G76" s="10"/>
      <c r="H76" s="15"/>
      <c r="I76" s="15"/>
      <c r="J76" s="11" t="str">
        <f t="shared" si="3"/>
        <v/>
      </c>
      <c r="K76" s="9">
        <f>IF(COUNT(F76:I76)&lt;&gt;4,0,IF(AND(G76&gt;F76,H76&gt;0,I76&gt;0,L76&lt;='Sheet1-指标体系'!$J$31,M76&lt;='Sheet1-指标体系'!$J$31),1,0))</f>
        <v>0</v>
      </c>
      <c r="L76" s="9" t="str">
        <f t="shared" si="4"/>
        <v/>
      </c>
      <c r="M76" s="9" t="str">
        <f t="shared" si="5"/>
        <v/>
      </c>
    </row>
    <row r="77" ht="25" customHeight="1" spans="1:13">
      <c r="A77" s="9" t="s">
        <v>139</v>
      </c>
      <c r="B77" s="9" t="s">
        <v>135</v>
      </c>
      <c r="C77" s="9" t="s">
        <v>1029</v>
      </c>
      <c r="D77" s="10">
        <v>45199</v>
      </c>
      <c r="E77" s="10">
        <v>45230</v>
      </c>
      <c r="F77" s="10"/>
      <c r="G77" s="10"/>
      <c r="H77" s="15"/>
      <c r="I77" s="15"/>
      <c r="J77" s="11" t="str">
        <f t="shared" si="3"/>
        <v/>
      </c>
      <c r="K77" s="9">
        <f>IF(COUNT(F77:I77)&lt;&gt;4,0,IF(AND(G77&gt;F77,H77&gt;0,I77&gt;0,L77&lt;='Sheet1-指标体系'!$J$31,M77&lt;='Sheet1-指标体系'!$J$31),1,0))</f>
        <v>0</v>
      </c>
      <c r="L77" s="9" t="str">
        <f t="shared" si="4"/>
        <v/>
      </c>
      <c r="M77" s="9" t="str">
        <f t="shared" si="5"/>
        <v/>
      </c>
    </row>
    <row r="78" ht="25" customHeight="1" spans="1:13">
      <c r="A78" s="9" t="s">
        <v>139</v>
      </c>
      <c r="B78" s="9" t="s">
        <v>135</v>
      </c>
      <c r="C78" s="9" t="s">
        <v>1030</v>
      </c>
      <c r="D78" s="10">
        <v>45230</v>
      </c>
      <c r="E78" s="10">
        <v>45260</v>
      </c>
      <c r="F78" s="10"/>
      <c r="G78" s="10"/>
      <c r="H78" s="15"/>
      <c r="I78" s="15"/>
      <c r="J78" s="11" t="str">
        <f t="shared" si="3"/>
        <v/>
      </c>
      <c r="K78" s="9">
        <f>IF(COUNT(F78:I78)&lt;&gt;4,0,IF(AND(G78&gt;F78,H78&gt;0,I78&gt;0,L78&lt;='Sheet1-指标体系'!$J$31,M78&lt;='Sheet1-指标体系'!$J$31),1,0))</f>
        <v>0</v>
      </c>
      <c r="L78" s="9" t="str">
        <f t="shared" si="4"/>
        <v/>
      </c>
      <c r="M78" s="9" t="str">
        <f t="shared" si="5"/>
        <v/>
      </c>
    </row>
    <row r="79" ht="25" customHeight="1" spans="1:13">
      <c r="A79" s="9" t="s">
        <v>139</v>
      </c>
      <c r="B79" s="9" t="s">
        <v>135</v>
      </c>
      <c r="C79" s="9" t="s">
        <v>1031</v>
      </c>
      <c r="D79" s="10">
        <v>45260</v>
      </c>
      <c r="E79" s="10">
        <v>45291</v>
      </c>
      <c r="F79" s="10"/>
      <c r="G79" s="10"/>
      <c r="H79" s="15"/>
      <c r="I79" s="15"/>
      <c r="J79" s="11" t="str">
        <f t="shared" si="3"/>
        <v/>
      </c>
      <c r="K79" s="9">
        <f>IF(COUNT(F79:I79)&lt;&gt;4,0,IF(AND(G79&gt;F79,H79&gt;0,I79&gt;0,L79&lt;='Sheet1-指标体系'!$J$31,M79&lt;='Sheet1-指标体系'!$J$31),1,0))</f>
        <v>0</v>
      </c>
      <c r="L79" s="9" t="str">
        <f t="shared" si="4"/>
        <v/>
      </c>
      <c r="M79" s="9" t="str">
        <f t="shared" si="5"/>
        <v/>
      </c>
    </row>
    <row r="80" ht="25" customHeight="1" spans="1:13">
      <c r="A80" s="9" t="s">
        <v>139</v>
      </c>
      <c r="B80" s="9" t="s">
        <v>135</v>
      </c>
      <c r="C80" s="9" t="s">
        <v>1032</v>
      </c>
      <c r="D80" s="10">
        <v>45291</v>
      </c>
      <c r="E80" s="10">
        <v>45322</v>
      </c>
      <c r="F80" s="10"/>
      <c r="G80" s="10"/>
      <c r="H80" s="15"/>
      <c r="I80" s="15"/>
      <c r="J80" s="11" t="str">
        <f t="shared" si="3"/>
        <v/>
      </c>
      <c r="K80" s="9">
        <f>IF(COUNT(F80:I80)&lt;&gt;4,0,IF(AND(G80&gt;F80,H80&gt;0,I80&gt;0,L80&lt;='Sheet1-指标体系'!$J$31,M80&lt;='Sheet1-指标体系'!$J$31),1,0))</f>
        <v>0</v>
      </c>
      <c r="L80" s="9" t="str">
        <f t="shared" si="4"/>
        <v/>
      </c>
      <c r="M80" s="9" t="str">
        <f t="shared" si="5"/>
        <v/>
      </c>
    </row>
    <row r="81" ht="25" customHeight="1" spans="1:13">
      <c r="A81" s="9" t="s">
        <v>139</v>
      </c>
      <c r="B81" s="9" t="s">
        <v>135</v>
      </c>
      <c r="C81" s="9" t="s">
        <v>1033</v>
      </c>
      <c r="D81" s="10">
        <v>45322</v>
      </c>
      <c r="E81" s="10">
        <v>45351</v>
      </c>
      <c r="F81" s="10"/>
      <c r="G81" s="10"/>
      <c r="H81" s="15"/>
      <c r="I81" s="15"/>
      <c r="J81" s="11" t="str">
        <f t="shared" si="3"/>
        <v/>
      </c>
      <c r="K81" s="9">
        <f>IF(COUNT(F81:I81)&lt;&gt;4,0,IF(AND(G81&gt;F81,H81&gt;0,I81&gt;0,L81&lt;='Sheet1-指标体系'!$J$31,M81&lt;='Sheet1-指标体系'!$J$31),1,0))</f>
        <v>0</v>
      </c>
      <c r="L81" s="9" t="str">
        <f t="shared" si="4"/>
        <v/>
      </c>
      <c r="M81" s="9" t="str">
        <f t="shared" si="5"/>
        <v/>
      </c>
    </row>
    <row r="82" ht="25" customHeight="1" spans="1:13">
      <c r="A82" s="9" t="s">
        <v>139</v>
      </c>
      <c r="B82" s="9" t="s">
        <v>135</v>
      </c>
      <c r="C82" s="9" t="s">
        <v>1034</v>
      </c>
      <c r="D82" s="10">
        <v>45351</v>
      </c>
      <c r="E82" s="10">
        <v>45382</v>
      </c>
      <c r="F82" s="10"/>
      <c r="G82" s="10"/>
      <c r="H82" s="15"/>
      <c r="I82" s="15"/>
      <c r="J82" s="11" t="str">
        <f t="shared" si="3"/>
        <v/>
      </c>
      <c r="K82" s="9">
        <f>IF(COUNT(F82:I82)&lt;&gt;4,0,IF(AND(G82&gt;F82,H82&gt;0,I82&gt;0,L82&lt;='Sheet1-指标体系'!$J$31,M82&lt;='Sheet1-指标体系'!$J$31),1,0))</f>
        <v>0</v>
      </c>
      <c r="L82" s="9" t="str">
        <f t="shared" si="4"/>
        <v/>
      </c>
      <c r="M82" s="9" t="str">
        <f t="shared" si="5"/>
        <v/>
      </c>
    </row>
    <row r="83" ht="25" customHeight="1" spans="1:13">
      <c r="A83" s="9" t="s">
        <v>139</v>
      </c>
      <c r="B83" s="9" t="s">
        <v>135</v>
      </c>
      <c r="C83" s="9" t="s">
        <v>1035</v>
      </c>
      <c r="D83" s="10">
        <v>45382</v>
      </c>
      <c r="E83" s="10">
        <v>45412</v>
      </c>
      <c r="F83" s="10"/>
      <c r="G83" s="10"/>
      <c r="H83" s="15"/>
      <c r="I83" s="15"/>
      <c r="J83" s="11" t="str">
        <f t="shared" si="3"/>
        <v/>
      </c>
      <c r="K83" s="9">
        <f>IF(COUNT(F83:I83)&lt;&gt;4,0,IF(AND(G83&gt;F83,H83&gt;0,I83&gt;0,L83&lt;='Sheet1-指标体系'!$J$31,M83&lt;='Sheet1-指标体系'!$J$31),1,0))</f>
        <v>0</v>
      </c>
      <c r="L83" s="9" t="str">
        <f t="shared" si="4"/>
        <v/>
      </c>
      <c r="M83" s="9" t="str">
        <f t="shared" si="5"/>
        <v/>
      </c>
    </row>
    <row r="84" ht="25" customHeight="1" spans="1:13">
      <c r="A84" s="9" t="s">
        <v>139</v>
      </c>
      <c r="B84" s="9" t="s">
        <v>135</v>
      </c>
      <c r="C84" s="9" t="s">
        <v>1036</v>
      </c>
      <c r="D84" s="10">
        <v>45412</v>
      </c>
      <c r="E84" s="10">
        <v>45443</v>
      </c>
      <c r="F84" s="10"/>
      <c r="G84" s="10"/>
      <c r="H84" s="15"/>
      <c r="I84" s="15"/>
      <c r="J84" s="11" t="str">
        <f t="shared" si="3"/>
        <v/>
      </c>
      <c r="K84" s="9">
        <f>IF(COUNT(F84:I84)&lt;&gt;4,0,IF(AND(G84&gt;F84,H84&gt;0,I84&gt;0,L84&lt;='Sheet1-指标体系'!$J$31,M84&lt;='Sheet1-指标体系'!$J$31),1,0))</f>
        <v>0</v>
      </c>
      <c r="L84" s="9" t="str">
        <f t="shared" si="4"/>
        <v/>
      </c>
      <c r="M84" s="9" t="str">
        <f t="shared" si="5"/>
        <v/>
      </c>
    </row>
    <row r="85" ht="25" customHeight="1" spans="1:13">
      <c r="A85" s="9" t="s">
        <v>139</v>
      </c>
      <c r="B85" s="9" t="s">
        <v>135</v>
      </c>
      <c r="C85" s="9" t="s">
        <v>1037</v>
      </c>
      <c r="D85" s="10">
        <v>45443</v>
      </c>
      <c r="E85" s="10">
        <v>45473</v>
      </c>
      <c r="F85" s="10"/>
      <c r="G85" s="10"/>
      <c r="H85" s="15"/>
      <c r="I85" s="15"/>
      <c r="J85" s="11" t="str">
        <f t="shared" si="3"/>
        <v/>
      </c>
      <c r="K85" s="9">
        <f>IF(COUNT(F85:I85)&lt;&gt;4,0,IF(AND(G85&gt;F85,H85&gt;0,I85&gt;0,L85&lt;='Sheet1-指标体系'!$J$31,M85&lt;='Sheet1-指标体系'!$J$31),1,0))</f>
        <v>0</v>
      </c>
      <c r="L85" s="9" t="str">
        <f t="shared" si="4"/>
        <v/>
      </c>
      <c r="M85" s="9" t="str">
        <f t="shared" si="5"/>
        <v/>
      </c>
    </row>
    <row r="86" ht="25" customHeight="1" spans="1:13">
      <c r="A86" s="9" t="s">
        <v>139</v>
      </c>
      <c r="B86" s="9" t="s">
        <v>135</v>
      </c>
      <c r="C86" s="9" t="s">
        <v>1038</v>
      </c>
      <c r="D86" s="10">
        <v>45473</v>
      </c>
      <c r="E86" s="10">
        <v>45504</v>
      </c>
      <c r="F86" s="10"/>
      <c r="G86" s="10"/>
      <c r="H86" s="15"/>
      <c r="I86" s="15"/>
      <c r="J86" s="11" t="str">
        <f t="shared" si="3"/>
        <v/>
      </c>
      <c r="K86" s="9">
        <f>IF(COUNT(F86:I86)&lt;&gt;4,0,IF(AND(G86&gt;F86,H86&gt;0,I86&gt;0,L86&lt;='Sheet1-指标体系'!$J$31,M86&lt;='Sheet1-指标体系'!$J$31),1,0))</f>
        <v>0</v>
      </c>
      <c r="L86" s="9" t="str">
        <f t="shared" si="4"/>
        <v/>
      </c>
      <c r="M86" s="9" t="str">
        <f t="shared" si="5"/>
        <v/>
      </c>
    </row>
    <row r="87" ht="25" customHeight="1" spans="1:13">
      <c r="A87" s="9" t="s">
        <v>139</v>
      </c>
      <c r="B87" s="9" t="s">
        <v>135</v>
      </c>
      <c r="C87" s="9" t="s">
        <v>1039</v>
      </c>
      <c r="D87" s="10">
        <v>45504</v>
      </c>
      <c r="E87" s="10">
        <v>45535</v>
      </c>
      <c r="F87" s="10"/>
      <c r="G87" s="10"/>
      <c r="H87" s="15"/>
      <c r="I87" s="15"/>
      <c r="J87" s="11" t="str">
        <f t="shared" si="3"/>
        <v/>
      </c>
      <c r="K87" s="9">
        <f>IF(COUNT(F87:I87)&lt;&gt;4,0,IF(AND(G87&gt;F87,H87&gt;0,I87&gt;0,L87&lt;='Sheet1-指标体系'!$J$31,M87&lt;='Sheet1-指标体系'!$J$31),1,0))</f>
        <v>0</v>
      </c>
      <c r="L87" s="9" t="str">
        <f t="shared" si="4"/>
        <v/>
      </c>
      <c r="M87" s="9" t="str">
        <f t="shared" si="5"/>
        <v/>
      </c>
    </row>
    <row r="88" ht="25" customHeight="1" spans="1:13">
      <c r="A88" s="9" t="s">
        <v>139</v>
      </c>
      <c r="B88" s="9" t="s">
        <v>135</v>
      </c>
      <c r="C88" s="9" t="s">
        <v>1040</v>
      </c>
      <c r="D88" s="10">
        <v>45535</v>
      </c>
      <c r="E88" s="10">
        <v>45565</v>
      </c>
      <c r="F88" s="10"/>
      <c r="G88" s="10"/>
      <c r="H88" s="15"/>
      <c r="I88" s="15"/>
      <c r="J88" s="11" t="str">
        <f t="shared" si="3"/>
        <v/>
      </c>
      <c r="K88" s="9">
        <f>IF(COUNT(F88:I88)&lt;&gt;4,0,IF(AND(G88&gt;F88,H88&gt;0,I88&gt;0,L88&lt;='Sheet1-指标体系'!$J$31,M88&lt;='Sheet1-指标体系'!$J$31),1,0))</f>
        <v>0</v>
      </c>
      <c r="L88" s="9" t="str">
        <f t="shared" si="4"/>
        <v/>
      </c>
      <c r="M88" s="9" t="str">
        <f t="shared" si="5"/>
        <v/>
      </c>
    </row>
    <row r="89" ht="25" customHeight="1" spans="1:13">
      <c r="A89" s="9" t="s">
        <v>139</v>
      </c>
      <c r="B89" s="9" t="s">
        <v>135</v>
      </c>
      <c r="C89" s="9" t="s">
        <v>1041</v>
      </c>
      <c r="D89" s="10">
        <v>45565</v>
      </c>
      <c r="E89" s="10">
        <v>45596</v>
      </c>
      <c r="F89" s="10"/>
      <c r="G89" s="10"/>
      <c r="H89" s="15"/>
      <c r="I89" s="15"/>
      <c r="J89" s="11" t="str">
        <f t="shared" si="3"/>
        <v/>
      </c>
      <c r="K89" s="9">
        <f>IF(COUNT(F89:I89)&lt;&gt;4,0,IF(AND(G89&gt;F89,H89&gt;0,I89&gt;0,L89&lt;='Sheet1-指标体系'!$J$31,M89&lt;='Sheet1-指标体系'!$J$31),1,0))</f>
        <v>0</v>
      </c>
      <c r="L89" s="9" t="str">
        <f t="shared" si="4"/>
        <v/>
      </c>
      <c r="M89" s="9" t="str">
        <f t="shared" si="5"/>
        <v/>
      </c>
    </row>
    <row r="90" ht="25" customHeight="1" spans="1:13">
      <c r="A90" s="9" t="s">
        <v>139</v>
      </c>
      <c r="B90" s="9" t="s">
        <v>135</v>
      </c>
      <c r="C90" s="9" t="s">
        <v>1042</v>
      </c>
      <c r="D90" s="10">
        <v>45596</v>
      </c>
      <c r="E90" s="10">
        <v>45626</v>
      </c>
      <c r="F90" s="10"/>
      <c r="G90" s="10"/>
      <c r="H90" s="15"/>
      <c r="I90" s="15"/>
      <c r="J90" s="11" t="str">
        <f t="shared" si="3"/>
        <v/>
      </c>
      <c r="K90" s="9">
        <f>IF(COUNT(F90:I90)&lt;&gt;4,0,IF(AND(G90&gt;F90,H90&gt;0,I90&gt;0,L90&lt;='Sheet1-指标体系'!$J$31,M90&lt;='Sheet1-指标体系'!$J$31),1,0))</f>
        <v>0</v>
      </c>
      <c r="L90" s="9" t="str">
        <f t="shared" si="4"/>
        <v/>
      </c>
      <c r="M90" s="9" t="str">
        <f t="shared" si="5"/>
        <v/>
      </c>
    </row>
    <row r="91" ht="25" customHeight="1" spans="1:13">
      <c r="A91" s="9" t="s">
        <v>139</v>
      </c>
      <c r="B91" s="9" t="s">
        <v>135</v>
      </c>
      <c r="C91" s="9" t="s">
        <v>1043</v>
      </c>
      <c r="D91" s="10">
        <v>45626</v>
      </c>
      <c r="E91" s="10">
        <v>45657</v>
      </c>
      <c r="F91" s="10"/>
      <c r="G91" s="10"/>
      <c r="H91" s="15"/>
      <c r="I91" s="15"/>
      <c r="J91" s="11" t="str">
        <f t="shared" si="3"/>
        <v/>
      </c>
      <c r="K91" s="9">
        <f>IF(COUNT(F91:I91)&lt;&gt;4,0,IF(AND(G91&gt;F91,H91&gt;0,I91&gt;0,L91&lt;='Sheet1-指标体系'!$J$31,M91&lt;='Sheet1-指标体系'!$J$31),1,0))</f>
        <v>0</v>
      </c>
      <c r="L91" s="9" t="str">
        <f t="shared" si="4"/>
        <v/>
      </c>
      <c r="M91" s="9" t="str">
        <f t="shared" si="5"/>
        <v/>
      </c>
    </row>
    <row r="92" ht="25" customHeight="1" spans="1:13">
      <c r="A92" s="9" t="s">
        <v>139</v>
      </c>
      <c r="B92" s="9" t="s">
        <v>135</v>
      </c>
      <c r="C92" s="9" t="s">
        <v>1044</v>
      </c>
      <c r="D92" s="10">
        <v>45657</v>
      </c>
      <c r="E92" s="10">
        <v>45688</v>
      </c>
      <c r="F92" s="10"/>
      <c r="G92" s="10"/>
      <c r="H92" s="15"/>
      <c r="I92" s="15"/>
      <c r="J92" s="11" t="str">
        <f t="shared" si="3"/>
        <v/>
      </c>
      <c r="K92" s="9">
        <f>IF(COUNT(F92:I92)&lt;&gt;4,0,IF(AND(G92&gt;F92,H92&gt;0,I92&gt;0,L92&lt;='Sheet1-指标体系'!$J$31,M92&lt;='Sheet1-指标体系'!$J$31),1,0))</f>
        <v>0</v>
      </c>
      <c r="L92" s="9" t="str">
        <f t="shared" si="4"/>
        <v/>
      </c>
      <c r="M92" s="9" t="str">
        <f t="shared" si="5"/>
        <v/>
      </c>
    </row>
    <row r="93" ht="25" customHeight="1" spans="1:13">
      <c r="A93" s="9" t="s">
        <v>139</v>
      </c>
      <c r="B93" s="9" t="s">
        <v>135</v>
      </c>
      <c r="C93" s="9" t="s">
        <v>1045</v>
      </c>
      <c r="D93" s="10">
        <v>45688</v>
      </c>
      <c r="E93" s="10">
        <v>45716</v>
      </c>
      <c r="F93" s="10"/>
      <c r="G93" s="10"/>
      <c r="H93" s="15"/>
      <c r="I93" s="15"/>
      <c r="J93" s="11" t="str">
        <f t="shared" si="3"/>
        <v/>
      </c>
      <c r="K93" s="9">
        <f>IF(COUNT(F93:I93)&lt;&gt;4,0,IF(AND(G93&gt;F93,H93&gt;0,I93&gt;0,L93&lt;='Sheet1-指标体系'!$J$31,M93&lt;='Sheet1-指标体系'!$J$31),1,0))</f>
        <v>0</v>
      </c>
      <c r="L93" s="9" t="str">
        <f t="shared" si="4"/>
        <v/>
      </c>
      <c r="M93" s="9" t="str">
        <f t="shared" si="5"/>
        <v/>
      </c>
    </row>
    <row r="94" ht="25" customHeight="1" spans="1:13">
      <c r="A94" s="9" t="s">
        <v>139</v>
      </c>
      <c r="B94" s="9" t="s">
        <v>135</v>
      </c>
      <c r="C94" s="9" t="s">
        <v>1046</v>
      </c>
      <c r="D94" s="10">
        <v>45716</v>
      </c>
      <c r="E94" s="10">
        <v>45747</v>
      </c>
      <c r="F94" s="10"/>
      <c r="G94" s="10"/>
      <c r="H94" s="15"/>
      <c r="I94" s="15"/>
      <c r="J94" s="11" t="str">
        <f t="shared" si="3"/>
        <v/>
      </c>
      <c r="K94" s="9">
        <f>IF(COUNT(F94:I94)&lt;&gt;4,0,IF(AND(G94&gt;F94,H94&gt;0,I94&gt;0,L94&lt;='Sheet1-指标体系'!$J$31,M94&lt;='Sheet1-指标体系'!$J$31),1,0))</f>
        <v>0</v>
      </c>
      <c r="L94" s="9" t="str">
        <f t="shared" si="4"/>
        <v/>
      </c>
      <c r="M94" s="9" t="str">
        <f t="shared" si="5"/>
        <v/>
      </c>
    </row>
    <row r="95" ht="25" customHeight="1" spans="1:13">
      <c r="A95" s="9" t="s">
        <v>139</v>
      </c>
      <c r="B95" s="9" t="s">
        <v>135</v>
      </c>
      <c r="C95" s="9" t="s">
        <v>1047</v>
      </c>
      <c r="D95" s="10">
        <v>45747</v>
      </c>
      <c r="E95" s="10">
        <v>45777</v>
      </c>
      <c r="F95" s="10"/>
      <c r="G95" s="10"/>
      <c r="H95" s="15"/>
      <c r="I95" s="15"/>
      <c r="J95" s="11" t="str">
        <f t="shared" si="3"/>
        <v/>
      </c>
      <c r="K95" s="9">
        <f>IF(COUNT(F95:I95)&lt;&gt;4,0,IF(AND(G95&gt;F95,H95&gt;0,I95&gt;0,L95&lt;='Sheet1-指标体系'!$J$31,M95&lt;='Sheet1-指标体系'!$J$31),1,0))</f>
        <v>0</v>
      </c>
      <c r="L95" s="9" t="str">
        <f t="shared" si="4"/>
        <v/>
      </c>
      <c r="M95" s="9" t="str">
        <f t="shared" si="5"/>
        <v/>
      </c>
    </row>
    <row r="96" ht="25" customHeight="1" spans="1:13">
      <c r="A96" s="9" t="s">
        <v>139</v>
      </c>
      <c r="B96" s="9" t="s">
        <v>135</v>
      </c>
      <c r="C96" s="9" t="s">
        <v>1048</v>
      </c>
      <c r="D96" s="10">
        <v>45777</v>
      </c>
      <c r="E96" s="10">
        <v>45808</v>
      </c>
      <c r="F96" s="10"/>
      <c r="G96" s="10"/>
      <c r="H96" s="15"/>
      <c r="I96" s="15"/>
      <c r="J96" s="11" t="str">
        <f t="shared" si="3"/>
        <v/>
      </c>
      <c r="K96" s="9">
        <f>IF(COUNT(F96:I96)&lt;&gt;4,0,IF(AND(G96&gt;F96,H96&gt;0,I96&gt;0,L96&lt;='Sheet1-指标体系'!$J$31,M96&lt;='Sheet1-指标体系'!$J$31),1,0))</f>
        <v>0</v>
      </c>
      <c r="L96" s="9" t="str">
        <f t="shared" si="4"/>
        <v/>
      </c>
      <c r="M96" s="9" t="str">
        <f t="shared" si="5"/>
        <v/>
      </c>
    </row>
    <row r="97" ht="25" customHeight="1" spans="1:13">
      <c r="A97" s="9" t="s">
        <v>139</v>
      </c>
      <c r="B97" s="9" t="s">
        <v>135</v>
      </c>
      <c r="C97" s="9" t="s">
        <v>1049</v>
      </c>
      <c r="D97" s="10">
        <v>45808</v>
      </c>
      <c r="E97" s="10">
        <v>45838</v>
      </c>
      <c r="F97" s="10"/>
      <c r="G97" s="10"/>
      <c r="H97" s="15"/>
      <c r="I97" s="15"/>
      <c r="J97" s="11" t="str">
        <f t="shared" si="3"/>
        <v/>
      </c>
      <c r="K97" s="9">
        <f>IF(COUNT(F97:I97)&lt;&gt;4,0,IF(AND(G97&gt;F97,H97&gt;0,I97&gt;0,L97&lt;='Sheet1-指标体系'!$J$31,M97&lt;='Sheet1-指标体系'!$J$31),1,0))</f>
        <v>0</v>
      </c>
      <c r="L97" s="9" t="str">
        <f t="shared" si="4"/>
        <v/>
      </c>
      <c r="M97" s="9" t="str">
        <f t="shared" si="5"/>
        <v/>
      </c>
    </row>
    <row r="98" ht="25" customHeight="1" spans="1:13">
      <c r="A98" s="9" t="s">
        <v>139</v>
      </c>
      <c r="B98" s="9" t="s">
        <v>135</v>
      </c>
      <c r="C98" s="9" t="s">
        <v>1050</v>
      </c>
      <c r="D98" s="10">
        <v>45838</v>
      </c>
      <c r="E98" s="10">
        <v>45869</v>
      </c>
      <c r="F98" s="10"/>
      <c r="G98" s="10"/>
      <c r="H98" s="15"/>
      <c r="I98" s="15"/>
      <c r="J98" s="11" t="str">
        <f t="shared" si="3"/>
        <v/>
      </c>
      <c r="K98" s="9">
        <f>IF(COUNT(F98:I98)&lt;&gt;4,0,IF(AND(G98&gt;F98,H98&gt;0,I98&gt;0,L98&lt;='Sheet1-指标体系'!$J$31,M98&lt;='Sheet1-指标体系'!$J$31),1,0))</f>
        <v>0</v>
      </c>
      <c r="L98" s="9" t="str">
        <f t="shared" si="4"/>
        <v/>
      </c>
      <c r="M98" s="9" t="str">
        <f t="shared" si="5"/>
        <v/>
      </c>
    </row>
    <row r="99" ht="25" customHeight="1" spans="1:13">
      <c r="A99" s="9" t="s">
        <v>139</v>
      </c>
      <c r="B99" s="9" t="s">
        <v>135</v>
      </c>
      <c r="C99" s="9" t="s">
        <v>1051</v>
      </c>
      <c r="D99" s="10">
        <v>45869</v>
      </c>
      <c r="E99" s="10">
        <v>45900</v>
      </c>
      <c r="F99" s="10"/>
      <c r="G99" s="10"/>
      <c r="H99" s="15"/>
      <c r="I99" s="15"/>
      <c r="J99" s="11" t="str">
        <f t="shared" si="3"/>
        <v/>
      </c>
      <c r="K99" s="9">
        <f>IF(COUNT(F99:I99)&lt;&gt;4,0,IF(AND(G99&gt;F99,H99&gt;0,I99&gt;0,L99&lt;='Sheet1-指标体系'!$J$31,M99&lt;='Sheet1-指标体系'!$J$31),1,0))</f>
        <v>0</v>
      </c>
      <c r="L99" s="9" t="str">
        <f t="shared" si="4"/>
        <v/>
      </c>
      <c r="M99" s="9" t="str">
        <f t="shared" si="5"/>
        <v/>
      </c>
    </row>
    <row r="100" ht="25" customHeight="1" spans="1:13">
      <c r="A100" s="9" t="s">
        <v>139</v>
      </c>
      <c r="B100" s="9" t="s">
        <v>135</v>
      </c>
      <c r="C100" s="9" t="s">
        <v>1052</v>
      </c>
      <c r="D100" s="10">
        <v>45900</v>
      </c>
      <c r="E100" s="10">
        <v>45930</v>
      </c>
      <c r="F100" s="10"/>
      <c r="G100" s="10"/>
      <c r="H100" s="15"/>
      <c r="I100" s="15"/>
      <c r="J100" s="11" t="str">
        <f t="shared" si="3"/>
        <v/>
      </c>
      <c r="K100" s="9">
        <f>IF(COUNT(F100:I100)&lt;&gt;4,0,IF(AND(G100&gt;F100,H100&gt;0,I100&gt;0,L100&lt;='Sheet1-指标体系'!$J$31,M100&lt;='Sheet1-指标体系'!$J$31),1,0))</f>
        <v>0</v>
      </c>
      <c r="L100" s="9" t="str">
        <f t="shared" si="4"/>
        <v/>
      </c>
      <c r="M100" s="9" t="str">
        <f t="shared" si="5"/>
        <v/>
      </c>
    </row>
    <row r="101" ht="25" customHeight="1" spans="1:13">
      <c r="A101" s="9" t="s">
        <v>139</v>
      </c>
      <c r="B101" s="9" t="s">
        <v>135</v>
      </c>
      <c r="C101" s="9" t="s">
        <v>1053</v>
      </c>
      <c r="D101" s="10">
        <v>45930</v>
      </c>
      <c r="E101" s="10">
        <v>45961</v>
      </c>
      <c r="F101" s="10"/>
      <c r="G101" s="10"/>
      <c r="H101" s="15"/>
      <c r="I101" s="15"/>
      <c r="J101" s="11" t="str">
        <f t="shared" si="3"/>
        <v/>
      </c>
      <c r="K101" s="9">
        <f>IF(COUNT(F101:I101)&lt;&gt;4,0,IF(AND(G101&gt;F101,H101&gt;0,I101&gt;0,L101&lt;='Sheet1-指标体系'!$J$31,M101&lt;='Sheet1-指标体系'!$J$31),1,0))</f>
        <v>0</v>
      </c>
      <c r="L101" s="9" t="str">
        <f t="shared" si="4"/>
        <v/>
      </c>
      <c r="M101" s="9" t="str">
        <f t="shared" si="5"/>
        <v/>
      </c>
    </row>
    <row r="102" ht="25" customHeight="1" spans="1:13">
      <c r="A102" s="9" t="s">
        <v>139</v>
      </c>
      <c r="B102" s="9" t="s">
        <v>135</v>
      </c>
      <c r="C102" s="9" t="s">
        <v>1054</v>
      </c>
      <c r="D102" s="10">
        <v>45961</v>
      </c>
      <c r="E102" s="10">
        <v>45991</v>
      </c>
      <c r="F102" s="10"/>
      <c r="G102" s="10"/>
      <c r="H102" s="15"/>
      <c r="I102" s="15"/>
      <c r="J102" s="11" t="str">
        <f t="shared" si="3"/>
        <v/>
      </c>
      <c r="K102" s="9">
        <f>IF(COUNT(F102:I102)&lt;&gt;4,0,IF(AND(G102&gt;F102,H102&gt;0,I102&gt;0,L102&lt;='Sheet1-指标体系'!$J$31,M102&lt;='Sheet1-指标体系'!$J$31),1,0))</f>
        <v>0</v>
      </c>
      <c r="L102" s="9" t="str">
        <f t="shared" si="4"/>
        <v/>
      </c>
      <c r="M102" s="9" t="str">
        <f t="shared" si="5"/>
        <v/>
      </c>
    </row>
    <row r="103" ht="25" customHeight="1" spans="1:13">
      <c r="A103" s="9" t="s">
        <v>139</v>
      </c>
      <c r="B103" s="9" t="s">
        <v>135</v>
      </c>
      <c r="C103" s="9" t="s">
        <v>1055</v>
      </c>
      <c r="D103" s="10">
        <v>45991</v>
      </c>
      <c r="E103" s="10">
        <v>46022</v>
      </c>
      <c r="F103" s="10"/>
      <c r="G103" s="10"/>
      <c r="H103" s="15"/>
      <c r="I103" s="15"/>
      <c r="J103" s="11" t="str">
        <f t="shared" si="3"/>
        <v/>
      </c>
      <c r="K103" s="9">
        <f>IF(COUNT(F103:I103)&lt;&gt;4,0,IF(AND(G103&gt;F103,H103&gt;0,I103&gt;0,L103&lt;='Sheet1-指标体系'!$J$31,M103&lt;='Sheet1-指标体系'!$J$31),1,0))</f>
        <v>0</v>
      </c>
      <c r="L103" s="9" t="str">
        <f t="shared" si="4"/>
        <v/>
      </c>
      <c r="M103" s="9" t="str">
        <f t="shared" si="5"/>
        <v/>
      </c>
    </row>
    <row r="104" ht="25" customHeight="1" spans="1:13">
      <c r="A104" s="9" t="s">
        <v>139</v>
      </c>
      <c r="B104" s="9" t="s">
        <v>135</v>
      </c>
      <c r="C104" s="9" t="s">
        <v>1056</v>
      </c>
      <c r="D104" s="10">
        <v>46022</v>
      </c>
      <c r="E104" s="10">
        <v>46053</v>
      </c>
      <c r="F104" s="10"/>
      <c r="G104" s="10">
        <f>净值原始!C365</f>
        <v>46052</v>
      </c>
      <c r="H104" s="15"/>
      <c r="I104" s="15">
        <f>净值原始!F365</f>
        <v>1.0156</v>
      </c>
      <c r="J104" s="11" t="str">
        <f t="shared" si="3"/>
        <v/>
      </c>
      <c r="K104" s="9">
        <f>IF(COUNT(F104:I104)&lt;&gt;4,0,IF(AND(G104&gt;F104,H104&gt;0,I104&gt;0,L104&lt;='Sheet1-指标体系'!$J$31,M104&lt;='Sheet1-指标体系'!$J$31),1,0))</f>
        <v>0</v>
      </c>
      <c r="L104" s="9" t="str">
        <f t="shared" si="4"/>
        <v/>
      </c>
      <c r="M104" s="9">
        <f t="shared" si="5"/>
        <v>1</v>
      </c>
    </row>
    <row r="105" ht="25" customHeight="1" spans="1:13">
      <c r="A105" s="9" t="s">
        <v>139</v>
      </c>
      <c r="B105" s="9" t="s">
        <v>135</v>
      </c>
      <c r="C105" s="9" t="s">
        <v>1057</v>
      </c>
      <c r="D105" s="10">
        <v>46053</v>
      </c>
      <c r="E105" s="10">
        <v>46081</v>
      </c>
      <c r="F105" s="10">
        <f>净值原始!C365</f>
        <v>46052</v>
      </c>
      <c r="G105" s="10">
        <f>净值原始!C379</f>
        <v>46080</v>
      </c>
      <c r="H105" s="15">
        <f>净值原始!F365</f>
        <v>1.0156</v>
      </c>
      <c r="I105" s="15">
        <f>净值原始!F379</f>
        <v>1.0294</v>
      </c>
      <c r="J105" s="11">
        <f t="shared" si="3"/>
        <v>0.0135880267821977</v>
      </c>
      <c r="K105" s="9">
        <f>IF(COUNT(F105:I105)&lt;&gt;4,0,IF(AND(G105&gt;F105,H105&gt;0,I105&gt;0,L105&lt;='Sheet1-指标体系'!$J$31,M105&lt;='Sheet1-指标体系'!$J$31),1,0))</f>
        <v>1</v>
      </c>
      <c r="L105" s="9">
        <f t="shared" si="4"/>
        <v>1</v>
      </c>
      <c r="M105" s="9">
        <f t="shared" si="5"/>
        <v>1</v>
      </c>
    </row>
    <row r="106" ht="25" customHeight="1" spans="1:13">
      <c r="A106" s="9" t="s">
        <v>139</v>
      </c>
      <c r="B106" s="9" t="s">
        <v>135</v>
      </c>
      <c r="C106" s="9" t="s">
        <v>1058</v>
      </c>
      <c r="D106" s="10">
        <v>46081</v>
      </c>
      <c r="E106" s="10">
        <v>46112</v>
      </c>
      <c r="F106" s="10">
        <f>净值原始!C379</f>
        <v>46080</v>
      </c>
      <c r="G106" s="10">
        <f>净值原始!C400</f>
        <v>46112</v>
      </c>
      <c r="H106" s="15">
        <f>净值原始!F379</f>
        <v>1.0294</v>
      </c>
      <c r="I106" s="15">
        <f>净值原始!F400</f>
        <v>1.0498</v>
      </c>
      <c r="J106" s="11">
        <f t="shared" si="3"/>
        <v>0.0198173693413639</v>
      </c>
      <c r="K106" s="9">
        <f>IF(COUNT(F106:I106)&lt;&gt;4,0,IF(AND(G106&gt;F106,H106&gt;0,I106&gt;0,L106&lt;='Sheet1-指标体系'!$J$31,M106&lt;='Sheet1-指标体系'!$J$31),1,0))</f>
        <v>1</v>
      </c>
      <c r="L106" s="9">
        <f t="shared" si="4"/>
        <v>1</v>
      </c>
      <c r="M106" s="9">
        <f t="shared" si="5"/>
        <v>0</v>
      </c>
    </row>
    <row r="107" ht="25" customHeight="1" spans="1:13">
      <c r="A107" s="9" t="s">
        <v>139</v>
      </c>
      <c r="B107" s="9" t="s">
        <v>135</v>
      </c>
      <c r="C107" s="9" t="s">
        <v>1059</v>
      </c>
      <c r="D107" s="10">
        <v>46112</v>
      </c>
      <c r="E107" s="10">
        <v>46142</v>
      </c>
      <c r="F107" s="10">
        <f>净值原始!C400</f>
        <v>46112</v>
      </c>
      <c r="G107" s="10">
        <f>净值原始!C421</f>
        <v>46142</v>
      </c>
      <c r="H107" s="15">
        <f>净值原始!F400</f>
        <v>1.0498</v>
      </c>
      <c r="I107" s="15">
        <f>净值原始!F421</f>
        <v>1.0601</v>
      </c>
      <c r="J107" s="11">
        <f t="shared" si="3"/>
        <v>0.00981139264621822</v>
      </c>
      <c r="K107" s="9">
        <f>IF(COUNT(F107:I107)&lt;&gt;4,0,IF(AND(G107&gt;F107,H107&gt;0,I107&gt;0,L107&lt;='Sheet1-指标体系'!$J$31,M107&lt;='Sheet1-指标体系'!$J$31),1,0))</f>
        <v>1</v>
      </c>
      <c r="L107" s="9">
        <f t="shared" si="4"/>
        <v>0</v>
      </c>
      <c r="M107" s="9">
        <f t="shared" si="5"/>
        <v>0</v>
      </c>
    </row>
    <row r="108" ht="25" customHeight="1" spans="1:13">
      <c r="A108" s="9" t="s">
        <v>139</v>
      </c>
      <c r="B108" s="9" t="s">
        <v>135</v>
      </c>
      <c r="C108" s="9" t="s">
        <v>1060</v>
      </c>
      <c r="D108" s="10">
        <v>46142</v>
      </c>
      <c r="E108" s="10">
        <v>46173</v>
      </c>
      <c r="F108" s="10">
        <f>净值原始!C421</f>
        <v>46142</v>
      </c>
      <c r="G108" s="10">
        <f>净值原始!C439</f>
        <v>46171</v>
      </c>
      <c r="H108" s="15">
        <f>净值原始!F421</f>
        <v>1.0601</v>
      </c>
      <c r="I108" s="15">
        <f>净值原始!F439</f>
        <v>1.064</v>
      </c>
      <c r="J108" s="11">
        <f t="shared" si="3"/>
        <v>0.0036788982171494</v>
      </c>
      <c r="K108" s="9">
        <f>IF(COUNT(F108:I108)&lt;&gt;4,0,IF(AND(G108&gt;F108,H108&gt;0,I108&gt;0,L108&lt;='Sheet1-指标体系'!$J$31,M108&lt;='Sheet1-指标体系'!$J$31),1,0))</f>
        <v>1</v>
      </c>
      <c r="L108" s="9">
        <f t="shared" si="4"/>
        <v>0</v>
      </c>
      <c r="M108" s="9">
        <f t="shared" si="5"/>
        <v>2</v>
      </c>
    </row>
    <row r="109" ht="25" customHeight="1" spans="1:13">
      <c r="A109" s="9" t="s">
        <v>139</v>
      </c>
      <c r="B109" s="9" t="s">
        <v>135</v>
      </c>
      <c r="C109" s="9" t="s">
        <v>1061</v>
      </c>
      <c r="D109" s="10">
        <v>46173</v>
      </c>
      <c r="E109" s="10">
        <v>46203</v>
      </c>
      <c r="F109" s="10">
        <f>净值原始!C439</f>
        <v>46171</v>
      </c>
      <c r="G109" s="10">
        <f>净值原始!C460</f>
        <v>46203</v>
      </c>
      <c r="H109" s="15">
        <f>净值原始!F439</f>
        <v>1.064</v>
      </c>
      <c r="I109" s="15">
        <f>净值原始!F460</f>
        <v>1.065</v>
      </c>
      <c r="J109" s="11">
        <f t="shared" si="3"/>
        <v>0.000939849624060018</v>
      </c>
      <c r="K109" s="9">
        <f>IF(COUNT(F109:I109)&lt;&gt;4,0,IF(AND(G109&gt;F109,H109&gt;0,I109&gt;0,L109&lt;='Sheet1-指标体系'!$J$31,M109&lt;='Sheet1-指标体系'!$J$31),1,0))</f>
        <v>1</v>
      </c>
      <c r="L109" s="9">
        <f t="shared" si="4"/>
        <v>2</v>
      </c>
      <c r="M109" s="9">
        <f t="shared" si="5"/>
        <v>0</v>
      </c>
    </row>
    <row r="110" ht="25" customHeight="1" spans="1:13">
      <c r="A110" s="9" t="s">
        <v>139</v>
      </c>
      <c r="B110" s="9" t="s">
        <v>135</v>
      </c>
      <c r="C110" s="9" t="s">
        <v>1062</v>
      </c>
      <c r="D110" s="10">
        <v>46203</v>
      </c>
      <c r="E110" s="10">
        <v>46234</v>
      </c>
      <c r="F110" s="10">
        <f>净值原始!C460</f>
        <v>46203</v>
      </c>
      <c r="G110" s="10">
        <f>净值原始!C483</f>
        <v>46234</v>
      </c>
      <c r="H110" s="15">
        <f>净值原始!F460</f>
        <v>1.065</v>
      </c>
      <c r="I110" s="15">
        <f>净值原始!F483</f>
        <v>1.0678</v>
      </c>
      <c r="J110" s="11">
        <f t="shared" si="3"/>
        <v>0.00262910798122085</v>
      </c>
      <c r="K110" s="9">
        <f>IF(COUNT(F110:I110)&lt;&gt;4,0,IF(AND(G110&gt;F110,H110&gt;0,I110&gt;0,L110&lt;='Sheet1-指标体系'!$J$31,M110&lt;='Sheet1-指标体系'!$J$31),1,0))</f>
        <v>1</v>
      </c>
      <c r="L110" s="9">
        <f t="shared" si="4"/>
        <v>0</v>
      </c>
      <c r="M110" s="9">
        <f t="shared" si="5"/>
        <v>0</v>
      </c>
    </row>
    <row r="111" ht="25" customHeight="1" spans="1:13">
      <c r="A111" s="9" t="s">
        <v>139</v>
      </c>
      <c r="B111" s="9" t="s">
        <v>135</v>
      </c>
      <c r="C111" s="9" t="s">
        <v>1063</v>
      </c>
      <c r="D111" s="10">
        <v>46234</v>
      </c>
      <c r="E111" s="10">
        <v>46265</v>
      </c>
      <c r="F111" s="10">
        <f>净值原始!C483</f>
        <v>46234</v>
      </c>
      <c r="G111" s="10">
        <f>净值原始!C504</f>
        <v>46265</v>
      </c>
      <c r="H111" s="15">
        <f>净值原始!F483</f>
        <v>1.0678</v>
      </c>
      <c r="I111" s="15">
        <f>净值原始!F504</f>
        <v>1.0839</v>
      </c>
      <c r="J111" s="11">
        <f t="shared" si="3"/>
        <v>0.0150777299119684</v>
      </c>
      <c r="K111" s="9">
        <f>IF(COUNT(F111:I111)&lt;&gt;4,0,IF(AND(G111&gt;F111,H111&gt;0,I111&gt;0,L111&lt;='Sheet1-指标体系'!$J$31,M111&lt;='Sheet1-指标体系'!$J$31),1,0))</f>
        <v>1</v>
      </c>
      <c r="L111" s="9">
        <f t="shared" si="4"/>
        <v>0</v>
      </c>
      <c r="M111" s="9">
        <f t="shared" si="5"/>
        <v>0</v>
      </c>
    </row>
    <row r="112" ht="25" customHeight="1" spans="1:13">
      <c r="A112" s="9" t="s">
        <v>139</v>
      </c>
      <c r="B112" s="9" t="s">
        <v>135</v>
      </c>
      <c r="C112" s="9" t="s">
        <v>1064</v>
      </c>
      <c r="D112" s="10">
        <v>46265</v>
      </c>
      <c r="E112" s="10">
        <v>46269</v>
      </c>
      <c r="F112" s="10">
        <f>净值原始!C504</f>
        <v>46265</v>
      </c>
      <c r="G112" s="10">
        <f>净值原始!C508</f>
        <v>46269</v>
      </c>
      <c r="H112" s="15">
        <f>净值原始!F504</f>
        <v>1.0839</v>
      </c>
      <c r="I112" s="15">
        <f>净值原始!F508</f>
        <v>1.0797</v>
      </c>
      <c r="J112" s="11">
        <f t="shared" si="3"/>
        <v>-0.0038748962081373</v>
      </c>
      <c r="K112" s="9">
        <f>IF(COUNT(F112:I112)&lt;&gt;4,0,IF(AND(G112&gt;F112,H112&gt;0,I112&gt;0,L112&lt;='Sheet1-指标体系'!$J$31,M112&lt;='Sheet1-指标体系'!$J$31),1,0))</f>
        <v>1</v>
      </c>
      <c r="L112" s="9">
        <f t="shared" si="4"/>
        <v>0</v>
      </c>
      <c r="M112" s="9">
        <f t="shared" si="5"/>
        <v>0</v>
      </c>
    </row>
    <row r="113" ht="25" customHeight="1" spans="1:13">
      <c r="A113" s="9" t="s">
        <v>145</v>
      </c>
      <c r="B113" s="9" t="s">
        <v>144</v>
      </c>
      <c r="C113" s="9" t="s">
        <v>1028</v>
      </c>
      <c r="D113" s="10">
        <v>45169</v>
      </c>
      <c r="E113" s="10">
        <v>45199</v>
      </c>
      <c r="F113" s="10"/>
      <c r="G113" s="10"/>
      <c r="H113" s="15"/>
      <c r="I113" s="15"/>
      <c r="J113" s="11" t="str">
        <f t="shared" si="3"/>
        <v/>
      </c>
      <c r="K113" s="9">
        <f>IF(COUNT(F113:I113)&lt;&gt;4,0,IF(AND(G113&gt;F113,H113&gt;0,I113&gt;0,L113&lt;='Sheet1-指标体系'!$J$31,M113&lt;='Sheet1-指标体系'!$J$31),1,0))</f>
        <v>0</v>
      </c>
      <c r="L113" s="9" t="str">
        <f t="shared" si="4"/>
        <v/>
      </c>
      <c r="M113" s="9" t="str">
        <f t="shared" si="5"/>
        <v/>
      </c>
    </row>
    <row r="114" ht="25" customHeight="1" spans="1:13">
      <c r="A114" s="9" t="s">
        <v>145</v>
      </c>
      <c r="B114" s="9" t="s">
        <v>144</v>
      </c>
      <c r="C114" s="9" t="s">
        <v>1029</v>
      </c>
      <c r="D114" s="10">
        <v>45199</v>
      </c>
      <c r="E114" s="10">
        <v>45230</v>
      </c>
      <c r="F114" s="10"/>
      <c r="G114" s="10"/>
      <c r="H114" s="15"/>
      <c r="I114" s="15"/>
      <c r="J114" s="11" t="str">
        <f t="shared" si="3"/>
        <v/>
      </c>
      <c r="K114" s="9">
        <f>IF(COUNT(F114:I114)&lt;&gt;4,0,IF(AND(G114&gt;F114,H114&gt;0,I114&gt;0,L114&lt;='Sheet1-指标体系'!$J$31,M114&lt;='Sheet1-指标体系'!$J$31),1,0))</f>
        <v>0</v>
      </c>
      <c r="L114" s="9" t="str">
        <f t="shared" si="4"/>
        <v/>
      </c>
      <c r="M114" s="9" t="str">
        <f t="shared" si="5"/>
        <v/>
      </c>
    </row>
    <row r="115" ht="25" customHeight="1" spans="1:13">
      <c r="A115" s="9" t="s">
        <v>145</v>
      </c>
      <c r="B115" s="9" t="s">
        <v>144</v>
      </c>
      <c r="C115" s="9" t="s">
        <v>1030</v>
      </c>
      <c r="D115" s="10">
        <v>45230</v>
      </c>
      <c r="E115" s="10">
        <v>45260</v>
      </c>
      <c r="F115" s="10"/>
      <c r="G115" s="10"/>
      <c r="H115" s="15"/>
      <c r="I115" s="15"/>
      <c r="J115" s="11" t="str">
        <f t="shared" si="3"/>
        <v/>
      </c>
      <c r="K115" s="9">
        <f>IF(COUNT(F115:I115)&lt;&gt;4,0,IF(AND(G115&gt;F115,H115&gt;0,I115&gt;0,L115&lt;='Sheet1-指标体系'!$J$31,M115&lt;='Sheet1-指标体系'!$J$31),1,0))</f>
        <v>0</v>
      </c>
      <c r="L115" s="9" t="str">
        <f t="shared" si="4"/>
        <v/>
      </c>
      <c r="M115" s="9" t="str">
        <f t="shared" si="5"/>
        <v/>
      </c>
    </row>
    <row r="116" ht="25" customHeight="1" spans="1:13">
      <c r="A116" s="9" t="s">
        <v>145</v>
      </c>
      <c r="B116" s="9" t="s">
        <v>144</v>
      </c>
      <c r="C116" s="9" t="s">
        <v>1031</v>
      </c>
      <c r="D116" s="10">
        <v>45260</v>
      </c>
      <c r="E116" s="10">
        <v>45291</v>
      </c>
      <c r="F116" s="10"/>
      <c r="G116" s="10"/>
      <c r="H116" s="15"/>
      <c r="I116" s="15"/>
      <c r="J116" s="11" t="str">
        <f t="shared" si="3"/>
        <v/>
      </c>
      <c r="K116" s="9">
        <f>IF(COUNT(F116:I116)&lt;&gt;4,0,IF(AND(G116&gt;F116,H116&gt;0,I116&gt;0,L116&lt;='Sheet1-指标体系'!$J$31,M116&lt;='Sheet1-指标体系'!$J$31),1,0))</f>
        <v>0</v>
      </c>
      <c r="L116" s="9" t="str">
        <f t="shared" si="4"/>
        <v/>
      </c>
      <c r="M116" s="9" t="str">
        <f t="shared" si="5"/>
        <v/>
      </c>
    </row>
    <row r="117" ht="25" customHeight="1" spans="1:13">
      <c r="A117" s="9" t="s">
        <v>145</v>
      </c>
      <c r="B117" s="9" t="s">
        <v>144</v>
      </c>
      <c r="C117" s="9" t="s">
        <v>1032</v>
      </c>
      <c r="D117" s="10">
        <v>45291</v>
      </c>
      <c r="E117" s="10">
        <v>45322</v>
      </c>
      <c r="F117" s="10"/>
      <c r="G117" s="10"/>
      <c r="H117" s="15"/>
      <c r="I117" s="15"/>
      <c r="J117" s="11" t="str">
        <f t="shared" si="3"/>
        <v/>
      </c>
      <c r="K117" s="9">
        <f>IF(COUNT(F117:I117)&lt;&gt;4,0,IF(AND(G117&gt;F117,H117&gt;0,I117&gt;0,L117&lt;='Sheet1-指标体系'!$J$31,M117&lt;='Sheet1-指标体系'!$J$31),1,0))</f>
        <v>0</v>
      </c>
      <c r="L117" s="9" t="str">
        <f t="shared" si="4"/>
        <v/>
      </c>
      <c r="M117" s="9" t="str">
        <f t="shared" si="5"/>
        <v/>
      </c>
    </row>
    <row r="118" ht="25" customHeight="1" spans="1:13">
      <c r="A118" s="9" t="s">
        <v>145</v>
      </c>
      <c r="B118" s="9" t="s">
        <v>144</v>
      </c>
      <c r="C118" s="9" t="s">
        <v>1033</v>
      </c>
      <c r="D118" s="10">
        <v>45322</v>
      </c>
      <c r="E118" s="10">
        <v>45351</v>
      </c>
      <c r="F118" s="10"/>
      <c r="G118" s="10"/>
      <c r="H118" s="15"/>
      <c r="I118" s="15"/>
      <c r="J118" s="11" t="str">
        <f t="shared" si="3"/>
        <v/>
      </c>
      <c r="K118" s="9">
        <f>IF(COUNT(F118:I118)&lt;&gt;4,0,IF(AND(G118&gt;F118,H118&gt;0,I118&gt;0,L118&lt;='Sheet1-指标体系'!$J$31,M118&lt;='Sheet1-指标体系'!$J$31),1,0))</f>
        <v>0</v>
      </c>
      <c r="L118" s="9" t="str">
        <f t="shared" si="4"/>
        <v/>
      </c>
      <c r="M118" s="9" t="str">
        <f t="shared" si="5"/>
        <v/>
      </c>
    </row>
    <row r="119" ht="25" customHeight="1" spans="1:13">
      <c r="A119" s="9" t="s">
        <v>145</v>
      </c>
      <c r="B119" s="9" t="s">
        <v>144</v>
      </c>
      <c r="C119" s="9" t="s">
        <v>1034</v>
      </c>
      <c r="D119" s="10">
        <v>45351</v>
      </c>
      <c r="E119" s="10">
        <v>45382</v>
      </c>
      <c r="F119" s="10"/>
      <c r="G119" s="10"/>
      <c r="H119" s="15"/>
      <c r="I119" s="15"/>
      <c r="J119" s="11" t="str">
        <f t="shared" si="3"/>
        <v/>
      </c>
      <c r="K119" s="9">
        <f>IF(COUNT(F119:I119)&lt;&gt;4,0,IF(AND(G119&gt;F119,H119&gt;0,I119&gt;0,L119&lt;='Sheet1-指标体系'!$J$31,M119&lt;='Sheet1-指标体系'!$J$31),1,0))</f>
        <v>0</v>
      </c>
      <c r="L119" s="9" t="str">
        <f t="shared" si="4"/>
        <v/>
      </c>
      <c r="M119" s="9" t="str">
        <f t="shared" si="5"/>
        <v/>
      </c>
    </row>
    <row r="120" ht="25" customHeight="1" spans="1:13">
      <c r="A120" s="9" t="s">
        <v>145</v>
      </c>
      <c r="B120" s="9" t="s">
        <v>144</v>
      </c>
      <c r="C120" s="9" t="s">
        <v>1035</v>
      </c>
      <c r="D120" s="10">
        <v>45382</v>
      </c>
      <c r="E120" s="10">
        <v>45412</v>
      </c>
      <c r="F120" s="10"/>
      <c r="G120" s="10"/>
      <c r="H120" s="15"/>
      <c r="I120" s="15"/>
      <c r="J120" s="11" t="str">
        <f t="shared" si="3"/>
        <v/>
      </c>
      <c r="K120" s="9">
        <f>IF(COUNT(F120:I120)&lt;&gt;4,0,IF(AND(G120&gt;F120,H120&gt;0,I120&gt;0,L120&lt;='Sheet1-指标体系'!$J$31,M120&lt;='Sheet1-指标体系'!$J$31),1,0))</f>
        <v>0</v>
      </c>
      <c r="L120" s="9" t="str">
        <f t="shared" si="4"/>
        <v/>
      </c>
      <c r="M120" s="9" t="str">
        <f t="shared" si="5"/>
        <v/>
      </c>
    </row>
    <row r="121" ht="25" customHeight="1" spans="1:13">
      <c r="A121" s="9" t="s">
        <v>145</v>
      </c>
      <c r="B121" s="9" t="s">
        <v>144</v>
      </c>
      <c r="C121" s="9" t="s">
        <v>1036</v>
      </c>
      <c r="D121" s="10">
        <v>45412</v>
      </c>
      <c r="E121" s="10">
        <v>45443</v>
      </c>
      <c r="F121" s="10"/>
      <c r="G121" s="10"/>
      <c r="H121" s="15"/>
      <c r="I121" s="15"/>
      <c r="J121" s="11" t="str">
        <f t="shared" si="3"/>
        <v/>
      </c>
      <c r="K121" s="9">
        <f>IF(COUNT(F121:I121)&lt;&gt;4,0,IF(AND(G121&gt;F121,H121&gt;0,I121&gt;0,L121&lt;='Sheet1-指标体系'!$J$31,M121&lt;='Sheet1-指标体系'!$J$31),1,0))</f>
        <v>0</v>
      </c>
      <c r="L121" s="9" t="str">
        <f t="shared" si="4"/>
        <v/>
      </c>
      <c r="M121" s="9" t="str">
        <f t="shared" si="5"/>
        <v/>
      </c>
    </row>
    <row r="122" ht="25" customHeight="1" spans="1:13">
      <c r="A122" s="9" t="s">
        <v>145</v>
      </c>
      <c r="B122" s="9" t="s">
        <v>144</v>
      </c>
      <c r="C122" s="9" t="s">
        <v>1037</v>
      </c>
      <c r="D122" s="10">
        <v>45443</v>
      </c>
      <c r="E122" s="10">
        <v>45473</v>
      </c>
      <c r="F122" s="10"/>
      <c r="G122" s="10"/>
      <c r="H122" s="15"/>
      <c r="I122" s="15"/>
      <c r="J122" s="11" t="str">
        <f t="shared" si="3"/>
        <v/>
      </c>
      <c r="K122" s="9">
        <f>IF(COUNT(F122:I122)&lt;&gt;4,0,IF(AND(G122&gt;F122,H122&gt;0,I122&gt;0,L122&lt;='Sheet1-指标体系'!$J$31,M122&lt;='Sheet1-指标体系'!$J$31),1,0))</f>
        <v>0</v>
      </c>
      <c r="L122" s="9" t="str">
        <f t="shared" si="4"/>
        <v/>
      </c>
      <c r="M122" s="9" t="str">
        <f t="shared" si="5"/>
        <v/>
      </c>
    </row>
    <row r="123" ht="25" customHeight="1" spans="1:13">
      <c r="A123" s="9" t="s">
        <v>145</v>
      </c>
      <c r="B123" s="9" t="s">
        <v>144</v>
      </c>
      <c r="C123" s="9" t="s">
        <v>1038</v>
      </c>
      <c r="D123" s="10">
        <v>45473</v>
      </c>
      <c r="E123" s="10">
        <v>45504</v>
      </c>
      <c r="F123" s="10"/>
      <c r="G123" s="10"/>
      <c r="H123" s="15"/>
      <c r="I123" s="15"/>
      <c r="J123" s="11" t="str">
        <f t="shared" si="3"/>
        <v/>
      </c>
      <c r="K123" s="9">
        <f>IF(COUNT(F123:I123)&lt;&gt;4,0,IF(AND(G123&gt;F123,H123&gt;0,I123&gt;0,L123&lt;='Sheet1-指标体系'!$J$31,M123&lt;='Sheet1-指标体系'!$J$31),1,0))</f>
        <v>0</v>
      </c>
      <c r="L123" s="9" t="str">
        <f t="shared" si="4"/>
        <v/>
      </c>
      <c r="M123" s="9" t="str">
        <f t="shared" si="5"/>
        <v/>
      </c>
    </row>
    <row r="124" ht="25" customHeight="1" spans="1:13">
      <c r="A124" s="9" t="s">
        <v>145</v>
      </c>
      <c r="B124" s="9" t="s">
        <v>144</v>
      </c>
      <c r="C124" s="9" t="s">
        <v>1039</v>
      </c>
      <c r="D124" s="10">
        <v>45504</v>
      </c>
      <c r="E124" s="10">
        <v>45535</v>
      </c>
      <c r="F124" s="10"/>
      <c r="G124" s="10"/>
      <c r="H124" s="15"/>
      <c r="I124" s="15"/>
      <c r="J124" s="11" t="str">
        <f t="shared" si="3"/>
        <v/>
      </c>
      <c r="K124" s="9">
        <f>IF(COUNT(F124:I124)&lt;&gt;4,0,IF(AND(G124&gt;F124,H124&gt;0,I124&gt;0,L124&lt;='Sheet1-指标体系'!$J$31,M124&lt;='Sheet1-指标体系'!$J$31),1,0))</f>
        <v>0</v>
      </c>
      <c r="L124" s="9" t="str">
        <f t="shared" si="4"/>
        <v/>
      </c>
      <c r="M124" s="9" t="str">
        <f t="shared" si="5"/>
        <v/>
      </c>
    </row>
    <row r="125" ht="25" customHeight="1" spans="1:13">
      <c r="A125" s="9" t="s">
        <v>145</v>
      </c>
      <c r="B125" s="9" t="s">
        <v>144</v>
      </c>
      <c r="C125" s="9" t="s">
        <v>1040</v>
      </c>
      <c r="D125" s="10">
        <v>45535</v>
      </c>
      <c r="E125" s="10">
        <v>45565</v>
      </c>
      <c r="F125" s="10"/>
      <c r="G125" s="10"/>
      <c r="H125" s="15"/>
      <c r="I125" s="15"/>
      <c r="J125" s="11" t="str">
        <f t="shared" si="3"/>
        <v/>
      </c>
      <c r="K125" s="9">
        <f>IF(COUNT(F125:I125)&lt;&gt;4,0,IF(AND(G125&gt;F125,H125&gt;0,I125&gt;0,L125&lt;='Sheet1-指标体系'!$J$31,M125&lt;='Sheet1-指标体系'!$J$31),1,0))</f>
        <v>0</v>
      </c>
      <c r="L125" s="9" t="str">
        <f t="shared" si="4"/>
        <v/>
      </c>
      <c r="M125" s="9" t="str">
        <f t="shared" si="5"/>
        <v/>
      </c>
    </row>
    <row r="126" ht="25" customHeight="1" spans="1:13">
      <c r="A126" s="9" t="s">
        <v>145</v>
      </c>
      <c r="B126" s="9" t="s">
        <v>144</v>
      </c>
      <c r="C126" s="9" t="s">
        <v>1041</v>
      </c>
      <c r="D126" s="10">
        <v>45565</v>
      </c>
      <c r="E126" s="10">
        <v>45596</v>
      </c>
      <c r="F126" s="10"/>
      <c r="G126" s="10"/>
      <c r="H126" s="15"/>
      <c r="I126" s="15"/>
      <c r="J126" s="11" t="str">
        <f t="shared" si="3"/>
        <v/>
      </c>
      <c r="K126" s="9">
        <f>IF(COUNT(F126:I126)&lt;&gt;4,0,IF(AND(G126&gt;F126,H126&gt;0,I126&gt;0,L126&lt;='Sheet1-指标体系'!$J$31,M126&lt;='Sheet1-指标体系'!$J$31),1,0))</f>
        <v>0</v>
      </c>
      <c r="L126" s="9" t="str">
        <f t="shared" si="4"/>
        <v/>
      </c>
      <c r="M126" s="9" t="str">
        <f t="shared" si="5"/>
        <v/>
      </c>
    </row>
    <row r="127" ht="25" customHeight="1" spans="1:13">
      <c r="A127" s="9" t="s">
        <v>145</v>
      </c>
      <c r="B127" s="9" t="s">
        <v>144</v>
      </c>
      <c r="C127" s="9" t="s">
        <v>1042</v>
      </c>
      <c r="D127" s="10">
        <v>45596</v>
      </c>
      <c r="E127" s="10">
        <v>45626</v>
      </c>
      <c r="F127" s="10"/>
      <c r="G127" s="10"/>
      <c r="H127" s="15"/>
      <c r="I127" s="15"/>
      <c r="J127" s="11" t="str">
        <f t="shared" si="3"/>
        <v/>
      </c>
      <c r="K127" s="9">
        <f>IF(COUNT(F127:I127)&lt;&gt;4,0,IF(AND(G127&gt;F127,H127&gt;0,I127&gt;0,L127&lt;='Sheet1-指标体系'!$J$31,M127&lt;='Sheet1-指标体系'!$J$31),1,0))</f>
        <v>0</v>
      </c>
      <c r="L127" s="9" t="str">
        <f t="shared" si="4"/>
        <v/>
      </c>
      <c r="M127" s="9" t="str">
        <f t="shared" si="5"/>
        <v/>
      </c>
    </row>
    <row r="128" ht="25" customHeight="1" spans="1:13">
      <c r="A128" s="9" t="s">
        <v>145</v>
      </c>
      <c r="B128" s="9" t="s">
        <v>144</v>
      </c>
      <c r="C128" s="9" t="s">
        <v>1043</v>
      </c>
      <c r="D128" s="10">
        <v>45626</v>
      </c>
      <c r="E128" s="10">
        <v>45657</v>
      </c>
      <c r="F128" s="10"/>
      <c r="G128" s="10"/>
      <c r="H128" s="15"/>
      <c r="I128" s="15"/>
      <c r="J128" s="11" t="str">
        <f t="shared" si="3"/>
        <v/>
      </c>
      <c r="K128" s="9">
        <f>IF(COUNT(F128:I128)&lt;&gt;4,0,IF(AND(G128&gt;F128,H128&gt;0,I128&gt;0,L128&lt;='Sheet1-指标体系'!$J$31,M128&lt;='Sheet1-指标体系'!$J$31),1,0))</f>
        <v>0</v>
      </c>
      <c r="L128" s="9" t="str">
        <f t="shared" si="4"/>
        <v/>
      </c>
      <c r="M128" s="9" t="str">
        <f t="shared" si="5"/>
        <v/>
      </c>
    </row>
    <row r="129" ht="25" customHeight="1" spans="1:13">
      <c r="A129" s="9" t="s">
        <v>145</v>
      </c>
      <c r="B129" s="9" t="s">
        <v>144</v>
      </c>
      <c r="C129" s="9" t="s">
        <v>1044</v>
      </c>
      <c r="D129" s="10">
        <v>45657</v>
      </c>
      <c r="E129" s="10">
        <v>45688</v>
      </c>
      <c r="F129" s="10"/>
      <c r="G129" s="10"/>
      <c r="H129" s="15"/>
      <c r="I129" s="15"/>
      <c r="J129" s="11" t="str">
        <f t="shared" si="3"/>
        <v/>
      </c>
      <c r="K129" s="9">
        <f>IF(COUNT(F129:I129)&lt;&gt;4,0,IF(AND(G129&gt;F129,H129&gt;0,I129&gt;0,L129&lt;='Sheet1-指标体系'!$J$31,M129&lt;='Sheet1-指标体系'!$J$31),1,0))</f>
        <v>0</v>
      </c>
      <c r="L129" s="9" t="str">
        <f t="shared" si="4"/>
        <v/>
      </c>
      <c r="M129" s="9" t="str">
        <f t="shared" si="5"/>
        <v/>
      </c>
    </row>
    <row r="130" ht="25" customHeight="1" spans="1:13">
      <c r="A130" s="9" t="s">
        <v>145</v>
      </c>
      <c r="B130" s="9" t="s">
        <v>144</v>
      </c>
      <c r="C130" s="9" t="s">
        <v>1045</v>
      </c>
      <c r="D130" s="10">
        <v>45688</v>
      </c>
      <c r="E130" s="10">
        <v>45716</v>
      </c>
      <c r="F130" s="10"/>
      <c r="G130" s="10"/>
      <c r="H130" s="15"/>
      <c r="I130" s="15"/>
      <c r="J130" s="11" t="str">
        <f t="shared" ref="J130:J193" si="6">IF(K130=1,I130/H130-1,"")</f>
        <v/>
      </c>
      <c r="K130" s="9">
        <f>IF(COUNT(F130:I130)&lt;&gt;4,0,IF(AND(G130&gt;F130,H130&gt;0,I130&gt;0,L130&lt;='Sheet1-指标体系'!$J$31,M130&lt;='Sheet1-指标体系'!$J$31),1,0))</f>
        <v>0</v>
      </c>
      <c r="L130" s="9" t="str">
        <f t="shared" ref="L130:L193" si="7">IF(ISNUMBER(F130),D130-F130,"")</f>
        <v/>
      </c>
      <c r="M130" s="9" t="str">
        <f t="shared" ref="M130:M193" si="8">IF(ISNUMBER(G130),E130-G130,"")</f>
        <v/>
      </c>
    </row>
    <row r="131" ht="25" customHeight="1" spans="1:13">
      <c r="A131" s="9" t="s">
        <v>145</v>
      </c>
      <c r="B131" s="9" t="s">
        <v>144</v>
      </c>
      <c r="C131" s="9" t="s">
        <v>1046</v>
      </c>
      <c r="D131" s="10">
        <v>45716</v>
      </c>
      <c r="E131" s="10">
        <v>45747</v>
      </c>
      <c r="F131" s="10"/>
      <c r="G131" s="10"/>
      <c r="H131" s="15"/>
      <c r="I131" s="15"/>
      <c r="J131" s="11" t="str">
        <f t="shared" si="6"/>
        <v/>
      </c>
      <c r="K131" s="9">
        <f>IF(COUNT(F131:I131)&lt;&gt;4,0,IF(AND(G131&gt;F131,H131&gt;0,I131&gt;0,L131&lt;='Sheet1-指标体系'!$J$31,M131&lt;='Sheet1-指标体系'!$J$31),1,0))</f>
        <v>0</v>
      </c>
      <c r="L131" s="9" t="str">
        <f t="shared" si="7"/>
        <v/>
      </c>
      <c r="M131" s="9" t="str">
        <f t="shared" si="8"/>
        <v/>
      </c>
    </row>
    <row r="132" ht="25" customHeight="1" spans="1:13">
      <c r="A132" s="9" t="s">
        <v>145</v>
      </c>
      <c r="B132" s="9" t="s">
        <v>144</v>
      </c>
      <c r="C132" s="9" t="s">
        <v>1047</v>
      </c>
      <c r="D132" s="10">
        <v>45747</v>
      </c>
      <c r="E132" s="10">
        <v>45777</v>
      </c>
      <c r="F132" s="10"/>
      <c r="G132" s="10"/>
      <c r="H132" s="15"/>
      <c r="I132" s="15"/>
      <c r="J132" s="11" t="str">
        <f t="shared" si="6"/>
        <v/>
      </c>
      <c r="K132" s="9">
        <f>IF(COUNT(F132:I132)&lt;&gt;4,0,IF(AND(G132&gt;F132,H132&gt;0,I132&gt;0,L132&lt;='Sheet1-指标体系'!$J$31,M132&lt;='Sheet1-指标体系'!$J$31),1,0))</f>
        <v>0</v>
      </c>
      <c r="L132" s="9" t="str">
        <f t="shared" si="7"/>
        <v/>
      </c>
      <c r="M132" s="9" t="str">
        <f t="shared" si="8"/>
        <v/>
      </c>
    </row>
    <row r="133" ht="25" customHeight="1" spans="1:13">
      <c r="A133" s="9" t="s">
        <v>145</v>
      </c>
      <c r="B133" s="9" t="s">
        <v>144</v>
      </c>
      <c r="C133" s="9" t="s">
        <v>1048</v>
      </c>
      <c r="D133" s="10">
        <v>45777</v>
      </c>
      <c r="E133" s="10">
        <v>45808</v>
      </c>
      <c r="F133" s="10"/>
      <c r="G133" s="10"/>
      <c r="H133" s="15"/>
      <c r="I133" s="15"/>
      <c r="J133" s="11" t="str">
        <f t="shared" si="6"/>
        <v/>
      </c>
      <c r="K133" s="9">
        <f>IF(COUNT(F133:I133)&lt;&gt;4,0,IF(AND(G133&gt;F133,H133&gt;0,I133&gt;0,L133&lt;='Sheet1-指标体系'!$J$31,M133&lt;='Sheet1-指标体系'!$J$31),1,0))</f>
        <v>0</v>
      </c>
      <c r="L133" s="9" t="str">
        <f t="shared" si="7"/>
        <v/>
      </c>
      <c r="M133" s="9" t="str">
        <f t="shared" si="8"/>
        <v/>
      </c>
    </row>
    <row r="134" ht="25" customHeight="1" spans="1:13">
      <c r="A134" s="9" t="s">
        <v>145</v>
      </c>
      <c r="B134" s="9" t="s">
        <v>144</v>
      </c>
      <c r="C134" s="9" t="s">
        <v>1049</v>
      </c>
      <c r="D134" s="10">
        <v>45808</v>
      </c>
      <c r="E134" s="10">
        <v>45838</v>
      </c>
      <c r="F134" s="10"/>
      <c r="G134" s="10"/>
      <c r="H134" s="15"/>
      <c r="I134" s="15"/>
      <c r="J134" s="11" t="str">
        <f t="shared" si="6"/>
        <v/>
      </c>
      <c r="K134" s="9">
        <f>IF(COUNT(F134:I134)&lt;&gt;4,0,IF(AND(G134&gt;F134,H134&gt;0,I134&gt;0,L134&lt;='Sheet1-指标体系'!$J$31,M134&lt;='Sheet1-指标体系'!$J$31),1,0))</f>
        <v>0</v>
      </c>
      <c r="L134" s="9" t="str">
        <f t="shared" si="7"/>
        <v/>
      </c>
      <c r="M134" s="9" t="str">
        <f t="shared" si="8"/>
        <v/>
      </c>
    </row>
    <row r="135" ht="25" customHeight="1" spans="1:13">
      <c r="A135" s="9" t="s">
        <v>145</v>
      </c>
      <c r="B135" s="9" t="s">
        <v>144</v>
      </c>
      <c r="C135" s="9" t="s">
        <v>1050</v>
      </c>
      <c r="D135" s="10">
        <v>45838</v>
      </c>
      <c r="E135" s="10">
        <v>45869</v>
      </c>
      <c r="F135" s="10"/>
      <c r="G135" s="10"/>
      <c r="H135" s="15"/>
      <c r="I135" s="15"/>
      <c r="J135" s="11" t="str">
        <f t="shared" si="6"/>
        <v/>
      </c>
      <c r="K135" s="9">
        <f>IF(COUNT(F135:I135)&lt;&gt;4,0,IF(AND(G135&gt;F135,H135&gt;0,I135&gt;0,L135&lt;='Sheet1-指标体系'!$J$31,M135&lt;='Sheet1-指标体系'!$J$31),1,0))</f>
        <v>0</v>
      </c>
      <c r="L135" s="9" t="str">
        <f t="shared" si="7"/>
        <v/>
      </c>
      <c r="M135" s="9" t="str">
        <f t="shared" si="8"/>
        <v/>
      </c>
    </row>
    <row r="136" ht="25" customHeight="1" spans="1:13">
      <c r="A136" s="9" t="s">
        <v>145</v>
      </c>
      <c r="B136" s="9" t="s">
        <v>144</v>
      </c>
      <c r="C136" s="9" t="s">
        <v>1051</v>
      </c>
      <c r="D136" s="10">
        <v>45869</v>
      </c>
      <c r="E136" s="10">
        <v>45900</v>
      </c>
      <c r="F136" s="10"/>
      <c r="G136" s="10"/>
      <c r="H136" s="15"/>
      <c r="I136" s="15"/>
      <c r="J136" s="11" t="str">
        <f t="shared" si="6"/>
        <v/>
      </c>
      <c r="K136" s="9">
        <f>IF(COUNT(F136:I136)&lt;&gt;4,0,IF(AND(G136&gt;F136,H136&gt;0,I136&gt;0,L136&lt;='Sheet1-指标体系'!$J$31,M136&lt;='Sheet1-指标体系'!$J$31),1,0))</f>
        <v>0</v>
      </c>
      <c r="L136" s="9" t="str">
        <f t="shared" si="7"/>
        <v/>
      </c>
      <c r="M136" s="9" t="str">
        <f t="shared" si="8"/>
        <v/>
      </c>
    </row>
    <row r="137" ht="25" customHeight="1" spans="1:13">
      <c r="A137" s="9" t="s">
        <v>145</v>
      </c>
      <c r="B137" s="9" t="s">
        <v>144</v>
      </c>
      <c r="C137" s="9" t="s">
        <v>1052</v>
      </c>
      <c r="D137" s="10">
        <v>45900</v>
      </c>
      <c r="E137" s="10">
        <v>45930</v>
      </c>
      <c r="F137" s="10"/>
      <c r="G137" s="10"/>
      <c r="H137" s="15"/>
      <c r="I137" s="15"/>
      <c r="J137" s="11" t="str">
        <f t="shared" si="6"/>
        <v/>
      </c>
      <c r="K137" s="9">
        <f>IF(COUNT(F137:I137)&lt;&gt;4,0,IF(AND(G137&gt;F137,H137&gt;0,I137&gt;0,L137&lt;='Sheet1-指标体系'!$J$31,M137&lt;='Sheet1-指标体系'!$J$31),1,0))</f>
        <v>0</v>
      </c>
      <c r="L137" s="9" t="str">
        <f t="shared" si="7"/>
        <v/>
      </c>
      <c r="M137" s="9" t="str">
        <f t="shared" si="8"/>
        <v/>
      </c>
    </row>
    <row r="138" ht="25" customHeight="1" spans="1:13">
      <c r="A138" s="9" t="s">
        <v>145</v>
      </c>
      <c r="B138" s="9" t="s">
        <v>144</v>
      </c>
      <c r="C138" s="9" t="s">
        <v>1053</v>
      </c>
      <c r="D138" s="10">
        <v>45930</v>
      </c>
      <c r="E138" s="10">
        <v>45961</v>
      </c>
      <c r="F138" s="10"/>
      <c r="G138" s="10"/>
      <c r="H138" s="15"/>
      <c r="I138" s="15"/>
      <c r="J138" s="11" t="str">
        <f t="shared" si="6"/>
        <v/>
      </c>
      <c r="K138" s="9">
        <f>IF(COUNT(F138:I138)&lt;&gt;4,0,IF(AND(G138&gt;F138,H138&gt;0,I138&gt;0,L138&lt;='Sheet1-指标体系'!$J$31,M138&lt;='Sheet1-指标体系'!$J$31),1,0))</f>
        <v>0</v>
      </c>
      <c r="L138" s="9" t="str">
        <f t="shared" si="7"/>
        <v/>
      </c>
      <c r="M138" s="9" t="str">
        <f t="shared" si="8"/>
        <v/>
      </c>
    </row>
    <row r="139" ht="25" customHeight="1" spans="1:13">
      <c r="A139" s="9" t="s">
        <v>145</v>
      </c>
      <c r="B139" s="9" t="s">
        <v>144</v>
      </c>
      <c r="C139" s="9" t="s">
        <v>1054</v>
      </c>
      <c r="D139" s="10">
        <v>45961</v>
      </c>
      <c r="E139" s="10">
        <v>45991</v>
      </c>
      <c r="F139" s="10"/>
      <c r="G139" s="10"/>
      <c r="H139" s="15"/>
      <c r="I139" s="15"/>
      <c r="J139" s="11" t="str">
        <f t="shared" si="6"/>
        <v/>
      </c>
      <c r="K139" s="9">
        <f>IF(COUNT(F139:I139)&lt;&gt;4,0,IF(AND(G139&gt;F139,H139&gt;0,I139&gt;0,L139&lt;='Sheet1-指标体系'!$J$31,M139&lt;='Sheet1-指标体系'!$J$31),1,0))</f>
        <v>0</v>
      </c>
      <c r="L139" s="9" t="str">
        <f t="shared" si="7"/>
        <v/>
      </c>
      <c r="M139" s="9" t="str">
        <f t="shared" si="8"/>
        <v/>
      </c>
    </row>
    <row r="140" ht="25" customHeight="1" spans="1:13">
      <c r="A140" s="9" t="s">
        <v>145</v>
      </c>
      <c r="B140" s="9" t="s">
        <v>144</v>
      </c>
      <c r="C140" s="9" t="s">
        <v>1055</v>
      </c>
      <c r="D140" s="10">
        <v>45991</v>
      </c>
      <c r="E140" s="10">
        <v>46022</v>
      </c>
      <c r="F140" s="10"/>
      <c r="G140" s="10"/>
      <c r="H140" s="15"/>
      <c r="I140" s="15"/>
      <c r="J140" s="11" t="str">
        <f t="shared" si="6"/>
        <v/>
      </c>
      <c r="K140" s="9">
        <f>IF(COUNT(F140:I140)&lt;&gt;4,0,IF(AND(G140&gt;F140,H140&gt;0,I140&gt;0,L140&lt;='Sheet1-指标体系'!$J$31,M140&lt;='Sheet1-指标体系'!$J$31),1,0))</f>
        <v>0</v>
      </c>
      <c r="L140" s="9" t="str">
        <f t="shared" si="7"/>
        <v/>
      </c>
      <c r="M140" s="9" t="str">
        <f t="shared" si="8"/>
        <v/>
      </c>
    </row>
    <row r="141" ht="25" customHeight="1" spans="1:13">
      <c r="A141" s="9" t="s">
        <v>145</v>
      </c>
      <c r="B141" s="9" t="s">
        <v>144</v>
      </c>
      <c r="C141" s="9" t="s">
        <v>1056</v>
      </c>
      <c r="D141" s="10">
        <v>46022</v>
      </c>
      <c r="E141" s="10">
        <v>46053</v>
      </c>
      <c r="F141" s="10"/>
      <c r="G141" s="10"/>
      <c r="H141" s="15"/>
      <c r="I141" s="15"/>
      <c r="J141" s="11" t="str">
        <f t="shared" si="6"/>
        <v/>
      </c>
      <c r="K141" s="9">
        <f>IF(COUNT(F141:I141)&lt;&gt;4,0,IF(AND(G141&gt;F141,H141&gt;0,I141&gt;0,L141&lt;='Sheet1-指标体系'!$J$31,M141&lt;='Sheet1-指标体系'!$J$31),1,0))</f>
        <v>0</v>
      </c>
      <c r="L141" s="9" t="str">
        <f t="shared" si="7"/>
        <v/>
      </c>
      <c r="M141" s="9" t="str">
        <f t="shared" si="8"/>
        <v/>
      </c>
    </row>
    <row r="142" ht="25" customHeight="1" spans="1:13">
      <c r="A142" s="9" t="s">
        <v>145</v>
      </c>
      <c r="B142" s="9" t="s">
        <v>144</v>
      </c>
      <c r="C142" s="9" t="s">
        <v>1057</v>
      </c>
      <c r="D142" s="10">
        <v>46053</v>
      </c>
      <c r="E142" s="10">
        <v>46081</v>
      </c>
      <c r="F142" s="10"/>
      <c r="G142" s="10">
        <f>净值原始!C517</f>
        <v>46080</v>
      </c>
      <c r="H142" s="15"/>
      <c r="I142" s="15">
        <f>净值原始!F517</f>
        <v>1.0004</v>
      </c>
      <c r="J142" s="11" t="str">
        <f t="shared" si="6"/>
        <v/>
      </c>
      <c r="K142" s="9">
        <f>IF(COUNT(F142:I142)&lt;&gt;4,0,IF(AND(G142&gt;F142,H142&gt;0,I142&gt;0,L142&lt;='Sheet1-指标体系'!$J$31,M142&lt;='Sheet1-指标体系'!$J$31),1,0))</f>
        <v>0</v>
      </c>
      <c r="L142" s="9" t="str">
        <f t="shared" si="7"/>
        <v/>
      </c>
      <c r="M142" s="9">
        <f t="shared" si="8"/>
        <v>1</v>
      </c>
    </row>
    <row r="143" ht="25" customHeight="1" spans="1:13">
      <c r="A143" s="9" t="s">
        <v>145</v>
      </c>
      <c r="B143" s="9" t="s">
        <v>144</v>
      </c>
      <c r="C143" s="9" t="s">
        <v>1058</v>
      </c>
      <c r="D143" s="10">
        <v>46081</v>
      </c>
      <c r="E143" s="10">
        <v>46112</v>
      </c>
      <c r="F143" s="10">
        <f>净值原始!C517</f>
        <v>46080</v>
      </c>
      <c r="G143" s="10">
        <f>净值原始!C539</f>
        <v>46112</v>
      </c>
      <c r="H143" s="15">
        <f>净值原始!F517</f>
        <v>1.0004</v>
      </c>
      <c r="I143" s="15">
        <f>净值原始!F539</f>
        <v>1.0227</v>
      </c>
      <c r="J143" s="11">
        <f t="shared" si="6"/>
        <v>0.0222910835665733</v>
      </c>
      <c r="K143" s="9">
        <f>IF(COUNT(F143:I143)&lt;&gt;4,0,IF(AND(G143&gt;F143,H143&gt;0,I143&gt;0,L143&lt;='Sheet1-指标体系'!$J$31,M143&lt;='Sheet1-指标体系'!$J$31),1,0))</f>
        <v>1</v>
      </c>
      <c r="L143" s="9">
        <f t="shared" si="7"/>
        <v>1</v>
      </c>
      <c r="M143" s="9">
        <f t="shared" si="8"/>
        <v>0</v>
      </c>
    </row>
    <row r="144" ht="25" customHeight="1" spans="1:13">
      <c r="A144" s="9" t="s">
        <v>145</v>
      </c>
      <c r="B144" s="9" t="s">
        <v>144</v>
      </c>
      <c r="C144" s="9" t="s">
        <v>1059</v>
      </c>
      <c r="D144" s="10">
        <v>46112</v>
      </c>
      <c r="E144" s="10">
        <v>46142</v>
      </c>
      <c r="F144" s="10">
        <f>净值原始!C539</f>
        <v>46112</v>
      </c>
      <c r="G144" s="10">
        <f>净值原始!C560</f>
        <v>46142</v>
      </c>
      <c r="H144" s="15">
        <f>净值原始!F539</f>
        <v>1.0227</v>
      </c>
      <c r="I144" s="15">
        <f>净值原始!F560</f>
        <v>1.036</v>
      </c>
      <c r="J144" s="11">
        <f t="shared" si="6"/>
        <v>0.0130047912388775</v>
      </c>
      <c r="K144" s="9">
        <f>IF(COUNT(F144:I144)&lt;&gt;4,0,IF(AND(G144&gt;F144,H144&gt;0,I144&gt;0,L144&lt;='Sheet1-指标体系'!$J$31,M144&lt;='Sheet1-指标体系'!$J$31),1,0))</f>
        <v>1</v>
      </c>
      <c r="L144" s="9">
        <f t="shared" si="7"/>
        <v>0</v>
      </c>
      <c r="M144" s="9">
        <f t="shared" si="8"/>
        <v>0</v>
      </c>
    </row>
    <row r="145" ht="25" customHeight="1" spans="1:13">
      <c r="A145" s="9" t="s">
        <v>145</v>
      </c>
      <c r="B145" s="9" t="s">
        <v>144</v>
      </c>
      <c r="C145" s="9" t="s">
        <v>1060</v>
      </c>
      <c r="D145" s="10">
        <v>46142</v>
      </c>
      <c r="E145" s="10">
        <v>46173</v>
      </c>
      <c r="F145" s="10">
        <f>净值原始!C560</f>
        <v>46142</v>
      </c>
      <c r="G145" s="10">
        <f>净值原始!C578</f>
        <v>46171</v>
      </c>
      <c r="H145" s="15">
        <f>净值原始!F560</f>
        <v>1.036</v>
      </c>
      <c r="I145" s="15">
        <f>净值原始!F578</f>
        <v>1.0412</v>
      </c>
      <c r="J145" s="11">
        <f t="shared" si="6"/>
        <v>0.00501930501930481</v>
      </c>
      <c r="K145" s="9">
        <f>IF(COUNT(F145:I145)&lt;&gt;4,0,IF(AND(G145&gt;F145,H145&gt;0,I145&gt;0,L145&lt;='Sheet1-指标体系'!$J$31,M145&lt;='Sheet1-指标体系'!$J$31),1,0))</f>
        <v>1</v>
      </c>
      <c r="L145" s="9">
        <f t="shared" si="7"/>
        <v>0</v>
      </c>
      <c r="M145" s="9">
        <f t="shared" si="8"/>
        <v>2</v>
      </c>
    </row>
    <row r="146" ht="25" customHeight="1" spans="1:13">
      <c r="A146" s="9" t="s">
        <v>145</v>
      </c>
      <c r="B146" s="9" t="s">
        <v>144</v>
      </c>
      <c r="C146" s="9" t="s">
        <v>1061</v>
      </c>
      <c r="D146" s="10">
        <v>46173</v>
      </c>
      <c r="E146" s="10">
        <v>46203</v>
      </c>
      <c r="F146" s="10">
        <f>净值原始!C578</f>
        <v>46171</v>
      </c>
      <c r="G146" s="10">
        <f>净值原始!C599</f>
        <v>46203</v>
      </c>
      <c r="H146" s="15">
        <f>净值原始!F578</f>
        <v>1.0412</v>
      </c>
      <c r="I146" s="15">
        <f>净值原始!F599</f>
        <v>1.0413</v>
      </c>
      <c r="J146" s="11">
        <f t="shared" si="6"/>
        <v>9.60430272762824e-5</v>
      </c>
      <c r="K146" s="9">
        <f>IF(COUNT(F146:I146)&lt;&gt;4,0,IF(AND(G146&gt;F146,H146&gt;0,I146&gt;0,L146&lt;='Sheet1-指标体系'!$J$31,M146&lt;='Sheet1-指标体系'!$J$31),1,0))</f>
        <v>1</v>
      </c>
      <c r="L146" s="9">
        <f t="shared" si="7"/>
        <v>2</v>
      </c>
      <c r="M146" s="9">
        <f t="shared" si="8"/>
        <v>0</v>
      </c>
    </row>
    <row r="147" ht="25" customHeight="1" spans="1:13">
      <c r="A147" s="9" t="s">
        <v>145</v>
      </c>
      <c r="B147" s="9" t="s">
        <v>144</v>
      </c>
      <c r="C147" s="9" t="s">
        <v>1062</v>
      </c>
      <c r="D147" s="10">
        <v>46203</v>
      </c>
      <c r="E147" s="10">
        <v>46234</v>
      </c>
      <c r="F147" s="10">
        <f>净值原始!C599</f>
        <v>46203</v>
      </c>
      <c r="G147" s="10">
        <f>净值原始!C622</f>
        <v>46234</v>
      </c>
      <c r="H147" s="15">
        <f>净值原始!F599</f>
        <v>1.0413</v>
      </c>
      <c r="I147" s="15">
        <f>净值原始!F622</f>
        <v>1.056</v>
      </c>
      <c r="J147" s="11">
        <f t="shared" si="6"/>
        <v>0.0141169691731491</v>
      </c>
      <c r="K147" s="9">
        <f>IF(COUNT(F147:I147)&lt;&gt;4,0,IF(AND(G147&gt;F147,H147&gt;0,I147&gt;0,L147&lt;='Sheet1-指标体系'!$J$31,M147&lt;='Sheet1-指标体系'!$J$31),1,0))</f>
        <v>1</v>
      </c>
      <c r="L147" s="9">
        <f t="shared" si="7"/>
        <v>0</v>
      </c>
      <c r="M147" s="9">
        <f t="shared" si="8"/>
        <v>0</v>
      </c>
    </row>
    <row r="148" ht="25" customHeight="1" spans="1:13">
      <c r="A148" s="9" t="s">
        <v>145</v>
      </c>
      <c r="B148" s="9" t="s">
        <v>144</v>
      </c>
      <c r="C148" s="9" t="s">
        <v>1063</v>
      </c>
      <c r="D148" s="10">
        <v>46234</v>
      </c>
      <c r="E148" s="10">
        <v>46265</v>
      </c>
      <c r="F148" s="10">
        <f>净值原始!C622</f>
        <v>46234</v>
      </c>
      <c r="G148" s="10">
        <f>净值原始!C643</f>
        <v>46265</v>
      </c>
      <c r="H148" s="15">
        <f>净值原始!F622</f>
        <v>1.056</v>
      </c>
      <c r="I148" s="15">
        <f>净值原始!F643</f>
        <v>1.0837</v>
      </c>
      <c r="J148" s="11">
        <f t="shared" si="6"/>
        <v>0.0262310606060607</v>
      </c>
      <c r="K148" s="9">
        <f>IF(COUNT(F148:I148)&lt;&gt;4,0,IF(AND(G148&gt;F148,H148&gt;0,I148&gt;0,L148&lt;='Sheet1-指标体系'!$J$31,M148&lt;='Sheet1-指标体系'!$J$31),1,0))</f>
        <v>1</v>
      </c>
      <c r="L148" s="9">
        <f t="shared" si="7"/>
        <v>0</v>
      </c>
      <c r="M148" s="9">
        <f t="shared" si="8"/>
        <v>0</v>
      </c>
    </row>
    <row r="149" ht="25" customHeight="1" spans="1:13">
      <c r="A149" s="9" t="s">
        <v>145</v>
      </c>
      <c r="B149" s="9" t="s">
        <v>144</v>
      </c>
      <c r="C149" s="9" t="s">
        <v>1064</v>
      </c>
      <c r="D149" s="10">
        <v>46265</v>
      </c>
      <c r="E149" s="10">
        <v>46269</v>
      </c>
      <c r="F149" s="10">
        <f>净值原始!C643</f>
        <v>46265</v>
      </c>
      <c r="G149" s="10">
        <f>净值原始!C647</f>
        <v>46269</v>
      </c>
      <c r="H149" s="15">
        <f>净值原始!F643</f>
        <v>1.0837</v>
      </c>
      <c r="I149" s="15">
        <f>净值原始!F647</f>
        <v>1.0868</v>
      </c>
      <c r="J149" s="11">
        <f t="shared" si="6"/>
        <v>0.00286057026852449</v>
      </c>
      <c r="K149" s="9">
        <f>IF(COUNT(F149:I149)&lt;&gt;4,0,IF(AND(G149&gt;F149,H149&gt;0,I149&gt;0,L149&lt;='Sheet1-指标体系'!$J$31,M149&lt;='Sheet1-指标体系'!$J$31),1,0))</f>
        <v>1</v>
      </c>
      <c r="L149" s="9">
        <f t="shared" si="7"/>
        <v>0</v>
      </c>
      <c r="M149" s="9">
        <f t="shared" si="8"/>
        <v>0</v>
      </c>
    </row>
    <row r="150" ht="25" customHeight="1" spans="1:13">
      <c r="A150" s="9" t="s">
        <v>213</v>
      </c>
      <c r="B150" s="9" t="s">
        <v>211</v>
      </c>
      <c r="C150" s="9" t="s">
        <v>1028</v>
      </c>
      <c r="D150" s="10">
        <v>45169</v>
      </c>
      <c r="E150" s="10">
        <v>45199</v>
      </c>
      <c r="F150" s="10"/>
      <c r="G150" s="10"/>
      <c r="H150" s="15"/>
      <c r="I150" s="15"/>
      <c r="J150" s="11" t="str">
        <f t="shared" si="6"/>
        <v/>
      </c>
      <c r="K150" s="9">
        <f>IF(COUNT(F150:I150)&lt;&gt;4,0,IF(AND(G150&gt;F150,H150&gt;0,I150&gt;0,L150&lt;='Sheet1-指标体系'!$J$31,M150&lt;='Sheet1-指标体系'!$J$31),1,0))</f>
        <v>0</v>
      </c>
      <c r="L150" s="9" t="str">
        <f t="shared" si="7"/>
        <v/>
      </c>
      <c r="M150" s="9" t="str">
        <f t="shared" si="8"/>
        <v/>
      </c>
    </row>
    <row r="151" ht="25" customHeight="1" spans="1:13">
      <c r="A151" s="9" t="s">
        <v>213</v>
      </c>
      <c r="B151" s="9" t="s">
        <v>211</v>
      </c>
      <c r="C151" s="9" t="s">
        <v>1029</v>
      </c>
      <c r="D151" s="10">
        <v>45199</v>
      </c>
      <c r="E151" s="10">
        <v>45230</v>
      </c>
      <c r="F151" s="10"/>
      <c r="G151" s="10"/>
      <c r="H151" s="15"/>
      <c r="I151" s="15"/>
      <c r="J151" s="11" t="str">
        <f t="shared" si="6"/>
        <v/>
      </c>
      <c r="K151" s="9">
        <f>IF(COUNT(F151:I151)&lt;&gt;4,0,IF(AND(G151&gt;F151,H151&gt;0,I151&gt;0,L151&lt;='Sheet1-指标体系'!$J$31,M151&lt;='Sheet1-指标体系'!$J$31),1,0))</f>
        <v>0</v>
      </c>
      <c r="L151" s="9" t="str">
        <f t="shared" si="7"/>
        <v/>
      </c>
      <c r="M151" s="9" t="str">
        <f t="shared" si="8"/>
        <v/>
      </c>
    </row>
    <row r="152" ht="25" customHeight="1" spans="1:13">
      <c r="A152" s="9" t="s">
        <v>213</v>
      </c>
      <c r="B152" s="9" t="s">
        <v>211</v>
      </c>
      <c r="C152" s="9" t="s">
        <v>1030</v>
      </c>
      <c r="D152" s="10">
        <v>45230</v>
      </c>
      <c r="E152" s="10">
        <v>45260</v>
      </c>
      <c r="F152" s="10"/>
      <c r="G152" s="10"/>
      <c r="H152" s="15"/>
      <c r="I152" s="15"/>
      <c r="J152" s="11" t="str">
        <f t="shared" si="6"/>
        <v/>
      </c>
      <c r="K152" s="9">
        <f>IF(COUNT(F152:I152)&lt;&gt;4,0,IF(AND(G152&gt;F152,H152&gt;0,I152&gt;0,L152&lt;='Sheet1-指标体系'!$J$31,M152&lt;='Sheet1-指标体系'!$J$31),1,0))</f>
        <v>0</v>
      </c>
      <c r="L152" s="9" t="str">
        <f t="shared" si="7"/>
        <v/>
      </c>
      <c r="M152" s="9" t="str">
        <f t="shared" si="8"/>
        <v/>
      </c>
    </row>
    <row r="153" ht="25" customHeight="1" spans="1:13">
      <c r="A153" s="9" t="s">
        <v>213</v>
      </c>
      <c r="B153" s="9" t="s">
        <v>211</v>
      </c>
      <c r="C153" s="9" t="s">
        <v>1031</v>
      </c>
      <c r="D153" s="10">
        <v>45260</v>
      </c>
      <c r="E153" s="10">
        <v>45291</v>
      </c>
      <c r="F153" s="10"/>
      <c r="G153" s="10"/>
      <c r="H153" s="15"/>
      <c r="I153" s="15"/>
      <c r="J153" s="11" t="str">
        <f t="shared" si="6"/>
        <v/>
      </c>
      <c r="K153" s="9">
        <f>IF(COUNT(F153:I153)&lt;&gt;4,0,IF(AND(G153&gt;F153,H153&gt;0,I153&gt;0,L153&lt;='Sheet1-指标体系'!$J$31,M153&lt;='Sheet1-指标体系'!$J$31),1,0))</f>
        <v>0</v>
      </c>
      <c r="L153" s="9" t="str">
        <f t="shared" si="7"/>
        <v/>
      </c>
      <c r="M153" s="9" t="str">
        <f t="shared" si="8"/>
        <v/>
      </c>
    </row>
    <row r="154" ht="25" customHeight="1" spans="1:13">
      <c r="A154" s="9" t="s">
        <v>213</v>
      </c>
      <c r="B154" s="9" t="s">
        <v>211</v>
      </c>
      <c r="C154" s="9" t="s">
        <v>1032</v>
      </c>
      <c r="D154" s="10">
        <v>45291</v>
      </c>
      <c r="E154" s="10">
        <v>45322</v>
      </c>
      <c r="F154" s="10"/>
      <c r="G154" s="10"/>
      <c r="H154" s="15"/>
      <c r="I154" s="15"/>
      <c r="J154" s="11" t="str">
        <f t="shared" si="6"/>
        <v/>
      </c>
      <c r="K154" s="9">
        <f>IF(COUNT(F154:I154)&lt;&gt;4,0,IF(AND(G154&gt;F154,H154&gt;0,I154&gt;0,L154&lt;='Sheet1-指标体系'!$J$31,M154&lt;='Sheet1-指标体系'!$J$31),1,0))</f>
        <v>0</v>
      </c>
      <c r="L154" s="9" t="str">
        <f t="shared" si="7"/>
        <v/>
      </c>
      <c r="M154" s="9" t="str">
        <f t="shared" si="8"/>
        <v/>
      </c>
    </row>
    <row r="155" ht="25" customHeight="1" spans="1:13">
      <c r="A155" s="9" t="s">
        <v>213</v>
      </c>
      <c r="B155" s="9" t="s">
        <v>211</v>
      </c>
      <c r="C155" s="9" t="s">
        <v>1033</v>
      </c>
      <c r="D155" s="10">
        <v>45322</v>
      </c>
      <c r="E155" s="10">
        <v>45351</v>
      </c>
      <c r="F155" s="10"/>
      <c r="G155" s="10"/>
      <c r="H155" s="15"/>
      <c r="I155" s="15"/>
      <c r="J155" s="11" t="str">
        <f t="shared" si="6"/>
        <v/>
      </c>
      <c r="K155" s="9">
        <f>IF(COUNT(F155:I155)&lt;&gt;4,0,IF(AND(G155&gt;F155,H155&gt;0,I155&gt;0,L155&lt;='Sheet1-指标体系'!$J$31,M155&lt;='Sheet1-指标体系'!$J$31),1,0))</f>
        <v>0</v>
      </c>
      <c r="L155" s="9" t="str">
        <f t="shared" si="7"/>
        <v/>
      </c>
      <c r="M155" s="9" t="str">
        <f t="shared" si="8"/>
        <v/>
      </c>
    </row>
    <row r="156" ht="25" customHeight="1" spans="1:13">
      <c r="A156" s="9" t="s">
        <v>213</v>
      </c>
      <c r="B156" s="9" t="s">
        <v>211</v>
      </c>
      <c r="C156" s="9" t="s">
        <v>1034</v>
      </c>
      <c r="D156" s="10">
        <v>45351</v>
      </c>
      <c r="E156" s="10">
        <v>45382</v>
      </c>
      <c r="F156" s="10"/>
      <c r="G156" s="10"/>
      <c r="H156" s="15"/>
      <c r="I156" s="15"/>
      <c r="J156" s="11" t="str">
        <f t="shared" si="6"/>
        <v/>
      </c>
      <c r="K156" s="9">
        <f>IF(COUNT(F156:I156)&lt;&gt;4,0,IF(AND(G156&gt;F156,H156&gt;0,I156&gt;0,L156&lt;='Sheet1-指标体系'!$J$31,M156&lt;='Sheet1-指标体系'!$J$31),1,0))</f>
        <v>0</v>
      </c>
      <c r="L156" s="9" t="str">
        <f t="shared" si="7"/>
        <v/>
      </c>
      <c r="M156" s="9" t="str">
        <f t="shared" si="8"/>
        <v/>
      </c>
    </row>
    <row r="157" ht="25" customHeight="1" spans="1:13">
      <c r="A157" s="9" t="s">
        <v>213</v>
      </c>
      <c r="B157" s="9" t="s">
        <v>211</v>
      </c>
      <c r="C157" s="9" t="s">
        <v>1035</v>
      </c>
      <c r="D157" s="10">
        <v>45382</v>
      </c>
      <c r="E157" s="10">
        <v>45412</v>
      </c>
      <c r="F157" s="10"/>
      <c r="G157" s="10"/>
      <c r="H157" s="15"/>
      <c r="I157" s="15"/>
      <c r="J157" s="11" t="str">
        <f t="shared" si="6"/>
        <v/>
      </c>
      <c r="K157" s="9">
        <f>IF(COUNT(F157:I157)&lt;&gt;4,0,IF(AND(G157&gt;F157,H157&gt;0,I157&gt;0,L157&lt;='Sheet1-指标体系'!$J$31,M157&lt;='Sheet1-指标体系'!$J$31),1,0))</f>
        <v>0</v>
      </c>
      <c r="L157" s="9" t="str">
        <f t="shared" si="7"/>
        <v/>
      </c>
      <c r="M157" s="9" t="str">
        <f t="shared" si="8"/>
        <v/>
      </c>
    </row>
    <row r="158" ht="25" customHeight="1" spans="1:13">
      <c r="A158" s="9" t="s">
        <v>213</v>
      </c>
      <c r="B158" s="9" t="s">
        <v>211</v>
      </c>
      <c r="C158" s="9" t="s">
        <v>1036</v>
      </c>
      <c r="D158" s="10">
        <v>45412</v>
      </c>
      <c r="E158" s="10">
        <v>45443</v>
      </c>
      <c r="F158" s="10"/>
      <c r="G158" s="10"/>
      <c r="H158" s="15"/>
      <c r="I158" s="15"/>
      <c r="J158" s="11" t="str">
        <f t="shared" si="6"/>
        <v/>
      </c>
      <c r="K158" s="9">
        <f>IF(COUNT(F158:I158)&lt;&gt;4,0,IF(AND(G158&gt;F158,H158&gt;0,I158&gt;0,L158&lt;='Sheet1-指标体系'!$J$31,M158&lt;='Sheet1-指标体系'!$J$31),1,0))</f>
        <v>0</v>
      </c>
      <c r="L158" s="9" t="str">
        <f t="shared" si="7"/>
        <v/>
      </c>
      <c r="M158" s="9" t="str">
        <f t="shared" si="8"/>
        <v/>
      </c>
    </row>
    <row r="159" ht="25" customHeight="1" spans="1:13">
      <c r="A159" s="9" t="s">
        <v>213</v>
      </c>
      <c r="B159" s="9" t="s">
        <v>211</v>
      </c>
      <c r="C159" s="9" t="s">
        <v>1037</v>
      </c>
      <c r="D159" s="10">
        <v>45443</v>
      </c>
      <c r="E159" s="10">
        <v>45473</v>
      </c>
      <c r="F159" s="10"/>
      <c r="G159" s="10"/>
      <c r="H159" s="15"/>
      <c r="I159" s="15"/>
      <c r="J159" s="11" t="str">
        <f t="shared" si="6"/>
        <v/>
      </c>
      <c r="K159" s="9">
        <f>IF(COUNT(F159:I159)&lt;&gt;4,0,IF(AND(G159&gt;F159,H159&gt;0,I159&gt;0,L159&lt;='Sheet1-指标体系'!$J$31,M159&lt;='Sheet1-指标体系'!$J$31),1,0))</f>
        <v>0</v>
      </c>
      <c r="L159" s="9" t="str">
        <f t="shared" si="7"/>
        <v/>
      </c>
      <c r="M159" s="9" t="str">
        <f t="shared" si="8"/>
        <v/>
      </c>
    </row>
    <row r="160" ht="25" customHeight="1" spans="1:13">
      <c r="A160" s="9" t="s">
        <v>213</v>
      </c>
      <c r="B160" s="9" t="s">
        <v>211</v>
      </c>
      <c r="C160" s="9" t="s">
        <v>1038</v>
      </c>
      <c r="D160" s="10">
        <v>45473</v>
      </c>
      <c r="E160" s="10">
        <v>45504</v>
      </c>
      <c r="F160" s="10"/>
      <c r="G160" s="10"/>
      <c r="H160" s="15"/>
      <c r="I160" s="15"/>
      <c r="J160" s="11" t="str">
        <f t="shared" si="6"/>
        <v/>
      </c>
      <c r="K160" s="9">
        <f>IF(COUNT(F160:I160)&lt;&gt;4,0,IF(AND(G160&gt;F160,H160&gt;0,I160&gt;0,L160&lt;='Sheet1-指标体系'!$J$31,M160&lt;='Sheet1-指标体系'!$J$31),1,0))</f>
        <v>0</v>
      </c>
      <c r="L160" s="9" t="str">
        <f t="shared" si="7"/>
        <v/>
      </c>
      <c r="M160" s="9" t="str">
        <f t="shared" si="8"/>
        <v/>
      </c>
    </row>
    <row r="161" ht="25" customHeight="1" spans="1:13">
      <c r="A161" s="9" t="s">
        <v>213</v>
      </c>
      <c r="B161" s="9" t="s">
        <v>211</v>
      </c>
      <c r="C161" s="9" t="s">
        <v>1039</v>
      </c>
      <c r="D161" s="10">
        <v>45504</v>
      </c>
      <c r="E161" s="10">
        <v>45535</v>
      </c>
      <c r="F161" s="10"/>
      <c r="G161" s="10"/>
      <c r="H161" s="15"/>
      <c r="I161" s="15"/>
      <c r="J161" s="11" t="str">
        <f t="shared" si="6"/>
        <v/>
      </c>
      <c r="K161" s="9">
        <f>IF(COUNT(F161:I161)&lt;&gt;4,0,IF(AND(G161&gt;F161,H161&gt;0,I161&gt;0,L161&lt;='Sheet1-指标体系'!$J$31,M161&lt;='Sheet1-指标体系'!$J$31),1,0))</f>
        <v>0</v>
      </c>
      <c r="L161" s="9" t="str">
        <f t="shared" si="7"/>
        <v/>
      </c>
      <c r="M161" s="9" t="str">
        <f t="shared" si="8"/>
        <v/>
      </c>
    </row>
    <row r="162" ht="25" customHeight="1" spans="1:13">
      <c r="A162" s="9" t="s">
        <v>213</v>
      </c>
      <c r="B162" s="9" t="s">
        <v>211</v>
      </c>
      <c r="C162" s="9" t="s">
        <v>1040</v>
      </c>
      <c r="D162" s="10">
        <v>45535</v>
      </c>
      <c r="E162" s="10">
        <v>45565</v>
      </c>
      <c r="F162" s="10"/>
      <c r="G162" s="10"/>
      <c r="H162" s="15"/>
      <c r="I162" s="15"/>
      <c r="J162" s="11" t="str">
        <f t="shared" si="6"/>
        <v/>
      </c>
      <c r="K162" s="9">
        <f>IF(COUNT(F162:I162)&lt;&gt;4,0,IF(AND(G162&gt;F162,H162&gt;0,I162&gt;0,L162&lt;='Sheet1-指标体系'!$J$31,M162&lt;='Sheet1-指标体系'!$J$31),1,0))</f>
        <v>0</v>
      </c>
      <c r="L162" s="9" t="str">
        <f t="shared" si="7"/>
        <v/>
      </c>
      <c r="M162" s="9" t="str">
        <f t="shared" si="8"/>
        <v/>
      </c>
    </row>
    <row r="163" ht="25" customHeight="1" spans="1:13">
      <c r="A163" s="9" t="s">
        <v>213</v>
      </c>
      <c r="B163" s="9" t="s">
        <v>211</v>
      </c>
      <c r="C163" s="9" t="s">
        <v>1041</v>
      </c>
      <c r="D163" s="10">
        <v>45565</v>
      </c>
      <c r="E163" s="10">
        <v>45596</v>
      </c>
      <c r="F163" s="10"/>
      <c r="G163" s="10"/>
      <c r="H163" s="15"/>
      <c r="I163" s="15"/>
      <c r="J163" s="11" t="str">
        <f t="shared" si="6"/>
        <v/>
      </c>
      <c r="K163" s="9">
        <f>IF(COUNT(F163:I163)&lt;&gt;4,0,IF(AND(G163&gt;F163,H163&gt;0,I163&gt;0,L163&lt;='Sheet1-指标体系'!$J$31,M163&lt;='Sheet1-指标体系'!$J$31),1,0))</f>
        <v>0</v>
      </c>
      <c r="L163" s="9" t="str">
        <f t="shared" si="7"/>
        <v/>
      </c>
      <c r="M163" s="9" t="str">
        <f t="shared" si="8"/>
        <v/>
      </c>
    </row>
    <row r="164" ht="25" customHeight="1" spans="1:13">
      <c r="A164" s="9" t="s">
        <v>213</v>
      </c>
      <c r="B164" s="9" t="s">
        <v>211</v>
      </c>
      <c r="C164" s="9" t="s">
        <v>1042</v>
      </c>
      <c r="D164" s="10">
        <v>45596</v>
      </c>
      <c r="E164" s="10">
        <v>45626</v>
      </c>
      <c r="F164" s="10"/>
      <c r="G164" s="10"/>
      <c r="H164" s="15"/>
      <c r="I164" s="15"/>
      <c r="J164" s="11" t="str">
        <f t="shared" si="6"/>
        <v/>
      </c>
      <c r="K164" s="9">
        <f>IF(COUNT(F164:I164)&lt;&gt;4,0,IF(AND(G164&gt;F164,H164&gt;0,I164&gt;0,L164&lt;='Sheet1-指标体系'!$J$31,M164&lt;='Sheet1-指标体系'!$J$31),1,0))</f>
        <v>0</v>
      </c>
      <c r="L164" s="9" t="str">
        <f t="shared" si="7"/>
        <v/>
      </c>
      <c r="M164" s="9" t="str">
        <f t="shared" si="8"/>
        <v/>
      </c>
    </row>
    <row r="165" ht="25" customHeight="1" spans="1:13">
      <c r="A165" s="9" t="s">
        <v>213</v>
      </c>
      <c r="B165" s="9" t="s">
        <v>211</v>
      </c>
      <c r="C165" s="9" t="s">
        <v>1043</v>
      </c>
      <c r="D165" s="10">
        <v>45626</v>
      </c>
      <c r="E165" s="10">
        <v>45657</v>
      </c>
      <c r="F165" s="10"/>
      <c r="G165" s="10"/>
      <c r="H165" s="15"/>
      <c r="I165" s="15"/>
      <c r="J165" s="11" t="str">
        <f t="shared" si="6"/>
        <v/>
      </c>
      <c r="K165" s="9">
        <f>IF(COUNT(F165:I165)&lt;&gt;4,0,IF(AND(G165&gt;F165,H165&gt;0,I165&gt;0,L165&lt;='Sheet1-指标体系'!$J$31,M165&lt;='Sheet1-指标体系'!$J$31),1,0))</f>
        <v>0</v>
      </c>
      <c r="L165" s="9" t="str">
        <f t="shared" si="7"/>
        <v/>
      </c>
      <c r="M165" s="9" t="str">
        <f t="shared" si="8"/>
        <v/>
      </c>
    </row>
    <row r="166" ht="25" customHeight="1" spans="1:13">
      <c r="A166" s="9" t="s">
        <v>213</v>
      </c>
      <c r="B166" s="9" t="s">
        <v>211</v>
      </c>
      <c r="C166" s="9" t="s">
        <v>1044</v>
      </c>
      <c r="D166" s="10">
        <v>45657</v>
      </c>
      <c r="E166" s="10">
        <v>45688</v>
      </c>
      <c r="F166" s="10"/>
      <c r="G166" s="10"/>
      <c r="H166" s="15"/>
      <c r="I166" s="15"/>
      <c r="J166" s="11" t="str">
        <f t="shared" si="6"/>
        <v/>
      </c>
      <c r="K166" s="9">
        <f>IF(COUNT(F166:I166)&lt;&gt;4,0,IF(AND(G166&gt;F166,H166&gt;0,I166&gt;0,L166&lt;='Sheet1-指标体系'!$J$31,M166&lt;='Sheet1-指标体系'!$J$31),1,0))</f>
        <v>0</v>
      </c>
      <c r="L166" s="9" t="str">
        <f t="shared" si="7"/>
        <v/>
      </c>
      <c r="M166" s="9" t="str">
        <f t="shared" si="8"/>
        <v/>
      </c>
    </row>
    <row r="167" ht="25" customHeight="1" spans="1:13">
      <c r="A167" s="9" t="s">
        <v>213</v>
      </c>
      <c r="B167" s="9" t="s">
        <v>211</v>
      </c>
      <c r="C167" s="9" t="s">
        <v>1045</v>
      </c>
      <c r="D167" s="10">
        <v>45688</v>
      </c>
      <c r="E167" s="10">
        <v>45716</v>
      </c>
      <c r="F167" s="10"/>
      <c r="G167" s="10"/>
      <c r="H167" s="15"/>
      <c r="I167" s="15"/>
      <c r="J167" s="11" t="str">
        <f t="shared" si="6"/>
        <v/>
      </c>
      <c r="K167" s="9">
        <f>IF(COUNT(F167:I167)&lt;&gt;4,0,IF(AND(G167&gt;F167,H167&gt;0,I167&gt;0,L167&lt;='Sheet1-指标体系'!$J$31,M167&lt;='Sheet1-指标体系'!$J$31),1,0))</f>
        <v>0</v>
      </c>
      <c r="L167" s="9" t="str">
        <f t="shared" si="7"/>
        <v/>
      </c>
      <c r="M167" s="9" t="str">
        <f t="shared" si="8"/>
        <v/>
      </c>
    </row>
    <row r="168" ht="25" customHeight="1" spans="1:13">
      <c r="A168" s="9" t="s">
        <v>213</v>
      </c>
      <c r="B168" s="9" t="s">
        <v>211</v>
      </c>
      <c r="C168" s="9" t="s">
        <v>1046</v>
      </c>
      <c r="D168" s="10">
        <v>45716</v>
      </c>
      <c r="E168" s="10">
        <v>45747</v>
      </c>
      <c r="F168" s="10"/>
      <c r="G168" s="10"/>
      <c r="H168" s="15"/>
      <c r="I168" s="15"/>
      <c r="J168" s="11" t="str">
        <f t="shared" si="6"/>
        <v/>
      </c>
      <c r="K168" s="9">
        <f>IF(COUNT(F168:I168)&lt;&gt;4,0,IF(AND(G168&gt;F168,H168&gt;0,I168&gt;0,L168&lt;='Sheet1-指标体系'!$J$31,M168&lt;='Sheet1-指标体系'!$J$31),1,0))</f>
        <v>0</v>
      </c>
      <c r="L168" s="9" t="str">
        <f t="shared" si="7"/>
        <v/>
      </c>
      <c r="M168" s="9" t="str">
        <f t="shared" si="8"/>
        <v/>
      </c>
    </row>
    <row r="169" ht="25" customHeight="1" spans="1:13">
      <c r="A169" s="9" t="s">
        <v>213</v>
      </c>
      <c r="B169" s="9" t="s">
        <v>211</v>
      </c>
      <c r="C169" s="9" t="s">
        <v>1047</v>
      </c>
      <c r="D169" s="10">
        <v>45747</v>
      </c>
      <c r="E169" s="10">
        <v>45777</v>
      </c>
      <c r="F169" s="10"/>
      <c r="G169" s="10"/>
      <c r="H169" s="15"/>
      <c r="I169" s="15"/>
      <c r="J169" s="11" t="str">
        <f t="shared" si="6"/>
        <v/>
      </c>
      <c r="K169" s="9">
        <f>IF(COUNT(F169:I169)&lt;&gt;4,0,IF(AND(G169&gt;F169,H169&gt;0,I169&gt;0,L169&lt;='Sheet1-指标体系'!$J$31,M169&lt;='Sheet1-指标体系'!$J$31),1,0))</f>
        <v>0</v>
      </c>
      <c r="L169" s="9" t="str">
        <f t="shared" si="7"/>
        <v/>
      </c>
      <c r="M169" s="9" t="str">
        <f t="shared" si="8"/>
        <v/>
      </c>
    </row>
    <row r="170" ht="25" customHeight="1" spans="1:13">
      <c r="A170" s="9" t="s">
        <v>213</v>
      </c>
      <c r="B170" s="9" t="s">
        <v>211</v>
      </c>
      <c r="C170" s="9" t="s">
        <v>1048</v>
      </c>
      <c r="D170" s="10">
        <v>45777</v>
      </c>
      <c r="E170" s="10">
        <v>45808</v>
      </c>
      <c r="F170" s="10"/>
      <c r="G170" s="10"/>
      <c r="H170" s="15"/>
      <c r="I170" s="15"/>
      <c r="J170" s="11" t="str">
        <f t="shared" si="6"/>
        <v/>
      </c>
      <c r="K170" s="9">
        <f>IF(COUNT(F170:I170)&lt;&gt;4,0,IF(AND(G170&gt;F170,H170&gt;0,I170&gt;0,L170&lt;='Sheet1-指标体系'!$J$31,M170&lt;='Sheet1-指标体系'!$J$31),1,0))</f>
        <v>0</v>
      </c>
      <c r="L170" s="9" t="str">
        <f t="shared" si="7"/>
        <v/>
      </c>
      <c r="M170" s="9" t="str">
        <f t="shared" si="8"/>
        <v/>
      </c>
    </row>
    <row r="171" ht="25" customHeight="1" spans="1:13">
      <c r="A171" s="9" t="s">
        <v>213</v>
      </c>
      <c r="B171" s="9" t="s">
        <v>211</v>
      </c>
      <c r="C171" s="9" t="s">
        <v>1049</v>
      </c>
      <c r="D171" s="10">
        <v>45808</v>
      </c>
      <c r="E171" s="10">
        <v>45838</v>
      </c>
      <c r="F171" s="10"/>
      <c r="G171" s="10"/>
      <c r="H171" s="15"/>
      <c r="I171" s="15"/>
      <c r="J171" s="11" t="str">
        <f t="shared" si="6"/>
        <v/>
      </c>
      <c r="K171" s="9">
        <f>IF(COUNT(F171:I171)&lt;&gt;4,0,IF(AND(G171&gt;F171,H171&gt;0,I171&gt;0,L171&lt;='Sheet1-指标体系'!$J$31,M171&lt;='Sheet1-指标体系'!$J$31),1,0))</f>
        <v>0</v>
      </c>
      <c r="L171" s="9" t="str">
        <f t="shared" si="7"/>
        <v/>
      </c>
      <c r="M171" s="9" t="str">
        <f t="shared" si="8"/>
        <v/>
      </c>
    </row>
    <row r="172" ht="25" customHeight="1" spans="1:13">
      <c r="A172" s="9" t="s">
        <v>213</v>
      </c>
      <c r="B172" s="9" t="s">
        <v>211</v>
      </c>
      <c r="C172" s="9" t="s">
        <v>1050</v>
      </c>
      <c r="D172" s="10">
        <v>45838</v>
      </c>
      <c r="E172" s="10">
        <v>45869</v>
      </c>
      <c r="F172" s="10"/>
      <c r="G172" s="10"/>
      <c r="H172" s="15"/>
      <c r="I172" s="15"/>
      <c r="J172" s="11" t="str">
        <f t="shared" si="6"/>
        <v/>
      </c>
      <c r="K172" s="9">
        <f>IF(COUNT(F172:I172)&lt;&gt;4,0,IF(AND(G172&gt;F172,H172&gt;0,I172&gt;0,L172&lt;='Sheet1-指标体系'!$J$31,M172&lt;='Sheet1-指标体系'!$J$31),1,0))</f>
        <v>0</v>
      </c>
      <c r="L172" s="9" t="str">
        <f t="shared" si="7"/>
        <v/>
      </c>
      <c r="M172" s="9" t="str">
        <f t="shared" si="8"/>
        <v/>
      </c>
    </row>
    <row r="173" ht="25" customHeight="1" spans="1:13">
      <c r="A173" s="9" t="s">
        <v>213</v>
      </c>
      <c r="B173" s="9" t="s">
        <v>211</v>
      </c>
      <c r="C173" s="9" t="s">
        <v>1051</v>
      </c>
      <c r="D173" s="10">
        <v>45869</v>
      </c>
      <c r="E173" s="10">
        <v>45900</v>
      </c>
      <c r="F173" s="10"/>
      <c r="G173" s="10"/>
      <c r="H173" s="15"/>
      <c r="I173" s="15"/>
      <c r="J173" s="11" t="str">
        <f t="shared" si="6"/>
        <v/>
      </c>
      <c r="K173" s="9">
        <f>IF(COUNT(F173:I173)&lt;&gt;4,0,IF(AND(G173&gt;F173,H173&gt;0,I173&gt;0,L173&lt;='Sheet1-指标体系'!$J$31,M173&lt;='Sheet1-指标体系'!$J$31),1,0))</f>
        <v>0</v>
      </c>
      <c r="L173" s="9" t="str">
        <f t="shared" si="7"/>
        <v/>
      </c>
      <c r="M173" s="9" t="str">
        <f t="shared" si="8"/>
        <v/>
      </c>
    </row>
    <row r="174" ht="25" customHeight="1" spans="1:13">
      <c r="A174" s="9" t="s">
        <v>213</v>
      </c>
      <c r="B174" s="9" t="s">
        <v>211</v>
      </c>
      <c r="C174" s="9" t="s">
        <v>1052</v>
      </c>
      <c r="D174" s="10">
        <v>45900</v>
      </c>
      <c r="E174" s="10">
        <v>45930</v>
      </c>
      <c r="F174" s="10"/>
      <c r="G174" s="10"/>
      <c r="H174" s="15"/>
      <c r="I174" s="15"/>
      <c r="J174" s="11" t="str">
        <f t="shared" si="6"/>
        <v/>
      </c>
      <c r="K174" s="9">
        <f>IF(COUNT(F174:I174)&lt;&gt;4,0,IF(AND(G174&gt;F174,H174&gt;0,I174&gt;0,L174&lt;='Sheet1-指标体系'!$J$31,M174&lt;='Sheet1-指标体系'!$J$31),1,0))</f>
        <v>0</v>
      </c>
      <c r="L174" s="9" t="str">
        <f t="shared" si="7"/>
        <v/>
      </c>
      <c r="M174" s="9" t="str">
        <f t="shared" si="8"/>
        <v/>
      </c>
    </row>
    <row r="175" ht="25" customHeight="1" spans="1:13">
      <c r="A175" s="9" t="s">
        <v>213</v>
      </c>
      <c r="B175" s="9" t="s">
        <v>211</v>
      </c>
      <c r="C175" s="9" t="s">
        <v>1053</v>
      </c>
      <c r="D175" s="10">
        <v>45930</v>
      </c>
      <c r="E175" s="10">
        <v>45961</v>
      </c>
      <c r="F175" s="10"/>
      <c r="G175" s="10"/>
      <c r="H175" s="15"/>
      <c r="I175" s="15"/>
      <c r="J175" s="11" t="str">
        <f t="shared" si="6"/>
        <v/>
      </c>
      <c r="K175" s="9">
        <f>IF(COUNT(F175:I175)&lt;&gt;4,0,IF(AND(G175&gt;F175,H175&gt;0,I175&gt;0,L175&lt;='Sheet1-指标体系'!$J$31,M175&lt;='Sheet1-指标体系'!$J$31),1,0))</f>
        <v>0</v>
      </c>
      <c r="L175" s="9" t="str">
        <f t="shared" si="7"/>
        <v/>
      </c>
      <c r="M175" s="9" t="str">
        <f t="shared" si="8"/>
        <v/>
      </c>
    </row>
    <row r="176" ht="25" customHeight="1" spans="1:13">
      <c r="A176" s="9" t="s">
        <v>213</v>
      </c>
      <c r="B176" s="9" t="s">
        <v>211</v>
      </c>
      <c r="C176" s="9" t="s">
        <v>1054</v>
      </c>
      <c r="D176" s="10">
        <v>45961</v>
      </c>
      <c r="E176" s="10">
        <v>45991</v>
      </c>
      <c r="F176" s="10"/>
      <c r="G176" s="10"/>
      <c r="H176" s="15"/>
      <c r="I176" s="15"/>
      <c r="J176" s="11" t="str">
        <f t="shared" si="6"/>
        <v/>
      </c>
      <c r="K176" s="9">
        <f>IF(COUNT(F176:I176)&lt;&gt;4,0,IF(AND(G176&gt;F176,H176&gt;0,I176&gt;0,L176&lt;='Sheet1-指标体系'!$J$31,M176&lt;='Sheet1-指标体系'!$J$31),1,0))</f>
        <v>0</v>
      </c>
      <c r="L176" s="9" t="str">
        <f t="shared" si="7"/>
        <v/>
      </c>
      <c r="M176" s="9" t="str">
        <f t="shared" si="8"/>
        <v/>
      </c>
    </row>
    <row r="177" ht="25" customHeight="1" spans="1:13">
      <c r="A177" s="9" t="s">
        <v>213</v>
      </c>
      <c r="B177" s="9" t="s">
        <v>211</v>
      </c>
      <c r="C177" s="9" t="s">
        <v>1055</v>
      </c>
      <c r="D177" s="10">
        <v>45991</v>
      </c>
      <c r="E177" s="10">
        <v>46022</v>
      </c>
      <c r="F177" s="10"/>
      <c r="G177" s="10"/>
      <c r="H177" s="15"/>
      <c r="I177" s="15"/>
      <c r="J177" s="11" t="str">
        <f t="shared" si="6"/>
        <v/>
      </c>
      <c r="K177" s="9">
        <f>IF(COUNT(F177:I177)&lt;&gt;4,0,IF(AND(G177&gt;F177,H177&gt;0,I177&gt;0,L177&lt;='Sheet1-指标体系'!$J$31,M177&lt;='Sheet1-指标体系'!$J$31),1,0))</f>
        <v>0</v>
      </c>
      <c r="L177" s="9" t="str">
        <f t="shared" si="7"/>
        <v/>
      </c>
      <c r="M177" s="9" t="str">
        <f t="shared" si="8"/>
        <v/>
      </c>
    </row>
    <row r="178" ht="25" customHeight="1" spans="1:13">
      <c r="A178" s="9" t="s">
        <v>213</v>
      </c>
      <c r="B178" s="9" t="s">
        <v>211</v>
      </c>
      <c r="C178" s="9" t="s">
        <v>1056</v>
      </c>
      <c r="D178" s="10">
        <v>46022</v>
      </c>
      <c r="E178" s="10">
        <v>46053</v>
      </c>
      <c r="F178" s="10"/>
      <c r="G178" s="10"/>
      <c r="H178" s="15"/>
      <c r="I178" s="15"/>
      <c r="J178" s="11" t="str">
        <f t="shared" si="6"/>
        <v/>
      </c>
      <c r="K178" s="9">
        <f>IF(COUNT(F178:I178)&lt;&gt;4,0,IF(AND(G178&gt;F178,H178&gt;0,I178&gt;0,L178&lt;='Sheet1-指标体系'!$J$31,M178&lt;='Sheet1-指标体系'!$J$31),1,0))</f>
        <v>0</v>
      </c>
      <c r="L178" s="9" t="str">
        <f t="shared" si="7"/>
        <v/>
      </c>
      <c r="M178" s="9" t="str">
        <f t="shared" si="8"/>
        <v/>
      </c>
    </row>
    <row r="179" ht="25" customHeight="1" spans="1:13">
      <c r="A179" s="9" t="s">
        <v>213</v>
      </c>
      <c r="B179" s="9" t="s">
        <v>211</v>
      </c>
      <c r="C179" s="9" t="s">
        <v>1057</v>
      </c>
      <c r="D179" s="10">
        <v>46053</v>
      </c>
      <c r="E179" s="10">
        <v>46081</v>
      </c>
      <c r="F179" s="10"/>
      <c r="G179" s="10"/>
      <c r="H179" s="15"/>
      <c r="I179" s="15"/>
      <c r="J179" s="11" t="str">
        <f t="shared" si="6"/>
        <v/>
      </c>
      <c r="K179" s="9">
        <f>IF(COUNT(F179:I179)&lt;&gt;4,0,IF(AND(G179&gt;F179,H179&gt;0,I179&gt;0,L179&lt;='Sheet1-指标体系'!$J$31,M179&lt;='Sheet1-指标体系'!$J$31),1,0))</f>
        <v>0</v>
      </c>
      <c r="L179" s="9" t="str">
        <f t="shared" si="7"/>
        <v/>
      </c>
      <c r="M179" s="9" t="str">
        <f t="shared" si="8"/>
        <v/>
      </c>
    </row>
    <row r="180" ht="25" customHeight="1" spans="1:13">
      <c r="A180" s="9" t="s">
        <v>213</v>
      </c>
      <c r="B180" s="9" t="s">
        <v>211</v>
      </c>
      <c r="C180" s="9" t="s">
        <v>1058</v>
      </c>
      <c r="D180" s="10">
        <v>46081</v>
      </c>
      <c r="E180" s="10">
        <v>46112</v>
      </c>
      <c r="F180" s="10"/>
      <c r="G180" s="10">
        <f>净值原始!C664</f>
        <v>46112</v>
      </c>
      <c r="H180" s="15"/>
      <c r="I180" s="15">
        <f>净值原始!F664</f>
        <v>1</v>
      </c>
      <c r="J180" s="11" t="str">
        <f t="shared" si="6"/>
        <v/>
      </c>
      <c r="K180" s="9">
        <f>IF(COUNT(F180:I180)&lt;&gt;4,0,IF(AND(G180&gt;F180,H180&gt;0,I180&gt;0,L180&lt;='Sheet1-指标体系'!$J$31,M180&lt;='Sheet1-指标体系'!$J$31),1,0))</f>
        <v>0</v>
      </c>
      <c r="L180" s="9" t="str">
        <f t="shared" si="7"/>
        <v/>
      </c>
      <c r="M180" s="9">
        <f t="shared" si="8"/>
        <v>0</v>
      </c>
    </row>
    <row r="181" ht="25" customHeight="1" spans="1:13">
      <c r="A181" s="9" t="s">
        <v>213</v>
      </c>
      <c r="B181" s="9" t="s">
        <v>211</v>
      </c>
      <c r="C181" s="9" t="s">
        <v>1059</v>
      </c>
      <c r="D181" s="10">
        <v>46112</v>
      </c>
      <c r="E181" s="10">
        <v>46142</v>
      </c>
      <c r="F181" s="10">
        <f>净值原始!C664</f>
        <v>46112</v>
      </c>
      <c r="G181" s="10">
        <f>净值原始!C685</f>
        <v>46142</v>
      </c>
      <c r="H181" s="15">
        <f>净值原始!F664</f>
        <v>1</v>
      </c>
      <c r="I181" s="15">
        <f>净值原始!F685</f>
        <v>1.0165</v>
      </c>
      <c r="J181" s="11">
        <f t="shared" si="6"/>
        <v>0.0165</v>
      </c>
      <c r="K181" s="9">
        <f>IF(COUNT(F181:I181)&lt;&gt;4,0,IF(AND(G181&gt;F181,H181&gt;0,I181&gt;0,L181&lt;='Sheet1-指标体系'!$J$31,M181&lt;='Sheet1-指标体系'!$J$31),1,0))</f>
        <v>1</v>
      </c>
      <c r="L181" s="9">
        <f t="shared" si="7"/>
        <v>0</v>
      </c>
      <c r="M181" s="9">
        <f t="shared" si="8"/>
        <v>0</v>
      </c>
    </row>
    <row r="182" ht="25" customHeight="1" spans="1:13">
      <c r="A182" s="9" t="s">
        <v>213</v>
      </c>
      <c r="B182" s="9" t="s">
        <v>211</v>
      </c>
      <c r="C182" s="9" t="s">
        <v>1060</v>
      </c>
      <c r="D182" s="10">
        <v>46142</v>
      </c>
      <c r="E182" s="10">
        <v>46173</v>
      </c>
      <c r="F182" s="10">
        <f>净值原始!C685</f>
        <v>46142</v>
      </c>
      <c r="G182" s="10">
        <f>净值原始!C703</f>
        <v>46171</v>
      </c>
      <c r="H182" s="15">
        <f>净值原始!F685</f>
        <v>1.0165</v>
      </c>
      <c r="I182" s="15">
        <f>净值原始!F703</f>
        <v>1.02</v>
      </c>
      <c r="J182" s="11">
        <f t="shared" si="6"/>
        <v>0.00344318740777183</v>
      </c>
      <c r="K182" s="9">
        <f>IF(COUNT(F182:I182)&lt;&gt;4,0,IF(AND(G182&gt;F182,H182&gt;0,I182&gt;0,L182&lt;='Sheet1-指标体系'!$J$31,M182&lt;='Sheet1-指标体系'!$J$31),1,0))</f>
        <v>1</v>
      </c>
      <c r="L182" s="9">
        <f t="shared" si="7"/>
        <v>0</v>
      </c>
      <c r="M182" s="9">
        <f t="shared" si="8"/>
        <v>2</v>
      </c>
    </row>
    <row r="183" ht="25" customHeight="1" spans="1:13">
      <c r="A183" s="9" t="s">
        <v>213</v>
      </c>
      <c r="B183" s="9" t="s">
        <v>211</v>
      </c>
      <c r="C183" s="9" t="s">
        <v>1061</v>
      </c>
      <c r="D183" s="10">
        <v>46173</v>
      </c>
      <c r="E183" s="10">
        <v>46203</v>
      </c>
      <c r="F183" s="10">
        <f>净值原始!C703</f>
        <v>46171</v>
      </c>
      <c r="G183" s="10">
        <f>净值原始!C724</f>
        <v>46203</v>
      </c>
      <c r="H183" s="15">
        <f>净值原始!F703</f>
        <v>1.02</v>
      </c>
      <c r="I183" s="15">
        <f>净值原始!F724</f>
        <v>1.0188</v>
      </c>
      <c r="J183" s="11">
        <f t="shared" si="6"/>
        <v>-0.00117647058823533</v>
      </c>
      <c r="K183" s="9">
        <f>IF(COUNT(F183:I183)&lt;&gt;4,0,IF(AND(G183&gt;F183,H183&gt;0,I183&gt;0,L183&lt;='Sheet1-指标体系'!$J$31,M183&lt;='Sheet1-指标体系'!$J$31),1,0))</f>
        <v>1</v>
      </c>
      <c r="L183" s="9">
        <f t="shared" si="7"/>
        <v>2</v>
      </c>
      <c r="M183" s="9">
        <f t="shared" si="8"/>
        <v>0</v>
      </c>
    </row>
    <row r="184" ht="25" customHeight="1" spans="1:13">
      <c r="A184" s="9" t="s">
        <v>213</v>
      </c>
      <c r="B184" s="9" t="s">
        <v>211</v>
      </c>
      <c r="C184" s="9" t="s">
        <v>1062</v>
      </c>
      <c r="D184" s="10">
        <v>46203</v>
      </c>
      <c r="E184" s="10">
        <v>46234</v>
      </c>
      <c r="F184" s="10">
        <f>净值原始!C724</f>
        <v>46203</v>
      </c>
      <c r="G184" s="10">
        <f>净值原始!C747</f>
        <v>46234</v>
      </c>
      <c r="H184" s="15">
        <f>净值原始!F724</f>
        <v>1.0188</v>
      </c>
      <c r="I184" s="15">
        <f>净值原始!F747</f>
        <v>0.9968</v>
      </c>
      <c r="J184" s="11">
        <f t="shared" si="6"/>
        <v>-0.0215940321947388</v>
      </c>
      <c r="K184" s="9">
        <f>IF(COUNT(F184:I184)&lt;&gt;4,0,IF(AND(G184&gt;F184,H184&gt;0,I184&gt;0,L184&lt;='Sheet1-指标体系'!$J$31,M184&lt;='Sheet1-指标体系'!$J$31),1,0))</f>
        <v>1</v>
      </c>
      <c r="L184" s="9">
        <f t="shared" si="7"/>
        <v>0</v>
      </c>
      <c r="M184" s="9">
        <f t="shared" si="8"/>
        <v>0</v>
      </c>
    </row>
    <row r="185" ht="25" customHeight="1" spans="1:13">
      <c r="A185" s="9" t="s">
        <v>213</v>
      </c>
      <c r="B185" s="9" t="s">
        <v>211</v>
      </c>
      <c r="C185" s="9" t="s">
        <v>1063</v>
      </c>
      <c r="D185" s="10">
        <v>46234</v>
      </c>
      <c r="E185" s="10">
        <v>46265</v>
      </c>
      <c r="F185" s="10">
        <f>净值原始!C747</f>
        <v>46234</v>
      </c>
      <c r="G185" s="10">
        <f>净值原始!C768</f>
        <v>46265</v>
      </c>
      <c r="H185" s="15">
        <f>净值原始!F747</f>
        <v>0.9968</v>
      </c>
      <c r="I185" s="15">
        <f>净值原始!F768</f>
        <v>1.0028</v>
      </c>
      <c r="J185" s="11">
        <f t="shared" si="6"/>
        <v>0.00601926163723898</v>
      </c>
      <c r="K185" s="9">
        <f>IF(COUNT(F185:I185)&lt;&gt;4,0,IF(AND(G185&gt;F185,H185&gt;0,I185&gt;0,L185&lt;='Sheet1-指标体系'!$J$31,M185&lt;='Sheet1-指标体系'!$J$31),1,0))</f>
        <v>1</v>
      </c>
      <c r="L185" s="9">
        <f t="shared" si="7"/>
        <v>0</v>
      </c>
      <c r="M185" s="9">
        <f t="shared" si="8"/>
        <v>0</v>
      </c>
    </row>
    <row r="186" ht="25" customHeight="1" spans="1:13">
      <c r="A186" s="9" t="s">
        <v>213</v>
      </c>
      <c r="B186" s="9" t="s">
        <v>211</v>
      </c>
      <c r="C186" s="9" t="s">
        <v>1064</v>
      </c>
      <c r="D186" s="10">
        <v>46265</v>
      </c>
      <c r="E186" s="10">
        <v>46269</v>
      </c>
      <c r="F186" s="10">
        <f>净值原始!C768</f>
        <v>46265</v>
      </c>
      <c r="G186" s="10">
        <f>净值原始!C772</f>
        <v>46269</v>
      </c>
      <c r="H186" s="15">
        <f>净值原始!F768</f>
        <v>1.0028</v>
      </c>
      <c r="I186" s="15">
        <f>净值原始!F772</f>
        <v>1.0018</v>
      </c>
      <c r="J186" s="11">
        <f t="shared" si="6"/>
        <v>-0.000997207818109191</v>
      </c>
      <c r="K186" s="9">
        <f>IF(COUNT(F186:I186)&lt;&gt;4,0,IF(AND(G186&gt;F186,H186&gt;0,I186&gt;0,L186&lt;='Sheet1-指标体系'!$J$31,M186&lt;='Sheet1-指标体系'!$J$31),1,0))</f>
        <v>1</v>
      </c>
      <c r="L186" s="9">
        <f t="shared" si="7"/>
        <v>0</v>
      </c>
      <c r="M186" s="9">
        <f t="shared" si="8"/>
        <v>0</v>
      </c>
    </row>
    <row r="187" ht="25" customHeight="1" spans="1:13">
      <c r="A187" s="9" t="s">
        <v>816</v>
      </c>
      <c r="B187" s="9" t="s">
        <v>518</v>
      </c>
      <c r="C187" s="9" t="s">
        <v>1028</v>
      </c>
      <c r="D187" s="10">
        <v>45169</v>
      </c>
      <c r="E187" s="10">
        <v>45199</v>
      </c>
      <c r="F187" s="10"/>
      <c r="G187" s="10"/>
      <c r="H187" s="15"/>
      <c r="I187" s="15"/>
      <c r="J187" s="11" t="str">
        <f t="shared" si="6"/>
        <v/>
      </c>
      <c r="K187" s="9">
        <f>IF(COUNT(F187:I187)&lt;&gt;4,0,IF(AND(G187&gt;F187,H187&gt;0,I187&gt;0,L187&lt;='Sheet1-指标体系'!$J$31,M187&lt;='Sheet1-指标体系'!$J$31),1,0))</f>
        <v>0</v>
      </c>
      <c r="L187" s="9" t="str">
        <f t="shared" si="7"/>
        <v/>
      </c>
      <c r="M187" s="9" t="str">
        <f t="shared" si="8"/>
        <v/>
      </c>
    </row>
    <row r="188" ht="25" customHeight="1" spans="1:13">
      <c r="A188" s="9" t="s">
        <v>816</v>
      </c>
      <c r="B188" s="9" t="s">
        <v>518</v>
      </c>
      <c r="C188" s="9" t="s">
        <v>1029</v>
      </c>
      <c r="D188" s="10">
        <v>45199</v>
      </c>
      <c r="E188" s="10">
        <v>45230</v>
      </c>
      <c r="F188" s="10"/>
      <c r="G188" s="10"/>
      <c r="H188" s="15"/>
      <c r="I188" s="15"/>
      <c r="J188" s="11" t="str">
        <f t="shared" si="6"/>
        <v/>
      </c>
      <c r="K188" s="9">
        <f>IF(COUNT(F188:I188)&lt;&gt;4,0,IF(AND(G188&gt;F188,H188&gt;0,I188&gt;0,L188&lt;='Sheet1-指标体系'!$J$31,M188&lt;='Sheet1-指标体系'!$J$31),1,0))</f>
        <v>0</v>
      </c>
      <c r="L188" s="9" t="str">
        <f t="shared" si="7"/>
        <v/>
      </c>
      <c r="M188" s="9" t="str">
        <f t="shared" si="8"/>
        <v/>
      </c>
    </row>
    <row r="189" ht="25" customHeight="1" spans="1:13">
      <c r="A189" s="9" t="s">
        <v>816</v>
      </c>
      <c r="B189" s="9" t="s">
        <v>518</v>
      </c>
      <c r="C189" s="9" t="s">
        <v>1030</v>
      </c>
      <c r="D189" s="10">
        <v>45230</v>
      </c>
      <c r="E189" s="10">
        <v>45260</v>
      </c>
      <c r="F189" s="10"/>
      <c r="G189" s="10"/>
      <c r="H189" s="15"/>
      <c r="I189" s="15"/>
      <c r="J189" s="11" t="str">
        <f t="shared" si="6"/>
        <v/>
      </c>
      <c r="K189" s="9">
        <f>IF(COUNT(F189:I189)&lt;&gt;4,0,IF(AND(G189&gt;F189,H189&gt;0,I189&gt;0,L189&lt;='Sheet1-指标体系'!$J$31,M189&lt;='Sheet1-指标体系'!$J$31),1,0))</f>
        <v>0</v>
      </c>
      <c r="L189" s="9" t="str">
        <f t="shared" si="7"/>
        <v/>
      </c>
      <c r="M189" s="9" t="str">
        <f t="shared" si="8"/>
        <v/>
      </c>
    </row>
    <row r="190" ht="25" customHeight="1" spans="1:13">
      <c r="A190" s="9" t="s">
        <v>816</v>
      </c>
      <c r="B190" s="9" t="s">
        <v>518</v>
      </c>
      <c r="C190" s="9" t="s">
        <v>1031</v>
      </c>
      <c r="D190" s="10">
        <v>45260</v>
      </c>
      <c r="E190" s="10">
        <v>45291</v>
      </c>
      <c r="F190" s="10"/>
      <c r="G190" s="10"/>
      <c r="H190" s="15"/>
      <c r="I190" s="15"/>
      <c r="J190" s="11" t="str">
        <f t="shared" si="6"/>
        <v/>
      </c>
      <c r="K190" s="9">
        <f>IF(COUNT(F190:I190)&lt;&gt;4,0,IF(AND(G190&gt;F190,H190&gt;0,I190&gt;0,L190&lt;='Sheet1-指标体系'!$J$31,M190&lt;='Sheet1-指标体系'!$J$31),1,0))</f>
        <v>0</v>
      </c>
      <c r="L190" s="9" t="str">
        <f t="shared" si="7"/>
        <v/>
      </c>
      <c r="M190" s="9" t="str">
        <f t="shared" si="8"/>
        <v/>
      </c>
    </row>
    <row r="191" ht="25" customHeight="1" spans="1:13">
      <c r="A191" s="9" t="s">
        <v>816</v>
      </c>
      <c r="B191" s="9" t="s">
        <v>518</v>
      </c>
      <c r="C191" s="9" t="s">
        <v>1032</v>
      </c>
      <c r="D191" s="10">
        <v>45291</v>
      </c>
      <c r="E191" s="10">
        <v>45322</v>
      </c>
      <c r="F191" s="10"/>
      <c r="G191" s="10"/>
      <c r="H191" s="15"/>
      <c r="I191" s="15"/>
      <c r="J191" s="11" t="str">
        <f t="shared" si="6"/>
        <v/>
      </c>
      <c r="K191" s="9">
        <f>IF(COUNT(F191:I191)&lt;&gt;4,0,IF(AND(G191&gt;F191,H191&gt;0,I191&gt;0,L191&lt;='Sheet1-指标体系'!$J$31,M191&lt;='Sheet1-指标体系'!$J$31),1,0))</f>
        <v>0</v>
      </c>
      <c r="L191" s="9" t="str">
        <f t="shared" si="7"/>
        <v/>
      </c>
      <c r="M191" s="9" t="str">
        <f t="shared" si="8"/>
        <v/>
      </c>
    </row>
    <row r="192" ht="25" customHeight="1" spans="1:13">
      <c r="A192" s="9" t="s">
        <v>816</v>
      </c>
      <c r="B192" s="9" t="s">
        <v>518</v>
      </c>
      <c r="C192" s="9" t="s">
        <v>1033</v>
      </c>
      <c r="D192" s="10">
        <v>45322</v>
      </c>
      <c r="E192" s="10">
        <v>45351</v>
      </c>
      <c r="F192" s="10"/>
      <c r="G192" s="10"/>
      <c r="H192" s="15"/>
      <c r="I192" s="15"/>
      <c r="J192" s="11" t="str">
        <f t="shared" si="6"/>
        <v/>
      </c>
      <c r="K192" s="9">
        <f>IF(COUNT(F192:I192)&lt;&gt;4,0,IF(AND(G192&gt;F192,H192&gt;0,I192&gt;0,L192&lt;='Sheet1-指标体系'!$J$31,M192&lt;='Sheet1-指标体系'!$J$31),1,0))</f>
        <v>0</v>
      </c>
      <c r="L192" s="9" t="str">
        <f t="shared" si="7"/>
        <v/>
      </c>
      <c r="M192" s="9" t="str">
        <f t="shared" si="8"/>
        <v/>
      </c>
    </row>
    <row r="193" ht="25" customHeight="1" spans="1:13">
      <c r="A193" s="9" t="s">
        <v>816</v>
      </c>
      <c r="B193" s="9" t="s">
        <v>518</v>
      </c>
      <c r="C193" s="9" t="s">
        <v>1034</v>
      </c>
      <c r="D193" s="10">
        <v>45351</v>
      </c>
      <c r="E193" s="10">
        <v>45382</v>
      </c>
      <c r="F193" s="10"/>
      <c r="G193" s="10"/>
      <c r="H193" s="15"/>
      <c r="I193" s="15"/>
      <c r="J193" s="11" t="str">
        <f t="shared" si="6"/>
        <v/>
      </c>
      <c r="K193" s="9">
        <f>IF(COUNT(F193:I193)&lt;&gt;4,0,IF(AND(G193&gt;F193,H193&gt;0,I193&gt;0,L193&lt;='Sheet1-指标体系'!$J$31,M193&lt;='Sheet1-指标体系'!$J$31),1,0))</f>
        <v>0</v>
      </c>
      <c r="L193" s="9" t="str">
        <f t="shared" si="7"/>
        <v/>
      </c>
      <c r="M193" s="9" t="str">
        <f t="shared" si="8"/>
        <v/>
      </c>
    </row>
    <row r="194" ht="25" customHeight="1" spans="1:13">
      <c r="A194" s="9" t="s">
        <v>816</v>
      </c>
      <c r="B194" s="9" t="s">
        <v>518</v>
      </c>
      <c r="C194" s="9" t="s">
        <v>1035</v>
      </c>
      <c r="D194" s="10">
        <v>45382</v>
      </c>
      <c r="E194" s="10">
        <v>45412</v>
      </c>
      <c r="F194" s="10"/>
      <c r="G194" s="10"/>
      <c r="H194" s="15"/>
      <c r="I194" s="15"/>
      <c r="J194" s="11" t="str">
        <f t="shared" ref="J194:J257" si="9">IF(K194=1,I194/H194-1,"")</f>
        <v/>
      </c>
      <c r="K194" s="9">
        <f>IF(COUNT(F194:I194)&lt;&gt;4,0,IF(AND(G194&gt;F194,H194&gt;0,I194&gt;0,L194&lt;='Sheet1-指标体系'!$J$31,M194&lt;='Sheet1-指标体系'!$J$31),1,0))</f>
        <v>0</v>
      </c>
      <c r="L194" s="9" t="str">
        <f t="shared" ref="L194:L257" si="10">IF(ISNUMBER(F194),D194-F194,"")</f>
        <v/>
      </c>
      <c r="M194" s="9" t="str">
        <f t="shared" ref="M194:M257" si="11">IF(ISNUMBER(G194),E194-G194,"")</f>
        <v/>
      </c>
    </row>
    <row r="195" ht="25" customHeight="1" spans="1:13">
      <c r="A195" s="9" t="s">
        <v>816</v>
      </c>
      <c r="B195" s="9" t="s">
        <v>518</v>
      </c>
      <c r="C195" s="9" t="s">
        <v>1036</v>
      </c>
      <c r="D195" s="10">
        <v>45412</v>
      </c>
      <c r="E195" s="10">
        <v>45443</v>
      </c>
      <c r="F195" s="10"/>
      <c r="G195" s="10"/>
      <c r="H195" s="15"/>
      <c r="I195" s="15"/>
      <c r="J195" s="11" t="str">
        <f t="shared" si="9"/>
        <v/>
      </c>
      <c r="K195" s="9">
        <f>IF(COUNT(F195:I195)&lt;&gt;4,0,IF(AND(G195&gt;F195,H195&gt;0,I195&gt;0,L195&lt;='Sheet1-指标体系'!$J$31,M195&lt;='Sheet1-指标体系'!$J$31),1,0))</f>
        <v>0</v>
      </c>
      <c r="L195" s="9" t="str">
        <f t="shared" si="10"/>
        <v/>
      </c>
      <c r="M195" s="9" t="str">
        <f t="shared" si="11"/>
        <v/>
      </c>
    </row>
    <row r="196" ht="25" customHeight="1" spans="1:13">
      <c r="A196" s="9" t="s">
        <v>816</v>
      </c>
      <c r="B196" s="9" t="s">
        <v>518</v>
      </c>
      <c r="C196" s="9" t="s">
        <v>1037</v>
      </c>
      <c r="D196" s="10">
        <v>45443</v>
      </c>
      <c r="E196" s="10">
        <v>45473</v>
      </c>
      <c r="F196" s="10"/>
      <c r="G196" s="10"/>
      <c r="H196" s="15"/>
      <c r="I196" s="15"/>
      <c r="J196" s="11" t="str">
        <f t="shared" si="9"/>
        <v/>
      </c>
      <c r="K196" s="9">
        <f>IF(COUNT(F196:I196)&lt;&gt;4,0,IF(AND(G196&gt;F196,H196&gt;0,I196&gt;0,L196&lt;='Sheet1-指标体系'!$J$31,M196&lt;='Sheet1-指标体系'!$J$31),1,0))</f>
        <v>0</v>
      </c>
      <c r="L196" s="9" t="str">
        <f t="shared" si="10"/>
        <v/>
      </c>
      <c r="M196" s="9" t="str">
        <f t="shared" si="11"/>
        <v/>
      </c>
    </row>
    <row r="197" ht="25" customHeight="1" spans="1:13">
      <c r="A197" s="9" t="s">
        <v>816</v>
      </c>
      <c r="B197" s="9" t="s">
        <v>518</v>
      </c>
      <c r="C197" s="9" t="s">
        <v>1038</v>
      </c>
      <c r="D197" s="10">
        <v>45473</v>
      </c>
      <c r="E197" s="10">
        <v>45504</v>
      </c>
      <c r="F197" s="10"/>
      <c r="G197" s="10"/>
      <c r="H197" s="15"/>
      <c r="I197" s="15"/>
      <c r="J197" s="11" t="str">
        <f t="shared" si="9"/>
        <v/>
      </c>
      <c r="K197" s="9">
        <f>IF(COUNT(F197:I197)&lt;&gt;4,0,IF(AND(G197&gt;F197,H197&gt;0,I197&gt;0,L197&lt;='Sheet1-指标体系'!$J$31,M197&lt;='Sheet1-指标体系'!$J$31),1,0))</f>
        <v>0</v>
      </c>
      <c r="L197" s="9" t="str">
        <f t="shared" si="10"/>
        <v/>
      </c>
      <c r="M197" s="9" t="str">
        <f t="shared" si="11"/>
        <v/>
      </c>
    </row>
    <row r="198" ht="25" customHeight="1" spans="1:13">
      <c r="A198" s="9" t="s">
        <v>816</v>
      </c>
      <c r="B198" s="9" t="s">
        <v>518</v>
      </c>
      <c r="C198" s="9" t="s">
        <v>1039</v>
      </c>
      <c r="D198" s="10">
        <v>45504</v>
      </c>
      <c r="E198" s="10">
        <v>45535</v>
      </c>
      <c r="F198" s="10"/>
      <c r="G198" s="10"/>
      <c r="H198" s="15"/>
      <c r="I198" s="15"/>
      <c r="J198" s="11" t="str">
        <f t="shared" si="9"/>
        <v/>
      </c>
      <c r="K198" s="9">
        <f>IF(COUNT(F198:I198)&lt;&gt;4,0,IF(AND(G198&gt;F198,H198&gt;0,I198&gt;0,L198&lt;='Sheet1-指标体系'!$J$31,M198&lt;='Sheet1-指标体系'!$J$31),1,0))</f>
        <v>0</v>
      </c>
      <c r="L198" s="9" t="str">
        <f t="shared" si="10"/>
        <v/>
      </c>
      <c r="M198" s="9" t="str">
        <f t="shared" si="11"/>
        <v/>
      </c>
    </row>
    <row r="199" ht="25" customHeight="1" spans="1:13">
      <c r="A199" s="9" t="s">
        <v>816</v>
      </c>
      <c r="B199" s="9" t="s">
        <v>518</v>
      </c>
      <c r="C199" s="9" t="s">
        <v>1040</v>
      </c>
      <c r="D199" s="10">
        <v>45535</v>
      </c>
      <c r="E199" s="10">
        <v>45565</v>
      </c>
      <c r="F199" s="10"/>
      <c r="G199" s="10"/>
      <c r="H199" s="15"/>
      <c r="I199" s="15"/>
      <c r="J199" s="11" t="str">
        <f t="shared" si="9"/>
        <v/>
      </c>
      <c r="K199" s="9">
        <f>IF(COUNT(F199:I199)&lt;&gt;4,0,IF(AND(G199&gt;F199,H199&gt;0,I199&gt;0,L199&lt;='Sheet1-指标体系'!$J$31,M199&lt;='Sheet1-指标体系'!$J$31),1,0))</f>
        <v>0</v>
      </c>
      <c r="L199" s="9" t="str">
        <f t="shared" si="10"/>
        <v/>
      </c>
      <c r="M199" s="9" t="str">
        <f t="shared" si="11"/>
        <v/>
      </c>
    </row>
    <row r="200" ht="25" customHeight="1" spans="1:13">
      <c r="A200" s="9" t="s">
        <v>816</v>
      </c>
      <c r="B200" s="9" t="s">
        <v>518</v>
      </c>
      <c r="C200" s="9" t="s">
        <v>1041</v>
      </c>
      <c r="D200" s="10">
        <v>45565</v>
      </c>
      <c r="E200" s="10">
        <v>45596</v>
      </c>
      <c r="F200" s="10"/>
      <c r="G200" s="10"/>
      <c r="H200" s="15"/>
      <c r="I200" s="15"/>
      <c r="J200" s="11" t="str">
        <f t="shared" si="9"/>
        <v/>
      </c>
      <c r="K200" s="9">
        <f>IF(COUNT(F200:I200)&lt;&gt;4,0,IF(AND(G200&gt;F200,H200&gt;0,I200&gt;0,L200&lt;='Sheet1-指标体系'!$J$31,M200&lt;='Sheet1-指标体系'!$J$31),1,0))</f>
        <v>0</v>
      </c>
      <c r="L200" s="9" t="str">
        <f t="shared" si="10"/>
        <v/>
      </c>
      <c r="M200" s="9" t="str">
        <f t="shared" si="11"/>
        <v/>
      </c>
    </row>
    <row r="201" ht="25" customHeight="1" spans="1:13">
      <c r="A201" s="9" t="s">
        <v>816</v>
      </c>
      <c r="B201" s="9" t="s">
        <v>518</v>
      </c>
      <c r="C201" s="9" t="s">
        <v>1042</v>
      </c>
      <c r="D201" s="10">
        <v>45596</v>
      </c>
      <c r="E201" s="10">
        <v>45626</v>
      </c>
      <c r="F201" s="10"/>
      <c r="G201" s="10"/>
      <c r="H201" s="15"/>
      <c r="I201" s="15"/>
      <c r="J201" s="11" t="str">
        <f t="shared" si="9"/>
        <v/>
      </c>
      <c r="K201" s="9">
        <f>IF(COUNT(F201:I201)&lt;&gt;4,0,IF(AND(G201&gt;F201,H201&gt;0,I201&gt;0,L201&lt;='Sheet1-指标体系'!$J$31,M201&lt;='Sheet1-指标体系'!$J$31),1,0))</f>
        <v>0</v>
      </c>
      <c r="L201" s="9" t="str">
        <f t="shared" si="10"/>
        <v/>
      </c>
      <c r="M201" s="9" t="str">
        <f t="shared" si="11"/>
        <v/>
      </c>
    </row>
    <row r="202" ht="25" customHeight="1" spans="1:13">
      <c r="A202" s="9" t="s">
        <v>816</v>
      </c>
      <c r="B202" s="9" t="s">
        <v>518</v>
      </c>
      <c r="C202" s="9" t="s">
        <v>1043</v>
      </c>
      <c r="D202" s="10">
        <v>45626</v>
      </c>
      <c r="E202" s="10">
        <v>45657</v>
      </c>
      <c r="F202" s="10"/>
      <c r="G202" s="10"/>
      <c r="H202" s="15"/>
      <c r="I202" s="15"/>
      <c r="J202" s="11" t="str">
        <f t="shared" si="9"/>
        <v/>
      </c>
      <c r="K202" s="9">
        <f>IF(COUNT(F202:I202)&lt;&gt;4,0,IF(AND(G202&gt;F202,H202&gt;0,I202&gt;0,L202&lt;='Sheet1-指标体系'!$J$31,M202&lt;='Sheet1-指标体系'!$J$31),1,0))</f>
        <v>0</v>
      </c>
      <c r="L202" s="9" t="str">
        <f t="shared" si="10"/>
        <v/>
      </c>
      <c r="M202" s="9" t="str">
        <f t="shared" si="11"/>
        <v/>
      </c>
    </row>
    <row r="203" ht="25" customHeight="1" spans="1:13">
      <c r="A203" s="9" t="s">
        <v>816</v>
      </c>
      <c r="B203" s="9" t="s">
        <v>518</v>
      </c>
      <c r="C203" s="9" t="s">
        <v>1044</v>
      </c>
      <c r="D203" s="10">
        <v>45657</v>
      </c>
      <c r="E203" s="10">
        <v>45688</v>
      </c>
      <c r="F203" s="10"/>
      <c r="G203" s="10">
        <f>净值原始!C779</f>
        <v>45684</v>
      </c>
      <c r="H203" s="15"/>
      <c r="I203" s="15">
        <f>净值原始!F779</f>
        <v>1.1878</v>
      </c>
      <c r="J203" s="11" t="str">
        <f t="shared" si="9"/>
        <v/>
      </c>
      <c r="K203" s="9">
        <f>IF(COUNT(F203:I203)&lt;&gt;4,0,IF(AND(G203&gt;F203,H203&gt;0,I203&gt;0,L203&lt;='Sheet1-指标体系'!$J$31,M203&lt;='Sheet1-指标体系'!$J$31),1,0))</f>
        <v>0</v>
      </c>
      <c r="L203" s="9" t="str">
        <f t="shared" si="10"/>
        <v/>
      </c>
      <c r="M203" s="9">
        <f t="shared" si="11"/>
        <v>4</v>
      </c>
    </row>
    <row r="204" ht="25" customHeight="1" spans="1:13">
      <c r="A204" s="9" t="s">
        <v>816</v>
      </c>
      <c r="B204" s="9" t="s">
        <v>518</v>
      </c>
      <c r="C204" s="9" t="s">
        <v>1045</v>
      </c>
      <c r="D204" s="10">
        <v>45688</v>
      </c>
      <c r="E204" s="10">
        <v>45716</v>
      </c>
      <c r="F204" s="10">
        <f>净值原始!C779</f>
        <v>45684</v>
      </c>
      <c r="G204" s="10">
        <f>净值原始!C783</f>
        <v>45716</v>
      </c>
      <c r="H204" s="15">
        <f>净值原始!F779</f>
        <v>1.1878</v>
      </c>
      <c r="I204" s="15">
        <f>净值原始!F783</f>
        <v>1.2019</v>
      </c>
      <c r="J204" s="11">
        <f t="shared" si="9"/>
        <v>0.0118706853005557</v>
      </c>
      <c r="K204" s="9">
        <f>IF(COUNT(F204:I204)&lt;&gt;4,0,IF(AND(G204&gt;F204,H204&gt;0,I204&gt;0,L204&lt;='Sheet1-指标体系'!$J$31,M204&lt;='Sheet1-指标体系'!$J$31),1,0))</f>
        <v>1</v>
      </c>
      <c r="L204" s="9">
        <f t="shared" si="10"/>
        <v>4</v>
      </c>
      <c r="M204" s="9">
        <f t="shared" si="11"/>
        <v>0</v>
      </c>
    </row>
    <row r="205" ht="25" customHeight="1" spans="1:13">
      <c r="A205" s="9" t="s">
        <v>816</v>
      </c>
      <c r="B205" s="9" t="s">
        <v>518</v>
      </c>
      <c r="C205" s="9" t="s">
        <v>1046</v>
      </c>
      <c r="D205" s="10">
        <v>45716</v>
      </c>
      <c r="E205" s="10">
        <v>45747</v>
      </c>
      <c r="F205" s="10">
        <f>净值原始!C783</f>
        <v>45716</v>
      </c>
      <c r="G205" s="10">
        <f>净值原始!C787</f>
        <v>45744</v>
      </c>
      <c r="H205" s="15">
        <f>净值原始!F783</f>
        <v>1.2019</v>
      </c>
      <c r="I205" s="15">
        <f>净值原始!F787</f>
        <v>1.2136</v>
      </c>
      <c r="J205" s="11">
        <f t="shared" si="9"/>
        <v>0.00973458690406859</v>
      </c>
      <c r="K205" s="9">
        <f>IF(COUNT(F205:I205)&lt;&gt;4,0,IF(AND(G205&gt;F205,H205&gt;0,I205&gt;0,L205&lt;='Sheet1-指标体系'!$J$31,M205&lt;='Sheet1-指标体系'!$J$31),1,0))</f>
        <v>1</v>
      </c>
      <c r="L205" s="9">
        <f t="shared" si="10"/>
        <v>0</v>
      </c>
      <c r="M205" s="9">
        <f t="shared" si="11"/>
        <v>3</v>
      </c>
    </row>
    <row r="206" ht="25" customHeight="1" spans="1:13">
      <c r="A206" s="9" t="s">
        <v>816</v>
      </c>
      <c r="B206" s="9" t="s">
        <v>518</v>
      </c>
      <c r="C206" s="9" t="s">
        <v>1047</v>
      </c>
      <c r="D206" s="10">
        <v>45747</v>
      </c>
      <c r="E206" s="10">
        <v>45777</v>
      </c>
      <c r="F206" s="10">
        <f>净值原始!C787</f>
        <v>45744</v>
      </c>
      <c r="G206" s="10">
        <f>净值原始!C792</f>
        <v>45777</v>
      </c>
      <c r="H206" s="15">
        <f>净值原始!F787</f>
        <v>1.2136</v>
      </c>
      <c r="I206" s="15">
        <f>净值原始!F792</f>
        <v>1.2978</v>
      </c>
      <c r="J206" s="11">
        <f t="shared" si="9"/>
        <v>0.0693803559657218</v>
      </c>
      <c r="K206" s="9">
        <f>IF(COUNT(F206:I206)&lt;&gt;4,0,IF(AND(G206&gt;F206,H206&gt;0,I206&gt;0,L206&lt;='Sheet1-指标体系'!$J$31,M206&lt;='Sheet1-指标体系'!$J$31),1,0))</f>
        <v>1</v>
      </c>
      <c r="L206" s="9">
        <f t="shared" si="10"/>
        <v>3</v>
      </c>
      <c r="M206" s="9">
        <f t="shared" si="11"/>
        <v>0</v>
      </c>
    </row>
    <row r="207" ht="25" customHeight="1" spans="1:13">
      <c r="A207" s="9" t="s">
        <v>816</v>
      </c>
      <c r="B207" s="9" t="s">
        <v>518</v>
      </c>
      <c r="C207" s="9" t="s">
        <v>1048</v>
      </c>
      <c r="D207" s="10">
        <v>45777</v>
      </c>
      <c r="E207" s="10">
        <v>45808</v>
      </c>
      <c r="F207" s="10">
        <f>净值原始!C792</f>
        <v>45777</v>
      </c>
      <c r="G207" s="10">
        <f>净值原始!C796</f>
        <v>45807</v>
      </c>
      <c r="H207" s="15">
        <f>净值原始!F792</f>
        <v>1.2978</v>
      </c>
      <c r="I207" s="15">
        <f>净值原始!F796</f>
        <v>1.3058</v>
      </c>
      <c r="J207" s="11">
        <f t="shared" si="9"/>
        <v>0.00616427800893815</v>
      </c>
      <c r="K207" s="9">
        <f>IF(COUNT(F207:I207)&lt;&gt;4,0,IF(AND(G207&gt;F207,H207&gt;0,I207&gt;0,L207&lt;='Sheet1-指标体系'!$J$31,M207&lt;='Sheet1-指标体系'!$J$31),1,0))</f>
        <v>1</v>
      </c>
      <c r="L207" s="9">
        <f t="shared" si="10"/>
        <v>0</v>
      </c>
      <c r="M207" s="9">
        <f t="shared" si="11"/>
        <v>1</v>
      </c>
    </row>
    <row r="208" ht="25" customHeight="1" spans="1:13">
      <c r="A208" s="9" t="s">
        <v>816</v>
      </c>
      <c r="B208" s="9" t="s">
        <v>518</v>
      </c>
      <c r="C208" s="9" t="s">
        <v>1049</v>
      </c>
      <c r="D208" s="10">
        <v>45808</v>
      </c>
      <c r="E208" s="10">
        <v>45838</v>
      </c>
      <c r="F208" s="10">
        <f>净值原始!C796</f>
        <v>45807</v>
      </c>
      <c r="G208" s="10">
        <f>净值原始!C800</f>
        <v>45835</v>
      </c>
      <c r="H208" s="15">
        <f>净值原始!F796</f>
        <v>1.3058</v>
      </c>
      <c r="I208" s="15">
        <f>净值原始!F800</f>
        <v>1.3041</v>
      </c>
      <c r="J208" s="11">
        <f t="shared" si="9"/>
        <v>-0.00130188390258845</v>
      </c>
      <c r="K208" s="9">
        <f>IF(COUNT(F208:I208)&lt;&gt;4,0,IF(AND(G208&gt;F208,H208&gt;0,I208&gt;0,L208&lt;='Sheet1-指标体系'!$J$31,M208&lt;='Sheet1-指标体系'!$J$31),1,0))</f>
        <v>1</v>
      </c>
      <c r="L208" s="9">
        <f t="shared" si="10"/>
        <v>1</v>
      </c>
      <c r="M208" s="9">
        <f t="shared" si="11"/>
        <v>3</v>
      </c>
    </row>
    <row r="209" ht="25" customHeight="1" spans="1:13">
      <c r="A209" s="9" t="s">
        <v>816</v>
      </c>
      <c r="B209" s="9" t="s">
        <v>518</v>
      </c>
      <c r="C209" s="9" t="s">
        <v>1050</v>
      </c>
      <c r="D209" s="10">
        <v>45838</v>
      </c>
      <c r="E209" s="10">
        <v>45869</v>
      </c>
      <c r="F209" s="10">
        <f>净值原始!C800</f>
        <v>45835</v>
      </c>
      <c r="G209" s="10">
        <f>净值原始!C804</f>
        <v>45863</v>
      </c>
      <c r="H209" s="15">
        <f>净值原始!F800</f>
        <v>1.3041</v>
      </c>
      <c r="I209" s="15">
        <f>净值原始!F804</f>
        <v>1.3168</v>
      </c>
      <c r="J209" s="11">
        <f t="shared" si="9"/>
        <v>0.00973851698489381</v>
      </c>
      <c r="K209" s="9">
        <f>IF(COUNT(F209:I209)&lt;&gt;4,0,IF(AND(G209&gt;F209,H209&gt;0,I209&gt;0,L209&lt;='Sheet1-指标体系'!$J$31,M209&lt;='Sheet1-指标体系'!$J$31),1,0))</f>
        <v>1</v>
      </c>
      <c r="L209" s="9">
        <f t="shared" si="10"/>
        <v>3</v>
      </c>
      <c r="M209" s="9">
        <f t="shared" si="11"/>
        <v>6</v>
      </c>
    </row>
    <row r="210" ht="25" customHeight="1" spans="1:13">
      <c r="A210" s="9" t="s">
        <v>816</v>
      </c>
      <c r="B210" s="9" t="s">
        <v>518</v>
      </c>
      <c r="C210" s="9" t="s">
        <v>1051</v>
      </c>
      <c r="D210" s="10">
        <v>45869</v>
      </c>
      <c r="E210" s="10">
        <v>45900</v>
      </c>
      <c r="F210" s="10">
        <f>净值原始!C804</f>
        <v>45863</v>
      </c>
      <c r="G210" s="10">
        <f>净值原始!C809</f>
        <v>45898</v>
      </c>
      <c r="H210" s="15">
        <f>净值原始!F804</f>
        <v>1.3168</v>
      </c>
      <c r="I210" s="15">
        <f>净值原始!F809</f>
        <v>1.3326</v>
      </c>
      <c r="J210" s="11">
        <f t="shared" si="9"/>
        <v>0.0119987849331713</v>
      </c>
      <c r="K210" s="9">
        <f>IF(COUNT(F210:I210)&lt;&gt;4,0,IF(AND(G210&gt;F210,H210&gt;0,I210&gt;0,L210&lt;='Sheet1-指标体系'!$J$31,M210&lt;='Sheet1-指标体系'!$J$31),1,0))</f>
        <v>1</v>
      </c>
      <c r="L210" s="9">
        <f t="shared" si="10"/>
        <v>6</v>
      </c>
      <c r="M210" s="9">
        <f t="shared" si="11"/>
        <v>2</v>
      </c>
    </row>
    <row r="211" ht="25" customHeight="1" spans="1:13">
      <c r="A211" s="9" t="s">
        <v>816</v>
      </c>
      <c r="B211" s="9" t="s">
        <v>518</v>
      </c>
      <c r="C211" s="9" t="s">
        <v>1052</v>
      </c>
      <c r="D211" s="10">
        <v>45900</v>
      </c>
      <c r="E211" s="10">
        <v>45930</v>
      </c>
      <c r="F211" s="10">
        <f>净值原始!C809</f>
        <v>45898</v>
      </c>
      <c r="G211" s="10">
        <f>净值原始!C814</f>
        <v>45930</v>
      </c>
      <c r="H211" s="15">
        <f>净值原始!F809</f>
        <v>1.3326</v>
      </c>
      <c r="I211" s="15">
        <f>净值原始!F814</f>
        <v>1.3634</v>
      </c>
      <c r="J211" s="11">
        <f t="shared" si="9"/>
        <v>0.0231127119915953</v>
      </c>
      <c r="K211" s="9">
        <f>IF(COUNT(F211:I211)&lt;&gt;4,0,IF(AND(G211&gt;F211,H211&gt;0,I211&gt;0,L211&lt;='Sheet1-指标体系'!$J$31,M211&lt;='Sheet1-指标体系'!$J$31),1,0))</f>
        <v>1</v>
      </c>
      <c r="L211" s="9">
        <f t="shared" si="10"/>
        <v>2</v>
      </c>
      <c r="M211" s="9">
        <f t="shared" si="11"/>
        <v>0</v>
      </c>
    </row>
    <row r="212" ht="25" customHeight="1" spans="1:13">
      <c r="A212" s="9" t="s">
        <v>816</v>
      </c>
      <c r="B212" s="9" t="s">
        <v>518</v>
      </c>
      <c r="C212" s="9" t="s">
        <v>1053</v>
      </c>
      <c r="D212" s="10">
        <v>45930</v>
      </c>
      <c r="E212" s="10">
        <v>45961</v>
      </c>
      <c r="F212" s="10">
        <f>净值原始!C814</f>
        <v>45930</v>
      </c>
      <c r="G212" s="10">
        <f>净值原始!C818</f>
        <v>45961</v>
      </c>
      <c r="H212" s="15">
        <f>净值原始!F814</f>
        <v>1.3634</v>
      </c>
      <c r="I212" s="15">
        <f>净值原始!F818</f>
        <v>1.3985</v>
      </c>
      <c r="J212" s="11">
        <f t="shared" si="9"/>
        <v>0.0257444623734782</v>
      </c>
      <c r="K212" s="9">
        <f>IF(COUNT(F212:I212)&lt;&gt;4,0,IF(AND(G212&gt;F212,H212&gt;0,I212&gt;0,L212&lt;='Sheet1-指标体系'!$J$31,M212&lt;='Sheet1-指标体系'!$J$31),1,0))</f>
        <v>1</v>
      </c>
      <c r="L212" s="9">
        <f t="shared" si="10"/>
        <v>0</v>
      </c>
      <c r="M212" s="9">
        <f t="shared" si="11"/>
        <v>0</v>
      </c>
    </row>
    <row r="213" ht="25" customHeight="1" spans="1:13">
      <c r="A213" s="9" t="s">
        <v>816</v>
      </c>
      <c r="B213" s="9" t="s">
        <v>518</v>
      </c>
      <c r="C213" s="9" t="s">
        <v>1054</v>
      </c>
      <c r="D213" s="10">
        <v>45961</v>
      </c>
      <c r="E213" s="10">
        <v>45991</v>
      </c>
      <c r="F213" s="10">
        <f>净值原始!C818</f>
        <v>45961</v>
      </c>
      <c r="G213" s="10">
        <f>净值原始!C822</f>
        <v>45989</v>
      </c>
      <c r="H213" s="15">
        <f>净值原始!F818</f>
        <v>1.3985</v>
      </c>
      <c r="I213" s="15">
        <f>净值原始!F822</f>
        <v>1.4258</v>
      </c>
      <c r="J213" s="11">
        <f t="shared" si="9"/>
        <v>0.0195209152663567</v>
      </c>
      <c r="K213" s="9">
        <f>IF(COUNT(F213:I213)&lt;&gt;4,0,IF(AND(G213&gt;F213,H213&gt;0,I213&gt;0,L213&lt;='Sheet1-指标体系'!$J$31,M213&lt;='Sheet1-指标体系'!$J$31),1,0))</f>
        <v>1</v>
      </c>
      <c r="L213" s="9">
        <f t="shared" si="10"/>
        <v>0</v>
      </c>
      <c r="M213" s="9">
        <f t="shared" si="11"/>
        <v>2</v>
      </c>
    </row>
    <row r="214" ht="25" customHeight="1" spans="1:13">
      <c r="A214" s="9" t="s">
        <v>816</v>
      </c>
      <c r="B214" s="9" t="s">
        <v>518</v>
      </c>
      <c r="C214" s="9" t="s">
        <v>1055</v>
      </c>
      <c r="D214" s="10">
        <v>45991</v>
      </c>
      <c r="E214" s="10">
        <v>46022</v>
      </c>
      <c r="F214" s="10">
        <f>净值原始!C822</f>
        <v>45989</v>
      </c>
      <c r="G214" s="10">
        <f>净值原始!C827</f>
        <v>46022</v>
      </c>
      <c r="H214" s="15">
        <f>净值原始!F822</f>
        <v>1.4258</v>
      </c>
      <c r="I214" s="15">
        <f>净值原始!F827</f>
        <v>1.4413</v>
      </c>
      <c r="J214" s="11">
        <f t="shared" si="9"/>
        <v>0.010871089914434</v>
      </c>
      <c r="K214" s="9">
        <f>IF(COUNT(F214:I214)&lt;&gt;4,0,IF(AND(G214&gt;F214,H214&gt;0,I214&gt;0,L214&lt;='Sheet1-指标体系'!$J$31,M214&lt;='Sheet1-指标体系'!$J$31),1,0))</f>
        <v>1</v>
      </c>
      <c r="L214" s="9">
        <f t="shared" si="10"/>
        <v>2</v>
      </c>
      <c r="M214" s="9">
        <f t="shared" si="11"/>
        <v>0</v>
      </c>
    </row>
    <row r="215" ht="25" customHeight="1" spans="1:13">
      <c r="A215" s="9" t="s">
        <v>816</v>
      </c>
      <c r="B215" s="9" t="s">
        <v>518</v>
      </c>
      <c r="C215" s="9" t="s">
        <v>1056</v>
      </c>
      <c r="D215" s="10">
        <v>46022</v>
      </c>
      <c r="E215" s="10">
        <v>46053</v>
      </c>
      <c r="F215" s="10">
        <f>净值原始!C827</f>
        <v>46022</v>
      </c>
      <c r="G215" s="10">
        <f>净值原始!C831</f>
        <v>46052</v>
      </c>
      <c r="H215" s="15">
        <f>净值原始!F827</f>
        <v>1.4413</v>
      </c>
      <c r="I215" s="15">
        <f>净值原始!F831</f>
        <v>1.4559</v>
      </c>
      <c r="J215" s="11">
        <f t="shared" si="9"/>
        <v>0.0101297439811281</v>
      </c>
      <c r="K215" s="9">
        <f>IF(COUNT(F215:I215)&lt;&gt;4,0,IF(AND(G215&gt;F215,H215&gt;0,I215&gt;0,L215&lt;='Sheet1-指标体系'!$J$31,M215&lt;='Sheet1-指标体系'!$J$31),1,0))</f>
        <v>1</v>
      </c>
      <c r="L215" s="9">
        <f t="shared" si="10"/>
        <v>0</v>
      </c>
      <c r="M215" s="9">
        <f t="shared" si="11"/>
        <v>1</v>
      </c>
    </row>
    <row r="216" ht="25" customHeight="1" spans="1:13">
      <c r="A216" s="9" t="s">
        <v>816</v>
      </c>
      <c r="B216" s="9" t="s">
        <v>518</v>
      </c>
      <c r="C216" s="9" t="s">
        <v>1057</v>
      </c>
      <c r="D216" s="10">
        <v>46053</v>
      </c>
      <c r="E216" s="10">
        <v>46081</v>
      </c>
      <c r="F216" s="10">
        <f>净值原始!C831</f>
        <v>46052</v>
      </c>
      <c r="G216" s="10">
        <f>净值原始!C834</f>
        <v>46080</v>
      </c>
      <c r="H216" s="15">
        <f>净值原始!F831</f>
        <v>1.4559</v>
      </c>
      <c r="I216" s="15">
        <f>净值原始!F834</f>
        <v>1.4835</v>
      </c>
      <c r="J216" s="11">
        <f t="shared" si="9"/>
        <v>0.018957345971564</v>
      </c>
      <c r="K216" s="9">
        <f>IF(COUNT(F216:I216)&lt;&gt;4,0,IF(AND(G216&gt;F216,H216&gt;0,I216&gt;0,L216&lt;='Sheet1-指标体系'!$J$31,M216&lt;='Sheet1-指标体系'!$J$31),1,0))</f>
        <v>1</v>
      </c>
      <c r="L216" s="9">
        <f t="shared" si="10"/>
        <v>1</v>
      </c>
      <c r="M216" s="9">
        <f t="shared" si="11"/>
        <v>1</v>
      </c>
    </row>
    <row r="217" ht="25" customHeight="1" spans="1:13">
      <c r="A217" s="9" t="s">
        <v>816</v>
      </c>
      <c r="B217" s="9" t="s">
        <v>518</v>
      </c>
      <c r="C217" s="9" t="s">
        <v>1058</v>
      </c>
      <c r="D217" s="10">
        <v>46081</v>
      </c>
      <c r="E217" s="10">
        <v>46112</v>
      </c>
      <c r="F217" s="10">
        <f>净值原始!C834</f>
        <v>46080</v>
      </c>
      <c r="G217" s="10">
        <f>净值原始!C838</f>
        <v>46108</v>
      </c>
      <c r="H217" s="15">
        <f>净值原始!F834</f>
        <v>1.4835</v>
      </c>
      <c r="I217" s="15">
        <f>净值原始!F838</f>
        <v>1.5376</v>
      </c>
      <c r="J217" s="11">
        <f t="shared" si="9"/>
        <v>0.0364678126053253</v>
      </c>
      <c r="K217" s="9">
        <f>IF(COUNT(F217:I217)&lt;&gt;4,0,IF(AND(G217&gt;F217,H217&gt;0,I217&gt;0,L217&lt;='Sheet1-指标体系'!$J$31,M217&lt;='Sheet1-指标体系'!$J$31),1,0))</f>
        <v>1</v>
      </c>
      <c r="L217" s="9">
        <f t="shared" si="10"/>
        <v>1</v>
      </c>
      <c r="M217" s="9">
        <f t="shared" si="11"/>
        <v>4</v>
      </c>
    </row>
    <row r="218" ht="25" customHeight="1" spans="1:13">
      <c r="A218" s="9" t="s">
        <v>816</v>
      </c>
      <c r="B218" s="9" t="s">
        <v>518</v>
      </c>
      <c r="C218" s="9" t="s">
        <v>1059</v>
      </c>
      <c r="D218" s="10">
        <v>46112</v>
      </c>
      <c r="E218" s="10">
        <v>46142</v>
      </c>
      <c r="F218" s="10">
        <f>净值原始!C838</f>
        <v>46108</v>
      </c>
      <c r="G218" s="10">
        <f>净值原始!C843</f>
        <v>46142</v>
      </c>
      <c r="H218" s="15">
        <f>净值原始!F838</f>
        <v>1.5376</v>
      </c>
      <c r="I218" s="15">
        <f>净值原始!F843</f>
        <v>1.5713</v>
      </c>
      <c r="J218" s="11">
        <f t="shared" si="9"/>
        <v>0.0219172736732569</v>
      </c>
      <c r="K218" s="9">
        <f>IF(COUNT(F218:I218)&lt;&gt;4,0,IF(AND(G218&gt;F218,H218&gt;0,I218&gt;0,L218&lt;='Sheet1-指标体系'!$J$31,M218&lt;='Sheet1-指标体系'!$J$31),1,0))</f>
        <v>1</v>
      </c>
      <c r="L218" s="9">
        <f t="shared" si="10"/>
        <v>4</v>
      </c>
      <c r="M218" s="9">
        <f t="shared" si="11"/>
        <v>0</v>
      </c>
    </row>
    <row r="219" ht="25" customHeight="1" spans="1:13">
      <c r="A219" s="9" t="s">
        <v>816</v>
      </c>
      <c r="B219" s="9" t="s">
        <v>518</v>
      </c>
      <c r="C219" s="9" t="s">
        <v>1060</v>
      </c>
      <c r="D219" s="10">
        <v>46142</v>
      </c>
      <c r="E219" s="10">
        <v>46173</v>
      </c>
      <c r="F219" s="10">
        <f>净值原始!C843</f>
        <v>46142</v>
      </c>
      <c r="G219" s="10">
        <f>净值原始!C847</f>
        <v>46171</v>
      </c>
      <c r="H219" s="15">
        <f>净值原始!F843</f>
        <v>1.5713</v>
      </c>
      <c r="I219" s="15">
        <f>净值原始!F847</f>
        <v>1.6032</v>
      </c>
      <c r="J219" s="11">
        <f t="shared" si="9"/>
        <v>0.0203016610449946</v>
      </c>
      <c r="K219" s="9">
        <f>IF(COUNT(F219:I219)&lt;&gt;4,0,IF(AND(G219&gt;F219,H219&gt;0,I219&gt;0,L219&lt;='Sheet1-指标体系'!$J$31,M219&lt;='Sheet1-指标体系'!$J$31),1,0))</f>
        <v>1</v>
      </c>
      <c r="L219" s="9">
        <f t="shared" si="10"/>
        <v>0</v>
      </c>
      <c r="M219" s="9">
        <f t="shared" si="11"/>
        <v>2</v>
      </c>
    </row>
    <row r="220" ht="25" customHeight="1" spans="1:13">
      <c r="A220" s="9" t="s">
        <v>816</v>
      </c>
      <c r="B220" s="9" t="s">
        <v>518</v>
      </c>
      <c r="C220" s="9" t="s">
        <v>1061</v>
      </c>
      <c r="D220" s="10">
        <v>46173</v>
      </c>
      <c r="E220" s="10">
        <v>46203</v>
      </c>
      <c r="F220" s="10">
        <f>净值原始!C847</f>
        <v>46171</v>
      </c>
      <c r="G220" s="10">
        <f>净值原始!C851</f>
        <v>46199</v>
      </c>
      <c r="H220" s="15">
        <f>净值原始!F847</f>
        <v>1.6032</v>
      </c>
      <c r="I220" s="15">
        <f>净值原始!F851</f>
        <v>1.6491</v>
      </c>
      <c r="J220" s="11">
        <f t="shared" si="9"/>
        <v>0.0286302395209581</v>
      </c>
      <c r="K220" s="9">
        <f>IF(COUNT(F220:I220)&lt;&gt;4,0,IF(AND(G220&gt;F220,H220&gt;0,I220&gt;0,L220&lt;='Sheet1-指标体系'!$J$31,M220&lt;='Sheet1-指标体系'!$J$31),1,0))</f>
        <v>1</v>
      </c>
      <c r="L220" s="9">
        <f t="shared" si="10"/>
        <v>2</v>
      </c>
      <c r="M220" s="9">
        <f t="shared" si="11"/>
        <v>4</v>
      </c>
    </row>
    <row r="221" ht="25" customHeight="1" spans="1:13">
      <c r="A221" s="9" t="s">
        <v>816</v>
      </c>
      <c r="B221" s="9" t="s">
        <v>518</v>
      </c>
      <c r="C221" s="9" t="s">
        <v>1062</v>
      </c>
      <c r="D221" s="10">
        <v>46203</v>
      </c>
      <c r="E221" s="10">
        <v>46234</v>
      </c>
      <c r="F221" s="10">
        <f>净值原始!C851</f>
        <v>46199</v>
      </c>
      <c r="G221" s="10">
        <f>净值原始!C856</f>
        <v>46234</v>
      </c>
      <c r="H221" s="15">
        <f>净值原始!F851</f>
        <v>1.6491</v>
      </c>
      <c r="I221" s="15">
        <f>净值原始!F856</f>
        <v>1.6563</v>
      </c>
      <c r="J221" s="11">
        <f t="shared" si="9"/>
        <v>0.00436601782790613</v>
      </c>
      <c r="K221" s="9">
        <f>IF(COUNT(F221:I221)&lt;&gt;4,0,IF(AND(G221&gt;F221,H221&gt;0,I221&gt;0,L221&lt;='Sheet1-指标体系'!$J$31,M221&lt;='Sheet1-指标体系'!$J$31),1,0))</f>
        <v>1</v>
      </c>
      <c r="L221" s="9">
        <f t="shared" si="10"/>
        <v>4</v>
      </c>
      <c r="M221" s="9">
        <f t="shared" si="11"/>
        <v>0</v>
      </c>
    </row>
    <row r="222" ht="25" customHeight="1" spans="1:13">
      <c r="A222" s="9" t="s">
        <v>816</v>
      </c>
      <c r="B222" s="9" t="s">
        <v>518</v>
      </c>
      <c r="C222" s="9" t="s">
        <v>1063</v>
      </c>
      <c r="D222" s="10">
        <v>46234</v>
      </c>
      <c r="E222" s="10">
        <v>46265</v>
      </c>
      <c r="F222" s="10">
        <f>净值原始!C856</f>
        <v>46234</v>
      </c>
      <c r="G222" s="10">
        <f>净值原始!C860</f>
        <v>46262</v>
      </c>
      <c r="H222" s="15">
        <f>净值原始!F856</f>
        <v>1.6563</v>
      </c>
      <c r="I222" s="15">
        <f>净值原始!F860</f>
        <v>1.6751</v>
      </c>
      <c r="J222" s="11">
        <f t="shared" si="9"/>
        <v>0.0113506007365816</v>
      </c>
      <c r="K222" s="9">
        <f>IF(COUNT(F222:I222)&lt;&gt;4,0,IF(AND(G222&gt;F222,H222&gt;0,I222&gt;0,L222&lt;='Sheet1-指标体系'!$J$31,M222&lt;='Sheet1-指标体系'!$J$31),1,0))</f>
        <v>1</v>
      </c>
      <c r="L222" s="9">
        <f t="shared" si="10"/>
        <v>0</v>
      </c>
      <c r="M222" s="9">
        <f t="shared" si="11"/>
        <v>3</v>
      </c>
    </row>
    <row r="223" ht="25" customHeight="1" spans="1:13">
      <c r="A223" s="9" t="s">
        <v>816</v>
      </c>
      <c r="B223" s="9" t="s">
        <v>518</v>
      </c>
      <c r="C223" s="9" t="s">
        <v>1064</v>
      </c>
      <c r="D223" s="10">
        <v>46265</v>
      </c>
      <c r="E223" s="10">
        <v>46269</v>
      </c>
      <c r="F223" s="10">
        <f>净值原始!C860</f>
        <v>46262</v>
      </c>
      <c r="G223" s="10">
        <f>净值原始!C861</f>
        <v>46269</v>
      </c>
      <c r="H223" s="15">
        <f>净值原始!F860</f>
        <v>1.6751</v>
      </c>
      <c r="I223" s="15">
        <f>净值原始!F861</f>
        <v>1.6776</v>
      </c>
      <c r="J223" s="11">
        <f t="shared" si="9"/>
        <v>0.00149244821204708</v>
      </c>
      <c r="K223" s="9">
        <f>IF(COUNT(F223:I223)&lt;&gt;4,0,IF(AND(G223&gt;F223,H223&gt;0,I223&gt;0,L223&lt;='Sheet1-指标体系'!$J$31,M223&lt;='Sheet1-指标体系'!$J$31),1,0))</f>
        <v>1</v>
      </c>
      <c r="L223" s="9">
        <f t="shared" si="10"/>
        <v>3</v>
      </c>
      <c r="M223" s="9">
        <f t="shared" si="11"/>
        <v>0</v>
      </c>
    </row>
    <row r="224" ht="25" customHeight="1" spans="1:13">
      <c r="A224" s="9" t="s">
        <v>477</v>
      </c>
      <c r="B224" s="9" t="s">
        <v>476</v>
      </c>
      <c r="C224" s="9" t="s">
        <v>1028</v>
      </c>
      <c r="D224" s="10">
        <v>45169</v>
      </c>
      <c r="E224" s="10">
        <v>45199</v>
      </c>
      <c r="F224" s="10"/>
      <c r="G224" s="10"/>
      <c r="H224" s="15"/>
      <c r="I224" s="15"/>
      <c r="J224" s="11" t="str">
        <f t="shared" si="9"/>
        <v/>
      </c>
      <c r="K224" s="9">
        <f>IF(COUNT(F224:I224)&lt;&gt;4,0,IF(AND(G224&gt;F224,H224&gt;0,I224&gt;0,L224&lt;='Sheet1-指标体系'!$J$31,M224&lt;='Sheet1-指标体系'!$J$31),1,0))</f>
        <v>0</v>
      </c>
      <c r="L224" s="9" t="str">
        <f t="shared" si="10"/>
        <v/>
      </c>
      <c r="M224" s="9" t="str">
        <f t="shared" si="11"/>
        <v/>
      </c>
    </row>
    <row r="225" ht="25" customHeight="1" spans="1:13">
      <c r="A225" s="9" t="s">
        <v>477</v>
      </c>
      <c r="B225" s="9" t="s">
        <v>476</v>
      </c>
      <c r="C225" s="9" t="s">
        <v>1029</v>
      </c>
      <c r="D225" s="10">
        <v>45199</v>
      </c>
      <c r="E225" s="10">
        <v>45230</v>
      </c>
      <c r="F225" s="10"/>
      <c r="G225" s="10"/>
      <c r="H225" s="15"/>
      <c r="I225" s="15"/>
      <c r="J225" s="11" t="str">
        <f t="shared" si="9"/>
        <v/>
      </c>
      <c r="K225" s="9">
        <f>IF(COUNT(F225:I225)&lt;&gt;4,0,IF(AND(G225&gt;F225,H225&gt;0,I225&gt;0,L225&lt;='Sheet1-指标体系'!$J$31,M225&lt;='Sheet1-指标体系'!$J$31),1,0))</f>
        <v>0</v>
      </c>
      <c r="L225" s="9" t="str">
        <f t="shared" si="10"/>
        <v/>
      </c>
      <c r="M225" s="9" t="str">
        <f t="shared" si="11"/>
        <v/>
      </c>
    </row>
    <row r="226" ht="25" customHeight="1" spans="1:13">
      <c r="A226" s="9" t="s">
        <v>477</v>
      </c>
      <c r="B226" s="9" t="s">
        <v>476</v>
      </c>
      <c r="C226" s="9" t="s">
        <v>1030</v>
      </c>
      <c r="D226" s="10">
        <v>45230</v>
      </c>
      <c r="E226" s="10">
        <v>45260</v>
      </c>
      <c r="F226" s="10"/>
      <c r="G226" s="10"/>
      <c r="H226" s="15"/>
      <c r="I226" s="15"/>
      <c r="J226" s="11" t="str">
        <f t="shared" si="9"/>
        <v/>
      </c>
      <c r="K226" s="9">
        <f>IF(COUNT(F226:I226)&lt;&gt;4,0,IF(AND(G226&gt;F226,H226&gt;0,I226&gt;0,L226&lt;='Sheet1-指标体系'!$J$31,M226&lt;='Sheet1-指标体系'!$J$31),1,0))</f>
        <v>0</v>
      </c>
      <c r="L226" s="9" t="str">
        <f t="shared" si="10"/>
        <v/>
      </c>
      <c r="M226" s="9" t="str">
        <f t="shared" si="11"/>
        <v/>
      </c>
    </row>
    <row r="227" ht="25" customHeight="1" spans="1:13">
      <c r="A227" s="9" t="s">
        <v>477</v>
      </c>
      <c r="B227" s="9" t="s">
        <v>476</v>
      </c>
      <c r="C227" s="9" t="s">
        <v>1031</v>
      </c>
      <c r="D227" s="10">
        <v>45260</v>
      </c>
      <c r="E227" s="10">
        <v>45291</v>
      </c>
      <c r="F227" s="10"/>
      <c r="G227" s="10"/>
      <c r="H227" s="15"/>
      <c r="I227" s="15"/>
      <c r="J227" s="11" t="str">
        <f t="shared" si="9"/>
        <v/>
      </c>
      <c r="K227" s="9">
        <f>IF(COUNT(F227:I227)&lt;&gt;4,0,IF(AND(G227&gt;F227,H227&gt;0,I227&gt;0,L227&lt;='Sheet1-指标体系'!$J$31,M227&lt;='Sheet1-指标体系'!$J$31),1,0))</f>
        <v>0</v>
      </c>
      <c r="L227" s="9" t="str">
        <f t="shared" si="10"/>
        <v/>
      </c>
      <c r="M227" s="9" t="str">
        <f t="shared" si="11"/>
        <v/>
      </c>
    </row>
    <row r="228" ht="25" customHeight="1" spans="1:13">
      <c r="A228" s="9" t="s">
        <v>477</v>
      </c>
      <c r="B228" s="9" t="s">
        <v>476</v>
      </c>
      <c r="C228" s="9" t="s">
        <v>1032</v>
      </c>
      <c r="D228" s="10">
        <v>45291</v>
      </c>
      <c r="E228" s="10">
        <v>45322</v>
      </c>
      <c r="F228" s="10"/>
      <c r="G228" s="10"/>
      <c r="H228" s="15"/>
      <c r="I228" s="15"/>
      <c r="J228" s="11" t="str">
        <f t="shared" si="9"/>
        <v/>
      </c>
      <c r="K228" s="9">
        <f>IF(COUNT(F228:I228)&lt;&gt;4,0,IF(AND(G228&gt;F228,H228&gt;0,I228&gt;0,L228&lt;='Sheet1-指标体系'!$J$31,M228&lt;='Sheet1-指标体系'!$J$31),1,0))</f>
        <v>0</v>
      </c>
      <c r="L228" s="9" t="str">
        <f t="shared" si="10"/>
        <v/>
      </c>
      <c r="M228" s="9" t="str">
        <f t="shared" si="11"/>
        <v/>
      </c>
    </row>
    <row r="229" ht="25" customHeight="1" spans="1:13">
      <c r="A229" s="9" t="s">
        <v>477</v>
      </c>
      <c r="B229" s="9" t="s">
        <v>476</v>
      </c>
      <c r="C229" s="9" t="s">
        <v>1033</v>
      </c>
      <c r="D229" s="10">
        <v>45322</v>
      </c>
      <c r="E229" s="10">
        <v>45351</v>
      </c>
      <c r="F229" s="10"/>
      <c r="G229" s="10"/>
      <c r="H229" s="15"/>
      <c r="I229" s="15"/>
      <c r="J229" s="11" t="str">
        <f t="shared" si="9"/>
        <v/>
      </c>
      <c r="K229" s="9">
        <f>IF(COUNT(F229:I229)&lt;&gt;4,0,IF(AND(G229&gt;F229,H229&gt;0,I229&gt;0,L229&lt;='Sheet1-指标体系'!$J$31,M229&lt;='Sheet1-指标体系'!$J$31),1,0))</f>
        <v>0</v>
      </c>
      <c r="L229" s="9" t="str">
        <f t="shared" si="10"/>
        <v/>
      </c>
      <c r="M229" s="9" t="str">
        <f t="shared" si="11"/>
        <v/>
      </c>
    </row>
    <row r="230" ht="25" customHeight="1" spans="1:13">
      <c r="A230" s="9" t="s">
        <v>477</v>
      </c>
      <c r="B230" s="9" t="s">
        <v>476</v>
      </c>
      <c r="C230" s="9" t="s">
        <v>1034</v>
      </c>
      <c r="D230" s="10">
        <v>45351</v>
      </c>
      <c r="E230" s="10">
        <v>45382</v>
      </c>
      <c r="F230" s="10"/>
      <c r="G230" s="10"/>
      <c r="H230" s="15"/>
      <c r="I230" s="15"/>
      <c r="J230" s="11" t="str">
        <f t="shared" si="9"/>
        <v/>
      </c>
      <c r="K230" s="9">
        <f>IF(COUNT(F230:I230)&lt;&gt;4,0,IF(AND(G230&gt;F230,H230&gt;0,I230&gt;0,L230&lt;='Sheet1-指标体系'!$J$31,M230&lt;='Sheet1-指标体系'!$J$31),1,0))</f>
        <v>0</v>
      </c>
      <c r="L230" s="9" t="str">
        <f t="shared" si="10"/>
        <v/>
      </c>
      <c r="M230" s="9" t="str">
        <f t="shared" si="11"/>
        <v/>
      </c>
    </row>
    <row r="231" ht="25" customHeight="1" spans="1:13">
      <c r="A231" s="9" t="s">
        <v>477</v>
      </c>
      <c r="B231" s="9" t="s">
        <v>476</v>
      </c>
      <c r="C231" s="9" t="s">
        <v>1035</v>
      </c>
      <c r="D231" s="10">
        <v>45382</v>
      </c>
      <c r="E231" s="10">
        <v>45412</v>
      </c>
      <c r="F231" s="10"/>
      <c r="G231" s="10"/>
      <c r="H231" s="15"/>
      <c r="I231" s="15"/>
      <c r="J231" s="11" t="str">
        <f t="shared" si="9"/>
        <v/>
      </c>
      <c r="K231" s="9">
        <f>IF(COUNT(F231:I231)&lt;&gt;4,0,IF(AND(G231&gt;F231,H231&gt;0,I231&gt;0,L231&lt;='Sheet1-指标体系'!$J$31,M231&lt;='Sheet1-指标体系'!$J$31),1,0))</f>
        <v>0</v>
      </c>
      <c r="L231" s="9" t="str">
        <f t="shared" si="10"/>
        <v/>
      </c>
      <c r="M231" s="9" t="str">
        <f t="shared" si="11"/>
        <v/>
      </c>
    </row>
    <row r="232" ht="25" customHeight="1" spans="1:13">
      <c r="A232" s="9" t="s">
        <v>477</v>
      </c>
      <c r="B232" s="9" t="s">
        <v>476</v>
      </c>
      <c r="C232" s="9" t="s">
        <v>1036</v>
      </c>
      <c r="D232" s="10">
        <v>45412</v>
      </c>
      <c r="E232" s="10">
        <v>45443</v>
      </c>
      <c r="F232" s="10"/>
      <c r="G232" s="10"/>
      <c r="H232" s="15"/>
      <c r="I232" s="15"/>
      <c r="J232" s="11" t="str">
        <f t="shared" si="9"/>
        <v/>
      </c>
      <c r="K232" s="9">
        <f>IF(COUNT(F232:I232)&lt;&gt;4,0,IF(AND(G232&gt;F232,H232&gt;0,I232&gt;0,L232&lt;='Sheet1-指标体系'!$J$31,M232&lt;='Sheet1-指标体系'!$J$31),1,0))</f>
        <v>0</v>
      </c>
      <c r="L232" s="9" t="str">
        <f t="shared" si="10"/>
        <v/>
      </c>
      <c r="M232" s="9" t="str">
        <f t="shared" si="11"/>
        <v/>
      </c>
    </row>
    <row r="233" ht="25" customHeight="1" spans="1:13">
      <c r="A233" s="9" t="s">
        <v>477</v>
      </c>
      <c r="B233" s="9" t="s">
        <v>476</v>
      </c>
      <c r="C233" s="9" t="s">
        <v>1037</v>
      </c>
      <c r="D233" s="10">
        <v>45443</v>
      </c>
      <c r="E233" s="10">
        <v>45473</v>
      </c>
      <c r="F233" s="10"/>
      <c r="G233" s="10"/>
      <c r="H233" s="15"/>
      <c r="I233" s="15"/>
      <c r="J233" s="11" t="str">
        <f t="shared" si="9"/>
        <v/>
      </c>
      <c r="K233" s="9">
        <f>IF(COUNT(F233:I233)&lt;&gt;4,0,IF(AND(G233&gt;F233,H233&gt;0,I233&gt;0,L233&lt;='Sheet1-指标体系'!$J$31,M233&lt;='Sheet1-指标体系'!$J$31),1,0))</f>
        <v>0</v>
      </c>
      <c r="L233" s="9" t="str">
        <f t="shared" si="10"/>
        <v/>
      </c>
      <c r="M233" s="9" t="str">
        <f t="shared" si="11"/>
        <v/>
      </c>
    </row>
    <row r="234" ht="25" customHeight="1" spans="1:13">
      <c r="A234" s="9" t="s">
        <v>477</v>
      </c>
      <c r="B234" s="9" t="s">
        <v>476</v>
      </c>
      <c r="C234" s="9" t="s">
        <v>1038</v>
      </c>
      <c r="D234" s="10">
        <v>45473</v>
      </c>
      <c r="E234" s="10">
        <v>45504</v>
      </c>
      <c r="F234" s="10"/>
      <c r="G234" s="10"/>
      <c r="H234" s="15"/>
      <c r="I234" s="15"/>
      <c r="J234" s="11" t="str">
        <f t="shared" si="9"/>
        <v/>
      </c>
      <c r="K234" s="9">
        <f>IF(COUNT(F234:I234)&lt;&gt;4,0,IF(AND(G234&gt;F234,H234&gt;0,I234&gt;0,L234&lt;='Sheet1-指标体系'!$J$31,M234&lt;='Sheet1-指标体系'!$J$31),1,0))</f>
        <v>0</v>
      </c>
      <c r="L234" s="9" t="str">
        <f t="shared" si="10"/>
        <v/>
      </c>
      <c r="M234" s="9" t="str">
        <f t="shared" si="11"/>
        <v/>
      </c>
    </row>
    <row r="235" ht="25" customHeight="1" spans="1:13">
      <c r="A235" s="9" t="s">
        <v>477</v>
      </c>
      <c r="B235" s="9" t="s">
        <v>476</v>
      </c>
      <c r="C235" s="9" t="s">
        <v>1039</v>
      </c>
      <c r="D235" s="10">
        <v>45504</v>
      </c>
      <c r="E235" s="10">
        <v>45535</v>
      </c>
      <c r="F235" s="10"/>
      <c r="G235" s="10"/>
      <c r="H235" s="15"/>
      <c r="I235" s="15"/>
      <c r="J235" s="11" t="str">
        <f t="shared" si="9"/>
        <v/>
      </c>
      <c r="K235" s="9">
        <f>IF(COUNT(F235:I235)&lt;&gt;4,0,IF(AND(G235&gt;F235,H235&gt;0,I235&gt;0,L235&lt;='Sheet1-指标体系'!$J$31,M235&lt;='Sheet1-指标体系'!$J$31),1,0))</f>
        <v>0</v>
      </c>
      <c r="L235" s="9" t="str">
        <f t="shared" si="10"/>
        <v/>
      </c>
      <c r="M235" s="9" t="str">
        <f t="shared" si="11"/>
        <v/>
      </c>
    </row>
    <row r="236" ht="25" customHeight="1" spans="1:13">
      <c r="A236" s="9" t="s">
        <v>477</v>
      </c>
      <c r="B236" s="9" t="s">
        <v>476</v>
      </c>
      <c r="C236" s="9" t="s">
        <v>1040</v>
      </c>
      <c r="D236" s="10">
        <v>45535</v>
      </c>
      <c r="E236" s="10">
        <v>45565</v>
      </c>
      <c r="F236" s="10"/>
      <c r="G236" s="10"/>
      <c r="H236" s="15"/>
      <c r="I236" s="15"/>
      <c r="J236" s="11" t="str">
        <f t="shared" si="9"/>
        <v/>
      </c>
      <c r="K236" s="9">
        <f>IF(COUNT(F236:I236)&lt;&gt;4,0,IF(AND(G236&gt;F236,H236&gt;0,I236&gt;0,L236&lt;='Sheet1-指标体系'!$J$31,M236&lt;='Sheet1-指标体系'!$J$31),1,0))</f>
        <v>0</v>
      </c>
      <c r="L236" s="9" t="str">
        <f t="shared" si="10"/>
        <v/>
      </c>
      <c r="M236" s="9" t="str">
        <f t="shared" si="11"/>
        <v/>
      </c>
    </row>
    <row r="237" ht="25" customHeight="1" spans="1:13">
      <c r="A237" s="9" t="s">
        <v>477</v>
      </c>
      <c r="B237" s="9" t="s">
        <v>476</v>
      </c>
      <c r="C237" s="9" t="s">
        <v>1041</v>
      </c>
      <c r="D237" s="10">
        <v>45565</v>
      </c>
      <c r="E237" s="10">
        <v>45596</v>
      </c>
      <c r="F237" s="10"/>
      <c r="G237" s="10"/>
      <c r="H237" s="15"/>
      <c r="I237" s="15"/>
      <c r="J237" s="11" t="str">
        <f t="shared" si="9"/>
        <v/>
      </c>
      <c r="K237" s="9">
        <f>IF(COUNT(F237:I237)&lt;&gt;4,0,IF(AND(G237&gt;F237,H237&gt;0,I237&gt;0,L237&lt;='Sheet1-指标体系'!$J$31,M237&lt;='Sheet1-指标体系'!$J$31),1,0))</f>
        <v>0</v>
      </c>
      <c r="L237" s="9" t="str">
        <f t="shared" si="10"/>
        <v/>
      </c>
      <c r="M237" s="9" t="str">
        <f t="shared" si="11"/>
        <v/>
      </c>
    </row>
    <row r="238" ht="25" customHeight="1" spans="1:13">
      <c r="A238" s="9" t="s">
        <v>477</v>
      </c>
      <c r="B238" s="9" t="s">
        <v>476</v>
      </c>
      <c r="C238" s="9" t="s">
        <v>1042</v>
      </c>
      <c r="D238" s="10">
        <v>45596</v>
      </c>
      <c r="E238" s="10">
        <v>45626</v>
      </c>
      <c r="F238" s="10"/>
      <c r="G238" s="10"/>
      <c r="H238" s="15"/>
      <c r="I238" s="15"/>
      <c r="J238" s="11" t="str">
        <f t="shared" si="9"/>
        <v/>
      </c>
      <c r="K238" s="9">
        <f>IF(COUNT(F238:I238)&lt;&gt;4,0,IF(AND(G238&gt;F238,H238&gt;0,I238&gt;0,L238&lt;='Sheet1-指标体系'!$J$31,M238&lt;='Sheet1-指标体系'!$J$31),1,0))</f>
        <v>0</v>
      </c>
      <c r="L238" s="9" t="str">
        <f t="shared" si="10"/>
        <v/>
      </c>
      <c r="M238" s="9" t="str">
        <f t="shared" si="11"/>
        <v/>
      </c>
    </row>
    <row r="239" ht="25" customHeight="1" spans="1:13">
      <c r="A239" s="9" t="s">
        <v>477</v>
      </c>
      <c r="B239" s="9" t="s">
        <v>476</v>
      </c>
      <c r="C239" s="9" t="s">
        <v>1043</v>
      </c>
      <c r="D239" s="10">
        <v>45626</v>
      </c>
      <c r="E239" s="10">
        <v>45657</v>
      </c>
      <c r="F239" s="10"/>
      <c r="G239" s="10"/>
      <c r="H239" s="15"/>
      <c r="I239" s="15"/>
      <c r="J239" s="11" t="str">
        <f t="shared" si="9"/>
        <v/>
      </c>
      <c r="K239" s="9">
        <f>IF(COUNT(F239:I239)&lt;&gt;4,0,IF(AND(G239&gt;F239,H239&gt;0,I239&gt;0,L239&lt;='Sheet1-指标体系'!$J$31,M239&lt;='Sheet1-指标体系'!$J$31),1,0))</f>
        <v>0</v>
      </c>
      <c r="L239" s="9" t="str">
        <f t="shared" si="10"/>
        <v/>
      </c>
      <c r="M239" s="9" t="str">
        <f t="shared" si="11"/>
        <v/>
      </c>
    </row>
    <row r="240" ht="25" customHeight="1" spans="1:13">
      <c r="A240" s="9" t="s">
        <v>477</v>
      </c>
      <c r="B240" s="9" t="s">
        <v>476</v>
      </c>
      <c r="C240" s="9" t="s">
        <v>1044</v>
      </c>
      <c r="D240" s="10">
        <v>45657</v>
      </c>
      <c r="E240" s="10">
        <v>45688</v>
      </c>
      <c r="F240" s="10"/>
      <c r="G240" s="10"/>
      <c r="H240" s="15"/>
      <c r="I240" s="15"/>
      <c r="J240" s="11" t="str">
        <f t="shared" si="9"/>
        <v/>
      </c>
      <c r="K240" s="9">
        <f>IF(COUNT(F240:I240)&lt;&gt;4,0,IF(AND(G240&gt;F240,H240&gt;0,I240&gt;0,L240&lt;='Sheet1-指标体系'!$J$31,M240&lt;='Sheet1-指标体系'!$J$31),1,0))</f>
        <v>0</v>
      </c>
      <c r="L240" s="9" t="str">
        <f t="shared" si="10"/>
        <v/>
      </c>
      <c r="M240" s="9" t="str">
        <f t="shared" si="11"/>
        <v/>
      </c>
    </row>
    <row r="241" ht="25" customHeight="1" spans="1:13">
      <c r="A241" s="9" t="s">
        <v>477</v>
      </c>
      <c r="B241" s="9" t="s">
        <v>476</v>
      </c>
      <c r="C241" s="9" t="s">
        <v>1045</v>
      </c>
      <c r="D241" s="10">
        <v>45688</v>
      </c>
      <c r="E241" s="10">
        <v>45716</v>
      </c>
      <c r="F241" s="10"/>
      <c r="G241" s="10"/>
      <c r="H241" s="15"/>
      <c r="I241" s="15"/>
      <c r="J241" s="11" t="str">
        <f t="shared" si="9"/>
        <v/>
      </c>
      <c r="K241" s="9">
        <f>IF(COUNT(F241:I241)&lt;&gt;4,0,IF(AND(G241&gt;F241,H241&gt;0,I241&gt;0,L241&lt;='Sheet1-指标体系'!$J$31,M241&lt;='Sheet1-指标体系'!$J$31),1,0))</f>
        <v>0</v>
      </c>
      <c r="L241" s="9" t="str">
        <f t="shared" si="10"/>
        <v/>
      </c>
      <c r="M241" s="9" t="str">
        <f t="shared" si="11"/>
        <v/>
      </c>
    </row>
    <row r="242" ht="25" customHeight="1" spans="1:13">
      <c r="A242" s="9" t="s">
        <v>477</v>
      </c>
      <c r="B242" s="9" t="s">
        <v>476</v>
      </c>
      <c r="C242" s="9" t="s">
        <v>1046</v>
      </c>
      <c r="D242" s="10">
        <v>45716</v>
      </c>
      <c r="E242" s="10">
        <v>45747</v>
      </c>
      <c r="F242" s="10"/>
      <c r="G242" s="10"/>
      <c r="H242" s="15"/>
      <c r="I242" s="15"/>
      <c r="J242" s="11" t="str">
        <f t="shared" si="9"/>
        <v/>
      </c>
      <c r="K242" s="9">
        <f>IF(COUNT(F242:I242)&lt;&gt;4,0,IF(AND(G242&gt;F242,H242&gt;0,I242&gt;0,L242&lt;='Sheet1-指标体系'!$J$31,M242&lt;='Sheet1-指标体系'!$J$31),1,0))</f>
        <v>0</v>
      </c>
      <c r="L242" s="9" t="str">
        <f t="shared" si="10"/>
        <v/>
      </c>
      <c r="M242" s="9" t="str">
        <f t="shared" si="11"/>
        <v/>
      </c>
    </row>
    <row r="243" ht="25" customHeight="1" spans="1:13">
      <c r="A243" s="9" t="s">
        <v>477</v>
      </c>
      <c r="B243" s="9" t="s">
        <v>476</v>
      </c>
      <c r="C243" s="9" t="s">
        <v>1047</v>
      </c>
      <c r="D243" s="10">
        <v>45747</v>
      </c>
      <c r="E243" s="10">
        <v>45777</v>
      </c>
      <c r="F243" s="10"/>
      <c r="G243" s="10"/>
      <c r="H243" s="15"/>
      <c r="I243" s="15"/>
      <c r="J243" s="11" t="str">
        <f t="shared" si="9"/>
        <v/>
      </c>
      <c r="K243" s="9">
        <f>IF(COUNT(F243:I243)&lt;&gt;4,0,IF(AND(G243&gt;F243,H243&gt;0,I243&gt;0,L243&lt;='Sheet1-指标体系'!$J$31,M243&lt;='Sheet1-指标体系'!$J$31),1,0))</f>
        <v>0</v>
      </c>
      <c r="L243" s="9" t="str">
        <f t="shared" si="10"/>
        <v/>
      </c>
      <c r="M243" s="9" t="str">
        <f t="shared" si="11"/>
        <v/>
      </c>
    </row>
    <row r="244" ht="25" customHeight="1" spans="1:13">
      <c r="A244" s="9" t="s">
        <v>477</v>
      </c>
      <c r="B244" s="9" t="s">
        <v>476</v>
      </c>
      <c r="C244" s="9" t="s">
        <v>1048</v>
      </c>
      <c r="D244" s="10">
        <v>45777</v>
      </c>
      <c r="E244" s="10">
        <v>45808</v>
      </c>
      <c r="F244" s="10"/>
      <c r="G244" s="10"/>
      <c r="H244" s="15"/>
      <c r="I244" s="15"/>
      <c r="J244" s="11" t="str">
        <f t="shared" si="9"/>
        <v/>
      </c>
      <c r="K244" s="9">
        <f>IF(COUNT(F244:I244)&lt;&gt;4,0,IF(AND(G244&gt;F244,H244&gt;0,I244&gt;0,L244&lt;='Sheet1-指标体系'!$J$31,M244&lt;='Sheet1-指标体系'!$J$31),1,0))</f>
        <v>0</v>
      </c>
      <c r="L244" s="9" t="str">
        <f t="shared" si="10"/>
        <v/>
      </c>
      <c r="M244" s="9" t="str">
        <f t="shared" si="11"/>
        <v/>
      </c>
    </row>
    <row r="245" ht="25" customHeight="1" spans="1:13">
      <c r="A245" s="9" t="s">
        <v>477</v>
      </c>
      <c r="B245" s="9" t="s">
        <v>476</v>
      </c>
      <c r="C245" s="9" t="s">
        <v>1049</v>
      </c>
      <c r="D245" s="10">
        <v>45808</v>
      </c>
      <c r="E245" s="10">
        <v>45838</v>
      </c>
      <c r="F245" s="10"/>
      <c r="G245" s="10"/>
      <c r="H245" s="15"/>
      <c r="I245" s="15"/>
      <c r="J245" s="11" t="str">
        <f t="shared" si="9"/>
        <v/>
      </c>
      <c r="K245" s="9">
        <f>IF(COUNT(F245:I245)&lt;&gt;4,0,IF(AND(G245&gt;F245,H245&gt;0,I245&gt;0,L245&lt;='Sheet1-指标体系'!$J$31,M245&lt;='Sheet1-指标体系'!$J$31),1,0))</f>
        <v>0</v>
      </c>
      <c r="L245" s="9" t="str">
        <f t="shared" si="10"/>
        <v/>
      </c>
      <c r="M245" s="9" t="str">
        <f t="shared" si="11"/>
        <v/>
      </c>
    </row>
    <row r="246" ht="25" customHeight="1" spans="1:13">
      <c r="A246" s="9" t="s">
        <v>477</v>
      </c>
      <c r="B246" s="9" t="s">
        <v>476</v>
      </c>
      <c r="C246" s="9" t="s">
        <v>1050</v>
      </c>
      <c r="D246" s="10">
        <v>45838</v>
      </c>
      <c r="E246" s="10">
        <v>45869</v>
      </c>
      <c r="F246" s="10"/>
      <c r="G246" s="10"/>
      <c r="H246" s="15"/>
      <c r="I246" s="15"/>
      <c r="J246" s="11" t="str">
        <f t="shared" si="9"/>
        <v/>
      </c>
      <c r="K246" s="9">
        <f>IF(COUNT(F246:I246)&lt;&gt;4,0,IF(AND(G246&gt;F246,H246&gt;0,I246&gt;0,L246&lt;='Sheet1-指标体系'!$J$31,M246&lt;='Sheet1-指标体系'!$J$31),1,0))</f>
        <v>0</v>
      </c>
      <c r="L246" s="9" t="str">
        <f t="shared" si="10"/>
        <v/>
      </c>
      <c r="M246" s="9" t="str">
        <f t="shared" si="11"/>
        <v/>
      </c>
    </row>
    <row r="247" ht="25" customHeight="1" spans="1:13">
      <c r="A247" s="9" t="s">
        <v>477</v>
      </c>
      <c r="B247" s="9" t="s">
        <v>476</v>
      </c>
      <c r="C247" s="9" t="s">
        <v>1051</v>
      </c>
      <c r="D247" s="10">
        <v>45869</v>
      </c>
      <c r="E247" s="10">
        <v>45900</v>
      </c>
      <c r="F247" s="10"/>
      <c r="G247" s="10"/>
      <c r="H247" s="15"/>
      <c r="I247" s="15"/>
      <c r="J247" s="11" t="str">
        <f t="shared" si="9"/>
        <v/>
      </c>
      <c r="K247" s="9">
        <f>IF(COUNT(F247:I247)&lt;&gt;4,0,IF(AND(G247&gt;F247,H247&gt;0,I247&gt;0,L247&lt;='Sheet1-指标体系'!$J$31,M247&lt;='Sheet1-指标体系'!$J$31),1,0))</f>
        <v>0</v>
      </c>
      <c r="L247" s="9" t="str">
        <f t="shared" si="10"/>
        <v/>
      </c>
      <c r="M247" s="9" t="str">
        <f t="shared" si="11"/>
        <v/>
      </c>
    </row>
    <row r="248" ht="25" customHeight="1" spans="1:13">
      <c r="A248" s="9" t="s">
        <v>477</v>
      </c>
      <c r="B248" s="9" t="s">
        <v>476</v>
      </c>
      <c r="C248" s="9" t="s">
        <v>1052</v>
      </c>
      <c r="D248" s="10">
        <v>45900</v>
      </c>
      <c r="E248" s="10">
        <v>45930</v>
      </c>
      <c r="F248" s="10"/>
      <c r="G248" s="10"/>
      <c r="H248" s="15"/>
      <c r="I248" s="15"/>
      <c r="J248" s="11" t="str">
        <f t="shared" si="9"/>
        <v/>
      </c>
      <c r="K248" s="9">
        <f>IF(COUNT(F248:I248)&lt;&gt;4,0,IF(AND(G248&gt;F248,H248&gt;0,I248&gt;0,L248&lt;='Sheet1-指标体系'!$J$31,M248&lt;='Sheet1-指标体系'!$J$31),1,0))</f>
        <v>0</v>
      </c>
      <c r="L248" s="9" t="str">
        <f t="shared" si="10"/>
        <v/>
      </c>
      <c r="M248" s="9" t="str">
        <f t="shared" si="11"/>
        <v/>
      </c>
    </row>
    <row r="249" ht="25" customHeight="1" spans="1:13">
      <c r="A249" s="9" t="s">
        <v>477</v>
      </c>
      <c r="B249" s="9" t="s">
        <v>476</v>
      </c>
      <c r="C249" s="9" t="s">
        <v>1053</v>
      </c>
      <c r="D249" s="10">
        <v>45930</v>
      </c>
      <c r="E249" s="10">
        <v>45961</v>
      </c>
      <c r="F249" s="10"/>
      <c r="G249" s="10">
        <f>净值原始!C869</f>
        <v>45961</v>
      </c>
      <c r="H249" s="15"/>
      <c r="I249" s="15">
        <f>净值原始!F869</f>
        <v>1.0312</v>
      </c>
      <c r="J249" s="11" t="str">
        <f t="shared" si="9"/>
        <v/>
      </c>
      <c r="K249" s="9">
        <f>IF(COUNT(F249:I249)&lt;&gt;4,0,IF(AND(G249&gt;F249,H249&gt;0,I249&gt;0,L249&lt;='Sheet1-指标体系'!$J$31,M249&lt;='Sheet1-指标体系'!$J$31),1,0))</f>
        <v>0</v>
      </c>
      <c r="L249" s="9" t="str">
        <f t="shared" si="10"/>
        <v/>
      </c>
      <c r="M249" s="9">
        <f t="shared" si="11"/>
        <v>0</v>
      </c>
    </row>
    <row r="250" ht="25" customHeight="1" spans="1:13">
      <c r="A250" s="9" t="s">
        <v>477</v>
      </c>
      <c r="B250" s="9" t="s">
        <v>476</v>
      </c>
      <c r="C250" s="9" t="s">
        <v>1054</v>
      </c>
      <c r="D250" s="10">
        <v>45961</v>
      </c>
      <c r="E250" s="10">
        <v>45991</v>
      </c>
      <c r="F250" s="10">
        <f>净值原始!C869</f>
        <v>45961</v>
      </c>
      <c r="G250" s="10">
        <f>净值原始!C889</f>
        <v>45989</v>
      </c>
      <c r="H250" s="15">
        <f>净值原始!F869</f>
        <v>1.0312</v>
      </c>
      <c r="I250" s="15">
        <f>净值原始!F889</f>
        <v>1.0373</v>
      </c>
      <c r="J250" s="11">
        <f t="shared" si="9"/>
        <v>0.00591543832428254</v>
      </c>
      <c r="K250" s="9">
        <f>IF(COUNT(F250:I250)&lt;&gt;4,0,IF(AND(G250&gt;F250,H250&gt;0,I250&gt;0,L250&lt;='Sheet1-指标体系'!$J$31,M250&lt;='Sheet1-指标体系'!$J$31),1,0))</f>
        <v>1</v>
      </c>
      <c r="L250" s="9">
        <f t="shared" si="10"/>
        <v>0</v>
      </c>
      <c r="M250" s="9">
        <f t="shared" si="11"/>
        <v>2</v>
      </c>
    </row>
    <row r="251" ht="25" customHeight="1" spans="1:13">
      <c r="A251" s="9" t="s">
        <v>477</v>
      </c>
      <c r="B251" s="9" t="s">
        <v>476</v>
      </c>
      <c r="C251" s="9" t="s">
        <v>1055</v>
      </c>
      <c r="D251" s="10">
        <v>45991</v>
      </c>
      <c r="E251" s="10">
        <v>46022</v>
      </c>
      <c r="F251" s="10">
        <f>净值原始!C889</f>
        <v>45989</v>
      </c>
      <c r="G251" s="10">
        <f>净值原始!C912</f>
        <v>46022</v>
      </c>
      <c r="H251" s="15">
        <f>净值原始!F889</f>
        <v>1.0373</v>
      </c>
      <c r="I251" s="15">
        <f>净值原始!F912</f>
        <v>1.0391</v>
      </c>
      <c r="J251" s="11">
        <f t="shared" si="9"/>
        <v>0.00173527426973852</v>
      </c>
      <c r="K251" s="9">
        <f>IF(COUNT(F251:I251)&lt;&gt;4,0,IF(AND(G251&gt;F251,H251&gt;0,I251&gt;0,L251&lt;='Sheet1-指标体系'!$J$31,M251&lt;='Sheet1-指标体系'!$J$31),1,0))</f>
        <v>1</v>
      </c>
      <c r="L251" s="9">
        <f t="shared" si="10"/>
        <v>2</v>
      </c>
      <c r="M251" s="9">
        <f t="shared" si="11"/>
        <v>0</v>
      </c>
    </row>
    <row r="252" ht="25" customHeight="1" spans="1:13">
      <c r="A252" s="9" t="s">
        <v>477</v>
      </c>
      <c r="B252" s="9" t="s">
        <v>476</v>
      </c>
      <c r="C252" s="9" t="s">
        <v>1056</v>
      </c>
      <c r="D252" s="10">
        <v>46022</v>
      </c>
      <c r="E252" s="10">
        <v>46053</v>
      </c>
      <c r="F252" s="10">
        <f>净值原始!C912</f>
        <v>46022</v>
      </c>
      <c r="G252" s="10">
        <f>净值原始!C932</f>
        <v>46052</v>
      </c>
      <c r="H252" s="15">
        <f>净值原始!F912</f>
        <v>1.0391</v>
      </c>
      <c r="I252" s="15">
        <f>净值原始!F932</f>
        <v>1.0608</v>
      </c>
      <c r="J252" s="11">
        <f t="shared" si="9"/>
        <v>0.0208834568376479</v>
      </c>
      <c r="K252" s="9">
        <f>IF(COUNT(F252:I252)&lt;&gt;4,0,IF(AND(G252&gt;F252,H252&gt;0,I252&gt;0,L252&lt;='Sheet1-指标体系'!$J$31,M252&lt;='Sheet1-指标体系'!$J$31),1,0))</f>
        <v>1</v>
      </c>
      <c r="L252" s="9">
        <f t="shared" si="10"/>
        <v>0</v>
      </c>
      <c r="M252" s="9">
        <f t="shared" si="11"/>
        <v>1</v>
      </c>
    </row>
    <row r="253" ht="25" customHeight="1" spans="1:13">
      <c r="A253" s="9" t="s">
        <v>477</v>
      </c>
      <c r="B253" s="9" t="s">
        <v>476</v>
      </c>
      <c r="C253" s="9" t="s">
        <v>1057</v>
      </c>
      <c r="D253" s="10">
        <v>46053</v>
      </c>
      <c r="E253" s="10">
        <v>46081</v>
      </c>
      <c r="F253" s="10">
        <f>净值原始!C932</f>
        <v>46052</v>
      </c>
      <c r="G253" s="10">
        <f>净值原始!C946</f>
        <v>46080</v>
      </c>
      <c r="H253" s="15">
        <f>净值原始!F932</f>
        <v>1.0608</v>
      </c>
      <c r="I253" s="15">
        <f>净值原始!F946</f>
        <v>1.0719</v>
      </c>
      <c r="J253" s="11">
        <f t="shared" si="9"/>
        <v>0.0104638009049776</v>
      </c>
      <c r="K253" s="9">
        <f>IF(COUNT(F253:I253)&lt;&gt;4,0,IF(AND(G253&gt;F253,H253&gt;0,I253&gt;0,L253&lt;='Sheet1-指标体系'!$J$31,M253&lt;='Sheet1-指标体系'!$J$31),1,0))</f>
        <v>1</v>
      </c>
      <c r="L253" s="9">
        <f t="shared" si="10"/>
        <v>1</v>
      </c>
      <c r="M253" s="9">
        <f t="shared" si="11"/>
        <v>1</v>
      </c>
    </row>
    <row r="254" ht="25" customHeight="1" spans="1:13">
      <c r="A254" s="9" t="s">
        <v>477</v>
      </c>
      <c r="B254" s="9" t="s">
        <v>476</v>
      </c>
      <c r="C254" s="9" t="s">
        <v>1058</v>
      </c>
      <c r="D254" s="10">
        <v>46081</v>
      </c>
      <c r="E254" s="10">
        <v>46112</v>
      </c>
      <c r="F254" s="10">
        <f>净值原始!C946</f>
        <v>46080</v>
      </c>
      <c r="G254" s="10">
        <f>净值原始!C968</f>
        <v>46112</v>
      </c>
      <c r="H254" s="15">
        <f>净值原始!F946</f>
        <v>1.0719</v>
      </c>
      <c r="I254" s="15">
        <f>净值原始!F968</f>
        <v>1.0934</v>
      </c>
      <c r="J254" s="11">
        <f t="shared" si="9"/>
        <v>0.0200578412165313</v>
      </c>
      <c r="K254" s="9">
        <f>IF(COUNT(F254:I254)&lt;&gt;4,0,IF(AND(G254&gt;F254,H254&gt;0,I254&gt;0,L254&lt;='Sheet1-指标体系'!$J$31,M254&lt;='Sheet1-指标体系'!$J$31),1,0))</f>
        <v>1</v>
      </c>
      <c r="L254" s="9">
        <f t="shared" si="10"/>
        <v>1</v>
      </c>
      <c r="M254" s="9">
        <f t="shared" si="11"/>
        <v>0</v>
      </c>
    </row>
    <row r="255" ht="25" customHeight="1" spans="1:13">
      <c r="A255" s="9" t="s">
        <v>477</v>
      </c>
      <c r="B255" s="9" t="s">
        <v>476</v>
      </c>
      <c r="C255" s="9" t="s">
        <v>1059</v>
      </c>
      <c r="D255" s="10">
        <v>46112</v>
      </c>
      <c r="E255" s="10">
        <v>46142</v>
      </c>
      <c r="F255" s="10">
        <f>净值原始!C968</f>
        <v>46112</v>
      </c>
      <c r="G255" s="10">
        <f>净值原始!C989</f>
        <v>46142</v>
      </c>
      <c r="H255" s="15">
        <f>净值原始!F968</f>
        <v>1.0934</v>
      </c>
      <c r="I255" s="15">
        <f>净值原始!F989</f>
        <v>1.0949</v>
      </c>
      <c r="J255" s="11">
        <f t="shared" si="9"/>
        <v>0.00137186756905061</v>
      </c>
      <c r="K255" s="9">
        <f>IF(COUNT(F255:I255)&lt;&gt;4,0,IF(AND(G255&gt;F255,H255&gt;0,I255&gt;0,L255&lt;='Sheet1-指标体系'!$J$31,M255&lt;='Sheet1-指标体系'!$J$31),1,0))</f>
        <v>1</v>
      </c>
      <c r="L255" s="9">
        <f t="shared" si="10"/>
        <v>0</v>
      </c>
      <c r="M255" s="9">
        <f t="shared" si="11"/>
        <v>0</v>
      </c>
    </row>
    <row r="256" ht="25" customHeight="1" spans="1:13">
      <c r="A256" s="9" t="s">
        <v>477</v>
      </c>
      <c r="B256" s="9" t="s">
        <v>476</v>
      </c>
      <c r="C256" s="9" t="s">
        <v>1060</v>
      </c>
      <c r="D256" s="10">
        <v>46142</v>
      </c>
      <c r="E256" s="10">
        <v>46173</v>
      </c>
      <c r="F256" s="10">
        <f>净值原始!C989</f>
        <v>46142</v>
      </c>
      <c r="G256" s="10">
        <f>净值原始!C1007</f>
        <v>46171</v>
      </c>
      <c r="H256" s="15">
        <f>净值原始!F989</f>
        <v>1.0949</v>
      </c>
      <c r="I256" s="15">
        <f>净值原始!F1007</f>
        <v>1.0927</v>
      </c>
      <c r="J256" s="11">
        <f t="shared" si="9"/>
        <v>-0.00200931591926201</v>
      </c>
      <c r="K256" s="9">
        <f>IF(COUNT(F256:I256)&lt;&gt;4,0,IF(AND(G256&gt;F256,H256&gt;0,I256&gt;0,L256&lt;='Sheet1-指标体系'!$J$31,M256&lt;='Sheet1-指标体系'!$J$31),1,0))</f>
        <v>1</v>
      </c>
      <c r="L256" s="9">
        <f t="shared" si="10"/>
        <v>0</v>
      </c>
      <c r="M256" s="9">
        <f t="shared" si="11"/>
        <v>2</v>
      </c>
    </row>
    <row r="257" ht="25" customHeight="1" spans="1:13">
      <c r="A257" s="9" t="s">
        <v>477</v>
      </c>
      <c r="B257" s="9" t="s">
        <v>476</v>
      </c>
      <c r="C257" s="9" t="s">
        <v>1061</v>
      </c>
      <c r="D257" s="10">
        <v>46173</v>
      </c>
      <c r="E257" s="10">
        <v>46203</v>
      </c>
      <c r="F257" s="10">
        <f>净值原始!C1007</f>
        <v>46171</v>
      </c>
      <c r="G257" s="10">
        <f>净值原始!C1028</f>
        <v>46203</v>
      </c>
      <c r="H257" s="15">
        <f>净值原始!F1007</f>
        <v>1.0927</v>
      </c>
      <c r="I257" s="15">
        <f>净值原始!F1028</f>
        <v>1.0954</v>
      </c>
      <c r="J257" s="11">
        <f t="shared" si="9"/>
        <v>0.00247094353436439</v>
      </c>
      <c r="K257" s="9">
        <f>IF(COUNT(F257:I257)&lt;&gt;4,0,IF(AND(G257&gt;F257,H257&gt;0,I257&gt;0,L257&lt;='Sheet1-指标体系'!$J$31,M257&lt;='Sheet1-指标体系'!$J$31),1,0))</f>
        <v>1</v>
      </c>
      <c r="L257" s="9">
        <f t="shared" si="10"/>
        <v>2</v>
      </c>
      <c r="M257" s="9">
        <f t="shared" si="11"/>
        <v>0</v>
      </c>
    </row>
    <row r="258" ht="25" customHeight="1" spans="1:13">
      <c r="A258" s="9" t="s">
        <v>477</v>
      </c>
      <c r="B258" s="9" t="s">
        <v>476</v>
      </c>
      <c r="C258" s="9" t="s">
        <v>1062</v>
      </c>
      <c r="D258" s="10">
        <v>46203</v>
      </c>
      <c r="E258" s="10">
        <v>46234</v>
      </c>
      <c r="F258" s="10">
        <f>净值原始!C1028</f>
        <v>46203</v>
      </c>
      <c r="G258" s="10">
        <f>净值原始!C1051</f>
        <v>46234</v>
      </c>
      <c r="H258" s="15">
        <f>净值原始!F1028</f>
        <v>1.0954</v>
      </c>
      <c r="I258" s="15">
        <f>净值原始!F1051</f>
        <v>1.1092</v>
      </c>
      <c r="J258" s="11">
        <f t="shared" ref="J258:J321" si="12">IF(K258=1,I258/H258-1,"")</f>
        <v>0.0125981376666058</v>
      </c>
      <c r="K258" s="9">
        <f>IF(COUNT(F258:I258)&lt;&gt;4,0,IF(AND(G258&gt;F258,H258&gt;0,I258&gt;0,L258&lt;='Sheet1-指标体系'!$J$31,M258&lt;='Sheet1-指标体系'!$J$31),1,0))</f>
        <v>1</v>
      </c>
      <c r="L258" s="9">
        <f t="shared" ref="L258:L321" si="13">IF(ISNUMBER(F258),D258-F258,"")</f>
        <v>0</v>
      </c>
      <c r="M258" s="9">
        <f t="shared" ref="M258:M321" si="14">IF(ISNUMBER(G258),E258-G258,"")</f>
        <v>0</v>
      </c>
    </row>
    <row r="259" ht="25" customHeight="1" spans="1:13">
      <c r="A259" s="9" t="s">
        <v>477</v>
      </c>
      <c r="B259" s="9" t="s">
        <v>476</v>
      </c>
      <c r="C259" s="9" t="s">
        <v>1063</v>
      </c>
      <c r="D259" s="10">
        <v>46234</v>
      </c>
      <c r="E259" s="10">
        <v>46265</v>
      </c>
      <c r="F259" s="10">
        <f>净值原始!C1051</f>
        <v>46234</v>
      </c>
      <c r="G259" s="10">
        <f>净值原始!C1072</f>
        <v>46265</v>
      </c>
      <c r="H259" s="15">
        <f>净值原始!F1051</f>
        <v>1.1092</v>
      </c>
      <c r="I259" s="15">
        <f>净值原始!F1072</f>
        <v>1.1151</v>
      </c>
      <c r="J259" s="11">
        <f t="shared" si="12"/>
        <v>0.00531914893617014</v>
      </c>
      <c r="K259" s="9">
        <f>IF(COUNT(F259:I259)&lt;&gt;4,0,IF(AND(G259&gt;F259,H259&gt;0,I259&gt;0,L259&lt;='Sheet1-指标体系'!$J$31,M259&lt;='Sheet1-指标体系'!$J$31),1,0))</f>
        <v>1</v>
      </c>
      <c r="L259" s="9">
        <f t="shared" si="13"/>
        <v>0</v>
      </c>
      <c r="M259" s="9">
        <f t="shared" si="14"/>
        <v>0</v>
      </c>
    </row>
    <row r="260" ht="25" customHeight="1" spans="1:13">
      <c r="A260" s="9" t="s">
        <v>477</v>
      </c>
      <c r="B260" s="9" t="s">
        <v>476</v>
      </c>
      <c r="C260" s="9" t="s">
        <v>1064</v>
      </c>
      <c r="D260" s="10">
        <v>46265</v>
      </c>
      <c r="E260" s="10">
        <v>46269</v>
      </c>
      <c r="F260" s="10">
        <f>净值原始!C1072</f>
        <v>46265</v>
      </c>
      <c r="G260" s="10">
        <f>净值原始!C1076</f>
        <v>46269</v>
      </c>
      <c r="H260" s="15">
        <f>净值原始!F1072</f>
        <v>1.1151</v>
      </c>
      <c r="I260" s="15">
        <f>净值原始!F1076</f>
        <v>1.1149</v>
      </c>
      <c r="J260" s="11">
        <f t="shared" si="12"/>
        <v>-0.000179356111559503</v>
      </c>
      <c r="K260" s="9">
        <f>IF(COUNT(F260:I260)&lt;&gt;4,0,IF(AND(G260&gt;F260,H260&gt;0,I260&gt;0,L260&lt;='Sheet1-指标体系'!$J$31,M260&lt;='Sheet1-指标体系'!$J$31),1,0))</f>
        <v>1</v>
      </c>
      <c r="L260" s="9">
        <f t="shared" si="13"/>
        <v>0</v>
      </c>
      <c r="M260" s="9">
        <f t="shared" si="14"/>
        <v>0</v>
      </c>
    </row>
    <row r="261" ht="25" customHeight="1" spans="1:13">
      <c r="A261" s="9" t="s">
        <v>472</v>
      </c>
      <c r="B261" s="9" t="s">
        <v>471</v>
      </c>
      <c r="C261" s="9" t="s">
        <v>1028</v>
      </c>
      <c r="D261" s="10">
        <v>45169</v>
      </c>
      <c r="E261" s="10">
        <v>45199</v>
      </c>
      <c r="F261" s="10"/>
      <c r="G261" s="10"/>
      <c r="H261" s="15"/>
      <c r="I261" s="15"/>
      <c r="J261" s="11" t="str">
        <f t="shared" si="12"/>
        <v/>
      </c>
      <c r="K261" s="9">
        <f>IF(COUNT(F261:I261)&lt;&gt;4,0,IF(AND(G261&gt;F261,H261&gt;0,I261&gt;0,L261&lt;='Sheet1-指标体系'!$J$31,M261&lt;='Sheet1-指标体系'!$J$31),1,0))</f>
        <v>0</v>
      </c>
      <c r="L261" s="9" t="str">
        <f t="shared" si="13"/>
        <v/>
      </c>
      <c r="M261" s="9" t="str">
        <f t="shared" si="14"/>
        <v/>
      </c>
    </row>
    <row r="262" ht="25" customHeight="1" spans="1:13">
      <c r="A262" s="9" t="s">
        <v>472</v>
      </c>
      <c r="B262" s="9" t="s">
        <v>471</v>
      </c>
      <c r="C262" s="9" t="s">
        <v>1029</v>
      </c>
      <c r="D262" s="10">
        <v>45199</v>
      </c>
      <c r="E262" s="10">
        <v>45230</v>
      </c>
      <c r="F262" s="10"/>
      <c r="G262" s="10"/>
      <c r="H262" s="15"/>
      <c r="I262" s="15"/>
      <c r="J262" s="11" t="str">
        <f t="shared" si="12"/>
        <v/>
      </c>
      <c r="K262" s="9">
        <f>IF(COUNT(F262:I262)&lt;&gt;4,0,IF(AND(G262&gt;F262,H262&gt;0,I262&gt;0,L262&lt;='Sheet1-指标体系'!$J$31,M262&lt;='Sheet1-指标体系'!$J$31),1,0))</f>
        <v>0</v>
      </c>
      <c r="L262" s="9" t="str">
        <f t="shared" si="13"/>
        <v/>
      </c>
      <c r="M262" s="9" t="str">
        <f t="shared" si="14"/>
        <v/>
      </c>
    </row>
    <row r="263" ht="25" customHeight="1" spans="1:13">
      <c r="A263" s="9" t="s">
        <v>472</v>
      </c>
      <c r="B263" s="9" t="s">
        <v>471</v>
      </c>
      <c r="C263" s="9" t="s">
        <v>1030</v>
      </c>
      <c r="D263" s="10">
        <v>45230</v>
      </c>
      <c r="E263" s="10">
        <v>45260</v>
      </c>
      <c r="F263" s="10"/>
      <c r="G263" s="10"/>
      <c r="H263" s="15"/>
      <c r="I263" s="15"/>
      <c r="J263" s="11" t="str">
        <f t="shared" si="12"/>
        <v/>
      </c>
      <c r="K263" s="9">
        <f>IF(COUNT(F263:I263)&lt;&gt;4,0,IF(AND(G263&gt;F263,H263&gt;0,I263&gt;0,L263&lt;='Sheet1-指标体系'!$J$31,M263&lt;='Sheet1-指标体系'!$J$31),1,0))</f>
        <v>0</v>
      </c>
      <c r="L263" s="9" t="str">
        <f t="shared" si="13"/>
        <v/>
      </c>
      <c r="M263" s="9" t="str">
        <f t="shared" si="14"/>
        <v/>
      </c>
    </row>
    <row r="264" ht="25" customHeight="1" spans="1:13">
      <c r="A264" s="9" t="s">
        <v>472</v>
      </c>
      <c r="B264" s="9" t="s">
        <v>471</v>
      </c>
      <c r="C264" s="9" t="s">
        <v>1031</v>
      </c>
      <c r="D264" s="10">
        <v>45260</v>
      </c>
      <c r="E264" s="10">
        <v>45291</v>
      </c>
      <c r="F264" s="10"/>
      <c r="G264" s="10"/>
      <c r="H264" s="15"/>
      <c r="I264" s="15"/>
      <c r="J264" s="11" t="str">
        <f t="shared" si="12"/>
        <v/>
      </c>
      <c r="K264" s="9">
        <f>IF(COUNT(F264:I264)&lt;&gt;4,0,IF(AND(G264&gt;F264,H264&gt;0,I264&gt;0,L264&lt;='Sheet1-指标体系'!$J$31,M264&lt;='Sheet1-指标体系'!$J$31),1,0))</f>
        <v>0</v>
      </c>
      <c r="L264" s="9" t="str">
        <f t="shared" si="13"/>
        <v/>
      </c>
      <c r="M264" s="9" t="str">
        <f t="shared" si="14"/>
        <v/>
      </c>
    </row>
    <row r="265" ht="25" customHeight="1" spans="1:13">
      <c r="A265" s="9" t="s">
        <v>472</v>
      </c>
      <c r="B265" s="9" t="s">
        <v>471</v>
      </c>
      <c r="C265" s="9" t="s">
        <v>1032</v>
      </c>
      <c r="D265" s="10">
        <v>45291</v>
      </c>
      <c r="E265" s="10">
        <v>45322</v>
      </c>
      <c r="F265" s="10"/>
      <c r="G265" s="10"/>
      <c r="H265" s="15"/>
      <c r="I265" s="15"/>
      <c r="J265" s="11" t="str">
        <f t="shared" si="12"/>
        <v/>
      </c>
      <c r="K265" s="9">
        <f>IF(COUNT(F265:I265)&lt;&gt;4,0,IF(AND(G265&gt;F265,H265&gt;0,I265&gt;0,L265&lt;='Sheet1-指标体系'!$J$31,M265&lt;='Sheet1-指标体系'!$J$31),1,0))</f>
        <v>0</v>
      </c>
      <c r="L265" s="9" t="str">
        <f t="shared" si="13"/>
        <v/>
      </c>
      <c r="M265" s="9" t="str">
        <f t="shared" si="14"/>
        <v/>
      </c>
    </row>
    <row r="266" ht="25" customHeight="1" spans="1:13">
      <c r="A266" s="9" t="s">
        <v>472</v>
      </c>
      <c r="B266" s="9" t="s">
        <v>471</v>
      </c>
      <c r="C266" s="9" t="s">
        <v>1033</v>
      </c>
      <c r="D266" s="10">
        <v>45322</v>
      </c>
      <c r="E266" s="10">
        <v>45351</v>
      </c>
      <c r="F266" s="10"/>
      <c r="G266" s="10"/>
      <c r="H266" s="15"/>
      <c r="I266" s="15"/>
      <c r="J266" s="11" t="str">
        <f t="shared" si="12"/>
        <v/>
      </c>
      <c r="K266" s="9">
        <f>IF(COUNT(F266:I266)&lt;&gt;4,0,IF(AND(G266&gt;F266,H266&gt;0,I266&gt;0,L266&lt;='Sheet1-指标体系'!$J$31,M266&lt;='Sheet1-指标体系'!$J$31),1,0))</f>
        <v>0</v>
      </c>
      <c r="L266" s="9" t="str">
        <f t="shared" si="13"/>
        <v/>
      </c>
      <c r="M266" s="9" t="str">
        <f t="shared" si="14"/>
        <v/>
      </c>
    </row>
    <row r="267" ht="25" customHeight="1" spans="1:13">
      <c r="A267" s="9" t="s">
        <v>472</v>
      </c>
      <c r="B267" s="9" t="s">
        <v>471</v>
      </c>
      <c r="C267" s="9" t="s">
        <v>1034</v>
      </c>
      <c r="D267" s="10">
        <v>45351</v>
      </c>
      <c r="E267" s="10">
        <v>45382</v>
      </c>
      <c r="F267" s="10"/>
      <c r="G267" s="10"/>
      <c r="H267" s="15"/>
      <c r="I267" s="15"/>
      <c r="J267" s="11" t="str">
        <f t="shared" si="12"/>
        <v/>
      </c>
      <c r="K267" s="9">
        <f>IF(COUNT(F267:I267)&lt;&gt;4,0,IF(AND(G267&gt;F267,H267&gt;0,I267&gt;0,L267&lt;='Sheet1-指标体系'!$J$31,M267&lt;='Sheet1-指标体系'!$J$31),1,0))</f>
        <v>0</v>
      </c>
      <c r="L267" s="9" t="str">
        <f t="shared" si="13"/>
        <v/>
      </c>
      <c r="M267" s="9" t="str">
        <f t="shared" si="14"/>
        <v/>
      </c>
    </row>
    <row r="268" ht="25" customHeight="1" spans="1:13">
      <c r="A268" s="9" t="s">
        <v>472</v>
      </c>
      <c r="B268" s="9" t="s">
        <v>471</v>
      </c>
      <c r="C268" s="9" t="s">
        <v>1035</v>
      </c>
      <c r="D268" s="10">
        <v>45382</v>
      </c>
      <c r="E268" s="10">
        <v>45412</v>
      </c>
      <c r="F268" s="10"/>
      <c r="G268" s="10"/>
      <c r="H268" s="15"/>
      <c r="I268" s="15"/>
      <c r="J268" s="11" t="str">
        <f t="shared" si="12"/>
        <v/>
      </c>
      <c r="K268" s="9">
        <f>IF(COUNT(F268:I268)&lt;&gt;4,0,IF(AND(G268&gt;F268,H268&gt;0,I268&gt;0,L268&lt;='Sheet1-指标体系'!$J$31,M268&lt;='Sheet1-指标体系'!$J$31),1,0))</f>
        <v>0</v>
      </c>
      <c r="L268" s="9" t="str">
        <f t="shared" si="13"/>
        <v/>
      </c>
      <c r="M268" s="9" t="str">
        <f t="shared" si="14"/>
        <v/>
      </c>
    </row>
    <row r="269" ht="25" customHeight="1" spans="1:13">
      <c r="A269" s="9" t="s">
        <v>472</v>
      </c>
      <c r="B269" s="9" t="s">
        <v>471</v>
      </c>
      <c r="C269" s="9" t="s">
        <v>1036</v>
      </c>
      <c r="D269" s="10">
        <v>45412</v>
      </c>
      <c r="E269" s="10">
        <v>45443</v>
      </c>
      <c r="F269" s="10"/>
      <c r="G269" s="10"/>
      <c r="H269" s="15"/>
      <c r="I269" s="15"/>
      <c r="J269" s="11" t="str">
        <f t="shared" si="12"/>
        <v/>
      </c>
      <c r="K269" s="9">
        <f>IF(COUNT(F269:I269)&lt;&gt;4,0,IF(AND(G269&gt;F269,H269&gt;0,I269&gt;0,L269&lt;='Sheet1-指标体系'!$J$31,M269&lt;='Sheet1-指标体系'!$J$31),1,0))</f>
        <v>0</v>
      </c>
      <c r="L269" s="9" t="str">
        <f t="shared" si="13"/>
        <v/>
      </c>
      <c r="M269" s="9" t="str">
        <f t="shared" si="14"/>
        <v/>
      </c>
    </row>
    <row r="270" ht="25" customHeight="1" spans="1:13">
      <c r="A270" s="9" t="s">
        <v>472</v>
      </c>
      <c r="B270" s="9" t="s">
        <v>471</v>
      </c>
      <c r="C270" s="9" t="s">
        <v>1037</v>
      </c>
      <c r="D270" s="10">
        <v>45443</v>
      </c>
      <c r="E270" s="10">
        <v>45473</v>
      </c>
      <c r="F270" s="10"/>
      <c r="G270" s="10"/>
      <c r="H270" s="15"/>
      <c r="I270" s="15"/>
      <c r="J270" s="11" t="str">
        <f t="shared" si="12"/>
        <v/>
      </c>
      <c r="K270" s="9">
        <f>IF(COUNT(F270:I270)&lt;&gt;4,0,IF(AND(G270&gt;F270,H270&gt;0,I270&gt;0,L270&lt;='Sheet1-指标体系'!$J$31,M270&lt;='Sheet1-指标体系'!$J$31),1,0))</f>
        <v>0</v>
      </c>
      <c r="L270" s="9" t="str">
        <f t="shared" si="13"/>
        <v/>
      </c>
      <c r="M270" s="9" t="str">
        <f t="shared" si="14"/>
        <v/>
      </c>
    </row>
    <row r="271" ht="25" customHeight="1" spans="1:13">
      <c r="A271" s="9" t="s">
        <v>472</v>
      </c>
      <c r="B271" s="9" t="s">
        <v>471</v>
      </c>
      <c r="C271" s="9" t="s">
        <v>1038</v>
      </c>
      <c r="D271" s="10">
        <v>45473</v>
      </c>
      <c r="E271" s="10">
        <v>45504</v>
      </c>
      <c r="F271" s="10"/>
      <c r="G271" s="10"/>
      <c r="H271" s="15"/>
      <c r="I271" s="15"/>
      <c r="J271" s="11" t="str">
        <f t="shared" si="12"/>
        <v/>
      </c>
      <c r="K271" s="9">
        <f>IF(COUNT(F271:I271)&lt;&gt;4,0,IF(AND(G271&gt;F271,H271&gt;0,I271&gt;0,L271&lt;='Sheet1-指标体系'!$J$31,M271&lt;='Sheet1-指标体系'!$J$31),1,0))</f>
        <v>0</v>
      </c>
      <c r="L271" s="9" t="str">
        <f t="shared" si="13"/>
        <v/>
      </c>
      <c r="M271" s="9" t="str">
        <f t="shared" si="14"/>
        <v/>
      </c>
    </row>
    <row r="272" ht="25" customHeight="1" spans="1:13">
      <c r="A272" s="9" t="s">
        <v>472</v>
      </c>
      <c r="B272" s="9" t="s">
        <v>471</v>
      </c>
      <c r="C272" s="9" t="s">
        <v>1039</v>
      </c>
      <c r="D272" s="10">
        <v>45504</v>
      </c>
      <c r="E272" s="10">
        <v>45535</v>
      </c>
      <c r="F272" s="10"/>
      <c r="G272" s="10"/>
      <c r="H272" s="15"/>
      <c r="I272" s="15"/>
      <c r="J272" s="11" t="str">
        <f t="shared" si="12"/>
        <v/>
      </c>
      <c r="K272" s="9">
        <f>IF(COUNT(F272:I272)&lt;&gt;4,0,IF(AND(G272&gt;F272,H272&gt;0,I272&gt;0,L272&lt;='Sheet1-指标体系'!$J$31,M272&lt;='Sheet1-指标体系'!$J$31),1,0))</f>
        <v>0</v>
      </c>
      <c r="L272" s="9" t="str">
        <f t="shared" si="13"/>
        <v/>
      </c>
      <c r="M272" s="9" t="str">
        <f t="shared" si="14"/>
        <v/>
      </c>
    </row>
    <row r="273" ht="25" customHeight="1" spans="1:13">
      <c r="A273" s="9" t="s">
        <v>472</v>
      </c>
      <c r="B273" s="9" t="s">
        <v>471</v>
      </c>
      <c r="C273" s="9" t="s">
        <v>1040</v>
      </c>
      <c r="D273" s="10">
        <v>45535</v>
      </c>
      <c r="E273" s="10">
        <v>45565</v>
      </c>
      <c r="F273" s="10"/>
      <c r="G273" s="10"/>
      <c r="H273" s="15"/>
      <c r="I273" s="15"/>
      <c r="J273" s="11" t="str">
        <f t="shared" si="12"/>
        <v/>
      </c>
      <c r="K273" s="9">
        <f>IF(COUNT(F273:I273)&lt;&gt;4,0,IF(AND(G273&gt;F273,H273&gt;0,I273&gt;0,L273&lt;='Sheet1-指标体系'!$J$31,M273&lt;='Sheet1-指标体系'!$J$31),1,0))</f>
        <v>0</v>
      </c>
      <c r="L273" s="9" t="str">
        <f t="shared" si="13"/>
        <v/>
      </c>
      <c r="M273" s="9" t="str">
        <f t="shared" si="14"/>
        <v/>
      </c>
    </row>
    <row r="274" ht="25" customHeight="1" spans="1:13">
      <c r="A274" s="9" t="s">
        <v>472</v>
      </c>
      <c r="B274" s="9" t="s">
        <v>471</v>
      </c>
      <c r="C274" s="9" t="s">
        <v>1041</v>
      </c>
      <c r="D274" s="10">
        <v>45565</v>
      </c>
      <c r="E274" s="10">
        <v>45596</v>
      </c>
      <c r="F274" s="10"/>
      <c r="G274" s="10"/>
      <c r="H274" s="15"/>
      <c r="I274" s="15"/>
      <c r="J274" s="11" t="str">
        <f t="shared" si="12"/>
        <v/>
      </c>
      <c r="K274" s="9">
        <f>IF(COUNT(F274:I274)&lt;&gt;4,0,IF(AND(G274&gt;F274,H274&gt;0,I274&gt;0,L274&lt;='Sheet1-指标体系'!$J$31,M274&lt;='Sheet1-指标体系'!$J$31),1,0))</f>
        <v>0</v>
      </c>
      <c r="L274" s="9" t="str">
        <f t="shared" si="13"/>
        <v/>
      </c>
      <c r="M274" s="9" t="str">
        <f t="shared" si="14"/>
        <v/>
      </c>
    </row>
    <row r="275" ht="25" customHeight="1" spans="1:13">
      <c r="A275" s="9" t="s">
        <v>472</v>
      </c>
      <c r="B275" s="9" t="s">
        <v>471</v>
      </c>
      <c r="C275" s="9" t="s">
        <v>1042</v>
      </c>
      <c r="D275" s="10">
        <v>45596</v>
      </c>
      <c r="E275" s="10">
        <v>45626</v>
      </c>
      <c r="F275" s="10"/>
      <c r="G275" s="10"/>
      <c r="H275" s="15"/>
      <c r="I275" s="15"/>
      <c r="J275" s="11" t="str">
        <f t="shared" si="12"/>
        <v/>
      </c>
      <c r="K275" s="9">
        <f>IF(COUNT(F275:I275)&lt;&gt;4,0,IF(AND(G275&gt;F275,H275&gt;0,I275&gt;0,L275&lt;='Sheet1-指标体系'!$J$31,M275&lt;='Sheet1-指标体系'!$J$31),1,0))</f>
        <v>0</v>
      </c>
      <c r="L275" s="9" t="str">
        <f t="shared" si="13"/>
        <v/>
      </c>
      <c r="M275" s="9" t="str">
        <f t="shared" si="14"/>
        <v/>
      </c>
    </row>
    <row r="276" ht="25" customHeight="1" spans="1:13">
      <c r="A276" s="9" t="s">
        <v>472</v>
      </c>
      <c r="B276" s="9" t="s">
        <v>471</v>
      </c>
      <c r="C276" s="9" t="s">
        <v>1043</v>
      </c>
      <c r="D276" s="10">
        <v>45626</v>
      </c>
      <c r="E276" s="10">
        <v>45657</v>
      </c>
      <c r="F276" s="10"/>
      <c r="G276" s="10"/>
      <c r="H276" s="15"/>
      <c r="I276" s="15"/>
      <c r="J276" s="11" t="str">
        <f t="shared" si="12"/>
        <v/>
      </c>
      <c r="K276" s="9">
        <f>IF(COUNT(F276:I276)&lt;&gt;4,0,IF(AND(G276&gt;F276,H276&gt;0,I276&gt;0,L276&lt;='Sheet1-指标体系'!$J$31,M276&lt;='Sheet1-指标体系'!$J$31),1,0))</f>
        <v>0</v>
      </c>
      <c r="L276" s="9" t="str">
        <f t="shared" si="13"/>
        <v/>
      </c>
      <c r="M276" s="9" t="str">
        <f t="shared" si="14"/>
        <v/>
      </c>
    </row>
    <row r="277" ht="25" customHeight="1" spans="1:13">
      <c r="A277" s="9" t="s">
        <v>472</v>
      </c>
      <c r="B277" s="9" t="s">
        <v>471</v>
      </c>
      <c r="C277" s="9" t="s">
        <v>1044</v>
      </c>
      <c r="D277" s="10">
        <v>45657</v>
      </c>
      <c r="E277" s="10">
        <v>45688</v>
      </c>
      <c r="F277" s="10"/>
      <c r="G277" s="10"/>
      <c r="H277" s="15"/>
      <c r="I277" s="15"/>
      <c r="J277" s="11" t="str">
        <f t="shared" si="12"/>
        <v/>
      </c>
      <c r="K277" s="9">
        <f>IF(COUNT(F277:I277)&lt;&gt;4,0,IF(AND(G277&gt;F277,H277&gt;0,I277&gt;0,L277&lt;='Sheet1-指标体系'!$J$31,M277&lt;='Sheet1-指标体系'!$J$31),1,0))</f>
        <v>0</v>
      </c>
      <c r="L277" s="9" t="str">
        <f t="shared" si="13"/>
        <v/>
      </c>
      <c r="M277" s="9" t="str">
        <f t="shared" si="14"/>
        <v/>
      </c>
    </row>
    <row r="278" ht="25" customHeight="1" spans="1:13">
      <c r="A278" s="9" t="s">
        <v>472</v>
      </c>
      <c r="B278" s="9" t="s">
        <v>471</v>
      </c>
      <c r="C278" s="9" t="s">
        <v>1045</v>
      </c>
      <c r="D278" s="10">
        <v>45688</v>
      </c>
      <c r="E278" s="10">
        <v>45716</v>
      </c>
      <c r="F278" s="10"/>
      <c r="G278" s="10"/>
      <c r="H278" s="15"/>
      <c r="I278" s="15"/>
      <c r="J278" s="11" t="str">
        <f t="shared" si="12"/>
        <v/>
      </c>
      <c r="K278" s="9">
        <f>IF(COUNT(F278:I278)&lt;&gt;4,0,IF(AND(G278&gt;F278,H278&gt;0,I278&gt;0,L278&lt;='Sheet1-指标体系'!$J$31,M278&lt;='Sheet1-指标体系'!$J$31),1,0))</f>
        <v>0</v>
      </c>
      <c r="L278" s="9" t="str">
        <f t="shared" si="13"/>
        <v/>
      </c>
      <c r="M278" s="9" t="str">
        <f t="shared" si="14"/>
        <v/>
      </c>
    </row>
    <row r="279" ht="25" customHeight="1" spans="1:13">
      <c r="A279" s="9" t="s">
        <v>472</v>
      </c>
      <c r="B279" s="9" t="s">
        <v>471</v>
      </c>
      <c r="C279" s="9" t="s">
        <v>1046</v>
      </c>
      <c r="D279" s="10">
        <v>45716</v>
      </c>
      <c r="E279" s="10">
        <v>45747</v>
      </c>
      <c r="F279" s="10"/>
      <c r="G279" s="10"/>
      <c r="H279" s="15"/>
      <c r="I279" s="15"/>
      <c r="J279" s="11" t="str">
        <f t="shared" si="12"/>
        <v/>
      </c>
      <c r="K279" s="9">
        <f>IF(COUNT(F279:I279)&lt;&gt;4,0,IF(AND(G279&gt;F279,H279&gt;0,I279&gt;0,L279&lt;='Sheet1-指标体系'!$J$31,M279&lt;='Sheet1-指标体系'!$J$31),1,0))</f>
        <v>0</v>
      </c>
      <c r="L279" s="9" t="str">
        <f t="shared" si="13"/>
        <v/>
      </c>
      <c r="M279" s="9" t="str">
        <f t="shared" si="14"/>
        <v/>
      </c>
    </row>
    <row r="280" ht="25" customHeight="1" spans="1:13">
      <c r="A280" s="9" t="s">
        <v>472</v>
      </c>
      <c r="B280" s="9" t="s">
        <v>471</v>
      </c>
      <c r="C280" s="9" t="s">
        <v>1047</v>
      </c>
      <c r="D280" s="10">
        <v>45747</v>
      </c>
      <c r="E280" s="10">
        <v>45777</v>
      </c>
      <c r="F280" s="10"/>
      <c r="G280" s="10"/>
      <c r="H280" s="15"/>
      <c r="I280" s="15"/>
      <c r="J280" s="11" t="str">
        <f t="shared" si="12"/>
        <v/>
      </c>
      <c r="K280" s="9">
        <f>IF(COUNT(F280:I280)&lt;&gt;4,0,IF(AND(G280&gt;F280,H280&gt;0,I280&gt;0,L280&lt;='Sheet1-指标体系'!$J$31,M280&lt;='Sheet1-指标体系'!$J$31),1,0))</f>
        <v>0</v>
      </c>
      <c r="L280" s="9" t="str">
        <f t="shared" si="13"/>
        <v/>
      </c>
      <c r="M280" s="9" t="str">
        <f t="shared" si="14"/>
        <v/>
      </c>
    </row>
    <row r="281" ht="25" customHeight="1" spans="1:13">
      <c r="A281" s="9" t="s">
        <v>472</v>
      </c>
      <c r="B281" s="9" t="s">
        <v>471</v>
      </c>
      <c r="C281" s="9" t="s">
        <v>1048</v>
      </c>
      <c r="D281" s="10">
        <v>45777</v>
      </c>
      <c r="E281" s="10">
        <v>45808</v>
      </c>
      <c r="F281" s="10"/>
      <c r="G281" s="10"/>
      <c r="H281" s="15"/>
      <c r="I281" s="15"/>
      <c r="J281" s="11" t="str">
        <f t="shared" si="12"/>
        <v/>
      </c>
      <c r="K281" s="9">
        <f>IF(COUNT(F281:I281)&lt;&gt;4,0,IF(AND(G281&gt;F281,H281&gt;0,I281&gt;0,L281&lt;='Sheet1-指标体系'!$J$31,M281&lt;='Sheet1-指标体系'!$J$31),1,0))</f>
        <v>0</v>
      </c>
      <c r="L281" s="9" t="str">
        <f t="shared" si="13"/>
        <v/>
      </c>
      <c r="M281" s="9" t="str">
        <f t="shared" si="14"/>
        <v/>
      </c>
    </row>
    <row r="282" ht="25" customHeight="1" spans="1:13">
      <c r="A282" s="9" t="s">
        <v>472</v>
      </c>
      <c r="B282" s="9" t="s">
        <v>471</v>
      </c>
      <c r="C282" s="9" t="s">
        <v>1049</v>
      </c>
      <c r="D282" s="10">
        <v>45808</v>
      </c>
      <c r="E282" s="10">
        <v>45838</v>
      </c>
      <c r="F282" s="10"/>
      <c r="G282" s="10"/>
      <c r="H282" s="15"/>
      <c r="I282" s="15"/>
      <c r="J282" s="11" t="str">
        <f t="shared" si="12"/>
        <v/>
      </c>
      <c r="K282" s="9">
        <f>IF(COUNT(F282:I282)&lt;&gt;4,0,IF(AND(G282&gt;F282,H282&gt;0,I282&gt;0,L282&lt;='Sheet1-指标体系'!$J$31,M282&lt;='Sheet1-指标体系'!$J$31),1,0))</f>
        <v>0</v>
      </c>
      <c r="L282" s="9" t="str">
        <f t="shared" si="13"/>
        <v/>
      </c>
      <c r="M282" s="9" t="str">
        <f t="shared" si="14"/>
        <v/>
      </c>
    </row>
    <row r="283" ht="25" customHeight="1" spans="1:13">
      <c r="A283" s="9" t="s">
        <v>472</v>
      </c>
      <c r="B283" s="9" t="s">
        <v>471</v>
      </c>
      <c r="C283" s="9" t="s">
        <v>1050</v>
      </c>
      <c r="D283" s="10">
        <v>45838</v>
      </c>
      <c r="E283" s="10">
        <v>45869</v>
      </c>
      <c r="F283" s="10"/>
      <c r="G283" s="10">
        <f>净值原始!C1095</f>
        <v>45869</v>
      </c>
      <c r="H283" s="15"/>
      <c r="I283" s="15">
        <f>净值原始!F1095</f>
        <v>0.9995</v>
      </c>
      <c r="J283" s="11" t="str">
        <f t="shared" si="12"/>
        <v/>
      </c>
      <c r="K283" s="9">
        <f>IF(COUNT(F283:I283)&lt;&gt;4,0,IF(AND(G283&gt;F283,H283&gt;0,I283&gt;0,L283&lt;='Sheet1-指标体系'!$J$31,M283&lt;='Sheet1-指标体系'!$J$31),1,0))</f>
        <v>0</v>
      </c>
      <c r="L283" s="9" t="str">
        <f t="shared" si="13"/>
        <v/>
      </c>
      <c r="M283" s="9">
        <f t="shared" si="14"/>
        <v>0</v>
      </c>
    </row>
    <row r="284" ht="25" customHeight="1" spans="1:13">
      <c r="A284" s="9" t="s">
        <v>472</v>
      </c>
      <c r="B284" s="9" t="s">
        <v>471</v>
      </c>
      <c r="C284" s="9" t="s">
        <v>1051</v>
      </c>
      <c r="D284" s="10">
        <v>45869</v>
      </c>
      <c r="E284" s="10">
        <v>45900</v>
      </c>
      <c r="F284" s="10">
        <f>净值原始!C1095</f>
        <v>45869</v>
      </c>
      <c r="G284" s="10">
        <f>净值原始!C1116</f>
        <v>45898</v>
      </c>
      <c r="H284" s="15">
        <f>净值原始!F1095</f>
        <v>0.9995</v>
      </c>
      <c r="I284" s="15">
        <f>净值原始!F1116</f>
        <v>1.0058</v>
      </c>
      <c r="J284" s="11">
        <f t="shared" si="12"/>
        <v>0.00630315157578787</v>
      </c>
      <c r="K284" s="9">
        <f>IF(COUNT(F284:I284)&lt;&gt;4,0,IF(AND(G284&gt;F284,H284&gt;0,I284&gt;0,L284&lt;='Sheet1-指标体系'!$J$31,M284&lt;='Sheet1-指标体系'!$J$31),1,0))</f>
        <v>1</v>
      </c>
      <c r="L284" s="9">
        <f t="shared" si="13"/>
        <v>0</v>
      </c>
      <c r="M284" s="9">
        <f t="shared" si="14"/>
        <v>2</v>
      </c>
    </row>
    <row r="285" ht="25" customHeight="1" spans="1:13">
      <c r="A285" s="9" t="s">
        <v>472</v>
      </c>
      <c r="B285" s="9" t="s">
        <v>471</v>
      </c>
      <c r="C285" s="9" t="s">
        <v>1052</v>
      </c>
      <c r="D285" s="10">
        <v>45900</v>
      </c>
      <c r="E285" s="10">
        <v>45930</v>
      </c>
      <c r="F285" s="10">
        <f>净值原始!C1116</f>
        <v>45898</v>
      </c>
      <c r="G285" s="10">
        <f>净值原始!C1138</f>
        <v>45930</v>
      </c>
      <c r="H285" s="15">
        <f>净值原始!F1116</f>
        <v>1.0058</v>
      </c>
      <c r="I285" s="15">
        <f>净值原始!F1138</f>
        <v>1.0103</v>
      </c>
      <c r="J285" s="11">
        <f t="shared" si="12"/>
        <v>0.00447405050705907</v>
      </c>
      <c r="K285" s="9">
        <f>IF(COUNT(F285:I285)&lt;&gt;4,0,IF(AND(G285&gt;F285,H285&gt;0,I285&gt;0,L285&lt;='Sheet1-指标体系'!$J$31,M285&lt;='Sheet1-指标体系'!$J$31),1,0))</f>
        <v>1</v>
      </c>
      <c r="L285" s="9">
        <f t="shared" si="13"/>
        <v>2</v>
      </c>
      <c r="M285" s="9">
        <f t="shared" si="14"/>
        <v>0</v>
      </c>
    </row>
    <row r="286" ht="25" customHeight="1" spans="1:13">
      <c r="A286" s="9" t="s">
        <v>472</v>
      </c>
      <c r="B286" s="9" t="s">
        <v>471</v>
      </c>
      <c r="C286" s="9" t="s">
        <v>1053</v>
      </c>
      <c r="D286" s="10">
        <v>45930</v>
      </c>
      <c r="E286" s="10">
        <v>45961</v>
      </c>
      <c r="F286" s="10">
        <f>净值原始!C1138</f>
        <v>45930</v>
      </c>
      <c r="G286" s="10">
        <f>净值原始!C1155</f>
        <v>45961</v>
      </c>
      <c r="H286" s="15">
        <f>净值原始!F1138</f>
        <v>1.0103</v>
      </c>
      <c r="I286" s="15">
        <f>净值原始!F1155</f>
        <v>1.0138</v>
      </c>
      <c r="J286" s="11">
        <f t="shared" si="12"/>
        <v>0.00346431752944665</v>
      </c>
      <c r="K286" s="9">
        <f>IF(COUNT(F286:I286)&lt;&gt;4,0,IF(AND(G286&gt;F286,H286&gt;0,I286&gt;0,L286&lt;='Sheet1-指标体系'!$J$31,M286&lt;='Sheet1-指标体系'!$J$31),1,0))</f>
        <v>1</v>
      </c>
      <c r="L286" s="9">
        <f t="shared" si="13"/>
        <v>0</v>
      </c>
      <c r="M286" s="9">
        <f t="shared" si="14"/>
        <v>0</v>
      </c>
    </row>
    <row r="287" ht="25" customHeight="1" spans="1:13">
      <c r="A287" s="9" t="s">
        <v>472</v>
      </c>
      <c r="B287" s="9" t="s">
        <v>471</v>
      </c>
      <c r="C287" s="9" t="s">
        <v>1054</v>
      </c>
      <c r="D287" s="10">
        <v>45961</v>
      </c>
      <c r="E287" s="10">
        <v>45991</v>
      </c>
      <c r="F287" s="10">
        <f>净值原始!C1155</f>
        <v>45961</v>
      </c>
      <c r="G287" s="10">
        <f>净值原始!C1175</f>
        <v>45989</v>
      </c>
      <c r="H287" s="15">
        <f>净值原始!F1155</f>
        <v>1.0138</v>
      </c>
      <c r="I287" s="15">
        <f>净值原始!F1175</f>
        <v>1.015</v>
      </c>
      <c r="J287" s="11">
        <f t="shared" si="12"/>
        <v>0.00118366541724191</v>
      </c>
      <c r="K287" s="9">
        <f>IF(COUNT(F287:I287)&lt;&gt;4,0,IF(AND(G287&gt;F287,H287&gt;0,I287&gt;0,L287&lt;='Sheet1-指标体系'!$J$31,M287&lt;='Sheet1-指标体系'!$J$31),1,0))</f>
        <v>1</v>
      </c>
      <c r="L287" s="9">
        <f t="shared" si="13"/>
        <v>0</v>
      </c>
      <c r="M287" s="9">
        <f t="shared" si="14"/>
        <v>2</v>
      </c>
    </row>
    <row r="288" ht="25" customHeight="1" spans="1:13">
      <c r="A288" s="9" t="s">
        <v>472</v>
      </c>
      <c r="B288" s="9" t="s">
        <v>471</v>
      </c>
      <c r="C288" s="9" t="s">
        <v>1055</v>
      </c>
      <c r="D288" s="10">
        <v>45991</v>
      </c>
      <c r="E288" s="10">
        <v>46022</v>
      </c>
      <c r="F288" s="10">
        <f>净值原始!C1175</f>
        <v>45989</v>
      </c>
      <c r="G288" s="10">
        <f>净值原始!C1198</f>
        <v>46022</v>
      </c>
      <c r="H288" s="15">
        <f>净值原始!F1175</f>
        <v>1.015</v>
      </c>
      <c r="I288" s="15">
        <f>净值原始!F1198</f>
        <v>1.0373</v>
      </c>
      <c r="J288" s="11">
        <f t="shared" si="12"/>
        <v>0.0219704433497538</v>
      </c>
      <c r="K288" s="9">
        <f>IF(COUNT(F288:I288)&lt;&gt;4,0,IF(AND(G288&gt;F288,H288&gt;0,I288&gt;0,L288&lt;='Sheet1-指标体系'!$J$31,M288&lt;='Sheet1-指标体系'!$J$31),1,0))</f>
        <v>1</v>
      </c>
      <c r="L288" s="9">
        <f t="shared" si="13"/>
        <v>2</v>
      </c>
      <c r="M288" s="9">
        <f t="shared" si="14"/>
        <v>0</v>
      </c>
    </row>
    <row r="289" ht="25" customHeight="1" spans="1:13">
      <c r="A289" s="9" t="s">
        <v>472</v>
      </c>
      <c r="B289" s="9" t="s">
        <v>471</v>
      </c>
      <c r="C289" s="9" t="s">
        <v>1056</v>
      </c>
      <c r="D289" s="10">
        <v>46022</v>
      </c>
      <c r="E289" s="10">
        <v>46053</v>
      </c>
      <c r="F289" s="10">
        <f>净值原始!C1198</f>
        <v>46022</v>
      </c>
      <c r="G289" s="10">
        <f>净值原始!C1218</f>
        <v>46052</v>
      </c>
      <c r="H289" s="15">
        <f>净值原始!F1198</f>
        <v>1.0373</v>
      </c>
      <c r="I289" s="15">
        <f>净值原始!F1218</f>
        <v>1.0563</v>
      </c>
      <c r="J289" s="11">
        <f t="shared" si="12"/>
        <v>0.0183167839583533</v>
      </c>
      <c r="K289" s="9">
        <f>IF(COUNT(F289:I289)&lt;&gt;4,0,IF(AND(G289&gt;F289,H289&gt;0,I289&gt;0,L289&lt;='Sheet1-指标体系'!$J$31,M289&lt;='Sheet1-指标体系'!$J$31),1,0))</f>
        <v>1</v>
      </c>
      <c r="L289" s="9">
        <f t="shared" si="13"/>
        <v>0</v>
      </c>
      <c r="M289" s="9">
        <f t="shared" si="14"/>
        <v>1</v>
      </c>
    </row>
    <row r="290" ht="25" customHeight="1" spans="1:13">
      <c r="A290" s="9" t="s">
        <v>472</v>
      </c>
      <c r="B290" s="9" t="s">
        <v>471</v>
      </c>
      <c r="C290" s="9" t="s">
        <v>1057</v>
      </c>
      <c r="D290" s="10">
        <v>46053</v>
      </c>
      <c r="E290" s="10">
        <v>46081</v>
      </c>
      <c r="F290" s="10">
        <f>净值原始!C1218</f>
        <v>46052</v>
      </c>
      <c r="G290" s="10">
        <f>净值原始!C1232</f>
        <v>46080</v>
      </c>
      <c r="H290" s="15">
        <f>净值原始!F1218</f>
        <v>1.0563</v>
      </c>
      <c r="I290" s="15">
        <f>净值原始!F1232</f>
        <v>1.061</v>
      </c>
      <c r="J290" s="11">
        <f t="shared" si="12"/>
        <v>0.00444949351509982</v>
      </c>
      <c r="K290" s="9">
        <f>IF(COUNT(F290:I290)&lt;&gt;4,0,IF(AND(G290&gt;F290,H290&gt;0,I290&gt;0,L290&lt;='Sheet1-指标体系'!$J$31,M290&lt;='Sheet1-指标体系'!$J$31),1,0))</f>
        <v>1</v>
      </c>
      <c r="L290" s="9">
        <f t="shared" si="13"/>
        <v>1</v>
      </c>
      <c r="M290" s="9">
        <f t="shared" si="14"/>
        <v>1</v>
      </c>
    </row>
    <row r="291" ht="25" customHeight="1" spans="1:13">
      <c r="A291" s="9" t="s">
        <v>472</v>
      </c>
      <c r="B291" s="9" t="s">
        <v>471</v>
      </c>
      <c r="C291" s="9" t="s">
        <v>1058</v>
      </c>
      <c r="D291" s="10">
        <v>46081</v>
      </c>
      <c r="E291" s="10">
        <v>46112</v>
      </c>
      <c r="F291" s="10">
        <f>净值原始!C1232</f>
        <v>46080</v>
      </c>
      <c r="G291" s="10">
        <f>净值原始!C1254</f>
        <v>46112</v>
      </c>
      <c r="H291" s="15">
        <f>净值原始!F1232</f>
        <v>1.061</v>
      </c>
      <c r="I291" s="15">
        <f>净值原始!F1254</f>
        <v>1.0751</v>
      </c>
      <c r="J291" s="11">
        <f t="shared" si="12"/>
        <v>0.0132893496701225</v>
      </c>
      <c r="K291" s="9">
        <f>IF(COUNT(F291:I291)&lt;&gt;4,0,IF(AND(G291&gt;F291,H291&gt;0,I291&gt;0,L291&lt;='Sheet1-指标体系'!$J$31,M291&lt;='Sheet1-指标体系'!$J$31),1,0))</f>
        <v>1</v>
      </c>
      <c r="L291" s="9">
        <f t="shared" si="13"/>
        <v>1</v>
      </c>
      <c r="M291" s="9">
        <f t="shared" si="14"/>
        <v>0</v>
      </c>
    </row>
    <row r="292" ht="25" customHeight="1" spans="1:13">
      <c r="A292" s="9" t="s">
        <v>472</v>
      </c>
      <c r="B292" s="9" t="s">
        <v>471</v>
      </c>
      <c r="C292" s="9" t="s">
        <v>1059</v>
      </c>
      <c r="D292" s="10">
        <v>46112</v>
      </c>
      <c r="E292" s="10">
        <v>46142</v>
      </c>
      <c r="F292" s="10">
        <f>净值原始!C1254</f>
        <v>46112</v>
      </c>
      <c r="G292" s="10">
        <f>净值原始!C1275</f>
        <v>46142</v>
      </c>
      <c r="H292" s="15">
        <f>净值原始!F1254</f>
        <v>1.0751</v>
      </c>
      <c r="I292" s="15">
        <f>净值原始!F1275</f>
        <v>1.0777</v>
      </c>
      <c r="J292" s="11">
        <f t="shared" si="12"/>
        <v>0.00241837968561076</v>
      </c>
      <c r="K292" s="9">
        <f>IF(COUNT(F292:I292)&lt;&gt;4,0,IF(AND(G292&gt;F292,H292&gt;0,I292&gt;0,L292&lt;='Sheet1-指标体系'!$J$31,M292&lt;='Sheet1-指标体系'!$J$31),1,0))</f>
        <v>1</v>
      </c>
      <c r="L292" s="9">
        <f t="shared" si="13"/>
        <v>0</v>
      </c>
      <c r="M292" s="9">
        <f t="shared" si="14"/>
        <v>0</v>
      </c>
    </row>
    <row r="293" ht="25" customHeight="1" spans="1:13">
      <c r="A293" s="9" t="s">
        <v>472</v>
      </c>
      <c r="B293" s="9" t="s">
        <v>471</v>
      </c>
      <c r="C293" s="9" t="s">
        <v>1060</v>
      </c>
      <c r="D293" s="10">
        <v>46142</v>
      </c>
      <c r="E293" s="10">
        <v>46173</v>
      </c>
      <c r="F293" s="10">
        <f>净值原始!C1275</f>
        <v>46142</v>
      </c>
      <c r="G293" s="10">
        <f>净值原始!C1293</f>
        <v>46171</v>
      </c>
      <c r="H293" s="15">
        <f>净值原始!F1275</f>
        <v>1.0777</v>
      </c>
      <c r="I293" s="15">
        <f>净值原始!F1293</f>
        <v>1.0778</v>
      </c>
      <c r="J293" s="11">
        <f t="shared" si="12"/>
        <v>9.27902013547754e-5</v>
      </c>
      <c r="K293" s="9">
        <f>IF(COUNT(F293:I293)&lt;&gt;4,0,IF(AND(G293&gt;F293,H293&gt;0,I293&gt;0,L293&lt;='Sheet1-指标体系'!$J$31,M293&lt;='Sheet1-指标体系'!$J$31),1,0))</f>
        <v>1</v>
      </c>
      <c r="L293" s="9">
        <f t="shared" si="13"/>
        <v>0</v>
      </c>
      <c r="M293" s="9">
        <f t="shared" si="14"/>
        <v>2</v>
      </c>
    </row>
    <row r="294" ht="25" customHeight="1" spans="1:13">
      <c r="A294" s="9" t="s">
        <v>472</v>
      </c>
      <c r="B294" s="9" t="s">
        <v>471</v>
      </c>
      <c r="C294" s="9" t="s">
        <v>1061</v>
      </c>
      <c r="D294" s="10">
        <v>46173</v>
      </c>
      <c r="E294" s="10">
        <v>46203</v>
      </c>
      <c r="F294" s="10">
        <f>净值原始!C1293</f>
        <v>46171</v>
      </c>
      <c r="G294" s="10">
        <f>净值原始!C1314</f>
        <v>46203</v>
      </c>
      <c r="H294" s="15">
        <f>净值原始!F1293</f>
        <v>1.0778</v>
      </c>
      <c r="I294" s="15">
        <f>净值原始!F1314</f>
        <v>1.0814</v>
      </c>
      <c r="J294" s="11">
        <f t="shared" si="12"/>
        <v>0.00334013731675609</v>
      </c>
      <c r="K294" s="9">
        <f>IF(COUNT(F294:I294)&lt;&gt;4,0,IF(AND(G294&gt;F294,H294&gt;0,I294&gt;0,L294&lt;='Sheet1-指标体系'!$J$31,M294&lt;='Sheet1-指标体系'!$J$31),1,0))</f>
        <v>1</v>
      </c>
      <c r="L294" s="9">
        <f t="shared" si="13"/>
        <v>2</v>
      </c>
      <c r="M294" s="9">
        <f t="shared" si="14"/>
        <v>0</v>
      </c>
    </row>
    <row r="295" ht="25" customHeight="1" spans="1:13">
      <c r="A295" s="9" t="s">
        <v>472</v>
      </c>
      <c r="B295" s="9" t="s">
        <v>471</v>
      </c>
      <c r="C295" s="9" t="s">
        <v>1062</v>
      </c>
      <c r="D295" s="10">
        <v>46203</v>
      </c>
      <c r="E295" s="10">
        <v>46234</v>
      </c>
      <c r="F295" s="10">
        <f>净值原始!C1314</f>
        <v>46203</v>
      </c>
      <c r="G295" s="10">
        <f>净值原始!C1337</f>
        <v>46234</v>
      </c>
      <c r="H295" s="15">
        <f>净值原始!F1314</f>
        <v>1.0814</v>
      </c>
      <c r="I295" s="15">
        <f>净值原始!F1337</f>
        <v>1.0945</v>
      </c>
      <c r="J295" s="11">
        <f t="shared" si="12"/>
        <v>0.0121139263917145</v>
      </c>
      <c r="K295" s="9">
        <f>IF(COUNT(F295:I295)&lt;&gt;4,0,IF(AND(G295&gt;F295,H295&gt;0,I295&gt;0,L295&lt;='Sheet1-指标体系'!$J$31,M295&lt;='Sheet1-指标体系'!$J$31),1,0))</f>
        <v>1</v>
      </c>
      <c r="L295" s="9">
        <f t="shared" si="13"/>
        <v>0</v>
      </c>
      <c r="M295" s="9">
        <f t="shared" si="14"/>
        <v>0</v>
      </c>
    </row>
    <row r="296" ht="25" customHeight="1" spans="1:13">
      <c r="A296" s="9" t="s">
        <v>472</v>
      </c>
      <c r="B296" s="9" t="s">
        <v>471</v>
      </c>
      <c r="C296" s="9" t="s">
        <v>1063</v>
      </c>
      <c r="D296" s="10">
        <v>46234</v>
      </c>
      <c r="E296" s="10">
        <v>46265</v>
      </c>
      <c r="F296" s="10">
        <f>净值原始!C1337</f>
        <v>46234</v>
      </c>
      <c r="G296" s="10">
        <f>净值原始!C1358</f>
        <v>46265</v>
      </c>
      <c r="H296" s="15">
        <f>净值原始!F1337</f>
        <v>1.0945</v>
      </c>
      <c r="I296" s="15">
        <f>净值原始!F1358</f>
        <v>1.0969</v>
      </c>
      <c r="J296" s="11">
        <f t="shared" si="12"/>
        <v>0.00219278209227958</v>
      </c>
      <c r="K296" s="9">
        <f>IF(COUNT(F296:I296)&lt;&gt;4,0,IF(AND(G296&gt;F296,H296&gt;0,I296&gt;0,L296&lt;='Sheet1-指标体系'!$J$31,M296&lt;='Sheet1-指标体系'!$J$31),1,0))</f>
        <v>1</v>
      </c>
      <c r="L296" s="9">
        <f t="shared" si="13"/>
        <v>0</v>
      </c>
      <c r="M296" s="9">
        <f t="shared" si="14"/>
        <v>0</v>
      </c>
    </row>
    <row r="297" ht="25" customHeight="1" spans="1:13">
      <c r="A297" s="9" t="s">
        <v>472</v>
      </c>
      <c r="B297" s="9" t="s">
        <v>471</v>
      </c>
      <c r="C297" s="9" t="s">
        <v>1064</v>
      </c>
      <c r="D297" s="10">
        <v>46265</v>
      </c>
      <c r="E297" s="10">
        <v>46269</v>
      </c>
      <c r="F297" s="10">
        <f>净值原始!C1358</f>
        <v>46265</v>
      </c>
      <c r="G297" s="10">
        <f>净值原始!C1362</f>
        <v>46269</v>
      </c>
      <c r="H297" s="15">
        <f>净值原始!F1358</f>
        <v>1.0969</v>
      </c>
      <c r="I297" s="15">
        <f>净值原始!F1362</f>
        <v>1.0978</v>
      </c>
      <c r="J297" s="11">
        <f t="shared" si="12"/>
        <v>0.000820494119792237</v>
      </c>
      <c r="K297" s="9">
        <f>IF(COUNT(F297:I297)&lt;&gt;4,0,IF(AND(G297&gt;F297,H297&gt;0,I297&gt;0,L297&lt;='Sheet1-指标体系'!$J$31,M297&lt;='Sheet1-指标体系'!$J$31),1,0))</f>
        <v>1</v>
      </c>
      <c r="L297" s="9">
        <f t="shared" si="13"/>
        <v>0</v>
      </c>
      <c r="M297" s="9">
        <f t="shared" si="14"/>
        <v>0</v>
      </c>
    </row>
    <row r="298" ht="25" customHeight="1" spans="1:13">
      <c r="A298" s="9" t="s">
        <v>90</v>
      </c>
      <c r="B298" s="9" t="s">
        <v>88</v>
      </c>
      <c r="C298" s="9" t="s">
        <v>1028</v>
      </c>
      <c r="D298" s="10">
        <v>45169</v>
      </c>
      <c r="E298" s="10">
        <v>45199</v>
      </c>
      <c r="F298" s="10">
        <f>净值原始!C1488</f>
        <v>45163</v>
      </c>
      <c r="G298" s="10">
        <f>净值原始!C1493</f>
        <v>45197</v>
      </c>
      <c r="H298" s="15">
        <f>净值原始!F1488</f>
        <v>1.1644</v>
      </c>
      <c r="I298" s="15">
        <f>净值原始!F1493</f>
        <v>1.1644</v>
      </c>
      <c r="J298" s="11">
        <f t="shared" si="12"/>
        <v>0</v>
      </c>
      <c r="K298" s="9">
        <f>IF(COUNT(F298:I298)&lt;&gt;4,0,IF(AND(G298&gt;F298,H298&gt;0,I298&gt;0,L298&lt;='Sheet1-指标体系'!$J$31,M298&lt;='Sheet1-指标体系'!$J$31),1,0))</f>
        <v>1</v>
      </c>
      <c r="L298" s="9">
        <f t="shared" si="13"/>
        <v>6</v>
      </c>
      <c r="M298" s="9">
        <f t="shared" si="14"/>
        <v>2</v>
      </c>
    </row>
    <row r="299" ht="25" customHeight="1" spans="1:13">
      <c r="A299" s="9" t="s">
        <v>90</v>
      </c>
      <c r="B299" s="9" t="s">
        <v>88</v>
      </c>
      <c r="C299" s="9" t="s">
        <v>1029</v>
      </c>
      <c r="D299" s="10">
        <v>45199</v>
      </c>
      <c r="E299" s="10">
        <v>45230</v>
      </c>
      <c r="F299" s="10">
        <f>净值原始!C1493</f>
        <v>45197</v>
      </c>
      <c r="G299" s="10">
        <f>净值原始!C1496</f>
        <v>45226</v>
      </c>
      <c r="H299" s="15">
        <f>净值原始!F1493</f>
        <v>1.1644</v>
      </c>
      <c r="I299" s="15">
        <f>净值原始!F1496</f>
        <v>1.162</v>
      </c>
      <c r="J299" s="11">
        <f t="shared" si="12"/>
        <v>-0.00206114737203722</v>
      </c>
      <c r="K299" s="9">
        <f>IF(COUNT(F299:I299)&lt;&gt;4,0,IF(AND(G299&gt;F299,H299&gt;0,I299&gt;0,L299&lt;='Sheet1-指标体系'!$J$31,M299&lt;='Sheet1-指标体系'!$J$31),1,0))</f>
        <v>1</v>
      </c>
      <c r="L299" s="9">
        <f t="shared" si="13"/>
        <v>2</v>
      </c>
      <c r="M299" s="9">
        <f t="shared" si="14"/>
        <v>4</v>
      </c>
    </row>
    <row r="300" ht="25" customHeight="1" spans="1:13">
      <c r="A300" s="9" t="s">
        <v>90</v>
      </c>
      <c r="B300" s="9" t="s">
        <v>88</v>
      </c>
      <c r="C300" s="9" t="s">
        <v>1030</v>
      </c>
      <c r="D300" s="10">
        <v>45230</v>
      </c>
      <c r="E300" s="10">
        <v>45260</v>
      </c>
      <c r="F300" s="10">
        <f>净值原始!C1496</f>
        <v>45226</v>
      </c>
      <c r="G300" s="10">
        <f>净值原始!C1500</f>
        <v>45254</v>
      </c>
      <c r="H300" s="15">
        <f>净值原始!F1496</f>
        <v>1.162</v>
      </c>
      <c r="I300" s="15">
        <f>净值原始!F1500</f>
        <v>1.1571</v>
      </c>
      <c r="J300" s="11">
        <f t="shared" si="12"/>
        <v>-0.00421686746987948</v>
      </c>
      <c r="K300" s="9">
        <f>IF(COUNT(F300:I300)&lt;&gt;4,0,IF(AND(G300&gt;F300,H300&gt;0,I300&gt;0,L300&lt;='Sheet1-指标体系'!$J$31,M300&lt;='Sheet1-指标体系'!$J$31),1,0))</f>
        <v>1</v>
      </c>
      <c r="L300" s="9">
        <f t="shared" si="13"/>
        <v>4</v>
      </c>
      <c r="M300" s="9">
        <f t="shared" si="14"/>
        <v>6</v>
      </c>
    </row>
    <row r="301" ht="25" customHeight="1" spans="1:13">
      <c r="A301" s="9" t="s">
        <v>90</v>
      </c>
      <c r="B301" s="9" t="s">
        <v>88</v>
      </c>
      <c r="C301" s="9" t="s">
        <v>1031</v>
      </c>
      <c r="D301" s="10">
        <v>45260</v>
      </c>
      <c r="E301" s="10">
        <v>45291</v>
      </c>
      <c r="F301" s="10">
        <f>净值原始!C1500</f>
        <v>45254</v>
      </c>
      <c r="G301" s="10">
        <f>净值原始!C1505</f>
        <v>45289</v>
      </c>
      <c r="H301" s="15">
        <f>净值原始!F1500</f>
        <v>1.1571</v>
      </c>
      <c r="I301" s="15">
        <f>净值原始!F1505</f>
        <v>1.1588</v>
      </c>
      <c r="J301" s="11">
        <f t="shared" si="12"/>
        <v>0.00146919021692171</v>
      </c>
      <c r="K301" s="9">
        <f>IF(COUNT(F301:I301)&lt;&gt;4,0,IF(AND(G301&gt;F301,H301&gt;0,I301&gt;0,L301&lt;='Sheet1-指标体系'!$J$31,M301&lt;='Sheet1-指标体系'!$J$31),1,0))</f>
        <v>1</v>
      </c>
      <c r="L301" s="9">
        <f t="shared" si="13"/>
        <v>6</v>
      </c>
      <c r="M301" s="9">
        <f t="shared" si="14"/>
        <v>2</v>
      </c>
    </row>
    <row r="302" ht="25" customHeight="1" spans="1:13">
      <c r="A302" s="9" t="s">
        <v>90</v>
      </c>
      <c r="B302" s="9" t="s">
        <v>88</v>
      </c>
      <c r="C302" s="9" t="s">
        <v>1032</v>
      </c>
      <c r="D302" s="10">
        <v>45291</v>
      </c>
      <c r="E302" s="10">
        <v>45322</v>
      </c>
      <c r="F302" s="10">
        <f>净值原始!C1505</f>
        <v>45289</v>
      </c>
      <c r="G302" s="10">
        <f>净值原始!C1509</f>
        <v>45317</v>
      </c>
      <c r="H302" s="15">
        <f>净值原始!F1505</f>
        <v>1.1588</v>
      </c>
      <c r="I302" s="15">
        <f>净值原始!F1509</f>
        <v>1.1743</v>
      </c>
      <c r="J302" s="11">
        <f t="shared" si="12"/>
        <v>0.0133759061097687</v>
      </c>
      <c r="K302" s="9">
        <f>IF(COUNT(F302:I302)&lt;&gt;4,0,IF(AND(G302&gt;F302,H302&gt;0,I302&gt;0,L302&lt;='Sheet1-指标体系'!$J$31,M302&lt;='Sheet1-指标体系'!$J$31),1,0))</f>
        <v>1</v>
      </c>
      <c r="L302" s="9">
        <f t="shared" si="13"/>
        <v>2</v>
      </c>
      <c r="M302" s="9">
        <f t="shared" si="14"/>
        <v>5</v>
      </c>
    </row>
    <row r="303" ht="25" customHeight="1" spans="1:13">
      <c r="A303" s="9" t="s">
        <v>90</v>
      </c>
      <c r="B303" s="9" t="s">
        <v>88</v>
      </c>
      <c r="C303" s="9" t="s">
        <v>1033</v>
      </c>
      <c r="D303" s="10">
        <v>45322</v>
      </c>
      <c r="E303" s="10">
        <v>45351</v>
      </c>
      <c r="F303" s="10">
        <f>净值原始!C1509</f>
        <v>45317</v>
      </c>
      <c r="G303" s="10">
        <f>净值原始!C1512</f>
        <v>45345</v>
      </c>
      <c r="H303" s="15">
        <f>净值原始!F1509</f>
        <v>1.1743</v>
      </c>
      <c r="I303" s="15">
        <f>净值原始!F1512</f>
        <v>1.1957</v>
      </c>
      <c r="J303" s="11">
        <f t="shared" si="12"/>
        <v>0.0182236225836669</v>
      </c>
      <c r="K303" s="9">
        <f>IF(COUNT(F303:I303)&lt;&gt;4,0,IF(AND(G303&gt;F303,H303&gt;0,I303&gt;0,L303&lt;='Sheet1-指标体系'!$J$31,M303&lt;='Sheet1-指标体系'!$J$31),1,0))</f>
        <v>1</v>
      </c>
      <c r="L303" s="9">
        <f t="shared" si="13"/>
        <v>5</v>
      </c>
      <c r="M303" s="9">
        <f t="shared" si="14"/>
        <v>6</v>
      </c>
    </row>
    <row r="304" ht="25" customHeight="1" spans="1:13">
      <c r="A304" s="9" t="s">
        <v>90</v>
      </c>
      <c r="B304" s="9" t="s">
        <v>88</v>
      </c>
      <c r="C304" s="9" t="s">
        <v>1034</v>
      </c>
      <c r="D304" s="10">
        <v>45351</v>
      </c>
      <c r="E304" s="10">
        <v>45382</v>
      </c>
      <c r="F304" s="10">
        <f>净值原始!C1512</f>
        <v>45345</v>
      </c>
      <c r="G304" s="10">
        <f>净值原始!C1517</f>
        <v>45380</v>
      </c>
      <c r="H304" s="15">
        <f>净值原始!F1512</f>
        <v>1.1957</v>
      </c>
      <c r="I304" s="15">
        <f>净值原始!F1517</f>
        <v>1.204</v>
      </c>
      <c r="J304" s="11">
        <f t="shared" si="12"/>
        <v>0.00694154052019735</v>
      </c>
      <c r="K304" s="9">
        <f>IF(COUNT(F304:I304)&lt;&gt;4,0,IF(AND(G304&gt;F304,H304&gt;0,I304&gt;0,L304&lt;='Sheet1-指标体系'!$J$31,M304&lt;='Sheet1-指标体系'!$J$31),1,0))</f>
        <v>1</v>
      </c>
      <c r="L304" s="9">
        <f t="shared" si="13"/>
        <v>6</v>
      </c>
      <c r="M304" s="9">
        <f t="shared" si="14"/>
        <v>2</v>
      </c>
    </row>
    <row r="305" ht="25" customHeight="1" spans="1:13">
      <c r="A305" s="9" t="s">
        <v>90</v>
      </c>
      <c r="B305" s="9" t="s">
        <v>88</v>
      </c>
      <c r="C305" s="9" t="s">
        <v>1035</v>
      </c>
      <c r="D305" s="10">
        <v>45382</v>
      </c>
      <c r="E305" s="10">
        <v>45412</v>
      </c>
      <c r="F305" s="10">
        <f>净值原始!C1517</f>
        <v>45380</v>
      </c>
      <c r="G305" s="10">
        <f>净值原始!C1522</f>
        <v>45412</v>
      </c>
      <c r="H305" s="15">
        <f>净值原始!F1517</f>
        <v>1.204</v>
      </c>
      <c r="I305" s="15">
        <f>净值原始!F1522</f>
        <v>1.207</v>
      </c>
      <c r="J305" s="11">
        <f t="shared" si="12"/>
        <v>0.00249169435215957</v>
      </c>
      <c r="K305" s="9">
        <f>IF(COUNT(F305:I305)&lt;&gt;4,0,IF(AND(G305&gt;F305,H305&gt;0,I305&gt;0,L305&lt;='Sheet1-指标体系'!$J$31,M305&lt;='Sheet1-指标体系'!$J$31),1,0))</f>
        <v>1</v>
      </c>
      <c r="L305" s="9">
        <f t="shared" si="13"/>
        <v>2</v>
      </c>
      <c r="M305" s="9">
        <f t="shared" si="14"/>
        <v>0</v>
      </c>
    </row>
    <row r="306" ht="25" customHeight="1" spans="1:13">
      <c r="A306" s="9" t="s">
        <v>90</v>
      </c>
      <c r="B306" s="9" t="s">
        <v>88</v>
      </c>
      <c r="C306" s="9" t="s">
        <v>1036</v>
      </c>
      <c r="D306" s="10">
        <v>45412</v>
      </c>
      <c r="E306" s="10">
        <v>45443</v>
      </c>
      <c r="F306" s="10">
        <f>净值原始!C1522</f>
        <v>45412</v>
      </c>
      <c r="G306" s="10">
        <f>净值原始!C1526</f>
        <v>45443</v>
      </c>
      <c r="H306" s="15">
        <f>净值原始!F1522</f>
        <v>1.207</v>
      </c>
      <c r="I306" s="15">
        <f>净值原始!F1526</f>
        <v>1.2106</v>
      </c>
      <c r="J306" s="11">
        <f t="shared" si="12"/>
        <v>0.00298260149130058</v>
      </c>
      <c r="K306" s="9">
        <f>IF(COUNT(F306:I306)&lt;&gt;4,0,IF(AND(G306&gt;F306,H306&gt;0,I306&gt;0,L306&lt;='Sheet1-指标体系'!$J$31,M306&lt;='Sheet1-指标体系'!$J$31),1,0))</f>
        <v>1</v>
      </c>
      <c r="L306" s="9">
        <f t="shared" si="13"/>
        <v>0</v>
      </c>
      <c r="M306" s="9">
        <f t="shared" si="14"/>
        <v>0</v>
      </c>
    </row>
    <row r="307" ht="25" customHeight="1" spans="1:13">
      <c r="A307" s="9" t="s">
        <v>90</v>
      </c>
      <c r="B307" s="9" t="s">
        <v>88</v>
      </c>
      <c r="C307" s="9" t="s">
        <v>1037</v>
      </c>
      <c r="D307" s="10">
        <v>45443</v>
      </c>
      <c r="E307" s="10">
        <v>45473</v>
      </c>
      <c r="F307" s="10">
        <f>净值原始!C1526</f>
        <v>45443</v>
      </c>
      <c r="G307" s="10">
        <f>净值原始!C1530</f>
        <v>45471</v>
      </c>
      <c r="H307" s="15">
        <f>净值原始!F1526</f>
        <v>1.2106</v>
      </c>
      <c r="I307" s="15">
        <f>净值原始!F1530</f>
        <v>1.2155</v>
      </c>
      <c r="J307" s="11">
        <f t="shared" si="12"/>
        <v>0.00404757971253944</v>
      </c>
      <c r="K307" s="9">
        <f>IF(COUNT(F307:I307)&lt;&gt;4,0,IF(AND(G307&gt;F307,H307&gt;0,I307&gt;0,L307&lt;='Sheet1-指标体系'!$J$31,M307&lt;='Sheet1-指标体系'!$J$31),1,0))</f>
        <v>1</v>
      </c>
      <c r="L307" s="9">
        <f t="shared" si="13"/>
        <v>0</v>
      </c>
      <c r="M307" s="9">
        <f t="shared" si="14"/>
        <v>2</v>
      </c>
    </row>
    <row r="308" ht="25" customHeight="1" spans="1:13">
      <c r="A308" s="9" t="s">
        <v>90</v>
      </c>
      <c r="B308" s="9" t="s">
        <v>88</v>
      </c>
      <c r="C308" s="9" t="s">
        <v>1038</v>
      </c>
      <c r="D308" s="10">
        <v>45473</v>
      </c>
      <c r="E308" s="10">
        <v>45504</v>
      </c>
      <c r="F308" s="10">
        <f>净值原始!C1530</f>
        <v>45471</v>
      </c>
      <c r="G308" s="10">
        <f>净值原始!C1534</f>
        <v>45499</v>
      </c>
      <c r="H308" s="15">
        <f>净值原始!F1530</f>
        <v>1.2155</v>
      </c>
      <c r="I308" s="15">
        <f>净值原始!F1534</f>
        <v>1.223</v>
      </c>
      <c r="J308" s="11">
        <f t="shared" si="12"/>
        <v>0.00617030028794741</v>
      </c>
      <c r="K308" s="9">
        <f>IF(COUNT(F308:I308)&lt;&gt;4,0,IF(AND(G308&gt;F308,H308&gt;0,I308&gt;0,L308&lt;='Sheet1-指标体系'!$J$31,M308&lt;='Sheet1-指标体系'!$J$31),1,0))</f>
        <v>1</v>
      </c>
      <c r="L308" s="9">
        <f t="shared" si="13"/>
        <v>2</v>
      </c>
      <c r="M308" s="9">
        <f t="shared" si="14"/>
        <v>5</v>
      </c>
    </row>
    <row r="309" ht="25" customHeight="1" spans="1:13">
      <c r="A309" s="9" t="s">
        <v>90</v>
      </c>
      <c r="B309" s="9" t="s">
        <v>88</v>
      </c>
      <c r="C309" s="9" t="s">
        <v>1039</v>
      </c>
      <c r="D309" s="10">
        <v>45504</v>
      </c>
      <c r="E309" s="10">
        <v>45535</v>
      </c>
      <c r="F309" s="10">
        <f>净值原始!C1534</f>
        <v>45499</v>
      </c>
      <c r="G309" s="10">
        <f>净值原始!C1539</f>
        <v>45534</v>
      </c>
      <c r="H309" s="15">
        <f>净值原始!F1534</f>
        <v>1.223</v>
      </c>
      <c r="I309" s="15">
        <f>净值原始!F1539</f>
        <v>1.2261</v>
      </c>
      <c r="J309" s="11">
        <f t="shared" si="12"/>
        <v>0.00253475061324604</v>
      </c>
      <c r="K309" s="9">
        <f>IF(COUNT(F309:I309)&lt;&gt;4,0,IF(AND(G309&gt;F309,H309&gt;0,I309&gt;0,L309&lt;='Sheet1-指标体系'!$J$31,M309&lt;='Sheet1-指标体系'!$J$31),1,0))</f>
        <v>1</v>
      </c>
      <c r="L309" s="9">
        <f t="shared" si="13"/>
        <v>5</v>
      </c>
      <c r="M309" s="9">
        <f t="shared" si="14"/>
        <v>1</v>
      </c>
    </row>
    <row r="310" ht="25" customHeight="1" spans="1:13">
      <c r="A310" s="9" t="s">
        <v>90</v>
      </c>
      <c r="B310" s="9" t="s">
        <v>88</v>
      </c>
      <c r="C310" s="9" t="s">
        <v>1040</v>
      </c>
      <c r="D310" s="10">
        <v>45535</v>
      </c>
      <c r="E310" s="10">
        <v>45565</v>
      </c>
      <c r="F310" s="10">
        <f>净值原始!C1539</f>
        <v>45534</v>
      </c>
      <c r="G310" s="10">
        <f>净值原始!C1544</f>
        <v>45565</v>
      </c>
      <c r="H310" s="15">
        <f>净值原始!F1539</f>
        <v>1.2261</v>
      </c>
      <c r="I310" s="15">
        <f>净值原始!F1544</f>
        <v>1.2444</v>
      </c>
      <c r="J310" s="11">
        <f t="shared" si="12"/>
        <v>0.0149253731343284</v>
      </c>
      <c r="K310" s="9">
        <f>IF(COUNT(F310:I310)&lt;&gt;4,0,IF(AND(G310&gt;F310,H310&gt;0,I310&gt;0,L310&lt;='Sheet1-指标体系'!$J$31,M310&lt;='Sheet1-指标体系'!$J$31),1,0))</f>
        <v>1</v>
      </c>
      <c r="L310" s="9">
        <f t="shared" si="13"/>
        <v>1</v>
      </c>
      <c r="M310" s="9">
        <f t="shared" si="14"/>
        <v>0</v>
      </c>
    </row>
    <row r="311" ht="25" customHeight="1" spans="1:13">
      <c r="A311" s="9" t="s">
        <v>90</v>
      </c>
      <c r="B311" s="9" t="s">
        <v>88</v>
      </c>
      <c r="C311" s="9" t="s">
        <v>1041</v>
      </c>
      <c r="D311" s="10">
        <v>45565</v>
      </c>
      <c r="E311" s="10">
        <v>45596</v>
      </c>
      <c r="F311" s="10">
        <f>净值原始!C1544</f>
        <v>45565</v>
      </c>
      <c r="G311" s="10">
        <f>净值原始!C1547</f>
        <v>45590</v>
      </c>
      <c r="H311" s="15">
        <f>净值原始!F1544</f>
        <v>1.2444</v>
      </c>
      <c r="I311" s="15">
        <f>净值原始!F1547</f>
        <v>1.2759</v>
      </c>
      <c r="J311" s="11">
        <f t="shared" si="12"/>
        <v>0.0253134040501448</v>
      </c>
      <c r="K311" s="9">
        <f>IF(COUNT(F311:I311)&lt;&gt;4,0,IF(AND(G311&gt;F311,H311&gt;0,I311&gt;0,L311&lt;='Sheet1-指标体系'!$J$31,M311&lt;='Sheet1-指标体系'!$J$31),1,0))</f>
        <v>1</v>
      </c>
      <c r="L311" s="9">
        <f t="shared" si="13"/>
        <v>0</v>
      </c>
      <c r="M311" s="9">
        <f t="shared" si="14"/>
        <v>6</v>
      </c>
    </row>
    <row r="312" ht="25" customHeight="1" spans="1:13">
      <c r="A312" s="9" t="s">
        <v>90</v>
      </c>
      <c r="B312" s="9" t="s">
        <v>88</v>
      </c>
      <c r="C312" s="9" t="s">
        <v>1042</v>
      </c>
      <c r="D312" s="10">
        <v>45596</v>
      </c>
      <c r="E312" s="10">
        <v>45626</v>
      </c>
      <c r="F312" s="10">
        <f>净值原始!C1547</f>
        <v>45590</v>
      </c>
      <c r="G312" s="10">
        <f>净值原始!C1552</f>
        <v>45625</v>
      </c>
      <c r="H312" s="15">
        <f>净值原始!F1547</f>
        <v>1.2759</v>
      </c>
      <c r="I312" s="15">
        <f>净值原始!F1552</f>
        <v>1.2798</v>
      </c>
      <c r="J312" s="11">
        <f t="shared" si="12"/>
        <v>0.0030566658829061</v>
      </c>
      <c r="K312" s="9">
        <f>IF(COUNT(F312:I312)&lt;&gt;4,0,IF(AND(G312&gt;F312,H312&gt;0,I312&gt;0,L312&lt;='Sheet1-指标体系'!$J$31,M312&lt;='Sheet1-指标体系'!$J$31),1,0))</f>
        <v>1</v>
      </c>
      <c r="L312" s="9">
        <f t="shared" si="13"/>
        <v>6</v>
      </c>
      <c r="M312" s="9">
        <f t="shared" si="14"/>
        <v>1</v>
      </c>
    </row>
    <row r="313" ht="25" customHeight="1" spans="1:13">
      <c r="A313" s="9" t="s">
        <v>90</v>
      </c>
      <c r="B313" s="9" t="s">
        <v>88</v>
      </c>
      <c r="C313" s="9" t="s">
        <v>1043</v>
      </c>
      <c r="D313" s="10">
        <v>45626</v>
      </c>
      <c r="E313" s="10">
        <v>45657</v>
      </c>
      <c r="F313" s="10">
        <f>净值原始!C1552</f>
        <v>45625</v>
      </c>
      <c r="G313" s="10">
        <f>净值原始!C1556</f>
        <v>45653</v>
      </c>
      <c r="H313" s="15">
        <f>净值原始!F1552</f>
        <v>1.2798</v>
      </c>
      <c r="I313" s="15">
        <f>净值原始!F1556</f>
        <v>1.2873</v>
      </c>
      <c r="J313" s="11">
        <f t="shared" si="12"/>
        <v>0.00586029067041727</v>
      </c>
      <c r="K313" s="9">
        <f>IF(COUNT(F313:I313)&lt;&gt;4,0,IF(AND(G313&gt;F313,H313&gt;0,I313&gt;0,L313&lt;='Sheet1-指标体系'!$J$31,M313&lt;='Sheet1-指标体系'!$J$31),1,0))</f>
        <v>1</v>
      </c>
      <c r="L313" s="9">
        <f t="shared" si="13"/>
        <v>1</v>
      </c>
      <c r="M313" s="9">
        <f t="shared" si="14"/>
        <v>4</v>
      </c>
    </row>
    <row r="314" ht="25" customHeight="1" spans="1:13">
      <c r="A314" s="9" t="s">
        <v>90</v>
      </c>
      <c r="B314" s="9" t="s">
        <v>88</v>
      </c>
      <c r="C314" s="9" t="s">
        <v>1044</v>
      </c>
      <c r="D314" s="10">
        <v>45657</v>
      </c>
      <c r="E314" s="10">
        <v>45688</v>
      </c>
      <c r="F314" s="10">
        <f>净值原始!C1556</f>
        <v>45653</v>
      </c>
      <c r="G314" s="10">
        <f>净值原始!C1561</f>
        <v>45684</v>
      </c>
      <c r="H314" s="15">
        <f>净值原始!F1556</f>
        <v>1.2873</v>
      </c>
      <c r="I314" s="15">
        <f>净值原始!F1561</f>
        <v>1.2906</v>
      </c>
      <c r="J314" s="11">
        <f t="shared" si="12"/>
        <v>0.00256350501048686</v>
      </c>
      <c r="K314" s="9">
        <f>IF(COUNT(F314:I314)&lt;&gt;4,0,IF(AND(G314&gt;F314,H314&gt;0,I314&gt;0,L314&lt;='Sheet1-指标体系'!$J$31,M314&lt;='Sheet1-指标体系'!$J$31),1,0))</f>
        <v>1</v>
      </c>
      <c r="L314" s="9">
        <f t="shared" si="13"/>
        <v>4</v>
      </c>
      <c r="M314" s="9">
        <f t="shared" si="14"/>
        <v>4</v>
      </c>
    </row>
    <row r="315" ht="25" customHeight="1" spans="1:13">
      <c r="A315" s="9" t="s">
        <v>90</v>
      </c>
      <c r="B315" s="9" t="s">
        <v>88</v>
      </c>
      <c r="C315" s="9" t="s">
        <v>1045</v>
      </c>
      <c r="D315" s="10">
        <v>45688</v>
      </c>
      <c r="E315" s="10">
        <v>45716</v>
      </c>
      <c r="F315" s="10">
        <f>净值原始!C1561</f>
        <v>45684</v>
      </c>
      <c r="G315" s="10">
        <f>净值原始!C1565</f>
        <v>45716</v>
      </c>
      <c r="H315" s="15">
        <f>净值原始!F1561</f>
        <v>1.2906</v>
      </c>
      <c r="I315" s="15">
        <f>净值原始!F1565</f>
        <v>1.291</v>
      </c>
      <c r="J315" s="11">
        <f t="shared" si="12"/>
        <v>0.000309933364326609</v>
      </c>
      <c r="K315" s="9">
        <f>IF(COUNT(F315:I315)&lt;&gt;4,0,IF(AND(G315&gt;F315,H315&gt;0,I315&gt;0,L315&lt;='Sheet1-指标体系'!$J$31,M315&lt;='Sheet1-指标体系'!$J$31),1,0))</f>
        <v>1</v>
      </c>
      <c r="L315" s="9">
        <f t="shared" si="13"/>
        <v>4</v>
      </c>
      <c r="M315" s="9">
        <f t="shared" si="14"/>
        <v>0</v>
      </c>
    </row>
    <row r="316" ht="25" customHeight="1" spans="1:13">
      <c r="A316" s="9" t="s">
        <v>90</v>
      </c>
      <c r="B316" s="9" t="s">
        <v>88</v>
      </c>
      <c r="C316" s="9" t="s">
        <v>1046</v>
      </c>
      <c r="D316" s="10">
        <v>45716</v>
      </c>
      <c r="E316" s="10">
        <v>45747</v>
      </c>
      <c r="F316" s="10">
        <f>净值原始!C1565</f>
        <v>45716</v>
      </c>
      <c r="G316" s="10">
        <f>净值原始!C1569</f>
        <v>45744</v>
      </c>
      <c r="H316" s="15">
        <f>净值原始!F1565</f>
        <v>1.291</v>
      </c>
      <c r="I316" s="15">
        <f>净值原始!F1569</f>
        <v>1.2924</v>
      </c>
      <c r="J316" s="11">
        <f t="shared" si="12"/>
        <v>0.00108443067389619</v>
      </c>
      <c r="K316" s="9">
        <f>IF(COUNT(F316:I316)&lt;&gt;4,0,IF(AND(G316&gt;F316,H316&gt;0,I316&gt;0,L316&lt;='Sheet1-指标体系'!$J$31,M316&lt;='Sheet1-指标体系'!$J$31),1,0))</f>
        <v>1</v>
      </c>
      <c r="L316" s="9">
        <f t="shared" si="13"/>
        <v>0</v>
      </c>
      <c r="M316" s="9">
        <f t="shared" si="14"/>
        <v>3</v>
      </c>
    </row>
    <row r="317" ht="25" customHeight="1" spans="1:13">
      <c r="A317" s="9" t="s">
        <v>90</v>
      </c>
      <c r="B317" s="9" t="s">
        <v>88</v>
      </c>
      <c r="C317" s="9" t="s">
        <v>1047</v>
      </c>
      <c r="D317" s="10">
        <v>45747</v>
      </c>
      <c r="E317" s="10">
        <v>45777</v>
      </c>
      <c r="F317" s="10">
        <f>净值原始!C1569</f>
        <v>45744</v>
      </c>
      <c r="G317" s="10">
        <f>净值原始!C1574</f>
        <v>45777</v>
      </c>
      <c r="H317" s="15">
        <f>净值原始!F1569</f>
        <v>1.2924</v>
      </c>
      <c r="I317" s="15">
        <f>净值原始!F1574</f>
        <v>1.2934</v>
      </c>
      <c r="J317" s="11">
        <f t="shared" si="12"/>
        <v>0.000773754255648518</v>
      </c>
      <c r="K317" s="9">
        <f>IF(COUNT(F317:I317)&lt;&gt;4,0,IF(AND(G317&gt;F317,H317&gt;0,I317&gt;0,L317&lt;='Sheet1-指标体系'!$J$31,M317&lt;='Sheet1-指标体系'!$J$31),1,0))</f>
        <v>1</v>
      </c>
      <c r="L317" s="9">
        <f t="shared" si="13"/>
        <v>3</v>
      </c>
      <c r="M317" s="9">
        <f t="shared" si="14"/>
        <v>0</v>
      </c>
    </row>
    <row r="318" ht="25" customHeight="1" spans="1:13">
      <c r="A318" s="9" t="s">
        <v>90</v>
      </c>
      <c r="B318" s="9" t="s">
        <v>88</v>
      </c>
      <c r="C318" s="9" t="s">
        <v>1048</v>
      </c>
      <c r="D318" s="10">
        <v>45777</v>
      </c>
      <c r="E318" s="10">
        <v>45808</v>
      </c>
      <c r="F318" s="10">
        <f>净值原始!C1574</f>
        <v>45777</v>
      </c>
      <c r="G318" s="10">
        <f>净值原始!C1578</f>
        <v>45807</v>
      </c>
      <c r="H318" s="15">
        <f>净值原始!F1574</f>
        <v>1.2934</v>
      </c>
      <c r="I318" s="15">
        <f>净值原始!F1578</f>
        <v>1.2951</v>
      </c>
      <c r="J318" s="11">
        <f t="shared" si="12"/>
        <v>0.00131436523890516</v>
      </c>
      <c r="K318" s="9">
        <f>IF(COUNT(F318:I318)&lt;&gt;4,0,IF(AND(G318&gt;F318,H318&gt;0,I318&gt;0,L318&lt;='Sheet1-指标体系'!$J$31,M318&lt;='Sheet1-指标体系'!$J$31),1,0))</f>
        <v>1</v>
      </c>
      <c r="L318" s="9">
        <f t="shared" si="13"/>
        <v>0</v>
      </c>
      <c r="M318" s="9">
        <f t="shared" si="14"/>
        <v>1</v>
      </c>
    </row>
    <row r="319" ht="25" customHeight="1" spans="1:13">
      <c r="A319" s="9" t="s">
        <v>90</v>
      </c>
      <c r="B319" s="9" t="s">
        <v>88</v>
      </c>
      <c r="C319" s="9" t="s">
        <v>1049</v>
      </c>
      <c r="D319" s="10">
        <v>45808</v>
      </c>
      <c r="E319" s="10">
        <v>45838</v>
      </c>
      <c r="F319" s="10">
        <f>净值原始!C1578</f>
        <v>45807</v>
      </c>
      <c r="G319" s="10">
        <f>净值原始!C1582</f>
        <v>45835</v>
      </c>
      <c r="H319" s="15">
        <f>净值原始!F1578</f>
        <v>1.2951</v>
      </c>
      <c r="I319" s="15">
        <f>净值原始!F1582</f>
        <v>1.298</v>
      </c>
      <c r="J319" s="11">
        <f t="shared" si="12"/>
        <v>0.00223920932746524</v>
      </c>
      <c r="K319" s="9">
        <f>IF(COUNT(F319:I319)&lt;&gt;4,0,IF(AND(G319&gt;F319,H319&gt;0,I319&gt;0,L319&lt;='Sheet1-指标体系'!$J$31,M319&lt;='Sheet1-指标体系'!$J$31),1,0))</f>
        <v>1</v>
      </c>
      <c r="L319" s="9">
        <f t="shared" si="13"/>
        <v>1</v>
      </c>
      <c r="M319" s="9">
        <f t="shared" si="14"/>
        <v>3</v>
      </c>
    </row>
    <row r="320" ht="25" customHeight="1" spans="1:13">
      <c r="A320" s="9" t="s">
        <v>90</v>
      </c>
      <c r="B320" s="9" t="s">
        <v>88</v>
      </c>
      <c r="C320" s="9" t="s">
        <v>1050</v>
      </c>
      <c r="D320" s="10">
        <v>45838</v>
      </c>
      <c r="E320" s="10">
        <v>45869</v>
      </c>
      <c r="F320" s="10">
        <f>净值原始!C1582</f>
        <v>45835</v>
      </c>
      <c r="G320" s="10">
        <f>净值原始!C1586</f>
        <v>45863</v>
      </c>
      <c r="H320" s="15">
        <f>净值原始!F1582</f>
        <v>1.298</v>
      </c>
      <c r="I320" s="15">
        <f>净值原始!F1586</f>
        <v>1.2964</v>
      </c>
      <c r="J320" s="11">
        <f t="shared" si="12"/>
        <v>-0.00123266563944535</v>
      </c>
      <c r="K320" s="9">
        <f>IF(COUNT(F320:I320)&lt;&gt;4,0,IF(AND(G320&gt;F320,H320&gt;0,I320&gt;0,L320&lt;='Sheet1-指标体系'!$J$31,M320&lt;='Sheet1-指标体系'!$J$31),1,0))</f>
        <v>1</v>
      </c>
      <c r="L320" s="9">
        <f t="shared" si="13"/>
        <v>3</v>
      </c>
      <c r="M320" s="9">
        <f t="shared" si="14"/>
        <v>6</v>
      </c>
    </row>
    <row r="321" ht="25" customHeight="1" spans="1:13">
      <c r="A321" s="9" t="s">
        <v>90</v>
      </c>
      <c r="B321" s="9" t="s">
        <v>88</v>
      </c>
      <c r="C321" s="9" t="s">
        <v>1051</v>
      </c>
      <c r="D321" s="10">
        <v>45869</v>
      </c>
      <c r="E321" s="10">
        <v>45900</v>
      </c>
      <c r="F321" s="10">
        <f>净值原始!C1586</f>
        <v>45863</v>
      </c>
      <c r="G321" s="10">
        <f>净值原始!C1591</f>
        <v>45898</v>
      </c>
      <c r="H321" s="15">
        <f>净值原始!F1586</f>
        <v>1.2964</v>
      </c>
      <c r="I321" s="15">
        <f>净值原始!F1591</f>
        <v>1.3019</v>
      </c>
      <c r="J321" s="11">
        <f t="shared" si="12"/>
        <v>0.0042425177414378</v>
      </c>
      <c r="K321" s="9">
        <f>IF(COUNT(F321:I321)&lt;&gt;4,0,IF(AND(G321&gt;F321,H321&gt;0,I321&gt;0,L321&lt;='Sheet1-指标体系'!$J$31,M321&lt;='Sheet1-指标体系'!$J$31),1,0))</f>
        <v>1</v>
      </c>
      <c r="L321" s="9">
        <f t="shared" si="13"/>
        <v>6</v>
      </c>
      <c r="M321" s="9">
        <f t="shared" si="14"/>
        <v>2</v>
      </c>
    </row>
    <row r="322" ht="25" customHeight="1" spans="1:13">
      <c r="A322" s="9" t="s">
        <v>90</v>
      </c>
      <c r="B322" s="9" t="s">
        <v>88</v>
      </c>
      <c r="C322" s="9" t="s">
        <v>1052</v>
      </c>
      <c r="D322" s="10">
        <v>45900</v>
      </c>
      <c r="E322" s="10">
        <v>45930</v>
      </c>
      <c r="F322" s="10">
        <f>净值原始!C1591</f>
        <v>45898</v>
      </c>
      <c r="G322" s="10">
        <f>净值原始!C1596</f>
        <v>45930</v>
      </c>
      <c r="H322" s="15">
        <f>净值原始!F1591</f>
        <v>1.3019</v>
      </c>
      <c r="I322" s="15">
        <f>净值原始!F1596</f>
        <v>1.3167</v>
      </c>
      <c r="J322" s="11">
        <f t="shared" ref="J322:J385" si="15">IF(K322=1,I322/H322-1,"")</f>
        <v>0.0113680006144865</v>
      </c>
      <c r="K322" s="9">
        <f>IF(COUNT(F322:I322)&lt;&gt;4,0,IF(AND(G322&gt;F322,H322&gt;0,I322&gt;0,L322&lt;='Sheet1-指标体系'!$J$31,M322&lt;='Sheet1-指标体系'!$J$31),1,0))</f>
        <v>1</v>
      </c>
      <c r="L322" s="9">
        <f t="shared" ref="L322:L385" si="16">IF(ISNUMBER(F322),D322-F322,"")</f>
        <v>2</v>
      </c>
      <c r="M322" s="9">
        <f t="shared" ref="M322:M385" si="17">IF(ISNUMBER(G322),E322-G322,"")</f>
        <v>0</v>
      </c>
    </row>
    <row r="323" ht="25" customHeight="1" spans="1:13">
      <c r="A323" s="9" t="s">
        <v>90</v>
      </c>
      <c r="B323" s="9" t="s">
        <v>88</v>
      </c>
      <c r="C323" s="9" t="s">
        <v>1053</v>
      </c>
      <c r="D323" s="10">
        <v>45930</v>
      </c>
      <c r="E323" s="10">
        <v>45961</v>
      </c>
      <c r="F323" s="10">
        <f>净值原始!C1596</f>
        <v>45930</v>
      </c>
      <c r="G323" s="10">
        <f>净值原始!C1600</f>
        <v>45961</v>
      </c>
      <c r="H323" s="15">
        <f>净值原始!F1596</f>
        <v>1.3167</v>
      </c>
      <c r="I323" s="15">
        <f>净值原始!F1600</f>
        <v>1.3236</v>
      </c>
      <c r="J323" s="11">
        <f t="shared" si="15"/>
        <v>0.00524037366142638</v>
      </c>
      <c r="K323" s="9">
        <f>IF(COUNT(F323:I323)&lt;&gt;4,0,IF(AND(G323&gt;F323,H323&gt;0,I323&gt;0,L323&lt;='Sheet1-指标体系'!$J$31,M323&lt;='Sheet1-指标体系'!$J$31),1,0))</f>
        <v>1</v>
      </c>
      <c r="L323" s="9">
        <f t="shared" si="16"/>
        <v>0</v>
      </c>
      <c r="M323" s="9">
        <f t="shared" si="17"/>
        <v>0</v>
      </c>
    </row>
    <row r="324" ht="25" customHeight="1" spans="1:13">
      <c r="A324" s="9" t="s">
        <v>90</v>
      </c>
      <c r="B324" s="9" t="s">
        <v>88</v>
      </c>
      <c r="C324" s="9" t="s">
        <v>1054</v>
      </c>
      <c r="D324" s="10">
        <v>45961</v>
      </c>
      <c r="E324" s="10">
        <v>45991</v>
      </c>
      <c r="F324" s="10">
        <f>净值原始!C1600</f>
        <v>45961</v>
      </c>
      <c r="G324" s="10">
        <f>净值原始!C1604</f>
        <v>45989</v>
      </c>
      <c r="H324" s="15">
        <f>净值原始!F1600</f>
        <v>1.3236</v>
      </c>
      <c r="I324" s="15">
        <f>净值原始!F1604</f>
        <v>1.3315</v>
      </c>
      <c r="J324" s="11">
        <f t="shared" si="15"/>
        <v>0.00596857056512534</v>
      </c>
      <c r="K324" s="9">
        <f>IF(COUNT(F324:I324)&lt;&gt;4,0,IF(AND(G324&gt;F324,H324&gt;0,I324&gt;0,L324&lt;='Sheet1-指标体系'!$J$31,M324&lt;='Sheet1-指标体系'!$J$31),1,0))</f>
        <v>1</v>
      </c>
      <c r="L324" s="9">
        <f t="shared" si="16"/>
        <v>0</v>
      </c>
      <c r="M324" s="9">
        <f t="shared" si="17"/>
        <v>2</v>
      </c>
    </row>
    <row r="325" ht="25" customHeight="1" spans="1:13">
      <c r="A325" s="9" t="s">
        <v>90</v>
      </c>
      <c r="B325" s="9" t="s">
        <v>88</v>
      </c>
      <c r="C325" s="9" t="s">
        <v>1055</v>
      </c>
      <c r="D325" s="10">
        <v>45991</v>
      </c>
      <c r="E325" s="10">
        <v>46022</v>
      </c>
      <c r="F325" s="10">
        <f>净值原始!C1604</f>
        <v>45989</v>
      </c>
      <c r="G325" s="10">
        <f>净值原始!C1609</f>
        <v>46022</v>
      </c>
      <c r="H325" s="15">
        <f>净值原始!F1604</f>
        <v>1.3315</v>
      </c>
      <c r="I325" s="15">
        <f>净值原始!F1609</f>
        <v>1.3339</v>
      </c>
      <c r="J325" s="11">
        <f t="shared" si="15"/>
        <v>0.00180247840781078</v>
      </c>
      <c r="K325" s="9">
        <f>IF(COUNT(F325:I325)&lt;&gt;4,0,IF(AND(G325&gt;F325,H325&gt;0,I325&gt;0,L325&lt;='Sheet1-指标体系'!$J$31,M325&lt;='Sheet1-指标体系'!$J$31),1,0))</f>
        <v>1</v>
      </c>
      <c r="L325" s="9">
        <f t="shared" si="16"/>
        <v>2</v>
      </c>
      <c r="M325" s="9">
        <f t="shared" si="17"/>
        <v>0</v>
      </c>
    </row>
    <row r="326" ht="25" customHeight="1" spans="1:13">
      <c r="A326" s="9" t="s">
        <v>90</v>
      </c>
      <c r="B326" s="9" t="s">
        <v>88</v>
      </c>
      <c r="C326" s="9" t="s">
        <v>1056</v>
      </c>
      <c r="D326" s="10">
        <v>46022</v>
      </c>
      <c r="E326" s="10">
        <v>46053</v>
      </c>
      <c r="F326" s="10">
        <f>净值原始!C1609</f>
        <v>46022</v>
      </c>
      <c r="G326" s="10">
        <f>净值原始!C1613</f>
        <v>46052</v>
      </c>
      <c r="H326" s="15">
        <f>净值原始!F1609</f>
        <v>1.3339</v>
      </c>
      <c r="I326" s="15">
        <f>净值原始!F1613</f>
        <v>1.3432</v>
      </c>
      <c r="J326" s="11">
        <f t="shared" si="15"/>
        <v>0.00697203688432402</v>
      </c>
      <c r="K326" s="9">
        <f>IF(COUNT(F326:I326)&lt;&gt;4,0,IF(AND(G326&gt;F326,H326&gt;0,I326&gt;0,L326&lt;='Sheet1-指标体系'!$J$31,M326&lt;='Sheet1-指标体系'!$J$31),1,0))</f>
        <v>1</v>
      </c>
      <c r="L326" s="9">
        <f t="shared" si="16"/>
        <v>0</v>
      </c>
      <c r="M326" s="9">
        <f t="shared" si="17"/>
        <v>1</v>
      </c>
    </row>
    <row r="327" ht="25" customHeight="1" spans="1:13">
      <c r="A327" s="9" t="s">
        <v>90</v>
      </c>
      <c r="B327" s="9" t="s">
        <v>88</v>
      </c>
      <c r="C327" s="9" t="s">
        <v>1057</v>
      </c>
      <c r="D327" s="10">
        <v>46053</v>
      </c>
      <c r="E327" s="10">
        <v>46081</v>
      </c>
      <c r="F327" s="10">
        <f>净值原始!C1613</f>
        <v>46052</v>
      </c>
      <c r="G327" s="10">
        <f>净值原始!C1616</f>
        <v>46080</v>
      </c>
      <c r="H327" s="15">
        <f>净值原始!F1613</f>
        <v>1.3432</v>
      </c>
      <c r="I327" s="15">
        <f>净值原始!F1616</f>
        <v>1.3558</v>
      </c>
      <c r="J327" s="11">
        <f t="shared" si="15"/>
        <v>0.00938058368076233</v>
      </c>
      <c r="K327" s="9">
        <f>IF(COUNT(F327:I327)&lt;&gt;4,0,IF(AND(G327&gt;F327,H327&gt;0,I327&gt;0,L327&lt;='Sheet1-指标体系'!$J$31,M327&lt;='Sheet1-指标体系'!$J$31),1,0))</f>
        <v>1</v>
      </c>
      <c r="L327" s="9">
        <f t="shared" si="16"/>
        <v>1</v>
      </c>
      <c r="M327" s="9">
        <f t="shared" si="17"/>
        <v>1</v>
      </c>
    </row>
    <row r="328" ht="25" customHeight="1" spans="1:13">
      <c r="A328" s="9" t="s">
        <v>90</v>
      </c>
      <c r="B328" s="9" t="s">
        <v>88</v>
      </c>
      <c r="C328" s="9" t="s">
        <v>1058</v>
      </c>
      <c r="D328" s="10">
        <v>46081</v>
      </c>
      <c r="E328" s="10">
        <v>46112</v>
      </c>
      <c r="F328" s="10">
        <f>净值原始!C1616</f>
        <v>46080</v>
      </c>
      <c r="G328" s="10">
        <f>净值原始!C1620</f>
        <v>46108</v>
      </c>
      <c r="H328" s="15">
        <f>净值原始!F1616</f>
        <v>1.3558</v>
      </c>
      <c r="I328" s="15">
        <f>净值原始!F1620</f>
        <v>1.369</v>
      </c>
      <c r="J328" s="11">
        <f t="shared" si="15"/>
        <v>0.00973594925505239</v>
      </c>
      <c r="K328" s="9">
        <f>IF(COUNT(F328:I328)&lt;&gt;4,0,IF(AND(G328&gt;F328,H328&gt;0,I328&gt;0,L328&lt;='Sheet1-指标体系'!$J$31,M328&lt;='Sheet1-指标体系'!$J$31),1,0))</f>
        <v>1</v>
      </c>
      <c r="L328" s="9">
        <f t="shared" si="16"/>
        <v>1</v>
      </c>
      <c r="M328" s="9">
        <f t="shared" si="17"/>
        <v>4</v>
      </c>
    </row>
    <row r="329" ht="25" customHeight="1" spans="1:13">
      <c r="A329" s="9" t="s">
        <v>90</v>
      </c>
      <c r="B329" s="9" t="s">
        <v>88</v>
      </c>
      <c r="C329" s="9" t="s">
        <v>1059</v>
      </c>
      <c r="D329" s="10">
        <v>46112</v>
      </c>
      <c r="E329" s="10">
        <v>46142</v>
      </c>
      <c r="F329" s="10">
        <f>净值原始!C1620</f>
        <v>46108</v>
      </c>
      <c r="G329" s="10">
        <f>净值原始!C1625</f>
        <v>46142</v>
      </c>
      <c r="H329" s="15">
        <f>净值原始!F1620</f>
        <v>1.369</v>
      </c>
      <c r="I329" s="15">
        <f>净值原始!F1625</f>
        <v>1.377</v>
      </c>
      <c r="J329" s="11">
        <f t="shared" si="15"/>
        <v>0.00584368151935721</v>
      </c>
      <c r="K329" s="9">
        <f>IF(COUNT(F329:I329)&lt;&gt;4,0,IF(AND(G329&gt;F329,H329&gt;0,I329&gt;0,L329&lt;='Sheet1-指标体系'!$J$31,M329&lt;='Sheet1-指标体系'!$J$31),1,0))</f>
        <v>1</v>
      </c>
      <c r="L329" s="9">
        <f t="shared" si="16"/>
        <v>4</v>
      </c>
      <c r="M329" s="9">
        <f t="shared" si="17"/>
        <v>0</v>
      </c>
    </row>
    <row r="330" ht="25" customHeight="1" spans="1:13">
      <c r="A330" s="9" t="s">
        <v>90</v>
      </c>
      <c r="B330" s="9" t="s">
        <v>88</v>
      </c>
      <c r="C330" s="9" t="s">
        <v>1060</v>
      </c>
      <c r="D330" s="10">
        <v>46142</v>
      </c>
      <c r="E330" s="10">
        <v>46173</v>
      </c>
      <c r="F330" s="10">
        <f>净值原始!C1625</f>
        <v>46142</v>
      </c>
      <c r="G330" s="10">
        <f>净值原始!C1629</f>
        <v>46171</v>
      </c>
      <c r="H330" s="15">
        <f>净值原始!F1625</f>
        <v>1.377</v>
      </c>
      <c r="I330" s="15">
        <f>净值原始!F1629</f>
        <v>1.3814</v>
      </c>
      <c r="J330" s="11">
        <f t="shared" si="15"/>
        <v>0.00319535221495992</v>
      </c>
      <c r="K330" s="9">
        <f>IF(COUNT(F330:I330)&lt;&gt;4,0,IF(AND(G330&gt;F330,H330&gt;0,I330&gt;0,L330&lt;='Sheet1-指标体系'!$J$31,M330&lt;='Sheet1-指标体系'!$J$31),1,0))</f>
        <v>1</v>
      </c>
      <c r="L330" s="9">
        <f t="shared" si="16"/>
        <v>0</v>
      </c>
      <c r="M330" s="9">
        <f t="shared" si="17"/>
        <v>2</v>
      </c>
    </row>
    <row r="331" ht="25" customHeight="1" spans="1:13">
      <c r="A331" s="9" t="s">
        <v>90</v>
      </c>
      <c r="B331" s="9" t="s">
        <v>88</v>
      </c>
      <c r="C331" s="9" t="s">
        <v>1061</v>
      </c>
      <c r="D331" s="10">
        <v>46173</v>
      </c>
      <c r="E331" s="10">
        <v>46203</v>
      </c>
      <c r="F331" s="10">
        <f>净值原始!C1629</f>
        <v>46171</v>
      </c>
      <c r="G331" s="10">
        <f>净值原始!C1633</f>
        <v>46199</v>
      </c>
      <c r="H331" s="15">
        <f>净值原始!F1629</f>
        <v>1.3814</v>
      </c>
      <c r="I331" s="15">
        <f>净值原始!F1633</f>
        <v>1.3881</v>
      </c>
      <c r="J331" s="11">
        <f t="shared" si="15"/>
        <v>0.00485015201969019</v>
      </c>
      <c r="K331" s="9">
        <f>IF(COUNT(F331:I331)&lt;&gt;4,0,IF(AND(G331&gt;F331,H331&gt;0,I331&gt;0,L331&lt;='Sheet1-指标体系'!$J$31,M331&lt;='Sheet1-指标体系'!$J$31),1,0))</f>
        <v>1</v>
      </c>
      <c r="L331" s="9">
        <f t="shared" si="16"/>
        <v>2</v>
      </c>
      <c r="M331" s="9">
        <f t="shared" si="17"/>
        <v>4</v>
      </c>
    </row>
    <row r="332" ht="25" customHeight="1" spans="1:13">
      <c r="A332" s="9" t="s">
        <v>90</v>
      </c>
      <c r="B332" s="9" t="s">
        <v>88</v>
      </c>
      <c r="C332" s="9" t="s">
        <v>1062</v>
      </c>
      <c r="D332" s="10">
        <v>46203</v>
      </c>
      <c r="E332" s="10">
        <v>46234</v>
      </c>
      <c r="F332" s="10">
        <f>净值原始!C1633</f>
        <v>46199</v>
      </c>
      <c r="G332" s="10">
        <f>净值原始!C1638</f>
        <v>46234</v>
      </c>
      <c r="H332" s="15">
        <f>净值原始!F1633</f>
        <v>1.3881</v>
      </c>
      <c r="I332" s="15">
        <f>净值原始!F1638</f>
        <v>1.3943</v>
      </c>
      <c r="J332" s="11">
        <f t="shared" si="15"/>
        <v>0.00446653699301214</v>
      </c>
      <c r="K332" s="9">
        <f>IF(COUNT(F332:I332)&lt;&gt;4,0,IF(AND(G332&gt;F332,H332&gt;0,I332&gt;0,L332&lt;='Sheet1-指标体系'!$J$31,M332&lt;='Sheet1-指标体系'!$J$31),1,0))</f>
        <v>1</v>
      </c>
      <c r="L332" s="9">
        <f t="shared" si="16"/>
        <v>4</v>
      </c>
      <c r="M332" s="9">
        <f t="shared" si="17"/>
        <v>0</v>
      </c>
    </row>
    <row r="333" ht="25" customHeight="1" spans="1:13">
      <c r="A333" s="9" t="s">
        <v>90</v>
      </c>
      <c r="B333" s="9" t="s">
        <v>88</v>
      </c>
      <c r="C333" s="9" t="s">
        <v>1063</v>
      </c>
      <c r="D333" s="10">
        <v>46234</v>
      </c>
      <c r="E333" s="10">
        <v>46265</v>
      </c>
      <c r="F333" s="10">
        <f>净值原始!C1638</f>
        <v>46234</v>
      </c>
      <c r="G333" s="10">
        <f>净值原始!C1642</f>
        <v>46262</v>
      </c>
      <c r="H333" s="15">
        <f>净值原始!F1638</f>
        <v>1.3943</v>
      </c>
      <c r="I333" s="15">
        <f>净值原始!F1642</f>
        <v>1.3965</v>
      </c>
      <c r="J333" s="11">
        <f t="shared" si="15"/>
        <v>0.00157785268593558</v>
      </c>
      <c r="K333" s="9">
        <f>IF(COUNT(F333:I333)&lt;&gt;4,0,IF(AND(G333&gt;F333,H333&gt;0,I333&gt;0,L333&lt;='Sheet1-指标体系'!$J$31,M333&lt;='Sheet1-指标体系'!$J$31),1,0))</f>
        <v>1</v>
      </c>
      <c r="L333" s="9">
        <f t="shared" si="16"/>
        <v>0</v>
      </c>
      <c r="M333" s="9">
        <f t="shared" si="17"/>
        <v>3</v>
      </c>
    </row>
    <row r="334" ht="25" customHeight="1" spans="1:13">
      <c r="A334" s="9" t="s">
        <v>90</v>
      </c>
      <c r="B334" s="9" t="s">
        <v>88</v>
      </c>
      <c r="C334" s="9" t="s">
        <v>1064</v>
      </c>
      <c r="D334" s="10">
        <v>46265</v>
      </c>
      <c r="E334" s="10">
        <v>46269</v>
      </c>
      <c r="F334" s="10">
        <f>净值原始!C1642</f>
        <v>46262</v>
      </c>
      <c r="G334" s="10">
        <f>净值原始!C1643</f>
        <v>46269</v>
      </c>
      <c r="H334" s="15">
        <f>净值原始!F1642</f>
        <v>1.3965</v>
      </c>
      <c r="I334" s="15">
        <f>净值原始!F1643</f>
        <v>1.3985</v>
      </c>
      <c r="J334" s="11">
        <f t="shared" si="15"/>
        <v>0.00143215180809175</v>
      </c>
      <c r="K334" s="9">
        <f>IF(COUNT(F334:I334)&lt;&gt;4,0,IF(AND(G334&gt;F334,H334&gt;0,I334&gt;0,L334&lt;='Sheet1-指标体系'!$J$31,M334&lt;='Sheet1-指标体系'!$J$31),1,0))</f>
        <v>1</v>
      </c>
      <c r="L334" s="9">
        <f t="shared" si="16"/>
        <v>3</v>
      </c>
      <c r="M334" s="9">
        <f t="shared" si="17"/>
        <v>0</v>
      </c>
    </row>
    <row r="335" ht="25" customHeight="1" spans="1:13">
      <c r="A335" s="9" t="s">
        <v>371</v>
      </c>
      <c r="B335" s="9" t="s">
        <v>370</v>
      </c>
      <c r="C335" s="9" t="s">
        <v>1028</v>
      </c>
      <c r="D335" s="10">
        <v>45169</v>
      </c>
      <c r="E335" s="10">
        <v>45199</v>
      </c>
      <c r="F335" s="10">
        <f>净值原始!C1958</f>
        <v>45169</v>
      </c>
      <c r="G335" s="10">
        <f>净值原始!C1966</f>
        <v>45197</v>
      </c>
      <c r="H335" s="15">
        <f>净值原始!F1958</f>
        <v>1.171</v>
      </c>
      <c r="I335" s="15">
        <f>净值原始!F1966</f>
        <v>1.173</v>
      </c>
      <c r="J335" s="11">
        <f t="shared" si="15"/>
        <v>0.00170794192997437</v>
      </c>
      <c r="K335" s="9">
        <f>IF(COUNT(F335:I335)&lt;&gt;4,0,IF(AND(G335&gt;F335,H335&gt;0,I335&gt;0,L335&lt;='Sheet1-指标体系'!$J$31,M335&lt;='Sheet1-指标体系'!$J$31),1,0))</f>
        <v>1</v>
      </c>
      <c r="L335" s="9">
        <f t="shared" si="16"/>
        <v>0</v>
      </c>
      <c r="M335" s="9">
        <f t="shared" si="17"/>
        <v>2</v>
      </c>
    </row>
    <row r="336" ht="25" customHeight="1" spans="1:13">
      <c r="A336" s="9" t="s">
        <v>371</v>
      </c>
      <c r="B336" s="9" t="s">
        <v>370</v>
      </c>
      <c r="C336" s="9" t="s">
        <v>1029</v>
      </c>
      <c r="D336" s="10">
        <v>45199</v>
      </c>
      <c r="E336" s="10">
        <v>45230</v>
      </c>
      <c r="F336" s="10">
        <f>净值原始!C1966</f>
        <v>45197</v>
      </c>
      <c r="G336" s="10">
        <f>净值原始!C1973</f>
        <v>45230</v>
      </c>
      <c r="H336" s="15">
        <f>净值原始!F1966</f>
        <v>1.173</v>
      </c>
      <c r="I336" s="15">
        <f>净值原始!F1973</f>
        <v>1.178</v>
      </c>
      <c r="J336" s="11">
        <f t="shared" si="15"/>
        <v>0.0042625745950553</v>
      </c>
      <c r="K336" s="9">
        <f>IF(COUNT(F336:I336)&lt;&gt;4,0,IF(AND(G336&gt;F336,H336&gt;0,I336&gt;0,L336&lt;='Sheet1-指标体系'!$J$31,M336&lt;='Sheet1-指标体系'!$J$31),1,0))</f>
        <v>1</v>
      </c>
      <c r="L336" s="9">
        <f t="shared" si="16"/>
        <v>2</v>
      </c>
      <c r="M336" s="9">
        <f t="shared" si="17"/>
        <v>0</v>
      </c>
    </row>
    <row r="337" ht="25" customHeight="1" spans="1:13">
      <c r="A337" s="9" t="s">
        <v>371</v>
      </c>
      <c r="B337" s="9" t="s">
        <v>370</v>
      </c>
      <c r="C337" s="9" t="s">
        <v>1030</v>
      </c>
      <c r="D337" s="10">
        <v>45230</v>
      </c>
      <c r="E337" s="10">
        <v>45260</v>
      </c>
      <c r="F337" s="10">
        <f>净值原始!C1973</f>
        <v>45230</v>
      </c>
      <c r="G337" s="10">
        <f>净值原始!C1982</f>
        <v>45260</v>
      </c>
      <c r="H337" s="15">
        <f>净值原始!F1973</f>
        <v>1.178</v>
      </c>
      <c r="I337" s="15">
        <f>净值原始!F1982</f>
        <v>1.179</v>
      </c>
      <c r="J337" s="11">
        <f t="shared" si="15"/>
        <v>0.000848896434635149</v>
      </c>
      <c r="K337" s="9">
        <f>IF(COUNT(F337:I337)&lt;&gt;4,0,IF(AND(G337&gt;F337,H337&gt;0,I337&gt;0,L337&lt;='Sheet1-指标体系'!$J$31,M337&lt;='Sheet1-指标体系'!$J$31),1,0))</f>
        <v>1</v>
      </c>
      <c r="L337" s="9">
        <f t="shared" si="16"/>
        <v>0</v>
      </c>
      <c r="M337" s="9">
        <f t="shared" si="17"/>
        <v>0</v>
      </c>
    </row>
    <row r="338" ht="25" customHeight="1" spans="1:13">
      <c r="A338" s="9" t="s">
        <v>371</v>
      </c>
      <c r="B338" s="9" t="s">
        <v>370</v>
      </c>
      <c r="C338" s="9" t="s">
        <v>1031</v>
      </c>
      <c r="D338" s="10">
        <v>45260</v>
      </c>
      <c r="E338" s="10">
        <v>45291</v>
      </c>
      <c r="F338" s="10">
        <f>净值原始!C1982</f>
        <v>45260</v>
      </c>
      <c r="G338" s="10">
        <f>净值原始!C1991</f>
        <v>45289</v>
      </c>
      <c r="H338" s="15">
        <f>净值原始!F1982</f>
        <v>1.179</v>
      </c>
      <c r="I338" s="15">
        <f>净值原始!F1991</f>
        <v>1.185</v>
      </c>
      <c r="J338" s="11">
        <f t="shared" si="15"/>
        <v>0.00508905852417296</v>
      </c>
      <c r="K338" s="9">
        <f>IF(COUNT(F338:I338)&lt;&gt;4,0,IF(AND(G338&gt;F338,H338&gt;0,I338&gt;0,L338&lt;='Sheet1-指标体系'!$J$31,M338&lt;='Sheet1-指标体系'!$J$31),1,0))</f>
        <v>1</v>
      </c>
      <c r="L338" s="9">
        <f t="shared" si="16"/>
        <v>0</v>
      </c>
      <c r="M338" s="9">
        <f t="shared" si="17"/>
        <v>2</v>
      </c>
    </row>
    <row r="339" ht="25" customHeight="1" spans="1:13">
      <c r="A339" s="9" t="s">
        <v>371</v>
      </c>
      <c r="B339" s="9" t="s">
        <v>370</v>
      </c>
      <c r="C339" s="9" t="s">
        <v>1032</v>
      </c>
      <c r="D339" s="10">
        <v>45291</v>
      </c>
      <c r="E339" s="10">
        <v>45322</v>
      </c>
      <c r="F339" s="10">
        <f>净值原始!C1991</f>
        <v>45289</v>
      </c>
      <c r="G339" s="10">
        <f>净值原始!C2000</f>
        <v>45322</v>
      </c>
      <c r="H339" s="15">
        <f>净值原始!F1991</f>
        <v>1.185</v>
      </c>
      <c r="I339" s="15">
        <f>净值原始!F2000</f>
        <v>1.201</v>
      </c>
      <c r="J339" s="11">
        <f t="shared" si="15"/>
        <v>0.0135021097046413</v>
      </c>
      <c r="K339" s="9">
        <f>IF(COUNT(F339:I339)&lt;&gt;4,0,IF(AND(G339&gt;F339,H339&gt;0,I339&gt;0,L339&lt;='Sheet1-指标体系'!$J$31,M339&lt;='Sheet1-指标体系'!$J$31),1,0))</f>
        <v>1</v>
      </c>
      <c r="L339" s="9">
        <f t="shared" si="16"/>
        <v>2</v>
      </c>
      <c r="M339" s="9">
        <f t="shared" si="17"/>
        <v>0</v>
      </c>
    </row>
    <row r="340" ht="25" customHeight="1" spans="1:13">
      <c r="A340" s="9" t="s">
        <v>371</v>
      </c>
      <c r="B340" s="9" t="s">
        <v>370</v>
      </c>
      <c r="C340" s="9" t="s">
        <v>1033</v>
      </c>
      <c r="D340" s="10">
        <v>45322</v>
      </c>
      <c r="E340" s="10">
        <v>45351</v>
      </c>
      <c r="F340" s="10">
        <f>净值原始!C2000</f>
        <v>45322</v>
      </c>
      <c r="G340" s="10">
        <f>净值原始!C2006</f>
        <v>45351</v>
      </c>
      <c r="H340" s="15">
        <f>净值原始!F2000</f>
        <v>1.201</v>
      </c>
      <c r="I340" s="15">
        <f>净值原始!F2006</f>
        <v>1.219</v>
      </c>
      <c r="J340" s="11">
        <f t="shared" si="15"/>
        <v>0.0149875104079933</v>
      </c>
      <c r="K340" s="9">
        <f>IF(COUNT(F340:I340)&lt;&gt;4,0,IF(AND(G340&gt;F340,H340&gt;0,I340&gt;0,L340&lt;='Sheet1-指标体系'!$J$31,M340&lt;='Sheet1-指标体系'!$J$31),1,0))</f>
        <v>1</v>
      </c>
      <c r="L340" s="9">
        <f t="shared" si="16"/>
        <v>0</v>
      </c>
      <c r="M340" s="9">
        <f t="shared" si="17"/>
        <v>0</v>
      </c>
    </row>
    <row r="341" ht="25" customHeight="1" spans="1:13">
      <c r="A341" s="9" t="s">
        <v>371</v>
      </c>
      <c r="B341" s="9" t="s">
        <v>370</v>
      </c>
      <c r="C341" s="9" t="s">
        <v>1034</v>
      </c>
      <c r="D341" s="10">
        <v>45351</v>
      </c>
      <c r="E341" s="10">
        <v>45382</v>
      </c>
      <c r="F341" s="10">
        <f>净值原始!C2006</f>
        <v>45351</v>
      </c>
      <c r="G341" s="10">
        <f>净值原始!C2015</f>
        <v>45380</v>
      </c>
      <c r="H341" s="15">
        <f>净值原始!F2006</f>
        <v>1.219</v>
      </c>
      <c r="I341" s="15">
        <f>净值原始!F2015</f>
        <v>1.213</v>
      </c>
      <c r="J341" s="11">
        <f t="shared" si="15"/>
        <v>-0.00492206726825262</v>
      </c>
      <c r="K341" s="9">
        <f>IF(COUNT(F341:I341)&lt;&gt;4,0,IF(AND(G341&gt;F341,H341&gt;0,I341&gt;0,L341&lt;='Sheet1-指标体系'!$J$31,M341&lt;='Sheet1-指标体系'!$J$31),1,0))</f>
        <v>1</v>
      </c>
      <c r="L341" s="9">
        <f t="shared" si="16"/>
        <v>0</v>
      </c>
      <c r="M341" s="9">
        <f t="shared" si="17"/>
        <v>2</v>
      </c>
    </row>
    <row r="342" ht="25" customHeight="1" spans="1:13">
      <c r="A342" s="9" t="s">
        <v>371</v>
      </c>
      <c r="B342" s="9" t="s">
        <v>370</v>
      </c>
      <c r="C342" s="9" t="s">
        <v>1035</v>
      </c>
      <c r="D342" s="10">
        <v>45382</v>
      </c>
      <c r="E342" s="10">
        <v>45412</v>
      </c>
      <c r="F342" s="10">
        <f>净值原始!C2015</f>
        <v>45380</v>
      </c>
      <c r="G342" s="10">
        <f>净值原始!C2024</f>
        <v>45412</v>
      </c>
      <c r="H342" s="15">
        <f>净值原始!F2015</f>
        <v>1.213</v>
      </c>
      <c r="I342" s="15">
        <f>净值原始!F2024</f>
        <v>1.22</v>
      </c>
      <c r="J342" s="11">
        <f t="shared" si="15"/>
        <v>0.00577081615828523</v>
      </c>
      <c r="K342" s="9">
        <f>IF(COUNT(F342:I342)&lt;&gt;4,0,IF(AND(G342&gt;F342,H342&gt;0,I342&gt;0,L342&lt;='Sheet1-指标体系'!$J$31,M342&lt;='Sheet1-指标体系'!$J$31),1,0))</f>
        <v>1</v>
      </c>
      <c r="L342" s="9">
        <f t="shared" si="16"/>
        <v>2</v>
      </c>
      <c r="M342" s="9">
        <f t="shared" si="17"/>
        <v>0</v>
      </c>
    </row>
    <row r="343" ht="25" customHeight="1" spans="1:13">
      <c r="A343" s="9" t="s">
        <v>371</v>
      </c>
      <c r="B343" s="9" t="s">
        <v>370</v>
      </c>
      <c r="C343" s="9" t="s">
        <v>1036</v>
      </c>
      <c r="D343" s="10">
        <v>45412</v>
      </c>
      <c r="E343" s="10">
        <v>45443</v>
      </c>
      <c r="F343" s="10">
        <f>净值原始!C2024</f>
        <v>45412</v>
      </c>
      <c r="G343" s="10">
        <f>净值原始!C2033</f>
        <v>45443</v>
      </c>
      <c r="H343" s="15">
        <f>净值原始!F2024</f>
        <v>1.22</v>
      </c>
      <c r="I343" s="15">
        <f>净值原始!F2033</f>
        <v>1.224</v>
      </c>
      <c r="J343" s="11">
        <f t="shared" si="15"/>
        <v>0.00327868852459012</v>
      </c>
      <c r="K343" s="9">
        <f>IF(COUNT(F343:I343)&lt;&gt;4,0,IF(AND(G343&gt;F343,H343&gt;0,I343&gt;0,L343&lt;='Sheet1-指标体系'!$J$31,M343&lt;='Sheet1-指标体系'!$J$31),1,0))</f>
        <v>1</v>
      </c>
      <c r="L343" s="9">
        <f t="shared" si="16"/>
        <v>0</v>
      </c>
      <c r="M343" s="9">
        <f t="shared" si="17"/>
        <v>0</v>
      </c>
    </row>
    <row r="344" ht="25" customHeight="1" spans="1:13">
      <c r="A344" s="9" t="s">
        <v>371</v>
      </c>
      <c r="B344" s="9" t="s">
        <v>370</v>
      </c>
      <c r="C344" s="9" t="s">
        <v>1037</v>
      </c>
      <c r="D344" s="10">
        <v>45443</v>
      </c>
      <c r="E344" s="10">
        <v>45473</v>
      </c>
      <c r="F344" s="10">
        <f>净值原始!C2033</f>
        <v>45443</v>
      </c>
      <c r="G344" s="10">
        <f>净值原始!C2041</f>
        <v>45471</v>
      </c>
      <c r="H344" s="15">
        <f>净值原始!F2033</f>
        <v>1.224</v>
      </c>
      <c r="I344" s="15">
        <f>净值原始!F2041</f>
        <v>1.226</v>
      </c>
      <c r="J344" s="11">
        <f t="shared" si="15"/>
        <v>0.00163398692810457</v>
      </c>
      <c r="K344" s="9">
        <f>IF(COUNT(F344:I344)&lt;&gt;4,0,IF(AND(G344&gt;F344,H344&gt;0,I344&gt;0,L344&lt;='Sheet1-指标体系'!$J$31,M344&lt;='Sheet1-指标体系'!$J$31),1,0))</f>
        <v>1</v>
      </c>
      <c r="L344" s="9">
        <f t="shared" si="16"/>
        <v>0</v>
      </c>
      <c r="M344" s="9">
        <f t="shared" si="17"/>
        <v>2</v>
      </c>
    </row>
    <row r="345" ht="25" customHeight="1" spans="1:13">
      <c r="A345" s="9" t="s">
        <v>371</v>
      </c>
      <c r="B345" s="9" t="s">
        <v>370</v>
      </c>
      <c r="C345" s="9" t="s">
        <v>1038</v>
      </c>
      <c r="D345" s="10">
        <v>45473</v>
      </c>
      <c r="E345" s="10">
        <v>45504</v>
      </c>
      <c r="F345" s="10">
        <f>净值原始!C2041</f>
        <v>45471</v>
      </c>
      <c r="G345" s="10">
        <f>净值原始!C2050</f>
        <v>45504</v>
      </c>
      <c r="H345" s="15">
        <f>净值原始!F2041</f>
        <v>1.226</v>
      </c>
      <c r="I345" s="15">
        <f>净值原始!F2050</f>
        <v>1.241</v>
      </c>
      <c r="J345" s="11">
        <f t="shared" si="15"/>
        <v>0.0122349102773247</v>
      </c>
      <c r="K345" s="9">
        <f>IF(COUNT(F345:I345)&lt;&gt;4,0,IF(AND(G345&gt;F345,H345&gt;0,I345&gt;0,L345&lt;='Sheet1-指标体系'!$J$31,M345&lt;='Sheet1-指标体系'!$J$31),1,0))</f>
        <v>1</v>
      </c>
      <c r="L345" s="9">
        <f t="shared" si="16"/>
        <v>2</v>
      </c>
      <c r="M345" s="9">
        <f t="shared" si="17"/>
        <v>0</v>
      </c>
    </row>
    <row r="346" ht="25" customHeight="1" spans="1:13">
      <c r="A346" s="9" t="s">
        <v>371</v>
      </c>
      <c r="B346" s="9" t="s">
        <v>370</v>
      </c>
      <c r="C346" s="9" t="s">
        <v>1039</v>
      </c>
      <c r="D346" s="10">
        <v>45504</v>
      </c>
      <c r="E346" s="10">
        <v>45535</v>
      </c>
      <c r="F346" s="10">
        <f>净值原始!C2050</f>
        <v>45504</v>
      </c>
      <c r="G346" s="10">
        <f>净值原始!C2055</f>
        <v>45534</v>
      </c>
      <c r="H346" s="15">
        <f>净值原始!F2050</f>
        <v>1.241</v>
      </c>
      <c r="I346" s="15">
        <f>净值原始!F2055</f>
        <v>1.246</v>
      </c>
      <c r="J346" s="11">
        <f t="shared" si="15"/>
        <v>0.00402900886381952</v>
      </c>
      <c r="K346" s="9">
        <f>IF(COUNT(F346:I346)&lt;&gt;4,0,IF(AND(G346&gt;F346,H346&gt;0,I346&gt;0,L346&lt;='Sheet1-指标体系'!$J$31,M346&lt;='Sheet1-指标体系'!$J$31),1,0))</f>
        <v>1</v>
      </c>
      <c r="L346" s="9">
        <f t="shared" si="16"/>
        <v>0</v>
      </c>
      <c r="M346" s="9">
        <f t="shared" si="17"/>
        <v>1</v>
      </c>
    </row>
    <row r="347" ht="25" customHeight="1" spans="1:13">
      <c r="A347" s="9" t="s">
        <v>371</v>
      </c>
      <c r="B347" s="9" t="s">
        <v>370</v>
      </c>
      <c r="C347" s="9" t="s">
        <v>1040</v>
      </c>
      <c r="D347" s="10">
        <v>45535</v>
      </c>
      <c r="E347" s="10">
        <v>45565</v>
      </c>
      <c r="F347" s="10">
        <f>净值原始!C2055</f>
        <v>45534</v>
      </c>
      <c r="G347" s="10">
        <f>净值原始!C2060</f>
        <v>45565</v>
      </c>
      <c r="H347" s="15">
        <f>净值原始!F2055</f>
        <v>1.246</v>
      </c>
      <c r="I347" s="15">
        <f>净值原始!F2060</f>
        <v>1.276</v>
      </c>
      <c r="J347" s="11">
        <f t="shared" si="15"/>
        <v>0.0240770465489566</v>
      </c>
      <c r="K347" s="9">
        <f>IF(COUNT(F347:I347)&lt;&gt;4,0,IF(AND(G347&gt;F347,H347&gt;0,I347&gt;0,L347&lt;='Sheet1-指标体系'!$J$31,M347&lt;='Sheet1-指标体系'!$J$31),1,0))</f>
        <v>1</v>
      </c>
      <c r="L347" s="9">
        <f t="shared" si="16"/>
        <v>1</v>
      </c>
      <c r="M347" s="9">
        <f t="shared" si="17"/>
        <v>0</v>
      </c>
    </row>
    <row r="348" ht="25" customHeight="1" spans="1:13">
      <c r="A348" s="9" t="s">
        <v>371</v>
      </c>
      <c r="B348" s="9" t="s">
        <v>370</v>
      </c>
      <c r="C348" s="9" t="s">
        <v>1041</v>
      </c>
      <c r="D348" s="10">
        <v>45565</v>
      </c>
      <c r="E348" s="10">
        <v>45596</v>
      </c>
      <c r="F348" s="10">
        <f>净值原始!C2060</f>
        <v>45565</v>
      </c>
      <c r="G348" s="10">
        <f>净值原始!C2064</f>
        <v>45596</v>
      </c>
      <c r="H348" s="15">
        <f>净值原始!F2060</f>
        <v>1.276</v>
      </c>
      <c r="I348" s="15">
        <f>净值原始!F2064</f>
        <v>1.307</v>
      </c>
      <c r="J348" s="11">
        <f t="shared" si="15"/>
        <v>0.0242946708463949</v>
      </c>
      <c r="K348" s="9">
        <f>IF(COUNT(F348:I348)&lt;&gt;4,0,IF(AND(G348&gt;F348,H348&gt;0,I348&gt;0,L348&lt;='Sheet1-指标体系'!$J$31,M348&lt;='Sheet1-指标体系'!$J$31),1,0))</f>
        <v>1</v>
      </c>
      <c r="L348" s="9">
        <f t="shared" si="16"/>
        <v>0</v>
      </c>
      <c r="M348" s="9">
        <f t="shared" si="17"/>
        <v>0</v>
      </c>
    </row>
    <row r="349" ht="25" customHeight="1" spans="1:13">
      <c r="A349" s="9" t="s">
        <v>371</v>
      </c>
      <c r="B349" s="9" t="s">
        <v>370</v>
      </c>
      <c r="C349" s="9" t="s">
        <v>1042</v>
      </c>
      <c r="D349" s="10">
        <v>45596</v>
      </c>
      <c r="E349" s="10">
        <v>45626</v>
      </c>
      <c r="F349" s="10">
        <f>净值原始!C2064</f>
        <v>45596</v>
      </c>
      <c r="G349" s="10">
        <f>净值原始!C2069</f>
        <v>45625</v>
      </c>
      <c r="H349" s="15">
        <f>净值原始!F2064</f>
        <v>1.307</v>
      </c>
      <c r="I349" s="15">
        <f>净值原始!F2069</f>
        <v>1.339</v>
      </c>
      <c r="J349" s="11">
        <f t="shared" si="15"/>
        <v>0.0244835501147667</v>
      </c>
      <c r="K349" s="9">
        <f>IF(COUNT(F349:I349)&lt;&gt;4,0,IF(AND(G349&gt;F349,H349&gt;0,I349&gt;0,L349&lt;='Sheet1-指标体系'!$J$31,M349&lt;='Sheet1-指标体系'!$J$31),1,0))</f>
        <v>1</v>
      </c>
      <c r="L349" s="9">
        <f t="shared" si="16"/>
        <v>0</v>
      </c>
      <c r="M349" s="9">
        <f t="shared" si="17"/>
        <v>1</v>
      </c>
    </row>
    <row r="350" ht="25" customHeight="1" spans="1:13">
      <c r="A350" s="9" t="s">
        <v>371</v>
      </c>
      <c r="B350" s="9" t="s">
        <v>370</v>
      </c>
      <c r="C350" s="9" t="s">
        <v>1043</v>
      </c>
      <c r="D350" s="10">
        <v>45626</v>
      </c>
      <c r="E350" s="10">
        <v>45657</v>
      </c>
      <c r="F350" s="10">
        <f>净值原始!C2069</f>
        <v>45625</v>
      </c>
      <c r="G350" s="10">
        <f>净值原始!C2074</f>
        <v>45657</v>
      </c>
      <c r="H350" s="15">
        <f>净值原始!F2069</f>
        <v>1.339</v>
      </c>
      <c r="I350" s="15">
        <f>净值原始!F2074</f>
        <v>1.341</v>
      </c>
      <c r="J350" s="11">
        <f t="shared" si="15"/>
        <v>0.00149365197908891</v>
      </c>
      <c r="K350" s="9">
        <f>IF(COUNT(F350:I350)&lt;&gt;4,0,IF(AND(G350&gt;F350,H350&gt;0,I350&gt;0,L350&lt;='Sheet1-指标体系'!$J$31,M350&lt;='Sheet1-指标体系'!$J$31),1,0))</f>
        <v>1</v>
      </c>
      <c r="L350" s="9">
        <f t="shared" si="16"/>
        <v>1</v>
      </c>
      <c r="M350" s="9">
        <f t="shared" si="17"/>
        <v>0</v>
      </c>
    </row>
    <row r="351" ht="25" customHeight="1" spans="1:13">
      <c r="A351" s="9" t="s">
        <v>371</v>
      </c>
      <c r="B351" s="9" t="s">
        <v>370</v>
      </c>
      <c r="C351" s="9" t="s">
        <v>1044</v>
      </c>
      <c r="D351" s="10">
        <v>45657</v>
      </c>
      <c r="E351" s="10">
        <v>45688</v>
      </c>
      <c r="F351" s="10">
        <f>净值原始!C2074</f>
        <v>45657</v>
      </c>
      <c r="G351" s="10">
        <f>净值原始!C2079</f>
        <v>45684</v>
      </c>
      <c r="H351" s="15">
        <f>净值原始!F2074</f>
        <v>1.341</v>
      </c>
      <c r="I351" s="15">
        <f>净值原始!F2079</f>
        <v>1.351</v>
      </c>
      <c r="J351" s="11">
        <f t="shared" si="15"/>
        <v>0.00745712155108125</v>
      </c>
      <c r="K351" s="9">
        <f>IF(COUNT(F351:I351)&lt;&gt;4,0,IF(AND(G351&gt;F351,H351&gt;0,I351&gt;0,L351&lt;='Sheet1-指标体系'!$J$31,M351&lt;='Sheet1-指标体系'!$J$31),1,0))</f>
        <v>1</v>
      </c>
      <c r="L351" s="9">
        <f t="shared" si="16"/>
        <v>0</v>
      </c>
      <c r="M351" s="9">
        <f t="shared" si="17"/>
        <v>4</v>
      </c>
    </row>
    <row r="352" ht="25" customHeight="1" spans="1:13">
      <c r="A352" s="9" t="s">
        <v>371</v>
      </c>
      <c r="B352" s="9" t="s">
        <v>370</v>
      </c>
      <c r="C352" s="9" t="s">
        <v>1045</v>
      </c>
      <c r="D352" s="10">
        <v>45688</v>
      </c>
      <c r="E352" s="10">
        <v>45716</v>
      </c>
      <c r="F352" s="10">
        <f>净值原始!C2079</f>
        <v>45684</v>
      </c>
      <c r="G352" s="10">
        <f>净值原始!C2084</f>
        <v>45716</v>
      </c>
      <c r="H352" s="15">
        <f>净值原始!F2079</f>
        <v>1.351</v>
      </c>
      <c r="I352" s="15">
        <f>净值原始!F2084</f>
        <v>1.3603</v>
      </c>
      <c r="J352" s="11">
        <f t="shared" si="15"/>
        <v>0.00688378978534421</v>
      </c>
      <c r="K352" s="9">
        <f>IF(COUNT(F352:I352)&lt;&gt;4,0,IF(AND(G352&gt;F352,H352&gt;0,I352&gt;0,L352&lt;='Sheet1-指标体系'!$J$31,M352&lt;='Sheet1-指标体系'!$J$31),1,0))</f>
        <v>1</v>
      </c>
      <c r="L352" s="9">
        <f t="shared" si="16"/>
        <v>4</v>
      </c>
      <c r="M352" s="9">
        <f t="shared" si="17"/>
        <v>0</v>
      </c>
    </row>
    <row r="353" ht="25" customHeight="1" spans="1:13">
      <c r="A353" s="9" t="s">
        <v>371</v>
      </c>
      <c r="B353" s="9" t="s">
        <v>370</v>
      </c>
      <c r="C353" s="9" t="s">
        <v>1046</v>
      </c>
      <c r="D353" s="10">
        <v>45716</v>
      </c>
      <c r="E353" s="10">
        <v>45747</v>
      </c>
      <c r="F353" s="10">
        <f>净值原始!C2084</f>
        <v>45716</v>
      </c>
      <c r="G353" s="10">
        <f>净值原始!C2089</f>
        <v>45747</v>
      </c>
      <c r="H353" s="15">
        <f>净值原始!F2084</f>
        <v>1.3603</v>
      </c>
      <c r="I353" s="15">
        <f>净值原始!F2089</f>
        <v>1.3603</v>
      </c>
      <c r="J353" s="11">
        <f t="shared" si="15"/>
        <v>0</v>
      </c>
      <c r="K353" s="9">
        <f>IF(COUNT(F353:I353)&lt;&gt;4,0,IF(AND(G353&gt;F353,H353&gt;0,I353&gt;0,L353&lt;='Sheet1-指标体系'!$J$31,M353&lt;='Sheet1-指标体系'!$J$31),1,0))</f>
        <v>1</v>
      </c>
      <c r="L353" s="9">
        <f t="shared" si="16"/>
        <v>0</v>
      </c>
      <c r="M353" s="9">
        <f t="shared" si="17"/>
        <v>0</v>
      </c>
    </row>
    <row r="354" ht="25" customHeight="1" spans="1:13">
      <c r="A354" s="9" t="s">
        <v>371</v>
      </c>
      <c r="B354" s="9" t="s">
        <v>370</v>
      </c>
      <c r="C354" s="9" t="s">
        <v>1047</v>
      </c>
      <c r="D354" s="10">
        <v>45747</v>
      </c>
      <c r="E354" s="10">
        <v>45777</v>
      </c>
      <c r="F354" s="10">
        <f>净值原始!C2089</f>
        <v>45747</v>
      </c>
      <c r="G354" s="10">
        <f>净值原始!C2094</f>
        <v>45777</v>
      </c>
      <c r="H354" s="15">
        <f>净值原始!F2089</f>
        <v>1.3603</v>
      </c>
      <c r="I354" s="15">
        <f>净值原始!F2094</f>
        <v>1.351</v>
      </c>
      <c r="J354" s="11">
        <f t="shared" si="15"/>
        <v>-0.00683672719253114</v>
      </c>
      <c r="K354" s="9">
        <f>IF(COUNT(F354:I354)&lt;&gt;4,0,IF(AND(G354&gt;F354,H354&gt;0,I354&gt;0,L354&lt;='Sheet1-指标体系'!$J$31,M354&lt;='Sheet1-指标体系'!$J$31),1,0))</f>
        <v>1</v>
      </c>
      <c r="L354" s="9">
        <f t="shared" si="16"/>
        <v>0</v>
      </c>
      <c r="M354" s="9">
        <f t="shared" si="17"/>
        <v>0</v>
      </c>
    </row>
    <row r="355" ht="25" customHeight="1" spans="1:13">
      <c r="A355" s="9" t="s">
        <v>371</v>
      </c>
      <c r="B355" s="9" t="s">
        <v>370</v>
      </c>
      <c r="C355" s="9" t="s">
        <v>1048</v>
      </c>
      <c r="D355" s="10">
        <v>45777</v>
      </c>
      <c r="E355" s="10">
        <v>45808</v>
      </c>
      <c r="F355" s="10">
        <f>净值原始!C2094</f>
        <v>45777</v>
      </c>
      <c r="G355" s="10">
        <f>净值原始!C2098</f>
        <v>45807</v>
      </c>
      <c r="H355" s="15">
        <f>净值原始!F2094</f>
        <v>1.351</v>
      </c>
      <c r="I355" s="15">
        <f>净值原始!F2098</f>
        <v>1.3537</v>
      </c>
      <c r="J355" s="11">
        <f t="shared" si="15"/>
        <v>0.00199851961509978</v>
      </c>
      <c r="K355" s="9">
        <f>IF(COUNT(F355:I355)&lt;&gt;4,0,IF(AND(G355&gt;F355,H355&gt;0,I355&gt;0,L355&lt;='Sheet1-指标体系'!$J$31,M355&lt;='Sheet1-指标体系'!$J$31),1,0))</f>
        <v>1</v>
      </c>
      <c r="L355" s="9">
        <f t="shared" si="16"/>
        <v>0</v>
      </c>
      <c r="M355" s="9">
        <f t="shared" si="17"/>
        <v>1</v>
      </c>
    </row>
    <row r="356" ht="25" customHeight="1" spans="1:13">
      <c r="A356" s="9" t="s">
        <v>371</v>
      </c>
      <c r="B356" s="9" t="s">
        <v>370</v>
      </c>
      <c r="C356" s="9" t="s">
        <v>1049</v>
      </c>
      <c r="D356" s="10">
        <v>45808</v>
      </c>
      <c r="E356" s="10">
        <v>45838</v>
      </c>
      <c r="F356" s="10">
        <f>净值原始!C2098</f>
        <v>45807</v>
      </c>
      <c r="G356" s="10">
        <f>净值原始!C2103</f>
        <v>45838</v>
      </c>
      <c r="H356" s="15">
        <f>净值原始!F2098</f>
        <v>1.3537</v>
      </c>
      <c r="I356" s="15">
        <f>净值原始!F2103</f>
        <v>1.3656</v>
      </c>
      <c r="J356" s="11">
        <f t="shared" si="15"/>
        <v>0.00879072172564088</v>
      </c>
      <c r="K356" s="9">
        <f>IF(COUNT(F356:I356)&lt;&gt;4,0,IF(AND(G356&gt;F356,H356&gt;0,I356&gt;0,L356&lt;='Sheet1-指标体系'!$J$31,M356&lt;='Sheet1-指标体系'!$J$31),1,0))</f>
        <v>1</v>
      </c>
      <c r="L356" s="9">
        <f t="shared" si="16"/>
        <v>1</v>
      </c>
      <c r="M356" s="9">
        <f t="shared" si="17"/>
        <v>0</v>
      </c>
    </row>
    <row r="357" ht="25" customHeight="1" spans="1:13">
      <c r="A357" s="9" t="s">
        <v>371</v>
      </c>
      <c r="B357" s="9" t="s">
        <v>370</v>
      </c>
      <c r="C357" s="9" t="s">
        <v>1050</v>
      </c>
      <c r="D357" s="10">
        <v>45838</v>
      </c>
      <c r="E357" s="10">
        <v>45869</v>
      </c>
      <c r="F357" s="10">
        <f>净值原始!C2103</f>
        <v>45838</v>
      </c>
      <c r="G357" s="10">
        <f>净值原始!C2108</f>
        <v>45869</v>
      </c>
      <c r="H357" s="15">
        <f>净值原始!F2103</f>
        <v>1.3656</v>
      </c>
      <c r="I357" s="15">
        <f>净值原始!F2108</f>
        <v>1.3577</v>
      </c>
      <c r="J357" s="11">
        <f t="shared" si="15"/>
        <v>-0.00578500292911543</v>
      </c>
      <c r="K357" s="9">
        <f>IF(COUNT(F357:I357)&lt;&gt;4,0,IF(AND(G357&gt;F357,H357&gt;0,I357&gt;0,L357&lt;='Sheet1-指标体系'!$J$31,M357&lt;='Sheet1-指标体系'!$J$31),1,0))</f>
        <v>1</v>
      </c>
      <c r="L357" s="9">
        <f t="shared" si="16"/>
        <v>0</v>
      </c>
      <c r="M357" s="9">
        <f t="shared" si="17"/>
        <v>0</v>
      </c>
    </row>
    <row r="358" ht="25" customHeight="1" spans="1:13">
      <c r="A358" s="9" t="s">
        <v>371</v>
      </c>
      <c r="B358" s="9" t="s">
        <v>370</v>
      </c>
      <c r="C358" s="9" t="s">
        <v>1051</v>
      </c>
      <c r="D358" s="10">
        <v>45869</v>
      </c>
      <c r="E358" s="10">
        <v>45900</v>
      </c>
      <c r="F358" s="10">
        <f>净值原始!C2108</f>
        <v>45869</v>
      </c>
      <c r="G358" s="10">
        <f>净值原始!C2113</f>
        <v>45898</v>
      </c>
      <c r="H358" s="15">
        <f>净值原始!F2108</f>
        <v>1.3577</v>
      </c>
      <c r="I358" s="15">
        <f>净值原始!F2113</f>
        <v>1.3577</v>
      </c>
      <c r="J358" s="11">
        <f t="shared" si="15"/>
        <v>0</v>
      </c>
      <c r="K358" s="9">
        <f>IF(COUNT(F358:I358)&lt;&gt;4,0,IF(AND(G358&gt;F358,H358&gt;0,I358&gt;0,L358&lt;='Sheet1-指标体系'!$J$31,M358&lt;='Sheet1-指标体系'!$J$31),1,0))</f>
        <v>1</v>
      </c>
      <c r="L358" s="9">
        <f t="shared" si="16"/>
        <v>0</v>
      </c>
      <c r="M358" s="9">
        <f t="shared" si="17"/>
        <v>2</v>
      </c>
    </row>
    <row r="359" ht="25" customHeight="1" spans="1:13">
      <c r="A359" s="9" t="s">
        <v>371</v>
      </c>
      <c r="B359" s="9" t="s">
        <v>370</v>
      </c>
      <c r="C359" s="9" t="s">
        <v>1052</v>
      </c>
      <c r="D359" s="10">
        <v>45900</v>
      </c>
      <c r="E359" s="10">
        <v>45930</v>
      </c>
      <c r="F359" s="10">
        <f>净值原始!C2113</f>
        <v>45898</v>
      </c>
      <c r="G359" s="10">
        <f>净值原始!C2118</f>
        <v>45930</v>
      </c>
      <c r="H359" s="15">
        <f>净值原始!F2113</f>
        <v>1.3577</v>
      </c>
      <c r="I359" s="15">
        <f>净值原始!F2118</f>
        <v>1.3975</v>
      </c>
      <c r="J359" s="11">
        <f t="shared" si="15"/>
        <v>0.0293142815054872</v>
      </c>
      <c r="K359" s="9">
        <f>IF(COUNT(F359:I359)&lt;&gt;4,0,IF(AND(G359&gt;F359,H359&gt;0,I359&gt;0,L359&lt;='Sheet1-指标体系'!$J$31,M359&lt;='Sheet1-指标体系'!$J$31),1,0))</f>
        <v>1</v>
      </c>
      <c r="L359" s="9">
        <f t="shared" si="16"/>
        <v>2</v>
      </c>
      <c r="M359" s="9">
        <f t="shared" si="17"/>
        <v>0</v>
      </c>
    </row>
    <row r="360" ht="25" customHeight="1" spans="1:13">
      <c r="A360" s="9" t="s">
        <v>371</v>
      </c>
      <c r="B360" s="9" t="s">
        <v>370</v>
      </c>
      <c r="C360" s="9" t="s">
        <v>1053</v>
      </c>
      <c r="D360" s="10">
        <v>45930</v>
      </c>
      <c r="E360" s="10">
        <v>45961</v>
      </c>
      <c r="F360" s="10">
        <f>净值原始!C2118</f>
        <v>45930</v>
      </c>
      <c r="G360" s="10">
        <f>净值原始!C2122</f>
        <v>45961</v>
      </c>
      <c r="H360" s="15">
        <f>净值原始!F2118</f>
        <v>1.3975</v>
      </c>
      <c r="I360" s="15">
        <f>净值原始!F2122</f>
        <v>1.3988</v>
      </c>
      <c r="J360" s="11">
        <f t="shared" si="15"/>
        <v>0.00093023255813951</v>
      </c>
      <c r="K360" s="9">
        <f>IF(COUNT(F360:I360)&lt;&gt;4,0,IF(AND(G360&gt;F360,H360&gt;0,I360&gt;0,L360&lt;='Sheet1-指标体系'!$J$31,M360&lt;='Sheet1-指标体系'!$J$31),1,0))</f>
        <v>1</v>
      </c>
      <c r="L360" s="9">
        <f t="shared" si="16"/>
        <v>0</v>
      </c>
      <c r="M360" s="9">
        <f t="shared" si="17"/>
        <v>0</v>
      </c>
    </row>
    <row r="361" ht="25" customHeight="1" spans="1:13">
      <c r="A361" s="9" t="s">
        <v>371</v>
      </c>
      <c r="B361" s="9" t="s">
        <v>370</v>
      </c>
      <c r="C361" s="9" t="s">
        <v>1054</v>
      </c>
      <c r="D361" s="10">
        <v>45961</v>
      </c>
      <c r="E361" s="10">
        <v>45991</v>
      </c>
      <c r="F361" s="10">
        <f>净值原始!C2122</f>
        <v>45961</v>
      </c>
      <c r="G361" s="10">
        <f>净值原始!C2126</f>
        <v>45989</v>
      </c>
      <c r="H361" s="15">
        <f>净值原始!F2122</f>
        <v>1.3988</v>
      </c>
      <c r="I361" s="15">
        <f>净值原始!F2126</f>
        <v>1.4042</v>
      </c>
      <c r="J361" s="11">
        <f t="shared" si="15"/>
        <v>0.00386045181584205</v>
      </c>
      <c r="K361" s="9">
        <f>IF(COUNT(F361:I361)&lt;&gt;4,0,IF(AND(G361&gt;F361,H361&gt;0,I361&gt;0,L361&lt;='Sheet1-指标体系'!$J$31,M361&lt;='Sheet1-指标体系'!$J$31),1,0))</f>
        <v>1</v>
      </c>
      <c r="L361" s="9">
        <f t="shared" si="16"/>
        <v>0</v>
      </c>
      <c r="M361" s="9">
        <f t="shared" si="17"/>
        <v>2</v>
      </c>
    </row>
    <row r="362" ht="25" customHeight="1" spans="1:13">
      <c r="A362" s="9" t="s">
        <v>371</v>
      </c>
      <c r="B362" s="9" t="s">
        <v>370</v>
      </c>
      <c r="C362" s="9" t="s">
        <v>1055</v>
      </c>
      <c r="D362" s="10">
        <v>45991</v>
      </c>
      <c r="E362" s="10">
        <v>46022</v>
      </c>
      <c r="F362" s="10">
        <f>净值原始!C2126</f>
        <v>45989</v>
      </c>
      <c r="G362" s="10">
        <f>净值原始!C2131</f>
        <v>46022</v>
      </c>
      <c r="H362" s="15">
        <f>净值原始!F2126</f>
        <v>1.4042</v>
      </c>
      <c r="I362" s="15">
        <f>净值原始!F2131</f>
        <v>1.4174</v>
      </c>
      <c r="J362" s="11">
        <f t="shared" si="15"/>
        <v>0.00940037031761864</v>
      </c>
      <c r="K362" s="9">
        <f>IF(COUNT(F362:I362)&lt;&gt;4,0,IF(AND(G362&gt;F362,H362&gt;0,I362&gt;0,L362&lt;='Sheet1-指标体系'!$J$31,M362&lt;='Sheet1-指标体系'!$J$31),1,0))</f>
        <v>1</v>
      </c>
      <c r="L362" s="9">
        <f t="shared" si="16"/>
        <v>2</v>
      </c>
      <c r="M362" s="9">
        <f t="shared" si="17"/>
        <v>0</v>
      </c>
    </row>
    <row r="363" ht="25" customHeight="1" spans="1:13">
      <c r="A363" s="9" t="s">
        <v>371</v>
      </c>
      <c r="B363" s="9" t="s">
        <v>370</v>
      </c>
      <c r="C363" s="9" t="s">
        <v>1056</v>
      </c>
      <c r="D363" s="10">
        <v>46022</v>
      </c>
      <c r="E363" s="10">
        <v>46053</v>
      </c>
      <c r="F363" s="10">
        <f>净值原始!C2131</f>
        <v>46022</v>
      </c>
      <c r="G363" s="10">
        <f>净值原始!C2135</f>
        <v>46052</v>
      </c>
      <c r="H363" s="15">
        <f>净值原始!F2131</f>
        <v>1.4174</v>
      </c>
      <c r="I363" s="15">
        <f>净值原始!F2135</f>
        <v>1.452</v>
      </c>
      <c r="J363" s="11">
        <f t="shared" si="15"/>
        <v>0.0244108931847045</v>
      </c>
      <c r="K363" s="9">
        <f>IF(COUNT(F363:I363)&lt;&gt;4,0,IF(AND(G363&gt;F363,H363&gt;0,I363&gt;0,L363&lt;='Sheet1-指标体系'!$J$31,M363&lt;='Sheet1-指标体系'!$J$31),1,0))</f>
        <v>1</v>
      </c>
      <c r="L363" s="9">
        <f t="shared" si="16"/>
        <v>0</v>
      </c>
      <c r="M363" s="9">
        <f t="shared" si="17"/>
        <v>1</v>
      </c>
    </row>
    <row r="364" ht="25" customHeight="1" spans="1:13">
      <c r="A364" s="9" t="s">
        <v>371</v>
      </c>
      <c r="B364" s="9" t="s">
        <v>370</v>
      </c>
      <c r="C364" s="9" t="s">
        <v>1057</v>
      </c>
      <c r="D364" s="10">
        <v>46053</v>
      </c>
      <c r="E364" s="10">
        <v>46081</v>
      </c>
      <c r="F364" s="10">
        <f>净值原始!C2135</f>
        <v>46052</v>
      </c>
      <c r="G364" s="10">
        <f>净值原始!C2138</f>
        <v>46080</v>
      </c>
      <c r="H364" s="15">
        <f>净值原始!F2135</f>
        <v>1.452</v>
      </c>
      <c r="I364" s="15">
        <f>净值原始!F2138</f>
        <v>1.4573</v>
      </c>
      <c r="J364" s="11">
        <f t="shared" si="15"/>
        <v>0.00365013774104694</v>
      </c>
      <c r="K364" s="9">
        <f>IF(COUNT(F364:I364)&lt;&gt;4,0,IF(AND(G364&gt;F364,H364&gt;0,I364&gt;0,L364&lt;='Sheet1-指标体系'!$J$31,M364&lt;='Sheet1-指标体系'!$J$31),1,0))</f>
        <v>1</v>
      </c>
      <c r="L364" s="9">
        <f t="shared" si="16"/>
        <v>1</v>
      </c>
      <c r="M364" s="9">
        <f t="shared" si="17"/>
        <v>1</v>
      </c>
    </row>
    <row r="365" ht="25" customHeight="1" spans="1:13">
      <c r="A365" s="9" t="s">
        <v>371</v>
      </c>
      <c r="B365" s="9" t="s">
        <v>370</v>
      </c>
      <c r="C365" s="9" t="s">
        <v>1058</v>
      </c>
      <c r="D365" s="10">
        <v>46081</v>
      </c>
      <c r="E365" s="10">
        <v>46112</v>
      </c>
      <c r="F365" s="10">
        <f>净值原始!C2138</f>
        <v>46080</v>
      </c>
      <c r="G365" s="10">
        <f>净值原始!C2143</f>
        <v>46112</v>
      </c>
      <c r="H365" s="15">
        <f>净值原始!F2138</f>
        <v>1.4573</v>
      </c>
      <c r="I365" s="15">
        <f>净值原始!F2143</f>
        <v>1.4599</v>
      </c>
      <c r="J365" s="11">
        <f t="shared" si="15"/>
        <v>0.00178412132024963</v>
      </c>
      <c r="K365" s="9">
        <f>IF(COUNT(F365:I365)&lt;&gt;4,0,IF(AND(G365&gt;F365,H365&gt;0,I365&gt;0,L365&lt;='Sheet1-指标体系'!$J$31,M365&lt;='Sheet1-指标体系'!$J$31),1,0))</f>
        <v>1</v>
      </c>
      <c r="L365" s="9">
        <f t="shared" si="16"/>
        <v>1</v>
      </c>
      <c r="M365" s="9">
        <f t="shared" si="17"/>
        <v>0</v>
      </c>
    </row>
    <row r="366" ht="25" customHeight="1" spans="1:13">
      <c r="A366" s="9" t="s">
        <v>371</v>
      </c>
      <c r="B366" s="9" t="s">
        <v>370</v>
      </c>
      <c r="C366" s="9" t="s">
        <v>1059</v>
      </c>
      <c r="D366" s="10">
        <v>46112</v>
      </c>
      <c r="E366" s="10">
        <v>46142</v>
      </c>
      <c r="F366" s="10">
        <f>净值原始!C2143</f>
        <v>46112</v>
      </c>
      <c r="G366" s="10">
        <f>净值原始!C2148</f>
        <v>46142</v>
      </c>
      <c r="H366" s="15">
        <f>净值原始!F2143</f>
        <v>1.4599</v>
      </c>
      <c r="I366" s="15">
        <f>净值原始!F2148</f>
        <v>1.452</v>
      </c>
      <c r="J366" s="11">
        <f t="shared" si="15"/>
        <v>-0.0054113295431194</v>
      </c>
      <c r="K366" s="9">
        <f>IF(COUNT(F366:I366)&lt;&gt;4,0,IF(AND(G366&gt;F366,H366&gt;0,I366&gt;0,L366&lt;='Sheet1-指标体系'!$J$31,M366&lt;='Sheet1-指标体系'!$J$31),1,0))</f>
        <v>1</v>
      </c>
      <c r="L366" s="9">
        <f t="shared" si="16"/>
        <v>0</v>
      </c>
      <c r="M366" s="9">
        <f t="shared" si="17"/>
        <v>0</v>
      </c>
    </row>
    <row r="367" ht="25" customHeight="1" spans="1:13">
      <c r="A367" s="9" t="s">
        <v>371</v>
      </c>
      <c r="B367" s="9" t="s">
        <v>370</v>
      </c>
      <c r="C367" s="9" t="s">
        <v>1060</v>
      </c>
      <c r="D367" s="10">
        <v>46142</v>
      </c>
      <c r="E367" s="10">
        <v>46173</v>
      </c>
      <c r="F367" s="10">
        <f>净值原始!C2148</f>
        <v>46142</v>
      </c>
      <c r="G367" s="10">
        <f>净值原始!C2152</f>
        <v>46171</v>
      </c>
      <c r="H367" s="15">
        <f>净值原始!F2148</f>
        <v>1.452</v>
      </c>
      <c r="I367" s="15">
        <f>净值原始!F2152</f>
        <v>1.44</v>
      </c>
      <c r="J367" s="11">
        <f t="shared" si="15"/>
        <v>-0.00826446280991733</v>
      </c>
      <c r="K367" s="9">
        <f>IF(COUNT(F367:I367)&lt;&gt;4,0,IF(AND(G367&gt;F367,H367&gt;0,I367&gt;0,L367&lt;='Sheet1-指标体系'!$J$31,M367&lt;='Sheet1-指标体系'!$J$31),1,0))</f>
        <v>1</v>
      </c>
      <c r="L367" s="9">
        <f t="shared" si="16"/>
        <v>0</v>
      </c>
      <c r="M367" s="9">
        <f t="shared" si="17"/>
        <v>2</v>
      </c>
    </row>
    <row r="368" ht="25" customHeight="1" spans="1:13">
      <c r="A368" s="9" t="s">
        <v>371</v>
      </c>
      <c r="B368" s="9" t="s">
        <v>370</v>
      </c>
      <c r="C368" s="9" t="s">
        <v>1061</v>
      </c>
      <c r="D368" s="10">
        <v>46173</v>
      </c>
      <c r="E368" s="10">
        <v>46203</v>
      </c>
      <c r="F368" s="10">
        <f>净值原始!C2152</f>
        <v>46171</v>
      </c>
      <c r="G368" s="10">
        <f>净值原始!C2156</f>
        <v>46199</v>
      </c>
      <c r="H368" s="15">
        <f>净值原始!F2152</f>
        <v>1.44</v>
      </c>
      <c r="I368" s="15">
        <f>净值原始!F2156</f>
        <v>1.4281</v>
      </c>
      <c r="J368" s="11">
        <f t="shared" si="15"/>
        <v>-0.00826388888888896</v>
      </c>
      <c r="K368" s="9">
        <f>IF(COUNT(F368:I368)&lt;&gt;4,0,IF(AND(G368&gt;F368,H368&gt;0,I368&gt;0,L368&lt;='Sheet1-指标体系'!$J$31,M368&lt;='Sheet1-指标体系'!$J$31),1,0))</f>
        <v>1</v>
      </c>
      <c r="L368" s="9">
        <f t="shared" si="16"/>
        <v>2</v>
      </c>
      <c r="M368" s="9">
        <f t="shared" si="17"/>
        <v>4</v>
      </c>
    </row>
    <row r="369" ht="25" customHeight="1" spans="1:13">
      <c r="A369" s="9" t="s">
        <v>371</v>
      </c>
      <c r="B369" s="9" t="s">
        <v>370</v>
      </c>
      <c r="C369" s="9" t="s">
        <v>1062</v>
      </c>
      <c r="D369" s="10">
        <v>46203</v>
      </c>
      <c r="E369" s="10">
        <v>46234</v>
      </c>
      <c r="F369" s="10">
        <f>净值原始!C2156</f>
        <v>46199</v>
      </c>
      <c r="G369" s="10">
        <f>净值原始!C2163</f>
        <v>46234</v>
      </c>
      <c r="H369" s="15">
        <f>净值原始!F2156</f>
        <v>1.4281</v>
      </c>
      <c r="I369" s="15">
        <f>净值原始!F2163</f>
        <v>1.4374</v>
      </c>
      <c r="J369" s="11">
        <f t="shared" si="15"/>
        <v>0.00651214900917307</v>
      </c>
      <c r="K369" s="9">
        <f>IF(COUNT(F369:I369)&lt;&gt;4,0,IF(AND(G369&gt;F369,H369&gt;0,I369&gt;0,L369&lt;='Sheet1-指标体系'!$J$31,M369&lt;='Sheet1-指标体系'!$J$31),1,0))</f>
        <v>1</v>
      </c>
      <c r="L369" s="9">
        <f t="shared" si="16"/>
        <v>4</v>
      </c>
      <c r="M369" s="9">
        <f t="shared" si="17"/>
        <v>0</v>
      </c>
    </row>
    <row r="370" ht="25" customHeight="1" spans="1:13">
      <c r="A370" s="9" t="s">
        <v>371</v>
      </c>
      <c r="B370" s="9" t="s">
        <v>370</v>
      </c>
      <c r="C370" s="9" t="s">
        <v>1063</v>
      </c>
      <c r="D370" s="10">
        <v>46234</v>
      </c>
      <c r="E370" s="10">
        <v>46265</v>
      </c>
      <c r="F370" s="10">
        <f>净值原始!C2163</f>
        <v>46234</v>
      </c>
      <c r="G370" s="10">
        <f>净值原始!C2172</f>
        <v>46265</v>
      </c>
      <c r="H370" s="15">
        <f>净值原始!F2163</f>
        <v>1.4374</v>
      </c>
      <c r="I370" s="15">
        <f>净值原始!F2172</f>
        <v>1.4971</v>
      </c>
      <c r="J370" s="11">
        <f t="shared" si="15"/>
        <v>0.0415333240573257</v>
      </c>
      <c r="K370" s="9">
        <f>IF(COUNT(F370:I370)&lt;&gt;4,0,IF(AND(G370&gt;F370,H370&gt;0,I370&gt;0,L370&lt;='Sheet1-指标体系'!$J$31,M370&lt;='Sheet1-指标体系'!$J$31),1,0))</f>
        <v>1</v>
      </c>
      <c r="L370" s="9">
        <f t="shared" si="16"/>
        <v>0</v>
      </c>
      <c r="M370" s="9">
        <f t="shared" si="17"/>
        <v>0</v>
      </c>
    </row>
    <row r="371" ht="25" customHeight="1" spans="1:13">
      <c r="A371" s="9" t="s">
        <v>371</v>
      </c>
      <c r="B371" s="9" t="s">
        <v>370</v>
      </c>
      <c r="C371" s="9" t="s">
        <v>1064</v>
      </c>
      <c r="D371" s="10">
        <v>46265</v>
      </c>
      <c r="E371" s="10">
        <v>46269</v>
      </c>
      <c r="F371" s="10">
        <f>净值原始!C2172</f>
        <v>46265</v>
      </c>
      <c r="G371" s="10">
        <f>净值原始!C2173</f>
        <v>46267</v>
      </c>
      <c r="H371" s="15">
        <f>净值原始!F2172</f>
        <v>1.4971</v>
      </c>
      <c r="I371" s="15">
        <f>净值原始!F2173</f>
        <v>1.4945</v>
      </c>
      <c r="J371" s="11">
        <f t="shared" si="15"/>
        <v>-0.0017366909358093</v>
      </c>
      <c r="K371" s="9">
        <f>IF(COUNT(F371:I371)&lt;&gt;4,0,IF(AND(G371&gt;F371,H371&gt;0,I371&gt;0,L371&lt;='Sheet1-指标体系'!$J$31,M371&lt;='Sheet1-指标体系'!$J$31),1,0))</f>
        <v>1</v>
      </c>
      <c r="L371" s="9">
        <f t="shared" si="16"/>
        <v>0</v>
      </c>
      <c r="M371" s="9">
        <f t="shared" si="17"/>
        <v>2</v>
      </c>
    </row>
    <row r="372" ht="25" customHeight="1" spans="1:13">
      <c r="A372" s="9" t="s">
        <v>53</v>
      </c>
      <c r="B372" s="9" t="s">
        <v>49</v>
      </c>
      <c r="C372" s="9" t="s">
        <v>1028</v>
      </c>
      <c r="D372" s="10">
        <v>45169</v>
      </c>
      <c r="E372" s="10">
        <v>45199</v>
      </c>
      <c r="F372" s="10">
        <f>净值原始!C2356</f>
        <v>45169</v>
      </c>
      <c r="G372" s="10">
        <f>净值原始!C2376</f>
        <v>45197</v>
      </c>
      <c r="H372" s="15">
        <f>净值原始!F2356</f>
        <v>1.1835</v>
      </c>
      <c r="I372" s="15">
        <f>净值原始!F2376</f>
        <v>1.1346</v>
      </c>
      <c r="J372" s="11">
        <f t="shared" si="15"/>
        <v>-0.041318124207858</v>
      </c>
      <c r="K372" s="9">
        <f>IF(COUNT(F372:I372)&lt;&gt;4,0,IF(AND(G372&gt;F372,H372&gt;0,I372&gt;0,L372&lt;='Sheet1-指标体系'!$J$31,M372&lt;='Sheet1-指标体系'!$J$31),1,0))</f>
        <v>1</v>
      </c>
      <c r="L372" s="9">
        <f t="shared" si="16"/>
        <v>0</v>
      </c>
      <c r="M372" s="9">
        <f t="shared" si="17"/>
        <v>2</v>
      </c>
    </row>
    <row r="373" ht="25" customHeight="1" spans="1:13">
      <c r="A373" s="9" t="s">
        <v>53</v>
      </c>
      <c r="B373" s="9" t="s">
        <v>49</v>
      </c>
      <c r="C373" s="9" t="s">
        <v>1029</v>
      </c>
      <c r="D373" s="10">
        <v>45199</v>
      </c>
      <c r="E373" s="10">
        <v>45230</v>
      </c>
      <c r="F373" s="10">
        <f>净值原始!C2376</f>
        <v>45197</v>
      </c>
      <c r="G373" s="10">
        <f>净值原始!C2393</f>
        <v>45230</v>
      </c>
      <c r="H373" s="15">
        <f>净值原始!F2376</f>
        <v>1.1346</v>
      </c>
      <c r="I373" s="15">
        <f>净值原始!F2393</f>
        <v>1.1325</v>
      </c>
      <c r="J373" s="11">
        <f t="shared" si="15"/>
        <v>-0.00185087255420413</v>
      </c>
      <c r="K373" s="9">
        <f>IF(COUNT(F373:I373)&lt;&gt;4,0,IF(AND(G373&gt;F373,H373&gt;0,I373&gt;0,L373&lt;='Sheet1-指标体系'!$J$31,M373&lt;='Sheet1-指标体系'!$J$31),1,0))</f>
        <v>1</v>
      </c>
      <c r="L373" s="9">
        <f t="shared" si="16"/>
        <v>2</v>
      </c>
      <c r="M373" s="9">
        <f t="shared" si="17"/>
        <v>0</v>
      </c>
    </row>
    <row r="374" ht="25" customHeight="1" spans="1:13">
      <c r="A374" s="9" t="s">
        <v>53</v>
      </c>
      <c r="B374" s="9" t="s">
        <v>49</v>
      </c>
      <c r="C374" s="9" t="s">
        <v>1030</v>
      </c>
      <c r="D374" s="10">
        <v>45230</v>
      </c>
      <c r="E374" s="10">
        <v>45260</v>
      </c>
      <c r="F374" s="10">
        <f>净值原始!C2393</f>
        <v>45230</v>
      </c>
      <c r="G374" s="10">
        <f>净值原始!C2415</f>
        <v>45260</v>
      </c>
      <c r="H374" s="15">
        <f>净值原始!F2393</f>
        <v>1.1325</v>
      </c>
      <c r="I374" s="15">
        <f>净值原始!F2415</f>
        <v>1.1738</v>
      </c>
      <c r="J374" s="11">
        <f t="shared" si="15"/>
        <v>0.0364679911699779</v>
      </c>
      <c r="K374" s="9">
        <f>IF(COUNT(F374:I374)&lt;&gt;4,0,IF(AND(G374&gt;F374,H374&gt;0,I374&gt;0,L374&lt;='Sheet1-指标体系'!$J$31,M374&lt;='Sheet1-指标体系'!$J$31),1,0))</f>
        <v>1</v>
      </c>
      <c r="L374" s="9">
        <f t="shared" si="16"/>
        <v>0</v>
      </c>
      <c r="M374" s="9">
        <f t="shared" si="17"/>
        <v>0</v>
      </c>
    </row>
    <row r="375" ht="25" customHeight="1" spans="1:13">
      <c r="A375" s="9" t="s">
        <v>53</v>
      </c>
      <c r="B375" s="9" t="s">
        <v>49</v>
      </c>
      <c r="C375" s="9" t="s">
        <v>1031</v>
      </c>
      <c r="D375" s="10">
        <v>45260</v>
      </c>
      <c r="E375" s="10">
        <v>45291</v>
      </c>
      <c r="F375" s="10">
        <f>净值原始!C2415</f>
        <v>45260</v>
      </c>
      <c r="G375" s="10">
        <f>净值原始!C2436</f>
        <v>45289</v>
      </c>
      <c r="H375" s="15">
        <f>净值原始!F2415</f>
        <v>1.1738</v>
      </c>
      <c r="I375" s="15">
        <f>净值原始!F2436</f>
        <v>1.1947</v>
      </c>
      <c r="J375" s="11">
        <f t="shared" si="15"/>
        <v>0.01780541829954</v>
      </c>
      <c r="K375" s="9">
        <f>IF(COUNT(F375:I375)&lt;&gt;4,0,IF(AND(G375&gt;F375,H375&gt;0,I375&gt;0,L375&lt;='Sheet1-指标体系'!$J$31,M375&lt;='Sheet1-指标体系'!$J$31),1,0))</f>
        <v>1</v>
      </c>
      <c r="L375" s="9">
        <f t="shared" si="16"/>
        <v>0</v>
      </c>
      <c r="M375" s="9">
        <f t="shared" si="17"/>
        <v>2</v>
      </c>
    </row>
    <row r="376" ht="25" customHeight="1" spans="1:13">
      <c r="A376" s="9" t="s">
        <v>53</v>
      </c>
      <c r="B376" s="9" t="s">
        <v>49</v>
      </c>
      <c r="C376" s="9" t="s">
        <v>1032</v>
      </c>
      <c r="D376" s="10">
        <v>45291</v>
      </c>
      <c r="E376" s="10">
        <v>45322</v>
      </c>
      <c r="F376" s="10">
        <f>净值原始!C2436</f>
        <v>45289</v>
      </c>
      <c r="G376" s="10">
        <f>净值原始!C2458</f>
        <v>45322</v>
      </c>
      <c r="H376" s="15">
        <f>净值原始!F2436</f>
        <v>1.1947</v>
      </c>
      <c r="I376" s="15">
        <f>净值原始!F2458</f>
        <v>1.1671</v>
      </c>
      <c r="J376" s="11">
        <f t="shared" si="15"/>
        <v>-0.0231020339834268</v>
      </c>
      <c r="K376" s="9">
        <f>IF(COUNT(F376:I376)&lt;&gt;4,0,IF(AND(G376&gt;F376,H376&gt;0,I376&gt;0,L376&lt;='Sheet1-指标体系'!$J$31,M376&lt;='Sheet1-指标体系'!$J$31),1,0))</f>
        <v>1</v>
      </c>
      <c r="L376" s="9">
        <f t="shared" si="16"/>
        <v>2</v>
      </c>
      <c r="M376" s="9">
        <f t="shared" si="17"/>
        <v>0</v>
      </c>
    </row>
    <row r="377" ht="25" customHeight="1" spans="1:13">
      <c r="A377" s="9" t="s">
        <v>53</v>
      </c>
      <c r="B377" s="9" t="s">
        <v>49</v>
      </c>
      <c r="C377" s="9" t="s">
        <v>1033</v>
      </c>
      <c r="D377" s="10">
        <v>45322</v>
      </c>
      <c r="E377" s="10">
        <v>45351</v>
      </c>
      <c r="F377" s="10">
        <f>净值原始!C2458</f>
        <v>45322</v>
      </c>
      <c r="G377" s="10">
        <f>净值原始!C2473</f>
        <v>45351</v>
      </c>
      <c r="H377" s="15">
        <f>净值原始!F2458</f>
        <v>1.1671</v>
      </c>
      <c r="I377" s="15">
        <f>净值原始!F2473</f>
        <v>1.1709</v>
      </c>
      <c r="J377" s="11">
        <f t="shared" si="15"/>
        <v>0.00325593351041054</v>
      </c>
      <c r="K377" s="9">
        <f>IF(COUNT(F377:I377)&lt;&gt;4,0,IF(AND(G377&gt;F377,H377&gt;0,I377&gt;0,L377&lt;='Sheet1-指标体系'!$J$31,M377&lt;='Sheet1-指标体系'!$J$31),1,0))</f>
        <v>1</v>
      </c>
      <c r="L377" s="9">
        <f t="shared" si="16"/>
        <v>0</v>
      </c>
      <c r="M377" s="9">
        <f t="shared" si="17"/>
        <v>0</v>
      </c>
    </row>
    <row r="378" ht="25" customHeight="1" spans="1:13">
      <c r="A378" s="9" t="s">
        <v>53</v>
      </c>
      <c r="B378" s="9" t="s">
        <v>49</v>
      </c>
      <c r="C378" s="9" t="s">
        <v>1034</v>
      </c>
      <c r="D378" s="10">
        <v>45351</v>
      </c>
      <c r="E378" s="10">
        <v>45382</v>
      </c>
      <c r="F378" s="10">
        <f>净值原始!C2473</f>
        <v>45351</v>
      </c>
      <c r="G378" s="10">
        <f>净值原始!C2494</f>
        <v>45380</v>
      </c>
      <c r="H378" s="15">
        <f>净值原始!F2473</f>
        <v>1.1709</v>
      </c>
      <c r="I378" s="15">
        <f>净值原始!F2494</f>
        <v>1.1745</v>
      </c>
      <c r="J378" s="11">
        <f t="shared" si="15"/>
        <v>0.00307455803228285</v>
      </c>
      <c r="K378" s="9">
        <f>IF(COUNT(F378:I378)&lt;&gt;4,0,IF(AND(G378&gt;F378,H378&gt;0,I378&gt;0,L378&lt;='Sheet1-指标体系'!$J$31,M378&lt;='Sheet1-指标体系'!$J$31),1,0))</f>
        <v>1</v>
      </c>
      <c r="L378" s="9">
        <f t="shared" si="16"/>
        <v>0</v>
      </c>
      <c r="M378" s="9">
        <f t="shared" si="17"/>
        <v>2</v>
      </c>
    </row>
    <row r="379" ht="25" customHeight="1" spans="1:13">
      <c r="A379" s="9" t="s">
        <v>53</v>
      </c>
      <c r="B379" s="9" t="s">
        <v>49</v>
      </c>
      <c r="C379" s="9" t="s">
        <v>1035</v>
      </c>
      <c r="D379" s="10">
        <v>45382</v>
      </c>
      <c r="E379" s="10">
        <v>45412</v>
      </c>
      <c r="F379" s="10">
        <f>净值原始!C2494</f>
        <v>45380</v>
      </c>
      <c r="G379" s="10">
        <f>净值原始!C2514</f>
        <v>45412</v>
      </c>
      <c r="H379" s="15">
        <f>净值原始!F2494</f>
        <v>1.1745</v>
      </c>
      <c r="I379" s="15">
        <f>净值原始!F2514</f>
        <v>1.174</v>
      </c>
      <c r="J379" s="11">
        <f t="shared" si="15"/>
        <v>-0.00042571306939132</v>
      </c>
      <c r="K379" s="9">
        <f>IF(COUNT(F379:I379)&lt;&gt;4,0,IF(AND(G379&gt;F379,H379&gt;0,I379&gt;0,L379&lt;='Sheet1-指标体系'!$J$31,M379&lt;='Sheet1-指标体系'!$J$31),1,0))</f>
        <v>1</v>
      </c>
      <c r="L379" s="9">
        <f t="shared" si="16"/>
        <v>2</v>
      </c>
      <c r="M379" s="9">
        <f t="shared" si="17"/>
        <v>0</v>
      </c>
    </row>
    <row r="380" ht="25" customHeight="1" spans="1:13">
      <c r="A380" s="9" t="s">
        <v>53</v>
      </c>
      <c r="B380" s="9" t="s">
        <v>49</v>
      </c>
      <c r="C380" s="9" t="s">
        <v>1036</v>
      </c>
      <c r="D380" s="10">
        <v>45412</v>
      </c>
      <c r="E380" s="10">
        <v>45443</v>
      </c>
      <c r="F380" s="10">
        <f>净值原始!C2514</f>
        <v>45412</v>
      </c>
      <c r="G380" s="10">
        <f>净值原始!C2534</f>
        <v>45443</v>
      </c>
      <c r="H380" s="15">
        <f>净值原始!F2514</f>
        <v>1.174</v>
      </c>
      <c r="I380" s="15">
        <f>净值原始!F2534</f>
        <v>1.2181</v>
      </c>
      <c r="J380" s="11">
        <f t="shared" si="15"/>
        <v>0.0375638841567292</v>
      </c>
      <c r="K380" s="9">
        <f>IF(COUNT(F380:I380)&lt;&gt;4,0,IF(AND(G380&gt;F380,H380&gt;0,I380&gt;0,L380&lt;='Sheet1-指标体系'!$J$31,M380&lt;='Sheet1-指标体系'!$J$31),1,0))</f>
        <v>1</v>
      </c>
      <c r="L380" s="9">
        <f t="shared" si="16"/>
        <v>0</v>
      </c>
      <c r="M380" s="9">
        <f t="shared" si="17"/>
        <v>0</v>
      </c>
    </row>
    <row r="381" ht="25" customHeight="1" spans="1:13">
      <c r="A381" s="9" t="s">
        <v>53</v>
      </c>
      <c r="B381" s="9" t="s">
        <v>49</v>
      </c>
      <c r="C381" s="9" t="s">
        <v>1037</v>
      </c>
      <c r="D381" s="10">
        <v>45443</v>
      </c>
      <c r="E381" s="10">
        <v>45473</v>
      </c>
      <c r="F381" s="10">
        <f>净值原始!C2534</f>
        <v>45443</v>
      </c>
      <c r="G381" s="10">
        <f>净值原始!C2553</f>
        <v>45471</v>
      </c>
      <c r="H381" s="15">
        <f>净值原始!F2534</f>
        <v>1.2181</v>
      </c>
      <c r="I381" s="15">
        <f>净值原始!F2553</f>
        <v>1.2036</v>
      </c>
      <c r="J381" s="11">
        <f t="shared" si="15"/>
        <v>-0.0119037845825466</v>
      </c>
      <c r="K381" s="9">
        <f>IF(COUNT(F381:I381)&lt;&gt;4,0,IF(AND(G381&gt;F381,H381&gt;0,I381&gt;0,L381&lt;='Sheet1-指标体系'!$J$31,M381&lt;='Sheet1-指标体系'!$J$31),1,0))</f>
        <v>1</v>
      </c>
      <c r="L381" s="9">
        <f t="shared" si="16"/>
        <v>0</v>
      </c>
      <c r="M381" s="9">
        <f t="shared" si="17"/>
        <v>2</v>
      </c>
    </row>
    <row r="382" ht="25" customHeight="1" spans="1:13">
      <c r="A382" s="9" t="s">
        <v>53</v>
      </c>
      <c r="B382" s="9" t="s">
        <v>49</v>
      </c>
      <c r="C382" s="9" t="s">
        <v>1038</v>
      </c>
      <c r="D382" s="10">
        <v>45473</v>
      </c>
      <c r="E382" s="10">
        <v>45504</v>
      </c>
      <c r="F382" s="10">
        <f>净值原始!C2553</f>
        <v>45471</v>
      </c>
      <c r="G382" s="10">
        <f>净值原始!C2576</f>
        <v>45504</v>
      </c>
      <c r="H382" s="15">
        <f>净值原始!F2553</f>
        <v>1.2036</v>
      </c>
      <c r="I382" s="15">
        <f>净值原始!F2576</f>
        <v>1.2423</v>
      </c>
      <c r="J382" s="11">
        <f t="shared" si="15"/>
        <v>0.0321535393818544</v>
      </c>
      <c r="K382" s="9">
        <f>IF(COUNT(F382:I382)&lt;&gt;4,0,IF(AND(G382&gt;F382,H382&gt;0,I382&gt;0,L382&lt;='Sheet1-指标体系'!$J$31,M382&lt;='Sheet1-指标体系'!$J$31),1,0))</f>
        <v>1</v>
      </c>
      <c r="L382" s="9">
        <f t="shared" si="16"/>
        <v>2</v>
      </c>
      <c r="M382" s="9">
        <f t="shared" si="17"/>
        <v>0</v>
      </c>
    </row>
    <row r="383" ht="25" customHeight="1" spans="1:13">
      <c r="A383" s="9" t="s">
        <v>53</v>
      </c>
      <c r="B383" s="9" t="s">
        <v>49</v>
      </c>
      <c r="C383" s="9" t="s">
        <v>1039</v>
      </c>
      <c r="D383" s="10">
        <v>45504</v>
      </c>
      <c r="E383" s="10">
        <v>45535</v>
      </c>
      <c r="F383" s="10">
        <f>净值原始!C2576</f>
        <v>45504</v>
      </c>
      <c r="G383" s="10">
        <f>净值原始!C2598</f>
        <v>45534</v>
      </c>
      <c r="H383" s="15">
        <f>净值原始!F2576</f>
        <v>1.2423</v>
      </c>
      <c r="I383" s="15">
        <f>净值原始!F2598</f>
        <v>1.2704</v>
      </c>
      <c r="J383" s="11">
        <f t="shared" si="15"/>
        <v>0.0226193351042421</v>
      </c>
      <c r="K383" s="9">
        <f>IF(COUNT(F383:I383)&lt;&gt;4,0,IF(AND(G383&gt;F383,H383&gt;0,I383&gt;0,L383&lt;='Sheet1-指标体系'!$J$31,M383&lt;='Sheet1-指标体系'!$J$31),1,0))</f>
        <v>1</v>
      </c>
      <c r="L383" s="9">
        <f t="shared" si="16"/>
        <v>0</v>
      </c>
      <c r="M383" s="9">
        <f t="shared" si="17"/>
        <v>1</v>
      </c>
    </row>
    <row r="384" ht="25" customHeight="1" spans="1:13">
      <c r="A384" s="9" t="s">
        <v>53</v>
      </c>
      <c r="B384" s="9" t="s">
        <v>49</v>
      </c>
      <c r="C384" s="9" t="s">
        <v>1040</v>
      </c>
      <c r="D384" s="10">
        <v>45535</v>
      </c>
      <c r="E384" s="10">
        <v>45565</v>
      </c>
      <c r="F384" s="10">
        <f>净值原始!C2598</f>
        <v>45534</v>
      </c>
      <c r="G384" s="10">
        <f>净值原始!C2617</f>
        <v>45565</v>
      </c>
      <c r="H384" s="15">
        <f>净值原始!F2598</f>
        <v>1.2704</v>
      </c>
      <c r="I384" s="15">
        <f>净值原始!F2617</f>
        <v>1.4437</v>
      </c>
      <c r="J384" s="11">
        <f t="shared" si="15"/>
        <v>0.136413727959698</v>
      </c>
      <c r="K384" s="9">
        <f>IF(COUNT(F384:I384)&lt;&gt;4,0,IF(AND(G384&gt;F384,H384&gt;0,I384&gt;0,L384&lt;='Sheet1-指标体系'!$J$31,M384&lt;='Sheet1-指标体系'!$J$31),1,0))</f>
        <v>1</v>
      </c>
      <c r="L384" s="9">
        <f t="shared" si="16"/>
        <v>1</v>
      </c>
      <c r="M384" s="9">
        <f t="shared" si="17"/>
        <v>0</v>
      </c>
    </row>
    <row r="385" ht="25" customHeight="1" spans="1:13">
      <c r="A385" s="9" t="s">
        <v>53</v>
      </c>
      <c r="B385" s="9" t="s">
        <v>49</v>
      </c>
      <c r="C385" s="9" t="s">
        <v>1041</v>
      </c>
      <c r="D385" s="10">
        <v>45565</v>
      </c>
      <c r="E385" s="10">
        <v>45596</v>
      </c>
      <c r="F385" s="10">
        <f>净值原始!C2617</f>
        <v>45565</v>
      </c>
      <c r="G385" s="10">
        <f>净值原始!C2635</f>
        <v>45596</v>
      </c>
      <c r="H385" s="15">
        <f>净值原始!F2617</f>
        <v>1.4437</v>
      </c>
      <c r="I385" s="15">
        <f>净值原始!F2635</f>
        <v>1.3497</v>
      </c>
      <c r="J385" s="11">
        <f t="shared" si="15"/>
        <v>-0.065110480016624</v>
      </c>
      <c r="K385" s="9">
        <f>IF(COUNT(F385:I385)&lt;&gt;4,0,IF(AND(G385&gt;F385,H385&gt;0,I385&gt;0,L385&lt;='Sheet1-指标体系'!$J$31,M385&lt;='Sheet1-指标体系'!$J$31),1,0))</f>
        <v>1</v>
      </c>
      <c r="L385" s="9">
        <f t="shared" si="16"/>
        <v>0</v>
      </c>
      <c r="M385" s="9">
        <f t="shared" si="17"/>
        <v>0</v>
      </c>
    </row>
    <row r="386" ht="25" customHeight="1" spans="1:13">
      <c r="A386" s="9" t="s">
        <v>53</v>
      </c>
      <c r="B386" s="9" t="s">
        <v>49</v>
      </c>
      <c r="C386" s="9" t="s">
        <v>1042</v>
      </c>
      <c r="D386" s="10">
        <v>45596</v>
      </c>
      <c r="E386" s="10">
        <v>45626</v>
      </c>
      <c r="F386" s="10">
        <f>净值原始!C2635</f>
        <v>45596</v>
      </c>
      <c r="G386" s="10">
        <f>净值原始!C2656</f>
        <v>45625</v>
      </c>
      <c r="H386" s="15">
        <f>净值原始!F2635</f>
        <v>1.3497</v>
      </c>
      <c r="I386" s="15">
        <f>净值原始!F2656</f>
        <v>1.3603</v>
      </c>
      <c r="J386" s="11">
        <f t="shared" ref="J386:J449" si="18">IF(K386=1,I386/H386-1,"")</f>
        <v>0.00785359709565103</v>
      </c>
      <c r="K386" s="9">
        <f>IF(COUNT(F386:I386)&lt;&gt;4,0,IF(AND(G386&gt;F386,H386&gt;0,I386&gt;0,L386&lt;='Sheet1-指标体系'!$J$31,M386&lt;='Sheet1-指标体系'!$J$31),1,0))</f>
        <v>1</v>
      </c>
      <c r="L386" s="9">
        <f t="shared" ref="L386:L449" si="19">IF(ISNUMBER(F386),D386-F386,"")</f>
        <v>0</v>
      </c>
      <c r="M386" s="9">
        <f t="shared" ref="M386:M449" si="20">IF(ISNUMBER(G386),E386-G386,"")</f>
        <v>1</v>
      </c>
    </row>
    <row r="387" ht="25" customHeight="1" spans="1:13">
      <c r="A387" s="9" t="s">
        <v>53</v>
      </c>
      <c r="B387" s="9" t="s">
        <v>49</v>
      </c>
      <c r="C387" s="9" t="s">
        <v>1043</v>
      </c>
      <c r="D387" s="10">
        <v>45626</v>
      </c>
      <c r="E387" s="10">
        <v>45657</v>
      </c>
      <c r="F387" s="10">
        <f>净值原始!C2656</f>
        <v>45625</v>
      </c>
      <c r="G387" s="10">
        <f>净值原始!C2678</f>
        <v>45657</v>
      </c>
      <c r="H387" s="15">
        <f>净值原始!F2656</f>
        <v>1.3603</v>
      </c>
      <c r="I387" s="15">
        <f>净值原始!F2678</f>
        <v>1.4706</v>
      </c>
      <c r="J387" s="11">
        <f t="shared" si="18"/>
        <v>0.0810850547673305</v>
      </c>
      <c r="K387" s="9">
        <f>IF(COUNT(F387:I387)&lt;&gt;4,0,IF(AND(G387&gt;F387,H387&gt;0,I387&gt;0,L387&lt;='Sheet1-指标体系'!$J$31,M387&lt;='Sheet1-指标体系'!$J$31),1,0))</f>
        <v>1</v>
      </c>
      <c r="L387" s="9">
        <f t="shared" si="19"/>
        <v>1</v>
      </c>
      <c r="M387" s="9">
        <f t="shared" si="20"/>
        <v>0</v>
      </c>
    </row>
    <row r="388" ht="25" customHeight="1" spans="1:13">
      <c r="A388" s="9" t="s">
        <v>53</v>
      </c>
      <c r="B388" s="9" t="s">
        <v>49</v>
      </c>
      <c r="C388" s="9" t="s">
        <v>1044</v>
      </c>
      <c r="D388" s="10">
        <v>45657</v>
      </c>
      <c r="E388" s="10">
        <v>45688</v>
      </c>
      <c r="F388" s="10">
        <f>净值原始!C2678</f>
        <v>45657</v>
      </c>
      <c r="G388" s="10">
        <f>净值原始!C2696</f>
        <v>45684</v>
      </c>
      <c r="H388" s="15">
        <f>净值原始!F2678</f>
        <v>1.4706</v>
      </c>
      <c r="I388" s="15">
        <f>净值原始!F2696</f>
        <v>1.453</v>
      </c>
      <c r="J388" s="11">
        <f t="shared" si="18"/>
        <v>-0.0119679042567659</v>
      </c>
      <c r="K388" s="9">
        <f>IF(COUNT(F388:I388)&lt;&gt;4,0,IF(AND(G388&gt;F388,H388&gt;0,I388&gt;0,L388&lt;='Sheet1-指标体系'!$J$31,M388&lt;='Sheet1-指标体系'!$J$31),1,0))</f>
        <v>1</v>
      </c>
      <c r="L388" s="9">
        <f t="shared" si="19"/>
        <v>0</v>
      </c>
      <c r="M388" s="9">
        <f t="shared" si="20"/>
        <v>4</v>
      </c>
    </row>
    <row r="389" ht="25" customHeight="1" spans="1:13">
      <c r="A389" s="9" t="s">
        <v>53</v>
      </c>
      <c r="B389" s="9" t="s">
        <v>49</v>
      </c>
      <c r="C389" s="9" t="s">
        <v>1045</v>
      </c>
      <c r="D389" s="10">
        <v>45688</v>
      </c>
      <c r="E389" s="10">
        <v>45716</v>
      </c>
      <c r="F389" s="10">
        <f>净值原始!C2696</f>
        <v>45684</v>
      </c>
      <c r="G389" s="10">
        <f>净值原始!C2714</f>
        <v>45716</v>
      </c>
      <c r="H389" s="15">
        <f>净值原始!F2696</f>
        <v>1.453</v>
      </c>
      <c r="I389" s="15">
        <f>净值原始!F2714</f>
        <v>1.5321</v>
      </c>
      <c r="J389" s="11">
        <f t="shared" si="18"/>
        <v>0.0544390915347557</v>
      </c>
      <c r="K389" s="9">
        <f>IF(COUNT(F389:I389)&lt;&gt;4,0,IF(AND(G389&gt;F389,H389&gt;0,I389&gt;0,L389&lt;='Sheet1-指标体系'!$J$31,M389&lt;='Sheet1-指标体系'!$J$31),1,0))</f>
        <v>1</v>
      </c>
      <c r="L389" s="9">
        <f t="shared" si="19"/>
        <v>4</v>
      </c>
      <c r="M389" s="9">
        <f t="shared" si="20"/>
        <v>0</v>
      </c>
    </row>
    <row r="390" ht="25" customHeight="1" spans="1:13">
      <c r="A390" s="9" t="s">
        <v>53</v>
      </c>
      <c r="B390" s="9" t="s">
        <v>49</v>
      </c>
      <c r="C390" s="9" t="s">
        <v>1046</v>
      </c>
      <c r="D390" s="10">
        <v>45716</v>
      </c>
      <c r="E390" s="10">
        <v>45747</v>
      </c>
      <c r="F390" s="10">
        <f>净值原始!C2714</f>
        <v>45716</v>
      </c>
      <c r="G390" s="10">
        <f>净值原始!C2735</f>
        <v>45747</v>
      </c>
      <c r="H390" s="15">
        <f>净值原始!F2714</f>
        <v>1.5321</v>
      </c>
      <c r="I390" s="15">
        <f>净值原始!F2735</f>
        <v>1.5652</v>
      </c>
      <c r="J390" s="11">
        <f t="shared" si="18"/>
        <v>0.0216043339207623</v>
      </c>
      <c r="K390" s="9">
        <f>IF(COUNT(F390:I390)&lt;&gt;4,0,IF(AND(G390&gt;F390,H390&gt;0,I390&gt;0,L390&lt;='Sheet1-指标体系'!$J$31,M390&lt;='Sheet1-指标体系'!$J$31),1,0))</f>
        <v>1</v>
      </c>
      <c r="L390" s="9">
        <f t="shared" si="19"/>
        <v>0</v>
      </c>
      <c r="M390" s="9">
        <f t="shared" si="20"/>
        <v>0</v>
      </c>
    </row>
    <row r="391" ht="25" customHeight="1" spans="1:13">
      <c r="A391" s="9" t="s">
        <v>53</v>
      </c>
      <c r="B391" s="9" t="s">
        <v>49</v>
      </c>
      <c r="C391" s="9" t="s">
        <v>1047</v>
      </c>
      <c r="D391" s="10">
        <v>45747</v>
      </c>
      <c r="E391" s="10">
        <v>45777</v>
      </c>
      <c r="F391" s="10">
        <f>净值原始!C2735</f>
        <v>45747</v>
      </c>
      <c r="G391" s="10">
        <f>净值原始!C2756</f>
        <v>45777</v>
      </c>
      <c r="H391" s="15">
        <f>净值原始!F2735</f>
        <v>1.5652</v>
      </c>
      <c r="I391" s="15">
        <f>净值原始!F2756</f>
        <v>1.6244</v>
      </c>
      <c r="J391" s="11">
        <f t="shared" si="18"/>
        <v>0.0378226424738053</v>
      </c>
      <c r="K391" s="9">
        <f>IF(COUNT(F391:I391)&lt;&gt;4,0,IF(AND(G391&gt;F391,H391&gt;0,I391&gt;0,L391&lt;='Sheet1-指标体系'!$J$31,M391&lt;='Sheet1-指标体系'!$J$31),1,0))</f>
        <v>1</v>
      </c>
      <c r="L391" s="9">
        <f t="shared" si="19"/>
        <v>0</v>
      </c>
      <c r="M391" s="9">
        <f t="shared" si="20"/>
        <v>0</v>
      </c>
    </row>
    <row r="392" ht="25" customHeight="1" spans="1:13">
      <c r="A392" s="9" t="s">
        <v>53</v>
      </c>
      <c r="B392" s="9" t="s">
        <v>49</v>
      </c>
      <c r="C392" s="9" t="s">
        <v>1048</v>
      </c>
      <c r="D392" s="10">
        <v>45777</v>
      </c>
      <c r="E392" s="10">
        <v>45808</v>
      </c>
      <c r="F392" s="10">
        <f>净值原始!C2756</f>
        <v>45777</v>
      </c>
      <c r="G392" s="10">
        <f>净值原始!C2775</f>
        <v>45807</v>
      </c>
      <c r="H392" s="15">
        <f>净值原始!F2756</f>
        <v>1.6244</v>
      </c>
      <c r="I392" s="15">
        <f>净值原始!F2775</f>
        <v>1.632</v>
      </c>
      <c r="J392" s="11">
        <f t="shared" si="18"/>
        <v>0.00467865057867511</v>
      </c>
      <c r="K392" s="9">
        <f>IF(COUNT(F392:I392)&lt;&gt;4,0,IF(AND(G392&gt;F392,H392&gt;0,I392&gt;0,L392&lt;='Sheet1-指标体系'!$J$31,M392&lt;='Sheet1-指标体系'!$J$31),1,0))</f>
        <v>1</v>
      </c>
      <c r="L392" s="9">
        <f t="shared" si="19"/>
        <v>0</v>
      </c>
      <c r="M392" s="9">
        <f t="shared" si="20"/>
        <v>1</v>
      </c>
    </row>
    <row r="393" ht="25" customHeight="1" spans="1:13">
      <c r="A393" s="9" t="s">
        <v>53</v>
      </c>
      <c r="B393" s="9" t="s">
        <v>49</v>
      </c>
      <c r="C393" s="9" t="s">
        <v>1049</v>
      </c>
      <c r="D393" s="10">
        <v>45808</v>
      </c>
      <c r="E393" s="10">
        <v>45838</v>
      </c>
      <c r="F393" s="10">
        <f>净值原始!C2775</f>
        <v>45807</v>
      </c>
      <c r="G393" s="10">
        <f>净值原始!C2795</f>
        <v>45838</v>
      </c>
      <c r="H393" s="15">
        <f>净值原始!F2775</f>
        <v>1.632</v>
      </c>
      <c r="I393" s="15">
        <f>净值原始!F2795</f>
        <v>1.5853</v>
      </c>
      <c r="J393" s="11">
        <f t="shared" si="18"/>
        <v>-0.0286151960784313</v>
      </c>
      <c r="K393" s="9">
        <f>IF(COUNT(F393:I393)&lt;&gt;4,0,IF(AND(G393&gt;F393,H393&gt;0,I393&gt;0,L393&lt;='Sheet1-指标体系'!$J$31,M393&lt;='Sheet1-指标体系'!$J$31),1,0))</f>
        <v>1</v>
      </c>
      <c r="L393" s="9">
        <f t="shared" si="19"/>
        <v>1</v>
      </c>
      <c r="M393" s="9">
        <f t="shared" si="20"/>
        <v>0</v>
      </c>
    </row>
    <row r="394" ht="25" customHeight="1" spans="1:13">
      <c r="A394" s="9" t="s">
        <v>53</v>
      </c>
      <c r="B394" s="9" t="s">
        <v>49</v>
      </c>
      <c r="C394" s="9" t="s">
        <v>1050</v>
      </c>
      <c r="D394" s="10">
        <v>45838</v>
      </c>
      <c r="E394" s="10">
        <v>45869</v>
      </c>
      <c r="F394" s="10">
        <f>净值原始!C2795</f>
        <v>45838</v>
      </c>
      <c r="G394" s="10">
        <f>净值原始!C2799</f>
        <v>45863</v>
      </c>
      <c r="H394" s="15">
        <f>净值原始!F2795</f>
        <v>1.5853</v>
      </c>
      <c r="I394" s="15">
        <f>净值原始!F2799</f>
        <v>1.6234</v>
      </c>
      <c r="J394" s="11">
        <f t="shared" si="18"/>
        <v>0.0240333059988647</v>
      </c>
      <c r="K394" s="9">
        <f>IF(COUNT(F394:I394)&lt;&gt;4,0,IF(AND(G394&gt;F394,H394&gt;0,I394&gt;0,L394&lt;='Sheet1-指标体系'!$J$31,M394&lt;='Sheet1-指标体系'!$J$31),1,0))</f>
        <v>1</v>
      </c>
      <c r="L394" s="9">
        <f t="shared" si="19"/>
        <v>0</v>
      </c>
      <c r="M394" s="9">
        <f t="shared" si="20"/>
        <v>6</v>
      </c>
    </row>
    <row r="395" ht="25" customHeight="1" spans="1:13">
      <c r="A395" s="9" t="s">
        <v>53</v>
      </c>
      <c r="B395" s="9" t="s">
        <v>49</v>
      </c>
      <c r="C395" s="9" t="s">
        <v>1051</v>
      </c>
      <c r="D395" s="10">
        <v>45869</v>
      </c>
      <c r="E395" s="10">
        <v>45900</v>
      </c>
      <c r="F395" s="10">
        <f>净值原始!C2799</f>
        <v>45863</v>
      </c>
      <c r="G395" s="10">
        <f>净值原始!C2804</f>
        <v>45898</v>
      </c>
      <c r="H395" s="15">
        <f>净值原始!F2799</f>
        <v>1.6234</v>
      </c>
      <c r="I395" s="15">
        <f>净值原始!F2804</f>
        <v>1.5567</v>
      </c>
      <c r="J395" s="11">
        <f t="shared" si="18"/>
        <v>-0.0410866083528397</v>
      </c>
      <c r="K395" s="9">
        <f>IF(COUNT(F395:I395)&lt;&gt;4,0,IF(AND(G395&gt;F395,H395&gt;0,I395&gt;0,L395&lt;='Sheet1-指标体系'!$J$31,M395&lt;='Sheet1-指标体系'!$J$31),1,0))</f>
        <v>1</v>
      </c>
      <c r="L395" s="9">
        <f t="shared" si="19"/>
        <v>6</v>
      </c>
      <c r="M395" s="9">
        <f t="shared" si="20"/>
        <v>2</v>
      </c>
    </row>
    <row r="396" ht="25" customHeight="1" spans="1:13">
      <c r="A396" s="9" t="s">
        <v>53</v>
      </c>
      <c r="B396" s="9" t="s">
        <v>49</v>
      </c>
      <c r="C396" s="9" t="s">
        <v>1052</v>
      </c>
      <c r="D396" s="10">
        <v>45900</v>
      </c>
      <c r="E396" s="10">
        <v>45930</v>
      </c>
      <c r="F396" s="10">
        <f>净值原始!C2804</f>
        <v>45898</v>
      </c>
      <c r="G396" s="10">
        <f>净值原始!C2809</f>
        <v>45930</v>
      </c>
      <c r="H396" s="15">
        <f>净值原始!F2804</f>
        <v>1.5567</v>
      </c>
      <c r="I396" s="15">
        <f>净值原始!F2809</f>
        <v>1.6232</v>
      </c>
      <c r="J396" s="11">
        <f t="shared" si="18"/>
        <v>0.0427185713368021</v>
      </c>
      <c r="K396" s="9">
        <f>IF(COUNT(F396:I396)&lt;&gt;4,0,IF(AND(G396&gt;F396,H396&gt;0,I396&gt;0,L396&lt;='Sheet1-指标体系'!$J$31,M396&lt;='Sheet1-指标体系'!$J$31),1,0))</f>
        <v>1</v>
      </c>
      <c r="L396" s="9">
        <f t="shared" si="19"/>
        <v>2</v>
      </c>
      <c r="M396" s="9">
        <f t="shared" si="20"/>
        <v>0</v>
      </c>
    </row>
    <row r="397" ht="25" customHeight="1" spans="1:13">
      <c r="A397" s="9" t="s">
        <v>53</v>
      </c>
      <c r="B397" s="9" t="s">
        <v>49</v>
      </c>
      <c r="C397" s="9" t="s">
        <v>1053</v>
      </c>
      <c r="D397" s="10">
        <v>45930</v>
      </c>
      <c r="E397" s="10">
        <v>45961</v>
      </c>
      <c r="F397" s="10">
        <f>净值原始!C2809</f>
        <v>45930</v>
      </c>
      <c r="G397" s="10">
        <f>净值原始!C2813</f>
        <v>45961</v>
      </c>
      <c r="H397" s="15">
        <f>净值原始!F2809</f>
        <v>1.6232</v>
      </c>
      <c r="I397" s="15">
        <f>净值原始!F2813</f>
        <v>1.8144</v>
      </c>
      <c r="J397" s="11">
        <f t="shared" si="18"/>
        <v>0.117792015771316</v>
      </c>
      <c r="K397" s="9">
        <f>IF(COUNT(F397:I397)&lt;&gt;4,0,IF(AND(G397&gt;F397,H397&gt;0,I397&gt;0,L397&lt;='Sheet1-指标体系'!$J$31,M397&lt;='Sheet1-指标体系'!$J$31),1,0))</f>
        <v>1</v>
      </c>
      <c r="L397" s="9">
        <f t="shared" si="19"/>
        <v>0</v>
      </c>
      <c r="M397" s="9">
        <f t="shared" si="20"/>
        <v>0</v>
      </c>
    </row>
    <row r="398" ht="25" customHeight="1" spans="1:13">
      <c r="A398" s="9" t="s">
        <v>53</v>
      </c>
      <c r="B398" s="9" t="s">
        <v>49</v>
      </c>
      <c r="C398" s="9" t="s">
        <v>1054</v>
      </c>
      <c r="D398" s="10">
        <v>45961</v>
      </c>
      <c r="E398" s="10">
        <v>45991</v>
      </c>
      <c r="F398" s="10">
        <f>净值原始!C2813</f>
        <v>45961</v>
      </c>
      <c r="G398" s="10">
        <f>净值原始!C2817</f>
        <v>45989</v>
      </c>
      <c r="H398" s="15">
        <f>净值原始!F2813</f>
        <v>1.8144</v>
      </c>
      <c r="I398" s="15">
        <f>净值原始!F2817</f>
        <v>1.8169</v>
      </c>
      <c r="J398" s="11">
        <f t="shared" si="18"/>
        <v>0.00137786596119938</v>
      </c>
      <c r="K398" s="9">
        <f>IF(COUNT(F398:I398)&lt;&gt;4,0,IF(AND(G398&gt;F398,H398&gt;0,I398&gt;0,L398&lt;='Sheet1-指标体系'!$J$31,M398&lt;='Sheet1-指标体系'!$J$31),1,0))</f>
        <v>1</v>
      </c>
      <c r="L398" s="9">
        <f t="shared" si="19"/>
        <v>0</v>
      </c>
      <c r="M398" s="9">
        <f t="shared" si="20"/>
        <v>2</v>
      </c>
    </row>
    <row r="399" ht="25" customHeight="1" spans="1:13">
      <c r="A399" s="9" t="s">
        <v>53</v>
      </c>
      <c r="B399" s="9" t="s">
        <v>49</v>
      </c>
      <c r="C399" s="9" t="s">
        <v>1055</v>
      </c>
      <c r="D399" s="10">
        <v>45991</v>
      </c>
      <c r="E399" s="10">
        <v>46022</v>
      </c>
      <c r="F399" s="10">
        <f>净值原始!C2817</f>
        <v>45989</v>
      </c>
      <c r="G399" s="10">
        <f>净值原始!C2822</f>
        <v>46022</v>
      </c>
      <c r="H399" s="15">
        <f>净值原始!F2817</f>
        <v>1.8169</v>
      </c>
      <c r="I399" s="15">
        <f>净值原始!F2822</f>
        <v>2.0478</v>
      </c>
      <c r="J399" s="11">
        <f t="shared" si="18"/>
        <v>0.127084594639221</v>
      </c>
      <c r="K399" s="9">
        <f>IF(COUNT(F399:I399)&lt;&gt;4,0,IF(AND(G399&gt;F399,H399&gt;0,I399&gt;0,L399&lt;='Sheet1-指标体系'!$J$31,M399&lt;='Sheet1-指标体系'!$J$31),1,0))</f>
        <v>1</v>
      </c>
      <c r="L399" s="9">
        <f t="shared" si="19"/>
        <v>2</v>
      </c>
      <c r="M399" s="9">
        <f t="shared" si="20"/>
        <v>0</v>
      </c>
    </row>
    <row r="400" ht="25" customHeight="1" spans="1:13">
      <c r="A400" s="9" t="s">
        <v>53</v>
      </c>
      <c r="B400" s="9" t="s">
        <v>49</v>
      </c>
      <c r="C400" s="9" t="s">
        <v>1056</v>
      </c>
      <c r="D400" s="10">
        <v>46022</v>
      </c>
      <c r="E400" s="10">
        <v>46053</v>
      </c>
      <c r="F400" s="10">
        <f>净值原始!C2822</f>
        <v>46022</v>
      </c>
      <c r="G400" s="10">
        <f>净值原始!C2826</f>
        <v>46052</v>
      </c>
      <c r="H400" s="15">
        <f>净值原始!F2822</f>
        <v>2.0478</v>
      </c>
      <c r="I400" s="15">
        <f>净值原始!F2826</f>
        <v>2.3596</v>
      </c>
      <c r="J400" s="11">
        <f t="shared" si="18"/>
        <v>0.152260962984666</v>
      </c>
      <c r="K400" s="9">
        <f>IF(COUNT(F400:I400)&lt;&gt;4,0,IF(AND(G400&gt;F400,H400&gt;0,I400&gt;0,L400&lt;='Sheet1-指标体系'!$J$31,M400&lt;='Sheet1-指标体系'!$J$31),1,0))</f>
        <v>1</v>
      </c>
      <c r="L400" s="9">
        <f t="shared" si="19"/>
        <v>0</v>
      </c>
      <c r="M400" s="9">
        <f t="shared" si="20"/>
        <v>1</v>
      </c>
    </row>
    <row r="401" ht="25" customHeight="1" spans="1:13">
      <c r="A401" s="9" t="s">
        <v>53</v>
      </c>
      <c r="B401" s="9" t="s">
        <v>49</v>
      </c>
      <c r="C401" s="9" t="s">
        <v>1057</v>
      </c>
      <c r="D401" s="10">
        <v>46053</v>
      </c>
      <c r="E401" s="10">
        <v>46081</v>
      </c>
      <c r="F401" s="10">
        <f>净值原始!C2826</f>
        <v>46052</v>
      </c>
      <c r="G401" s="10">
        <f>净值原始!C2829</f>
        <v>46080</v>
      </c>
      <c r="H401" s="15">
        <f>净值原始!F2826</f>
        <v>2.3596</v>
      </c>
      <c r="I401" s="15">
        <f>净值原始!F2829</f>
        <v>2.2412</v>
      </c>
      <c r="J401" s="11">
        <f t="shared" si="18"/>
        <v>-0.0501779962705543</v>
      </c>
      <c r="K401" s="9">
        <f>IF(COUNT(F401:I401)&lt;&gt;4,0,IF(AND(G401&gt;F401,H401&gt;0,I401&gt;0,L401&lt;='Sheet1-指标体系'!$J$31,M401&lt;='Sheet1-指标体系'!$J$31),1,0))</f>
        <v>1</v>
      </c>
      <c r="L401" s="9">
        <f t="shared" si="19"/>
        <v>1</v>
      </c>
      <c r="M401" s="9">
        <f t="shared" si="20"/>
        <v>1</v>
      </c>
    </row>
    <row r="402" ht="25" customHeight="1" spans="1:13">
      <c r="A402" s="9" t="s">
        <v>53</v>
      </c>
      <c r="B402" s="9" t="s">
        <v>49</v>
      </c>
      <c r="C402" s="9" t="s">
        <v>1058</v>
      </c>
      <c r="D402" s="10">
        <v>46081</v>
      </c>
      <c r="E402" s="10">
        <v>46112</v>
      </c>
      <c r="F402" s="10">
        <f>净值原始!C2829</f>
        <v>46080</v>
      </c>
      <c r="G402" s="10">
        <f>净值原始!C2833</f>
        <v>46108</v>
      </c>
      <c r="H402" s="15">
        <f>净值原始!F2829</f>
        <v>2.2412</v>
      </c>
      <c r="I402" s="15">
        <f>净值原始!F2833</f>
        <v>2.157</v>
      </c>
      <c r="J402" s="11">
        <f t="shared" si="18"/>
        <v>-0.0375691593789041</v>
      </c>
      <c r="K402" s="9">
        <f>IF(COUNT(F402:I402)&lt;&gt;4,0,IF(AND(G402&gt;F402,H402&gt;0,I402&gt;0,L402&lt;='Sheet1-指标体系'!$J$31,M402&lt;='Sheet1-指标体系'!$J$31),1,0))</f>
        <v>1</v>
      </c>
      <c r="L402" s="9">
        <f t="shared" si="19"/>
        <v>1</v>
      </c>
      <c r="M402" s="9">
        <f t="shared" si="20"/>
        <v>4</v>
      </c>
    </row>
    <row r="403" ht="25" customHeight="1" spans="1:13">
      <c r="A403" s="9" t="s">
        <v>53</v>
      </c>
      <c r="B403" s="9" t="s">
        <v>49</v>
      </c>
      <c r="C403" s="9" t="s">
        <v>1059</v>
      </c>
      <c r="D403" s="10">
        <v>46112</v>
      </c>
      <c r="E403" s="10">
        <v>46142</v>
      </c>
      <c r="F403" s="10">
        <f>净值原始!C2833</f>
        <v>46108</v>
      </c>
      <c r="G403" s="10">
        <f>净值原始!C2838</f>
        <v>46142</v>
      </c>
      <c r="H403" s="15">
        <f>净值原始!F2833</f>
        <v>2.157</v>
      </c>
      <c r="I403" s="15">
        <f>净值原始!F2838</f>
        <v>2.2049</v>
      </c>
      <c r="J403" s="11">
        <f t="shared" si="18"/>
        <v>0.0222067686601761</v>
      </c>
      <c r="K403" s="9">
        <f>IF(COUNT(F403:I403)&lt;&gt;4,0,IF(AND(G403&gt;F403,H403&gt;0,I403&gt;0,L403&lt;='Sheet1-指标体系'!$J$31,M403&lt;='Sheet1-指标体系'!$J$31),1,0))</f>
        <v>1</v>
      </c>
      <c r="L403" s="9">
        <f t="shared" si="19"/>
        <v>4</v>
      </c>
      <c r="M403" s="9">
        <f t="shared" si="20"/>
        <v>0</v>
      </c>
    </row>
    <row r="404" ht="25" customHeight="1" spans="1:13">
      <c r="A404" s="9" t="s">
        <v>53</v>
      </c>
      <c r="B404" s="9" t="s">
        <v>49</v>
      </c>
      <c r="C404" s="9" t="s">
        <v>1060</v>
      </c>
      <c r="D404" s="10">
        <v>46142</v>
      </c>
      <c r="E404" s="10">
        <v>46173</v>
      </c>
      <c r="F404" s="10">
        <f>净值原始!C2838</f>
        <v>46142</v>
      </c>
      <c r="G404" s="10">
        <f>净值原始!C2842</f>
        <v>46171</v>
      </c>
      <c r="H404" s="15">
        <f>净值原始!F2838</f>
        <v>2.2049</v>
      </c>
      <c r="I404" s="15">
        <f>净值原始!F2842</f>
        <v>2.1684</v>
      </c>
      <c r="J404" s="11">
        <f t="shared" si="18"/>
        <v>-0.0165540387319152</v>
      </c>
      <c r="K404" s="9">
        <f>IF(COUNT(F404:I404)&lt;&gt;4,0,IF(AND(G404&gt;F404,H404&gt;0,I404&gt;0,L404&lt;='Sheet1-指标体系'!$J$31,M404&lt;='Sheet1-指标体系'!$J$31),1,0))</f>
        <v>1</v>
      </c>
      <c r="L404" s="9">
        <f t="shared" si="19"/>
        <v>0</v>
      </c>
      <c r="M404" s="9">
        <f t="shared" si="20"/>
        <v>2</v>
      </c>
    </row>
    <row r="405" ht="25" customHeight="1" spans="1:13">
      <c r="A405" s="9" t="s">
        <v>53</v>
      </c>
      <c r="B405" s="9" t="s">
        <v>49</v>
      </c>
      <c r="C405" s="9" t="s">
        <v>1061</v>
      </c>
      <c r="D405" s="10">
        <v>46173</v>
      </c>
      <c r="E405" s="10">
        <v>46203</v>
      </c>
      <c r="F405" s="10">
        <f>净值原始!C2842</f>
        <v>46171</v>
      </c>
      <c r="G405" s="10">
        <f>净值原始!C2846</f>
        <v>46199</v>
      </c>
      <c r="H405" s="15">
        <f>净值原始!F2842</f>
        <v>2.1684</v>
      </c>
      <c r="I405" s="15">
        <f>净值原始!F2846</f>
        <v>2.1281</v>
      </c>
      <c r="J405" s="11">
        <f t="shared" si="18"/>
        <v>-0.0185851318944845</v>
      </c>
      <c r="K405" s="9">
        <f>IF(COUNT(F405:I405)&lt;&gt;4,0,IF(AND(G405&gt;F405,H405&gt;0,I405&gt;0,L405&lt;='Sheet1-指标体系'!$J$31,M405&lt;='Sheet1-指标体系'!$J$31),1,0))</f>
        <v>1</v>
      </c>
      <c r="L405" s="9">
        <f t="shared" si="19"/>
        <v>2</v>
      </c>
      <c r="M405" s="9">
        <f t="shared" si="20"/>
        <v>4</v>
      </c>
    </row>
    <row r="406" ht="25" customHeight="1" spans="1:13">
      <c r="A406" s="9" t="s">
        <v>53</v>
      </c>
      <c r="B406" s="9" t="s">
        <v>49</v>
      </c>
      <c r="C406" s="9" t="s">
        <v>1062</v>
      </c>
      <c r="D406" s="10">
        <v>46203</v>
      </c>
      <c r="E406" s="10">
        <v>46234</v>
      </c>
      <c r="F406" s="10">
        <f>净值原始!C2846</f>
        <v>46199</v>
      </c>
      <c r="G406" s="10">
        <f>净值原始!C2851</f>
        <v>46234</v>
      </c>
      <c r="H406" s="15">
        <f>净值原始!F2846</f>
        <v>2.1281</v>
      </c>
      <c r="I406" s="15">
        <f>净值原始!F2851</f>
        <v>2.2036</v>
      </c>
      <c r="J406" s="11">
        <f t="shared" si="18"/>
        <v>0.0354776561251819</v>
      </c>
      <c r="K406" s="9">
        <f>IF(COUNT(F406:I406)&lt;&gt;4,0,IF(AND(G406&gt;F406,H406&gt;0,I406&gt;0,L406&lt;='Sheet1-指标体系'!$J$31,M406&lt;='Sheet1-指标体系'!$J$31),1,0))</f>
        <v>1</v>
      </c>
      <c r="L406" s="9">
        <f t="shared" si="19"/>
        <v>4</v>
      </c>
      <c r="M406" s="9">
        <f t="shared" si="20"/>
        <v>0</v>
      </c>
    </row>
    <row r="407" ht="25" customHeight="1" spans="1:13">
      <c r="A407" s="9" t="s">
        <v>53</v>
      </c>
      <c r="B407" s="9" t="s">
        <v>49</v>
      </c>
      <c r="C407" s="9" t="s">
        <v>1063</v>
      </c>
      <c r="D407" s="10">
        <v>46234</v>
      </c>
      <c r="E407" s="10">
        <v>46265</v>
      </c>
      <c r="F407" s="10">
        <f>净值原始!C2851</f>
        <v>46234</v>
      </c>
      <c r="G407" s="10">
        <f>净值原始!C2855</f>
        <v>46262</v>
      </c>
      <c r="H407" s="15">
        <f>净值原始!F2851</f>
        <v>2.2036</v>
      </c>
      <c r="I407" s="15">
        <f>净值原始!F2855</f>
        <v>2.2816</v>
      </c>
      <c r="J407" s="11">
        <f t="shared" si="18"/>
        <v>0.0353966237066619</v>
      </c>
      <c r="K407" s="9">
        <f>IF(COUNT(F407:I407)&lt;&gt;4,0,IF(AND(G407&gt;F407,H407&gt;0,I407&gt;0,L407&lt;='Sheet1-指标体系'!$J$31,M407&lt;='Sheet1-指标体系'!$J$31),1,0))</f>
        <v>1</v>
      </c>
      <c r="L407" s="9">
        <f t="shared" si="19"/>
        <v>0</v>
      </c>
      <c r="M407" s="9">
        <f t="shared" si="20"/>
        <v>3</v>
      </c>
    </row>
    <row r="408" ht="25" customHeight="1" spans="1:13">
      <c r="A408" s="9" t="s">
        <v>53</v>
      </c>
      <c r="B408" s="9" t="s">
        <v>49</v>
      </c>
      <c r="C408" s="9" t="s">
        <v>1064</v>
      </c>
      <c r="D408" s="10">
        <v>46265</v>
      </c>
      <c r="E408" s="10">
        <v>46269</v>
      </c>
      <c r="F408" s="10">
        <f>净值原始!C2855</f>
        <v>46262</v>
      </c>
      <c r="G408" s="10">
        <f>净值原始!C2856</f>
        <v>46269</v>
      </c>
      <c r="H408" s="15">
        <f>净值原始!F2855</f>
        <v>2.2816</v>
      </c>
      <c r="I408" s="15">
        <f>净值原始!F2856</f>
        <v>2.2818</v>
      </c>
      <c r="J408" s="11">
        <f t="shared" si="18"/>
        <v>8.76577840112081e-5</v>
      </c>
      <c r="K408" s="9">
        <f>IF(COUNT(F408:I408)&lt;&gt;4,0,IF(AND(G408&gt;F408,H408&gt;0,I408&gt;0,L408&lt;='Sheet1-指标体系'!$J$31,M408&lt;='Sheet1-指标体系'!$J$31),1,0))</f>
        <v>1</v>
      </c>
      <c r="L408" s="9">
        <f t="shared" si="19"/>
        <v>3</v>
      </c>
      <c r="M408" s="9">
        <f t="shared" si="20"/>
        <v>0</v>
      </c>
    </row>
    <row r="409" ht="25" customHeight="1" spans="1:13">
      <c r="A409" s="9" t="s">
        <v>238</v>
      </c>
      <c r="B409" s="9" t="s">
        <v>235</v>
      </c>
      <c r="C409" s="9" t="s">
        <v>1028</v>
      </c>
      <c r="D409" s="10">
        <v>45169</v>
      </c>
      <c r="E409" s="10">
        <v>45199</v>
      </c>
      <c r="F409" s="10"/>
      <c r="G409" s="10"/>
      <c r="H409" s="15"/>
      <c r="I409" s="15"/>
      <c r="J409" s="11" t="str">
        <f t="shared" si="18"/>
        <v/>
      </c>
      <c r="K409" s="9">
        <f>IF(COUNT(F409:I409)&lt;&gt;4,0,IF(AND(G409&gt;F409,H409&gt;0,I409&gt;0,L409&lt;='Sheet1-指标体系'!$J$31,M409&lt;='Sheet1-指标体系'!$J$31),1,0))</f>
        <v>0</v>
      </c>
      <c r="L409" s="9" t="str">
        <f t="shared" si="19"/>
        <v/>
      </c>
      <c r="M409" s="9" t="str">
        <f t="shared" si="20"/>
        <v/>
      </c>
    </row>
    <row r="410" ht="25" customHeight="1" spans="1:13">
      <c r="A410" s="9" t="s">
        <v>238</v>
      </c>
      <c r="B410" s="9" t="s">
        <v>235</v>
      </c>
      <c r="C410" s="9" t="s">
        <v>1029</v>
      </c>
      <c r="D410" s="10">
        <v>45199</v>
      </c>
      <c r="E410" s="10">
        <v>45230</v>
      </c>
      <c r="F410" s="10"/>
      <c r="G410" s="10"/>
      <c r="H410" s="15"/>
      <c r="I410" s="15"/>
      <c r="J410" s="11" t="str">
        <f t="shared" si="18"/>
        <v/>
      </c>
      <c r="K410" s="9">
        <f>IF(COUNT(F410:I410)&lt;&gt;4,0,IF(AND(G410&gt;F410,H410&gt;0,I410&gt;0,L410&lt;='Sheet1-指标体系'!$J$31,M410&lt;='Sheet1-指标体系'!$J$31),1,0))</f>
        <v>0</v>
      </c>
      <c r="L410" s="9" t="str">
        <f t="shared" si="19"/>
        <v/>
      </c>
      <c r="M410" s="9" t="str">
        <f t="shared" si="20"/>
        <v/>
      </c>
    </row>
    <row r="411" ht="25" customHeight="1" spans="1:13">
      <c r="A411" s="9" t="s">
        <v>238</v>
      </c>
      <c r="B411" s="9" t="s">
        <v>235</v>
      </c>
      <c r="C411" s="9" t="s">
        <v>1030</v>
      </c>
      <c r="D411" s="10">
        <v>45230</v>
      </c>
      <c r="E411" s="10">
        <v>45260</v>
      </c>
      <c r="F411" s="10"/>
      <c r="G411" s="10"/>
      <c r="H411" s="15"/>
      <c r="I411" s="15"/>
      <c r="J411" s="11" t="str">
        <f t="shared" si="18"/>
        <v/>
      </c>
      <c r="K411" s="9">
        <f>IF(COUNT(F411:I411)&lt;&gt;4,0,IF(AND(G411&gt;F411,H411&gt;0,I411&gt;0,L411&lt;='Sheet1-指标体系'!$J$31,M411&lt;='Sheet1-指标体系'!$J$31),1,0))</f>
        <v>0</v>
      </c>
      <c r="L411" s="9" t="str">
        <f t="shared" si="19"/>
        <v/>
      </c>
      <c r="M411" s="9" t="str">
        <f t="shared" si="20"/>
        <v/>
      </c>
    </row>
    <row r="412" ht="25" customHeight="1" spans="1:13">
      <c r="A412" s="9" t="s">
        <v>238</v>
      </c>
      <c r="B412" s="9" t="s">
        <v>235</v>
      </c>
      <c r="C412" s="9" t="s">
        <v>1031</v>
      </c>
      <c r="D412" s="10">
        <v>45260</v>
      </c>
      <c r="E412" s="10">
        <v>45291</v>
      </c>
      <c r="F412" s="10"/>
      <c r="G412" s="10"/>
      <c r="H412" s="15"/>
      <c r="I412" s="15"/>
      <c r="J412" s="11" t="str">
        <f t="shared" si="18"/>
        <v/>
      </c>
      <c r="K412" s="9">
        <f>IF(COUNT(F412:I412)&lt;&gt;4,0,IF(AND(G412&gt;F412,H412&gt;0,I412&gt;0,L412&lt;='Sheet1-指标体系'!$J$31,M412&lt;='Sheet1-指标体系'!$J$31),1,0))</f>
        <v>0</v>
      </c>
      <c r="L412" s="9" t="str">
        <f t="shared" si="19"/>
        <v/>
      </c>
      <c r="M412" s="9" t="str">
        <f t="shared" si="20"/>
        <v/>
      </c>
    </row>
    <row r="413" ht="25" customHeight="1" spans="1:13">
      <c r="A413" s="9" t="s">
        <v>238</v>
      </c>
      <c r="B413" s="9" t="s">
        <v>235</v>
      </c>
      <c r="C413" s="9" t="s">
        <v>1032</v>
      </c>
      <c r="D413" s="10">
        <v>45291</v>
      </c>
      <c r="E413" s="10">
        <v>45322</v>
      </c>
      <c r="F413" s="10"/>
      <c r="G413" s="10"/>
      <c r="H413" s="15"/>
      <c r="I413" s="15"/>
      <c r="J413" s="11" t="str">
        <f t="shared" si="18"/>
        <v/>
      </c>
      <c r="K413" s="9">
        <f>IF(COUNT(F413:I413)&lt;&gt;4,0,IF(AND(G413&gt;F413,H413&gt;0,I413&gt;0,L413&lt;='Sheet1-指标体系'!$J$31,M413&lt;='Sheet1-指标体系'!$J$31),1,0))</f>
        <v>0</v>
      </c>
      <c r="L413" s="9" t="str">
        <f t="shared" si="19"/>
        <v/>
      </c>
      <c r="M413" s="9" t="str">
        <f t="shared" si="20"/>
        <v/>
      </c>
    </row>
    <row r="414" ht="25" customHeight="1" spans="1:13">
      <c r="A414" s="9" t="s">
        <v>238</v>
      </c>
      <c r="B414" s="9" t="s">
        <v>235</v>
      </c>
      <c r="C414" s="9" t="s">
        <v>1033</v>
      </c>
      <c r="D414" s="10">
        <v>45322</v>
      </c>
      <c r="E414" s="10">
        <v>45351</v>
      </c>
      <c r="F414" s="10"/>
      <c r="G414" s="10"/>
      <c r="H414" s="15"/>
      <c r="I414" s="15"/>
      <c r="J414" s="11" t="str">
        <f t="shared" si="18"/>
        <v/>
      </c>
      <c r="K414" s="9">
        <f>IF(COUNT(F414:I414)&lt;&gt;4,0,IF(AND(G414&gt;F414,H414&gt;0,I414&gt;0,L414&lt;='Sheet1-指标体系'!$J$31,M414&lt;='Sheet1-指标体系'!$J$31),1,0))</f>
        <v>0</v>
      </c>
      <c r="L414" s="9" t="str">
        <f t="shared" si="19"/>
        <v/>
      </c>
      <c r="M414" s="9" t="str">
        <f t="shared" si="20"/>
        <v/>
      </c>
    </row>
    <row r="415" ht="25" customHeight="1" spans="1:13">
      <c r="A415" s="9" t="s">
        <v>238</v>
      </c>
      <c r="B415" s="9" t="s">
        <v>235</v>
      </c>
      <c r="C415" s="9" t="s">
        <v>1034</v>
      </c>
      <c r="D415" s="10">
        <v>45351</v>
      </c>
      <c r="E415" s="10">
        <v>45382</v>
      </c>
      <c r="F415" s="10"/>
      <c r="G415" s="10"/>
      <c r="H415" s="15"/>
      <c r="I415" s="15"/>
      <c r="J415" s="11" t="str">
        <f t="shared" si="18"/>
        <v/>
      </c>
      <c r="K415" s="9">
        <f>IF(COUNT(F415:I415)&lt;&gt;4,0,IF(AND(G415&gt;F415,H415&gt;0,I415&gt;0,L415&lt;='Sheet1-指标体系'!$J$31,M415&lt;='Sheet1-指标体系'!$J$31),1,0))</f>
        <v>0</v>
      </c>
      <c r="L415" s="9" t="str">
        <f t="shared" si="19"/>
        <v/>
      </c>
      <c r="M415" s="9" t="str">
        <f t="shared" si="20"/>
        <v/>
      </c>
    </row>
    <row r="416" ht="25" customHeight="1" spans="1:13">
      <c r="A416" s="9" t="s">
        <v>238</v>
      </c>
      <c r="B416" s="9" t="s">
        <v>235</v>
      </c>
      <c r="C416" s="9" t="s">
        <v>1035</v>
      </c>
      <c r="D416" s="10">
        <v>45382</v>
      </c>
      <c r="E416" s="10">
        <v>45412</v>
      </c>
      <c r="F416" s="10"/>
      <c r="G416" s="10"/>
      <c r="H416" s="15"/>
      <c r="I416" s="15"/>
      <c r="J416" s="11" t="str">
        <f t="shared" si="18"/>
        <v/>
      </c>
      <c r="K416" s="9">
        <f>IF(COUNT(F416:I416)&lt;&gt;4,0,IF(AND(G416&gt;F416,H416&gt;0,I416&gt;0,L416&lt;='Sheet1-指标体系'!$J$31,M416&lt;='Sheet1-指标体系'!$J$31),1,0))</f>
        <v>0</v>
      </c>
      <c r="L416" s="9" t="str">
        <f t="shared" si="19"/>
        <v/>
      </c>
      <c r="M416" s="9" t="str">
        <f t="shared" si="20"/>
        <v/>
      </c>
    </row>
    <row r="417" ht="25" customHeight="1" spans="1:13">
      <c r="A417" s="9" t="s">
        <v>238</v>
      </c>
      <c r="B417" s="9" t="s">
        <v>235</v>
      </c>
      <c r="C417" s="9" t="s">
        <v>1036</v>
      </c>
      <c r="D417" s="10">
        <v>45412</v>
      </c>
      <c r="E417" s="10">
        <v>45443</v>
      </c>
      <c r="F417" s="10"/>
      <c r="G417" s="10"/>
      <c r="H417" s="15"/>
      <c r="I417" s="15"/>
      <c r="J417" s="11" t="str">
        <f t="shared" si="18"/>
        <v/>
      </c>
      <c r="K417" s="9">
        <f>IF(COUNT(F417:I417)&lt;&gt;4,0,IF(AND(G417&gt;F417,H417&gt;0,I417&gt;0,L417&lt;='Sheet1-指标体系'!$J$31,M417&lt;='Sheet1-指标体系'!$J$31),1,0))</f>
        <v>0</v>
      </c>
      <c r="L417" s="9" t="str">
        <f t="shared" si="19"/>
        <v/>
      </c>
      <c r="M417" s="9" t="str">
        <f t="shared" si="20"/>
        <v/>
      </c>
    </row>
    <row r="418" ht="25" customHeight="1" spans="1:13">
      <c r="A418" s="9" t="s">
        <v>238</v>
      </c>
      <c r="B418" s="9" t="s">
        <v>235</v>
      </c>
      <c r="C418" s="9" t="s">
        <v>1037</v>
      </c>
      <c r="D418" s="10">
        <v>45443</v>
      </c>
      <c r="E418" s="10">
        <v>45473</v>
      </c>
      <c r="F418" s="10"/>
      <c r="G418" s="10"/>
      <c r="H418" s="15"/>
      <c r="I418" s="15"/>
      <c r="J418" s="11" t="str">
        <f t="shared" si="18"/>
        <v/>
      </c>
      <c r="K418" s="9">
        <f>IF(COUNT(F418:I418)&lt;&gt;4,0,IF(AND(G418&gt;F418,H418&gt;0,I418&gt;0,L418&lt;='Sheet1-指标体系'!$J$31,M418&lt;='Sheet1-指标体系'!$J$31),1,0))</f>
        <v>0</v>
      </c>
      <c r="L418" s="9" t="str">
        <f t="shared" si="19"/>
        <v/>
      </c>
      <c r="M418" s="9" t="str">
        <f t="shared" si="20"/>
        <v/>
      </c>
    </row>
    <row r="419" ht="25" customHeight="1" spans="1:13">
      <c r="A419" s="9" t="s">
        <v>238</v>
      </c>
      <c r="B419" s="9" t="s">
        <v>235</v>
      </c>
      <c r="C419" s="9" t="s">
        <v>1038</v>
      </c>
      <c r="D419" s="10">
        <v>45473</v>
      </c>
      <c r="E419" s="10">
        <v>45504</v>
      </c>
      <c r="F419" s="10"/>
      <c r="G419" s="10"/>
      <c r="H419" s="15"/>
      <c r="I419" s="15"/>
      <c r="J419" s="11" t="str">
        <f t="shared" si="18"/>
        <v/>
      </c>
      <c r="K419" s="9">
        <f>IF(COUNT(F419:I419)&lt;&gt;4,0,IF(AND(G419&gt;F419,H419&gt;0,I419&gt;0,L419&lt;='Sheet1-指标体系'!$J$31,M419&lt;='Sheet1-指标体系'!$J$31),1,0))</f>
        <v>0</v>
      </c>
      <c r="L419" s="9" t="str">
        <f t="shared" si="19"/>
        <v/>
      </c>
      <c r="M419" s="9" t="str">
        <f t="shared" si="20"/>
        <v/>
      </c>
    </row>
    <row r="420" ht="25" customHeight="1" spans="1:13">
      <c r="A420" s="9" t="s">
        <v>238</v>
      </c>
      <c r="B420" s="9" t="s">
        <v>235</v>
      </c>
      <c r="C420" s="9" t="s">
        <v>1039</v>
      </c>
      <c r="D420" s="10">
        <v>45504</v>
      </c>
      <c r="E420" s="10">
        <v>45535</v>
      </c>
      <c r="F420" s="10"/>
      <c r="G420" s="10"/>
      <c r="H420" s="15"/>
      <c r="I420" s="15"/>
      <c r="J420" s="11" t="str">
        <f t="shared" si="18"/>
        <v/>
      </c>
      <c r="K420" s="9">
        <f>IF(COUNT(F420:I420)&lt;&gt;4,0,IF(AND(G420&gt;F420,H420&gt;0,I420&gt;0,L420&lt;='Sheet1-指标体系'!$J$31,M420&lt;='Sheet1-指标体系'!$J$31),1,0))</f>
        <v>0</v>
      </c>
      <c r="L420" s="9" t="str">
        <f t="shared" si="19"/>
        <v/>
      </c>
      <c r="M420" s="9" t="str">
        <f t="shared" si="20"/>
        <v/>
      </c>
    </row>
    <row r="421" ht="25" customHeight="1" spans="1:13">
      <c r="A421" s="9" t="s">
        <v>238</v>
      </c>
      <c r="B421" s="9" t="s">
        <v>235</v>
      </c>
      <c r="C421" s="9" t="s">
        <v>1040</v>
      </c>
      <c r="D421" s="10">
        <v>45535</v>
      </c>
      <c r="E421" s="10">
        <v>45565</v>
      </c>
      <c r="F421" s="10"/>
      <c r="G421" s="10"/>
      <c r="H421" s="15"/>
      <c r="I421" s="15"/>
      <c r="J421" s="11" t="str">
        <f t="shared" si="18"/>
        <v/>
      </c>
      <c r="K421" s="9">
        <f>IF(COUNT(F421:I421)&lt;&gt;4,0,IF(AND(G421&gt;F421,H421&gt;0,I421&gt;0,L421&lt;='Sheet1-指标体系'!$J$31,M421&lt;='Sheet1-指标体系'!$J$31),1,0))</f>
        <v>0</v>
      </c>
      <c r="L421" s="9" t="str">
        <f t="shared" si="19"/>
        <v/>
      </c>
      <c r="M421" s="9" t="str">
        <f t="shared" si="20"/>
        <v/>
      </c>
    </row>
    <row r="422" ht="25" customHeight="1" spans="1:13">
      <c r="A422" s="9" t="s">
        <v>238</v>
      </c>
      <c r="B422" s="9" t="s">
        <v>235</v>
      </c>
      <c r="C422" s="9" t="s">
        <v>1041</v>
      </c>
      <c r="D422" s="10">
        <v>45565</v>
      </c>
      <c r="E422" s="10">
        <v>45596</v>
      </c>
      <c r="F422" s="10"/>
      <c r="G422" s="10"/>
      <c r="H422" s="15"/>
      <c r="I422" s="15"/>
      <c r="J422" s="11" t="str">
        <f t="shared" si="18"/>
        <v/>
      </c>
      <c r="K422" s="9">
        <f>IF(COUNT(F422:I422)&lt;&gt;4,0,IF(AND(G422&gt;F422,H422&gt;0,I422&gt;0,L422&lt;='Sheet1-指标体系'!$J$31,M422&lt;='Sheet1-指标体系'!$J$31),1,0))</f>
        <v>0</v>
      </c>
      <c r="L422" s="9" t="str">
        <f t="shared" si="19"/>
        <v/>
      </c>
      <c r="M422" s="9" t="str">
        <f t="shared" si="20"/>
        <v/>
      </c>
    </row>
    <row r="423" ht="25" customHeight="1" spans="1:13">
      <c r="A423" s="9" t="s">
        <v>238</v>
      </c>
      <c r="B423" s="9" t="s">
        <v>235</v>
      </c>
      <c r="C423" s="9" t="s">
        <v>1042</v>
      </c>
      <c r="D423" s="10">
        <v>45596</v>
      </c>
      <c r="E423" s="10">
        <v>45626</v>
      </c>
      <c r="F423" s="10"/>
      <c r="G423" s="10"/>
      <c r="H423" s="15"/>
      <c r="I423" s="15"/>
      <c r="J423" s="11" t="str">
        <f t="shared" si="18"/>
        <v/>
      </c>
      <c r="K423" s="9">
        <f>IF(COUNT(F423:I423)&lt;&gt;4,0,IF(AND(G423&gt;F423,H423&gt;0,I423&gt;0,L423&lt;='Sheet1-指标体系'!$J$31,M423&lt;='Sheet1-指标体系'!$J$31),1,0))</f>
        <v>0</v>
      </c>
      <c r="L423" s="9" t="str">
        <f t="shared" si="19"/>
        <v/>
      </c>
      <c r="M423" s="9" t="str">
        <f t="shared" si="20"/>
        <v/>
      </c>
    </row>
    <row r="424" ht="25" customHeight="1" spans="1:13">
      <c r="A424" s="9" t="s">
        <v>238</v>
      </c>
      <c r="B424" s="9" t="s">
        <v>235</v>
      </c>
      <c r="C424" s="9" t="s">
        <v>1043</v>
      </c>
      <c r="D424" s="10">
        <v>45626</v>
      </c>
      <c r="E424" s="10">
        <v>45657</v>
      </c>
      <c r="F424" s="10"/>
      <c r="G424" s="10"/>
      <c r="H424" s="15"/>
      <c r="I424" s="15"/>
      <c r="J424" s="11" t="str">
        <f t="shared" si="18"/>
        <v/>
      </c>
      <c r="K424" s="9">
        <f>IF(COUNT(F424:I424)&lt;&gt;4,0,IF(AND(G424&gt;F424,H424&gt;0,I424&gt;0,L424&lt;='Sheet1-指标体系'!$J$31,M424&lt;='Sheet1-指标体系'!$J$31),1,0))</f>
        <v>0</v>
      </c>
      <c r="L424" s="9" t="str">
        <f t="shared" si="19"/>
        <v/>
      </c>
      <c r="M424" s="9" t="str">
        <f t="shared" si="20"/>
        <v/>
      </c>
    </row>
    <row r="425" ht="25" customHeight="1" spans="1:13">
      <c r="A425" s="9" t="s">
        <v>238</v>
      </c>
      <c r="B425" s="9" t="s">
        <v>235</v>
      </c>
      <c r="C425" s="9" t="s">
        <v>1044</v>
      </c>
      <c r="D425" s="10">
        <v>45657</v>
      </c>
      <c r="E425" s="10">
        <v>45688</v>
      </c>
      <c r="F425" s="10"/>
      <c r="G425" s="10"/>
      <c r="H425" s="15"/>
      <c r="I425" s="15"/>
      <c r="J425" s="11" t="str">
        <f t="shared" si="18"/>
        <v/>
      </c>
      <c r="K425" s="9">
        <f>IF(COUNT(F425:I425)&lt;&gt;4,0,IF(AND(G425&gt;F425,H425&gt;0,I425&gt;0,L425&lt;='Sheet1-指标体系'!$J$31,M425&lt;='Sheet1-指标体系'!$J$31),1,0))</f>
        <v>0</v>
      </c>
      <c r="L425" s="9" t="str">
        <f t="shared" si="19"/>
        <v/>
      </c>
      <c r="M425" s="9" t="str">
        <f t="shared" si="20"/>
        <v/>
      </c>
    </row>
    <row r="426" ht="25" customHeight="1" spans="1:13">
      <c r="A426" s="9" t="s">
        <v>238</v>
      </c>
      <c r="B426" s="9" t="s">
        <v>235</v>
      </c>
      <c r="C426" s="9" t="s">
        <v>1045</v>
      </c>
      <c r="D426" s="10">
        <v>45688</v>
      </c>
      <c r="E426" s="10">
        <v>45716</v>
      </c>
      <c r="F426" s="10"/>
      <c r="G426" s="10"/>
      <c r="H426" s="15"/>
      <c r="I426" s="15"/>
      <c r="J426" s="11" t="str">
        <f t="shared" si="18"/>
        <v/>
      </c>
      <c r="K426" s="9">
        <f>IF(COUNT(F426:I426)&lt;&gt;4,0,IF(AND(G426&gt;F426,H426&gt;0,I426&gt;0,L426&lt;='Sheet1-指标体系'!$J$31,M426&lt;='Sheet1-指标体系'!$J$31),1,0))</f>
        <v>0</v>
      </c>
      <c r="L426" s="9" t="str">
        <f t="shared" si="19"/>
        <v/>
      </c>
      <c r="M426" s="9" t="str">
        <f t="shared" si="20"/>
        <v/>
      </c>
    </row>
    <row r="427" ht="25" customHeight="1" spans="1:13">
      <c r="A427" s="9" t="s">
        <v>238</v>
      </c>
      <c r="B427" s="9" t="s">
        <v>235</v>
      </c>
      <c r="C427" s="9" t="s">
        <v>1046</v>
      </c>
      <c r="D427" s="10">
        <v>45716</v>
      </c>
      <c r="E427" s="10">
        <v>45747</v>
      </c>
      <c r="F427" s="10"/>
      <c r="G427" s="10"/>
      <c r="H427" s="15"/>
      <c r="I427" s="15"/>
      <c r="J427" s="11" t="str">
        <f t="shared" si="18"/>
        <v/>
      </c>
      <c r="K427" s="9">
        <f>IF(COUNT(F427:I427)&lt;&gt;4,0,IF(AND(G427&gt;F427,H427&gt;0,I427&gt;0,L427&lt;='Sheet1-指标体系'!$J$31,M427&lt;='Sheet1-指标体系'!$J$31),1,0))</f>
        <v>0</v>
      </c>
      <c r="L427" s="9" t="str">
        <f t="shared" si="19"/>
        <v/>
      </c>
      <c r="M427" s="9" t="str">
        <f t="shared" si="20"/>
        <v/>
      </c>
    </row>
    <row r="428" ht="25" customHeight="1" spans="1:13">
      <c r="A428" s="9" t="s">
        <v>238</v>
      </c>
      <c r="B428" s="9" t="s">
        <v>235</v>
      </c>
      <c r="C428" s="9" t="s">
        <v>1047</v>
      </c>
      <c r="D428" s="10">
        <v>45747</v>
      </c>
      <c r="E428" s="10">
        <v>45777</v>
      </c>
      <c r="F428" s="10"/>
      <c r="G428" s="10"/>
      <c r="H428" s="15"/>
      <c r="I428" s="15"/>
      <c r="J428" s="11" t="str">
        <f t="shared" si="18"/>
        <v/>
      </c>
      <c r="K428" s="9">
        <f>IF(COUNT(F428:I428)&lt;&gt;4,0,IF(AND(G428&gt;F428,H428&gt;0,I428&gt;0,L428&lt;='Sheet1-指标体系'!$J$31,M428&lt;='Sheet1-指标体系'!$J$31),1,0))</f>
        <v>0</v>
      </c>
      <c r="L428" s="9" t="str">
        <f t="shared" si="19"/>
        <v/>
      </c>
      <c r="M428" s="9" t="str">
        <f t="shared" si="20"/>
        <v/>
      </c>
    </row>
    <row r="429" ht="25" customHeight="1" spans="1:13">
      <c r="A429" s="9" t="s">
        <v>238</v>
      </c>
      <c r="B429" s="9" t="s">
        <v>235</v>
      </c>
      <c r="C429" s="9" t="s">
        <v>1048</v>
      </c>
      <c r="D429" s="10">
        <v>45777</v>
      </c>
      <c r="E429" s="10">
        <v>45808</v>
      </c>
      <c r="F429" s="10"/>
      <c r="G429" s="10"/>
      <c r="H429" s="15"/>
      <c r="I429" s="15"/>
      <c r="J429" s="11" t="str">
        <f t="shared" si="18"/>
        <v/>
      </c>
      <c r="K429" s="9">
        <f>IF(COUNT(F429:I429)&lt;&gt;4,0,IF(AND(G429&gt;F429,H429&gt;0,I429&gt;0,L429&lt;='Sheet1-指标体系'!$J$31,M429&lt;='Sheet1-指标体系'!$J$31),1,0))</f>
        <v>0</v>
      </c>
      <c r="L429" s="9" t="str">
        <f t="shared" si="19"/>
        <v/>
      </c>
      <c r="M429" s="9" t="str">
        <f t="shared" si="20"/>
        <v/>
      </c>
    </row>
    <row r="430" ht="25" customHeight="1" spans="1:13">
      <c r="A430" s="9" t="s">
        <v>238</v>
      </c>
      <c r="B430" s="9" t="s">
        <v>235</v>
      </c>
      <c r="C430" s="9" t="s">
        <v>1049</v>
      </c>
      <c r="D430" s="10">
        <v>45808</v>
      </c>
      <c r="E430" s="10">
        <v>45838</v>
      </c>
      <c r="F430" s="10"/>
      <c r="G430" s="10"/>
      <c r="H430" s="15"/>
      <c r="I430" s="15"/>
      <c r="J430" s="11" t="str">
        <f t="shared" si="18"/>
        <v/>
      </c>
      <c r="K430" s="9">
        <f>IF(COUNT(F430:I430)&lt;&gt;4,0,IF(AND(G430&gt;F430,H430&gt;0,I430&gt;0,L430&lt;='Sheet1-指标体系'!$J$31,M430&lt;='Sheet1-指标体系'!$J$31),1,0))</f>
        <v>0</v>
      </c>
      <c r="L430" s="9" t="str">
        <f t="shared" si="19"/>
        <v/>
      </c>
      <c r="M430" s="9" t="str">
        <f t="shared" si="20"/>
        <v/>
      </c>
    </row>
    <row r="431" ht="25" customHeight="1" spans="1:13">
      <c r="A431" s="9" t="s">
        <v>238</v>
      </c>
      <c r="B431" s="9" t="s">
        <v>235</v>
      </c>
      <c r="C431" s="9" t="s">
        <v>1050</v>
      </c>
      <c r="D431" s="10">
        <v>45838</v>
      </c>
      <c r="E431" s="10">
        <v>45869</v>
      </c>
      <c r="F431" s="10"/>
      <c r="G431" s="10"/>
      <c r="H431" s="15"/>
      <c r="I431" s="15"/>
      <c r="J431" s="11" t="str">
        <f t="shared" si="18"/>
        <v/>
      </c>
      <c r="K431" s="9">
        <f>IF(COUNT(F431:I431)&lt;&gt;4,0,IF(AND(G431&gt;F431,H431&gt;0,I431&gt;0,L431&lt;='Sheet1-指标体系'!$J$31,M431&lt;='Sheet1-指标体系'!$J$31),1,0))</f>
        <v>0</v>
      </c>
      <c r="L431" s="9" t="str">
        <f t="shared" si="19"/>
        <v/>
      </c>
      <c r="M431" s="9" t="str">
        <f t="shared" si="20"/>
        <v/>
      </c>
    </row>
    <row r="432" ht="25" customHeight="1" spans="1:13">
      <c r="A432" s="9" t="s">
        <v>238</v>
      </c>
      <c r="B432" s="9" t="s">
        <v>235</v>
      </c>
      <c r="C432" s="9" t="s">
        <v>1051</v>
      </c>
      <c r="D432" s="10">
        <v>45869</v>
      </c>
      <c r="E432" s="10">
        <v>45900</v>
      </c>
      <c r="F432" s="10"/>
      <c r="G432" s="10"/>
      <c r="H432" s="15"/>
      <c r="I432" s="15"/>
      <c r="J432" s="11" t="str">
        <f t="shared" si="18"/>
        <v/>
      </c>
      <c r="K432" s="9">
        <f>IF(COUNT(F432:I432)&lt;&gt;4,0,IF(AND(G432&gt;F432,H432&gt;0,I432&gt;0,L432&lt;='Sheet1-指标体系'!$J$31,M432&lt;='Sheet1-指标体系'!$J$31),1,0))</f>
        <v>0</v>
      </c>
      <c r="L432" s="9" t="str">
        <f t="shared" si="19"/>
        <v/>
      </c>
      <c r="M432" s="9" t="str">
        <f t="shared" si="20"/>
        <v/>
      </c>
    </row>
    <row r="433" ht="25" customHeight="1" spans="1:13">
      <c r="A433" s="9" t="s">
        <v>238</v>
      </c>
      <c r="B433" s="9" t="s">
        <v>235</v>
      </c>
      <c r="C433" s="9" t="s">
        <v>1052</v>
      </c>
      <c r="D433" s="10">
        <v>45900</v>
      </c>
      <c r="E433" s="10">
        <v>45930</v>
      </c>
      <c r="F433" s="10"/>
      <c r="G433" s="10"/>
      <c r="H433" s="15"/>
      <c r="I433" s="15"/>
      <c r="J433" s="11" t="str">
        <f t="shared" si="18"/>
        <v/>
      </c>
      <c r="K433" s="9">
        <f>IF(COUNT(F433:I433)&lt;&gt;4,0,IF(AND(G433&gt;F433,H433&gt;0,I433&gt;0,L433&lt;='Sheet1-指标体系'!$J$31,M433&lt;='Sheet1-指标体系'!$J$31),1,0))</f>
        <v>0</v>
      </c>
      <c r="L433" s="9" t="str">
        <f t="shared" si="19"/>
        <v/>
      </c>
      <c r="M433" s="9" t="str">
        <f t="shared" si="20"/>
        <v/>
      </c>
    </row>
    <row r="434" ht="25" customHeight="1" spans="1:13">
      <c r="A434" s="9" t="s">
        <v>238</v>
      </c>
      <c r="B434" s="9" t="s">
        <v>235</v>
      </c>
      <c r="C434" s="9" t="s">
        <v>1053</v>
      </c>
      <c r="D434" s="10">
        <v>45930</v>
      </c>
      <c r="E434" s="10">
        <v>45961</v>
      </c>
      <c r="F434" s="10"/>
      <c r="G434" s="10"/>
      <c r="H434" s="15"/>
      <c r="I434" s="15"/>
      <c r="J434" s="11" t="str">
        <f t="shared" si="18"/>
        <v/>
      </c>
      <c r="K434" s="9">
        <f>IF(COUNT(F434:I434)&lt;&gt;4,0,IF(AND(G434&gt;F434,H434&gt;0,I434&gt;0,L434&lt;='Sheet1-指标体系'!$J$31,M434&lt;='Sheet1-指标体系'!$J$31),1,0))</f>
        <v>0</v>
      </c>
      <c r="L434" s="9" t="str">
        <f t="shared" si="19"/>
        <v/>
      </c>
      <c r="M434" s="9" t="str">
        <f t="shared" si="20"/>
        <v/>
      </c>
    </row>
    <row r="435" ht="25" customHeight="1" spans="1:13">
      <c r="A435" s="9" t="s">
        <v>238</v>
      </c>
      <c r="B435" s="9" t="s">
        <v>235</v>
      </c>
      <c r="C435" s="9" t="s">
        <v>1054</v>
      </c>
      <c r="D435" s="10">
        <v>45961</v>
      </c>
      <c r="E435" s="10">
        <v>45991</v>
      </c>
      <c r="F435" s="10"/>
      <c r="G435" s="10"/>
      <c r="H435" s="15"/>
      <c r="I435" s="15"/>
      <c r="J435" s="11" t="str">
        <f t="shared" si="18"/>
        <v/>
      </c>
      <c r="K435" s="9">
        <f>IF(COUNT(F435:I435)&lt;&gt;4,0,IF(AND(G435&gt;F435,H435&gt;0,I435&gt;0,L435&lt;='Sheet1-指标体系'!$J$31,M435&lt;='Sheet1-指标体系'!$J$31),1,0))</f>
        <v>0</v>
      </c>
      <c r="L435" s="9" t="str">
        <f t="shared" si="19"/>
        <v/>
      </c>
      <c r="M435" s="9" t="str">
        <f t="shared" si="20"/>
        <v/>
      </c>
    </row>
    <row r="436" ht="25" customHeight="1" spans="1:13">
      <c r="A436" s="9" t="s">
        <v>238</v>
      </c>
      <c r="B436" s="9" t="s">
        <v>235</v>
      </c>
      <c r="C436" s="9" t="s">
        <v>1055</v>
      </c>
      <c r="D436" s="10">
        <v>45991</v>
      </c>
      <c r="E436" s="10">
        <v>46022</v>
      </c>
      <c r="F436" s="10"/>
      <c r="G436" s="10"/>
      <c r="H436" s="15"/>
      <c r="I436" s="15"/>
      <c r="J436" s="11" t="str">
        <f t="shared" si="18"/>
        <v/>
      </c>
      <c r="K436" s="9">
        <f>IF(COUNT(F436:I436)&lt;&gt;4,0,IF(AND(G436&gt;F436,H436&gt;0,I436&gt;0,L436&lt;='Sheet1-指标体系'!$J$31,M436&lt;='Sheet1-指标体系'!$J$31),1,0))</f>
        <v>0</v>
      </c>
      <c r="L436" s="9" t="str">
        <f t="shared" si="19"/>
        <v/>
      </c>
      <c r="M436" s="9" t="str">
        <f t="shared" si="20"/>
        <v/>
      </c>
    </row>
    <row r="437" ht="25" customHeight="1" spans="1:13">
      <c r="A437" s="9" t="s">
        <v>238</v>
      </c>
      <c r="B437" s="9" t="s">
        <v>235</v>
      </c>
      <c r="C437" s="9" t="s">
        <v>1056</v>
      </c>
      <c r="D437" s="10">
        <v>46022</v>
      </c>
      <c r="E437" s="10">
        <v>46053</v>
      </c>
      <c r="F437" s="10"/>
      <c r="G437" s="10">
        <f>净值原始!C2860</f>
        <v>46052</v>
      </c>
      <c r="H437" s="15"/>
      <c r="I437" s="15">
        <f>净值原始!F2860</f>
        <v>1.0001</v>
      </c>
      <c r="J437" s="11" t="str">
        <f t="shared" si="18"/>
        <v/>
      </c>
      <c r="K437" s="9">
        <f>IF(COUNT(F437:I437)&lt;&gt;4,0,IF(AND(G437&gt;F437,H437&gt;0,I437&gt;0,L437&lt;='Sheet1-指标体系'!$J$31,M437&lt;='Sheet1-指标体系'!$J$31),1,0))</f>
        <v>0</v>
      </c>
      <c r="L437" s="9" t="str">
        <f t="shared" si="19"/>
        <v/>
      </c>
      <c r="M437" s="9">
        <f t="shared" si="20"/>
        <v>1</v>
      </c>
    </row>
    <row r="438" ht="25" customHeight="1" spans="1:13">
      <c r="A438" s="9" t="s">
        <v>238</v>
      </c>
      <c r="B438" s="9" t="s">
        <v>235</v>
      </c>
      <c r="C438" s="9" t="s">
        <v>1057</v>
      </c>
      <c r="D438" s="10">
        <v>46053</v>
      </c>
      <c r="E438" s="10">
        <v>46081</v>
      </c>
      <c r="F438" s="10">
        <f>净值原始!C2860</f>
        <v>46052</v>
      </c>
      <c r="G438" s="10">
        <f>净值原始!C2874</f>
        <v>46080</v>
      </c>
      <c r="H438" s="15">
        <f>净值原始!F2860</f>
        <v>1.0001</v>
      </c>
      <c r="I438" s="15">
        <f>净值原始!F2874</f>
        <v>1.0004</v>
      </c>
      <c r="J438" s="11">
        <f t="shared" si="18"/>
        <v>0.00029997000299975</v>
      </c>
      <c r="K438" s="9">
        <f>IF(COUNT(F438:I438)&lt;&gt;4,0,IF(AND(G438&gt;F438,H438&gt;0,I438&gt;0,L438&lt;='Sheet1-指标体系'!$J$31,M438&lt;='Sheet1-指标体系'!$J$31),1,0))</f>
        <v>1</v>
      </c>
      <c r="L438" s="9">
        <f t="shared" si="19"/>
        <v>1</v>
      </c>
      <c r="M438" s="9">
        <f t="shared" si="20"/>
        <v>1</v>
      </c>
    </row>
    <row r="439" ht="25" customHeight="1" spans="1:13">
      <c r="A439" s="9" t="s">
        <v>238</v>
      </c>
      <c r="B439" s="9" t="s">
        <v>235</v>
      </c>
      <c r="C439" s="9" t="s">
        <v>1058</v>
      </c>
      <c r="D439" s="10">
        <v>46081</v>
      </c>
      <c r="E439" s="10">
        <v>46112</v>
      </c>
      <c r="F439" s="10">
        <f>净值原始!C2874</f>
        <v>46080</v>
      </c>
      <c r="G439" s="10">
        <f>净值原始!C2896</f>
        <v>46112</v>
      </c>
      <c r="H439" s="15">
        <f>净值原始!F2874</f>
        <v>1.0004</v>
      </c>
      <c r="I439" s="15">
        <f>净值原始!F2896</f>
        <v>1.0033</v>
      </c>
      <c r="J439" s="11">
        <f t="shared" si="18"/>
        <v>0.00289884046381461</v>
      </c>
      <c r="K439" s="9">
        <f>IF(COUNT(F439:I439)&lt;&gt;4,0,IF(AND(G439&gt;F439,H439&gt;0,I439&gt;0,L439&lt;='Sheet1-指标体系'!$J$31,M439&lt;='Sheet1-指标体系'!$J$31),1,0))</f>
        <v>1</v>
      </c>
      <c r="L439" s="9">
        <f t="shared" si="19"/>
        <v>1</v>
      </c>
      <c r="M439" s="9">
        <f t="shared" si="20"/>
        <v>0</v>
      </c>
    </row>
    <row r="440" ht="25" customHeight="1" spans="1:13">
      <c r="A440" s="9" t="s">
        <v>238</v>
      </c>
      <c r="B440" s="9" t="s">
        <v>235</v>
      </c>
      <c r="C440" s="9" t="s">
        <v>1059</v>
      </c>
      <c r="D440" s="10">
        <v>46112</v>
      </c>
      <c r="E440" s="10">
        <v>46142</v>
      </c>
      <c r="F440" s="10">
        <f>净值原始!C2896</f>
        <v>46112</v>
      </c>
      <c r="G440" s="10">
        <f>净值原始!C2917</f>
        <v>46142</v>
      </c>
      <c r="H440" s="15">
        <f>净值原始!F2896</f>
        <v>1.0033</v>
      </c>
      <c r="I440" s="15">
        <f>净值原始!F2917</f>
        <v>1.0219</v>
      </c>
      <c r="J440" s="11">
        <f t="shared" si="18"/>
        <v>0.0185388218877702</v>
      </c>
      <c r="K440" s="9">
        <f>IF(COUNT(F440:I440)&lt;&gt;4,0,IF(AND(G440&gt;F440,H440&gt;0,I440&gt;0,L440&lt;='Sheet1-指标体系'!$J$31,M440&lt;='Sheet1-指标体系'!$J$31),1,0))</f>
        <v>1</v>
      </c>
      <c r="L440" s="9">
        <f t="shared" si="19"/>
        <v>0</v>
      </c>
      <c r="M440" s="9">
        <f t="shared" si="20"/>
        <v>0</v>
      </c>
    </row>
    <row r="441" ht="25" customHeight="1" spans="1:13">
      <c r="A441" s="9" t="s">
        <v>238</v>
      </c>
      <c r="B441" s="9" t="s">
        <v>235</v>
      </c>
      <c r="C441" s="9" t="s">
        <v>1060</v>
      </c>
      <c r="D441" s="10">
        <v>46142</v>
      </c>
      <c r="E441" s="10">
        <v>46173</v>
      </c>
      <c r="F441" s="10">
        <f>净值原始!C2917</f>
        <v>46142</v>
      </c>
      <c r="G441" s="10">
        <f>净值原始!C2935</f>
        <v>46171</v>
      </c>
      <c r="H441" s="15">
        <f>净值原始!F2917</f>
        <v>1.0219</v>
      </c>
      <c r="I441" s="15">
        <f>净值原始!F2935</f>
        <v>1.0255</v>
      </c>
      <c r="J441" s="11">
        <f t="shared" si="18"/>
        <v>0.00352284959389371</v>
      </c>
      <c r="K441" s="9">
        <f>IF(COUNT(F441:I441)&lt;&gt;4,0,IF(AND(G441&gt;F441,H441&gt;0,I441&gt;0,L441&lt;='Sheet1-指标体系'!$J$31,M441&lt;='Sheet1-指标体系'!$J$31),1,0))</f>
        <v>1</v>
      </c>
      <c r="L441" s="9">
        <f t="shared" si="19"/>
        <v>0</v>
      </c>
      <c r="M441" s="9">
        <f t="shared" si="20"/>
        <v>2</v>
      </c>
    </row>
    <row r="442" ht="25" customHeight="1" spans="1:13">
      <c r="A442" s="9" t="s">
        <v>238</v>
      </c>
      <c r="B442" s="9" t="s">
        <v>235</v>
      </c>
      <c r="C442" s="9" t="s">
        <v>1061</v>
      </c>
      <c r="D442" s="10">
        <v>46173</v>
      </c>
      <c r="E442" s="10">
        <v>46203</v>
      </c>
      <c r="F442" s="10">
        <f>净值原始!C2935</f>
        <v>46171</v>
      </c>
      <c r="G442" s="10">
        <f>净值原始!C2956</f>
        <v>46203</v>
      </c>
      <c r="H442" s="15">
        <f>净值原始!F2935</f>
        <v>1.0255</v>
      </c>
      <c r="I442" s="15">
        <f>净值原始!F2956</f>
        <v>1.0394</v>
      </c>
      <c r="J442" s="11">
        <f t="shared" si="18"/>
        <v>0.0135543637250122</v>
      </c>
      <c r="K442" s="9">
        <f>IF(COUNT(F442:I442)&lt;&gt;4,0,IF(AND(G442&gt;F442,H442&gt;0,I442&gt;0,L442&lt;='Sheet1-指标体系'!$J$31,M442&lt;='Sheet1-指标体系'!$J$31),1,0))</f>
        <v>1</v>
      </c>
      <c r="L442" s="9">
        <f t="shared" si="19"/>
        <v>2</v>
      </c>
      <c r="M442" s="9">
        <f t="shared" si="20"/>
        <v>0</v>
      </c>
    </row>
    <row r="443" ht="25" customHeight="1" spans="1:13">
      <c r="A443" s="9" t="s">
        <v>238</v>
      </c>
      <c r="B443" s="9" t="s">
        <v>235</v>
      </c>
      <c r="C443" s="9" t="s">
        <v>1062</v>
      </c>
      <c r="D443" s="10">
        <v>46203</v>
      </c>
      <c r="E443" s="10">
        <v>46234</v>
      </c>
      <c r="F443" s="10">
        <f>净值原始!C2956</f>
        <v>46203</v>
      </c>
      <c r="G443" s="10">
        <f>净值原始!C2979</f>
        <v>46234</v>
      </c>
      <c r="H443" s="15">
        <f>净值原始!F2956</f>
        <v>1.0394</v>
      </c>
      <c r="I443" s="15">
        <f>净值原始!F2979</f>
        <v>1.0698</v>
      </c>
      <c r="J443" s="11">
        <f t="shared" si="18"/>
        <v>0.029247642870887</v>
      </c>
      <c r="K443" s="9">
        <f>IF(COUNT(F443:I443)&lt;&gt;4,0,IF(AND(G443&gt;F443,H443&gt;0,I443&gt;0,L443&lt;='Sheet1-指标体系'!$J$31,M443&lt;='Sheet1-指标体系'!$J$31),1,0))</f>
        <v>1</v>
      </c>
      <c r="L443" s="9">
        <f t="shared" si="19"/>
        <v>0</v>
      </c>
      <c r="M443" s="9">
        <f t="shared" si="20"/>
        <v>0</v>
      </c>
    </row>
    <row r="444" ht="25" customHeight="1" spans="1:13">
      <c r="A444" s="9" t="s">
        <v>238</v>
      </c>
      <c r="B444" s="9" t="s">
        <v>235</v>
      </c>
      <c r="C444" s="9" t="s">
        <v>1063</v>
      </c>
      <c r="D444" s="10">
        <v>46234</v>
      </c>
      <c r="E444" s="10">
        <v>46265</v>
      </c>
      <c r="F444" s="10">
        <f>净值原始!C2979</f>
        <v>46234</v>
      </c>
      <c r="G444" s="10">
        <f>净值原始!C3000</f>
        <v>46265</v>
      </c>
      <c r="H444" s="15">
        <f>净值原始!F2979</f>
        <v>1.0698</v>
      </c>
      <c r="I444" s="15">
        <f>净值原始!F3000</f>
        <v>1.0782</v>
      </c>
      <c r="J444" s="11">
        <f t="shared" si="18"/>
        <v>0.00785193494111036</v>
      </c>
      <c r="K444" s="9">
        <f>IF(COUNT(F444:I444)&lt;&gt;4,0,IF(AND(G444&gt;F444,H444&gt;0,I444&gt;0,L444&lt;='Sheet1-指标体系'!$J$31,M444&lt;='Sheet1-指标体系'!$J$31),1,0))</f>
        <v>1</v>
      </c>
      <c r="L444" s="9">
        <f t="shared" si="19"/>
        <v>0</v>
      </c>
      <c r="M444" s="9">
        <f t="shared" si="20"/>
        <v>0</v>
      </c>
    </row>
    <row r="445" ht="25" customHeight="1" spans="1:13">
      <c r="A445" s="9" t="s">
        <v>238</v>
      </c>
      <c r="B445" s="9" t="s">
        <v>235</v>
      </c>
      <c r="C445" s="9" t="s">
        <v>1064</v>
      </c>
      <c r="D445" s="10">
        <v>46265</v>
      </c>
      <c r="E445" s="10">
        <v>46269</v>
      </c>
      <c r="F445" s="10">
        <f>净值原始!C3000</f>
        <v>46265</v>
      </c>
      <c r="G445" s="10">
        <f>净值原始!C3004</f>
        <v>46269</v>
      </c>
      <c r="H445" s="15">
        <f>净值原始!F3000</f>
        <v>1.0782</v>
      </c>
      <c r="I445" s="15">
        <f>净值原始!F3004</f>
        <v>1.0809</v>
      </c>
      <c r="J445" s="11">
        <f t="shared" si="18"/>
        <v>0.0025041736227045</v>
      </c>
      <c r="K445" s="9">
        <f>IF(COUNT(F445:I445)&lt;&gt;4,0,IF(AND(G445&gt;F445,H445&gt;0,I445&gt;0,L445&lt;='Sheet1-指标体系'!$J$31,M445&lt;='Sheet1-指标体系'!$J$31),1,0))</f>
        <v>1</v>
      </c>
      <c r="L445" s="9">
        <f t="shared" si="19"/>
        <v>0</v>
      </c>
      <c r="M445" s="9">
        <f t="shared" si="20"/>
        <v>0</v>
      </c>
    </row>
    <row r="446" ht="25" customHeight="1" spans="1:13">
      <c r="A446" s="9" t="s">
        <v>348</v>
      </c>
      <c r="B446" s="9" t="s">
        <v>347</v>
      </c>
      <c r="C446" s="9" t="s">
        <v>1028</v>
      </c>
      <c r="D446" s="10">
        <v>45169</v>
      </c>
      <c r="E446" s="10">
        <v>45199</v>
      </c>
      <c r="F446" s="10"/>
      <c r="G446" s="10"/>
      <c r="H446" s="15"/>
      <c r="I446" s="15"/>
      <c r="J446" s="11" t="str">
        <f t="shared" si="18"/>
        <v/>
      </c>
      <c r="K446" s="9">
        <f>IF(COUNT(F446:I446)&lt;&gt;4,0,IF(AND(G446&gt;F446,H446&gt;0,I446&gt;0,L446&lt;='Sheet1-指标体系'!$J$31,M446&lt;='Sheet1-指标体系'!$J$31),1,0))</f>
        <v>0</v>
      </c>
      <c r="L446" s="9" t="str">
        <f t="shared" si="19"/>
        <v/>
      </c>
      <c r="M446" s="9" t="str">
        <f t="shared" si="20"/>
        <v/>
      </c>
    </row>
    <row r="447" ht="25" customHeight="1" spans="1:13">
      <c r="A447" s="9" t="s">
        <v>348</v>
      </c>
      <c r="B447" s="9" t="s">
        <v>347</v>
      </c>
      <c r="C447" s="9" t="s">
        <v>1029</v>
      </c>
      <c r="D447" s="10">
        <v>45199</v>
      </c>
      <c r="E447" s="10">
        <v>45230</v>
      </c>
      <c r="F447" s="10"/>
      <c r="G447" s="10"/>
      <c r="H447" s="15"/>
      <c r="I447" s="15"/>
      <c r="J447" s="11" t="str">
        <f t="shared" si="18"/>
        <v/>
      </c>
      <c r="K447" s="9">
        <f>IF(COUNT(F447:I447)&lt;&gt;4,0,IF(AND(G447&gt;F447,H447&gt;0,I447&gt;0,L447&lt;='Sheet1-指标体系'!$J$31,M447&lt;='Sheet1-指标体系'!$J$31),1,0))</f>
        <v>0</v>
      </c>
      <c r="L447" s="9" t="str">
        <f t="shared" si="19"/>
        <v/>
      </c>
      <c r="M447" s="9" t="str">
        <f t="shared" si="20"/>
        <v/>
      </c>
    </row>
    <row r="448" ht="25" customHeight="1" spans="1:13">
      <c r="A448" s="9" t="s">
        <v>348</v>
      </c>
      <c r="B448" s="9" t="s">
        <v>347</v>
      </c>
      <c r="C448" s="9" t="s">
        <v>1030</v>
      </c>
      <c r="D448" s="10">
        <v>45230</v>
      </c>
      <c r="E448" s="10">
        <v>45260</v>
      </c>
      <c r="F448" s="10"/>
      <c r="G448" s="10"/>
      <c r="H448" s="15"/>
      <c r="I448" s="15"/>
      <c r="J448" s="11" t="str">
        <f t="shared" si="18"/>
        <v/>
      </c>
      <c r="K448" s="9">
        <f>IF(COUNT(F448:I448)&lt;&gt;4,0,IF(AND(G448&gt;F448,H448&gt;0,I448&gt;0,L448&lt;='Sheet1-指标体系'!$J$31,M448&lt;='Sheet1-指标体系'!$J$31),1,0))</f>
        <v>0</v>
      </c>
      <c r="L448" s="9" t="str">
        <f t="shared" si="19"/>
        <v/>
      </c>
      <c r="M448" s="9" t="str">
        <f t="shared" si="20"/>
        <v/>
      </c>
    </row>
    <row r="449" ht="25" customHeight="1" spans="1:13">
      <c r="A449" s="9" t="s">
        <v>348</v>
      </c>
      <c r="B449" s="9" t="s">
        <v>347</v>
      </c>
      <c r="C449" s="9" t="s">
        <v>1031</v>
      </c>
      <c r="D449" s="10">
        <v>45260</v>
      </c>
      <c r="E449" s="10">
        <v>45291</v>
      </c>
      <c r="F449" s="10"/>
      <c r="G449" s="10"/>
      <c r="H449" s="15"/>
      <c r="I449" s="15"/>
      <c r="J449" s="11" t="str">
        <f t="shared" si="18"/>
        <v/>
      </c>
      <c r="K449" s="9">
        <f>IF(COUNT(F449:I449)&lt;&gt;4,0,IF(AND(G449&gt;F449,H449&gt;0,I449&gt;0,L449&lt;='Sheet1-指标体系'!$J$31,M449&lt;='Sheet1-指标体系'!$J$31),1,0))</f>
        <v>0</v>
      </c>
      <c r="L449" s="9" t="str">
        <f t="shared" si="19"/>
        <v/>
      </c>
      <c r="M449" s="9" t="str">
        <f t="shared" si="20"/>
        <v/>
      </c>
    </row>
    <row r="450" ht="25" customHeight="1" spans="1:13">
      <c r="A450" s="9" t="s">
        <v>348</v>
      </c>
      <c r="B450" s="9" t="s">
        <v>347</v>
      </c>
      <c r="C450" s="9" t="s">
        <v>1032</v>
      </c>
      <c r="D450" s="10">
        <v>45291</v>
      </c>
      <c r="E450" s="10">
        <v>45322</v>
      </c>
      <c r="F450" s="10"/>
      <c r="G450" s="10"/>
      <c r="H450" s="15"/>
      <c r="I450" s="15"/>
      <c r="J450" s="11" t="str">
        <f t="shared" ref="J450:J513" si="21">IF(K450=1,I450/H450-1,"")</f>
        <v/>
      </c>
      <c r="K450" s="9">
        <f>IF(COUNT(F450:I450)&lt;&gt;4,0,IF(AND(G450&gt;F450,H450&gt;0,I450&gt;0,L450&lt;='Sheet1-指标体系'!$J$31,M450&lt;='Sheet1-指标体系'!$J$31),1,0))</f>
        <v>0</v>
      </c>
      <c r="L450" s="9" t="str">
        <f t="shared" ref="L450:L513" si="22">IF(ISNUMBER(F450),D450-F450,"")</f>
        <v/>
      </c>
      <c r="M450" s="9" t="str">
        <f t="shared" ref="M450:M513" si="23">IF(ISNUMBER(G450),E450-G450,"")</f>
        <v/>
      </c>
    </row>
    <row r="451" ht="25" customHeight="1" spans="1:13">
      <c r="A451" s="9" t="s">
        <v>348</v>
      </c>
      <c r="B451" s="9" t="s">
        <v>347</v>
      </c>
      <c r="C451" s="9" t="s">
        <v>1033</v>
      </c>
      <c r="D451" s="10">
        <v>45322</v>
      </c>
      <c r="E451" s="10">
        <v>45351</v>
      </c>
      <c r="F451" s="10"/>
      <c r="G451" s="10"/>
      <c r="H451" s="15"/>
      <c r="I451" s="15"/>
      <c r="J451" s="11" t="str">
        <f t="shared" si="21"/>
        <v/>
      </c>
      <c r="K451" s="9">
        <f>IF(COUNT(F451:I451)&lt;&gt;4,0,IF(AND(G451&gt;F451,H451&gt;0,I451&gt;0,L451&lt;='Sheet1-指标体系'!$J$31,M451&lt;='Sheet1-指标体系'!$J$31),1,0))</f>
        <v>0</v>
      </c>
      <c r="L451" s="9" t="str">
        <f t="shared" si="22"/>
        <v/>
      </c>
      <c r="M451" s="9" t="str">
        <f t="shared" si="23"/>
        <v/>
      </c>
    </row>
    <row r="452" ht="25" customHeight="1" spans="1:13">
      <c r="A452" s="9" t="s">
        <v>348</v>
      </c>
      <c r="B452" s="9" t="s">
        <v>347</v>
      </c>
      <c r="C452" s="9" t="s">
        <v>1034</v>
      </c>
      <c r="D452" s="10">
        <v>45351</v>
      </c>
      <c r="E452" s="10">
        <v>45382</v>
      </c>
      <c r="F452" s="10"/>
      <c r="G452" s="10"/>
      <c r="H452" s="15"/>
      <c r="I452" s="15"/>
      <c r="J452" s="11" t="str">
        <f t="shared" si="21"/>
        <v/>
      </c>
      <c r="K452" s="9">
        <f>IF(COUNT(F452:I452)&lt;&gt;4,0,IF(AND(G452&gt;F452,H452&gt;0,I452&gt;0,L452&lt;='Sheet1-指标体系'!$J$31,M452&lt;='Sheet1-指标体系'!$J$31),1,0))</f>
        <v>0</v>
      </c>
      <c r="L452" s="9" t="str">
        <f t="shared" si="22"/>
        <v/>
      </c>
      <c r="M452" s="9" t="str">
        <f t="shared" si="23"/>
        <v/>
      </c>
    </row>
    <row r="453" ht="25" customHeight="1" spans="1:13">
      <c r="A453" s="9" t="s">
        <v>348</v>
      </c>
      <c r="B453" s="9" t="s">
        <v>347</v>
      </c>
      <c r="C453" s="9" t="s">
        <v>1035</v>
      </c>
      <c r="D453" s="10">
        <v>45382</v>
      </c>
      <c r="E453" s="10">
        <v>45412</v>
      </c>
      <c r="F453" s="10"/>
      <c r="G453" s="10"/>
      <c r="H453" s="15"/>
      <c r="I453" s="15"/>
      <c r="J453" s="11" t="str">
        <f t="shared" si="21"/>
        <v/>
      </c>
      <c r="K453" s="9">
        <f>IF(COUNT(F453:I453)&lt;&gt;4,0,IF(AND(G453&gt;F453,H453&gt;0,I453&gt;0,L453&lt;='Sheet1-指标体系'!$J$31,M453&lt;='Sheet1-指标体系'!$J$31),1,0))</f>
        <v>0</v>
      </c>
      <c r="L453" s="9" t="str">
        <f t="shared" si="22"/>
        <v/>
      </c>
      <c r="M453" s="9" t="str">
        <f t="shared" si="23"/>
        <v/>
      </c>
    </row>
    <row r="454" ht="25" customHeight="1" spans="1:13">
      <c r="A454" s="9" t="s">
        <v>348</v>
      </c>
      <c r="B454" s="9" t="s">
        <v>347</v>
      </c>
      <c r="C454" s="9" t="s">
        <v>1036</v>
      </c>
      <c r="D454" s="10">
        <v>45412</v>
      </c>
      <c r="E454" s="10">
        <v>45443</v>
      </c>
      <c r="F454" s="10"/>
      <c r="G454" s="10"/>
      <c r="H454" s="15"/>
      <c r="I454" s="15"/>
      <c r="J454" s="11" t="str">
        <f t="shared" si="21"/>
        <v/>
      </c>
      <c r="K454" s="9">
        <f>IF(COUNT(F454:I454)&lt;&gt;4,0,IF(AND(G454&gt;F454,H454&gt;0,I454&gt;0,L454&lt;='Sheet1-指标体系'!$J$31,M454&lt;='Sheet1-指标体系'!$J$31),1,0))</f>
        <v>0</v>
      </c>
      <c r="L454" s="9" t="str">
        <f t="shared" si="22"/>
        <v/>
      </c>
      <c r="M454" s="9" t="str">
        <f t="shared" si="23"/>
        <v/>
      </c>
    </row>
    <row r="455" ht="25" customHeight="1" spans="1:13">
      <c r="A455" s="9" t="s">
        <v>348</v>
      </c>
      <c r="B455" s="9" t="s">
        <v>347</v>
      </c>
      <c r="C455" s="9" t="s">
        <v>1037</v>
      </c>
      <c r="D455" s="10">
        <v>45443</v>
      </c>
      <c r="E455" s="10">
        <v>45473</v>
      </c>
      <c r="F455" s="10"/>
      <c r="G455" s="10"/>
      <c r="H455" s="15"/>
      <c r="I455" s="15"/>
      <c r="J455" s="11" t="str">
        <f t="shared" si="21"/>
        <v/>
      </c>
      <c r="K455" s="9">
        <f>IF(COUNT(F455:I455)&lt;&gt;4,0,IF(AND(G455&gt;F455,H455&gt;0,I455&gt;0,L455&lt;='Sheet1-指标体系'!$J$31,M455&lt;='Sheet1-指标体系'!$J$31),1,0))</f>
        <v>0</v>
      </c>
      <c r="L455" s="9" t="str">
        <f t="shared" si="22"/>
        <v/>
      </c>
      <c r="M455" s="9" t="str">
        <f t="shared" si="23"/>
        <v/>
      </c>
    </row>
    <row r="456" ht="25" customHeight="1" spans="1:13">
      <c r="A456" s="9" t="s">
        <v>348</v>
      </c>
      <c r="B456" s="9" t="s">
        <v>347</v>
      </c>
      <c r="C456" s="9" t="s">
        <v>1038</v>
      </c>
      <c r="D456" s="10">
        <v>45473</v>
      </c>
      <c r="E456" s="10">
        <v>45504</v>
      </c>
      <c r="F456" s="10"/>
      <c r="G456" s="10"/>
      <c r="H456" s="15"/>
      <c r="I456" s="15"/>
      <c r="J456" s="11" t="str">
        <f t="shared" si="21"/>
        <v/>
      </c>
      <c r="K456" s="9">
        <f>IF(COUNT(F456:I456)&lt;&gt;4,0,IF(AND(G456&gt;F456,H456&gt;0,I456&gt;0,L456&lt;='Sheet1-指标体系'!$J$31,M456&lt;='Sheet1-指标体系'!$J$31),1,0))</f>
        <v>0</v>
      </c>
      <c r="L456" s="9" t="str">
        <f t="shared" si="22"/>
        <v/>
      </c>
      <c r="M456" s="9" t="str">
        <f t="shared" si="23"/>
        <v/>
      </c>
    </row>
    <row r="457" ht="25" customHeight="1" spans="1:13">
      <c r="A457" s="9" t="s">
        <v>348</v>
      </c>
      <c r="B457" s="9" t="s">
        <v>347</v>
      </c>
      <c r="C457" s="9" t="s">
        <v>1039</v>
      </c>
      <c r="D457" s="10">
        <v>45504</v>
      </c>
      <c r="E457" s="10">
        <v>45535</v>
      </c>
      <c r="F457" s="10"/>
      <c r="G457" s="10"/>
      <c r="H457" s="15"/>
      <c r="I457" s="15"/>
      <c r="J457" s="11" t="str">
        <f t="shared" si="21"/>
        <v/>
      </c>
      <c r="K457" s="9">
        <f>IF(COUNT(F457:I457)&lt;&gt;4,0,IF(AND(G457&gt;F457,H457&gt;0,I457&gt;0,L457&lt;='Sheet1-指标体系'!$J$31,M457&lt;='Sheet1-指标体系'!$J$31),1,0))</f>
        <v>0</v>
      </c>
      <c r="L457" s="9" t="str">
        <f t="shared" si="22"/>
        <v/>
      </c>
      <c r="M457" s="9" t="str">
        <f t="shared" si="23"/>
        <v/>
      </c>
    </row>
    <row r="458" ht="25" customHeight="1" spans="1:13">
      <c r="A458" s="9" t="s">
        <v>348</v>
      </c>
      <c r="B458" s="9" t="s">
        <v>347</v>
      </c>
      <c r="C458" s="9" t="s">
        <v>1040</v>
      </c>
      <c r="D458" s="10">
        <v>45535</v>
      </c>
      <c r="E458" s="10">
        <v>45565</v>
      </c>
      <c r="F458" s="10"/>
      <c r="G458" s="10"/>
      <c r="H458" s="15"/>
      <c r="I458" s="15"/>
      <c r="J458" s="11" t="str">
        <f t="shared" si="21"/>
        <v/>
      </c>
      <c r="K458" s="9">
        <f>IF(COUNT(F458:I458)&lt;&gt;4,0,IF(AND(G458&gt;F458,H458&gt;0,I458&gt;0,L458&lt;='Sheet1-指标体系'!$J$31,M458&lt;='Sheet1-指标体系'!$J$31),1,0))</f>
        <v>0</v>
      </c>
      <c r="L458" s="9" t="str">
        <f t="shared" si="22"/>
        <v/>
      </c>
      <c r="M458" s="9" t="str">
        <f t="shared" si="23"/>
        <v/>
      </c>
    </row>
    <row r="459" ht="25" customHeight="1" spans="1:13">
      <c r="A459" s="9" t="s">
        <v>348</v>
      </c>
      <c r="B459" s="9" t="s">
        <v>347</v>
      </c>
      <c r="C459" s="9" t="s">
        <v>1041</v>
      </c>
      <c r="D459" s="10">
        <v>45565</v>
      </c>
      <c r="E459" s="10">
        <v>45596</v>
      </c>
      <c r="F459" s="10"/>
      <c r="G459" s="10">
        <f>净值原始!C3009</f>
        <v>45596</v>
      </c>
      <c r="H459" s="15"/>
      <c r="I459" s="15">
        <f>净值原始!F3009</f>
        <v>1.0001</v>
      </c>
      <c r="J459" s="11" t="str">
        <f t="shared" si="21"/>
        <v/>
      </c>
      <c r="K459" s="9">
        <f>IF(COUNT(F459:I459)&lt;&gt;4,0,IF(AND(G459&gt;F459,H459&gt;0,I459&gt;0,L459&lt;='Sheet1-指标体系'!$J$31,M459&lt;='Sheet1-指标体系'!$J$31),1,0))</f>
        <v>0</v>
      </c>
      <c r="L459" s="9" t="str">
        <f t="shared" si="22"/>
        <v/>
      </c>
      <c r="M459" s="9">
        <f t="shared" si="23"/>
        <v>0</v>
      </c>
    </row>
    <row r="460" ht="25" customHeight="1" spans="1:13">
      <c r="A460" s="9" t="s">
        <v>348</v>
      </c>
      <c r="B460" s="9" t="s">
        <v>347</v>
      </c>
      <c r="C460" s="9" t="s">
        <v>1042</v>
      </c>
      <c r="D460" s="10">
        <v>45596</v>
      </c>
      <c r="E460" s="10">
        <v>45626</v>
      </c>
      <c r="F460" s="10">
        <f>净值原始!C3009</f>
        <v>45596</v>
      </c>
      <c r="G460" s="10">
        <f>净值原始!C3030</f>
        <v>45625</v>
      </c>
      <c r="H460" s="15">
        <f>净值原始!F3009</f>
        <v>1.0001</v>
      </c>
      <c r="I460" s="15">
        <f>净值原始!F3030</f>
        <v>1.0027</v>
      </c>
      <c r="J460" s="11">
        <f t="shared" si="21"/>
        <v>0.00259974002599739</v>
      </c>
      <c r="K460" s="9">
        <f>IF(COUNT(F460:I460)&lt;&gt;4,0,IF(AND(G460&gt;F460,H460&gt;0,I460&gt;0,L460&lt;='Sheet1-指标体系'!$J$31,M460&lt;='Sheet1-指标体系'!$J$31),1,0))</f>
        <v>1</v>
      </c>
      <c r="L460" s="9">
        <f t="shared" si="22"/>
        <v>0</v>
      </c>
      <c r="M460" s="9">
        <f t="shared" si="23"/>
        <v>1</v>
      </c>
    </row>
    <row r="461" ht="25" customHeight="1" spans="1:13">
      <c r="A461" s="9" t="s">
        <v>348</v>
      </c>
      <c r="B461" s="9" t="s">
        <v>347</v>
      </c>
      <c r="C461" s="9" t="s">
        <v>1043</v>
      </c>
      <c r="D461" s="10">
        <v>45626</v>
      </c>
      <c r="E461" s="10">
        <v>45657</v>
      </c>
      <c r="F461" s="10">
        <f>净值原始!C3030</f>
        <v>45625</v>
      </c>
      <c r="G461" s="10">
        <f>净值原始!C3052</f>
        <v>45657</v>
      </c>
      <c r="H461" s="15">
        <f>净值原始!F3030</f>
        <v>1.0027</v>
      </c>
      <c r="I461" s="15">
        <f>净值原始!F3052</f>
        <v>1.0059</v>
      </c>
      <c r="J461" s="11">
        <f t="shared" si="21"/>
        <v>0.0031913832651842</v>
      </c>
      <c r="K461" s="9">
        <f>IF(COUNT(F461:I461)&lt;&gt;4,0,IF(AND(G461&gt;F461,H461&gt;0,I461&gt;0,L461&lt;='Sheet1-指标体系'!$J$31,M461&lt;='Sheet1-指标体系'!$J$31),1,0))</f>
        <v>1</v>
      </c>
      <c r="L461" s="9">
        <f t="shared" si="22"/>
        <v>1</v>
      </c>
      <c r="M461" s="9">
        <f t="shared" si="23"/>
        <v>0</v>
      </c>
    </row>
    <row r="462" ht="25" customHeight="1" spans="1:13">
      <c r="A462" s="9" t="s">
        <v>348</v>
      </c>
      <c r="B462" s="9" t="s">
        <v>347</v>
      </c>
      <c r="C462" s="9" t="s">
        <v>1044</v>
      </c>
      <c r="D462" s="10">
        <v>45657</v>
      </c>
      <c r="E462" s="10">
        <v>45688</v>
      </c>
      <c r="F462" s="10">
        <f>净值原始!C3052</f>
        <v>45657</v>
      </c>
      <c r="G462" s="10">
        <f>净值原始!C3070</f>
        <v>45684</v>
      </c>
      <c r="H462" s="15">
        <f>净值原始!F3052</f>
        <v>1.0059</v>
      </c>
      <c r="I462" s="15">
        <f>净值原始!F3070</f>
        <v>1.0097</v>
      </c>
      <c r="J462" s="11">
        <f t="shared" si="21"/>
        <v>0.00377771150213735</v>
      </c>
      <c r="K462" s="9">
        <f>IF(COUNT(F462:I462)&lt;&gt;4,0,IF(AND(G462&gt;F462,H462&gt;0,I462&gt;0,L462&lt;='Sheet1-指标体系'!$J$31,M462&lt;='Sheet1-指标体系'!$J$31),1,0))</f>
        <v>1</v>
      </c>
      <c r="L462" s="9">
        <f t="shared" si="22"/>
        <v>0</v>
      </c>
      <c r="M462" s="9">
        <f t="shared" si="23"/>
        <v>4</v>
      </c>
    </row>
    <row r="463" ht="25" customHeight="1" spans="1:13">
      <c r="A463" s="9" t="s">
        <v>348</v>
      </c>
      <c r="B463" s="9" t="s">
        <v>347</v>
      </c>
      <c r="C463" s="9" t="s">
        <v>1045</v>
      </c>
      <c r="D463" s="10">
        <v>45688</v>
      </c>
      <c r="E463" s="10">
        <v>45716</v>
      </c>
      <c r="F463" s="10">
        <f>净值原始!C3070</f>
        <v>45684</v>
      </c>
      <c r="G463" s="10">
        <f>净值原始!C3088</f>
        <v>45716</v>
      </c>
      <c r="H463" s="15">
        <f>净值原始!F3070</f>
        <v>1.0097</v>
      </c>
      <c r="I463" s="15">
        <f>净值原始!F3088</f>
        <v>1.0114</v>
      </c>
      <c r="J463" s="11">
        <f t="shared" si="21"/>
        <v>0.00168366841636125</v>
      </c>
      <c r="K463" s="9">
        <f>IF(COUNT(F463:I463)&lt;&gt;4,0,IF(AND(G463&gt;F463,H463&gt;0,I463&gt;0,L463&lt;='Sheet1-指标体系'!$J$31,M463&lt;='Sheet1-指标体系'!$J$31),1,0))</f>
        <v>1</v>
      </c>
      <c r="L463" s="9">
        <f t="shared" si="22"/>
        <v>4</v>
      </c>
      <c r="M463" s="9">
        <f t="shared" si="23"/>
        <v>0</v>
      </c>
    </row>
    <row r="464" ht="25" customHeight="1" spans="1:13">
      <c r="A464" s="9" t="s">
        <v>348</v>
      </c>
      <c r="B464" s="9" t="s">
        <v>347</v>
      </c>
      <c r="C464" s="9" t="s">
        <v>1046</v>
      </c>
      <c r="D464" s="10">
        <v>45716</v>
      </c>
      <c r="E464" s="10">
        <v>45747</v>
      </c>
      <c r="F464" s="10">
        <f>净值原始!C3088</f>
        <v>45716</v>
      </c>
      <c r="G464" s="10">
        <f>净值原始!C3109</f>
        <v>45747</v>
      </c>
      <c r="H464" s="15">
        <f>净值原始!F3088</f>
        <v>1.0114</v>
      </c>
      <c r="I464" s="15">
        <f>净值原始!F3109</f>
        <v>1.018</v>
      </c>
      <c r="J464" s="11">
        <f t="shared" si="21"/>
        <v>0.00652560806802449</v>
      </c>
      <c r="K464" s="9">
        <f>IF(COUNT(F464:I464)&lt;&gt;4,0,IF(AND(G464&gt;F464,H464&gt;0,I464&gt;0,L464&lt;='Sheet1-指标体系'!$J$31,M464&lt;='Sheet1-指标体系'!$J$31),1,0))</f>
        <v>1</v>
      </c>
      <c r="L464" s="9">
        <f t="shared" si="22"/>
        <v>0</v>
      </c>
      <c r="M464" s="9">
        <f t="shared" si="23"/>
        <v>0</v>
      </c>
    </row>
    <row r="465" ht="25" customHeight="1" spans="1:13">
      <c r="A465" s="9" t="s">
        <v>348</v>
      </c>
      <c r="B465" s="9" t="s">
        <v>347</v>
      </c>
      <c r="C465" s="9" t="s">
        <v>1047</v>
      </c>
      <c r="D465" s="10">
        <v>45747</v>
      </c>
      <c r="E465" s="10">
        <v>45777</v>
      </c>
      <c r="F465" s="10">
        <f>净值原始!C3109</f>
        <v>45747</v>
      </c>
      <c r="G465" s="10">
        <f>净值原始!C3130</f>
        <v>45777</v>
      </c>
      <c r="H465" s="15">
        <f>净值原始!F3109</f>
        <v>1.018</v>
      </c>
      <c r="I465" s="15">
        <f>净值原始!F3130</f>
        <v>1.0538</v>
      </c>
      <c r="J465" s="11">
        <f t="shared" si="21"/>
        <v>0.0351669941060904</v>
      </c>
      <c r="K465" s="9">
        <f>IF(COUNT(F465:I465)&lt;&gt;4,0,IF(AND(G465&gt;F465,H465&gt;0,I465&gt;0,L465&lt;='Sheet1-指标体系'!$J$31,M465&lt;='Sheet1-指标体系'!$J$31),1,0))</f>
        <v>1</v>
      </c>
      <c r="L465" s="9">
        <f t="shared" si="22"/>
        <v>0</v>
      </c>
      <c r="M465" s="9">
        <f t="shared" si="23"/>
        <v>0</v>
      </c>
    </row>
    <row r="466" ht="25" customHeight="1" spans="1:13">
      <c r="A466" s="9" t="s">
        <v>348</v>
      </c>
      <c r="B466" s="9" t="s">
        <v>347</v>
      </c>
      <c r="C466" s="9" t="s">
        <v>1048</v>
      </c>
      <c r="D466" s="10">
        <v>45777</v>
      </c>
      <c r="E466" s="10">
        <v>45808</v>
      </c>
      <c r="F466" s="10">
        <f>净值原始!C3130</f>
        <v>45777</v>
      </c>
      <c r="G466" s="10">
        <f>净值原始!C3149</f>
        <v>45807</v>
      </c>
      <c r="H466" s="15">
        <f>净值原始!F3130</f>
        <v>1.0538</v>
      </c>
      <c r="I466" s="15">
        <f>净值原始!F3149</f>
        <v>1.0644</v>
      </c>
      <c r="J466" s="11">
        <f t="shared" si="21"/>
        <v>0.0100588346934902</v>
      </c>
      <c r="K466" s="9">
        <f>IF(COUNT(F466:I466)&lt;&gt;4,0,IF(AND(G466&gt;F466,H466&gt;0,I466&gt;0,L466&lt;='Sheet1-指标体系'!$J$31,M466&lt;='Sheet1-指标体系'!$J$31),1,0))</f>
        <v>1</v>
      </c>
      <c r="L466" s="9">
        <f t="shared" si="22"/>
        <v>0</v>
      </c>
      <c r="M466" s="9">
        <f t="shared" si="23"/>
        <v>1</v>
      </c>
    </row>
    <row r="467" ht="25" customHeight="1" spans="1:13">
      <c r="A467" s="9" t="s">
        <v>348</v>
      </c>
      <c r="B467" s="9" t="s">
        <v>347</v>
      </c>
      <c r="C467" s="9" t="s">
        <v>1049</v>
      </c>
      <c r="D467" s="10">
        <v>45808</v>
      </c>
      <c r="E467" s="10">
        <v>45838</v>
      </c>
      <c r="F467" s="10">
        <f>净值原始!C3149</f>
        <v>45807</v>
      </c>
      <c r="G467" s="10">
        <f>净值原始!C3169</f>
        <v>45838</v>
      </c>
      <c r="H467" s="15">
        <f>净值原始!F3149</f>
        <v>1.0644</v>
      </c>
      <c r="I467" s="15">
        <f>净值原始!F3169</f>
        <v>1.0671</v>
      </c>
      <c r="J467" s="11">
        <f t="shared" si="21"/>
        <v>0.00253664036076651</v>
      </c>
      <c r="K467" s="9">
        <f>IF(COUNT(F467:I467)&lt;&gt;4,0,IF(AND(G467&gt;F467,H467&gt;0,I467&gt;0,L467&lt;='Sheet1-指标体系'!$J$31,M467&lt;='Sheet1-指标体系'!$J$31),1,0))</f>
        <v>1</v>
      </c>
      <c r="L467" s="9">
        <f t="shared" si="22"/>
        <v>1</v>
      </c>
      <c r="M467" s="9">
        <f t="shared" si="23"/>
        <v>0</v>
      </c>
    </row>
    <row r="468" ht="25" customHeight="1" spans="1:13">
      <c r="A468" s="9" t="s">
        <v>348</v>
      </c>
      <c r="B468" s="9" t="s">
        <v>347</v>
      </c>
      <c r="C468" s="9" t="s">
        <v>1050</v>
      </c>
      <c r="D468" s="10">
        <v>45838</v>
      </c>
      <c r="E468" s="10">
        <v>45869</v>
      </c>
      <c r="F468" s="10">
        <f>净值原始!C3169</f>
        <v>45838</v>
      </c>
      <c r="G468" s="10">
        <f>净值原始!C3181</f>
        <v>45863</v>
      </c>
      <c r="H468" s="15">
        <f>净值原始!F3169</f>
        <v>1.0671</v>
      </c>
      <c r="I468" s="15">
        <f>净值原始!F3181</f>
        <v>1.0669</v>
      </c>
      <c r="J468" s="11">
        <f t="shared" si="21"/>
        <v>-0.000187423859057234</v>
      </c>
      <c r="K468" s="9">
        <f>IF(COUNT(F468:I468)&lt;&gt;4,0,IF(AND(G468&gt;F468,H468&gt;0,I468&gt;0,L468&lt;='Sheet1-指标体系'!$J$31,M468&lt;='Sheet1-指标体系'!$J$31),1,0))</f>
        <v>1</v>
      </c>
      <c r="L468" s="9">
        <f t="shared" si="22"/>
        <v>0</v>
      </c>
      <c r="M468" s="9">
        <f t="shared" si="23"/>
        <v>6</v>
      </c>
    </row>
    <row r="469" ht="25" customHeight="1" spans="1:13">
      <c r="A469" s="9" t="s">
        <v>348</v>
      </c>
      <c r="B469" s="9" t="s">
        <v>347</v>
      </c>
      <c r="C469" s="9" t="s">
        <v>1051</v>
      </c>
      <c r="D469" s="10">
        <v>45869</v>
      </c>
      <c r="E469" s="10">
        <v>45900</v>
      </c>
      <c r="F469" s="10">
        <f>净值原始!C3181</f>
        <v>45863</v>
      </c>
      <c r="G469" s="10">
        <f>净值原始!C3186</f>
        <v>45898</v>
      </c>
      <c r="H469" s="15">
        <f>净值原始!F3181</f>
        <v>1.0669</v>
      </c>
      <c r="I469" s="15">
        <f>净值原始!F3186</f>
        <v>1.0695</v>
      </c>
      <c r="J469" s="11">
        <f t="shared" si="21"/>
        <v>0.0024369669134876</v>
      </c>
      <c r="K469" s="9">
        <f>IF(COUNT(F469:I469)&lt;&gt;4,0,IF(AND(G469&gt;F469,H469&gt;0,I469&gt;0,L469&lt;='Sheet1-指标体系'!$J$31,M469&lt;='Sheet1-指标体系'!$J$31),1,0))</f>
        <v>1</v>
      </c>
      <c r="L469" s="9">
        <f t="shared" si="22"/>
        <v>6</v>
      </c>
      <c r="M469" s="9">
        <f t="shared" si="23"/>
        <v>2</v>
      </c>
    </row>
    <row r="470" ht="25" customHeight="1" spans="1:13">
      <c r="A470" s="9" t="s">
        <v>348</v>
      </c>
      <c r="B470" s="9" t="s">
        <v>347</v>
      </c>
      <c r="C470" s="9" t="s">
        <v>1052</v>
      </c>
      <c r="D470" s="10">
        <v>45900</v>
      </c>
      <c r="E470" s="10">
        <v>45930</v>
      </c>
      <c r="F470" s="10">
        <f>净值原始!C3186</f>
        <v>45898</v>
      </c>
      <c r="G470" s="10">
        <f>净值原始!C3191</f>
        <v>45930</v>
      </c>
      <c r="H470" s="15">
        <f>净值原始!F3186</f>
        <v>1.0695</v>
      </c>
      <c r="I470" s="15">
        <f>净值原始!F3191</f>
        <v>1.0708</v>
      </c>
      <c r="J470" s="11">
        <f t="shared" si="21"/>
        <v>0.00121552127162228</v>
      </c>
      <c r="K470" s="9">
        <f>IF(COUNT(F470:I470)&lt;&gt;4,0,IF(AND(G470&gt;F470,H470&gt;0,I470&gt;0,L470&lt;='Sheet1-指标体系'!$J$31,M470&lt;='Sheet1-指标体系'!$J$31),1,0))</f>
        <v>1</v>
      </c>
      <c r="L470" s="9">
        <f t="shared" si="22"/>
        <v>2</v>
      </c>
      <c r="M470" s="9">
        <f t="shared" si="23"/>
        <v>0</v>
      </c>
    </row>
    <row r="471" ht="25" customHeight="1" spans="1:13">
      <c r="A471" s="9" t="s">
        <v>348</v>
      </c>
      <c r="B471" s="9" t="s">
        <v>347</v>
      </c>
      <c r="C471" s="9" t="s">
        <v>1053</v>
      </c>
      <c r="D471" s="10">
        <v>45930</v>
      </c>
      <c r="E471" s="10">
        <v>45961</v>
      </c>
      <c r="F471" s="10">
        <f>净值原始!C3191</f>
        <v>45930</v>
      </c>
      <c r="G471" s="10">
        <f>净值原始!C3195</f>
        <v>45961</v>
      </c>
      <c r="H471" s="15">
        <f>净值原始!F3191</f>
        <v>1.0708</v>
      </c>
      <c r="I471" s="15">
        <f>净值原始!F3195</f>
        <v>1.09</v>
      </c>
      <c r="J471" s="11">
        <f t="shared" si="21"/>
        <v>0.0179305192379531</v>
      </c>
      <c r="K471" s="9">
        <f>IF(COUNT(F471:I471)&lt;&gt;4,0,IF(AND(G471&gt;F471,H471&gt;0,I471&gt;0,L471&lt;='Sheet1-指标体系'!$J$31,M471&lt;='Sheet1-指标体系'!$J$31),1,0))</f>
        <v>1</v>
      </c>
      <c r="L471" s="9">
        <f t="shared" si="22"/>
        <v>0</v>
      </c>
      <c r="M471" s="9">
        <f t="shared" si="23"/>
        <v>0</v>
      </c>
    </row>
    <row r="472" ht="25" customHeight="1" spans="1:13">
      <c r="A472" s="9" t="s">
        <v>348</v>
      </c>
      <c r="B472" s="9" t="s">
        <v>347</v>
      </c>
      <c r="C472" s="9" t="s">
        <v>1054</v>
      </c>
      <c r="D472" s="10">
        <v>45961</v>
      </c>
      <c r="E472" s="10">
        <v>45991</v>
      </c>
      <c r="F472" s="10">
        <f>净值原始!C3195</f>
        <v>45961</v>
      </c>
      <c r="G472" s="10">
        <f>净值原始!C3199</f>
        <v>45989</v>
      </c>
      <c r="H472" s="15">
        <f>净值原始!F3195</f>
        <v>1.09</v>
      </c>
      <c r="I472" s="15">
        <f>净值原始!F3199</f>
        <v>1.1033</v>
      </c>
      <c r="J472" s="11">
        <f t="shared" si="21"/>
        <v>0.0122018348623851</v>
      </c>
      <c r="K472" s="9">
        <f>IF(COUNT(F472:I472)&lt;&gt;4,0,IF(AND(G472&gt;F472,H472&gt;0,I472&gt;0,L472&lt;='Sheet1-指标体系'!$J$31,M472&lt;='Sheet1-指标体系'!$J$31),1,0))</f>
        <v>1</v>
      </c>
      <c r="L472" s="9">
        <f t="shared" si="22"/>
        <v>0</v>
      </c>
      <c r="M472" s="9">
        <f t="shared" si="23"/>
        <v>2</v>
      </c>
    </row>
    <row r="473" ht="25" customHeight="1" spans="1:13">
      <c r="A473" s="9" t="s">
        <v>348</v>
      </c>
      <c r="B473" s="9" t="s">
        <v>347</v>
      </c>
      <c r="C473" s="9" t="s">
        <v>1055</v>
      </c>
      <c r="D473" s="10">
        <v>45991</v>
      </c>
      <c r="E473" s="10">
        <v>46022</v>
      </c>
      <c r="F473" s="10">
        <f>净值原始!C3199</f>
        <v>45989</v>
      </c>
      <c r="G473" s="10">
        <f>净值原始!C3204</f>
        <v>46022</v>
      </c>
      <c r="H473" s="15">
        <f>净值原始!F3199</f>
        <v>1.1033</v>
      </c>
      <c r="I473" s="15">
        <f>净值原始!F3204</f>
        <v>1.1168</v>
      </c>
      <c r="J473" s="11">
        <f t="shared" si="21"/>
        <v>0.0122360192150821</v>
      </c>
      <c r="K473" s="9">
        <f>IF(COUNT(F473:I473)&lt;&gt;4,0,IF(AND(G473&gt;F473,H473&gt;0,I473&gt;0,L473&lt;='Sheet1-指标体系'!$J$31,M473&lt;='Sheet1-指标体系'!$J$31),1,0))</f>
        <v>1</v>
      </c>
      <c r="L473" s="9">
        <f t="shared" si="22"/>
        <v>2</v>
      </c>
      <c r="M473" s="9">
        <f t="shared" si="23"/>
        <v>0</v>
      </c>
    </row>
    <row r="474" ht="25" customHeight="1" spans="1:13">
      <c r="A474" s="9" t="s">
        <v>348</v>
      </c>
      <c r="B474" s="9" t="s">
        <v>347</v>
      </c>
      <c r="C474" s="9" t="s">
        <v>1056</v>
      </c>
      <c r="D474" s="10">
        <v>46022</v>
      </c>
      <c r="E474" s="10">
        <v>46053</v>
      </c>
      <c r="F474" s="10">
        <f>净值原始!C3204</f>
        <v>46022</v>
      </c>
      <c r="G474" s="10">
        <f>净值原始!C3208</f>
        <v>46052</v>
      </c>
      <c r="H474" s="15">
        <f>净值原始!F3204</f>
        <v>1.1168</v>
      </c>
      <c r="I474" s="15">
        <f>净值原始!F3208</f>
        <v>1.1583</v>
      </c>
      <c r="J474" s="11">
        <f t="shared" si="21"/>
        <v>0.037159742120344</v>
      </c>
      <c r="K474" s="9">
        <f>IF(COUNT(F474:I474)&lt;&gt;4,0,IF(AND(G474&gt;F474,H474&gt;0,I474&gt;0,L474&lt;='Sheet1-指标体系'!$J$31,M474&lt;='Sheet1-指标体系'!$J$31),1,0))</f>
        <v>1</v>
      </c>
      <c r="L474" s="9">
        <f t="shared" si="22"/>
        <v>0</v>
      </c>
      <c r="M474" s="9">
        <f t="shared" si="23"/>
        <v>1</v>
      </c>
    </row>
    <row r="475" ht="25" customHeight="1" spans="1:13">
      <c r="A475" s="9" t="s">
        <v>348</v>
      </c>
      <c r="B475" s="9" t="s">
        <v>347</v>
      </c>
      <c r="C475" s="9" t="s">
        <v>1057</v>
      </c>
      <c r="D475" s="10">
        <v>46053</v>
      </c>
      <c r="E475" s="10">
        <v>46081</v>
      </c>
      <c r="F475" s="10">
        <f>净值原始!C3208</f>
        <v>46052</v>
      </c>
      <c r="G475" s="10">
        <f>净值原始!C3211</f>
        <v>46080</v>
      </c>
      <c r="H475" s="15">
        <f>净值原始!F3208</f>
        <v>1.1583</v>
      </c>
      <c r="I475" s="15">
        <f>净值原始!F3211</f>
        <v>1.1818</v>
      </c>
      <c r="J475" s="11">
        <f t="shared" si="21"/>
        <v>0.0202883536216869</v>
      </c>
      <c r="K475" s="9">
        <f>IF(COUNT(F475:I475)&lt;&gt;4,0,IF(AND(G475&gt;F475,H475&gt;0,I475&gt;0,L475&lt;='Sheet1-指标体系'!$J$31,M475&lt;='Sheet1-指标体系'!$J$31),1,0))</f>
        <v>1</v>
      </c>
      <c r="L475" s="9">
        <f t="shared" si="22"/>
        <v>1</v>
      </c>
      <c r="M475" s="9">
        <f t="shared" si="23"/>
        <v>1</v>
      </c>
    </row>
    <row r="476" ht="25" customHeight="1" spans="1:13">
      <c r="A476" s="9" t="s">
        <v>348</v>
      </c>
      <c r="B476" s="9" t="s">
        <v>347</v>
      </c>
      <c r="C476" s="9" t="s">
        <v>1058</v>
      </c>
      <c r="D476" s="10">
        <v>46081</v>
      </c>
      <c r="E476" s="10">
        <v>46112</v>
      </c>
      <c r="F476" s="10">
        <f>净值原始!C3211</f>
        <v>46080</v>
      </c>
      <c r="G476" s="10">
        <f>净值原始!C3215</f>
        <v>46108</v>
      </c>
      <c r="H476" s="15">
        <f>净值原始!F3211</f>
        <v>1.1818</v>
      </c>
      <c r="I476" s="15">
        <f>净值原始!F3215</f>
        <v>1.1989</v>
      </c>
      <c r="J476" s="11">
        <f t="shared" si="21"/>
        <v>0.014469453376206</v>
      </c>
      <c r="K476" s="9">
        <f>IF(COUNT(F476:I476)&lt;&gt;4,0,IF(AND(G476&gt;F476,H476&gt;0,I476&gt;0,L476&lt;='Sheet1-指标体系'!$J$31,M476&lt;='Sheet1-指标体系'!$J$31),1,0))</f>
        <v>1</v>
      </c>
      <c r="L476" s="9">
        <f t="shared" si="22"/>
        <v>1</v>
      </c>
      <c r="M476" s="9">
        <f t="shared" si="23"/>
        <v>4</v>
      </c>
    </row>
    <row r="477" ht="25" customHeight="1" spans="1:13">
      <c r="A477" s="9" t="s">
        <v>348</v>
      </c>
      <c r="B477" s="9" t="s">
        <v>347</v>
      </c>
      <c r="C477" s="9" t="s">
        <v>1059</v>
      </c>
      <c r="D477" s="10">
        <v>46112</v>
      </c>
      <c r="E477" s="10">
        <v>46142</v>
      </c>
      <c r="F477" s="10">
        <f>净值原始!C3215</f>
        <v>46108</v>
      </c>
      <c r="G477" s="10">
        <f>净值原始!C3220</f>
        <v>46142</v>
      </c>
      <c r="H477" s="15">
        <f>净值原始!F3215</f>
        <v>1.1989</v>
      </c>
      <c r="I477" s="15">
        <f>净值原始!F3220</f>
        <v>1.1985</v>
      </c>
      <c r="J477" s="11">
        <f t="shared" si="21"/>
        <v>-0.000333639169238564</v>
      </c>
      <c r="K477" s="9">
        <f>IF(COUNT(F477:I477)&lt;&gt;4,0,IF(AND(G477&gt;F477,H477&gt;0,I477&gt;0,L477&lt;='Sheet1-指标体系'!$J$31,M477&lt;='Sheet1-指标体系'!$J$31),1,0))</f>
        <v>1</v>
      </c>
      <c r="L477" s="9">
        <f t="shared" si="22"/>
        <v>4</v>
      </c>
      <c r="M477" s="9">
        <f t="shared" si="23"/>
        <v>0</v>
      </c>
    </row>
    <row r="478" ht="25" customHeight="1" spans="1:13">
      <c r="A478" s="9" t="s">
        <v>348</v>
      </c>
      <c r="B478" s="9" t="s">
        <v>347</v>
      </c>
      <c r="C478" s="9" t="s">
        <v>1060</v>
      </c>
      <c r="D478" s="10">
        <v>46142</v>
      </c>
      <c r="E478" s="10">
        <v>46173</v>
      </c>
      <c r="F478" s="10">
        <f>净值原始!C3220</f>
        <v>46142</v>
      </c>
      <c r="G478" s="10">
        <f>净值原始!C3224</f>
        <v>46171</v>
      </c>
      <c r="H478" s="15">
        <f>净值原始!F3220</f>
        <v>1.1985</v>
      </c>
      <c r="I478" s="15">
        <f>净值原始!F3224</f>
        <v>1.1974</v>
      </c>
      <c r="J478" s="11">
        <f t="shared" si="21"/>
        <v>-0.000917813934084188</v>
      </c>
      <c r="K478" s="9">
        <f>IF(COUNT(F478:I478)&lt;&gt;4,0,IF(AND(G478&gt;F478,H478&gt;0,I478&gt;0,L478&lt;='Sheet1-指标体系'!$J$31,M478&lt;='Sheet1-指标体系'!$J$31),1,0))</f>
        <v>1</v>
      </c>
      <c r="L478" s="9">
        <f t="shared" si="22"/>
        <v>0</v>
      </c>
      <c r="M478" s="9">
        <f t="shared" si="23"/>
        <v>2</v>
      </c>
    </row>
    <row r="479" ht="25" customHeight="1" spans="1:13">
      <c r="A479" s="9" t="s">
        <v>348</v>
      </c>
      <c r="B479" s="9" t="s">
        <v>347</v>
      </c>
      <c r="C479" s="9" t="s">
        <v>1061</v>
      </c>
      <c r="D479" s="10">
        <v>46173</v>
      </c>
      <c r="E479" s="10">
        <v>46203</v>
      </c>
      <c r="F479" s="10">
        <f>净值原始!C3224</f>
        <v>46171</v>
      </c>
      <c r="G479" s="10">
        <f>净值原始!C3228</f>
        <v>46199</v>
      </c>
      <c r="H479" s="15">
        <f>净值原始!F3224</f>
        <v>1.1974</v>
      </c>
      <c r="I479" s="15">
        <f>净值原始!F3228</f>
        <v>1.1962</v>
      </c>
      <c r="J479" s="11">
        <f t="shared" si="21"/>
        <v>-0.00100217137130454</v>
      </c>
      <c r="K479" s="9">
        <f>IF(COUNT(F479:I479)&lt;&gt;4,0,IF(AND(G479&gt;F479,H479&gt;0,I479&gt;0,L479&lt;='Sheet1-指标体系'!$J$31,M479&lt;='Sheet1-指标体系'!$J$31),1,0))</f>
        <v>1</v>
      </c>
      <c r="L479" s="9">
        <f t="shared" si="22"/>
        <v>2</v>
      </c>
      <c r="M479" s="9">
        <f t="shared" si="23"/>
        <v>4</v>
      </c>
    </row>
    <row r="480" ht="25" customHeight="1" spans="1:13">
      <c r="A480" s="9" t="s">
        <v>348</v>
      </c>
      <c r="B480" s="9" t="s">
        <v>347</v>
      </c>
      <c r="C480" s="9" t="s">
        <v>1062</v>
      </c>
      <c r="D480" s="10">
        <v>46203</v>
      </c>
      <c r="E480" s="10">
        <v>46234</v>
      </c>
      <c r="F480" s="10">
        <f>净值原始!C3228</f>
        <v>46199</v>
      </c>
      <c r="G480" s="10">
        <f>净值原始!C3233</f>
        <v>46234</v>
      </c>
      <c r="H480" s="15">
        <f>净值原始!F3228</f>
        <v>1.1962</v>
      </c>
      <c r="I480" s="15">
        <f>净值原始!F3233</f>
        <v>1.1948</v>
      </c>
      <c r="J480" s="11">
        <f t="shared" si="21"/>
        <v>-0.00117037284734978</v>
      </c>
      <c r="K480" s="9">
        <f>IF(COUNT(F480:I480)&lt;&gt;4,0,IF(AND(G480&gt;F480,H480&gt;0,I480&gt;0,L480&lt;='Sheet1-指标体系'!$J$31,M480&lt;='Sheet1-指标体系'!$J$31),1,0))</f>
        <v>1</v>
      </c>
      <c r="L480" s="9">
        <f t="shared" si="22"/>
        <v>4</v>
      </c>
      <c r="M480" s="9">
        <f t="shared" si="23"/>
        <v>0</v>
      </c>
    </row>
    <row r="481" ht="25" customHeight="1" spans="1:13">
      <c r="A481" s="9" t="s">
        <v>348</v>
      </c>
      <c r="B481" s="9" t="s">
        <v>347</v>
      </c>
      <c r="C481" s="9" t="s">
        <v>1063</v>
      </c>
      <c r="D481" s="10">
        <v>46234</v>
      </c>
      <c r="E481" s="10">
        <v>46265</v>
      </c>
      <c r="F481" s="10">
        <f>净值原始!C3233</f>
        <v>46234</v>
      </c>
      <c r="G481" s="10">
        <f>净值原始!C3237</f>
        <v>46262</v>
      </c>
      <c r="H481" s="15">
        <f>净值原始!F3233</f>
        <v>1.1948</v>
      </c>
      <c r="I481" s="15">
        <f>净值原始!F3237</f>
        <v>1.1926</v>
      </c>
      <c r="J481" s="11">
        <f t="shared" si="21"/>
        <v>-0.00184131235353191</v>
      </c>
      <c r="K481" s="9">
        <f>IF(COUNT(F481:I481)&lt;&gt;4,0,IF(AND(G481&gt;F481,H481&gt;0,I481&gt;0,L481&lt;='Sheet1-指标体系'!$J$31,M481&lt;='Sheet1-指标体系'!$J$31),1,0))</f>
        <v>1</v>
      </c>
      <c r="L481" s="9">
        <f t="shared" si="22"/>
        <v>0</v>
      </c>
      <c r="M481" s="9">
        <f t="shared" si="23"/>
        <v>3</v>
      </c>
    </row>
    <row r="482" ht="25" customHeight="1" spans="1:13">
      <c r="A482" s="9" t="s">
        <v>348</v>
      </c>
      <c r="B482" s="9" t="s">
        <v>347</v>
      </c>
      <c r="C482" s="9" t="s">
        <v>1064</v>
      </c>
      <c r="D482" s="10">
        <v>46265</v>
      </c>
      <c r="E482" s="10">
        <v>46269</v>
      </c>
      <c r="F482" s="10">
        <f>净值原始!C3237</f>
        <v>46262</v>
      </c>
      <c r="G482" s="10">
        <f>净值原始!C3238</f>
        <v>46269</v>
      </c>
      <c r="H482" s="15">
        <f>净值原始!F3237</f>
        <v>1.1926</v>
      </c>
      <c r="I482" s="15">
        <f>净值原始!F3238</f>
        <v>1.1932</v>
      </c>
      <c r="J482" s="11">
        <f t="shared" si="21"/>
        <v>0.000503102465202021</v>
      </c>
      <c r="K482" s="9">
        <f>IF(COUNT(F482:I482)&lt;&gt;4,0,IF(AND(G482&gt;F482,H482&gt;0,I482&gt;0,L482&lt;='Sheet1-指标体系'!$J$31,M482&lt;='Sheet1-指标体系'!$J$31),1,0))</f>
        <v>1</v>
      </c>
      <c r="L482" s="9">
        <f t="shared" si="22"/>
        <v>3</v>
      </c>
      <c r="M482" s="9">
        <f t="shared" si="23"/>
        <v>0</v>
      </c>
    </row>
    <row r="483" ht="25" customHeight="1" spans="1:13">
      <c r="A483" s="9" t="s">
        <v>327</v>
      </c>
      <c r="B483" s="9" t="s">
        <v>326</v>
      </c>
      <c r="C483" s="9" t="s">
        <v>1028</v>
      </c>
      <c r="D483" s="10">
        <v>45169</v>
      </c>
      <c r="E483" s="10">
        <v>45199</v>
      </c>
      <c r="F483" s="10">
        <f>净值原始!C4355</f>
        <v>45169</v>
      </c>
      <c r="G483" s="10">
        <f>净值原始!C4375</f>
        <v>45197</v>
      </c>
      <c r="H483" s="15">
        <f>净值原始!F4355</f>
        <v>1.7407</v>
      </c>
      <c r="I483" s="15">
        <f>净值原始!F4375</f>
        <v>1.7506</v>
      </c>
      <c r="J483" s="11">
        <f t="shared" si="21"/>
        <v>0.00568736715114615</v>
      </c>
      <c r="K483" s="9">
        <f>IF(COUNT(F483:I483)&lt;&gt;4,0,IF(AND(G483&gt;F483,H483&gt;0,I483&gt;0,L483&lt;='Sheet1-指标体系'!$J$31,M483&lt;='Sheet1-指标体系'!$J$31),1,0))</f>
        <v>1</v>
      </c>
      <c r="L483" s="9">
        <f t="shared" si="22"/>
        <v>0</v>
      </c>
      <c r="M483" s="9">
        <f t="shared" si="23"/>
        <v>2</v>
      </c>
    </row>
    <row r="484" ht="25" customHeight="1" spans="1:13">
      <c r="A484" s="9" t="s">
        <v>327</v>
      </c>
      <c r="B484" s="9" t="s">
        <v>326</v>
      </c>
      <c r="C484" s="9" t="s">
        <v>1029</v>
      </c>
      <c r="D484" s="10">
        <v>45199</v>
      </c>
      <c r="E484" s="10">
        <v>45230</v>
      </c>
      <c r="F484" s="10">
        <f>净值原始!C4375</f>
        <v>45197</v>
      </c>
      <c r="G484" s="10">
        <f>净值原始!C4392</f>
        <v>45230</v>
      </c>
      <c r="H484" s="15">
        <f>净值原始!F4375</f>
        <v>1.7506</v>
      </c>
      <c r="I484" s="15">
        <f>净值原始!F4392</f>
        <v>1.7548</v>
      </c>
      <c r="J484" s="11">
        <f t="shared" si="21"/>
        <v>0.00239917742488283</v>
      </c>
      <c r="K484" s="9">
        <f>IF(COUNT(F484:I484)&lt;&gt;4,0,IF(AND(G484&gt;F484,H484&gt;0,I484&gt;0,L484&lt;='Sheet1-指标体系'!$J$31,M484&lt;='Sheet1-指标体系'!$J$31),1,0))</f>
        <v>1</v>
      </c>
      <c r="L484" s="9">
        <f t="shared" si="22"/>
        <v>2</v>
      </c>
      <c r="M484" s="9">
        <f t="shared" si="23"/>
        <v>0</v>
      </c>
    </row>
    <row r="485" ht="25" customHeight="1" spans="1:13">
      <c r="A485" s="9" t="s">
        <v>327</v>
      </c>
      <c r="B485" s="9" t="s">
        <v>326</v>
      </c>
      <c r="C485" s="9" t="s">
        <v>1030</v>
      </c>
      <c r="D485" s="10">
        <v>45230</v>
      </c>
      <c r="E485" s="10">
        <v>45260</v>
      </c>
      <c r="F485" s="10">
        <f>净值原始!C4392</f>
        <v>45230</v>
      </c>
      <c r="G485" s="10">
        <f>净值原始!C4414</f>
        <v>45260</v>
      </c>
      <c r="H485" s="15">
        <f>净值原始!F4392</f>
        <v>1.7548</v>
      </c>
      <c r="I485" s="15">
        <f>净值原始!F4414</f>
        <v>1.7601</v>
      </c>
      <c r="J485" s="11">
        <f t="shared" si="21"/>
        <v>0.00302028721221803</v>
      </c>
      <c r="K485" s="9">
        <f>IF(COUNT(F485:I485)&lt;&gt;4,0,IF(AND(G485&gt;F485,H485&gt;0,I485&gt;0,L485&lt;='Sheet1-指标体系'!$J$31,M485&lt;='Sheet1-指标体系'!$J$31),1,0))</f>
        <v>1</v>
      </c>
      <c r="L485" s="9">
        <f t="shared" si="22"/>
        <v>0</v>
      </c>
      <c r="M485" s="9">
        <f t="shared" si="23"/>
        <v>0</v>
      </c>
    </row>
    <row r="486" ht="25" customHeight="1" spans="1:13">
      <c r="A486" s="9" t="s">
        <v>327</v>
      </c>
      <c r="B486" s="9" t="s">
        <v>326</v>
      </c>
      <c r="C486" s="9" t="s">
        <v>1031</v>
      </c>
      <c r="D486" s="10">
        <v>45260</v>
      </c>
      <c r="E486" s="10">
        <v>45291</v>
      </c>
      <c r="F486" s="10">
        <f>净值原始!C4414</f>
        <v>45260</v>
      </c>
      <c r="G486" s="10">
        <f>净值原始!C4435</f>
        <v>45289</v>
      </c>
      <c r="H486" s="15">
        <f>净值原始!F4414</f>
        <v>1.7601</v>
      </c>
      <c r="I486" s="15">
        <f>净值原始!F4435</f>
        <v>1.7597</v>
      </c>
      <c r="J486" s="11">
        <f t="shared" si="21"/>
        <v>-0.000227259814783221</v>
      </c>
      <c r="K486" s="9">
        <f>IF(COUNT(F486:I486)&lt;&gt;4,0,IF(AND(G486&gt;F486,H486&gt;0,I486&gt;0,L486&lt;='Sheet1-指标体系'!$J$31,M486&lt;='Sheet1-指标体系'!$J$31),1,0))</f>
        <v>1</v>
      </c>
      <c r="L486" s="9">
        <f t="shared" si="22"/>
        <v>0</v>
      </c>
      <c r="M486" s="9">
        <f t="shared" si="23"/>
        <v>2</v>
      </c>
    </row>
    <row r="487" ht="25" customHeight="1" spans="1:13">
      <c r="A487" s="9" t="s">
        <v>327</v>
      </c>
      <c r="B487" s="9" t="s">
        <v>326</v>
      </c>
      <c r="C487" s="9" t="s">
        <v>1032</v>
      </c>
      <c r="D487" s="10">
        <v>45291</v>
      </c>
      <c r="E487" s="10">
        <v>45322</v>
      </c>
      <c r="F487" s="10">
        <f>净值原始!C4435</f>
        <v>45289</v>
      </c>
      <c r="G487" s="10">
        <f>净值原始!C4457</f>
        <v>45322</v>
      </c>
      <c r="H487" s="15">
        <f>净值原始!F4435</f>
        <v>1.7597</v>
      </c>
      <c r="I487" s="15">
        <f>净值原始!F4457</f>
        <v>1.7767</v>
      </c>
      <c r="J487" s="11">
        <f t="shared" si="21"/>
        <v>0.00966073762573161</v>
      </c>
      <c r="K487" s="9">
        <f>IF(COUNT(F487:I487)&lt;&gt;4,0,IF(AND(G487&gt;F487,H487&gt;0,I487&gt;0,L487&lt;='Sheet1-指标体系'!$J$31,M487&lt;='Sheet1-指标体系'!$J$31),1,0))</f>
        <v>1</v>
      </c>
      <c r="L487" s="9">
        <f t="shared" si="22"/>
        <v>2</v>
      </c>
      <c r="M487" s="9">
        <f t="shared" si="23"/>
        <v>0</v>
      </c>
    </row>
    <row r="488" ht="25" customHeight="1" spans="1:13">
      <c r="A488" s="9" t="s">
        <v>327</v>
      </c>
      <c r="B488" s="9" t="s">
        <v>326</v>
      </c>
      <c r="C488" s="9" t="s">
        <v>1033</v>
      </c>
      <c r="D488" s="10">
        <v>45322</v>
      </c>
      <c r="E488" s="10">
        <v>45351</v>
      </c>
      <c r="F488" s="10">
        <f>净值原始!C4457</f>
        <v>45322</v>
      </c>
      <c r="G488" s="10">
        <f>净值原始!C4472</f>
        <v>45351</v>
      </c>
      <c r="H488" s="15">
        <f>净值原始!F4457</f>
        <v>1.7767</v>
      </c>
      <c r="I488" s="15">
        <f>净值原始!F4472</f>
        <v>1.8116</v>
      </c>
      <c r="J488" s="11">
        <f t="shared" si="21"/>
        <v>0.0196431586649406</v>
      </c>
      <c r="K488" s="9">
        <f>IF(COUNT(F488:I488)&lt;&gt;4,0,IF(AND(G488&gt;F488,H488&gt;0,I488&gt;0,L488&lt;='Sheet1-指标体系'!$J$31,M488&lt;='Sheet1-指标体系'!$J$31),1,0))</f>
        <v>1</v>
      </c>
      <c r="L488" s="9">
        <f t="shared" si="22"/>
        <v>0</v>
      </c>
      <c r="M488" s="9">
        <f t="shared" si="23"/>
        <v>0</v>
      </c>
    </row>
    <row r="489" ht="25" customHeight="1" spans="1:13">
      <c r="A489" s="9" t="s">
        <v>327</v>
      </c>
      <c r="B489" s="9" t="s">
        <v>326</v>
      </c>
      <c r="C489" s="9" t="s">
        <v>1034</v>
      </c>
      <c r="D489" s="10">
        <v>45351</v>
      </c>
      <c r="E489" s="10">
        <v>45382</v>
      </c>
      <c r="F489" s="10">
        <f>净值原始!C4472</f>
        <v>45351</v>
      </c>
      <c r="G489" s="10">
        <f>净值原始!C4493</f>
        <v>45380</v>
      </c>
      <c r="H489" s="15">
        <f>净值原始!F4472</f>
        <v>1.8116</v>
      </c>
      <c r="I489" s="15">
        <f>净值原始!F4493</f>
        <v>1.8284</v>
      </c>
      <c r="J489" s="11">
        <f t="shared" si="21"/>
        <v>0.00927357032457499</v>
      </c>
      <c r="K489" s="9">
        <f>IF(COUNT(F489:I489)&lt;&gt;4,0,IF(AND(G489&gt;F489,H489&gt;0,I489&gt;0,L489&lt;='Sheet1-指标体系'!$J$31,M489&lt;='Sheet1-指标体系'!$J$31),1,0))</f>
        <v>1</v>
      </c>
      <c r="L489" s="9">
        <f t="shared" si="22"/>
        <v>0</v>
      </c>
      <c r="M489" s="9">
        <f t="shared" si="23"/>
        <v>2</v>
      </c>
    </row>
    <row r="490" ht="25" customHeight="1" spans="1:13">
      <c r="A490" s="9" t="s">
        <v>327</v>
      </c>
      <c r="B490" s="9" t="s">
        <v>326</v>
      </c>
      <c r="C490" s="9" t="s">
        <v>1035</v>
      </c>
      <c r="D490" s="10">
        <v>45382</v>
      </c>
      <c r="E490" s="10">
        <v>45412</v>
      </c>
      <c r="F490" s="10">
        <f>净值原始!C4493</f>
        <v>45380</v>
      </c>
      <c r="G490" s="10">
        <f>净值原始!C4513</f>
        <v>45412</v>
      </c>
      <c r="H490" s="15">
        <f>净值原始!F4493</f>
        <v>1.8284</v>
      </c>
      <c r="I490" s="15">
        <f>净值原始!F4513</f>
        <v>1.839</v>
      </c>
      <c r="J490" s="11">
        <f t="shared" si="21"/>
        <v>0.00579741850798499</v>
      </c>
      <c r="K490" s="9">
        <f>IF(COUNT(F490:I490)&lt;&gt;4,0,IF(AND(G490&gt;F490,H490&gt;0,I490&gt;0,L490&lt;='Sheet1-指标体系'!$J$31,M490&lt;='Sheet1-指标体系'!$J$31),1,0))</f>
        <v>1</v>
      </c>
      <c r="L490" s="9">
        <f t="shared" si="22"/>
        <v>2</v>
      </c>
      <c r="M490" s="9">
        <f t="shared" si="23"/>
        <v>0</v>
      </c>
    </row>
    <row r="491" ht="25" customHeight="1" spans="1:13">
      <c r="A491" s="9" t="s">
        <v>327</v>
      </c>
      <c r="B491" s="9" t="s">
        <v>326</v>
      </c>
      <c r="C491" s="9" t="s">
        <v>1036</v>
      </c>
      <c r="D491" s="10">
        <v>45412</v>
      </c>
      <c r="E491" s="10">
        <v>45443</v>
      </c>
      <c r="F491" s="10">
        <f>净值原始!C4513</f>
        <v>45412</v>
      </c>
      <c r="G491" s="10">
        <f>净值原始!C4533</f>
        <v>45443</v>
      </c>
      <c r="H491" s="15">
        <f>净值原始!F4513</f>
        <v>1.839</v>
      </c>
      <c r="I491" s="15">
        <f>净值原始!F4533</f>
        <v>1.8346</v>
      </c>
      <c r="J491" s="11">
        <f t="shared" si="21"/>
        <v>-0.00239260467645452</v>
      </c>
      <c r="K491" s="9">
        <f>IF(COUNT(F491:I491)&lt;&gt;4,0,IF(AND(G491&gt;F491,H491&gt;0,I491&gt;0,L491&lt;='Sheet1-指标体系'!$J$31,M491&lt;='Sheet1-指标体系'!$J$31),1,0))</f>
        <v>1</v>
      </c>
      <c r="L491" s="9">
        <f t="shared" si="22"/>
        <v>0</v>
      </c>
      <c r="M491" s="9">
        <f t="shared" si="23"/>
        <v>0</v>
      </c>
    </row>
    <row r="492" ht="25" customHeight="1" spans="1:13">
      <c r="A492" s="9" t="s">
        <v>327</v>
      </c>
      <c r="B492" s="9" t="s">
        <v>326</v>
      </c>
      <c r="C492" s="9" t="s">
        <v>1037</v>
      </c>
      <c r="D492" s="10">
        <v>45443</v>
      </c>
      <c r="E492" s="10">
        <v>45473</v>
      </c>
      <c r="F492" s="10">
        <f>净值原始!C4533</f>
        <v>45443</v>
      </c>
      <c r="G492" s="10">
        <f>净值原始!C4552</f>
        <v>45471</v>
      </c>
      <c r="H492" s="15">
        <f>净值原始!F4533</f>
        <v>1.8346</v>
      </c>
      <c r="I492" s="15">
        <f>净值原始!F4552</f>
        <v>1.8415</v>
      </c>
      <c r="J492" s="11">
        <f t="shared" si="21"/>
        <v>0.00376103782840942</v>
      </c>
      <c r="K492" s="9">
        <f>IF(COUNT(F492:I492)&lt;&gt;4,0,IF(AND(G492&gt;F492,H492&gt;0,I492&gt;0,L492&lt;='Sheet1-指标体系'!$J$31,M492&lt;='Sheet1-指标体系'!$J$31),1,0))</f>
        <v>1</v>
      </c>
      <c r="L492" s="9">
        <f t="shared" si="22"/>
        <v>0</v>
      </c>
      <c r="M492" s="9">
        <f t="shared" si="23"/>
        <v>2</v>
      </c>
    </row>
    <row r="493" ht="25" customHeight="1" spans="1:13">
      <c r="A493" s="9" t="s">
        <v>327</v>
      </c>
      <c r="B493" s="9" t="s">
        <v>326</v>
      </c>
      <c r="C493" s="9" t="s">
        <v>1038</v>
      </c>
      <c r="D493" s="10">
        <v>45473</v>
      </c>
      <c r="E493" s="10">
        <v>45504</v>
      </c>
      <c r="F493" s="10">
        <f>净值原始!C4552</f>
        <v>45471</v>
      </c>
      <c r="G493" s="10">
        <f>净值原始!C4575</f>
        <v>45504</v>
      </c>
      <c r="H493" s="15">
        <f>净值原始!F4552</f>
        <v>1.8415</v>
      </c>
      <c r="I493" s="15">
        <f>净值原始!F4575</f>
        <v>1.8532</v>
      </c>
      <c r="J493" s="11">
        <f t="shared" si="21"/>
        <v>0.0063535161553081</v>
      </c>
      <c r="K493" s="9">
        <f>IF(COUNT(F493:I493)&lt;&gt;4,0,IF(AND(G493&gt;F493,H493&gt;0,I493&gt;0,L493&lt;='Sheet1-指标体系'!$J$31,M493&lt;='Sheet1-指标体系'!$J$31),1,0))</f>
        <v>1</v>
      </c>
      <c r="L493" s="9">
        <f t="shared" si="22"/>
        <v>2</v>
      </c>
      <c r="M493" s="9">
        <f t="shared" si="23"/>
        <v>0</v>
      </c>
    </row>
    <row r="494" ht="25" customHeight="1" spans="1:13">
      <c r="A494" s="9" t="s">
        <v>327</v>
      </c>
      <c r="B494" s="9" t="s">
        <v>326</v>
      </c>
      <c r="C494" s="9" t="s">
        <v>1039</v>
      </c>
      <c r="D494" s="10">
        <v>45504</v>
      </c>
      <c r="E494" s="10">
        <v>45535</v>
      </c>
      <c r="F494" s="10">
        <f>净值原始!C4575</f>
        <v>45504</v>
      </c>
      <c r="G494" s="10">
        <f>净值原始!C4597</f>
        <v>45534</v>
      </c>
      <c r="H494" s="15">
        <f>净值原始!F4575</f>
        <v>1.8532</v>
      </c>
      <c r="I494" s="15">
        <f>净值原始!F4597</f>
        <v>1.8828</v>
      </c>
      <c r="J494" s="11">
        <f t="shared" si="21"/>
        <v>0.0159723721131018</v>
      </c>
      <c r="K494" s="9">
        <f>IF(COUNT(F494:I494)&lt;&gt;4,0,IF(AND(G494&gt;F494,H494&gt;0,I494&gt;0,L494&lt;='Sheet1-指标体系'!$J$31,M494&lt;='Sheet1-指标体系'!$J$31),1,0))</f>
        <v>1</v>
      </c>
      <c r="L494" s="9">
        <f t="shared" si="22"/>
        <v>0</v>
      </c>
      <c r="M494" s="9">
        <f t="shared" si="23"/>
        <v>1</v>
      </c>
    </row>
    <row r="495" ht="25" customHeight="1" spans="1:13">
      <c r="A495" s="9" t="s">
        <v>327</v>
      </c>
      <c r="B495" s="9" t="s">
        <v>326</v>
      </c>
      <c r="C495" s="9" t="s">
        <v>1040</v>
      </c>
      <c r="D495" s="10">
        <v>45535</v>
      </c>
      <c r="E495" s="10">
        <v>45565</v>
      </c>
      <c r="F495" s="10">
        <f>净值原始!C4597</f>
        <v>45534</v>
      </c>
      <c r="G495" s="10">
        <f>净值原始!C4616</f>
        <v>45565</v>
      </c>
      <c r="H495" s="15">
        <f>净值原始!F4597</f>
        <v>1.8828</v>
      </c>
      <c r="I495" s="15">
        <f>净值原始!F4616</f>
        <v>1.932</v>
      </c>
      <c r="J495" s="11">
        <f t="shared" si="21"/>
        <v>0.0261312938177183</v>
      </c>
      <c r="K495" s="9">
        <f>IF(COUNT(F495:I495)&lt;&gt;4,0,IF(AND(G495&gt;F495,H495&gt;0,I495&gt;0,L495&lt;='Sheet1-指标体系'!$J$31,M495&lt;='Sheet1-指标体系'!$J$31),1,0))</f>
        <v>1</v>
      </c>
      <c r="L495" s="9">
        <f t="shared" si="22"/>
        <v>1</v>
      </c>
      <c r="M495" s="9">
        <f t="shared" si="23"/>
        <v>0</v>
      </c>
    </row>
    <row r="496" ht="25" customHeight="1" spans="1:13">
      <c r="A496" s="9" t="s">
        <v>327</v>
      </c>
      <c r="B496" s="9" t="s">
        <v>326</v>
      </c>
      <c r="C496" s="9" t="s">
        <v>1041</v>
      </c>
      <c r="D496" s="10">
        <v>45565</v>
      </c>
      <c r="E496" s="10">
        <v>45596</v>
      </c>
      <c r="F496" s="10">
        <f>净值原始!C4616</f>
        <v>45565</v>
      </c>
      <c r="G496" s="10">
        <f>净值原始!C4634</f>
        <v>45596</v>
      </c>
      <c r="H496" s="15">
        <f>净值原始!F4616</f>
        <v>1.932</v>
      </c>
      <c r="I496" s="15">
        <f>净值原始!F4634</f>
        <v>2.0557</v>
      </c>
      <c r="J496" s="11">
        <f t="shared" si="21"/>
        <v>0.0640269151138717</v>
      </c>
      <c r="K496" s="9">
        <f>IF(COUNT(F496:I496)&lt;&gt;4,0,IF(AND(G496&gt;F496,H496&gt;0,I496&gt;0,L496&lt;='Sheet1-指标体系'!$J$31,M496&lt;='Sheet1-指标体系'!$J$31),1,0))</f>
        <v>1</v>
      </c>
      <c r="L496" s="9">
        <f t="shared" si="22"/>
        <v>0</v>
      </c>
      <c r="M496" s="9">
        <f t="shared" si="23"/>
        <v>0</v>
      </c>
    </row>
    <row r="497" ht="25" customHeight="1" spans="1:13">
      <c r="A497" s="9" t="s">
        <v>327</v>
      </c>
      <c r="B497" s="9" t="s">
        <v>326</v>
      </c>
      <c r="C497" s="9" t="s">
        <v>1042</v>
      </c>
      <c r="D497" s="10">
        <v>45596</v>
      </c>
      <c r="E497" s="10">
        <v>45626</v>
      </c>
      <c r="F497" s="10">
        <f>净值原始!C4634</f>
        <v>45596</v>
      </c>
      <c r="G497" s="10">
        <f>净值原始!C4655</f>
        <v>45625</v>
      </c>
      <c r="H497" s="15">
        <f>净值原始!F4634</f>
        <v>2.0557</v>
      </c>
      <c r="I497" s="15">
        <f>净值原始!F4655</f>
        <v>2.0881</v>
      </c>
      <c r="J497" s="11">
        <f t="shared" si="21"/>
        <v>0.0157610546285936</v>
      </c>
      <c r="K497" s="9">
        <f>IF(COUNT(F497:I497)&lt;&gt;4,0,IF(AND(G497&gt;F497,H497&gt;0,I497&gt;0,L497&lt;='Sheet1-指标体系'!$J$31,M497&lt;='Sheet1-指标体系'!$J$31),1,0))</f>
        <v>1</v>
      </c>
      <c r="L497" s="9">
        <f t="shared" si="22"/>
        <v>0</v>
      </c>
      <c r="M497" s="9">
        <f t="shared" si="23"/>
        <v>1</v>
      </c>
    </row>
    <row r="498" ht="25" customHeight="1" spans="1:13">
      <c r="A498" s="9" t="s">
        <v>327</v>
      </c>
      <c r="B498" s="9" t="s">
        <v>326</v>
      </c>
      <c r="C498" s="9" t="s">
        <v>1043</v>
      </c>
      <c r="D498" s="10">
        <v>45626</v>
      </c>
      <c r="E498" s="10">
        <v>45657</v>
      </c>
      <c r="F498" s="10">
        <f>净值原始!C4655</f>
        <v>45625</v>
      </c>
      <c r="G498" s="10">
        <f>净值原始!C4677</f>
        <v>45657</v>
      </c>
      <c r="H498" s="15">
        <f>净值原始!F4655</f>
        <v>2.0881</v>
      </c>
      <c r="I498" s="15">
        <f>净值原始!F4677</f>
        <v>2.1038</v>
      </c>
      <c r="J498" s="11">
        <f t="shared" si="21"/>
        <v>0.00751879699248126</v>
      </c>
      <c r="K498" s="9">
        <f>IF(COUNT(F498:I498)&lt;&gt;4,0,IF(AND(G498&gt;F498,H498&gt;0,I498&gt;0,L498&lt;='Sheet1-指标体系'!$J$31,M498&lt;='Sheet1-指标体系'!$J$31),1,0))</f>
        <v>1</v>
      </c>
      <c r="L498" s="9">
        <f t="shared" si="22"/>
        <v>1</v>
      </c>
      <c r="M498" s="9">
        <f t="shared" si="23"/>
        <v>0</v>
      </c>
    </row>
    <row r="499" ht="25" customHeight="1" spans="1:13">
      <c r="A499" s="9" t="s">
        <v>327</v>
      </c>
      <c r="B499" s="9" t="s">
        <v>326</v>
      </c>
      <c r="C499" s="9" t="s">
        <v>1044</v>
      </c>
      <c r="D499" s="10">
        <v>45657</v>
      </c>
      <c r="E499" s="10">
        <v>45688</v>
      </c>
      <c r="F499" s="10">
        <f>净值原始!C4677</f>
        <v>45657</v>
      </c>
      <c r="G499" s="10">
        <f>净值原始!C4695</f>
        <v>45684</v>
      </c>
      <c r="H499" s="15">
        <f>净值原始!F4677</f>
        <v>2.1038</v>
      </c>
      <c r="I499" s="15">
        <f>净值原始!F4695</f>
        <v>2.1143</v>
      </c>
      <c r="J499" s="11">
        <f t="shared" si="21"/>
        <v>0.00499096872326255</v>
      </c>
      <c r="K499" s="9">
        <f>IF(COUNT(F499:I499)&lt;&gt;4,0,IF(AND(G499&gt;F499,H499&gt;0,I499&gt;0,L499&lt;='Sheet1-指标体系'!$J$31,M499&lt;='Sheet1-指标体系'!$J$31),1,0))</f>
        <v>1</v>
      </c>
      <c r="L499" s="9">
        <f t="shared" si="22"/>
        <v>0</v>
      </c>
      <c r="M499" s="9">
        <f t="shared" si="23"/>
        <v>4</v>
      </c>
    </row>
    <row r="500" ht="25" customHeight="1" spans="1:13">
      <c r="A500" s="9" t="s">
        <v>327</v>
      </c>
      <c r="B500" s="9" t="s">
        <v>326</v>
      </c>
      <c r="C500" s="9" t="s">
        <v>1045</v>
      </c>
      <c r="D500" s="10">
        <v>45688</v>
      </c>
      <c r="E500" s="10">
        <v>45716</v>
      </c>
      <c r="F500" s="10">
        <f>净值原始!C4695</f>
        <v>45684</v>
      </c>
      <c r="G500" s="10">
        <f>净值原始!C4713</f>
        <v>45716</v>
      </c>
      <c r="H500" s="15">
        <f>净值原始!F4695</f>
        <v>2.1143</v>
      </c>
      <c r="I500" s="15">
        <f>净值原始!F4713</f>
        <v>2.12</v>
      </c>
      <c r="J500" s="11">
        <f t="shared" si="21"/>
        <v>0.0026959277302181</v>
      </c>
      <c r="K500" s="9">
        <f>IF(COUNT(F500:I500)&lt;&gt;4,0,IF(AND(G500&gt;F500,H500&gt;0,I500&gt;0,L500&lt;='Sheet1-指标体系'!$J$31,M500&lt;='Sheet1-指标体系'!$J$31),1,0))</f>
        <v>1</v>
      </c>
      <c r="L500" s="9">
        <f t="shared" si="22"/>
        <v>4</v>
      </c>
      <c r="M500" s="9">
        <f t="shared" si="23"/>
        <v>0</v>
      </c>
    </row>
    <row r="501" ht="25" customHeight="1" spans="1:13">
      <c r="A501" s="9" t="s">
        <v>327</v>
      </c>
      <c r="B501" s="9" t="s">
        <v>326</v>
      </c>
      <c r="C501" s="9" t="s">
        <v>1046</v>
      </c>
      <c r="D501" s="10">
        <v>45716</v>
      </c>
      <c r="E501" s="10">
        <v>45747</v>
      </c>
      <c r="F501" s="10">
        <f>净值原始!C4713</f>
        <v>45716</v>
      </c>
      <c r="G501" s="10">
        <f>净值原始!C4734</f>
        <v>45747</v>
      </c>
      <c r="H501" s="15">
        <f>净值原始!F4713</f>
        <v>2.12</v>
      </c>
      <c r="I501" s="15">
        <f>净值原始!F4734</f>
        <v>2.1223</v>
      </c>
      <c r="J501" s="11">
        <f t="shared" si="21"/>
        <v>0.00108490566037744</v>
      </c>
      <c r="K501" s="9">
        <f>IF(COUNT(F501:I501)&lt;&gt;4,0,IF(AND(G501&gt;F501,H501&gt;0,I501&gt;0,L501&lt;='Sheet1-指标体系'!$J$31,M501&lt;='Sheet1-指标体系'!$J$31),1,0))</f>
        <v>1</v>
      </c>
      <c r="L501" s="9">
        <f t="shared" si="22"/>
        <v>0</v>
      </c>
      <c r="M501" s="9">
        <f t="shared" si="23"/>
        <v>0</v>
      </c>
    </row>
    <row r="502" ht="25" customHeight="1" spans="1:13">
      <c r="A502" s="9" t="s">
        <v>327</v>
      </c>
      <c r="B502" s="9" t="s">
        <v>326</v>
      </c>
      <c r="C502" s="9" t="s">
        <v>1047</v>
      </c>
      <c r="D502" s="10">
        <v>45747</v>
      </c>
      <c r="E502" s="10">
        <v>45777</v>
      </c>
      <c r="F502" s="10">
        <f>净值原始!C4734</f>
        <v>45747</v>
      </c>
      <c r="G502" s="10">
        <f>净值原始!C4755</f>
        <v>45777</v>
      </c>
      <c r="H502" s="15">
        <f>净值原始!F4734</f>
        <v>2.1223</v>
      </c>
      <c r="I502" s="15">
        <f>净值原始!F4755</f>
        <v>2.1361</v>
      </c>
      <c r="J502" s="11">
        <f t="shared" si="21"/>
        <v>0.00650237949394517</v>
      </c>
      <c r="K502" s="9">
        <f>IF(COUNT(F502:I502)&lt;&gt;4,0,IF(AND(G502&gt;F502,H502&gt;0,I502&gt;0,L502&lt;='Sheet1-指标体系'!$J$31,M502&lt;='Sheet1-指标体系'!$J$31),1,0))</f>
        <v>1</v>
      </c>
      <c r="L502" s="9">
        <f t="shared" si="22"/>
        <v>0</v>
      </c>
      <c r="M502" s="9">
        <f t="shared" si="23"/>
        <v>0</v>
      </c>
    </row>
    <row r="503" ht="25" customHeight="1" spans="1:13">
      <c r="A503" s="9" t="s">
        <v>327</v>
      </c>
      <c r="B503" s="9" t="s">
        <v>326</v>
      </c>
      <c r="C503" s="9" t="s">
        <v>1048</v>
      </c>
      <c r="D503" s="10">
        <v>45777</v>
      </c>
      <c r="E503" s="10">
        <v>45808</v>
      </c>
      <c r="F503" s="10">
        <f>净值原始!C4755</f>
        <v>45777</v>
      </c>
      <c r="G503" s="10">
        <f>净值原始!C4774</f>
        <v>45807</v>
      </c>
      <c r="H503" s="15">
        <f>净值原始!F4755</f>
        <v>2.1361</v>
      </c>
      <c r="I503" s="15">
        <f>净值原始!F4774</f>
        <v>2.1338</v>
      </c>
      <c r="J503" s="11">
        <f t="shared" si="21"/>
        <v>-0.00107672861757402</v>
      </c>
      <c r="K503" s="9">
        <f>IF(COUNT(F503:I503)&lt;&gt;4,0,IF(AND(G503&gt;F503,H503&gt;0,I503&gt;0,L503&lt;='Sheet1-指标体系'!$J$31,M503&lt;='Sheet1-指标体系'!$J$31),1,0))</f>
        <v>1</v>
      </c>
      <c r="L503" s="9">
        <f t="shared" si="22"/>
        <v>0</v>
      </c>
      <c r="M503" s="9">
        <f t="shared" si="23"/>
        <v>1</v>
      </c>
    </row>
    <row r="504" ht="25" customHeight="1" spans="1:13">
      <c r="A504" s="9" t="s">
        <v>327</v>
      </c>
      <c r="B504" s="9" t="s">
        <v>326</v>
      </c>
      <c r="C504" s="9" t="s">
        <v>1049</v>
      </c>
      <c r="D504" s="10">
        <v>45808</v>
      </c>
      <c r="E504" s="10">
        <v>45838</v>
      </c>
      <c r="F504" s="10">
        <f>净值原始!C4774</f>
        <v>45807</v>
      </c>
      <c r="G504" s="10">
        <f>净值原始!C4794</f>
        <v>45838</v>
      </c>
      <c r="H504" s="15">
        <f>净值原始!F4774</f>
        <v>2.1338</v>
      </c>
      <c r="I504" s="15">
        <f>净值原始!F4794</f>
        <v>2.1334</v>
      </c>
      <c r="J504" s="11">
        <f t="shared" si="21"/>
        <v>-0.000187458993345158</v>
      </c>
      <c r="K504" s="9">
        <f>IF(COUNT(F504:I504)&lt;&gt;4,0,IF(AND(G504&gt;F504,H504&gt;0,I504&gt;0,L504&lt;='Sheet1-指标体系'!$J$31,M504&lt;='Sheet1-指标体系'!$J$31),1,0))</f>
        <v>1</v>
      </c>
      <c r="L504" s="9">
        <f t="shared" si="22"/>
        <v>1</v>
      </c>
      <c r="M504" s="9">
        <f t="shared" si="23"/>
        <v>0</v>
      </c>
    </row>
    <row r="505" ht="25" customHeight="1" spans="1:13">
      <c r="A505" s="9" t="s">
        <v>327</v>
      </c>
      <c r="B505" s="9" t="s">
        <v>326</v>
      </c>
      <c r="C505" s="9" t="s">
        <v>1050</v>
      </c>
      <c r="D505" s="10">
        <v>45838</v>
      </c>
      <c r="E505" s="10">
        <v>45869</v>
      </c>
      <c r="F505" s="10">
        <f>净值原始!C4794</f>
        <v>45838</v>
      </c>
      <c r="G505" s="10">
        <f>净值原始!C4817</f>
        <v>45869</v>
      </c>
      <c r="H505" s="15">
        <f>净值原始!F4794</f>
        <v>2.1334</v>
      </c>
      <c r="I505" s="15">
        <f>净值原始!F4817</f>
        <v>2.1325</v>
      </c>
      <c r="J505" s="11">
        <f t="shared" si="21"/>
        <v>-0.000421861816818248</v>
      </c>
      <c r="K505" s="9">
        <f>IF(COUNT(F505:I505)&lt;&gt;4,0,IF(AND(G505&gt;F505,H505&gt;0,I505&gt;0,L505&lt;='Sheet1-指标体系'!$J$31,M505&lt;='Sheet1-指标体系'!$J$31),1,0))</f>
        <v>1</v>
      </c>
      <c r="L505" s="9">
        <f t="shared" si="22"/>
        <v>0</v>
      </c>
      <c r="M505" s="9">
        <f t="shared" si="23"/>
        <v>0</v>
      </c>
    </row>
    <row r="506" ht="25" customHeight="1" spans="1:13">
      <c r="A506" s="9" t="s">
        <v>327</v>
      </c>
      <c r="B506" s="9" t="s">
        <v>326</v>
      </c>
      <c r="C506" s="9" t="s">
        <v>1051</v>
      </c>
      <c r="D506" s="10">
        <v>45869</v>
      </c>
      <c r="E506" s="10">
        <v>45900</v>
      </c>
      <c r="F506" s="10">
        <f>净值原始!C4817</f>
        <v>45869</v>
      </c>
      <c r="G506" s="10">
        <f>净值原始!C4838</f>
        <v>45898</v>
      </c>
      <c r="H506" s="15">
        <f>净值原始!F4817</f>
        <v>2.1325</v>
      </c>
      <c r="I506" s="15">
        <f>净值原始!F4838</f>
        <v>2.146</v>
      </c>
      <c r="J506" s="11">
        <f t="shared" si="21"/>
        <v>0.00633059788980073</v>
      </c>
      <c r="K506" s="9">
        <f>IF(COUNT(F506:I506)&lt;&gt;4,0,IF(AND(G506&gt;F506,H506&gt;0,I506&gt;0,L506&lt;='Sheet1-指标体系'!$J$31,M506&lt;='Sheet1-指标体系'!$J$31),1,0))</f>
        <v>1</v>
      </c>
      <c r="L506" s="9">
        <f t="shared" si="22"/>
        <v>0</v>
      </c>
      <c r="M506" s="9">
        <f t="shared" si="23"/>
        <v>2</v>
      </c>
    </row>
    <row r="507" ht="25" customHeight="1" spans="1:13">
      <c r="A507" s="9" t="s">
        <v>327</v>
      </c>
      <c r="B507" s="9" t="s">
        <v>326</v>
      </c>
      <c r="C507" s="9" t="s">
        <v>1052</v>
      </c>
      <c r="D507" s="10">
        <v>45900</v>
      </c>
      <c r="E507" s="10">
        <v>45930</v>
      </c>
      <c r="F507" s="10">
        <f>净值原始!C4838</f>
        <v>45898</v>
      </c>
      <c r="G507" s="10">
        <f>净值原始!C4860</f>
        <v>45930</v>
      </c>
      <c r="H507" s="15">
        <f>净值原始!F4838</f>
        <v>2.146</v>
      </c>
      <c r="I507" s="15">
        <f>净值原始!F4860</f>
        <v>2.1664</v>
      </c>
      <c r="J507" s="11">
        <f t="shared" si="21"/>
        <v>0.00950605778191993</v>
      </c>
      <c r="K507" s="9">
        <f>IF(COUNT(F507:I507)&lt;&gt;4,0,IF(AND(G507&gt;F507,H507&gt;0,I507&gt;0,L507&lt;='Sheet1-指标体系'!$J$31,M507&lt;='Sheet1-指标体系'!$J$31),1,0))</f>
        <v>1</v>
      </c>
      <c r="L507" s="9">
        <f t="shared" si="22"/>
        <v>2</v>
      </c>
      <c r="M507" s="9">
        <f t="shared" si="23"/>
        <v>0</v>
      </c>
    </row>
    <row r="508" ht="25" customHeight="1" spans="1:13">
      <c r="A508" s="9" t="s">
        <v>327</v>
      </c>
      <c r="B508" s="9" t="s">
        <v>326</v>
      </c>
      <c r="C508" s="9" t="s">
        <v>1053</v>
      </c>
      <c r="D508" s="10">
        <v>45930</v>
      </c>
      <c r="E508" s="10">
        <v>45961</v>
      </c>
      <c r="F508" s="10">
        <f>净值原始!C4860</f>
        <v>45930</v>
      </c>
      <c r="G508" s="10">
        <f>净值原始!C4877</f>
        <v>45961</v>
      </c>
      <c r="H508" s="15">
        <f>净值原始!F4860</f>
        <v>2.1664</v>
      </c>
      <c r="I508" s="15">
        <f>净值原始!F4877</f>
        <v>2.1746</v>
      </c>
      <c r="J508" s="11">
        <f t="shared" si="21"/>
        <v>0.00378508124076804</v>
      </c>
      <c r="K508" s="9">
        <f>IF(COUNT(F508:I508)&lt;&gt;4,0,IF(AND(G508&gt;F508,H508&gt;0,I508&gt;0,L508&lt;='Sheet1-指标体系'!$J$31,M508&lt;='Sheet1-指标体系'!$J$31),1,0))</f>
        <v>1</v>
      </c>
      <c r="L508" s="9">
        <f t="shared" si="22"/>
        <v>0</v>
      </c>
      <c r="M508" s="9">
        <f t="shared" si="23"/>
        <v>0</v>
      </c>
    </row>
    <row r="509" ht="25" customHeight="1" spans="1:13">
      <c r="A509" s="9" t="s">
        <v>327</v>
      </c>
      <c r="B509" s="9" t="s">
        <v>326</v>
      </c>
      <c r="C509" s="9" t="s">
        <v>1054</v>
      </c>
      <c r="D509" s="10">
        <v>45961</v>
      </c>
      <c r="E509" s="10">
        <v>45991</v>
      </c>
      <c r="F509" s="10">
        <f>净值原始!C4877</f>
        <v>45961</v>
      </c>
      <c r="G509" s="10">
        <f>净值原始!C4897</f>
        <v>45989</v>
      </c>
      <c r="H509" s="15">
        <f>净值原始!F4877</f>
        <v>2.1746</v>
      </c>
      <c r="I509" s="15">
        <f>净值原始!F4897</f>
        <v>2.1797</v>
      </c>
      <c r="J509" s="11">
        <f t="shared" si="21"/>
        <v>0.00234525889818826</v>
      </c>
      <c r="K509" s="9">
        <f>IF(COUNT(F509:I509)&lt;&gt;4,0,IF(AND(G509&gt;F509,H509&gt;0,I509&gt;0,L509&lt;='Sheet1-指标体系'!$J$31,M509&lt;='Sheet1-指标体系'!$J$31),1,0))</f>
        <v>1</v>
      </c>
      <c r="L509" s="9">
        <f t="shared" si="22"/>
        <v>0</v>
      </c>
      <c r="M509" s="9">
        <f t="shared" si="23"/>
        <v>2</v>
      </c>
    </row>
    <row r="510" ht="25" customHeight="1" spans="1:13">
      <c r="A510" s="9" t="s">
        <v>327</v>
      </c>
      <c r="B510" s="9" t="s">
        <v>326</v>
      </c>
      <c r="C510" s="9" t="s">
        <v>1055</v>
      </c>
      <c r="D510" s="10">
        <v>45991</v>
      </c>
      <c r="E510" s="10">
        <v>46022</v>
      </c>
      <c r="F510" s="10">
        <f>净值原始!C4897</f>
        <v>45989</v>
      </c>
      <c r="G510" s="10">
        <f>净值原始!C4920</f>
        <v>46022</v>
      </c>
      <c r="H510" s="15">
        <f>净值原始!F4897</f>
        <v>2.1797</v>
      </c>
      <c r="I510" s="15">
        <f>净值原始!F4920</f>
        <v>2.1874</v>
      </c>
      <c r="J510" s="11">
        <f t="shared" si="21"/>
        <v>0.00353259622883884</v>
      </c>
      <c r="K510" s="9">
        <f>IF(COUNT(F510:I510)&lt;&gt;4,0,IF(AND(G510&gt;F510,H510&gt;0,I510&gt;0,L510&lt;='Sheet1-指标体系'!$J$31,M510&lt;='Sheet1-指标体系'!$J$31),1,0))</f>
        <v>1</v>
      </c>
      <c r="L510" s="9">
        <f t="shared" si="22"/>
        <v>2</v>
      </c>
      <c r="M510" s="9">
        <f t="shared" si="23"/>
        <v>0</v>
      </c>
    </row>
    <row r="511" ht="25" customHeight="1" spans="1:13">
      <c r="A511" s="9" t="s">
        <v>327</v>
      </c>
      <c r="B511" s="9" t="s">
        <v>326</v>
      </c>
      <c r="C511" s="9" t="s">
        <v>1056</v>
      </c>
      <c r="D511" s="10">
        <v>46022</v>
      </c>
      <c r="E511" s="10">
        <v>46053</v>
      </c>
      <c r="F511" s="10">
        <f>净值原始!C4920</f>
        <v>46022</v>
      </c>
      <c r="G511" s="10">
        <f>净值原始!C4940</f>
        <v>46052</v>
      </c>
      <c r="H511" s="15">
        <f>净值原始!F4920</f>
        <v>2.1874</v>
      </c>
      <c r="I511" s="15">
        <f>净值原始!F4940</f>
        <v>2.2857</v>
      </c>
      <c r="J511" s="11">
        <f t="shared" si="21"/>
        <v>0.0449391972204445</v>
      </c>
      <c r="K511" s="9">
        <f>IF(COUNT(F511:I511)&lt;&gt;4,0,IF(AND(G511&gt;F511,H511&gt;0,I511&gt;0,L511&lt;='Sheet1-指标体系'!$J$31,M511&lt;='Sheet1-指标体系'!$J$31),1,0))</f>
        <v>1</v>
      </c>
      <c r="L511" s="9">
        <f t="shared" si="22"/>
        <v>0</v>
      </c>
      <c r="M511" s="9">
        <f t="shared" si="23"/>
        <v>1</v>
      </c>
    </row>
    <row r="512" ht="25" customHeight="1" spans="1:13">
      <c r="A512" s="9" t="s">
        <v>327</v>
      </c>
      <c r="B512" s="9" t="s">
        <v>326</v>
      </c>
      <c r="C512" s="9" t="s">
        <v>1057</v>
      </c>
      <c r="D512" s="10">
        <v>46053</v>
      </c>
      <c r="E512" s="10">
        <v>46081</v>
      </c>
      <c r="F512" s="10">
        <f>净值原始!C4940</f>
        <v>46052</v>
      </c>
      <c r="G512" s="10">
        <f>净值原始!C4954</f>
        <v>46080</v>
      </c>
      <c r="H512" s="15">
        <f>净值原始!F4940</f>
        <v>2.2857</v>
      </c>
      <c r="I512" s="15">
        <f>净值原始!F4954</f>
        <v>2.3633</v>
      </c>
      <c r="J512" s="11">
        <f t="shared" si="21"/>
        <v>0.0339502121888264</v>
      </c>
      <c r="K512" s="9">
        <f>IF(COUNT(F512:I512)&lt;&gt;4,0,IF(AND(G512&gt;F512,H512&gt;0,I512&gt;0,L512&lt;='Sheet1-指标体系'!$J$31,M512&lt;='Sheet1-指标体系'!$J$31),1,0))</f>
        <v>1</v>
      </c>
      <c r="L512" s="9">
        <f t="shared" si="22"/>
        <v>1</v>
      </c>
      <c r="M512" s="9">
        <f t="shared" si="23"/>
        <v>1</v>
      </c>
    </row>
    <row r="513" ht="25" customHeight="1" spans="1:13">
      <c r="A513" s="9" t="s">
        <v>327</v>
      </c>
      <c r="B513" s="9" t="s">
        <v>326</v>
      </c>
      <c r="C513" s="9" t="s">
        <v>1058</v>
      </c>
      <c r="D513" s="10">
        <v>46081</v>
      </c>
      <c r="E513" s="10">
        <v>46112</v>
      </c>
      <c r="F513" s="10">
        <f>净值原始!C4954</f>
        <v>46080</v>
      </c>
      <c r="G513" s="10">
        <f>净值原始!C4976</f>
        <v>46112</v>
      </c>
      <c r="H513" s="15">
        <f>净值原始!F4954</f>
        <v>2.3633</v>
      </c>
      <c r="I513" s="15">
        <f>净值原始!F4976</f>
        <v>2.4251</v>
      </c>
      <c r="J513" s="11">
        <f t="shared" si="21"/>
        <v>0.0261498751745439</v>
      </c>
      <c r="K513" s="9">
        <f>IF(COUNT(F513:I513)&lt;&gt;4,0,IF(AND(G513&gt;F513,H513&gt;0,I513&gt;0,L513&lt;='Sheet1-指标体系'!$J$31,M513&lt;='Sheet1-指标体系'!$J$31),1,0))</f>
        <v>1</v>
      </c>
      <c r="L513" s="9">
        <f t="shared" si="22"/>
        <v>1</v>
      </c>
      <c r="M513" s="9">
        <f t="shared" si="23"/>
        <v>0</v>
      </c>
    </row>
    <row r="514" ht="25" customHeight="1" spans="1:13">
      <c r="A514" s="9" t="s">
        <v>327</v>
      </c>
      <c r="B514" s="9" t="s">
        <v>326</v>
      </c>
      <c r="C514" s="9" t="s">
        <v>1059</v>
      </c>
      <c r="D514" s="10">
        <v>46112</v>
      </c>
      <c r="E514" s="10">
        <v>46142</v>
      </c>
      <c r="F514" s="10">
        <f>净值原始!C4976</f>
        <v>46112</v>
      </c>
      <c r="G514" s="10">
        <f>净值原始!C4997</f>
        <v>46142</v>
      </c>
      <c r="H514" s="15">
        <f>净值原始!F4976</f>
        <v>2.4251</v>
      </c>
      <c r="I514" s="15">
        <f>净值原始!F4997</f>
        <v>2.4221</v>
      </c>
      <c r="J514" s="11">
        <f t="shared" ref="J514:J577" si="24">IF(K514=1,I514/H514-1,"")</f>
        <v>-0.00123706238917987</v>
      </c>
      <c r="K514" s="9">
        <f>IF(COUNT(F514:I514)&lt;&gt;4,0,IF(AND(G514&gt;F514,H514&gt;0,I514&gt;0,L514&lt;='Sheet1-指标体系'!$J$31,M514&lt;='Sheet1-指标体系'!$J$31),1,0))</f>
        <v>1</v>
      </c>
      <c r="L514" s="9">
        <f t="shared" ref="L514:L577" si="25">IF(ISNUMBER(F514),D514-F514,"")</f>
        <v>0</v>
      </c>
      <c r="M514" s="9">
        <f t="shared" ref="M514:M577" si="26">IF(ISNUMBER(G514),E514-G514,"")</f>
        <v>0</v>
      </c>
    </row>
    <row r="515" ht="25" customHeight="1" spans="1:13">
      <c r="A515" s="9" t="s">
        <v>327</v>
      </c>
      <c r="B515" s="9" t="s">
        <v>326</v>
      </c>
      <c r="C515" s="9" t="s">
        <v>1060</v>
      </c>
      <c r="D515" s="10">
        <v>46142</v>
      </c>
      <c r="E515" s="10">
        <v>46173</v>
      </c>
      <c r="F515" s="10">
        <f>净值原始!C4997</f>
        <v>46142</v>
      </c>
      <c r="G515" s="10">
        <f>净值原始!C5015</f>
        <v>46171</v>
      </c>
      <c r="H515" s="15">
        <f>净值原始!F4997</f>
        <v>2.4221</v>
      </c>
      <c r="I515" s="15">
        <f>净值原始!F5015</f>
        <v>2.424</v>
      </c>
      <c r="J515" s="11">
        <f t="shared" si="24"/>
        <v>0.000784443251723665</v>
      </c>
      <c r="K515" s="9">
        <f>IF(COUNT(F515:I515)&lt;&gt;4,0,IF(AND(G515&gt;F515,H515&gt;0,I515&gt;0,L515&lt;='Sheet1-指标体系'!$J$31,M515&lt;='Sheet1-指标体系'!$J$31),1,0))</f>
        <v>1</v>
      </c>
      <c r="L515" s="9">
        <f t="shared" si="25"/>
        <v>0</v>
      </c>
      <c r="M515" s="9">
        <f t="shared" si="26"/>
        <v>2</v>
      </c>
    </row>
    <row r="516" ht="25" customHeight="1" spans="1:13">
      <c r="A516" s="9" t="s">
        <v>327</v>
      </c>
      <c r="B516" s="9" t="s">
        <v>326</v>
      </c>
      <c r="C516" s="9" t="s">
        <v>1061</v>
      </c>
      <c r="D516" s="10">
        <v>46173</v>
      </c>
      <c r="E516" s="10">
        <v>46203</v>
      </c>
      <c r="F516" s="10">
        <f>净值原始!C5015</f>
        <v>46171</v>
      </c>
      <c r="G516" s="10">
        <f>净值原始!C5036</f>
        <v>46203</v>
      </c>
      <c r="H516" s="15">
        <f>净值原始!F5015</f>
        <v>2.424</v>
      </c>
      <c r="I516" s="15">
        <f>净值原始!F5036</f>
        <v>2.4366</v>
      </c>
      <c r="J516" s="11">
        <f t="shared" si="24"/>
        <v>0.00519801980198009</v>
      </c>
      <c r="K516" s="9">
        <f>IF(COUNT(F516:I516)&lt;&gt;4,0,IF(AND(G516&gt;F516,H516&gt;0,I516&gt;0,L516&lt;='Sheet1-指标体系'!$J$31,M516&lt;='Sheet1-指标体系'!$J$31),1,0))</f>
        <v>1</v>
      </c>
      <c r="L516" s="9">
        <f t="shared" si="25"/>
        <v>2</v>
      </c>
      <c r="M516" s="9">
        <f t="shared" si="26"/>
        <v>0</v>
      </c>
    </row>
    <row r="517" ht="25" customHeight="1" spans="1:13">
      <c r="A517" s="9" t="s">
        <v>327</v>
      </c>
      <c r="B517" s="9" t="s">
        <v>326</v>
      </c>
      <c r="C517" s="9" t="s">
        <v>1062</v>
      </c>
      <c r="D517" s="10">
        <v>46203</v>
      </c>
      <c r="E517" s="10">
        <v>46234</v>
      </c>
      <c r="F517" s="10">
        <f>净值原始!C5036</f>
        <v>46203</v>
      </c>
      <c r="G517" s="10">
        <f>净值原始!C5059</f>
        <v>46234</v>
      </c>
      <c r="H517" s="15">
        <f>净值原始!F5036</f>
        <v>2.4366</v>
      </c>
      <c r="I517" s="15">
        <f>净值原始!F5059</f>
        <v>2.4531</v>
      </c>
      <c r="J517" s="11">
        <f t="shared" si="24"/>
        <v>0.00677173110071427</v>
      </c>
      <c r="K517" s="9">
        <f>IF(COUNT(F517:I517)&lt;&gt;4,0,IF(AND(G517&gt;F517,H517&gt;0,I517&gt;0,L517&lt;='Sheet1-指标体系'!$J$31,M517&lt;='Sheet1-指标体系'!$J$31),1,0))</f>
        <v>1</v>
      </c>
      <c r="L517" s="9">
        <f t="shared" si="25"/>
        <v>0</v>
      </c>
      <c r="M517" s="9">
        <f t="shared" si="26"/>
        <v>0</v>
      </c>
    </row>
    <row r="518" ht="25" customHeight="1" spans="1:13">
      <c r="A518" s="9" t="s">
        <v>327</v>
      </c>
      <c r="B518" s="9" t="s">
        <v>326</v>
      </c>
      <c r="C518" s="9" t="s">
        <v>1063</v>
      </c>
      <c r="D518" s="10">
        <v>46234</v>
      </c>
      <c r="E518" s="10">
        <v>46265</v>
      </c>
      <c r="F518" s="10">
        <f>净值原始!C5059</f>
        <v>46234</v>
      </c>
      <c r="G518" s="10">
        <f>净值原始!C5080</f>
        <v>46265</v>
      </c>
      <c r="H518" s="15">
        <f>净值原始!F5059</f>
        <v>2.4531</v>
      </c>
      <c r="I518" s="15">
        <f>净值原始!F5080</f>
        <v>2.448</v>
      </c>
      <c r="J518" s="11">
        <f t="shared" si="24"/>
        <v>-0.00207900207900213</v>
      </c>
      <c r="K518" s="9">
        <f>IF(COUNT(F518:I518)&lt;&gt;4,0,IF(AND(G518&gt;F518,H518&gt;0,I518&gt;0,L518&lt;='Sheet1-指标体系'!$J$31,M518&lt;='Sheet1-指标体系'!$J$31),1,0))</f>
        <v>1</v>
      </c>
      <c r="L518" s="9">
        <f t="shared" si="25"/>
        <v>0</v>
      </c>
      <c r="M518" s="9">
        <f t="shared" si="26"/>
        <v>0</v>
      </c>
    </row>
    <row r="519" ht="25" customHeight="1" spans="1:13">
      <c r="A519" s="9" t="s">
        <v>327</v>
      </c>
      <c r="B519" s="9" t="s">
        <v>326</v>
      </c>
      <c r="C519" s="9" t="s">
        <v>1064</v>
      </c>
      <c r="D519" s="10">
        <v>46265</v>
      </c>
      <c r="E519" s="10">
        <v>46269</v>
      </c>
      <c r="F519" s="10">
        <f>净值原始!C5080</f>
        <v>46265</v>
      </c>
      <c r="G519" s="10">
        <f>净值原始!C5084</f>
        <v>46269</v>
      </c>
      <c r="H519" s="15">
        <f>净值原始!F5080</f>
        <v>2.448</v>
      </c>
      <c r="I519" s="15">
        <f>净值原始!F5084</f>
        <v>2.4475</v>
      </c>
      <c r="J519" s="11">
        <f t="shared" si="24"/>
        <v>-0.000204248366013182</v>
      </c>
      <c r="K519" s="9">
        <f>IF(COUNT(F519:I519)&lt;&gt;4,0,IF(AND(G519&gt;F519,H519&gt;0,I519&gt;0,L519&lt;='Sheet1-指标体系'!$J$31,M519&lt;='Sheet1-指标体系'!$J$31),1,0))</f>
        <v>1</v>
      </c>
      <c r="L519" s="9">
        <f t="shared" si="25"/>
        <v>0</v>
      </c>
      <c r="M519" s="9">
        <f t="shared" si="26"/>
        <v>0</v>
      </c>
    </row>
    <row r="520" ht="25" customHeight="1" spans="1:13">
      <c r="A520" s="9" t="s">
        <v>422</v>
      </c>
      <c r="B520" s="9" t="s">
        <v>421</v>
      </c>
      <c r="C520" s="9" t="s">
        <v>1028</v>
      </c>
      <c r="D520" s="10">
        <v>45169</v>
      </c>
      <c r="E520" s="10">
        <v>45199</v>
      </c>
      <c r="F520" s="10">
        <f>净值原始!C5128</f>
        <v>45163</v>
      </c>
      <c r="G520" s="10">
        <f>净值原始!C5133</f>
        <v>45197</v>
      </c>
      <c r="H520" s="15">
        <f>净值原始!F5128</f>
        <v>1.0144</v>
      </c>
      <c r="I520" s="15">
        <f>净值原始!F5133</f>
        <v>1.0275</v>
      </c>
      <c r="J520" s="11">
        <f t="shared" si="24"/>
        <v>0.0129140378548898</v>
      </c>
      <c r="K520" s="9">
        <f>IF(COUNT(F520:I520)&lt;&gt;4,0,IF(AND(G520&gt;F520,H520&gt;0,I520&gt;0,L520&lt;='Sheet1-指标体系'!$J$31,M520&lt;='Sheet1-指标体系'!$J$31),1,0))</f>
        <v>1</v>
      </c>
      <c r="L520" s="9">
        <f t="shared" si="25"/>
        <v>6</v>
      </c>
      <c r="M520" s="9">
        <f t="shared" si="26"/>
        <v>2</v>
      </c>
    </row>
    <row r="521" ht="25" customHeight="1" spans="1:13">
      <c r="A521" s="9" t="s">
        <v>422</v>
      </c>
      <c r="B521" s="9" t="s">
        <v>421</v>
      </c>
      <c r="C521" s="9" t="s">
        <v>1029</v>
      </c>
      <c r="D521" s="10">
        <v>45199</v>
      </c>
      <c r="E521" s="10">
        <v>45230</v>
      </c>
      <c r="F521" s="10">
        <f>净值原始!C5133</f>
        <v>45197</v>
      </c>
      <c r="G521" s="10">
        <f>净值原始!C5136</f>
        <v>45226</v>
      </c>
      <c r="H521" s="15">
        <f>净值原始!F5133</f>
        <v>1.0275</v>
      </c>
      <c r="I521" s="15">
        <f>净值原始!F5136</f>
        <v>1.0384</v>
      </c>
      <c r="J521" s="11">
        <f t="shared" si="24"/>
        <v>0.0106082725060825</v>
      </c>
      <c r="K521" s="9">
        <f>IF(COUNT(F521:I521)&lt;&gt;4,0,IF(AND(G521&gt;F521,H521&gt;0,I521&gt;0,L521&lt;='Sheet1-指标体系'!$J$31,M521&lt;='Sheet1-指标体系'!$J$31),1,0))</f>
        <v>1</v>
      </c>
      <c r="L521" s="9">
        <f t="shared" si="25"/>
        <v>2</v>
      </c>
      <c r="M521" s="9">
        <f t="shared" si="26"/>
        <v>4</v>
      </c>
    </row>
    <row r="522" ht="25" customHeight="1" spans="1:13">
      <c r="A522" s="9" t="s">
        <v>422</v>
      </c>
      <c r="B522" s="9" t="s">
        <v>421</v>
      </c>
      <c r="C522" s="9" t="s">
        <v>1030</v>
      </c>
      <c r="D522" s="10">
        <v>45230</v>
      </c>
      <c r="E522" s="10">
        <v>45260</v>
      </c>
      <c r="F522" s="10">
        <f>净值原始!C5136</f>
        <v>45226</v>
      </c>
      <c r="G522" s="10">
        <f>净值原始!C5140</f>
        <v>45254</v>
      </c>
      <c r="H522" s="15">
        <f>净值原始!F5136</f>
        <v>1.0384</v>
      </c>
      <c r="I522" s="15">
        <f>净值原始!F5140</f>
        <v>1.0557</v>
      </c>
      <c r="J522" s="11">
        <f t="shared" si="24"/>
        <v>0.016660246533128</v>
      </c>
      <c r="K522" s="9">
        <f>IF(COUNT(F522:I522)&lt;&gt;4,0,IF(AND(G522&gt;F522,H522&gt;0,I522&gt;0,L522&lt;='Sheet1-指标体系'!$J$31,M522&lt;='Sheet1-指标体系'!$J$31),1,0))</f>
        <v>1</v>
      </c>
      <c r="L522" s="9">
        <f t="shared" si="25"/>
        <v>4</v>
      </c>
      <c r="M522" s="9">
        <f t="shared" si="26"/>
        <v>6</v>
      </c>
    </row>
    <row r="523" ht="25" customHeight="1" spans="1:13">
      <c r="A523" s="9" t="s">
        <v>422</v>
      </c>
      <c r="B523" s="9" t="s">
        <v>421</v>
      </c>
      <c r="C523" s="9" t="s">
        <v>1031</v>
      </c>
      <c r="D523" s="10">
        <v>45260</v>
      </c>
      <c r="E523" s="10">
        <v>45291</v>
      </c>
      <c r="F523" s="10">
        <f>净值原始!C5140</f>
        <v>45254</v>
      </c>
      <c r="G523" s="10">
        <f>净值原始!C5145</f>
        <v>45289</v>
      </c>
      <c r="H523" s="15">
        <f>净值原始!F5140</f>
        <v>1.0557</v>
      </c>
      <c r="I523" s="15">
        <f>净值原始!F5145</f>
        <v>1.0855</v>
      </c>
      <c r="J523" s="11">
        <f t="shared" si="24"/>
        <v>0.0282277162072557</v>
      </c>
      <c r="K523" s="9">
        <f>IF(COUNT(F523:I523)&lt;&gt;4,0,IF(AND(G523&gt;F523,H523&gt;0,I523&gt;0,L523&lt;='Sheet1-指标体系'!$J$31,M523&lt;='Sheet1-指标体系'!$J$31),1,0))</f>
        <v>1</v>
      </c>
      <c r="L523" s="9">
        <f t="shared" si="25"/>
        <v>6</v>
      </c>
      <c r="M523" s="9">
        <f t="shared" si="26"/>
        <v>2</v>
      </c>
    </row>
    <row r="524" ht="25" customHeight="1" spans="1:13">
      <c r="A524" s="9" t="s">
        <v>422</v>
      </c>
      <c r="B524" s="9" t="s">
        <v>421</v>
      </c>
      <c r="C524" s="9" t="s">
        <v>1032</v>
      </c>
      <c r="D524" s="10">
        <v>45291</v>
      </c>
      <c r="E524" s="10">
        <v>45322</v>
      </c>
      <c r="F524" s="10">
        <f>净值原始!C5145</f>
        <v>45289</v>
      </c>
      <c r="G524" s="10">
        <f>净值原始!C5149</f>
        <v>45317</v>
      </c>
      <c r="H524" s="15">
        <f>净值原始!F5145</f>
        <v>1.0855</v>
      </c>
      <c r="I524" s="15">
        <f>净值原始!F5149</f>
        <v>1.0986</v>
      </c>
      <c r="J524" s="11">
        <f t="shared" si="24"/>
        <v>0.0120681713496085</v>
      </c>
      <c r="K524" s="9">
        <f>IF(COUNT(F524:I524)&lt;&gt;4,0,IF(AND(G524&gt;F524,H524&gt;0,I524&gt;0,L524&lt;='Sheet1-指标体系'!$J$31,M524&lt;='Sheet1-指标体系'!$J$31),1,0))</f>
        <v>1</v>
      </c>
      <c r="L524" s="9">
        <f t="shared" si="25"/>
        <v>2</v>
      </c>
      <c r="M524" s="9">
        <f t="shared" si="26"/>
        <v>5</v>
      </c>
    </row>
    <row r="525" ht="25" customHeight="1" spans="1:13">
      <c r="A525" s="9" t="s">
        <v>422</v>
      </c>
      <c r="B525" s="9" t="s">
        <v>421</v>
      </c>
      <c r="C525" s="9" t="s">
        <v>1033</v>
      </c>
      <c r="D525" s="10">
        <v>45322</v>
      </c>
      <c r="E525" s="10">
        <v>45351</v>
      </c>
      <c r="F525" s="10">
        <f>净值原始!C5149</f>
        <v>45317</v>
      </c>
      <c r="G525" s="10">
        <f>净值原始!C5152</f>
        <v>45345</v>
      </c>
      <c r="H525" s="15">
        <f>净值原始!F5149</f>
        <v>1.0986</v>
      </c>
      <c r="I525" s="15">
        <f>净值原始!F5152</f>
        <v>1.0973</v>
      </c>
      <c r="J525" s="11">
        <f t="shared" si="24"/>
        <v>-0.00118332423083933</v>
      </c>
      <c r="K525" s="9">
        <f>IF(COUNT(F525:I525)&lt;&gt;4,0,IF(AND(G525&gt;F525,H525&gt;0,I525&gt;0,L525&lt;='Sheet1-指标体系'!$J$31,M525&lt;='Sheet1-指标体系'!$J$31),1,0))</f>
        <v>1</v>
      </c>
      <c r="L525" s="9">
        <f t="shared" si="25"/>
        <v>5</v>
      </c>
      <c r="M525" s="9">
        <f t="shared" si="26"/>
        <v>6</v>
      </c>
    </row>
    <row r="526" ht="25" customHeight="1" spans="1:13">
      <c r="A526" s="9" t="s">
        <v>422</v>
      </c>
      <c r="B526" s="9" t="s">
        <v>421</v>
      </c>
      <c r="C526" s="9" t="s">
        <v>1034</v>
      </c>
      <c r="D526" s="10">
        <v>45351</v>
      </c>
      <c r="E526" s="10">
        <v>45382</v>
      </c>
      <c r="F526" s="10">
        <f>净值原始!C5152</f>
        <v>45345</v>
      </c>
      <c r="G526" s="10">
        <f>净值原始!C5157</f>
        <v>45380</v>
      </c>
      <c r="H526" s="15">
        <f>净值原始!F5152</f>
        <v>1.0973</v>
      </c>
      <c r="I526" s="15">
        <f>净值原始!F5157</f>
        <v>1.0887</v>
      </c>
      <c r="J526" s="11">
        <f t="shared" si="24"/>
        <v>-0.0078374191196573</v>
      </c>
      <c r="K526" s="9">
        <f>IF(COUNT(F526:I526)&lt;&gt;4,0,IF(AND(G526&gt;F526,H526&gt;0,I526&gt;0,L526&lt;='Sheet1-指标体系'!$J$31,M526&lt;='Sheet1-指标体系'!$J$31),1,0))</f>
        <v>1</v>
      </c>
      <c r="L526" s="9">
        <f t="shared" si="25"/>
        <v>6</v>
      </c>
      <c r="M526" s="9">
        <f t="shared" si="26"/>
        <v>2</v>
      </c>
    </row>
    <row r="527" ht="25" customHeight="1" spans="1:13">
      <c r="A527" s="9" t="s">
        <v>422</v>
      </c>
      <c r="B527" s="9" t="s">
        <v>421</v>
      </c>
      <c r="C527" s="9" t="s">
        <v>1035</v>
      </c>
      <c r="D527" s="10">
        <v>45382</v>
      </c>
      <c r="E527" s="10">
        <v>45412</v>
      </c>
      <c r="F527" s="10">
        <f>净值原始!C5157</f>
        <v>45380</v>
      </c>
      <c r="G527" s="10">
        <f>净值原始!C5162</f>
        <v>45412</v>
      </c>
      <c r="H527" s="15">
        <f>净值原始!F5157</f>
        <v>1.0887</v>
      </c>
      <c r="I527" s="15">
        <f>净值原始!F5162</f>
        <v>1.0871</v>
      </c>
      <c r="J527" s="11">
        <f t="shared" si="24"/>
        <v>-0.00146964269312033</v>
      </c>
      <c r="K527" s="9">
        <f>IF(COUNT(F527:I527)&lt;&gt;4,0,IF(AND(G527&gt;F527,H527&gt;0,I527&gt;0,L527&lt;='Sheet1-指标体系'!$J$31,M527&lt;='Sheet1-指标体系'!$J$31),1,0))</f>
        <v>1</v>
      </c>
      <c r="L527" s="9">
        <f t="shared" si="25"/>
        <v>2</v>
      </c>
      <c r="M527" s="9">
        <f t="shared" si="26"/>
        <v>0</v>
      </c>
    </row>
    <row r="528" ht="25" customHeight="1" spans="1:13">
      <c r="A528" s="9" t="s">
        <v>422</v>
      </c>
      <c r="B528" s="9" t="s">
        <v>421</v>
      </c>
      <c r="C528" s="9" t="s">
        <v>1036</v>
      </c>
      <c r="D528" s="10">
        <v>45412</v>
      </c>
      <c r="E528" s="10">
        <v>45443</v>
      </c>
      <c r="F528" s="10">
        <f>净值原始!C5162</f>
        <v>45412</v>
      </c>
      <c r="G528" s="10">
        <f>净值原始!C5166</f>
        <v>45443</v>
      </c>
      <c r="H528" s="15">
        <f>净值原始!F5162</f>
        <v>1.0871</v>
      </c>
      <c r="I528" s="15">
        <f>净值原始!F5166</f>
        <v>1.069</v>
      </c>
      <c r="J528" s="11">
        <f t="shared" si="24"/>
        <v>-0.0166498022261061</v>
      </c>
      <c r="K528" s="9">
        <f>IF(COUNT(F528:I528)&lt;&gt;4,0,IF(AND(G528&gt;F528,H528&gt;0,I528&gt;0,L528&lt;='Sheet1-指标体系'!$J$31,M528&lt;='Sheet1-指标体系'!$J$31),1,0))</f>
        <v>1</v>
      </c>
      <c r="L528" s="9">
        <f t="shared" si="25"/>
        <v>0</v>
      </c>
      <c r="M528" s="9">
        <f t="shared" si="26"/>
        <v>0</v>
      </c>
    </row>
    <row r="529" ht="25" customHeight="1" spans="1:13">
      <c r="A529" s="9" t="s">
        <v>422</v>
      </c>
      <c r="B529" s="9" t="s">
        <v>421</v>
      </c>
      <c r="C529" s="9" t="s">
        <v>1037</v>
      </c>
      <c r="D529" s="10">
        <v>45443</v>
      </c>
      <c r="E529" s="10">
        <v>45473</v>
      </c>
      <c r="F529" s="10">
        <f>净值原始!C5166</f>
        <v>45443</v>
      </c>
      <c r="G529" s="10">
        <f>净值原始!C5170</f>
        <v>45471</v>
      </c>
      <c r="H529" s="15">
        <f>净值原始!F5166</f>
        <v>1.069</v>
      </c>
      <c r="I529" s="15">
        <f>净值原始!F5170</f>
        <v>1.0927</v>
      </c>
      <c r="J529" s="11">
        <f t="shared" si="24"/>
        <v>0.0221702525724976</v>
      </c>
      <c r="K529" s="9">
        <f>IF(COUNT(F529:I529)&lt;&gt;4,0,IF(AND(G529&gt;F529,H529&gt;0,I529&gt;0,L529&lt;='Sheet1-指标体系'!$J$31,M529&lt;='Sheet1-指标体系'!$J$31),1,0))</f>
        <v>1</v>
      </c>
      <c r="L529" s="9">
        <f t="shared" si="25"/>
        <v>0</v>
      </c>
      <c r="M529" s="9">
        <f t="shared" si="26"/>
        <v>2</v>
      </c>
    </row>
    <row r="530" ht="25" customHeight="1" spans="1:13">
      <c r="A530" s="9" t="s">
        <v>422</v>
      </c>
      <c r="B530" s="9" t="s">
        <v>421</v>
      </c>
      <c r="C530" s="9" t="s">
        <v>1038</v>
      </c>
      <c r="D530" s="10">
        <v>45473</v>
      </c>
      <c r="E530" s="10">
        <v>45504</v>
      </c>
      <c r="F530" s="10">
        <f>净值原始!C5170</f>
        <v>45471</v>
      </c>
      <c r="G530" s="10">
        <f>净值原始!C5174</f>
        <v>45499</v>
      </c>
      <c r="H530" s="15">
        <f>净值原始!F5170</f>
        <v>1.0927</v>
      </c>
      <c r="I530" s="15">
        <f>净值原始!F5174</f>
        <v>1.1222</v>
      </c>
      <c r="J530" s="11">
        <f t="shared" si="24"/>
        <v>0.0269973460236113</v>
      </c>
      <c r="K530" s="9">
        <f>IF(COUNT(F530:I530)&lt;&gt;4,0,IF(AND(G530&gt;F530,H530&gt;0,I530&gt;0,L530&lt;='Sheet1-指标体系'!$J$31,M530&lt;='Sheet1-指标体系'!$J$31),1,0))</f>
        <v>1</v>
      </c>
      <c r="L530" s="9">
        <f t="shared" si="25"/>
        <v>2</v>
      </c>
      <c r="M530" s="9">
        <f t="shared" si="26"/>
        <v>5</v>
      </c>
    </row>
    <row r="531" ht="25" customHeight="1" spans="1:13">
      <c r="A531" s="9" t="s">
        <v>422</v>
      </c>
      <c r="B531" s="9" t="s">
        <v>421</v>
      </c>
      <c r="C531" s="9" t="s">
        <v>1039</v>
      </c>
      <c r="D531" s="10">
        <v>45504</v>
      </c>
      <c r="E531" s="10">
        <v>45535</v>
      </c>
      <c r="F531" s="10">
        <f>净值原始!C5174</f>
        <v>45499</v>
      </c>
      <c r="G531" s="10">
        <f>净值原始!C5179</f>
        <v>45534</v>
      </c>
      <c r="H531" s="15">
        <f>净值原始!F5174</f>
        <v>1.1222</v>
      </c>
      <c r="I531" s="15">
        <f>净值原始!F5179</f>
        <v>1.1346</v>
      </c>
      <c r="J531" s="11">
        <f t="shared" si="24"/>
        <v>0.011049723756906</v>
      </c>
      <c r="K531" s="9">
        <f>IF(COUNT(F531:I531)&lt;&gt;4,0,IF(AND(G531&gt;F531,H531&gt;0,I531&gt;0,L531&lt;='Sheet1-指标体系'!$J$31,M531&lt;='Sheet1-指标体系'!$J$31),1,0))</f>
        <v>1</v>
      </c>
      <c r="L531" s="9">
        <f t="shared" si="25"/>
        <v>5</v>
      </c>
      <c r="M531" s="9">
        <f t="shared" si="26"/>
        <v>1</v>
      </c>
    </row>
    <row r="532" ht="25" customHeight="1" spans="1:13">
      <c r="A532" s="9" t="s">
        <v>422</v>
      </c>
      <c r="B532" s="9" t="s">
        <v>421</v>
      </c>
      <c r="C532" s="9" t="s">
        <v>1040</v>
      </c>
      <c r="D532" s="10">
        <v>45535</v>
      </c>
      <c r="E532" s="10">
        <v>45565</v>
      </c>
      <c r="F532" s="10">
        <f>净值原始!C5179</f>
        <v>45534</v>
      </c>
      <c r="G532" s="10">
        <f>净值原始!C5184</f>
        <v>45565</v>
      </c>
      <c r="H532" s="15">
        <f>净值原始!F5179</f>
        <v>1.1346</v>
      </c>
      <c r="I532" s="15">
        <f>净值原始!F5184</f>
        <v>1.1354</v>
      </c>
      <c r="J532" s="11">
        <f t="shared" si="24"/>
        <v>0.000705094306363341</v>
      </c>
      <c r="K532" s="9">
        <f>IF(COUNT(F532:I532)&lt;&gt;4,0,IF(AND(G532&gt;F532,H532&gt;0,I532&gt;0,L532&lt;='Sheet1-指标体系'!$J$31,M532&lt;='Sheet1-指标体系'!$J$31),1,0))</f>
        <v>1</v>
      </c>
      <c r="L532" s="9">
        <f t="shared" si="25"/>
        <v>1</v>
      </c>
      <c r="M532" s="9">
        <f t="shared" si="26"/>
        <v>0</v>
      </c>
    </row>
    <row r="533" ht="25" customHeight="1" spans="1:13">
      <c r="A533" s="9" t="s">
        <v>422</v>
      </c>
      <c r="B533" s="9" t="s">
        <v>421</v>
      </c>
      <c r="C533" s="9" t="s">
        <v>1041</v>
      </c>
      <c r="D533" s="10">
        <v>45565</v>
      </c>
      <c r="E533" s="10">
        <v>45596</v>
      </c>
      <c r="F533" s="10">
        <f>净值原始!C5184</f>
        <v>45565</v>
      </c>
      <c r="G533" s="10">
        <f>净值原始!C5187</f>
        <v>45590</v>
      </c>
      <c r="H533" s="15">
        <f>净值原始!F5184</f>
        <v>1.1354</v>
      </c>
      <c r="I533" s="15">
        <f>净值原始!F5187</f>
        <v>1.1544</v>
      </c>
      <c r="J533" s="11">
        <f t="shared" si="24"/>
        <v>0.0167341905936236</v>
      </c>
      <c r="K533" s="9">
        <f>IF(COUNT(F533:I533)&lt;&gt;4,0,IF(AND(G533&gt;F533,H533&gt;0,I533&gt;0,L533&lt;='Sheet1-指标体系'!$J$31,M533&lt;='Sheet1-指标体系'!$J$31),1,0))</f>
        <v>1</v>
      </c>
      <c r="L533" s="9">
        <f t="shared" si="25"/>
        <v>0</v>
      </c>
      <c r="M533" s="9">
        <f t="shared" si="26"/>
        <v>6</v>
      </c>
    </row>
    <row r="534" ht="25" customHeight="1" spans="1:13">
      <c r="A534" s="9" t="s">
        <v>422</v>
      </c>
      <c r="B534" s="9" t="s">
        <v>421</v>
      </c>
      <c r="C534" s="9" t="s">
        <v>1042</v>
      </c>
      <c r="D534" s="10">
        <v>45596</v>
      </c>
      <c r="E534" s="10">
        <v>45626</v>
      </c>
      <c r="F534" s="10">
        <f>净值原始!C5187</f>
        <v>45590</v>
      </c>
      <c r="G534" s="10">
        <f>净值原始!C5192</f>
        <v>45625</v>
      </c>
      <c r="H534" s="15">
        <f>净值原始!F5187</f>
        <v>1.1544</v>
      </c>
      <c r="I534" s="15">
        <f>净值原始!F5192</f>
        <v>1.1844</v>
      </c>
      <c r="J534" s="11">
        <f t="shared" si="24"/>
        <v>0.0259875259875257</v>
      </c>
      <c r="K534" s="9">
        <f>IF(COUNT(F534:I534)&lt;&gt;4,0,IF(AND(G534&gt;F534,H534&gt;0,I534&gt;0,L534&lt;='Sheet1-指标体系'!$J$31,M534&lt;='Sheet1-指标体系'!$J$31),1,0))</f>
        <v>1</v>
      </c>
      <c r="L534" s="9">
        <f t="shared" si="25"/>
        <v>6</v>
      </c>
      <c r="M534" s="9">
        <f t="shared" si="26"/>
        <v>1</v>
      </c>
    </row>
    <row r="535" ht="25" customHeight="1" spans="1:13">
      <c r="A535" s="9" t="s">
        <v>422</v>
      </c>
      <c r="B535" s="9" t="s">
        <v>421</v>
      </c>
      <c r="C535" s="9" t="s">
        <v>1043</v>
      </c>
      <c r="D535" s="10">
        <v>45626</v>
      </c>
      <c r="E535" s="10">
        <v>45657</v>
      </c>
      <c r="F535" s="10">
        <f>净值原始!C5192</f>
        <v>45625</v>
      </c>
      <c r="G535" s="10">
        <f>净值原始!C5196</f>
        <v>45653</v>
      </c>
      <c r="H535" s="15">
        <f>净值原始!F5192</f>
        <v>1.1844</v>
      </c>
      <c r="I535" s="15">
        <f>净值原始!F5196</f>
        <v>1.2</v>
      </c>
      <c r="J535" s="11">
        <f t="shared" si="24"/>
        <v>0.0131712259371835</v>
      </c>
      <c r="K535" s="9">
        <f>IF(COUNT(F535:I535)&lt;&gt;4,0,IF(AND(G535&gt;F535,H535&gt;0,I535&gt;0,L535&lt;='Sheet1-指标体系'!$J$31,M535&lt;='Sheet1-指标体系'!$J$31),1,0))</f>
        <v>1</v>
      </c>
      <c r="L535" s="9">
        <f t="shared" si="25"/>
        <v>1</v>
      </c>
      <c r="M535" s="9">
        <f t="shared" si="26"/>
        <v>4</v>
      </c>
    </row>
    <row r="536" ht="25" customHeight="1" spans="1:13">
      <c r="A536" s="9" t="s">
        <v>422</v>
      </c>
      <c r="B536" s="9" t="s">
        <v>421</v>
      </c>
      <c r="C536" s="9" t="s">
        <v>1044</v>
      </c>
      <c r="D536" s="10">
        <v>45657</v>
      </c>
      <c r="E536" s="10">
        <v>45688</v>
      </c>
      <c r="F536" s="10">
        <f>净值原始!C5196</f>
        <v>45653</v>
      </c>
      <c r="G536" s="10">
        <f>净值原始!C5201</f>
        <v>45684</v>
      </c>
      <c r="H536" s="15">
        <f>净值原始!F5196</f>
        <v>1.2</v>
      </c>
      <c r="I536" s="15">
        <f>净值原始!F5201</f>
        <v>1.2346</v>
      </c>
      <c r="J536" s="11">
        <f t="shared" si="24"/>
        <v>0.0288333333333333</v>
      </c>
      <c r="K536" s="9">
        <f>IF(COUNT(F536:I536)&lt;&gt;4,0,IF(AND(G536&gt;F536,H536&gt;0,I536&gt;0,L536&lt;='Sheet1-指标体系'!$J$31,M536&lt;='Sheet1-指标体系'!$J$31),1,0))</f>
        <v>1</v>
      </c>
      <c r="L536" s="9">
        <f t="shared" si="25"/>
        <v>4</v>
      </c>
      <c r="M536" s="9">
        <f t="shared" si="26"/>
        <v>4</v>
      </c>
    </row>
    <row r="537" ht="25" customHeight="1" spans="1:13">
      <c r="A537" s="9" t="s">
        <v>422</v>
      </c>
      <c r="B537" s="9" t="s">
        <v>421</v>
      </c>
      <c r="C537" s="9" t="s">
        <v>1045</v>
      </c>
      <c r="D537" s="10">
        <v>45688</v>
      </c>
      <c r="E537" s="10">
        <v>45716</v>
      </c>
      <c r="F537" s="10">
        <f>净值原始!C5201</f>
        <v>45684</v>
      </c>
      <c r="G537" s="10">
        <f>净值原始!C5205</f>
        <v>45716</v>
      </c>
      <c r="H537" s="15">
        <f>净值原始!F5201</f>
        <v>1.2346</v>
      </c>
      <c r="I537" s="15">
        <f>净值原始!F5205</f>
        <v>1.219</v>
      </c>
      <c r="J537" s="11">
        <f t="shared" si="24"/>
        <v>-0.0126356714725416</v>
      </c>
      <c r="K537" s="9">
        <f>IF(COUNT(F537:I537)&lt;&gt;4,0,IF(AND(G537&gt;F537,H537&gt;0,I537&gt;0,L537&lt;='Sheet1-指标体系'!$J$31,M537&lt;='Sheet1-指标体系'!$J$31),1,0))</f>
        <v>1</v>
      </c>
      <c r="L537" s="9">
        <f t="shared" si="25"/>
        <v>4</v>
      </c>
      <c r="M537" s="9">
        <f t="shared" si="26"/>
        <v>0</v>
      </c>
    </row>
    <row r="538" ht="25" customHeight="1" spans="1:13">
      <c r="A538" s="9" t="s">
        <v>422</v>
      </c>
      <c r="B538" s="9" t="s">
        <v>421</v>
      </c>
      <c r="C538" s="9" t="s">
        <v>1046</v>
      </c>
      <c r="D538" s="10">
        <v>45716</v>
      </c>
      <c r="E538" s="10">
        <v>45747</v>
      </c>
      <c r="F538" s="10">
        <f>净值原始!C5205</f>
        <v>45716</v>
      </c>
      <c r="G538" s="10">
        <f>净值原始!C5209</f>
        <v>45744</v>
      </c>
      <c r="H538" s="15">
        <f>净值原始!F5205</f>
        <v>1.219</v>
      </c>
      <c r="I538" s="15">
        <f>净值原始!F5209</f>
        <v>1.2211</v>
      </c>
      <c r="J538" s="11">
        <f t="shared" si="24"/>
        <v>0.00172272354388836</v>
      </c>
      <c r="K538" s="9">
        <f>IF(COUNT(F538:I538)&lt;&gt;4,0,IF(AND(G538&gt;F538,H538&gt;0,I538&gt;0,L538&lt;='Sheet1-指标体系'!$J$31,M538&lt;='Sheet1-指标体系'!$J$31),1,0))</f>
        <v>1</v>
      </c>
      <c r="L538" s="9">
        <f t="shared" si="25"/>
        <v>0</v>
      </c>
      <c r="M538" s="9">
        <f t="shared" si="26"/>
        <v>3</v>
      </c>
    </row>
    <row r="539" ht="25" customHeight="1" spans="1:13">
      <c r="A539" s="9" t="s">
        <v>422</v>
      </c>
      <c r="B539" s="9" t="s">
        <v>421</v>
      </c>
      <c r="C539" s="9" t="s">
        <v>1047</v>
      </c>
      <c r="D539" s="10">
        <v>45747</v>
      </c>
      <c r="E539" s="10">
        <v>45777</v>
      </c>
      <c r="F539" s="10">
        <f>净值原始!C5209</f>
        <v>45744</v>
      </c>
      <c r="G539" s="10">
        <f>净值原始!C5214</f>
        <v>45777</v>
      </c>
      <c r="H539" s="15">
        <f>净值原始!F5209</f>
        <v>1.2211</v>
      </c>
      <c r="I539" s="15">
        <f>净值原始!F5214</f>
        <v>1.2712</v>
      </c>
      <c r="J539" s="11">
        <f t="shared" si="24"/>
        <v>0.0410285807878144</v>
      </c>
      <c r="K539" s="9">
        <f>IF(COUNT(F539:I539)&lt;&gt;4,0,IF(AND(G539&gt;F539,H539&gt;0,I539&gt;0,L539&lt;='Sheet1-指标体系'!$J$31,M539&lt;='Sheet1-指标体系'!$J$31),1,0))</f>
        <v>1</v>
      </c>
      <c r="L539" s="9">
        <f t="shared" si="25"/>
        <v>3</v>
      </c>
      <c r="M539" s="9">
        <f t="shared" si="26"/>
        <v>0</v>
      </c>
    </row>
    <row r="540" ht="25" customHeight="1" spans="1:13">
      <c r="A540" s="9" t="s">
        <v>422</v>
      </c>
      <c r="B540" s="9" t="s">
        <v>421</v>
      </c>
      <c r="C540" s="9" t="s">
        <v>1048</v>
      </c>
      <c r="D540" s="10">
        <v>45777</v>
      </c>
      <c r="E540" s="10">
        <v>45808</v>
      </c>
      <c r="F540" s="10">
        <f>净值原始!C5214</f>
        <v>45777</v>
      </c>
      <c r="G540" s="10">
        <f>净值原始!C5218</f>
        <v>45807</v>
      </c>
      <c r="H540" s="15">
        <f>净值原始!F5214</f>
        <v>1.2712</v>
      </c>
      <c r="I540" s="15">
        <f>净值原始!F5218</f>
        <v>1.2957</v>
      </c>
      <c r="J540" s="11">
        <f t="shared" si="24"/>
        <v>0.019273127753304</v>
      </c>
      <c r="K540" s="9">
        <f>IF(COUNT(F540:I540)&lt;&gt;4,0,IF(AND(G540&gt;F540,H540&gt;0,I540&gt;0,L540&lt;='Sheet1-指标体系'!$J$31,M540&lt;='Sheet1-指标体系'!$J$31),1,0))</f>
        <v>1</v>
      </c>
      <c r="L540" s="9">
        <f t="shared" si="25"/>
        <v>0</v>
      </c>
      <c r="M540" s="9">
        <f t="shared" si="26"/>
        <v>1</v>
      </c>
    </row>
    <row r="541" ht="25" customHeight="1" spans="1:13">
      <c r="A541" s="9" t="s">
        <v>422</v>
      </c>
      <c r="B541" s="9" t="s">
        <v>421</v>
      </c>
      <c r="C541" s="9" t="s">
        <v>1049</v>
      </c>
      <c r="D541" s="10">
        <v>45808</v>
      </c>
      <c r="E541" s="10">
        <v>45838</v>
      </c>
      <c r="F541" s="10">
        <f>净值原始!C5218</f>
        <v>45807</v>
      </c>
      <c r="G541" s="10">
        <f>净值原始!C5222</f>
        <v>45835</v>
      </c>
      <c r="H541" s="15">
        <f>净值原始!F5218</f>
        <v>1.2957</v>
      </c>
      <c r="I541" s="15">
        <f>净值原始!F5222</f>
        <v>1.3014</v>
      </c>
      <c r="J541" s="11">
        <f t="shared" si="24"/>
        <v>0.00439916647372063</v>
      </c>
      <c r="K541" s="9">
        <f>IF(COUNT(F541:I541)&lt;&gt;4,0,IF(AND(G541&gt;F541,H541&gt;0,I541&gt;0,L541&lt;='Sheet1-指标体系'!$J$31,M541&lt;='Sheet1-指标体系'!$J$31),1,0))</f>
        <v>1</v>
      </c>
      <c r="L541" s="9">
        <f t="shared" si="25"/>
        <v>1</v>
      </c>
      <c r="M541" s="9">
        <f t="shared" si="26"/>
        <v>3</v>
      </c>
    </row>
    <row r="542" ht="25" customHeight="1" spans="1:13">
      <c r="A542" s="9" t="s">
        <v>422</v>
      </c>
      <c r="B542" s="9" t="s">
        <v>421</v>
      </c>
      <c r="C542" s="9" t="s">
        <v>1050</v>
      </c>
      <c r="D542" s="10">
        <v>45838</v>
      </c>
      <c r="E542" s="10">
        <v>45869</v>
      </c>
      <c r="F542" s="10">
        <f>净值原始!C5222</f>
        <v>45835</v>
      </c>
      <c r="G542" s="10">
        <f>净值原始!C5226</f>
        <v>45863</v>
      </c>
      <c r="H542" s="15">
        <f>净值原始!F5222</f>
        <v>1.3014</v>
      </c>
      <c r="I542" s="15">
        <f>净值原始!F5226</f>
        <v>1.3172</v>
      </c>
      <c r="J542" s="11">
        <f t="shared" si="24"/>
        <v>0.0121407714768711</v>
      </c>
      <c r="K542" s="9">
        <f>IF(COUNT(F542:I542)&lt;&gt;4,0,IF(AND(G542&gt;F542,H542&gt;0,I542&gt;0,L542&lt;='Sheet1-指标体系'!$J$31,M542&lt;='Sheet1-指标体系'!$J$31),1,0))</f>
        <v>1</v>
      </c>
      <c r="L542" s="9">
        <f t="shared" si="25"/>
        <v>3</v>
      </c>
      <c r="M542" s="9">
        <f t="shared" si="26"/>
        <v>6</v>
      </c>
    </row>
    <row r="543" ht="25" customHeight="1" spans="1:13">
      <c r="A543" s="9" t="s">
        <v>422</v>
      </c>
      <c r="B543" s="9" t="s">
        <v>421</v>
      </c>
      <c r="C543" s="9" t="s">
        <v>1051</v>
      </c>
      <c r="D543" s="10">
        <v>45869</v>
      </c>
      <c r="E543" s="10">
        <v>45900</v>
      </c>
      <c r="F543" s="10">
        <f>净值原始!C5226</f>
        <v>45863</v>
      </c>
      <c r="G543" s="10">
        <f>净值原始!C5231</f>
        <v>45898</v>
      </c>
      <c r="H543" s="15">
        <f>净值原始!F5226</f>
        <v>1.3172</v>
      </c>
      <c r="I543" s="15">
        <f>净值原始!F5231</f>
        <v>1.3123</v>
      </c>
      <c r="J543" s="11">
        <f t="shared" si="24"/>
        <v>-0.00372001214697837</v>
      </c>
      <c r="K543" s="9">
        <f>IF(COUNT(F543:I543)&lt;&gt;4,0,IF(AND(G543&gt;F543,H543&gt;0,I543&gt;0,L543&lt;='Sheet1-指标体系'!$J$31,M543&lt;='Sheet1-指标体系'!$J$31),1,0))</f>
        <v>1</v>
      </c>
      <c r="L543" s="9">
        <f t="shared" si="25"/>
        <v>6</v>
      </c>
      <c r="M543" s="9">
        <f t="shared" si="26"/>
        <v>2</v>
      </c>
    </row>
    <row r="544" ht="25" customHeight="1" spans="1:13">
      <c r="A544" s="9" t="s">
        <v>422</v>
      </c>
      <c r="B544" s="9" t="s">
        <v>421</v>
      </c>
      <c r="C544" s="9" t="s">
        <v>1052</v>
      </c>
      <c r="D544" s="10">
        <v>45900</v>
      </c>
      <c r="E544" s="10">
        <v>45930</v>
      </c>
      <c r="F544" s="10">
        <f>净值原始!C5231</f>
        <v>45898</v>
      </c>
      <c r="G544" s="10">
        <f>净值原始!C5236</f>
        <v>45930</v>
      </c>
      <c r="H544" s="15">
        <f>净值原始!F5231</f>
        <v>1.3123</v>
      </c>
      <c r="I544" s="15">
        <f>净值原始!F5236</f>
        <v>1.3148</v>
      </c>
      <c r="J544" s="11">
        <f t="shared" si="24"/>
        <v>0.00190505219843029</v>
      </c>
      <c r="K544" s="9">
        <f>IF(COUNT(F544:I544)&lt;&gt;4,0,IF(AND(G544&gt;F544,H544&gt;0,I544&gt;0,L544&lt;='Sheet1-指标体系'!$J$31,M544&lt;='Sheet1-指标体系'!$J$31),1,0))</f>
        <v>1</v>
      </c>
      <c r="L544" s="9">
        <f t="shared" si="25"/>
        <v>2</v>
      </c>
      <c r="M544" s="9">
        <f t="shared" si="26"/>
        <v>0</v>
      </c>
    </row>
    <row r="545" ht="25" customHeight="1" spans="1:13">
      <c r="A545" s="9" t="s">
        <v>422</v>
      </c>
      <c r="B545" s="9" t="s">
        <v>421</v>
      </c>
      <c r="C545" s="9" t="s">
        <v>1053</v>
      </c>
      <c r="D545" s="10">
        <v>45930</v>
      </c>
      <c r="E545" s="10">
        <v>45961</v>
      </c>
      <c r="F545" s="10">
        <f>净值原始!C5236</f>
        <v>45930</v>
      </c>
      <c r="G545" s="10">
        <f>净值原始!C5240</f>
        <v>45961</v>
      </c>
      <c r="H545" s="15">
        <f>净值原始!F5236</f>
        <v>1.3148</v>
      </c>
      <c r="I545" s="15">
        <f>净值原始!F5240</f>
        <v>1.3043</v>
      </c>
      <c r="J545" s="11">
        <f t="shared" si="24"/>
        <v>-0.00798600547611805</v>
      </c>
      <c r="K545" s="9">
        <f>IF(COUNT(F545:I545)&lt;&gt;4,0,IF(AND(G545&gt;F545,H545&gt;0,I545&gt;0,L545&lt;='Sheet1-指标体系'!$J$31,M545&lt;='Sheet1-指标体系'!$J$31),1,0))</f>
        <v>1</v>
      </c>
      <c r="L545" s="9">
        <f t="shared" si="25"/>
        <v>0</v>
      </c>
      <c r="M545" s="9">
        <f t="shared" si="26"/>
        <v>0</v>
      </c>
    </row>
    <row r="546" ht="25" customHeight="1" spans="1:13">
      <c r="A546" s="9" t="s">
        <v>422</v>
      </c>
      <c r="B546" s="9" t="s">
        <v>421</v>
      </c>
      <c r="C546" s="9" t="s">
        <v>1054</v>
      </c>
      <c r="D546" s="10">
        <v>45961</v>
      </c>
      <c r="E546" s="10">
        <v>45991</v>
      </c>
      <c r="F546" s="10">
        <f>净值原始!C5240</f>
        <v>45961</v>
      </c>
      <c r="G546" s="10">
        <f>净值原始!C5244</f>
        <v>45989</v>
      </c>
      <c r="H546" s="15">
        <f>净值原始!F5240</f>
        <v>1.3043</v>
      </c>
      <c r="I546" s="15">
        <f>净值原始!F5244</f>
        <v>1.2896</v>
      </c>
      <c r="J546" s="11">
        <f t="shared" si="24"/>
        <v>-0.0112704132484858</v>
      </c>
      <c r="K546" s="9">
        <f>IF(COUNT(F546:I546)&lt;&gt;4,0,IF(AND(G546&gt;F546,H546&gt;0,I546&gt;0,L546&lt;='Sheet1-指标体系'!$J$31,M546&lt;='Sheet1-指标体系'!$J$31),1,0))</f>
        <v>1</v>
      </c>
      <c r="L546" s="9">
        <f t="shared" si="25"/>
        <v>0</v>
      </c>
      <c r="M546" s="9">
        <f t="shared" si="26"/>
        <v>2</v>
      </c>
    </row>
    <row r="547" ht="25" customHeight="1" spans="1:13">
      <c r="A547" s="9" t="s">
        <v>422</v>
      </c>
      <c r="B547" s="9" t="s">
        <v>421</v>
      </c>
      <c r="C547" s="9" t="s">
        <v>1055</v>
      </c>
      <c r="D547" s="10">
        <v>45991</v>
      </c>
      <c r="E547" s="10">
        <v>46022</v>
      </c>
      <c r="F547" s="10">
        <f>净值原始!C5244</f>
        <v>45989</v>
      </c>
      <c r="G547" s="10">
        <f>净值原始!C5249</f>
        <v>46022</v>
      </c>
      <c r="H547" s="15">
        <f>净值原始!F5244</f>
        <v>1.2896</v>
      </c>
      <c r="I547" s="15">
        <f>净值原始!F5249</f>
        <v>1.2823</v>
      </c>
      <c r="J547" s="11">
        <f t="shared" si="24"/>
        <v>-0.00566066997518622</v>
      </c>
      <c r="K547" s="9">
        <f>IF(COUNT(F547:I547)&lt;&gt;4,0,IF(AND(G547&gt;F547,H547&gt;0,I547&gt;0,L547&lt;='Sheet1-指标体系'!$J$31,M547&lt;='Sheet1-指标体系'!$J$31),1,0))</f>
        <v>1</v>
      </c>
      <c r="L547" s="9">
        <f t="shared" si="25"/>
        <v>2</v>
      </c>
      <c r="M547" s="9">
        <f t="shared" si="26"/>
        <v>0</v>
      </c>
    </row>
    <row r="548" ht="25" customHeight="1" spans="1:13">
      <c r="A548" s="9" t="s">
        <v>422</v>
      </c>
      <c r="B548" s="9" t="s">
        <v>421</v>
      </c>
      <c r="C548" s="9" t="s">
        <v>1056</v>
      </c>
      <c r="D548" s="10">
        <v>46022</v>
      </c>
      <c r="E548" s="10">
        <v>46053</v>
      </c>
      <c r="F548" s="10">
        <f>净值原始!C5249</f>
        <v>46022</v>
      </c>
      <c r="G548" s="10">
        <f>净值原始!C5253</f>
        <v>46052</v>
      </c>
      <c r="H548" s="15">
        <f>净值原始!F5249</f>
        <v>1.2823</v>
      </c>
      <c r="I548" s="15">
        <f>净值原始!F5253</f>
        <v>1.3333</v>
      </c>
      <c r="J548" s="11">
        <f t="shared" si="24"/>
        <v>0.0397722841768697</v>
      </c>
      <c r="K548" s="9">
        <f>IF(COUNT(F548:I548)&lt;&gt;4,0,IF(AND(G548&gt;F548,H548&gt;0,I548&gt;0,L548&lt;='Sheet1-指标体系'!$J$31,M548&lt;='Sheet1-指标体系'!$J$31),1,0))</f>
        <v>1</v>
      </c>
      <c r="L548" s="9">
        <f t="shared" si="25"/>
        <v>0</v>
      </c>
      <c r="M548" s="9">
        <f t="shared" si="26"/>
        <v>1</v>
      </c>
    </row>
    <row r="549" ht="25" customHeight="1" spans="1:13">
      <c r="A549" s="9" t="s">
        <v>422</v>
      </c>
      <c r="B549" s="9" t="s">
        <v>421</v>
      </c>
      <c r="C549" s="9" t="s">
        <v>1057</v>
      </c>
      <c r="D549" s="10">
        <v>46053</v>
      </c>
      <c r="E549" s="10">
        <v>46081</v>
      </c>
      <c r="F549" s="10">
        <f>净值原始!C5253</f>
        <v>46052</v>
      </c>
      <c r="G549" s="10">
        <f>净值原始!C5256</f>
        <v>46080</v>
      </c>
      <c r="H549" s="15">
        <f>净值原始!F5253</f>
        <v>1.3333</v>
      </c>
      <c r="I549" s="15">
        <f>净值原始!F5256</f>
        <v>1.3342</v>
      </c>
      <c r="J549" s="11">
        <f t="shared" si="24"/>
        <v>0.00067501687542193</v>
      </c>
      <c r="K549" s="9">
        <f>IF(COUNT(F549:I549)&lt;&gt;4,0,IF(AND(G549&gt;F549,H549&gt;0,I549&gt;0,L549&lt;='Sheet1-指标体系'!$J$31,M549&lt;='Sheet1-指标体系'!$J$31),1,0))</f>
        <v>1</v>
      </c>
      <c r="L549" s="9">
        <f t="shared" si="25"/>
        <v>1</v>
      </c>
      <c r="M549" s="9">
        <f t="shared" si="26"/>
        <v>1</v>
      </c>
    </row>
    <row r="550" ht="25" customHeight="1" spans="1:13">
      <c r="A550" s="9" t="s">
        <v>422</v>
      </c>
      <c r="B550" s="9" t="s">
        <v>421</v>
      </c>
      <c r="C550" s="9" t="s">
        <v>1058</v>
      </c>
      <c r="D550" s="10">
        <v>46081</v>
      </c>
      <c r="E550" s="10">
        <v>46112</v>
      </c>
      <c r="F550" s="10">
        <f>净值原始!C5256</f>
        <v>46080</v>
      </c>
      <c r="G550" s="10">
        <f>净值原始!C5260</f>
        <v>46108</v>
      </c>
      <c r="H550" s="15">
        <f>净值原始!F5256</f>
        <v>1.3342</v>
      </c>
      <c r="I550" s="15">
        <f>净值原始!F5260</f>
        <v>1.323</v>
      </c>
      <c r="J550" s="11">
        <f t="shared" si="24"/>
        <v>-0.00839454354669478</v>
      </c>
      <c r="K550" s="9">
        <f>IF(COUNT(F550:I550)&lt;&gt;4,0,IF(AND(G550&gt;F550,H550&gt;0,I550&gt;0,L550&lt;='Sheet1-指标体系'!$J$31,M550&lt;='Sheet1-指标体系'!$J$31),1,0))</f>
        <v>1</v>
      </c>
      <c r="L550" s="9">
        <f t="shared" si="25"/>
        <v>1</v>
      </c>
      <c r="M550" s="9">
        <f t="shared" si="26"/>
        <v>4</v>
      </c>
    </row>
    <row r="551" ht="25" customHeight="1" spans="1:13">
      <c r="A551" s="9" t="s">
        <v>422</v>
      </c>
      <c r="B551" s="9" t="s">
        <v>421</v>
      </c>
      <c r="C551" s="9" t="s">
        <v>1059</v>
      </c>
      <c r="D551" s="10">
        <v>46112</v>
      </c>
      <c r="E551" s="10">
        <v>46142</v>
      </c>
      <c r="F551" s="10">
        <f>净值原始!C5260</f>
        <v>46108</v>
      </c>
      <c r="G551" s="10">
        <f>净值原始!C5265</f>
        <v>46142</v>
      </c>
      <c r="H551" s="15">
        <f>净值原始!F5260</f>
        <v>1.323</v>
      </c>
      <c r="I551" s="15">
        <f>净值原始!F5265</f>
        <v>1.3271</v>
      </c>
      <c r="J551" s="11">
        <f t="shared" si="24"/>
        <v>0.00309901738473162</v>
      </c>
      <c r="K551" s="9">
        <f>IF(COUNT(F551:I551)&lt;&gt;4,0,IF(AND(G551&gt;F551,H551&gt;0,I551&gt;0,L551&lt;='Sheet1-指标体系'!$J$31,M551&lt;='Sheet1-指标体系'!$J$31),1,0))</f>
        <v>1</v>
      </c>
      <c r="L551" s="9">
        <f t="shared" si="25"/>
        <v>4</v>
      </c>
      <c r="M551" s="9">
        <f t="shared" si="26"/>
        <v>0</v>
      </c>
    </row>
    <row r="552" ht="25" customHeight="1" spans="1:13">
      <c r="A552" s="9" t="s">
        <v>422</v>
      </c>
      <c r="B552" s="9" t="s">
        <v>421</v>
      </c>
      <c r="C552" s="9" t="s">
        <v>1060</v>
      </c>
      <c r="D552" s="10">
        <v>46142</v>
      </c>
      <c r="E552" s="10">
        <v>46173</v>
      </c>
      <c r="F552" s="10">
        <f>净值原始!C5265</f>
        <v>46142</v>
      </c>
      <c r="G552" s="10">
        <f>净值原始!C5269</f>
        <v>46171</v>
      </c>
      <c r="H552" s="15">
        <f>净值原始!F5265</f>
        <v>1.3271</v>
      </c>
      <c r="I552" s="15">
        <f>净值原始!F5269</f>
        <v>1.3155</v>
      </c>
      <c r="J552" s="11">
        <f t="shared" si="24"/>
        <v>-0.00874086353703574</v>
      </c>
      <c r="K552" s="9">
        <f>IF(COUNT(F552:I552)&lt;&gt;4,0,IF(AND(G552&gt;F552,H552&gt;0,I552&gt;0,L552&lt;='Sheet1-指标体系'!$J$31,M552&lt;='Sheet1-指标体系'!$J$31),1,0))</f>
        <v>1</v>
      </c>
      <c r="L552" s="9">
        <f t="shared" si="25"/>
        <v>0</v>
      </c>
      <c r="M552" s="9">
        <f t="shared" si="26"/>
        <v>2</v>
      </c>
    </row>
    <row r="553" ht="25" customHeight="1" spans="1:13">
      <c r="A553" s="9" t="s">
        <v>422</v>
      </c>
      <c r="B553" s="9" t="s">
        <v>421</v>
      </c>
      <c r="C553" s="9" t="s">
        <v>1061</v>
      </c>
      <c r="D553" s="10">
        <v>46173</v>
      </c>
      <c r="E553" s="10">
        <v>46203</v>
      </c>
      <c r="F553" s="10">
        <f>净值原始!C5269</f>
        <v>46171</v>
      </c>
      <c r="G553" s="10">
        <f>净值原始!C5273</f>
        <v>46199</v>
      </c>
      <c r="H553" s="15">
        <f>净值原始!F5269</f>
        <v>1.3155</v>
      </c>
      <c r="I553" s="15">
        <f>净值原始!F5273</f>
        <v>1.307</v>
      </c>
      <c r="J553" s="11">
        <f t="shared" si="24"/>
        <v>-0.00646142151273277</v>
      </c>
      <c r="K553" s="9">
        <f>IF(COUNT(F553:I553)&lt;&gt;4,0,IF(AND(G553&gt;F553,H553&gt;0,I553&gt;0,L553&lt;='Sheet1-指标体系'!$J$31,M553&lt;='Sheet1-指标体系'!$J$31),1,0))</f>
        <v>1</v>
      </c>
      <c r="L553" s="9">
        <f t="shared" si="25"/>
        <v>2</v>
      </c>
      <c r="M553" s="9">
        <f t="shared" si="26"/>
        <v>4</v>
      </c>
    </row>
    <row r="554" ht="25" customHeight="1" spans="1:13">
      <c r="A554" s="9" t="s">
        <v>422</v>
      </c>
      <c r="B554" s="9" t="s">
        <v>421</v>
      </c>
      <c r="C554" s="9" t="s">
        <v>1062</v>
      </c>
      <c r="D554" s="10">
        <v>46203</v>
      </c>
      <c r="E554" s="10">
        <v>46234</v>
      </c>
      <c r="F554" s="10">
        <f>净值原始!C5273</f>
        <v>46199</v>
      </c>
      <c r="G554" s="10">
        <f>净值原始!C5278</f>
        <v>46234</v>
      </c>
      <c r="H554" s="15">
        <f>净值原始!F5273</f>
        <v>1.307</v>
      </c>
      <c r="I554" s="15">
        <f>净值原始!F5278</f>
        <v>1.323</v>
      </c>
      <c r="J554" s="11">
        <f t="shared" si="24"/>
        <v>0.0122417750573833</v>
      </c>
      <c r="K554" s="9">
        <f>IF(COUNT(F554:I554)&lt;&gt;4,0,IF(AND(G554&gt;F554,H554&gt;0,I554&gt;0,L554&lt;='Sheet1-指标体系'!$J$31,M554&lt;='Sheet1-指标体系'!$J$31),1,0))</f>
        <v>1</v>
      </c>
      <c r="L554" s="9">
        <f t="shared" si="25"/>
        <v>4</v>
      </c>
      <c r="M554" s="9">
        <f t="shared" si="26"/>
        <v>0</v>
      </c>
    </row>
    <row r="555" ht="25" customHeight="1" spans="1:13">
      <c r="A555" s="9" t="s">
        <v>422</v>
      </c>
      <c r="B555" s="9" t="s">
        <v>421</v>
      </c>
      <c r="C555" s="9" t="s">
        <v>1063</v>
      </c>
      <c r="D555" s="10">
        <v>46234</v>
      </c>
      <c r="E555" s="10">
        <v>46265</v>
      </c>
      <c r="F555" s="10">
        <f>净值原始!C5278</f>
        <v>46234</v>
      </c>
      <c r="G555" s="10">
        <f>净值原始!C5282</f>
        <v>46262</v>
      </c>
      <c r="H555" s="15">
        <f>净值原始!F5278</f>
        <v>1.323</v>
      </c>
      <c r="I555" s="15">
        <f>净值原始!F5282</f>
        <v>1.3197</v>
      </c>
      <c r="J555" s="11">
        <f t="shared" si="24"/>
        <v>-0.00249433106575958</v>
      </c>
      <c r="K555" s="9">
        <f>IF(COUNT(F555:I555)&lt;&gt;4,0,IF(AND(G555&gt;F555,H555&gt;0,I555&gt;0,L555&lt;='Sheet1-指标体系'!$J$31,M555&lt;='Sheet1-指标体系'!$J$31),1,0))</f>
        <v>1</v>
      </c>
      <c r="L555" s="9">
        <f t="shared" si="25"/>
        <v>0</v>
      </c>
      <c r="M555" s="9">
        <f t="shared" si="26"/>
        <v>3</v>
      </c>
    </row>
    <row r="556" ht="25" customHeight="1" spans="1:13">
      <c r="A556" s="9" t="s">
        <v>422</v>
      </c>
      <c r="B556" s="9" t="s">
        <v>421</v>
      </c>
      <c r="C556" s="9" t="s">
        <v>1064</v>
      </c>
      <c r="D556" s="10">
        <v>46265</v>
      </c>
      <c r="E556" s="10">
        <v>46269</v>
      </c>
      <c r="F556" s="10">
        <f>净值原始!C5282</f>
        <v>46262</v>
      </c>
      <c r="G556" s="10">
        <f>净值原始!C5283</f>
        <v>46269</v>
      </c>
      <c r="H556" s="15">
        <f>净值原始!F5282</f>
        <v>1.3197</v>
      </c>
      <c r="I556" s="15">
        <f>净值原始!F5283</f>
        <v>1.321</v>
      </c>
      <c r="J556" s="11">
        <f t="shared" si="24"/>
        <v>0.000985072364931394</v>
      </c>
      <c r="K556" s="9">
        <f>IF(COUNT(F556:I556)&lt;&gt;4,0,IF(AND(G556&gt;F556,H556&gt;0,I556&gt;0,L556&lt;='Sheet1-指标体系'!$J$31,M556&lt;='Sheet1-指标体系'!$J$31),1,0))</f>
        <v>1</v>
      </c>
      <c r="L556" s="9">
        <f t="shared" si="25"/>
        <v>3</v>
      </c>
      <c r="M556" s="9">
        <f t="shared" si="26"/>
        <v>0</v>
      </c>
    </row>
    <row r="557" ht="25" customHeight="1" spans="1:13">
      <c r="A557" s="9" t="s">
        <v>225</v>
      </c>
      <c r="B557" s="9" t="s">
        <v>224</v>
      </c>
      <c r="C557" s="9" t="s">
        <v>1028</v>
      </c>
      <c r="D557" s="10">
        <v>45169</v>
      </c>
      <c r="E557" s="10">
        <v>45199</v>
      </c>
      <c r="F557" s="10"/>
      <c r="G557" s="10"/>
      <c r="H557" s="15"/>
      <c r="I557" s="15"/>
      <c r="J557" s="11" t="str">
        <f t="shared" si="24"/>
        <v/>
      </c>
      <c r="K557" s="9">
        <f>IF(COUNT(F557:I557)&lt;&gt;4,0,IF(AND(G557&gt;F557,H557&gt;0,I557&gt;0,L557&lt;='Sheet1-指标体系'!$J$31,M557&lt;='Sheet1-指标体系'!$J$31),1,0))</f>
        <v>0</v>
      </c>
      <c r="L557" s="9" t="str">
        <f t="shared" si="25"/>
        <v/>
      </c>
      <c r="M557" s="9" t="str">
        <f t="shared" si="26"/>
        <v/>
      </c>
    </row>
    <row r="558" ht="25" customHeight="1" spans="1:13">
      <c r="A558" s="9" t="s">
        <v>225</v>
      </c>
      <c r="B558" s="9" t="s">
        <v>224</v>
      </c>
      <c r="C558" s="9" t="s">
        <v>1029</v>
      </c>
      <c r="D558" s="10">
        <v>45199</v>
      </c>
      <c r="E558" s="10">
        <v>45230</v>
      </c>
      <c r="F558" s="10"/>
      <c r="G558" s="10"/>
      <c r="H558" s="15"/>
      <c r="I558" s="15"/>
      <c r="J558" s="11" t="str">
        <f t="shared" si="24"/>
        <v/>
      </c>
      <c r="K558" s="9">
        <f>IF(COUNT(F558:I558)&lt;&gt;4,0,IF(AND(G558&gt;F558,H558&gt;0,I558&gt;0,L558&lt;='Sheet1-指标体系'!$J$31,M558&lt;='Sheet1-指标体系'!$J$31),1,0))</f>
        <v>0</v>
      </c>
      <c r="L558" s="9" t="str">
        <f t="shared" si="25"/>
        <v/>
      </c>
      <c r="M558" s="9" t="str">
        <f t="shared" si="26"/>
        <v/>
      </c>
    </row>
    <row r="559" ht="25" customHeight="1" spans="1:13">
      <c r="A559" s="9" t="s">
        <v>225</v>
      </c>
      <c r="B559" s="9" t="s">
        <v>224</v>
      </c>
      <c r="C559" s="9" t="s">
        <v>1030</v>
      </c>
      <c r="D559" s="10">
        <v>45230</v>
      </c>
      <c r="E559" s="10">
        <v>45260</v>
      </c>
      <c r="F559" s="10"/>
      <c r="G559" s="10"/>
      <c r="H559" s="15"/>
      <c r="I559" s="15"/>
      <c r="J559" s="11" t="str">
        <f t="shared" si="24"/>
        <v/>
      </c>
      <c r="K559" s="9">
        <f>IF(COUNT(F559:I559)&lt;&gt;4,0,IF(AND(G559&gt;F559,H559&gt;0,I559&gt;0,L559&lt;='Sheet1-指标体系'!$J$31,M559&lt;='Sheet1-指标体系'!$J$31),1,0))</f>
        <v>0</v>
      </c>
      <c r="L559" s="9" t="str">
        <f t="shared" si="25"/>
        <v/>
      </c>
      <c r="M559" s="9" t="str">
        <f t="shared" si="26"/>
        <v/>
      </c>
    </row>
    <row r="560" ht="25" customHeight="1" spans="1:13">
      <c r="A560" s="9" t="s">
        <v>225</v>
      </c>
      <c r="B560" s="9" t="s">
        <v>224</v>
      </c>
      <c r="C560" s="9" t="s">
        <v>1031</v>
      </c>
      <c r="D560" s="10">
        <v>45260</v>
      </c>
      <c r="E560" s="10">
        <v>45291</v>
      </c>
      <c r="F560" s="10"/>
      <c r="G560" s="10"/>
      <c r="H560" s="15"/>
      <c r="I560" s="15"/>
      <c r="J560" s="11" t="str">
        <f t="shared" si="24"/>
        <v/>
      </c>
      <c r="K560" s="9">
        <f>IF(COUNT(F560:I560)&lt;&gt;4,0,IF(AND(G560&gt;F560,H560&gt;0,I560&gt;0,L560&lt;='Sheet1-指标体系'!$J$31,M560&lt;='Sheet1-指标体系'!$J$31),1,0))</f>
        <v>0</v>
      </c>
      <c r="L560" s="9" t="str">
        <f t="shared" si="25"/>
        <v/>
      </c>
      <c r="M560" s="9" t="str">
        <f t="shared" si="26"/>
        <v/>
      </c>
    </row>
    <row r="561" ht="25" customHeight="1" spans="1:13">
      <c r="A561" s="9" t="s">
        <v>225</v>
      </c>
      <c r="B561" s="9" t="s">
        <v>224</v>
      </c>
      <c r="C561" s="9" t="s">
        <v>1032</v>
      </c>
      <c r="D561" s="10">
        <v>45291</v>
      </c>
      <c r="E561" s="10">
        <v>45322</v>
      </c>
      <c r="F561" s="10"/>
      <c r="G561" s="10"/>
      <c r="H561" s="15"/>
      <c r="I561" s="15"/>
      <c r="J561" s="11" t="str">
        <f t="shared" si="24"/>
        <v/>
      </c>
      <c r="K561" s="9">
        <f>IF(COUNT(F561:I561)&lt;&gt;4,0,IF(AND(G561&gt;F561,H561&gt;0,I561&gt;0,L561&lt;='Sheet1-指标体系'!$J$31,M561&lt;='Sheet1-指标体系'!$J$31),1,0))</f>
        <v>0</v>
      </c>
      <c r="L561" s="9" t="str">
        <f t="shared" si="25"/>
        <v/>
      </c>
      <c r="M561" s="9" t="str">
        <f t="shared" si="26"/>
        <v/>
      </c>
    </row>
    <row r="562" ht="25" customHeight="1" spans="1:13">
      <c r="A562" s="9" t="s">
        <v>225</v>
      </c>
      <c r="B562" s="9" t="s">
        <v>224</v>
      </c>
      <c r="C562" s="9" t="s">
        <v>1033</v>
      </c>
      <c r="D562" s="10">
        <v>45322</v>
      </c>
      <c r="E562" s="10">
        <v>45351</v>
      </c>
      <c r="F562" s="10"/>
      <c r="G562" s="10"/>
      <c r="H562" s="15"/>
      <c r="I562" s="15"/>
      <c r="J562" s="11" t="str">
        <f t="shared" si="24"/>
        <v/>
      </c>
      <c r="K562" s="9">
        <f>IF(COUNT(F562:I562)&lt;&gt;4,0,IF(AND(G562&gt;F562,H562&gt;0,I562&gt;0,L562&lt;='Sheet1-指标体系'!$J$31,M562&lt;='Sheet1-指标体系'!$J$31),1,0))</f>
        <v>0</v>
      </c>
      <c r="L562" s="9" t="str">
        <f t="shared" si="25"/>
        <v/>
      </c>
      <c r="M562" s="9" t="str">
        <f t="shared" si="26"/>
        <v/>
      </c>
    </row>
    <row r="563" ht="25" customHeight="1" spans="1:13">
      <c r="A563" s="9" t="s">
        <v>225</v>
      </c>
      <c r="B563" s="9" t="s">
        <v>224</v>
      </c>
      <c r="C563" s="9" t="s">
        <v>1034</v>
      </c>
      <c r="D563" s="10">
        <v>45351</v>
      </c>
      <c r="E563" s="10">
        <v>45382</v>
      </c>
      <c r="F563" s="10"/>
      <c r="G563" s="10"/>
      <c r="H563" s="15"/>
      <c r="I563" s="15"/>
      <c r="J563" s="11" t="str">
        <f t="shared" si="24"/>
        <v/>
      </c>
      <c r="K563" s="9">
        <f>IF(COUNT(F563:I563)&lt;&gt;4,0,IF(AND(G563&gt;F563,H563&gt;0,I563&gt;0,L563&lt;='Sheet1-指标体系'!$J$31,M563&lt;='Sheet1-指标体系'!$J$31),1,0))</f>
        <v>0</v>
      </c>
      <c r="L563" s="9" t="str">
        <f t="shared" si="25"/>
        <v/>
      </c>
      <c r="M563" s="9" t="str">
        <f t="shared" si="26"/>
        <v/>
      </c>
    </row>
    <row r="564" ht="25" customHeight="1" spans="1:13">
      <c r="A564" s="9" t="s">
        <v>225</v>
      </c>
      <c r="B564" s="9" t="s">
        <v>224</v>
      </c>
      <c r="C564" s="9" t="s">
        <v>1035</v>
      </c>
      <c r="D564" s="10">
        <v>45382</v>
      </c>
      <c r="E564" s="10">
        <v>45412</v>
      </c>
      <c r="F564" s="10"/>
      <c r="G564" s="10"/>
      <c r="H564" s="15"/>
      <c r="I564" s="15"/>
      <c r="J564" s="11" t="str">
        <f t="shared" si="24"/>
        <v/>
      </c>
      <c r="K564" s="9">
        <f>IF(COUNT(F564:I564)&lt;&gt;4,0,IF(AND(G564&gt;F564,H564&gt;0,I564&gt;0,L564&lt;='Sheet1-指标体系'!$J$31,M564&lt;='Sheet1-指标体系'!$J$31),1,0))</f>
        <v>0</v>
      </c>
      <c r="L564" s="9" t="str">
        <f t="shared" si="25"/>
        <v/>
      </c>
      <c r="M564" s="9" t="str">
        <f t="shared" si="26"/>
        <v/>
      </c>
    </row>
    <row r="565" ht="25" customHeight="1" spans="1:13">
      <c r="A565" s="9" t="s">
        <v>225</v>
      </c>
      <c r="B565" s="9" t="s">
        <v>224</v>
      </c>
      <c r="C565" s="9" t="s">
        <v>1036</v>
      </c>
      <c r="D565" s="10">
        <v>45412</v>
      </c>
      <c r="E565" s="10">
        <v>45443</v>
      </c>
      <c r="F565" s="10"/>
      <c r="G565" s="10"/>
      <c r="H565" s="15"/>
      <c r="I565" s="15"/>
      <c r="J565" s="11" t="str">
        <f t="shared" si="24"/>
        <v/>
      </c>
      <c r="K565" s="9">
        <f>IF(COUNT(F565:I565)&lt;&gt;4,0,IF(AND(G565&gt;F565,H565&gt;0,I565&gt;0,L565&lt;='Sheet1-指标体系'!$J$31,M565&lt;='Sheet1-指标体系'!$J$31),1,0))</f>
        <v>0</v>
      </c>
      <c r="L565" s="9" t="str">
        <f t="shared" si="25"/>
        <v/>
      </c>
      <c r="M565" s="9" t="str">
        <f t="shared" si="26"/>
        <v/>
      </c>
    </row>
    <row r="566" ht="25" customHeight="1" spans="1:13">
      <c r="A566" s="9" t="s">
        <v>225</v>
      </c>
      <c r="B566" s="9" t="s">
        <v>224</v>
      </c>
      <c r="C566" s="9" t="s">
        <v>1037</v>
      </c>
      <c r="D566" s="10">
        <v>45443</v>
      </c>
      <c r="E566" s="10">
        <v>45473</v>
      </c>
      <c r="F566" s="10"/>
      <c r="G566" s="10"/>
      <c r="H566" s="15"/>
      <c r="I566" s="15"/>
      <c r="J566" s="11" t="str">
        <f t="shared" si="24"/>
        <v/>
      </c>
      <c r="K566" s="9">
        <f>IF(COUNT(F566:I566)&lt;&gt;4,0,IF(AND(G566&gt;F566,H566&gt;0,I566&gt;0,L566&lt;='Sheet1-指标体系'!$J$31,M566&lt;='Sheet1-指标体系'!$J$31),1,0))</f>
        <v>0</v>
      </c>
      <c r="L566" s="9" t="str">
        <f t="shared" si="25"/>
        <v/>
      </c>
      <c r="M566" s="9" t="str">
        <f t="shared" si="26"/>
        <v/>
      </c>
    </row>
    <row r="567" ht="25" customHeight="1" spans="1:13">
      <c r="A567" s="9" t="s">
        <v>225</v>
      </c>
      <c r="B567" s="9" t="s">
        <v>224</v>
      </c>
      <c r="C567" s="9" t="s">
        <v>1038</v>
      </c>
      <c r="D567" s="10">
        <v>45473</v>
      </c>
      <c r="E567" s="10">
        <v>45504</v>
      </c>
      <c r="F567" s="10"/>
      <c r="G567" s="10"/>
      <c r="H567" s="15"/>
      <c r="I567" s="15"/>
      <c r="J567" s="11" t="str">
        <f t="shared" si="24"/>
        <v/>
      </c>
      <c r="K567" s="9">
        <f>IF(COUNT(F567:I567)&lt;&gt;4,0,IF(AND(G567&gt;F567,H567&gt;0,I567&gt;0,L567&lt;='Sheet1-指标体系'!$J$31,M567&lt;='Sheet1-指标体系'!$J$31),1,0))</f>
        <v>0</v>
      </c>
      <c r="L567" s="9" t="str">
        <f t="shared" si="25"/>
        <v/>
      </c>
      <c r="M567" s="9" t="str">
        <f t="shared" si="26"/>
        <v/>
      </c>
    </row>
    <row r="568" ht="25" customHeight="1" spans="1:13">
      <c r="A568" s="9" t="s">
        <v>225</v>
      </c>
      <c r="B568" s="9" t="s">
        <v>224</v>
      </c>
      <c r="C568" s="9" t="s">
        <v>1039</v>
      </c>
      <c r="D568" s="10">
        <v>45504</v>
      </c>
      <c r="E568" s="10">
        <v>45535</v>
      </c>
      <c r="F568" s="10"/>
      <c r="G568" s="10"/>
      <c r="H568" s="15"/>
      <c r="I568" s="15"/>
      <c r="J568" s="11" t="str">
        <f t="shared" si="24"/>
        <v/>
      </c>
      <c r="K568" s="9">
        <f>IF(COUNT(F568:I568)&lt;&gt;4,0,IF(AND(G568&gt;F568,H568&gt;0,I568&gt;0,L568&lt;='Sheet1-指标体系'!$J$31,M568&lt;='Sheet1-指标体系'!$J$31),1,0))</f>
        <v>0</v>
      </c>
      <c r="L568" s="9" t="str">
        <f t="shared" si="25"/>
        <v/>
      </c>
      <c r="M568" s="9" t="str">
        <f t="shared" si="26"/>
        <v/>
      </c>
    </row>
    <row r="569" ht="25" customHeight="1" spans="1:13">
      <c r="A569" s="9" t="s">
        <v>225</v>
      </c>
      <c r="B569" s="9" t="s">
        <v>224</v>
      </c>
      <c r="C569" s="9" t="s">
        <v>1040</v>
      </c>
      <c r="D569" s="10">
        <v>45535</v>
      </c>
      <c r="E569" s="10">
        <v>45565</v>
      </c>
      <c r="F569" s="10"/>
      <c r="G569" s="10"/>
      <c r="H569" s="15"/>
      <c r="I569" s="15"/>
      <c r="J569" s="11" t="str">
        <f t="shared" si="24"/>
        <v/>
      </c>
      <c r="K569" s="9">
        <f>IF(COUNT(F569:I569)&lt;&gt;4,0,IF(AND(G569&gt;F569,H569&gt;0,I569&gt;0,L569&lt;='Sheet1-指标体系'!$J$31,M569&lt;='Sheet1-指标体系'!$J$31),1,0))</f>
        <v>0</v>
      </c>
      <c r="L569" s="9" t="str">
        <f t="shared" si="25"/>
        <v/>
      </c>
      <c r="M569" s="9" t="str">
        <f t="shared" si="26"/>
        <v/>
      </c>
    </row>
    <row r="570" ht="25" customHeight="1" spans="1:13">
      <c r="A570" s="9" t="s">
        <v>225</v>
      </c>
      <c r="B570" s="9" t="s">
        <v>224</v>
      </c>
      <c r="C570" s="9" t="s">
        <v>1041</v>
      </c>
      <c r="D570" s="10">
        <v>45565</v>
      </c>
      <c r="E570" s="10">
        <v>45596</v>
      </c>
      <c r="F570" s="10"/>
      <c r="G570" s="10"/>
      <c r="H570" s="15"/>
      <c r="I570" s="15"/>
      <c r="J570" s="11" t="str">
        <f t="shared" si="24"/>
        <v/>
      </c>
      <c r="K570" s="9">
        <f>IF(COUNT(F570:I570)&lt;&gt;4,0,IF(AND(G570&gt;F570,H570&gt;0,I570&gt;0,L570&lt;='Sheet1-指标体系'!$J$31,M570&lt;='Sheet1-指标体系'!$J$31),1,0))</f>
        <v>0</v>
      </c>
      <c r="L570" s="9" t="str">
        <f t="shared" si="25"/>
        <v/>
      </c>
      <c r="M570" s="9" t="str">
        <f t="shared" si="26"/>
        <v/>
      </c>
    </row>
    <row r="571" ht="25" customHeight="1" spans="1:13">
      <c r="A571" s="9" t="s">
        <v>225</v>
      </c>
      <c r="B571" s="9" t="s">
        <v>224</v>
      </c>
      <c r="C571" s="9" t="s">
        <v>1042</v>
      </c>
      <c r="D571" s="10">
        <v>45596</v>
      </c>
      <c r="E571" s="10">
        <v>45626</v>
      </c>
      <c r="F571" s="10"/>
      <c r="G571" s="10">
        <f>净值原始!C5287</f>
        <v>45625</v>
      </c>
      <c r="H571" s="15"/>
      <c r="I571" s="15">
        <f>净值原始!F5287</f>
        <v>1.798</v>
      </c>
      <c r="J571" s="11" t="str">
        <f t="shared" si="24"/>
        <v/>
      </c>
      <c r="K571" s="9">
        <f>IF(COUNT(F571:I571)&lt;&gt;4,0,IF(AND(G571&gt;F571,H571&gt;0,I571&gt;0,L571&lt;='Sheet1-指标体系'!$J$31,M571&lt;='Sheet1-指标体系'!$J$31),1,0))</f>
        <v>0</v>
      </c>
      <c r="L571" s="9" t="str">
        <f t="shared" si="25"/>
        <v/>
      </c>
      <c r="M571" s="9">
        <f t="shared" si="26"/>
        <v>1</v>
      </c>
    </row>
    <row r="572" ht="25" customHeight="1" spans="1:13">
      <c r="A572" s="9" t="s">
        <v>225</v>
      </c>
      <c r="B572" s="9" t="s">
        <v>224</v>
      </c>
      <c r="C572" s="9" t="s">
        <v>1043</v>
      </c>
      <c r="D572" s="10">
        <v>45626</v>
      </c>
      <c r="E572" s="10">
        <v>45657</v>
      </c>
      <c r="F572" s="10">
        <f>净值原始!C5287</f>
        <v>45625</v>
      </c>
      <c r="G572" s="10">
        <f>净值原始!C5292</f>
        <v>45657</v>
      </c>
      <c r="H572" s="15">
        <f>净值原始!F5287</f>
        <v>1.798</v>
      </c>
      <c r="I572" s="15">
        <f>净值原始!F5292</f>
        <v>1.786</v>
      </c>
      <c r="J572" s="11">
        <f t="shared" si="24"/>
        <v>-0.00667408231368183</v>
      </c>
      <c r="K572" s="9">
        <f>IF(COUNT(F572:I572)&lt;&gt;4,0,IF(AND(G572&gt;F572,H572&gt;0,I572&gt;0,L572&lt;='Sheet1-指标体系'!$J$31,M572&lt;='Sheet1-指标体系'!$J$31),1,0))</f>
        <v>1</v>
      </c>
      <c r="L572" s="9">
        <f t="shared" si="25"/>
        <v>1</v>
      </c>
      <c r="M572" s="9">
        <f t="shared" si="26"/>
        <v>0</v>
      </c>
    </row>
    <row r="573" ht="25" customHeight="1" spans="1:13">
      <c r="A573" s="9" t="s">
        <v>225</v>
      </c>
      <c r="B573" s="9" t="s">
        <v>224</v>
      </c>
      <c r="C573" s="9" t="s">
        <v>1044</v>
      </c>
      <c r="D573" s="10">
        <v>45657</v>
      </c>
      <c r="E573" s="10">
        <v>45688</v>
      </c>
      <c r="F573" s="10">
        <f>净值原始!C5292</f>
        <v>45657</v>
      </c>
      <c r="G573" s="10">
        <f>净值原始!C5297</f>
        <v>45684</v>
      </c>
      <c r="H573" s="15">
        <f>净值原始!F5292</f>
        <v>1.786</v>
      </c>
      <c r="I573" s="15">
        <f>净值原始!F5297</f>
        <v>1.793</v>
      </c>
      <c r="J573" s="11">
        <f t="shared" si="24"/>
        <v>0.00391937290033595</v>
      </c>
      <c r="K573" s="9">
        <f>IF(COUNT(F573:I573)&lt;&gt;4,0,IF(AND(G573&gt;F573,H573&gt;0,I573&gt;0,L573&lt;='Sheet1-指标体系'!$J$31,M573&lt;='Sheet1-指标体系'!$J$31),1,0))</f>
        <v>1</v>
      </c>
      <c r="L573" s="9">
        <f t="shared" si="25"/>
        <v>0</v>
      </c>
      <c r="M573" s="9">
        <f t="shared" si="26"/>
        <v>4</v>
      </c>
    </row>
    <row r="574" ht="25" customHeight="1" spans="1:13">
      <c r="A574" s="9" t="s">
        <v>225</v>
      </c>
      <c r="B574" s="9" t="s">
        <v>224</v>
      </c>
      <c r="C574" s="9" t="s">
        <v>1045</v>
      </c>
      <c r="D574" s="10">
        <v>45688</v>
      </c>
      <c r="E574" s="10">
        <v>45716</v>
      </c>
      <c r="F574" s="10">
        <f>净值原始!C5297</f>
        <v>45684</v>
      </c>
      <c r="G574" s="10">
        <f>净值原始!C5301</f>
        <v>45716</v>
      </c>
      <c r="H574" s="15">
        <f>净值原始!F5297</f>
        <v>1.793</v>
      </c>
      <c r="I574" s="15">
        <f>净值原始!F5301</f>
        <v>1.853</v>
      </c>
      <c r="J574" s="11">
        <f t="shared" si="24"/>
        <v>0.0334634690462912</v>
      </c>
      <c r="K574" s="9">
        <f>IF(COUNT(F574:I574)&lt;&gt;4,0,IF(AND(G574&gt;F574,H574&gt;0,I574&gt;0,L574&lt;='Sheet1-指标体系'!$J$31,M574&lt;='Sheet1-指标体系'!$J$31),1,0))</f>
        <v>1</v>
      </c>
      <c r="L574" s="9">
        <f t="shared" si="25"/>
        <v>4</v>
      </c>
      <c r="M574" s="9">
        <f t="shared" si="26"/>
        <v>0</v>
      </c>
    </row>
    <row r="575" ht="25" customHeight="1" spans="1:13">
      <c r="A575" s="9" t="s">
        <v>225</v>
      </c>
      <c r="B575" s="9" t="s">
        <v>224</v>
      </c>
      <c r="C575" s="9" t="s">
        <v>1046</v>
      </c>
      <c r="D575" s="10">
        <v>45716</v>
      </c>
      <c r="E575" s="10">
        <v>45747</v>
      </c>
      <c r="F575" s="10">
        <f>净值原始!C5301</f>
        <v>45716</v>
      </c>
      <c r="G575" s="10">
        <f>净值原始!C5306</f>
        <v>45747</v>
      </c>
      <c r="H575" s="15">
        <f>净值原始!F5301</f>
        <v>1.853</v>
      </c>
      <c r="I575" s="15">
        <f>净值原始!F5306</f>
        <v>1.859</v>
      </c>
      <c r="J575" s="11">
        <f t="shared" si="24"/>
        <v>0.00323799244468437</v>
      </c>
      <c r="K575" s="9">
        <f>IF(COUNT(F575:I575)&lt;&gt;4,0,IF(AND(G575&gt;F575,H575&gt;0,I575&gt;0,L575&lt;='Sheet1-指标体系'!$J$31,M575&lt;='Sheet1-指标体系'!$J$31),1,0))</f>
        <v>1</v>
      </c>
      <c r="L575" s="9">
        <f t="shared" si="25"/>
        <v>0</v>
      </c>
      <c r="M575" s="9">
        <f t="shared" si="26"/>
        <v>0</v>
      </c>
    </row>
    <row r="576" ht="25" customHeight="1" spans="1:13">
      <c r="A576" s="9" t="s">
        <v>225</v>
      </c>
      <c r="B576" s="9" t="s">
        <v>224</v>
      </c>
      <c r="C576" s="9" t="s">
        <v>1047</v>
      </c>
      <c r="D576" s="10">
        <v>45747</v>
      </c>
      <c r="E576" s="10">
        <v>45777</v>
      </c>
      <c r="F576" s="10">
        <f>净值原始!C5306</f>
        <v>45747</v>
      </c>
      <c r="G576" s="10">
        <f>净值原始!C5311</f>
        <v>45777</v>
      </c>
      <c r="H576" s="15">
        <f>净值原始!F5306</f>
        <v>1.859</v>
      </c>
      <c r="I576" s="15">
        <f>净值原始!F5311</f>
        <v>1.759</v>
      </c>
      <c r="J576" s="11">
        <f t="shared" si="24"/>
        <v>-0.0537923614846693</v>
      </c>
      <c r="K576" s="9">
        <f>IF(COUNT(F576:I576)&lt;&gt;4,0,IF(AND(G576&gt;F576,H576&gt;0,I576&gt;0,L576&lt;='Sheet1-指标体系'!$J$31,M576&lt;='Sheet1-指标体系'!$J$31),1,0))</f>
        <v>1</v>
      </c>
      <c r="L576" s="9">
        <f t="shared" si="25"/>
        <v>0</v>
      </c>
      <c r="M576" s="9">
        <f t="shared" si="26"/>
        <v>0</v>
      </c>
    </row>
    <row r="577" ht="25" customHeight="1" spans="1:13">
      <c r="A577" s="9" t="s">
        <v>225</v>
      </c>
      <c r="B577" s="9" t="s">
        <v>224</v>
      </c>
      <c r="C577" s="9" t="s">
        <v>1048</v>
      </c>
      <c r="D577" s="10">
        <v>45777</v>
      </c>
      <c r="E577" s="10">
        <v>45808</v>
      </c>
      <c r="F577" s="10">
        <f>净值原始!C5311</f>
        <v>45777</v>
      </c>
      <c r="G577" s="10">
        <f>净值原始!C5315</f>
        <v>45807</v>
      </c>
      <c r="H577" s="15">
        <f>净值原始!F5311</f>
        <v>1.759</v>
      </c>
      <c r="I577" s="15">
        <f>净值原始!F5315</f>
        <v>1.781</v>
      </c>
      <c r="J577" s="11">
        <f t="shared" si="24"/>
        <v>0.0125071063104036</v>
      </c>
      <c r="K577" s="9">
        <f>IF(COUNT(F577:I577)&lt;&gt;4,0,IF(AND(G577&gt;F577,H577&gt;0,I577&gt;0,L577&lt;='Sheet1-指标体系'!$J$31,M577&lt;='Sheet1-指标体系'!$J$31),1,0))</f>
        <v>1</v>
      </c>
      <c r="L577" s="9">
        <f t="shared" si="25"/>
        <v>0</v>
      </c>
      <c r="M577" s="9">
        <f t="shared" si="26"/>
        <v>1</v>
      </c>
    </row>
    <row r="578" ht="25" customHeight="1" spans="1:13">
      <c r="A578" s="9" t="s">
        <v>225</v>
      </c>
      <c r="B578" s="9" t="s">
        <v>224</v>
      </c>
      <c r="C578" s="9" t="s">
        <v>1049</v>
      </c>
      <c r="D578" s="10">
        <v>45808</v>
      </c>
      <c r="E578" s="10">
        <v>45838</v>
      </c>
      <c r="F578" s="10">
        <f>净值原始!C5315</f>
        <v>45807</v>
      </c>
      <c r="G578" s="10">
        <f>净值原始!C5320</f>
        <v>45838</v>
      </c>
      <c r="H578" s="15">
        <f>净值原始!F5315</f>
        <v>1.781</v>
      </c>
      <c r="I578" s="15">
        <f>净值原始!F5320</f>
        <v>1.866</v>
      </c>
      <c r="J578" s="11">
        <f t="shared" ref="J578:J641" si="27">IF(K578=1,I578/H578-1,"")</f>
        <v>0.0477259966311063</v>
      </c>
      <c r="K578" s="9">
        <f>IF(COUNT(F578:I578)&lt;&gt;4,0,IF(AND(G578&gt;F578,H578&gt;0,I578&gt;0,L578&lt;='Sheet1-指标体系'!$J$31,M578&lt;='Sheet1-指标体系'!$J$31),1,0))</f>
        <v>1</v>
      </c>
      <c r="L578" s="9">
        <f t="shared" ref="L578:L641" si="28">IF(ISNUMBER(F578),D578-F578,"")</f>
        <v>1</v>
      </c>
      <c r="M578" s="9">
        <f t="shared" ref="M578:M641" si="29">IF(ISNUMBER(G578),E578-G578,"")</f>
        <v>0</v>
      </c>
    </row>
    <row r="579" ht="25" customHeight="1" spans="1:13">
      <c r="A579" s="9" t="s">
        <v>225</v>
      </c>
      <c r="B579" s="9" t="s">
        <v>224</v>
      </c>
      <c r="C579" s="9" t="s">
        <v>1050</v>
      </c>
      <c r="D579" s="10">
        <v>45838</v>
      </c>
      <c r="E579" s="10">
        <v>45869</v>
      </c>
      <c r="F579" s="10">
        <f>净值原始!C5320</f>
        <v>45838</v>
      </c>
      <c r="G579" s="10">
        <f>净值原始!C5325</f>
        <v>45869</v>
      </c>
      <c r="H579" s="15">
        <f>净值原始!F5320</f>
        <v>1.866</v>
      </c>
      <c r="I579" s="15">
        <f>净值原始!F5325</f>
        <v>2.035</v>
      </c>
      <c r="J579" s="11">
        <f t="shared" si="27"/>
        <v>0.0905680600214362</v>
      </c>
      <c r="K579" s="9">
        <f>IF(COUNT(F579:I579)&lt;&gt;4,0,IF(AND(G579&gt;F579,H579&gt;0,I579&gt;0,L579&lt;='Sheet1-指标体系'!$J$31,M579&lt;='Sheet1-指标体系'!$J$31),1,0))</f>
        <v>1</v>
      </c>
      <c r="L579" s="9">
        <f t="shared" si="28"/>
        <v>0</v>
      </c>
      <c r="M579" s="9">
        <f t="shared" si="29"/>
        <v>0</v>
      </c>
    </row>
    <row r="580" ht="25" customHeight="1" spans="1:13">
      <c r="A580" s="9" t="s">
        <v>225</v>
      </c>
      <c r="B580" s="9" t="s">
        <v>224</v>
      </c>
      <c r="C580" s="9" t="s">
        <v>1051</v>
      </c>
      <c r="D580" s="10">
        <v>45869</v>
      </c>
      <c r="E580" s="10">
        <v>45900</v>
      </c>
      <c r="F580" s="10">
        <f>净值原始!C5325</f>
        <v>45869</v>
      </c>
      <c r="G580" s="10">
        <f>净值原始!C5330</f>
        <v>45898</v>
      </c>
      <c r="H580" s="15">
        <f>净值原始!F5325</f>
        <v>2.035</v>
      </c>
      <c r="I580" s="15">
        <f>净值原始!F5330</f>
        <v>2.041</v>
      </c>
      <c r="J580" s="11">
        <f t="shared" si="27"/>
        <v>0.00294840294840282</v>
      </c>
      <c r="K580" s="9">
        <f>IF(COUNT(F580:I580)&lt;&gt;4,0,IF(AND(G580&gt;F580,H580&gt;0,I580&gt;0,L580&lt;='Sheet1-指标体系'!$J$31,M580&lt;='Sheet1-指标体系'!$J$31),1,0))</f>
        <v>1</v>
      </c>
      <c r="L580" s="9">
        <f t="shared" si="28"/>
        <v>0</v>
      </c>
      <c r="M580" s="9">
        <f t="shared" si="29"/>
        <v>2</v>
      </c>
    </row>
    <row r="581" ht="25" customHeight="1" spans="1:13">
      <c r="A581" s="9" t="s">
        <v>225</v>
      </c>
      <c r="B581" s="9" t="s">
        <v>224</v>
      </c>
      <c r="C581" s="9" t="s">
        <v>1052</v>
      </c>
      <c r="D581" s="10">
        <v>45900</v>
      </c>
      <c r="E581" s="10">
        <v>45930</v>
      </c>
      <c r="F581" s="10">
        <f>净值原始!C5330</f>
        <v>45898</v>
      </c>
      <c r="G581" s="10">
        <f>净值原始!C5335</f>
        <v>45930</v>
      </c>
      <c r="H581" s="15">
        <f>净值原始!F5330</f>
        <v>2.041</v>
      </c>
      <c r="I581" s="15">
        <f>净值原始!F5335</f>
        <v>2.035</v>
      </c>
      <c r="J581" s="11">
        <f t="shared" si="27"/>
        <v>-0.00293973542381176</v>
      </c>
      <c r="K581" s="9">
        <f>IF(COUNT(F581:I581)&lt;&gt;4,0,IF(AND(G581&gt;F581,H581&gt;0,I581&gt;0,L581&lt;='Sheet1-指标体系'!$J$31,M581&lt;='Sheet1-指标体系'!$J$31),1,0))</f>
        <v>1</v>
      </c>
      <c r="L581" s="9">
        <f t="shared" si="28"/>
        <v>2</v>
      </c>
      <c r="M581" s="9">
        <f t="shared" si="29"/>
        <v>0</v>
      </c>
    </row>
    <row r="582" ht="25" customHeight="1" spans="1:13">
      <c r="A582" s="9" t="s">
        <v>225</v>
      </c>
      <c r="B582" s="9" t="s">
        <v>224</v>
      </c>
      <c r="C582" s="9" t="s">
        <v>1053</v>
      </c>
      <c r="D582" s="10">
        <v>45930</v>
      </c>
      <c r="E582" s="10">
        <v>45961</v>
      </c>
      <c r="F582" s="10">
        <f>净值原始!C5335</f>
        <v>45930</v>
      </c>
      <c r="G582" s="10">
        <f>净值原始!C5339</f>
        <v>45961</v>
      </c>
      <c r="H582" s="15">
        <f>净值原始!F5335</f>
        <v>2.035</v>
      </c>
      <c r="I582" s="15">
        <f>净值原始!F5339</f>
        <v>2.073</v>
      </c>
      <c r="J582" s="11">
        <f t="shared" si="27"/>
        <v>0.0186732186732186</v>
      </c>
      <c r="K582" s="9">
        <f>IF(COUNT(F582:I582)&lt;&gt;4,0,IF(AND(G582&gt;F582,H582&gt;0,I582&gt;0,L582&lt;='Sheet1-指标体系'!$J$31,M582&lt;='Sheet1-指标体系'!$J$31),1,0))</f>
        <v>1</v>
      </c>
      <c r="L582" s="9">
        <f t="shared" si="28"/>
        <v>0</v>
      </c>
      <c r="M582" s="9">
        <f t="shared" si="29"/>
        <v>0</v>
      </c>
    </row>
    <row r="583" ht="25" customHeight="1" spans="1:13">
      <c r="A583" s="9" t="s">
        <v>225</v>
      </c>
      <c r="B583" s="9" t="s">
        <v>224</v>
      </c>
      <c r="C583" s="9" t="s">
        <v>1054</v>
      </c>
      <c r="D583" s="10">
        <v>45961</v>
      </c>
      <c r="E583" s="10">
        <v>45991</v>
      </c>
      <c r="F583" s="10">
        <f>净值原始!C5339</f>
        <v>45961</v>
      </c>
      <c r="G583" s="10">
        <f>净值原始!C5343</f>
        <v>45989</v>
      </c>
      <c r="H583" s="15">
        <f>净值原始!F5339</f>
        <v>2.073</v>
      </c>
      <c r="I583" s="15">
        <f>净值原始!F5343</f>
        <v>2.074</v>
      </c>
      <c r="J583" s="11">
        <f t="shared" si="27"/>
        <v>0.000482392667631393</v>
      </c>
      <c r="K583" s="9">
        <f>IF(COUNT(F583:I583)&lt;&gt;4,0,IF(AND(G583&gt;F583,H583&gt;0,I583&gt;0,L583&lt;='Sheet1-指标体系'!$J$31,M583&lt;='Sheet1-指标体系'!$J$31),1,0))</f>
        <v>1</v>
      </c>
      <c r="L583" s="9">
        <f t="shared" si="28"/>
        <v>0</v>
      </c>
      <c r="M583" s="9">
        <f t="shared" si="29"/>
        <v>2</v>
      </c>
    </row>
    <row r="584" ht="25" customHeight="1" spans="1:13">
      <c r="A584" s="9" t="s">
        <v>225</v>
      </c>
      <c r="B584" s="9" t="s">
        <v>224</v>
      </c>
      <c r="C584" s="9" t="s">
        <v>1055</v>
      </c>
      <c r="D584" s="10">
        <v>45991</v>
      </c>
      <c r="E584" s="10">
        <v>46022</v>
      </c>
      <c r="F584" s="10">
        <f>净值原始!C5343</f>
        <v>45989</v>
      </c>
      <c r="G584" s="10">
        <f>净值原始!C5348</f>
        <v>46022</v>
      </c>
      <c r="H584" s="15">
        <f>净值原始!F5343</f>
        <v>2.074</v>
      </c>
      <c r="I584" s="15">
        <f>净值原始!F5348</f>
        <v>2.232</v>
      </c>
      <c r="J584" s="11">
        <f t="shared" si="27"/>
        <v>0.0761812921890068</v>
      </c>
      <c r="K584" s="9">
        <f>IF(COUNT(F584:I584)&lt;&gt;4,0,IF(AND(G584&gt;F584,H584&gt;0,I584&gt;0,L584&lt;='Sheet1-指标体系'!$J$31,M584&lt;='Sheet1-指标体系'!$J$31),1,0))</f>
        <v>1</v>
      </c>
      <c r="L584" s="9">
        <f t="shared" si="28"/>
        <v>2</v>
      </c>
      <c r="M584" s="9">
        <f t="shared" si="29"/>
        <v>0</v>
      </c>
    </row>
    <row r="585" ht="25" customHeight="1" spans="1:13">
      <c r="A585" s="9" t="s">
        <v>225</v>
      </c>
      <c r="B585" s="9" t="s">
        <v>224</v>
      </c>
      <c r="C585" s="9" t="s">
        <v>1056</v>
      </c>
      <c r="D585" s="10">
        <v>46022</v>
      </c>
      <c r="E585" s="10">
        <v>46053</v>
      </c>
      <c r="F585" s="10">
        <f>净值原始!C5348</f>
        <v>46022</v>
      </c>
      <c r="G585" s="10">
        <f>净值原始!C5352</f>
        <v>46052</v>
      </c>
      <c r="H585" s="15">
        <f>净值原始!F5348</f>
        <v>2.232</v>
      </c>
      <c r="I585" s="15">
        <f>净值原始!F5352</f>
        <v>2.36</v>
      </c>
      <c r="J585" s="11">
        <f t="shared" si="27"/>
        <v>0.0573476702508959</v>
      </c>
      <c r="K585" s="9">
        <f>IF(COUNT(F585:I585)&lt;&gt;4,0,IF(AND(G585&gt;F585,H585&gt;0,I585&gt;0,L585&lt;='Sheet1-指标体系'!$J$31,M585&lt;='Sheet1-指标体系'!$J$31),1,0))</f>
        <v>1</v>
      </c>
      <c r="L585" s="9">
        <f t="shared" si="28"/>
        <v>0</v>
      </c>
      <c r="M585" s="9">
        <f t="shared" si="29"/>
        <v>1</v>
      </c>
    </row>
    <row r="586" ht="25" customHeight="1" spans="1:13">
      <c r="A586" s="9" t="s">
        <v>225</v>
      </c>
      <c r="B586" s="9" t="s">
        <v>224</v>
      </c>
      <c r="C586" s="9" t="s">
        <v>1057</v>
      </c>
      <c r="D586" s="10">
        <v>46053</v>
      </c>
      <c r="E586" s="10">
        <v>46081</v>
      </c>
      <c r="F586" s="10">
        <f>净值原始!C5352</f>
        <v>46052</v>
      </c>
      <c r="G586" s="10">
        <f>净值原始!C5355</f>
        <v>46080</v>
      </c>
      <c r="H586" s="15">
        <f>净值原始!F5352</f>
        <v>2.36</v>
      </c>
      <c r="I586" s="15">
        <f>净值原始!F5355</f>
        <v>2.388</v>
      </c>
      <c r="J586" s="11">
        <f t="shared" si="27"/>
        <v>0.0118644067796609</v>
      </c>
      <c r="K586" s="9">
        <f>IF(COUNT(F586:I586)&lt;&gt;4,0,IF(AND(G586&gt;F586,H586&gt;0,I586&gt;0,L586&lt;='Sheet1-指标体系'!$J$31,M586&lt;='Sheet1-指标体系'!$J$31),1,0))</f>
        <v>1</v>
      </c>
      <c r="L586" s="9">
        <f t="shared" si="28"/>
        <v>1</v>
      </c>
      <c r="M586" s="9">
        <f t="shared" si="29"/>
        <v>1</v>
      </c>
    </row>
    <row r="587" ht="25" customHeight="1" spans="1:13">
      <c r="A587" s="9" t="s">
        <v>225</v>
      </c>
      <c r="B587" s="9" t="s">
        <v>224</v>
      </c>
      <c r="C587" s="9" t="s">
        <v>1058</v>
      </c>
      <c r="D587" s="10">
        <v>46081</v>
      </c>
      <c r="E587" s="10">
        <v>46112</v>
      </c>
      <c r="F587" s="10">
        <f>净值原始!C5355</f>
        <v>46080</v>
      </c>
      <c r="G587" s="10">
        <f>净值原始!C5359</f>
        <v>46108</v>
      </c>
      <c r="H587" s="15">
        <f>净值原始!F5355</f>
        <v>2.388</v>
      </c>
      <c r="I587" s="15">
        <f>净值原始!F5359</f>
        <v>2.538</v>
      </c>
      <c r="J587" s="11">
        <f t="shared" si="27"/>
        <v>0.0628140703517588</v>
      </c>
      <c r="K587" s="9">
        <f>IF(COUNT(F587:I587)&lt;&gt;4,0,IF(AND(G587&gt;F587,H587&gt;0,I587&gt;0,L587&lt;='Sheet1-指标体系'!$J$31,M587&lt;='Sheet1-指标体系'!$J$31),1,0))</f>
        <v>1</v>
      </c>
      <c r="L587" s="9">
        <f t="shared" si="28"/>
        <v>1</v>
      </c>
      <c r="M587" s="9">
        <f t="shared" si="29"/>
        <v>4</v>
      </c>
    </row>
    <row r="588" ht="25" customHeight="1" spans="1:13">
      <c r="A588" s="9" t="s">
        <v>225</v>
      </c>
      <c r="B588" s="9" t="s">
        <v>224</v>
      </c>
      <c r="C588" s="9" t="s">
        <v>1059</v>
      </c>
      <c r="D588" s="10">
        <v>46112</v>
      </c>
      <c r="E588" s="10">
        <v>46142</v>
      </c>
      <c r="F588" s="10">
        <f>净值原始!C5359</f>
        <v>46108</v>
      </c>
      <c r="G588" s="10">
        <f>净值原始!C5364</f>
        <v>46142</v>
      </c>
      <c r="H588" s="15">
        <f>净值原始!F5359</f>
        <v>2.538</v>
      </c>
      <c r="I588" s="15">
        <f>净值原始!F5364</f>
        <v>2.727</v>
      </c>
      <c r="J588" s="11">
        <f t="shared" si="27"/>
        <v>0.074468085106383</v>
      </c>
      <c r="K588" s="9">
        <f>IF(COUNT(F588:I588)&lt;&gt;4,0,IF(AND(G588&gt;F588,H588&gt;0,I588&gt;0,L588&lt;='Sheet1-指标体系'!$J$31,M588&lt;='Sheet1-指标体系'!$J$31),1,0))</f>
        <v>1</v>
      </c>
      <c r="L588" s="9">
        <f t="shared" si="28"/>
        <v>4</v>
      </c>
      <c r="M588" s="9">
        <f t="shared" si="29"/>
        <v>0</v>
      </c>
    </row>
    <row r="589" ht="25" customHeight="1" spans="1:13">
      <c r="A589" s="9" t="s">
        <v>225</v>
      </c>
      <c r="B589" s="9" t="s">
        <v>224</v>
      </c>
      <c r="C589" s="9" t="s">
        <v>1060</v>
      </c>
      <c r="D589" s="10">
        <v>46142</v>
      </c>
      <c r="E589" s="10">
        <v>46173</v>
      </c>
      <c r="F589" s="10">
        <f>净值原始!C5364</f>
        <v>46142</v>
      </c>
      <c r="G589" s="10">
        <f>净值原始!C5368</f>
        <v>46171</v>
      </c>
      <c r="H589" s="15">
        <f>净值原始!F5364</f>
        <v>2.727</v>
      </c>
      <c r="I589" s="15">
        <f>净值原始!F5368</f>
        <v>2.75</v>
      </c>
      <c r="J589" s="11">
        <f t="shared" si="27"/>
        <v>0.00843417675100855</v>
      </c>
      <c r="K589" s="9">
        <f>IF(COUNT(F589:I589)&lt;&gt;4,0,IF(AND(G589&gt;F589,H589&gt;0,I589&gt;0,L589&lt;='Sheet1-指标体系'!$J$31,M589&lt;='Sheet1-指标体系'!$J$31),1,0))</f>
        <v>1</v>
      </c>
      <c r="L589" s="9">
        <f t="shared" si="28"/>
        <v>0</v>
      </c>
      <c r="M589" s="9">
        <f t="shared" si="29"/>
        <v>2</v>
      </c>
    </row>
    <row r="590" ht="25" customHeight="1" spans="1:13">
      <c r="A590" s="9" t="s">
        <v>225</v>
      </c>
      <c r="B590" s="9" t="s">
        <v>224</v>
      </c>
      <c r="C590" s="9" t="s">
        <v>1061</v>
      </c>
      <c r="D590" s="10">
        <v>46173</v>
      </c>
      <c r="E590" s="10">
        <v>46203</v>
      </c>
      <c r="F590" s="10">
        <f>净值原始!C5368</f>
        <v>46171</v>
      </c>
      <c r="G590" s="10">
        <f>净值原始!C5372</f>
        <v>46199</v>
      </c>
      <c r="H590" s="15">
        <f>净值原始!F5368</f>
        <v>2.75</v>
      </c>
      <c r="I590" s="15">
        <f>净值原始!F5372</f>
        <v>2.72</v>
      </c>
      <c r="J590" s="11">
        <f t="shared" si="27"/>
        <v>-0.0109090909090909</v>
      </c>
      <c r="K590" s="9">
        <f>IF(COUNT(F590:I590)&lt;&gt;4,0,IF(AND(G590&gt;F590,H590&gt;0,I590&gt;0,L590&lt;='Sheet1-指标体系'!$J$31,M590&lt;='Sheet1-指标体系'!$J$31),1,0))</f>
        <v>1</v>
      </c>
      <c r="L590" s="9">
        <f t="shared" si="28"/>
        <v>2</v>
      </c>
      <c r="M590" s="9">
        <f t="shared" si="29"/>
        <v>4</v>
      </c>
    </row>
    <row r="591" ht="25" customHeight="1" spans="1:13">
      <c r="A591" s="9" t="s">
        <v>225</v>
      </c>
      <c r="B591" s="9" t="s">
        <v>224</v>
      </c>
      <c r="C591" s="9" t="s">
        <v>1062</v>
      </c>
      <c r="D591" s="10">
        <v>46203</v>
      </c>
      <c r="E591" s="10">
        <v>46234</v>
      </c>
      <c r="F591" s="10">
        <f>净值原始!C5372</f>
        <v>46199</v>
      </c>
      <c r="G591" s="10">
        <f>净值原始!C5379</f>
        <v>46234</v>
      </c>
      <c r="H591" s="15">
        <f>净值原始!F5372</f>
        <v>2.72</v>
      </c>
      <c r="I591" s="15">
        <f>净值原始!F5379</f>
        <v>2.745</v>
      </c>
      <c r="J591" s="11">
        <f t="shared" si="27"/>
        <v>0.00919117647058809</v>
      </c>
      <c r="K591" s="9">
        <f>IF(COUNT(F591:I591)&lt;&gt;4,0,IF(AND(G591&gt;F591,H591&gt;0,I591&gt;0,L591&lt;='Sheet1-指标体系'!$J$31,M591&lt;='Sheet1-指标体系'!$J$31),1,0))</f>
        <v>1</v>
      </c>
      <c r="L591" s="9">
        <f t="shared" si="28"/>
        <v>4</v>
      </c>
      <c r="M591" s="9">
        <f t="shared" si="29"/>
        <v>0</v>
      </c>
    </row>
    <row r="592" ht="25" customHeight="1" spans="1:13">
      <c r="A592" s="9" t="s">
        <v>225</v>
      </c>
      <c r="B592" s="9" t="s">
        <v>224</v>
      </c>
      <c r="C592" s="9" t="s">
        <v>1063</v>
      </c>
      <c r="D592" s="10">
        <v>46234</v>
      </c>
      <c r="E592" s="10">
        <v>46265</v>
      </c>
      <c r="F592" s="10">
        <f>净值原始!C5379</f>
        <v>46234</v>
      </c>
      <c r="G592" s="10">
        <f>净值原始!C5385</f>
        <v>46262</v>
      </c>
      <c r="H592" s="15">
        <f>净值原始!F5379</f>
        <v>2.745</v>
      </c>
      <c r="I592" s="15">
        <f>净值原始!F5385</f>
        <v>2.797</v>
      </c>
      <c r="J592" s="11">
        <f t="shared" si="27"/>
        <v>0.018943533697632</v>
      </c>
      <c r="K592" s="9">
        <f>IF(COUNT(F592:I592)&lt;&gt;4,0,IF(AND(G592&gt;F592,H592&gt;0,I592&gt;0,L592&lt;='Sheet1-指标体系'!$J$31,M592&lt;='Sheet1-指标体系'!$J$31),1,0))</f>
        <v>1</v>
      </c>
      <c r="L592" s="9">
        <f t="shared" si="28"/>
        <v>0</v>
      </c>
      <c r="M592" s="9">
        <f t="shared" si="29"/>
        <v>3</v>
      </c>
    </row>
    <row r="593" ht="25" customHeight="1" spans="1:13">
      <c r="A593" s="9" t="s">
        <v>225</v>
      </c>
      <c r="B593" s="9" t="s">
        <v>224</v>
      </c>
      <c r="C593" s="9" t="s">
        <v>1064</v>
      </c>
      <c r="D593" s="10">
        <v>46265</v>
      </c>
      <c r="E593" s="10">
        <v>46269</v>
      </c>
      <c r="F593" s="10">
        <f>净值原始!C5385</f>
        <v>46262</v>
      </c>
      <c r="G593" s="10">
        <f>净值原始!C5386</f>
        <v>46269</v>
      </c>
      <c r="H593" s="15">
        <f>净值原始!F5385</f>
        <v>2.797</v>
      </c>
      <c r="I593" s="15">
        <f>净值原始!F5386</f>
        <v>2.781</v>
      </c>
      <c r="J593" s="11">
        <f t="shared" si="27"/>
        <v>-0.0057204147300679</v>
      </c>
      <c r="K593" s="9">
        <f>IF(COUNT(F593:I593)&lt;&gt;4,0,IF(AND(G593&gt;F593,H593&gt;0,I593&gt;0,L593&lt;='Sheet1-指标体系'!$J$31,M593&lt;='Sheet1-指标体系'!$J$31),1,0))</f>
        <v>1</v>
      </c>
      <c r="L593" s="9">
        <f t="shared" si="28"/>
        <v>3</v>
      </c>
      <c r="M593" s="9">
        <f t="shared" si="29"/>
        <v>0</v>
      </c>
    </row>
    <row r="594" ht="25" customHeight="1" spans="1:13">
      <c r="A594" s="9" t="s">
        <v>481</v>
      </c>
      <c r="B594" s="9" t="s">
        <v>480</v>
      </c>
      <c r="C594" s="9" t="s">
        <v>1028</v>
      </c>
      <c r="D594" s="10">
        <v>45169</v>
      </c>
      <c r="E594" s="10">
        <v>45199</v>
      </c>
      <c r="F594" s="10"/>
      <c r="G594" s="10"/>
      <c r="H594" s="15"/>
      <c r="I594" s="15"/>
      <c r="J594" s="11" t="str">
        <f t="shared" si="27"/>
        <v/>
      </c>
      <c r="K594" s="9">
        <f>IF(COUNT(F594:I594)&lt;&gt;4,0,IF(AND(G594&gt;F594,H594&gt;0,I594&gt;0,L594&lt;='Sheet1-指标体系'!$J$31,M594&lt;='Sheet1-指标体系'!$J$31),1,0))</f>
        <v>0</v>
      </c>
      <c r="L594" s="9" t="str">
        <f t="shared" si="28"/>
        <v/>
      </c>
      <c r="M594" s="9" t="str">
        <f t="shared" si="29"/>
        <v/>
      </c>
    </row>
    <row r="595" ht="25" customHeight="1" spans="1:13">
      <c r="A595" s="9" t="s">
        <v>481</v>
      </c>
      <c r="B595" s="9" t="s">
        <v>480</v>
      </c>
      <c r="C595" s="9" t="s">
        <v>1029</v>
      </c>
      <c r="D595" s="10">
        <v>45199</v>
      </c>
      <c r="E595" s="10">
        <v>45230</v>
      </c>
      <c r="F595" s="10"/>
      <c r="G595" s="10"/>
      <c r="H595" s="15"/>
      <c r="I595" s="15"/>
      <c r="J595" s="11" t="str">
        <f t="shared" si="27"/>
        <v/>
      </c>
      <c r="K595" s="9">
        <f>IF(COUNT(F595:I595)&lt;&gt;4,0,IF(AND(G595&gt;F595,H595&gt;0,I595&gt;0,L595&lt;='Sheet1-指标体系'!$J$31,M595&lt;='Sheet1-指标体系'!$J$31),1,0))</f>
        <v>0</v>
      </c>
      <c r="L595" s="9" t="str">
        <f t="shared" si="28"/>
        <v/>
      </c>
      <c r="M595" s="9" t="str">
        <f t="shared" si="29"/>
        <v/>
      </c>
    </row>
    <row r="596" ht="25" customHeight="1" spans="1:13">
      <c r="A596" s="9" t="s">
        <v>481</v>
      </c>
      <c r="B596" s="9" t="s">
        <v>480</v>
      </c>
      <c r="C596" s="9" t="s">
        <v>1030</v>
      </c>
      <c r="D596" s="10">
        <v>45230</v>
      </c>
      <c r="E596" s="10">
        <v>45260</v>
      </c>
      <c r="F596" s="10"/>
      <c r="G596" s="10"/>
      <c r="H596" s="15"/>
      <c r="I596" s="15"/>
      <c r="J596" s="11" t="str">
        <f t="shared" si="27"/>
        <v/>
      </c>
      <c r="K596" s="9">
        <f>IF(COUNT(F596:I596)&lt;&gt;4,0,IF(AND(G596&gt;F596,H596&gt;0,I596&gt;0,L596&lt;='Sheet1-指标体系'!$J$31,M596&lt;='Sheet1-指标体系'!$J$31),1,0))</f>
        <v>0</v>
      </c>
      <c r="L596" s="9" t="str">
        <f t="shared" si="28"/>
        <v/>
      </c>
      <c r="M596" s="9" t="str">
        <f t="shared" si="29"/>
        <v/>
      </c>
    </row>
    <row r="597" ht="25" customHeight="1" spans="1:13">
      <c r="A597" s="9" t="s">
        <v>481</v>
      </c>
      <c r="B597" s="9" t="s">
        <v>480</v>
      </c>
      <c r="C597" s="9" t="s">
        <v>1031</v>
      </c>
      <c r="D597" s="10">
        <v>45260</v>
      </c>
      <c r="E597" s="10">
        <v>45291</v>
      </c>
      <c r="F597" s="10"/>
      <c r="G597" s="10"/>
      <c r="H597" s="15"/>
      <c r="I597" s="15"/>
      <c r="J597" s="11" t="str">
        <f t="shared" si="27"/>
        <v/>
      </c>
      <c r="K597" s="9">
        <f>IF(COUNT(F597:I597)&lt;&gt;4,0,IF(AND(G597&gt;F597,H597&gt;0,I597&gt;0,L597&lt;='Sheet1-指标体系'!$J$31,M597&lt;='Sheet1-指标体系'!$J$31),1,0))</f>
        <v>0</v>
      </c>
      <c r="L597" s="9" t="str">
        <f t="shared" si="28"/>
        <v/>
      </c>
      <c r="M597" s="9" t="str">
        <f t="shared" si="29"/>
        <v/>
      </c>
    </row>
    <row r="598" ht="25" customHeight="1" spans="1:13">
      <c r="A598" s="9" t="s">
        <v>481</v>
      </c>
      <c r="B598" s="9" t="s">
        <v>480</v>
      </c>
      <c r="C598" s="9" t="s">
        <v>1032</v>
      </c>
      <c r="D598" s="10">
        <v>45291</v>
      </c>
      <c r="E598" s="10">
        <v>45322</v>
      </c>
      <c r="F598" s="10"/>
      <c r="G598" s="10"/>
      <c r="H598" s="15"/>
      <c r="I598" s="15"/>
      <c r="J598" s="11" t="str">
        <f t="shared" si="27"/>
        <v/>
      </c>
      <c r="K598" s="9">
        <f>IF(COUNT(F598:I598)&lt;&gt;4,0,IF(AND(G598&gt;F598,H598&gt;0,I598&gt;0,L598&lt;='Sheet1-指标体系'!$J$31,M598&lt;='Sheet1-指标体系'!$J$31),1,0))</f>
        <v>0</v>
      </c>
      <c r="L598" s="9" t="str">
        <f t="shared" si="28"/>
        <v/>
      </c>
      <c r="M598" s="9" t="str">
        <f t="shared" si="29"/>
        <v/>
      </c>
    </row>
    <row r="599" ht="25" customHeight="1" spans="1:13">
      <c r="A599" s="9" t="s">
        <v>481</v>
      </c>
      <c r="B599" s="9" t="s">
        <v>480</v>
      </c>
      <c r="C599" s="9" t="s">
        <v>1033</v>
      </c>
      <c r="D599" s="10">
        <v>45322</v>
      </c>
      <c r="E599" s="10">
        <v>45351</v>
      </c>
      <c r="F599" s="10"/>
      <c r="G599" s="10"/>
      <c r="H599" s="15"/>
      <c r="I599" s="15"/>
      <c r="J599" s="11" t="str">
        <f t="shared" si="27"/>
        <v/>
      </c>
      <c r="K599" s="9">
        <f>IF(COUNT(F599:I599)&lt;&gt;4,0,IF(AND(G599&gt;F599,H599&gt;0,I599&gt;0,L599&lt;='Sheet1-指标体系'!$J$31,M599&lt;='Sheet1-指标体系'!$J$31),1,0))</f>
        <v>0</v>
      </c>
      <c r="L599" s="9" t="str">
        <f t="shared" si="28"/>
        <v/>
      </c>
      <c r="M599" s="9" t="str">
        <f t="shared" si="29"/>
        <v/>
      </c>
    </row>
    <row r="600" ht="25" customHeight="1" spans="1:13">
      <c r="A600" s="9" t="s">
        <v>481</v>
      </c>
      <c r="B600" s="9" t="s">
        <v>480</v>
      </c>
      <c r="C600" s="9" t="s">
        <v>1034</v>
      </c>
      <c r="D600" s="10">
        <v>45351</v>
      </c>
      <c r="E600" s="10">
        <v>45382</v>
      </c>
      <c r="F600" s="10"/>
      <c r="G600" s="10"/>
      <c r="H600" s="15"/>
      <c r="I600" s="15"/>
      <c r="J600" s="11" t="str">
        <f t="shared" si="27"/>
        <v/>
      </c>
      <c r="K600" s="9">
        <f>IF(COUNT(F600:I600)&lt;&gt;4,0,IF(AND(G600&gt;F600,H600&gt;0,I600&gt;0,L600&lt;='Sheet1-指标体系'!$J$31,M600&lt;='Sheet1-指标体系'!$J$31),1,0))</f>
        <v>0</v>
      </c>
      <c r="L600" s="9" t="str">
        <f t="shared" si="28"/>
        <v/>
      </c>
      <c r="M600" s="9" t="str">
        <f t="shared" si="29"/>
        <v/>
      </c>
    </row>
    <row r="601" ht="25" customHeight="1" spans="1:13">
      <c r="A601" s="9" t="s">
        <v>481</v>
      </c>
      <c r="B601" s="9" t="s">
        <v>480</v>
      </c>
      <c r="C601" s="9" t="s">
        <v>1035</v>
      </c>
      <c r="D601" s="10">
        <v>45382</v>
      </c>
      <c r="E601" s="10">
        <v>45412</v>
      </c>
      <c r="F601" s="10"/>
      <c r="G601" s="10"/>
      <c r="H601" s="15"/>
      <c r="I601" s="15"/>
      <c r="J601" s="11" t="str">
        <f t="shared" si="27"/>
        <v/>
      </c>
      <c r="K601" s="9">
        <f>IF(COUNT(F601:I601)&lt;&gt;4,0,IF(AND(G601&gt;F601,H601&gt;0,I601&gt;0,L601&lt;='Sheet1-指标体系'!$J$31,M601&lt;='Sheet1-指标体系'!$J$31),1,0))</f>
        <v>0</v>
      </c>
      <c r="L601" s="9" t="str">
        <f t="shared" si="28"/>
        <v/>
      </c>
      <c r="M601" s="9" t="str">
        <f t="shared" si="29"/>
        <v/>
      </c>
    </row>
    <row r="602" ht="25" customHeight="1" spans="1:13">
      <c r="A602" s="9" t="s">
        <v>481</v>
      </c>
      <c r="B602" s="9" t="s">
        <v>480</v>
      </c>
      <c r="C602" s="9" t="s">
        <v>1036</v>
      </c>
      <c r="D602" s="10">
        <v>45412</v>
      </c>
      <c r="E602" s="10">
        <v>45443</v>
      </c>
      <c r="F602" s="10"/>
      <c r="G602" s="10"/>
      <c r="H602" s="15"/>
      <c r="I602" s="15"/>
      <c r="J602" s="11" t="str">
        <f t="shared" si="27"/>
        <v/>
      </c>
      <c r="K602" s="9">
        <f>IF(COUNT(F602:I602)&lt;&gt;4,0,IF(AND(G602&gt;F602,H602&gt;0,I602&gt;0,L602&lt;='Sheet1-指标体系'!$J$31,M602&lt;='Sheet1-指标体系'!$J$31),1,0))</f>
        <v>0</v>
      </c>
      <c r="L602" s="9" t="str">
        <f t="shared" si="28"/>
        <v/>
      </c>
      <c r="M602" s="9" t="str">
        <f t="shared" si="29"/>
        <v/>
      </c>
    </row>
    <row r="603" ht="25" customHeight="1" spans="1:13">
      <c r="A603" s="9" t="s">
        <v>481</v>
      </c>
      <c r="B603" s="9" t="s">
        <v>480</v>
      </c>
      <c r="C603" s="9" t="s">
        <v>1037</v>
      </c>
      <c r="D603" s="10">
        <v>45443</v>
      </c>
      <c r="E603" s="10">
        <v>45473</v>
      </c>
      <c r="F603" s="10"/>
      <c r="G603" s="10"/>
      <c r="H603" s="15"/>
      <c r="I603" s="15"/>
      <c r="J603" s="11" t="str">
        <f t="shared" si="27"/>
        <v/>
      </c>
      <c r="K603" s="9">
        <f>IF(COUNT(F603:I603)&lt;&gt;4,0,IF(AND(G603&gt;F603,H603&gt;0,I603&gt;0,L603&lt;='Sheet1-指标体系'!$J$31,M603&lt;='Sheet1-指标体系'!$J$31),1,0))</f>
        <v>0</v>
      </c>
      <c r="L603" s="9" t="str">
        <f t="shared" si="28"/>
        <v/>
      </c>
      <c r="M603" s="9" t="str">
        <f t="shared" si="29"/>
        <v/>
      </c>
    </row>
    <row r="604" ht="25" customHeight="1" spans="1:13">
      <c r="A604" s="9" t="s">
        <v>481</v>
      </c>
      <c r="B604" s="9" t="s">
        <v>480</v>
      </c>
      <c r="C604" s="9" t="s">
        <v>1038</v>
      </c>
      <c r="D604" s="10">
        <v>45473</v>
      </c>
      <c r="E604" s="10">
        <v>45504</v>
      </c>
      <c r="F604" s="10"/>
      <c r="G604" s="10"/>
      <c r="H604" s="15"/>
      <c r="I604" s="15"/>
      <c r="J604" s="11" t="str">
        <f t="shared" si="27"/>
        <v/>
      </c>
      <c r="K604" s="9">
        <f>IF(COUNT(F604:I604)&lt;&gt;4,0,IF(AND(G604&gt;F604,H604&gt;0,I604&gt;0,L604&lt;='Sheet1-指标体系'!$J$31,M604&lt;='Sheet1-指标体系'!$J$31),1,0))</f>
        <v>0</v>
      </c>
      <c r="L604" s="9" t="str">
        <f t="shared" si="28"/>
        <v/>
      </c>
      <c r="M604" s="9" t="str">
        <f t="shared" si="29"/>
        <v/>
      </c>
    </row>
    <row r="605" ht="25" customHeight="1" spans="1:13">
      <c r="A605" s="9" t="s">
        <v>481</v>
      </c>
      <c r="B605" s="9" t="s">
        <v>480</v>
      </c>
      <c r="C605" s="9" t="s">
        <v>1039</v>
      </c>
      <c r="D605" s="10">
        <v>45504</v>
      </c>
      <c r="E605" s="10">
        <v>45535</v>
      </c>
      <c r="F605" s="10"/>
      <c r="G605" s="10"/>
      <c r="H605" s="15"/>
      <c r="I605" s="15"/>
      <c r="J605" s="11" t="str">
        <f t="shared" si="27"/>
        <v/>
      </c>
      <c r="K605" s="9">
        <f>IF(COUNT(F605:I605)&lt;&gt;4,0,IF(AND(G605&gt;F605,H605&gt;0,I605&gt;0,L605&lt;='Sheet1-指标体系'!$J$31,M605&lt;='Sheet1-指标体系'!$J$31),1,0))</f>
        <v>0</v>
      </c>
      <c r="L605" s="9" t="str">
        <f t="shared" si="28"/>
        <v/>
      </c>
      <c r="M605" s="9" t="str">
        <f t="shared" si="29"/>
        <v/>
      </c>
    </row>
    <row r="606" ht="25" customHeight="1" spans="1:13">
      <c r="A606" s="9" t="s">
        <v>481</v>
      </c>
      <c r="B606" s="9" t="s">
        <v>480</v>
      </c>
      <c r="C606" s="9" t="s">
        <v>1040</v>
      </c>
      <c r="D606" s="10">
        <v>45535</v>
      </c>
      <c r="E606" s="10">
        <v>45565</v>
      </c>
      <c r="F606" s="10"/>
      <c r="G606" s="10"/>
      <c r="H606" s="15"/>
      <c r="I606" s="15"/>
      <c r="J606" s="11" t="str">
        <f t="shared" si="27"/>
        <v/>
      </c>
      <c r="K606" s="9">
        <f>IF(COUNT(F606:I606)&lt;&gt;4,0,IF(AND(G606&gt;F606,H606&gt;0,I606&gt;0,L606&lt;='Sheet1-指标体系'!$J$31,M606&lt;='Sheet1-指标体系'!$J$31),1,0))</f>
        <v>0</v>
      </c>
      <c r="L606" s="9" t="str">
        <f t="shared" si="28"/>
        <v/>
      </c>
      <c r="M606" s="9" t="str">
        <f t="shared" si="29"/>
        <v/>
      </c>
    </row>
    <row r="607" ht="25" customHeight="1" spans="1:13">
      <c r="A607" s="9" t="s">
        <v>481</v>
      </c>
      <c r="B607" s="9" t="s">
        <v>480</v>
      </c>
      <c r="C607" s="9" t="s">
        <v>1041</v>
      </c>
      <c r="D607" s="10">
        <v>45565</v>
      </c>
      <c r="E607" s="10">
        <v>45596</v>
      </c>
      <c r="F607" s="10"/>
      <c r="G607" s="10"/>
      <c r="H607" s="15"/>
      <c r="I607" s="15"/>
      <c r="J607" s="11" t="str">
        <f t="shared" si="27"/>
        <v/>
      </c>
      <c r="K607" s="9">
        <f>IF(COUNT(F607:I607)&lt;&gt;4,0,IF(AND(G607&gt;F607,H607&gt;0,I607&gt;0,L607&lt;='Sheet1-指标体系'!$J$31,M607&lt;='Sheet1-指标体系'!$J$31),1,0))</f>
        <v>0</v>
      </c>
      <c r="L607" s="9" t="str">
        <f t="shared" si="28"/>
        <v/>
      </c>
      <c r="M607" s="9" t="str">
        <f t="shared" si="29"/>
        <v/>
      </c>
    </row>
    <row r="608" ht="25" customHeight="1" spans="1:13">
      <c r="A608" s="9" t="s">
        <v>481</v>
      </c>
      <c r="B608" s="9" t="s">
        <v>480</v>
      </c>
      <c r="C608" s="9" t="s">
        <v>1042</v>
      </c>
      <c r="D608" s="10">
        <v>45596</v>
      </c>
      <c r="E608" s="10">
        <v>45626</v>
      </c>
      <c r="F608" s="10"/>
      <c r="G608" s="10"/>
      <c r="H608" s="15"/>
      <c r="I608" s="15"/>
      <c r="J608" s="11" t="str">
        <f t="shared" si="27"/>
        <v/>
      </c>
      <c r="K608" s="9">
        <f>IF(COUNT(F608:I608)&lt;&gt;4,0,IF(AND(G608&gt;F608,H608&gt;0,I608&gt;0,L608&lt;='Sheet1-指标体系'!$J$31,M608&lt;='Sheet1-指标体系'!$J$31),1,0))</f>
        <v>0</v>
      </c>
      <c r="L608" s="9" t="str">
        <f t="shared" si="28"/>
        <v/>
      </c>
      <c r="M608" s="9" t="str">
        <f t="shared" si="29"/>
        <v/>
      </c>
    </row>
    <row r="609" ht="25" customHeight="1" spans="1:13">
      <c r="A609" s="9" t="s">
        <v>481</v>
      </c>
      <c r="B609" s="9" t="s">
        <v>480</v>
      </c>
      <c r="C609" s="9" t="s">
        <v>1043</v>
      </c>
      <c r="D609" s="10">
        <v>45626</v>
      </c>
      <c r="E609" s="10">
        <v>45657</v>
      </c>
      <c r="F609" s="10"/>
      <c r="G609" s="10"/>
      <c r="H609" s="15"/>
      <c r="I609" s="15"/>
      <c r="J609" s="11" t="str">
        <f t="shared" si="27"/>
        <v/>
      </c>
      <c r="K609" s="9">
        <f>IF(COUNT(F609:I609)&lt;&gt;4,0,IF(AND(G609&gt;F609,H609&gt;0,I609&gt;0,L609&lt;='Sheet1-指标体系'!$J$31,M609&lt;='Sheet1-指标体系'!$J$31),1,0))</f>
        <v>0</v>
      </c>
      <c r="L609" s="9" t="str">
        <f t="shared" si="28"/>
        <v/>
      </c>
      <c r="M609" s="9" t="str">
        <f t="shared" si="29"/>
        <v/>
      </c>
    </row>
    <row r="610" ht="25" customHeight="1" spans="1:13">
      <c r="A610" s="9" t="s">
        <v>481</v>
      </c>
      <c r="B610" s="9" t="s">
        <v>480</v>
      </c>
      <c r="C610" s="9" t="s">
        <v>1044</v>
      </c>
      <c r="D610" s="10">
        <v>45657</v>
      </c>
      <c r="E610" s="10">
        <v>45688</v>
      </c>
      <c r="F610" s="10"/>
      <c r="G610" s="10"/>
      <c r="H610" s="15"/>
      <c r="I610" s="15"/>
      <c r="J610" s="11" t="str">
        <f t="shared" si="27"/>
        <v/>
      </c>
      <c r="K610" s="9">
        <f>IF(COUNT(F610:I610)&lt;&gt;4,0,IF(AND(G610&gt;F610,H610&gt;0,I610&gt;0,L610&lt;='Sheet1-指标体系'!$J$31,M610&lt;='Sheet1-指标体系'!$J$31),1,0))</f>
        <v>0</v>
      </c>
      <c r="L610" s="9" t="str">
        <f t="shared" si="28"/>
        <v/>
      </c>
      <c r="M610" s="9" t="str">
        <f t="shared" si="29"/>
        <v/>
      </c>
    </row>
    <row r="611" ht="25" customHeight="1" spans="1:13">
      <c r="A611" s="9" t="s">
        <v>481</v>
      </c>
      <c r="B611" s="9" t="s">
        <v>480</v>
      </c>
      <c r="C611" s="9" t="s">
        <v>1045</v>
      </c>
      <c r="D611" s="10">
        <v>45688</v>
      </c>
      <c r="E611" s="10">
        <v>45716</v>
      </c>
      <c r="F611" s="10"/>
      <c r="G611" s="10"/>
      <c r="H611" s="15"/>
      <c r="I611" s="15"/>
      <c r="J611" s="11" t="str">
        <f t="shared" si="27"/>
        <v/>
      </c>
      <c r="K611" s="9">
        <f>IF(COUNT(F611:I611)&lt;&gt;4,0,IF(AND(G611&gt;F611,H611&gt;0,I611&gt;0,L611&lt;='Sheet1-指标体系'!$J$31,M611&lt;='Sheet1-指标体系'!$J$31),1,0))</f>
        <v>0</v>
      </c>
      <c r="L611" s="9" t="str">
        <f t="shared" si="28"/>
        <v/>
      </c>
      <c r="M611" s="9" t="str">
        <f t="shared" si="29"/>
        <v/>
      </c>
    </row>
    <row r="612" ht="25" customHeight="1" spans="1:13">
      <c r="A612" s="9" t="s">
        <v>481</v>
      </c>
      <c r="B612" s="9" t="s">
        <v>480</v>
      </c>
      <c r="C612" s="9" t="s">
        <v>1046</v>
      </c>
      <c r="D612" s="10">
        <v>45716</v>
      </c>
      <c r="E612" s="10">
        <v>45747</v>
      </c>
      <c r="F612" s="10"/>
      <c r="G612" s="10"/>
      <c r="H612" s="15"/>
      <c r="I612" s="15"/>
      <c r="J612" s="11" t="str">
        <f t="shared" si="27"/>
        <v/>
      </c>
      <c r="K612" s="9">
        <f>IF(COUNT(F612:I612)&lt;&gt;4,0,IF(AND(G612&gt;F612,H612&gt;0,I612&gt;0,L612&lt;='Sheet1-指标体系'!$J$31,M612&lt;='Sheet1-指标体系'!$J$31),1,0))</f>
        <v>0</v>
      </c>
      <c r="L612" s="9" t="str">
        <f t="shared" si="28"/>
        <v/>
      </c>
      <c r="M612" s="9" t="str">
        <f t="shared" si="29"/>
        <v/>
      </c>
    </row>
    <row r="613" ht="25" customHeight="1" spans="1:13">
      <c r="A613" s="9" t="s">
        <v>481</v>
      </c>
      <c r="B613" s="9" t="s">
        <v>480</v>
      </c>
      <c r="C613" s="9" t="s">
        <v>1047</v>
      </c>
      <c r="D613" s="10">
        <v>45747</v>
      </c>
      <c r="E613" s="10">
        <v>45777</v>
      </c>
      <c r="F613" s="10"/>
      <c r="G613" s="10"/>
      <c r="H613" s="15"/>
      <c r="I613" s="15"/>
      <c r="J613" s="11" t="str">
        <f t="shared" si="27"/>
        <v/>
      </c>
      <c r="K613" s="9">
        <f>IF(COUNT(F613:I613)&lt;&gt;4,0,IF(AND(G613&gt;F613,H613&gt;0,I613&gt;0,L613&lt;='Sheet1-指标体系'!$J$31,M613&lt;='Sheet1-指标体系'!$J$31),1,0))</f>
        <v>0</v>
      </c>
      <c r="L613" s="9" t="str">
        <f t="shared" si="28"/>
        <v/>
      </c>
      <c r="M613" s="9" t="str">
        <f t="shared" si="29"/>
        <v/>
      </c>
    </row>
    <row r="614" ht="25" customHeight="1" spans="1:13">
      <c r="A614" s="9" t="s">
        <v>481</v>
      </c>
      <c r="B614" s="9" t="s">
        <v>480</v>
      </c>
      <c r="C614" s="9" t="s">
        <v>1048</v>
      </c>
      <c r="D614" s="10">
        <v>45777</v>
      </c>
      <c r="E614" s="10">
        <v>45808</v>
      </c>
      <c r="F614" s="10"/>
      <c r="G614" s="10"/>
      <c r="H614" s="15"/>
      <c r="I614" s="15"/>
      <c r="J614" s="11" t="str">
        <f t="shared" si="27"/>
        <v/>
      </c>
      <c r="K614" s="9">
        <f>IF(COUNT(F614:I614)&lt;&gt;4,0,IF(AND(G614&gt;F614,H614&gt;0,I614&gt;0,L614&lt;='Sheet1-指标体系'!$J$31,M614&lt;='Sheet1-指标体系'!$J$31),1,0))</f>
        <v>0</v>
      </c>
      <c r="L614" s="9" t="str">
        <f t="shared" si="28"/>
        <v/>
      </c>
      <c r="M614" s="9" t="str">
        <f t="shared" si="29"/>
        <v/>
      </c>
    </row>
    <row r="615" ht="25" customHeight="1" spans="1:13">
      <c r="A615" s="9" t="s">
        <v>481</v>
      </c>
      <c r="B615" s="9" t="s">
        <v>480</v>
      </c>
      <c r="C615" s="9" t="s">
        <v>1049</v>
      </c>
      <c r="D615" s="10">
        <v>45808</v>
      </c>
      <c r="E615" s="10">
        <v>45838</v>
      </c>
      <c r="F615" s="10"/>
      <c r="G615" s="10"/>
      <c r="H615" s="15"/>
      <c r="I615" s="15"/>
      <c r="J615" s="11" t="str">
        <f t="shared" si="27"/>
        <v/>
      </c>
      <c r="K615" s="9">
        <f>IF(COUNT(F615:I615)&lt;&gt;4,0,IF(AND(G615&gt;F615,H615&gt;0,I615&gt;0,L615&lt;='Sheet1-指标体系'!$J$31,M615&lt;='Sheet1-指标体系'!$J$31),1,0))</f>
        <v>0</v>
      </c>
      <c r="L615" s="9" t="str">
        <f t="shared" si="28"/>
        <v/>
      </c>
      <c r="M615" s="9" t="str">
        <f t="shared" si="29"/>
        <v/>
      </c>
    </row>
    <row r="616" ht="25" customHeight="1" spans="1:13">
      <c r="A616" s="9" t="s">
        <v>481</v>
      </c>
      <c r="B616" s="9" t="s">
        <v>480</v>
      </c>
      <c r="C616" s="9" t="s">
        <v>1050</v>
      </c>
      <c r="D616" s="10">
        <v>45838</v>
      </c>
      <c r="E616" s="10">
        <v>45869</v>
      </c>
      <c r="F616" s="10"/>
      <c r="G616" s="10"/>
      <c r="H616" s="15"/>
      <c r="I616" s="15"/>
      <c r="J616" s="11" t="str">
        <f t="shared" si="27"/>
        <v/>
      </c>
      <c r="K616" s="9">
        <f>IF(COUNT(F616:I616)&lt;&gt;4,0,IF(AND(G616&gt;F616,H616&gt;0,I616&gt;0,L616&lt;='Sheet1-指标体系'!$J$31,M616&lt;='Sheet1-指标体系'!$J$31),1,0))</f>
        <v>0</v>
      </c>
      <c r="L616" s="9" t="str">
        <f t="shared" si="28"/>
        <v/>
      </c>
      <c r="M616" s="9" t="str">
        <f t="shared" si="29"/>
        <v/>
      </c>
    </row>
    <row r="617" ht="25" customHeight="1" spans="1:13">
      <c r="A617" s="9" t="s">
        <v>481</v>
      </c>
      <c r="B617" s="9" t="s">
        <v>480</v>
      </c>
      <c r="C617" s="9" t="s">
        <v>1051</v>
      </c>
      <c r="D617" s="10">
        <v>45869</v>
      </c>
      <c r="E617" s="10">
        <v>45900</v>
      </c>
      <c r="F617" s="10"/>
      <c r="G617" s="10"/>
      <c r="H617" s="15"/>
      <c r="I617" s="15"/>
      <c r="J617" s="11" t="str">
        <f t="shared" si="27"/>
        <v/>
      </c>
      <c r="K617" s="9">
        <f>IF(COUNT(F617:I617)&lt;&gt;4,0,IF(AND(G617&gt;F617,H617&gt;0,I617&gt;0,L617&lt;='Sheet1-指标体系'!$J$31,M617&lt;='Sheet1-指标体系'!$J$31),1,0))</f>
        <v>0</v>
      </c>
      <c r="L617" s="9" t="str">
        <f t="shared" si="28"/>
        <v/>
      </c>
      <c r="M617" s="9" t="str">
        <f t="shared" si="29"/>
        <v/>
      </c>
    </row>
    <row r="618" ht="25" customHeight="1" spans="1:13">
      <c r="A618" s="9" t="s">
        <v>481</v>
      </c>
      <c r="B618" s="9" t="s">
        <v>480</v>
      </c>
      <c r="C618" s="9" t="s">
        <v>1052</v>
      </c>
      <c r="D618" s="10">
        <v>45900</v>
      </c>
      <c r="E618" s="10">
        <v>45930</v>
      </c>
      <c r="F618" s="10"/>
      <c r="G618" s="10">
        <f>净值原始!C5388</f>
        <v>45930</v>
      </c>
      <c r="H618" s="15"/>
      <c r="I618" s="15">
        <f>净值原始!F5388</f>
        <v>1</v>
      </c>
      <c r="J618" s="11" t="str">
        <f t="shared" si="27"/>
        <v/>
      </c>
      <c r="K618" s="9">
        <f>IF(COUNT(F618:I618)&lt;&gt;4,0,IF(AND(G618&gt;F618,H618&gt;0,I618&gt;0,L618&lt;='Sheet1-指标体系'!$J$31,M618&lt;='Sheet1-指标体系'!$J$31),1,0))</f>
        <v>0</v>
      </c>
      <c r="L618" s="9" t="str">
        <f t="shared" si="28"/>
        <v/>
      </c>
      <c r="M618" s="9">
        <f t="shared" si="29"/>
        <v>0</v>
      </c>
    </row>
    <row r="619" ht="25" customHeight="1" spans="1:13">
      <c r="A619" s="9" t="s">
        <v>481</v>
      </c>
      <c r="B619" s="9" t="s">
        <v>480</v>
      </c>
      <c r="C619" s="9" t="s">
        <v>1053</v>
      </c>
      <c r="D619" s="10">
        <v>45930</v>
      </c>
      <c r="E619" s="10">
        <v>45961</v>
      </c>
      <c r="F619" s="10">
        <f>净值原始!C5388</f>
        <v>45930</v>
      </c>
      <c r="G619" s="10">
        <f>净值原始!C5405</f>
        <v>45961</v>
      </c>
      <c r="H619" s="15">
        <f>净值原始!F5388</f>
        <v>1</v>
      </c>
      <c r="I619" s="15">
        <f>净值原始!F5405</f>
        <v>1</v>
      </c>
      <c r="J619" s="11">
        <f t="shared" si="27"/>
        <v>0</v>
      </c>
      <c r="K619" s="9">
        <f>IF(COUNT(F619:I619)&lt;&gt;4,0,IF(AND(G619&gt;F619,H619&gt;0,I619&gt;0,L619&lt;='Sheet1-指标体系'!$J$31,M619&lt;='Sheet1-指标体系'!$J$31),1,0))</f>
        <v>1</v>
      </c>
      <c r="L619" s="9">
        <f t="shared" si="28"/>
        <v>0</v>
      </c>
      <c r="M619" s="9">
        <f t="shared" si="29"/>
        <v>0</v>
      </c>
    </row>
    <row r="620" ht="25" customHeight="1" spans="1:13">
      <c r="A620" s="9" t="s">
        <v>481</v>
      </c>
      <c r="B620" s="9" t="s">
        <v>480</v>
      </c>
      <c r="C620" s="9" t="s">
        <v>1054</v>
      </c>
      <c r="D620" s="10">
        <v>45961</v>
      </c>
      <c r="E620" s="10">
        <v>45991</v>
      </c>
      <c r="F620" s="10">
        <f>净值原始!C5405</f>
        <v>45961</v>
      </c>
      <c r="G620" s="10">
        <f>净值原始!C5425</f>
        <v>45989</v>
      </c>
      <c r="H620" s="15">
        <f>净值原始!F5405</f>
        <v>1</v>
      </c>
      <c r="I620" s="15">
        <f>净值原始!F5425</f>
        <v>1.01</v>
      </c>
      <c r="J620" s="11">
        <f t="shared" si="27"/>
        <v>0.01</v>
      </c>
      <c r="K620" s="9">
        <f>IF(COUNT(F620:I620)&lt;&gt;4,0,IF(AND(G620&gt;F620,H620&gt;0,I620&gt;0,L620&lt;='Sheet1-指标体系'!$J$31,M620&lt;='Sheet1-指标体系'!$J$31),1,0))</f>
        <v>1</v>
      </c>
      <c r="L620" s="9">
        <f t="shared" si="28"/>
        <v>0</v>
      </c>
      <c r="M620" s="9">
        <f t="shared" si="29"/>
        <v>2</v>
      </c>
    </row>
    <row r="621" ht="25" customHeight="1" spans="1:13">
      <c r="A621" s="9" t="s">
        <v>481</v>
      </c>
      <c r="B621" s="9" t="s">
        <v>480</v>
      </c>
      <c r="C621" s="9" t="s">
        <v>1055</v>
      </c>
      <c r="D621" s="10">
        <v>45991</v>
      </c>
      <c r="E621" s="10">
        <v>46022</v>
      </c>
      <c r="F621" s="10">
        <f>净值原始!C5425</f>
        <v>45989</v>
      </c>
      <c r="G621" s="10">
        <f>净值原始!C5448</f>
        <v>46022</v>
      </c>
      <c r="H621" s="15">
        <f>净值原始!F5425</f>
        <v>1.01</v>
      </c>
      <c r="I621" s="15">
        <f>净值原始!F5448</f>
        <v>1.032</v>
      </c>
      <c r="J621" s="11">
        <f t="shared" si="27"/>
        <v>0.0217821782178218</v>
      </c>
      <c r="K621" s="9">
        <f>IF(COUNT(F621:I621)&lt;&gt;4,0,IF(AND(G621&gt;F621,H621&gt;0,I621&gt;0,L621&lt;='Sheet1-指标体系'!$J$31,M621&lt;='Sheet1-指标体系'!$J$31),1,0))</f>
        <v>1</v>
      </c>
      <c r="L621" s="9">
        <f t="shared" si="28"/>
        <v>2</v>
      </c>
      <c r="M621" s="9">
        <f t="shared" si="29"/>
        <v>0</v>
      </c>
    </row>
    <row r="622" ht="25" customHeight="1" spans="1:13">
      <c r="A622" s="9" t="s">
        <v>481</v>
      </c>
      <c r="B622" s="9" t="s">
        <v>480</v>
      </c>
      <c r="C622" s="9" t="s">
        <v>1056</v>
      </c>
      <c r="D622" s="10">
        <v>46022</v>
      </c>
      <c r="E622" s="10">
        <v>46053</v>
      </c>
      <c r="F622" s="10">
        <f>净值原始!C5448</f>
        <v>46022</v>
      </c>
      <c r="G622" s="10">
        <f>净值原始!C5468</f>
        <v>46052</v>
      </c>
      <c r="H622" s="15">
        <f>净值原始!F5448</f>
        <v>1.032</v>
      </c>
      <c r="I622" s="15">
        <f>净值原始!F5468</f>
        <v>1.034</v>
      </c>
      <c r="J622" s="11">
        <f t="shared" si="27"/>
        <v>0.00193798449612403</v>
      </c>
      <c r="K622" s="9">
        <f>IF(COUNT(F622:I622)&lt;&gt;4,0,IF(AND(G622&gt;F622,H622&gt;0,I622&gt;0,L622&lt;='Sheet1-指标体系'!$J$31,M622&lt;='Sheet1-指标体系'!$J$31),1,0))</f>
        <v>1</v>
      </c>
      <c r="L622" s="9">
        <f t="shared" si="28"/>
        <v>0</v>
      </c>
      <c r="M622" s="9">
        <f t="shared" si="29"/>
        <v>1</v>
      </c>
    </row>
    <row r="623" ht="25" customHeight="1" spans="1:13">
      <c r="A623" s="9" t="s">
        <v>481</v>
      </c>
      <c r="B623" s="9" t="s">
        <v>480</v>
      </c>
      <c r="C623" s="9" t="s">
        <v>1057</v>
      </c>
      <c r="D623" s="10">
        <v>46053</v>
      </c>
      <c r="E623" s="10">
        <v>46081</v>
      </c>
      <c r="F623" s="10">
        <f>净值原始!C5468</f>
        <v>46052</v>
      </c>
      <c r="G623" s="10">
        <f>净值原始!C5482</f>
        <v>46080</v>
      </c>
      <c r="H623" s="15">
        <f>净值原始!F5468</f>
        <v>1.034</v>
      </c>
      <c r="I623" s="15">
        <f>净值原始!F5482</f>
        <v>1.038</v>
      </c>
      <c r="J623" s="11">
        <f t="shared" si="27"/>
        <v>0.00386847195357842</v>
      </c>
      <c r="K623" s="9">
        <f>IF(COUNT(F623:I623)&lt;&gt;4,0,IF(AND(G623&gt;F623,H623&gt;0,I623&gt;0,L623&lt;='Sheet1-指标体系'!$J$31,M623&lt;='Sheet1-指标体系'!$J$31),1,0))</f>
        <v>1</v>
      </c>
      <c r="L623" s="9">
        <f t="shared" si="28"/>
        <v>1</v>
      </c>
      <c r="M623" s="9">
        <f t="shared" si="29"/>
        <v>1</v>
      </c>
    </row>
    <row r="624" ht="25" customHeight="1" spans="1:13">
      <c r="A624" s="9" t="s">
        <v>481</v>
      </c>
      <c r="B624" s="9" t="s">
        <v>480</v>
      </c>
      <c r="C624" s="9" t="s">
        <v>1058</v>
      </c>
      <c r="D624" s="10">
        <v>46081</v>
      </c>
      <c r="E624" s="10">
        <v>46112</v>
      </c>
      <c r="F624" s="10">
        <f>净值原始!C5482</f>
        <v>46080</v>
      </c>
      <c r="G624" s="10">
        <f>净值原始!C5503</f>
        <v>46112</v>
      </c>
      <c r="H624" s="15">
        <f>净值原始!F5482</f>
        <v>1.038</v>
      </c>
      <c r="I624" s="15">
        <f>净值原始!F5503</f>
        <v>1.073</v>
      </c>
      <c r="J624" s="11">
        <f t="shared" si="27"/>
        <v>0.0337186897880539</v>
      </c>
      <c r="K624" s="9">
        <f>IF(COUNT(F624:I624)&lt;&gt;4,0,IF(AND(G624&gt;F624,H624&gt;0,I624&gt;0,L624&lt;='Sheet1-指标体系'!$J$31,M624&lt;='Sheet1-指标体系'!$J$31),1,0))</f>
        <v>1</v>
      </c>
      <c r="L624" s="9">
        <f t="shared" si="28"/>
        <v>1</v>
      </c>
      <c r="M624" s="9">
        <f t="shared" si="29"/>
        <v>0</v>
      </c>
    </row>
    <row r="625" ht="25" customHeight="1" spans="1:13">
      <c r="A625" s="9" t="s">
        <v>481</v>
      </c>
      <c r="B625" s="9" t="s">
        <v>480</v>
      </c>
      <c r="C625" s="9" t="s">
        <v>1059</v>
      </c>
      <c r="D625" s="10">
        <v>46112</v>
      </c>
      <c r="E625" s="10">
        <v>46142</v>
      </c>
      <c r="F625" s="10">
        <f>净值原始!C5503</f>
        <v>46112</v>
      </c>
      <c r="G625" s="10">
        <f>净值原始!C5524</f>
        <v>46142</v>
      </c>
      <c r="H625" s="15">
        <f>净值原始!F5503</f>
        <v>1.073</v>
      </c>
      <c r="I625" s="15">
        <f>净值原始!F5524</f>
        <v>1.095</v>
      </c>
      <c r="J625" s="11">
        <f t="shared" si="27"/>
        <v>0.0205032618825722</v>
      </c>
      <c r="K625" s="9">
        <f>IF(COUNT(F625:I625)&lt;&gt;4,0,IF(AND(G625&gt;F625,H625&gt;0,I625&gt;0,L625&lt;='Sheet1-指标体系'!$J$31,M625&lt;='Sheet1-指标体系'!$J$31),1,0))</f>
        <v>1</v>
      </c>
      <c r="L625" s="9">
        <f t="shared" si="28"/>
        <v>0</v>
      </c>
      <c r="M625" s="9">
        <f t="shared" si="29"/>
        <v>0</v>
      </c>
    </row>
    <row r="626" ht="25" customHeight="1" spans="1:13">
      <c r="A626" s="9" t="s">
        <v>481</v>
      </c>
      <c r="B626" s="9" t="s">
        <v>480</v>
      </c>
      <c r="C626" s="9" t="s">
        <v>1060</v>
      </c>
      <c r="D626" s="10">
        <v>46142</v>
      </c>
      <c r="E626" s="10">
        <v>46173</v>
      </c>
      <c r="F626" s="10">
        <f>净值原始!C5524</f>
        <v>46142</v>
      </c>
      <c r="G626" s="10">
        <f>净值原始!C5542</f>
        <v>46171</v>
      </c>
      <c r="H626" s="15">
        <f>净值原始!F5524</f>
        <v>1.095</v>
      </c>
      <c r="I626" s="15">
        <f>净值原始!F5542</f>
        <v>1.107</v>
      </c>
      <c r="J626" s="11">
        <f t="shared" si="27"/>
        <v>0.010958904109589</v>
      </c>
      <c r="K626" s="9">
        <f>IF(COUNT(F626:I626)&lt;&gt;4,0,IF(AND(G626&gt;F626,H626&gt;0,I626&gt;0,L626&lt;='Sheet1-指标体系'!$J$31,M626&lt;='Sheet1-指标体系'!$J$31),1,0))</f>
        <v>1</v>
      </c>
      <c r="L626" s="9">
        <f t="shared" si="28"/>
        <v>0</v>
      </c>
      <c r="M626" s="9">
        <f t="shared" si="29"/>
        <v>2</v>
      </c>
    </row>
    <row r="627" ht="25" customHeight="1" spans="1:13">
      <c r="A627" s="9" t="s">
        <v>481</v>
      </c>
      <c r="B627" s="9" t="s">
        <v>480</v>
      </c>
      <c r="C627" s="9" t="s">
        <v>1061</v>
      </c>
      <c r="D627" s="10">
        <v>46173</v>
      </c>
      <c r="E627" s="10">
        <v>46203</v>
      </c>
      <c r="F627" s="10">
        <f>净值原始!C5542</f>
        <v>46171</v>
      </c>
      <c r="G627" s="10">
        <f>净值原始!C5563</f>
        <v>46203</v>
      </c>
      <c r="H627" s="15">
        <f>净值原始!F5542</f>
        <v>1.107</v>
      </c>
      <c r="I627" s="15">
        <f>净值原始!F5563</f>
        <v>1.1061</v>
      </c>
      <c r="J627" s="11">
        <f t="shared" si="27"/>
        <v>-0.000813008130081228</v>
      </c>
      <c r="K627" s="9">
        <f>IF(COUNT(F627:I627)&lt;&gt;4,0,IF(AND(G627&gt;F627,H627&gt;0,I627&gt;0,L627&lt;='Sheet1-指标体系'!$J$31,M627&lt;='Sheet1-指标体系'!$J$31),1,0))</f>
        <v>1</v>
      </c>
      <c r="L627" s="9">
        <f t="shared" si="28"/>
        <v>2</v>
      </c>
      <c r="M627" s="9">
        <f t="shared" si="29"/>
        <v>0</v>
      </c>
    </row>
    <row r="628" ht="25" customHeight="1" spans="1:13">
      <c r="A628" s="9" t="s">
        <v>481</v>
      </c>
      <c r="B628" s="9" t="s">
        <v>480</v>
      </c>
      <c r="C628" s="9" t="s">
        <v>1062</v>
      </c>
      <c r="D628" s="10">
        <v>46203</v>
      </c>
      <c r="E628" s="10">
        <v>46234</v>
      </c>
      <c r="F628" s="10">
        <f>净值原始!C5563</f>
        <v>46203</v>
      </c>
      <c r="G628" s="10">
        <f>净值原始!C5586</f>
        <v>46234</v>
      </c>
      <c r="H628" s="15">
        <f>净值原始!F5563</f>
        <v>1.1061</v>
      </c>
      <c r="I628" s="15">
        <f>净值原始!F5586</f>
        <v>1.1181</v>
      </c>
      <c r="J628" s="11">
        <f t="shared" si="27"/>
        <v>0.010848928668294</v>
      </c>
      <c r="K628" s="9">
        <f>IF(COUNT(F628:I628)&lt;&gt;4,0,IF(AND(G628&gt;F628,H628&gt;0,I628&gt;0,L628&lt;='Sheet1-指标体系'!$J$31,M628&lt;='Sheet1-指标体系'!$J$31),1,0))</f>
        <v>1</v>
      </c>
      <c r="L628" s="9">
        <f t="shared" si="28"/>
        <v>0</v>
      </c>
      <c r="M628" s="9">
        <f t="shared" si="29"/>
        <v>0</v>
      </c>
    </row>
    <row r="629" ht="25" customHeight="1" spans="1:13">
      <c r="A629" s="9" t="s">
        <v>481</v>
      </c>
      <c r="B629" s="9" t="s">
        <v>480</v>
      </c>
      <c r="C629" s="9" t="s">
        <v>1063</v>
      </c>
      <c r="D629" s="10">
        <v>46234</v>
      </c>
      <c r="E629" s="10">
        <v>46265</v>
      </c>
      <c r="F629" s="10">
        <f>净值原始!C5586</f>
        <v>46234</v>
      </c>
      <c r="G629" s="10">
        <f>净值原始!C5607</f>
        <v>46265</v>
      </c>
      <c r="H629" s="15">
        <f>净值原始!F5586</f>
        <v>1.1181</v>
      </c>
      <c r="I629" s="15">
        <f>净值原始!F5607</f>
        <v>1.1258</v>
      </c>
      <c r="J629" s="11">
        <f t="shared" si="27"/>
        <v>0.00688668276540549</v>
      </c>
      <c r="K629" s="9">
        <f>IF(COUNT(F629:I629)&lt;&gt;4,0,IF(AND(G629&gt;F629,H629&gt;0,I629&gt;0,L629&lt;='Sheet1-指标体系'!$J$31,M629&lt;='Sheet1-指标体系'!$J$31),1,0))</f>
        <v>1</v>
      </c>
      <c r="L629" s="9">
        <f t="shared" si="28"/>
        <v>0</v>
      </c>
      <c r="M629" s="9">
        <f t="shared" si="29"/>
        <v>0</v>
      </c>
    </row>
    <row r="630" ht="25" customHeight="1" spans="1:13">
      <c r="A630" s="9" t="s">
        <v>481</v>
      </c>
      <c r="B630" s="9" t="s">
        <v>480</v>
      </c>
      <c r="C630" s="9" t="s">
        <v>1064</v>
      </c>
      <c r="D630" s="10">
        <v>46265</v>
      </c>
      <c r="E630" s="10">
        <v>46269</v>
      </c>
      <c r="F630" s="10">
        <f>净值原始!C5607</f>
        <v>46265</v>
      </c>
      <c r="G630" s="10">
        <f>净值原始!C5611</f>
        <v>46269</v>
      </c>
      <c r="H630" s="15">
        <f>净值原始!F5607</f>
        <v>1.1258</v>
      </c>
      <c r="I630" s="15">
        <f>净值原始!F5611</f>
        <v>1.1236</v>
      </c>
      <c r="J630" s="11">
        <f t="shared" si="27"/>
        <v>-0.00195416592645226</v>
      </c>
      <c r="K630" s="9">
        <f>IF(COUNT(F630:I630)&lt;&gt;4,0,IF(AND(G630&gt;F630,H630&gt;0,I630&gt;0,L630&lt;='Sheet1-指标体系'!$J$31,M630&lt;='Sheet1-指标体系'!$J$31),1,0))</f>
        <v>1</v>
      </c>
      <c r="L630" s="9">
        <f t="shared" si="28"/>
        <v>0</v>
      </c>
      <c r="M630" s="9">
        <f t="shared" si="29"/>
        <v>0</v>
      </c>
    </row>
    <row r="631" ht="25" customHeight="1" spans="1:13">
      <c r="A631" s="9" t="s">
        <v>249</v>
      </c>
      <c r="B631" s="9" t="s">
        <v>248</v>
      </c>
      <c r="C631" s="9" t="s">
        <v>1028</v>
      </c>
      <c r="D631" s="10">
        <v>45169</v>
      </c>
      <c r="E631" s="10">
        <v>45199</v>
      </c>
      <c r="F631" s="10">
        <f>净值原始!C5751</f>
        <v>45163</v>
      </c>
      <c r="G631" s="10">
        <f>净值原始!C5756</f>
        <v>45197</v>
      </c>
      <c r="H631" s="15">
        <f>净值原始!F5751</f>
        <v>1.5436</v>
      </c>
      <c r="I631" s="15">
        <f>净值原始!F5756</f>
        <v>1.5499</v>
      </c>
      <c r="J631" s="11">
        <f t="shared" si="27"/>
        <v>0.00408136823011152</v>
      </c>
      <c r="K631" s="9">
        <f>IF(COUNT(F631:I631)&lt;&gt;4,0,IF(AND(G631&gt;F631,H631&gt;0,I631&gt;0,L631&lt;='Sheet1-指标体系'!$J$31,M631&lt;='Sheet1-指标体系'!$J$31),1,0))</f>
        <v>1</v>
      </c>
      <c r="L631" s="9">
        <f t="shared" si="28"/>
        <v>6</v>
      </c>
      <c r="M631" s="9">
        <f t="shared" si="29"/>
        <v>2</v>
      </c>
    </row>
    <row r="632" ht="25" customHeight="1" spans="1:13">
      <c r="A632" s="9" t="s">
        <v>249</v>
      </c>
      <c r="B632" s="9" t="s">
        <v>248</v>
      </c>
      <c r="C632" s="9" t="s">
        <v>1029</v>
      </c>
      <c r="D632" s="10">
        <v>45199</v>
      </c>
      <c r="E632" s="10">
        <v>45230</v>
      </c>
      <c r="F632" s="10">
        <f>净值原始!C5756</f>
        <v>45197</v>
      </c>
      <c r="G632" s="10">
        <f>净值原始!C5759</f>
        <v>45226</v>
      </c>
      <c r="H632" s="15">
        <f>净值原始!F5756</f>
        <v>1.5499</v>
      </c>
      <c r="I632" s="15">
        <f>净值原始!F5759</f>
        <v>1.5541</v>
      </c>
      <c r="J632" s="11">
        <f t="shared" si="27"/>
        <v>0.00270985224853204</v>
      </c>
      <c r="K632" s="9">
        <f>IF(COUNT(F632:I632)&lt;&gt;4,0,IF(AND(G632&gt;F632,H632&gt;0,I632&gt;0,L632&lt;='Sheet1-指标体系'!$J$31,M632&lt;='Sheet1-指标体系'!$J$31),1,0))</f>
        <v>1</v>
      </c>
      <c r="L632" s="9">
        <f t="shared" si="28"/>
        <v>2</v>
      </c>
      <c r="M632" s="9">
        <f t="shared" si="29"/>
        <v>4</v>
      </c>
    </row>
    <row r="633" ht="25" customHeight="1" spans="1:13">
      <c r="A633" s="9" t="s">
        <v>249</v>
      </c>
      <c r="B633" s="9" t="s">
        <v>248</v>
      </c>
      <c r="C633" s="9" t="s">
        <v>1030</v>
      </c>
      <c r="D633" s="10">
        <v>45230</v>
      </c>
      <c r="E633" s="10">
        <v>45260</v>
      </c>
      <c r="F633" s="10">
        <f>净值原始!C5759</f>
        <v>45226</v>
      </c>
      <c r="G633" s="10">
        <f>净值原始!C5763</f>
        <v>45254</v>
      </c>
      <c r="H633" s="15">
        <f>净值原始!F5759</f>
        <v>1.5541</v>
      </c>
      <c r="I633" s="15">
        <f>净值原始!F5763</f>
        <v>1.5537</v>
      </c>
      <c r="J633" s="11">
        <f t="shared" si="27"/>
        <v>-0.00025738369474293</v>
      </c>
      <c r="K633" s="9">
        <f>IF(COUNT(F633:I633)&lt;&gt;4,0,IF(AND(G633&gt;F633,H633&gt;0,I633&gt;0,L633&lt;='Sheet1-指标体系'!$J$31,M633&lt;='Sheet1-指标体系'!$J$31),1,0))</f>
        <v>1</v>
      </c>
      <c r="L633" s="9">
        <f t="shared" si="28"/>
        <v>4</v>
      </c>
      <c r="M633" s="9">
        <f t="shared" si="29"/>
        <v>6</v>
      </c>
    </row>
    <row r="634" ht="25" customHeight="1" spans="1:13">
      <c r="A634" s="9" t="s">
        <v>249</v>
      </c>
      <c r="B634" s="9" t="s">
        <v>248</v>
      </c>
      <c r="C634" s="9" t="s">
        <v>1031</v>
      </c>
      <c r="D634" s="10">
        <v>45260</v>
      </c>
      <c r="E634" s="10">
        <v>45291</v>
      </c>
      <c r="F634" s="10">
        <f>净值原始!C5763</f>
        <v>45254</v>
      </c>
      <c r="G634" s="10">
        <f>净值原始!C5768</f>
        <v>45289</v>
      </c>
      <c r="H634" s="15">
        <f>净值原始!F5763</f>
        <v>1.5537</v>
      </c>
      <c r="I634" s="15">
        <f>净值原始!F5768</f>
        <v>1.574</v>
      </c>
      <c r="J634" s="11">
        <f t="shared" si="27"/>
        <v>0.0130655853768424</v>
      </c>
      <c r="K634" s="9">
        <f>IF(COUNT(F634:I634)&lt;&gt;4,0,IF(AND(G634&gt;F634,H634&gt;0,I634&gt;0,L634&lt;='Sheet1-指标体系'!$J$31,M634&lt;='Sheet1-指标体系'!$J$31),1,0))</f>
        <v>1</v>
      </c>
      <c r="L634" s="9">
        <f t="shared" si="28"/>
        <v>6</v>
      </c>
      <c r="M634" s="9">
        <f t="shared" si="29"/>
        <v>2</v>
      </c>
    </row>
    <row r="635" ht="25" customHeight="1" spans="1:13">
      <c r="A635" s="9" t="s">
        <v>249</v>
      </c>
      <c r="B635" s="9" t="s">
        <v>248</v>
      </c>
      <c r="C635" s="9" t="s">
        <v>1032</v>
      </c>
      <c r="D635" s="10">
        <v>45291</v>
      </c>
      <c r="E635" s="10">
        <v>45322</v>
      </c>
      <c r="F635" s="10">
        <f>净值原始!C5768</f>
        <v>45289</v>
      </c>
      <c r="G635" s="10">
        <f>净值原始!C5772</f>
        <v>45317</v>
      </c>
      <c r="H635" s="15">
        <f>净值原始!F5768</f>
        <v>1.574</v>
      </c>
      <c r="I635" s="15">
        <f>净值原始!F5772</f>
        <v>1.5955</v>
      </c>
      <c r="J635" s="11">
        <f t="shared" si="27"/>
        <v>0.0136594663278271</v>
      </c>
      <c r="K635" s="9">
        <f>IF(COUNT(F635:I635)&lt;&gt;4,0,IF(AND(G635&gt;F635,H635&gt;0,I635&gt;0,L635&lt;='Sheet1-指标体系'!$J$31,M635&lt;='Sheet1-指标体系'!$J$31),1,0))</f>
        <v>1</v>
      </c>
      <c r="L635" s="9">
        <f t="shared" si="28"/>
        <v>2</v>
      </c>
      <c r="M635" s="9">
        <f t="shared" si="29"/>
        <v>5</v>
      </c>
    </row>
    <row r="636" ht="25" customHeight="1" spans="1:13">
      <c r="A636" s="9" t="s">
        <v>249</v>
      </c>
      <c r="B636" s="9" t="s">
        <v>248</v>
      </c>
      <c r="C636" s="9" t="s">
        <v>1033</v>
      </c>
      <c r="D636" s="10">
        <v>45322</v>
      </c>
      <c r="E636" s="10">
        <v>45351</v>
      </c>
      <c r="F636" s="10">
        <f>净值原始!C5772</f>
        <v>45317</v>
      </c>
      <c r="G636" s="10">
        <f>净值原始!C5775</f>
        <v>45345</v>
      </c>
      <c r="H636" s="15">
        <f>净值原始!F5772</f>
        <v>1.5955</v>
      </c>
      <c r="I636" s="15">
        <f>净值原始!F5775</f>
        <v>1.6256</v>
      </c>
      <c r="J636" s="11">
        <f t="shared" si="27"/>
        <v>0.0188655593857725</v>
      </c>
      <c r="K636" s="9">
        <f>IF(COUNT(F636:I636)&lt;&gt;4,0,IF(AND(G636&gt;F636,H636&gt;0,I636&gt;0,L636&lt;='Sheet1-指标体系'!$J$31,M636&lt;='Sheet1-指标体系'!$J$31),1,0))</f>
        <v>1</v>
      </c>
      <c r="L636" s="9">
        <f t="shared" si="28"/>
        <v>5</v>
      </c>
      <c r="M636" s="9">
        <f t="shared" si="29"/>
        <v>6</v>
      </c>
    </row>
    <row r="637" ht="25" customHeight="1" spans="1:13">
      <c r="A637" s="9" t="s">
        <v>249</v>
      </c>
      <c r="B637" s="9" t="s">
        <v>248</v>
      </c>
      <c r="C637" s="9" t="s">
        <v>1034</v>
      </c>
      <c r="D637" s="10">
        <v>45351</v>
      </c>
      <c r="E637" s="10">
        <v>45382</v>
      </c>
      <c r="F637" s="10">
        <f>净值原始!C5775</f>
        <v>45345</v>
      </c>
      <c r="G637" s="10">
        <f>净值原始!C5780</f>
        <v>45380</v>
      </c>
      <c r="H637" s="15">
        <f>净值原始!F5775</f>
        <v>1.6256</v>
      </c>
      <c r="I637" s="15">
        <f>净值原始!F5780</f>
        <v>1.6491</v>
      </c>
      <c r="J637" s="11">
        <f t="shared" si="27"/>
        <v>0.0144562007874016</v>
      </c>
      <c r="K637" s="9">
        <f>IF(COUNT(F637:I637)&lt;&gt;4,0,IF(AND(G637&gt;F637,H637&gt;0,I637&gt;0,L637&lt;='Sheet1-指标体系'!$J$31,M637&lt;='Sheet1-指标体系'!$J$31),1,0))</f>
        <v>1</v>
      </c>
      <c r="L637" s="9">
        <f t="shared" si="28"/>
        <v>6</v>
      </c>
      <c r="M637" s="9">
        <f t="shared" si="29"/>
        <v>2</v>
      </c>
    </row>
    <row r="638" ht="25" customHeight="1" spans="1:13">
      <c r="A638" s="9" t="s">
        <v>249</v>
      </c>
      <c r="B638" s="9" t="s">
        <v>248</v>
      </c>
      <c r="C638" s="9" t="s">
        <v>1035</v>
      </c>
      <c r="D638" s="10">
        <v>45382</v>
      </c>
      <c r="E638" s="10">
        <v>45412</v>
      </c>
      <c r="F638" s="10">
        <f>净值原始!C5780</f>
        <v>45380</v>
      </c>
      <c r="G638" s="10">
        <f>净值原始!C5785</f>
        <v>45412</v>
      </c>
      <c r="H638" s="15">
        <f>净值原始!F5780</f>
        <v>1.6491</v>
      </c>
      <c r="I638" s="15">
        <f>净值原始!F5785</f>
        <v>1.6616</v>
      </c>
      <c r="J638" s="11">
        <f t="shared" si="27"/>
        <v>0.00757989206233711</v>
      </c>
      <c r="K638" s="9">
        <f>IF(COUNT(F638:I638)&lt;&gt;4,0,IF(AND(G638&gt;F638,H638&gt;0,I638&gt;0,L638&lt;='Sheet1-指标体系'!$J$31,M638&lt;='Sheet1-指标体系'!$J$31),1,0))</f>
        <v>1</v>
      </c>
      <c r="L638" s="9">
        <f t="shared" si="28"/>
        <v>2</v>
      </c>
      <c r="M638" s="9">
        <f t="shared" si="29"/>
        <v>0</v>
      </c>
    </row>
    <row r="639" ht="25" customHeight="1" spans="1:13">
      <c r="A639" s="9" t="s">
        <v>249</v>
      </c>
      <c r="B639" s="9" t="s">
        <v>248</v>
      </c>
      <c r="C639" s="9" t="s">
        <v>1036</v>
      </c>
      <c r="D639" s="10">
        <v>45412</v>
      </c>
      <c r="E639" s="10">
        <v>45443</v>
      </c>
      <c r="F639" s="10">
        <f>净值原始!C5785</f>
        <v>45412</v>
      </c>
      <c r="G639" s="10">
        <f>净值原始!C5789</f>
        <v>45443</v>
      </c>
      <c r="H639" s="15">
        <f>净值原始!F5785</f>
        <v>1.6616</v>
      </c>
      <c r="I639" s="15">
        <f>净值原始!F5789</f>
        <v>1.6563</v>
      </c>
      <c r="J639" s="11">
        <f t="shared" si="27"/>
        <v>-0.0031896966779007</v>
      </c>
      <c r="K639" s="9">
        <f>IF(COUNT(F639:I639)&lt;&gt;4,0,IF(AND(G639&gt;F639,H639&gt;0,I639&gt;0,L639&lt;='Sheet1-指标体系'!$J$31,M639&lt;='Sheet1-指标体系'!$J$31),1,0))</f>
        <v>1</v>
      </c>
      <c r="L639" s="9">
        <f t="shared" si="28"/>
        <v>0</v>
      </c>
      <c r="M639" s="9">
        <f t="shared" si="29"/>
        <v>0</v>
      </c>
    </row>
    <row r="640" ht="25" customHeight="1" spans="1:13">
      <c r="A640" s="9" t="s">
        <v>249</v>
      </c>
      <c r="B640" s="9" t="s">
        <v>248</v>
      </c>
      <c r="C640" s="9" t="s">
        <v>1037</v>
      </c>
      <c r="D640" s="10">
        <v>45443</v>
      </c>
      <c r="E640" s="10">
        <v>45473</v>
      </c>
      <c r="F640" s="10">
        <f>净值原始!C5789</f>
        <v>45443</v>
      </c>
      <c r="G640" s="10">
        <f>净值原始!C5793</f>
        <v>45471</v>
      </c>
      <c r="H640" s="15">
        <f>净值原始!F5789</f>
        <v>1.6563</v>
      </c>
      <c r="I640" s="15">
        <f>净值原始!F5793</f>
        <v>1.6612</v>
      </c>
      <c r="J640" s="11">
        <f t="shared" si="27"/>
        <v>0.00295840125581104</v>
      </c>
      <c r="K640" s="9">
        <f>IF(COUNT(F640:I640)&lt;&gt;4,0,IF(AND(G640&gt;F640,H640&gt;0,I640&gt;0,L640&lt;='Sheet1-指标体系'!$J$31,M640&lt;='Sheet1-指标体系'!$J$31),1,0))</f>
        <v>1</v>
      </c>
      <c r="L640" s="9">
        <f t="shared" si="28"/>
        <v>0</v>
      </c>
      <c r="M640" s="9">
        <f t="shared" si="29"/>
        <v>2</v>
      </c>
    </row>
    <row r="641" ht="25" customHeight="1" spans="1:13">
      <c r="A641" s="9" t="s">
        <v>249</v>
      </c>
      <c r="B641" s="9" t="s">
        <v>248</v>
      </c>
      <c r="C641" s="9" t="s">
        <v>1038</v>
      </c>
      <c r="D641" s="10">
        <v>45473</v>
      </c>
      <c r="E641" s="10">
        <v>45504</v>
      </c>
      <c r="F641" s="10">
        <f>净值原始!C5793</f>
        <v>45471</v>
      </c>
      <c r="G641" s="10">
        <f>净值原始!C5797</f>
        <v>45499</v>
      </c>
      <c r="H641" s="15">
        <f>净值原始!F5793</f>
        <v>1.6612</v>
      </c>
      <c r="I641" s="15">
        <f>净值原始!F5797</f>
        <v>1.6697</v>
      </c>
      <c r="J641" s="11">
        <f t="shared" si="27"/>
        <v>0.00511678304839869</v>
      </c>
      <c r="K641" s="9">
        <f>IF(COUNT(F641:I641)&lt;&gt;4,0,IF(AND(G641&gt;F641,H641&gt;0,I641&gt;0,L641&lt;='Sheet1-指标体系'!$J$31,M641&lt;='Sheet1-指标体系'!$J$31),1,0))</f>
        <v>1</v>
      </c>
      <c r="L641" s="9">
        <f t="shared" si="28"/>
        <v>2</v>
      </c>
      <c r="M641" s="9">
        <f t="shared" si="29"/>
        <v>5</v>
      </c>
    </row>
    <row r="642" ht="25" customHeight="1" spans="1:13">
      <c r="A642" s="9" t="s">
        <v>249</v>
      </c>
      <c r="B642" s="9" t="s">
        <v>248</v>
      </c>
      <c r="C642" s="9" t="s">
        <v>1039</v>
      </c>
      <c r="D642" s="10">
        <v>45504</v>
      </c>
      <c r="E642" s="10">
        <v>45535</v>
      </c>
      <c r="F642" s="10">
        <f>净值原始!C5797</f>
        <v>45499</v>
      </c>
      <c r="G642" s="10">
        <f>净值原始!C5802</f>
        <v>45534</v>
      </c>
      <c r="H642" s="15">
        <f>净值原始!F5797</f>
        <v>1.6697</v>
      </c>
      <c r="I642" s="15">
        <f>净值原始!F5802</f>
        <v>1.6971</v>
      </c>
      <c r="J642" s="11">
        <f t="shared" ref="J642:J705" si="30">IF(K642=1,I642/H642-1,"")</f>
        <v>0.0164101335569264</v>
      </c>
      <c r="K642" s="9">
        <f>IF(COUNT(F642:I642)&lt;&gt;4,0,IF(AND(G642&gt;F642,H642&gt;0,I642&gt;0,L642&lt;='Sheet1-指标体系'!$J$31,M642&lt;='Sheet1-指标体系'!$J$31),1,0))</f>
        <v>1</v>
      </c>
      <c r="L642" s="9">
        <f t="shared" ref="L642:L705" si="31">IF(ISNUMBER(F642),D642-F642,"")</f>
        <v>5</v>
      </c>
      <c r="M642" s="9">
        <f t="shared" ref="M642:M705" si="32">IF(ISNUMBER(G642),E642-G642,"")</f>
        <v>1</v>
      </c>
    </row>
    <row r="643" ht="25" customHeight="1" spans="1:13">
      <c r="A643" s="9" t="s">
        <v>249</v>
      </c>
      <c r="B643" s="9" t="s">
        <v>248</v>
      </c>
      <c r="C643" s="9" t="s">
        <v>1040</v>
      </c>
      <c r="D643" s="10">
        <v>45535</v>
      </c>
      <c r="E643" s="10">
        <v>45565</v>
      </c>
      <c r="F643" s="10">
        <f>净值原始!C5802</f>
        <v>45534</v>
      </c>
      <c r="G643" s="10">
        <f>净值原始!C5807</f>
        <v>45565</v>
      </c>
      <c r="H643" s="15">
        <f>净值原始!F5802</f>
        <v>1.6971</v>
      </c>
      <c r="I643" s="15">
        <f>净值原始!F5807</f>
        <v>1.7174</v>
      </c>
      <c r="J643" s="11">
        <f t="shared" si="30"/>
        <v>0.0119615815214189</v>
      </c>
      <c r="K643" s="9">
        <f>IF(COUNT(F643:I643)&lt;&gt;4,0,IF(AND(G643&gt;F643,H643&gt;0,I643&gt;0,L643&lt;='Sheet1-指标体系'!$J$31,M643&lt;='Sheet1-指标体系'!$J$31),1,0))</f>
        <v>1</v>
      </c>
      <c r="L643" s="9">
        <f t="shared" si="31"/>
        <v>1</v>
      </c>
      <c r="M643" s="9">
        <f t="shared" si="32"/>
        <v>0</v>
      </c>
    </row>
    <row r="644" ht="25" customHeight="1" spans="1:13">
      <c r="A644" s="9" t="s">
        <v>249</v>
      </c>
      <c r="B644" s="9" t="s">
        <v>248</v>
      </c>
      <c r="C644" s="9" t="s">
        <v>1041</v>
      </c>
      <c r="D644" s="10">
        <v>45565</v>
      </c>
      <c r="E644" s="10">
        <v>45596</v>
      </c>
      <c r="F644" s="10">
        <f>净值原始!C5807</f>
        <v>45565</v>
      </c>
      <c r="G644" s="10">
        <f>净值原始!C5810</f>
        <v>45590</v>
      </c>
      <c r="H644" s="15">
        <f>净值原始!F5807</f>
        <v>1.7174</v>
      </c>
      <c r="I644" s="15">
        <f>净值原始!F5810</f>
        <v>1.7541</v>
      </c>
      <c r="J644" s="11">
        <f t="shared" si="30"/>
        <v>0.0213695120531034</v>
      </c>
      <c r="K644" s="9">
        <f>IF(COUNT(F644:I644)&lt;&gt;4,0,IF(AND(G644&gt;F644,H644&gt;0,I644&gt;0,L644&lt;='Sheet1-指标体系'!$J$31,M644&lt;='Sheet1-指标体系'!$J$31),1,0))</f>
        <v>1</v>
      </c>
      <c r="L644" s="9">
        <f t="shared" si="31"/>
        <v>0</v>
      </c>
      <c r="M644" s="9">
        <f t="shared" si="32"/>
        <v>6</v>
      </c>
    </row>
    <row r="645" ht="25" customHeight="1" spans="1:13">
      <c r="A645" s="9" t="s">
        <v>249</v>
      </c>
      <c r="B645" s="9" t="s">
        <v>248</v>
      </c>
      <c r="C645" s="9" t="s">
        <v>1042</v>
      </c>
      <c r="D645" s="10">
        <v>45596</v>
      </c>
      <c r="E645" s="10">
        <v>45626</v>
      </c>
      <c r="F645" s="10">
        <f>净值原始!C5810</f>
        <v>45590</v>
      </c>
      <c r="G645" s="10">
        <f>净值原始!C5815</f>
        <v>45625</v>
      </c>
      <c r="H645" s="15">
        <f>净值原始!F5810</f>
        <v>1.7541</v>
      </c>
      <c r="I645" s="15">
        <f>净值原始!F5815</f>
        <v>1.7871</v>
      </c>
      <c r="J645" s="11">
        <f t="shared" si="30"/>
        <v>0.0188130665298443</v>
      </c>
      <c r="K645" s="9">
        <f>IF(COUNT(F645:I645)&lt;&gt;4,0,IF(AND(G645&gt;F645,H645&gt;0,I645&gt;0,L645&lt;='Sheet1-指标体系'!$J$31,M645&lt;='Sheet1-指标体系'!$J$31),1,0))</f>
        <v>1</v>
      </c>
      <c r="L645" s="9">
        <f t="shared" si="31"/>
        <v>6</v>
      </c>
      <c r="M645" s="9">
        <f t="shared" si="32"/>
        <v>1</v>
      </c>
    </row>
    <row r="646" ht="25" customHeight="1" spans="1:13">
      <c r="A646" s="9" t="s">
        <v>249</v>
      </c>
      <c r="B646" s="9" t="s">
        <v>248</v>
      </c>
      <c r="C646" s="9" t="s">
        <v>1043</v>
      </c>
      <c r="D646" s="10">
        <v>45626</v>
      </c>
      <c r="E646" s="10">
        <v>45657</v>
      </c>
      <c r="F646" s="10">
        <f>净值原始!C5815</f>
        <v>45625</v>
      </c>
      <c r="G646" s="10">
        <f>净值原始!C5819</f>
        <v>45653</v>
      </c>
      <c r="H646" s="15">
        <f>净值原始!F5815</f>
        <v>1.7871</v>
      </c>
      <c r="I646" s="15">
        <f>净值原始!F5819</f>
        <v>1.7927</v>
      </c>
      <c r="J646" s="11">
        <f t="shared" si="30"/>
        <v>0.00313356835095968</v>
      </c>
      <c r="K646" s="9">
        <f>IF(COUNT(F646:I646)&lt;&gt;4,0,IF(AND(G646&gt;F646,H646&gt;0,I646&gt;0,L646&lt;='Sheet1-指标体系'!$J$31,M646&lt;='Sheet1-指标体系'!$J$31),1,0))</f>
        <v>1</v>
      </c>
      <c r="L646" s="9">
        <f t="shared" si="31"/>
        <v>1</v>
      </c>
      <c r="M646" s="9">
        <f t="shared" si="32"/>
        <v>4</v>
      </c>
    </row>
    <row r="647" ht="25" customHeight="1" spans="1:13">
      <c r="A647" s="9" t="s">
        <v>249</v>
      </c>
      <c r="B647" s="9" t="s">
        <v>248</v>
      </c>
      <c r="C647" s="9" t="s">
        <v>1044</v>
      </c>
      <c r="D647" s="10">
        <v>45657</v>
      </c>
      <c r="E647" s="10">
        <v>45688</v>
      </c>
      <c r="F647" s="10">
        <f>净值原始!C5819</f>
        <v>45653</v>
      </c>
      <c r="G647" s="10">
        <f>净值原始!C5824</f>
        <v>45684</v>
      </c>
      <c r="H647" s="15">
        <f>净值原始!F5819</f>
        <v>1.7927</v>
      </c>
      <c r="I647" s="15">
        <f>净值原始!F5824</f>
        <v>1.8128</v>
      </c>
      <c r="J647" s="11">
        <f t="shared" si="30"/>
        <v>0.0112121381156913</v>
      </c>
      <c r="K647" s="9">
        <f>IF(COUNT(F647:I647)&lt;&gt;4,0,IF(AND(G647&gt;F647,H647&gt;0,I647&gt;0,L647&lt;='Sheet1-指标体系'!$J$31,M647&lt;='Sheet1-指标体系'!$J$31),1,0))</f>
        <v>1</v>
      </c>
      <c r="L647" s="9">
        <f t="shared" si="31"/>
        <v>4</v>
      </c>
      <c r="M647" s="9">
        <f t="shared" si="32"/>
        <v>4</v>
      </c>
    </row>
    <row r="648" ht="25" customHeight="1" spans="1:13">
      <c r="A648" s="9" t="s">
        <v>249</v>
      </c>
      <c r="B648" s="9" t="s">
        <v>248</v>
      </c>
      <c r="C648" s="9" t="s">
        <v>1045</v>
      </c>
      <c r="D648" s="10">
        <v>45688</v>
      </c>
      <c r="E648" s="10">
        <v>45716</v>
      </c>
      <c r="F648" s="10">
        <f>净值原始!C5824</f>
        <v>45684</v>
      </c>
      <c r="G648" s="10">
        <f>净值原始!C5828</f>
        <v>45716</v>
      </c>
      <c r="H648" s="15">
        <f>净值原始!F5824</f>
        <v>1.8128</v>
      </c>
      <c r="I648" s="15">
        <f>净值原始!F5828</f>
        <v>1.8294</v>
      </c>
      <c r="J648" s="11">
        <f t="shared" si="30"/>
        <v>0.0091571050308914</v>
      </c>
      <c r="K648" s="9">
        <f>IF(COUNT(F648:I648)&lt;&gt;4,0,IF(AND(G648&gt;F648,H648&gt;0,I648&gt;0,L648&lt;='Sheet1-指标体系'!$J$31,M648&lt;='Sheet1-指标体系'!$J$31),1,0))</f>
        <v>1</v>
      </c>
      <c r="L648" s="9">
        <f t="shared" si="31"/>
        <v>4</v>
      </c>
      <c r="M648" s="9">
        <f t="shared" si="32"/>
        <v>0</v>
      </c>
    </row>
    <row r="649" ht="25" customHeight="1" spans="1:13">
      <c r="A649" s="9" t="s">
        <v>249</v>
      </c>
      <c r="B649" s="9" t="s">
        <v>248</v>
      </c>
      <c r="C649" s="9" t="s">
        <v>1046</v>
      </c>
      <c r="D649" s="10">
        <v>45716</v>
      </c>
      <c r="E649" s="10">
        <v>45747</v>
      </c>
      <c r="F649" s="10">
        <f>净值原始!C5828</f>
        <v>45716</v>
      </c>
      <c r="G649" s="10">
        <f>净值原始!C5832</f>
        <v>45744</v>
      </c>
      <c r="H649" s="15">
        <f>净值原始!F5828</f>
        <v>1.8294</v>
      </c>
      <c r="I649" s="15">
        <f>净值原始!F5832</f>
        <v>1.8346</v>
      </c>
      <c r="J649" s="11">
        <f t="shared" si="30"/>
        <v>0.00284246200940208</v>
      </c>
      <c r="K649" s="9">
        <f>IF(COUNT(F649:I649)&lt;&gt;4,0,IF(AND(G649&gt;F649,H649&gt;0,I649&gt;0,L649&lt;='Sheet1-指标体系'!$J$31,M649&lt;='Sheet1-指标体系'!$J$31),1,0))</f>
        <v>1</v>
      </c>
      <c r="L649" s="9">
        <f t="shared" si="31"/>
        <v>0</v>
      </c>
      <c r="M649" s="9">
        <f t="shared" si="32"/>
        <v>3</v>
      </c>
    </row>
    <row r="650" ht="25" customHeight="1" spans="1:13">
      <c r="A650" s="9" t="s">
        <v>249</v>
      </c>
      <c r="B650" s="9" t="s">
        <v>248</v>
      </c>
      <c r="C650" s="9" t="s">
        <v>1047</v>
      </c>
      <c r="D650" s="10">
        <v>45747</v>
      </c>
      <c r="E650" s="10">
        <v>45777</v>
      </c>
      <c r="F650" s="10">
        <f>净值原始!C5832</f>
        <v>45744</v>
      </c>
      <c r="G650" s="10">
        <f>净值原始!C5837</f>
        <v>45777</v>
      </c>
      <c r="H650" s="15">
        <f>净值原始!F5832</f>
        <v>1.8346</v>
      </c>
      <c r="I650" s="15">
        <f>净值原始!F5837</f>
        <v>1.8441</v>
      </c>
      <c r="J650" s="11">
        <f t="shared" si="30"/>
        <v>0.00517824048838977</v>
      </c>
      <c r="K650" s="9">
        <f>IF(COUNT(F650:I650)&lt;&gt;4,0,IF(AND(G650&gt;F650,H650&gt;0,I650&gt;0,L650&lt;='Sheet1-指标体系'!$J$31,M650&lt;='Sheet1-指标体系'!$J$31),1,0))</f>
        <v>1</v>
      </c>
      <c r="L650" s="9">
        <f t="shared" si="31"/>
        <v>3</v>
      </c>
      <c r="M650" s="9">
        <f t="shared" si="32"/>
        <v>0</v>
      </c>
    </row>
    <row r="651" ht="25" customHeight="1" spans="1:13">
      <c r="A651" s="9" t="s">
        <v>249</v>
      </c>
      <c r="B651" s="9" t="s">
        <v>248</v>
      </c>
      <c r="C651" s="9" t="s">
        <v>1048</v>
      </c>
      <c r="D651" s="10">
        <v>45777</v>
      </c>
      <c r="E651" s="10">
        <v>45808</v>
      </c>
      <c r="F651" s="10">
        <f>净值原始!C5837</f>
        <v>45777</v>
      </c>
      <c r="G651" s="10">
        <f>净值原始!C5841</f>
        <v>45807</v>
      </c>
      <c r="H651" s="15">
        <f>净值原始!F5837</f>
        <v>1.8441</v>
      </c>
      <c r="I651" s="15">
        <f>净值原始!F5841</f>
        <v>1.8441</v>
      </c>
      <c r="J651" s="11">
        <f t="shared" si="30"/>
        <v>0</v>
      </c>
      <c r="K651" s="9">
        <f>IF(COUNT(F651:I651)&lt;&gt;4,0,IF(AND(G651&gt;F651,H651&gt;0,I651&gt;0,L651&lt;='Sheet1-指标体系'!$J$31,M651&lt;='Sheet1-指标体系'!$J$31),1,0))</f>
        <v>1</v>
      </c>
      <c r="L651" s="9">
        <f t="shared" si="31"/>
        <v>0</v>
      </c>
      <c r="M651" s="9">
        <f t="shared" si="32"/>
        <v>1</v>
      </c>
    </row>
    <row r="652" ht="25" customHeight="1" spans="1:13">
      <c r="A652" s="9" t="s">
        <v>249</v>
      </c>
      <c r="B652" s="9" t="s">
        <v>248</v>
      </c>
      <c r="C652" s="9" t="s">
        <v>1049</v>
      </c>
      <c r="D652" s="10">
        <v>45808</v>
      </c>
      <c r="E652" s="10">
        <v>45838</v>
      </c>
      <c r="F652" s="10">
        <f>净值原始!C5841</f>
        <v>45807</v>
      </c>
      <c r="G652" s="10">
        <f>净值原始!C5845</f>
        <v>45835</v>
      </c>
      <c r="H652" s="15">
        <f>净值原始!F5841</f>
        <v>1.8441</v>
      </c>
      <c r="I652" s="15">
        <f>净值原始!F5845</f>
        <v>1.8447</v>
      </c>
      <c r="J652" s="11">
        <f t="shared" si="30"/>
        <v>0.000325361965186177</v>
      </c>
      <c r="K652" s="9">
        <f>IF(COUNT(F652:I652)&lt;&gt;4,0,IF(AND(G652&gt;F652,H652&gt;0,I652&gt;0,L652&lt;='Sheet1-指标体系'!$J$31,M652&lt;='Sheet1-指标体系'!$J$31),1,0))</f>
        <v>1</v>
      </c>
      <c r="L652" s="9">
        <f t="shared" si="31"/>
        <v>1</v>
      </c>
      <c r="M652" s="9">
        <f t="shared" si="32"/>
        <v>3</v>
      </c>
    </row>
    <row r="653" ht="25" customHeight="1" spans="1:13">
      <c r="A653" s="9" t="s">
        <v>249</v>
      </c>
      <c r="B653" s="9" t="s">
        <v>248</v>
      </c>
      <c r="C653" s="9" t="s">
        <v>1050</v>
      </c>
      <c r="D653" s="10">
        <v>45838</v>
      </c>
      <c r="E653" s="10">
        <v>45869</v>
      </c>
      <c r="F653" s="10">
        <f>净值原始!C5845</f>
        <v>45835</v>
      </c>
      <c r="G653" s="10">
        <f>净值原始!C5849</f>
        <v>45863</v>
      </c>
      <c r="H653" s="15">
        <f>净值原始!F5845</f>
        <v>1.8447</v>
      </c>
      <c r="I653" s="15">
        <f>净值原始!F5849</f>
        <v>1.8491</v>
      </c>
      <c r="J653" s="11">
        <f t="shared" si="30"/>
        <v>0.00238521168753714</v>
      </c>
      <c r="K653" s="9">
        <f>IF(COUNT(F653:I653)&lt;&gt;4,0,IF(AND(G653&gt;F653,H653&gt;0,I653&gt;0,L653&lt;='Sheet1-指标体系'!$J$31,M653&lt;='Sheet1-指标体系'!$J$31),1,0))</f>
        <v>1</v>
      </c>
      <c r="L653" s="9">
        <f t="shared" si="31"/>
        <v>3</v>
      </c>
      <c r="M653" s="9">
        <f t="shared" si="32"/>
        <v>6</v>
      </c>
    </row>
    <row r="654" ht="25" customHeight="1" spans="1:13">
      <c r="A654" s="9" t="s">
        <v>249</v>
      </c>
      <c r="B654" s="9" t="s">
        <v>248</v>
      </c>
      <c r="C654" s="9" t="s">
        <v>1051</v>
      </c>
      <c r="D654" s="10">
        <v>45869</v>
      </c>
      <c r="E654" s="10">
        <v>45900</v>
      </c>
      <c r="F654" s="10">
        <f>净值原始!C5849</f>
        <v>45863</v>
      </c>
      <c r="G654" s="10">
        <f>净值原始!C5854</f>
        <v>45898</v>
      </c>
      <c r="H654" s="15">
        <f>净值原始!F5849</f>
        <v>1.8491</v>
      </c>
      <c r="I654" s="15">
        <f>净值原始!F5854</f>
        <v>1.8621</v>
      </c>
      <c r="J654" s="11">
        <f t="shared" si="30"/>
        <v>0.00703044724460544</v>
      </c>
      <c r="K654" s="9">
        <f>IF(COUNT(F654:I654)&lt;&gt;4,0,IF(AND(G654&gt;F654,H654&gt;0,I654&gt;0,L654&lt;='Sheet1-指标体系'!$J$31,M654&lt;='Sheet1-指标体系'!$J$31),1,0))</f>
        <v>1</v>
      </c>
      <c r="L654" s="9">
        <f t="shared" si="31"/>
        <v>6</v>
      </c>
      <c r="M654" s="9">
        <f t="shared" si="32"/>
        <v>2</v>
      </c>
    </row>
    <row r="655" ht="25" customHeight="1" spans="1:13">
      <c r="A655" s="9" t="s">
        <v>249</v>
      </c>
      <c r="B655" s="9" t="s">
        <v>248</v>
      </c>
      <c r="C655" s="9" t="s">
        <v>1052</v>
      </c>
      <c r="D655" s="10">
        <v>45900</v>
      </c>
      <c r="E655" s="10">
        <v>45930</v>
      </c>
      <c r="F655" s="10">
        <f>净值原始!C5854</f>
        <v>45898</v>
      </c>
      <c r="G655" s="10">
        <f>净值原始!C5859</f>
        <v>45930</v>
      </c>
      <c r="H655" s="15">
        <f>净值原始!F5854</f>
        <v>1.8621</v>
      </c>
      <c r="I655" s="15">
        <f>净值原始!F5859</f>
        <v>1.8801</v>
      </c>
      <c r="J655" s="11">
        <f t="shared" si="30"/>
        <v>0.00966650555824078</v>
      </c>
      <c r="K655" s="9">
        <f>IF(COUNT(F655:I655)&lt;&gt;4,0,IF(AND(G655&gt;F655,H655&gt;0,I655&gt;0,L655&lt;='Sheet1-指标体系'!$J$31,M655&lt;='Sheet1-指标体系'!$J$31),1,0))</f>
        <v>1</v>
      </c>
      <c r="L655" s="9">
        <f t="shared" si="31"/>
        <v>2</v>
      </c>
      <c r="M655" s="9">
        <f t="shared" si="32"/>
        <v>0</v>
      </c>
    </row>
    <row r="656" ht="25" customHeight="1" spans="1:13">
      <c r="A656" s="9" t="s">
        <v>249</v>
      </c>
      <c r="B656" s="9" t="s">
        <v>248</v>
      </c>
      <c r="C656" s="9" t="s">
        <v>1053</v>
      </c>
      <c r="D656" s="10">
        <v>45930</v>
      </c>
      <c r="E656" s="10">
        <v>45961</v>
      </c>
      <c r="F656" s="10">
        <f>净值原始!C5859</f>
        <v>45930</v>
      </c>
      <c r="G656" s="10">
        <f>净值原始!C5863</f>
        <v>45961</v>
      </c>
      <c r="H656" s="15">
        <f>净值原始!F5859</f>
        <v>1.8801</v>
      </c>
      <c r="I656" s="15">
        <f>净值原始!F5863</f>
        <v>1.8909</v>
      </c>
      <c r="J656" s="11">
        <f t="shared" si="30"/>
        <v>0.00574437529918614</v>
      </c>
      <c r="K656" s="9">
        <f>IF(COUNT(F656:I656)&lt;&gt;4,0,IF(AND(G656&gt;F656,H656&gt;0,I656&gt;0,L656&lt;='Sheet1-指标体系'!$J$31,M656&lt;='Sheet1-指标体系'!$J$31),1,0))</f>
        <v>1</v>
      </c>
      <c r="L656" s="9">
        <f t="shared" si="31"/>
        <v>0</v>
      </c>
      <c r="M656" s="9">
        <f t="shared" si="32"/>
        <v>0</v>
      </c>
    </row>
    <row r="657" ht="25" customHeight="1" spans="1:13">
      <c r="A657" s="9" t="s">
        <v>249</v>
      </c>
      <c r="B657" s="9" t="s">
        <v>248</v>
      </c>
      <c r="C657" s="9" t="s">
        <v>1054</v>
      </c>
      <c r="D657" s="10">
        <v>45961</v>
      </c>
      <c r="E657" s="10">
        <v>45991</v>
      </c>
      <c r="F657" s="10">
        <f>净值原始!C5863</f>
        <v>45961</v>
      </c>
      <c r="G657" s="10">
        <f>净值原始!C5867</f>
        <v>45989</v>
      </c>
      <c r="H657" s="15">
        <f>净值原始!F5863</f>
        <v>1.8909</v>
      </c>
      <c r="I657" s="15">
        <f>净值原始!F5867</f>
        <v>1.8947</v>
      </c>
      <c r="J657" s="11">
        <f t="shared" si="30"/>
        <v>0.00200962504627422</v>
      </c>
      <c r="K657" s="9">
        <f>IF(COUNT(F657:I657)&lt;&gt;4,0,IF(AND(G657&gt;F657,H657&gt;0,I657&gt;0,L657&lt;='Sheet1-指标体系'!$J$31,M657&lt;='Sheet1-指标体系'!$J$31),1,0))</f>
        <v>1</v>
      </c>
      <c r="L657" s="9">
        <f t="shared" si="31"/>
        <v>0</v>
      </c>
      <c r="M657" s="9">
        <f t="shared" si="32"/>
        <v>2</v>
      </c>
    </row>
    <row r="658" ht="25" customHeight="1" spans="1:13">
      <c r="A658" s="9" t="s">
        <v>249</v>
      </c>
      <c r="B658" s="9" t="s">
        <v>248</v>
      </c>
      <c r="C658" s="9" t="s">
        <v>1055</v>
      </c>
      <c r="D658" s="10">
        <v>45991</v>
      </c>
      <c r="E658" s="10">
        <v>46022</v>
      </c>
      <c r="F658" s="10">
        <f>净值原始!C5867</f>
        <v>45989</v>
      </c>
      <c r="G658" s="10">
        <f>净值原始!C5872</f>
        <v>46022</v>
      </c>
      <c r="H658" s="15">
        <f>净值原始!F5867</f>
        <v>1.8947</v>
      </c>
      <c r="I658" s="15">
        <f>净值原始!F5872</f>
        <v>1.8978</v>
      </c>
      <c r="J658" s="11">
        <f t="shared" si="30"/>
        <v>0.00163614292500136</v>
      </c>
      <c r="K658" s="9">
        <f>IF(COUNT(F658:I658)&lt;&gt;4,0,IF(AND(G658&gt;F658,H658&gt;0,I658&gt;0,L658&lt;='Sheet1-指标体系'!$J$31,M658&lt;='Sheet1-指标体系'!$J$31),1,0))</f>
        <v>1</v>
      </c>
      <c r="L658" s="9">
        <f t="shared" si="31"/>
        <v>2</v>
      </c>
      <c r="M658" s="9">
        <f t="shared" si="32"/>
        <v>0</v>
      </c>
    </row>
    <row r="659" ht="25" customHeight="1" spans="1:13">
      <c r="A659" s="9" t="s">
        <v>249</v>
      </c>
      <c r="B659" s="9" t="s">
        <v>248</v>
      </c>
      <c r="C659" s="9" t="s">
        <v>1056</v>
      </c>
      <c r="D659" s="10">
        <v>46022</v>
      </c>
      <c r="E659" s="10">
        <v>46053</v>
      </c>
      <c r="F659" s="10">
        <f>净值原始!C5872</f>
        <v>46022</v>
      </c>
      <c r="G659" s="10">
        <f>净值原始!C5876</f>
        <v>46052</v>
      </c>
      <c r="H659" s="15">
        <f>净值原始!F5872</f>
        <v>1.8978</v>
      </c>
      <c r="I659" s="15">
        <f>净值原始!F5876</f>
        <v>1.9172</v>
      </c>
      <c r="J659" s="11">
        <f t="shared" si="30"/>
        <v>0.0102223627357994</v>
      </c>
      <c r="K659" s="9">
        <f>IF(COUNT(F659:I659)&lt;&gt;4,0,IF(AND(G659&gt;F659,H659&gt;0,I659&gt;0,L659&lt;='Sheet1-指标体系'!$J$31,M659&lt;='Sheet1-指标体系'!$J$31),1,0))</f>
        <v>1</v>
      </c>
      <c r="L659" s="9">
        <f t="shared" si="31"/>
        <v>0</v>
      </c>
      <c r="M659" s="9">
        <f t="shared" si="32"/>
        <v>1</v>
      </c>
    </row>
    <row r="660" ht="25" customHeight="1" spans="1:13">
      <c r="A660" s="9" t="s">
        <v>249</v>
      </c>
      <c r="B660" s="9" t="s">
        <v>248</v>
      </c>
      <c r="C660" s="9" t="s">
        <v>1057</v>
      </c>
      <c r="D660" s="10">
        <v>46053</v>
      </c>
      <c r="E660" s="10">
        <v>46081</v>
      </c>
      <c r="F660" s="10">
        <f>净值原始!C5876</f>
        <v>46052</v>
      </c>
      <c r="G660" s="10">
        <f>净值原始!C5879</f>
        <v>46080</v>
      </c>
      <c r="H660" s="15">
        <f>净值原始!F5876</f>
        <v>1.9172</v>
      </c>
      <c r="I660" s="15">
        <f>净值原始!F5879</f>
        <v>1.9182</v>
      </c>
      <c r="J660" s="11">
        <f t="shared" si="30"/>
        <v>0.000521593991237079</v>
      </c>
      <c r="K660" s="9">
        <f>IF(COUNT(F660:I660)&lt;&gt;4,0,IF(AND(G660&gt;F660,H660&gt;0,I660&gt;0,L660&lt;='Sheet1-指标体系'!$J$31,M660&lt;='Sheet1-指标体系'!$J$31),1,0))</f>
        <v>1</v>
      </c>
      <c r="L660" s="9">
        <f t="shared" si="31"/>
        <v>1</v>
      </c>
      <c r="M660" s="9">
        <f t="shared" si="32"/>
        <v>1</v>
      </c>
    </row>
    <row r="661" ht="25" customHeight="1" spans="1:13">
      <c r="A661" s="9" t="s">
        <v>249</v>
      </c>
      <c r="B661" s="9" t="s">
        <v>248</v>
      </c>
      <c r="C661" s="9" t="s">
        <v>1058</v>
      </c>
      <c r="D661" s="10">
        <v>46081</v>
      </c>
      <c r="E661" s="10">
        <v>46112</v>
      </c>
      <c r="F661" s="10">
        <f>净值原始!C5879</f>
        <v>46080</v>
      </c>
      <c r="G661" s="10">
        <f>净值原始!C5883</f>
        <v>46108</v>
      </c>
      <c r="H661" s="15">
        <f>净值原始!F5879</f>
        <v>1.9182</v>
      </c>
      <c r="I661" s="15">
        <f>净值原始!F5883</f>
        <v>1.9309</v>
      </c>
      <c r="J661" s="11">
        <f t="shared" si="30"/>
        <v>0.00662079032426233</v>
      </c>
      <c r="K661" s="9">
        <f>IF(COUNT(F661:I661)&lt;&gt;4,0,IF(AND(G661&gt;F661,H661&gt;0,I661&gt;0,L661&lt;='Sheet1-指标体系'!$J$31,M661&lt;='Sheet1-指标体系'!$J$31),1,0))</f>
        <v>1</v>
      </c>
      <c r="L661" s="9">
        <f t="shared" si="31"/>
        <v>1</v>
      </c>
      <c r="M661" s="9">
        <f t="shared" si="32"/>
        <v>4</v>
      </c>
    </row>
    <row r="662" ht="25" customHeight="1" spans="1:13">
      <c r="A662" s="9" t="s">
        <v>249</v>
      </c>
      <c r="B662" s="9" t="s">
        <v>248</v>
      </c>
      <c r="C662" s="9" t="s">
        <v>1059</v>
      </c>
      <c r="D662" s="10">
        <v>46112</v>
      </c>
      <c r="E662" s="10">
        <v>46142</v>
      </c>
      <c r="F662" s="10">
        <f>净值原始!C5883</f>
        <v>46108</v>
      </c>
      <c r="G662" s="10">
        <f>净值原始!C5888</f>
        <v>46142</v>
      </c>
      <c r="H662" s="15">
        <f>净值原始!F5883</f>
        <v>1.9309</v>
      </c>
      <c r="I662" s="15">
        <f>净值原始!F5888</f>
        <v>1.9341</v>
      </c>
      <c r="J662" s="11">
        <f t="shared" si="30"/>
        <v>0.00165725827334406</v>
      </c>
      <c r="K662" s="9">
        <f>IF(COUNT(F662:I662)&lt;&gt;4,0,IF(AND(G662&gt;F662,H662&gt;0,I662&gt;0,L662&lt;='Sheet1-指标体系'!$J$31,M662&lt;='Sheet1-指标体系'!$J$31),1,0))</f>
        <v>1</v>
      </c>
      <c r="L662" s="9">
        <f t="shared" si="31"/>
        <v>4</v>
      </c>
      <c r="M662" s="9">
        <f t="shared" si="32"/>
        <v>0</v>
      </c>
    </row>
    <row r="663" ht="25" customHeight="1" spans="1:13">
      <c r="A663" s="9" t="s">
        <v>249</v>
      </c>
      <c r="B663" s="9" t="s">
        <v>248</v>
      </c>
      <c r="C663" s="9" t="s">
        <v>1060</v>
      </c>
      <c r="D663" s="10">
        <v>46142</v>
      </c>
      <c r="E663" s="10">
        <v>46173</v>
      </c>
      <c r="F663" s="10">
        <f>净值原始!C5888</f>
        <v>46142</v>
      </c>
      <c r="G663" s="10">
        <f>净值原始!C5892</f>
        <v>46171</v>
      </c>
      <c r="H663" s="15">
        <f>净值原始!F5888</f>
        <v>1.9341</v>
      </c>
      <c r="I663" s="15">
        <f>净值原始!F5892</f>
        <v>1.9431</v>
      </c>
      <c r="J663" s="11">
        <f t="shared" si="30"/>
        <v>0.00465332712889732</v>
      </c>
      <c r="K663" s="9">
        <f>IF(COUNT(F663:I663)&lt;&gt;4,0,IF(AND(G663&gt;F663,H663&gt;0,I663&gt;0,L663&lt;='Sheet1-指标体系'!$J$31,M663&lt;='Sheet1-指标体系'!$J$31),1,0))</f>
        <v>1</v>
      </c>
      <c r="L663" s="9">
        <f t="shared" si="31"/>
        <v>0</v>
      </c>
      <c r="M663" s="9">
        <f t="shared" si="32"/>
        <v>2</v>
      </c>
    </row>
    <row r="664" ht="25" customHeight="1" spans="1:13">
      <c r="A664" s="9" t="s">
        <v>249</v>
      </c>
      <c r="B664" s="9" t="s">
        <v>248</v>
      </c>
      <c r="C664" s="9" t="s">
        <v>1061</v>
      </c>
      <c r="D664" s="10">
        <v>46173</v>
      </c>
      <c r="E664" s="10">
        <v>46203</v>
      </c>
      <c r="F664" s="10">
        <f>净值原始!C5892</f>
        <v>46171</v>
      </c>
      <c r="G664" s="10">
        <f>净值原始!C5896</f>
        <v>46199</v>
      </c>
      <c r="H664" s="15">
        <f>净值原始!F5892</f>
        <v>1.9431</v>
      </c>
      <c r="I664" s="15">
        <f>净值原始!F5896</f>
        <v>1.9518</v>
      </c>
      <c r="J664" s="11">
        <f t="shared" si="30"/>
        <v>0.00447738150378263</v>
      </c>
      <c r="K664" s="9">
        <f>IF(COUNT(F664:I664)&lt;&gt;4,0,IF(AND(G664&gt;F664,H664&gt;0,I664&gt;0,L664&lt;='Sheet1-指标体系'!$J$31,M664&lt;='Sheet1-指标体系'!$J$31),1,0))</f>
        <v>1</v>
      </c>
      <c r="L664" s="9">
        <f t="shared" si="31"/>
        <v>2</v>
      </c>
      <c r="M664" s="9">
        <f t="shared" si="32"/>
        <v>4</v>
      </c>
    </row>
    <row r="665" ht="25" customHeight="1" spans="1:13">
      <c r="A665" s="9" t="s">
        <v>249</v>
      </c>
      <c r="B665" s="9" t="s">
        <v>248</v>
      </c>
      <c r="C665" s="9" t="s">
        <v>1062</v>
      </c>
      <c r="D665" s="10">
        <v>46203</v>
      </c>
      <c r="E665" s="10">
        <v>46234</v>
      </c>
      <c r="F665" s="10">
        <f>净值原始!C5896</f>
        <v>46199</v>
      </c>
      <c r="G665" s="10">
        <f>净值原始!C5901</f>
        <v>46234</v>
      </c>
      <c r="H665" s="15">
        <f>净值原始!F5896</f>
        <v>1.9518</v>
      </c>
      <c r="I665" s="15">
        <f>净值原始!F5901</f>
        <v>1.9744</v>
      </c>
      <c r="J665" s="11">
        <f t="shared" si="30"/>
        <v>0.0115790552310688</v>
      </c>
      <c r="K665" s="9">
        <f>IF(COUNT(F665:I665)&lt;&gt;4,0,IF(AND(G665&gt;F665,H665&gt;0,I665&gt;0,L665&lt;='Sheet1-指标体系'!$J$31,M665&lt;='Sheet1-指标体系'!$J$31),1,0))</f>
        <v>1</v>
      </c>
      <c r="L665" s="9">
        <f t="shared" si="31"/>
        <v>4</v>
      </c>
      <c r="M665" s="9">
        <f t="shared" si="32"/>
        <v>0</v>
      </c>
    </row>
    <row r="666" ht="25" customHeight="1" spans="1:13">
      <c r="A666" s="9" t="s">
        <v>249</v>
      </c>
      <c r="B666" s="9" t="s">
        <v>248</v>
      </c>
      <c r="C666" s="9" t="s">
        <v>1063</v>
      </c>
      <c r="D666" s="10">
        <v>46234</v>
      </c>
      <c r="E666" s="10">
        <v>46265</v>
      </c>
      <c r="F666" s="10">
        <f>净值原始!C5901</f>
        <v>46234</v>
      </c>
      <c r="G666" s="10">
        <f>净值原始!C5905</f>
        <v>46262</v>
      </c>
      <c r="H666" s="15">
        <f>净值原始!F5901</f>
        <v>1.9744</v>
      </c>
      <c r="I666" s="15">
        <f>净值原始!F5905</f>
        <v>1.9825</v>
      </c>
      <c r="J666" s="11">
        <f t="shared" si="30"/>
        <v>0.00410251215559154</v>
      </c>
      <c r="K666" s="9">
        <f>IF(COUNT(F666:I666)&lt;&gt;4,0,IF(AND(G666&gt;F666,H666&gt;0,I666&gt;0,L666&lt;='Sheet1-指标体系'!$J$31,M666&lt;='Sheet1-指标体系'!$J$31),1,0))</f>
        <v>1</v>
      </c>
      <c r="L666" s="9">
        <f t="shared" si="31"/>
        <v>0</v>
      </c>
      <c r="M666" s="9">
        <f t="shared" si="32"/>
        <v>3</v>
      </c>
    </row>
    <row r="667" ht="25" customHeight="1" spans="1:13">
      <c r="A667" s="9" t="s">
        <v>249</v>
      </c>
      <c r="B667" s="9" t="s">
        <v>248</v>
      </c>
      <c r="C667" s="9" t="s">
        <v>1064</v>
      </c>
      <c r="D667" s="10">
        <v>46265</v>
      </c>
      <c r="E667" s="10">
        <v>46269</v>
      </c>
      <c r="F667" s="10">
        <f>净值原始!C5905</f>
        <v>46262</v>
      </c>
      <c r="G667" s="10">
        <f>净值原始!C5906</f>
        <v>46269</v>
      </c>
      <c r="H667" s="15">
        <f>净值原始!F5905</f>
        <v>1.9825</v>
      </c>
      <c r="I667" s="15">
        <f>净值原始!F5906</f>
        <v>1.985</v>
      </c>
      <c r="J667" s="11">
        <f t="shared" si="30"/>
        <v>0.00126103404791933</v>
      </c>
      <c r="K667" s="9">
        <f>IF(COUNT(F667:I667)&lt;&gt;4,0,IF(AND(G667&gt;F667,H667&gt;0,I667&gt;0,L667&lt;='Sheet1-指标体系'!$J$31,M667&lt;='Sheet1-指标体系'!$J$31),1,0))</f>
        <v>1</v>
      </c>
      <c r="L667" s="9">
        <f t="shared" si="31"/>
        <v>3</v>
      </c>
      <c r="M667" s="9">
        <f t="shared" si="32"/>
        <v>0</v>
      </c>
    </row>
    <row r="668" ht="25" customHeight="1" spans="1:13">
      <c r="A668" s="9" t="s">
        <v>244</v>
      </c>
      <c r="B668" s="9" t="s">
        <v>243</v>
      </c>
      <c r="C668" s="9" t="s">
        <v>1028</v>
      </c>
      <c r="D668" s="10">
        <v>45169</v>
      </c>
      <c r="E668" s="10">
        <v>45199</v>
      </c>
      <c r="F668" s="10"/>
      <c r="G668" s="10"/>
      <c r="H668" s="15"/>
      <c r="I668" s="15"/>
      <c r="J668" s="11" t="str">
        <f t="shared" si="30"/>
        <v/>
      </c>
      <c r="K668" s="9">
        <f>IF(COUNT(F668:I668)&lt;&gt;4,0,IF(AND(G668&gt;F668,H668&gt;0,I668&gt;0,L668&lt;='Sheet1-指标体系'!$J$31,M668&lt;='Sheet1-指标体系'!$J$31),1,0))</f>
        <v>0</v>
      </c>
      <c r="L668" s="9" t="str">
        <f t="shared" si="31"/>
        <v/>
      </c>
      <c r="M668" s="9" t="str">
        <f t="shared" si="32"/>
        <v/>
      </c>
    </row>
    <row r="669" ht="25" customHeight="1" spans="1:13">
      <c r="A669" s="9" t="s">
        <v>244</v>
      </c>
      <c r="B669" s="9" t="s">
        <v>243</v>
      </c>
      <c r="C669" s="9" t="s">
        <v>1029</v>
      </c>
      <c r="D669" s="10">
        <v>45199</v>
      </c>
      <c r="E669" s="10">
        <v>45230</v>
      </c>
      <c r="F669" s="10"/>
      <c r="G669" s="10"/>
      <c r="H669" s="15"/>
      <c r="I669" s="15"/>
      <c r="J669" s="11" t="str">
        <f t="shared" si="30"/>
        <v/>
      </c>
      <c r="K669" s="9">
        <f>IF(COUNT(F669:I669)&lt;&gt;4,0,IF(AND(G669&gt;F669,H669&gt;0,I669&gt;0,L669&lt;='Sheet1-指标体系'!$J$31,M669&lt;='Sheet1-指标体系'!$J$31),1,0))</f>
        <v>0</v>
      </c>
      <c r="L669" s="9" t="str">
        <f t="shared" si="31"/>
        <v/>
      </c>
      <c r="M669" s="9" t="str">
        <f t="shared" si="32"/>
        <v/>
      </c>
    </row>
    <row r="670" ht="25" customHeight="1" spans="1:13">
      <c r="A670" s="9" t="s">
        <v>244</v>
      </c>
      <c r="B670" s="9" t="s">
        <v>243</v>
      </c>
      <c r="C670" s="9" t="s">
        <v>1030</v>
      </c>
      <c r="D670" s="10">
        <v>45230</v>
      </c>
      <c r="E670" s="10">
        <v>45260</v>
      </c>
      <c r="F670" s="10"/>
      <c r="G670" s="10"/>
      <c r="H670" s="15"/>
      <c r="I670" s="15"/>
      <c r="J670" s="11" t="str">
        <f t="shared" si="30"/>
        <v/>
      </c>
      <c r="K670" s="9">
        <f>IF(COUNT(F670:I670)&lt;&gt;4,0,IF(AND(G670&gt;F670,H670&gt;0,I670&gt;0,L670&lt;='Sheet1-指标体系'!$J$31,M670&lt;='Sheet1-指标体系'!$J$31),1,0))</f>
        <v>0</v>
      </c>
      <c r="L670" s="9" t="str">
        <f t="shared" si="31"/>
        <v/>
      </c>
      <c r="M670" s="9" t="str">
        <f t="shared" si="32"/>
        <v/>
      </c>
    </row>
    <row r="671" ht="25" customHeight="1" spans="1:13">
      <c r="A671" s="9" t="s">
        <v>244</v>
      </c>
      <c r="B671" s="9" t="s">
        <v>243</v>
      </c>
      <c r="C671" s="9" t="s">
        <v>1031</v>
      </c>
      <c r="D671" s="10">
        <v>45260</v>
      </c>
      <c r="E671" s="10">
        <v>45291</v>
      </c>
      <c r="F671" s="10"/>
      <c r="G671" s="10"/>
      <c r="H671" s="15"/>
      <c r="I671" s="15"/>
      <c r="J671" s="11" t="str">
        <f t="shared" si="30"/>
        <v/>
      </c>
      <c r="K671" s="9">
        <f>IF(COUNT(F671:I671)&lt;&gt;4,0,IF(AND(G671&gt;F671,H671&gt;0,I671&gt;0,L671&lt;='Sheet1-指标体系'!$J$31,M671&lt;='Sheet1-指标体系'!$J$31),1,0))</f>
        <v>0</v>
      </c>
      <c r="L671" s="9" t="str">
        <f t="shared" si="31"/>
        <v/>
      </c>
      <c r="M671" s="9" t="str">
        <f t="shared" si="32"/>
        <v/>
      </c>
    </row>
    <row r="672" ht="25" customHeight="1" spans="1:13">
      <c r="A672" s="9" t="s">
        <v>244</v>
      </c>
      <c r="B672" s="9" t="s">
        <v>243</v>
      </c>
      <c r="C672" s="9" t="s">
        <v>1032</v>
      </c>
      <c r="D672" s="10">
        <v>45291</v>
      </c>
      <c r="E672" s="10">
        <v>45322</v>
      </c>
      <c r="F672" s="10"/>
      <c r="G672" s="10"/>
      <c r="H672" s="15"/>
      <c r="I672" s="15"/>
      <c r="J672" s="11" t="str">
        <f t="shared" si="30"/>
        <v/>
      </c>
      <c r="K672" s="9">
        <f>IF(COUNT(F672:I672)&lt;&gt;4,0,IF(AND(G672&gt;F672,H672&gt;0,I672&gt;0,L672&lt;='Sheet1-指标体系'!$J$31,M672&lt;='Sheet1-指标体系'!$J$31),1,0))</f>
        <v>0</v>
      </c>
      <c r="L672" s="9" t="str">
        <f t="shared" si="31"/>
        <v/>
      </c>
      <c r="M672" s="9" t="str">
        <f t="shared" si="32"/>
        <v/>
      </c>
    </row>
    <row r="673" ht="25" customHeight="1" spans="1:13">
      <c r="A673" s="9" t="s">
        <v>244</v>
      </c>
      <c r="B673" s="9" t="s">
        <v>243</v>
      </c>
      <c r="C673" s="9" t="s">
        <v>1033</v>
      </c>
      <c r="D673" s="10">
        <v>45322</v>
      </c>
      <c r="E673" s="10">
        <v>45351</v>
      </c>
      <c r="F673" s="10"/>
      <c r="G673" s="10"/>
      <c r="H673" s="15"/>
      <c r="I673" s="15"/>
      <c r="J673" s="11" t="str">
        <f t="shared" si="30"/>
        <v/>
      </c>
      <c r="K673" s="9">
        <f>IF(COUNT(F673:I673)&lt;&gt;4,0,IF(AND(G673&gt;F673,H673&gt;0,I673&gt;0,L673&lt;='Sheet1-指标体系'!$J$31,M673&lt;='Sheet1-指标体系'!$J$31),1,0))</f>
        <v>0</v>
      </c>
      <c r="L673" s="9" t="str">
        <f t="shared" si="31"/>
        <v/>
      </c>
      <c r="M673" s="9" t="str">
        <f t="shared" si="32"/>
        <v/>
      </c>
    </row>
    <row r="674" ht="25" customHeight="1" spans="1:13">
      <c r="A674" s="9" t="s">
        <v>244</v>
      </c>
      <c r="B674" s="9" t="s">
        <v>243</v>
      </c>
      <c r="C674" s="9" t="s">
        <v>1034</v>
      </c>
      <c r="D674" s="10">
        <v>45351</v>
      </c>
      <c r="E674" s="10">
        <v>45382</v>
      </c>
      <c r="F674" s="10"/>
      <c r="G674" s="10"/>
      <c r="H674" s="15"/>
      <c r="I674" s="15"/>
      <c r="J674" s="11" t="str">
        <f t="shared" si="30"/>
        <v/>
      </c>
      <c r="K674" s="9">
        <f>IF(COUNT(F674:I674)&lt;&gt;4,0,IF(AND(G674&gt;F674,H674&gt;0,I674&gt;0,L674&lt;='Sheet1-指标体系'!$J$31,M674&lt;='Sheet1-指标体系'!$J$31),1,0))</f>
        <v>0</v>
      </c>
      <c r="L674" s="9" t="str">
        <f t="shared" si="31"/>
        <v/>
      </c>
      <c r="M674" s="9" t="str">
        <f t="shared" si="32"/>
        <v/>
      </c>
    </row>
    <row r="675" ht="25" customHeight="1" spans="1:13">
      <c r="A675" s="9" t="s">
        <v>244</v>
      </c>
      <c r="B675" s="9" t="s">
        <v>243</v>
      </c>
      <c r="C675" s="9" t="s">
        <v>1035</v>
      </c>
      <c r="D675" s="10">
        <v>45382</v>
      </c>
      <c r="E675" s="10">
        <v>45412</v>
      </c>
      <c r="F675" s="10"/>
      <c r="G675" s="10"/>
      <c r="H675" s="15"/>
      <c r="I675" s="15"/>
      <c r="J675" s="11" t="str">
        <f t="shared" si="30"/>
        <v/>
      </c>
      <c r="K675" s="9">
        <f>IF(COUNT(F675:I675)&lt;&gt;4,0,IF(AND(G675&gt;F675,H675&gt;0,I675&gt;0,L675&lt;='Sheet1-指标体系'!$J$31,M675&lt;='Sheet1-指标体系'!$J$31),1,0))</f>
        <v>0</v>
      </c>
      <c r="L675" s="9" t="str">
        <f t="shared" si="31"/>
        <v/>
      </c>
      <c r="M675" s="9" t="str">
        <f t="shared" si="32"/>
        <v/>
      </c>
    </row>
    <row r="676" ht="25" customHeight="1" spans="1:13">
      <c r="A676" s="9" t="s">
        <v>244</v>
      </c>
      <c r="B676" s="9" t="s">
        <v>243</v>
      </c>
      <c r="C676" s="9" t="s">
        <v>1036</v>
      </c>
      <c r="D676" s="10">
        <v>45412</v>
      </c>
      <c r="E676" s="10">
        <v>45443</v>
      </c>
      <c r="F676" s="10"/>
      <c r="G676" s="10"/>
      <c r="H676" s="15"/>
      <c r="I676" s="15"/>
      <c r="J676" s="11" t="str">
        <f t="shared" si="30"/>
        <v/>
      </c>
      <c r="K676" s="9">
        <f>IF(COUNT(F676:I676)&lt;&gt;4,0,IF(AND(G676&gt;F676,H676&gt;0,I676&gt;0,L676&lt;='Sheet1-指标体系'!$J$31,M676&lt;='Sheet1-指标体系'!$J$31),1,0))</f>
        <v>0</v>
      </c>
      <c r="L676" s="9" t="str">
        <f t="shared" si="31"/>
        <v/>
      </c>
      <c r="M676" s="9" t="str">
        <f t="shared" si="32"/>
        <v/>
      </c>
    </row>
    <row r="677" ht="25" customHeight="1" spans="1:13">
      <c r="A677" s="9" t="s">
        <v>244</v>
      </c>
      <c r="B677" s="9" t="s">
        <v>243</v>
      </c>
      <c r="C677" s="9" t="s">
        <v>1037</v>
      </c>
      <c r="D677" s="10">
        <v>45443</v>
      </c>
      <c r="E677" s="10">
        <v>45473</v>
      </c>
      <c r="F677" s="10"/>
      <c r="G677" s="10"/>
      <c r="H677" s="15"/>
      <c r="I677" s="15"/>
      <c r="J677" s="11" t="str">
        <f t="shared" si="30"/>
        <v/>
      </c>
      <c r="K677" s="9">
        <f>IF(COUNT(F677:I677)&lt;&gt;4,0,IF(AND(G677&gt;F677,H677&gt;0,I677&gt;0,L677&lt;='Sheet1-指标体系'!$J$31,M677&lt;='Sheet1-指标体系'!$J$31),1,0))</f>
        <v>0</v>
      </c>
      <c r="L677" s="9" t="str">
        <f t="shared" si="31"/>
        <v/>
      </c>
      <c r="M677" s="9" t="str">
        <f t="shared" si="32"/>
        <v/>
      </c>
    </row>
    <row r="678" ht="25" customHeight="1" spans="1:13">
      <c r="A678" s="9" t="s">
        <v>244</v>
      </c>
      <c r="B678" s="9" t="s">
        <v>243</v>
      </c>
      <c r="C678" s="9" t="s">
        <v>1038</v>
      </c>
      <c r="D678" s="10">
        <v>45473</v>
      </c>
      <c r="E678" s="10">
        <v>45504</v>
      </c>
      <c r="F678" s="10"/>
      <c r="G678" s="10"/>
      <c r="H678" s="15"/>
      <c r="I678" s="15"/>
      <c r="J678" s="11" t="str">
        <f t="shared" si="30"/>
        <v/>
      </c>
      <c r="K678" s="9">
        <f>IF(COUNT(F678:I678)&lt;&gt;4,0,IF(AND(G678&gt;F678,H678&gt;0,I678&gt;0,L678&lt;='Sheet1-指标体系'!$J$31,M678&lt;='Sheet1-指标体系'!$J$31),1,0))</f>
        <v>0</v>
      </c>
      <c r="L678" s="9" t="str">
        <f t="shared" si="31"/>
        <v/>
      </c>
      <c r="M678" s="9" t="str">
        <f t="shared" si="32"/>
        <v/>
      </c>
    </row>
    <row r="679" ht="25" customHeight="1" spans="1:13">
      <c r="A679" s="9" t="s">
        <v>244</v>
      </c>
      <c r="B679" s="9" t="s">
        <v>243</v>
      </c>
      <c r="C679" s="9" t="s">
        <v>1039</v>
      </c>
      <c r="D679" s="10">
        <v>45504</v>
      </c>
      <c r="E679" s="10">
        <v>45535</v>
      </c>
      <c r="F679" s="10"/>
      <c r="G679" s="10"/>
      <c r="H679" s="15"/>
      <c r="I679" s="15"/>
      <c r="J679" s="11" t="str">
        <f t="shared" si="30"/>
        <v/>
      </c>
      <c r="K679" s="9">
        <f>IF(COUNT(F679:I679)&lt;&gt;4,0,IF(AND(G679&gt;F679,H679&gt;0,I679&gt;0,L679&lt;='Sheet1-指标体系'!$J$31,M679&lt;='Sheet1-指标体系'!$J$31),1,0))</f>
        <v>0</v>
      </c>
      <c r="L679" s="9" t="str">
        <f t="shared" si="31"/>
        <v/>
      </c>
      <c r="M679" s="9" t="str">
        <f t="shared" si="32"/>
        <v/>
      </c>
    </row>
    <row r="680" ht="25" customHeight="1" spans="1:13">
      <c r="A680" s="9" t="s">
        <v>244</v>
      </c>
      <c r="B680" s="9" t="s">
        <v>243</v>
      </c>
      <c r="C680" s="9" t="s">
        <v>1040</v>
      </c>
      <c r="D680" s="10">
        <v>45535</v>
      </c>
      <c r="E680" s="10">
        <v>45565</v>
      </c>
      <c r="F680" s="10"/>
      <c r="G680" s="10"/>
      <c r="H680" s="15"/>
      <c r="I680" s="15"/>
      <c r="J680" s="11" t="str">
        <f t="shared" si="30"/>
        <v/>
      </c>
      <c r="K680" s="9">
        <f>IF(COUNT(F680:I680)&lt;&gt;4,0,IF(AND(G680&gt;F680,H680&gt;0,I680&gt;0,L680&lt;='Sheet1-指标体系'!$J$31,M680&lt;='Sheet1-指标体系'!$J$31),1,0))</f>
        <v>0</v>
      </c>
      <c r="L680" s="9" t="str">
        <f t="shared" si="31"/>
        <v/>
      </c>
      <c r="M680" s="9" t="str">
        <f t="shared" si="32"/>
        <v/>
      </c>
    </row>
    <row r="681" ht="25" customHeight="1" spans="1:13">
      <c r="A681" s="9" t="s">
        <v>244</v>
      </c>
      <c r="B681" s="9" t="s">
        <v>243</v>
      </c>
      <c r="C681" s="9" t="s">
        <v>1041</v>
      </c>
      <c r="D681" s="10">
        <v>45565</v>
      </c>
      <c r="E681" s="10">
        <v>45596</v>
      </c>
      <c r="F681" s="10"/>
      <c r="G681" s="10"/>
      <c r="H681" s="15"/>
      <c r="I681" s="15"/>
      <c r="J681" s="11" t="str">
        <f t="shared" si="30"/>
        <v/>
      </c>
      <c r="K681" s="9">
        <f>IF(COUNT(F681:I681)&lt;&gt;4,0,IF(AND(G681&gt;F681,H681&gt;0,I681&gt;0,L681&lt;='Sheet1-指标体系'!$J$31,M681&lt;='Sheet1-指标体系'!$J$31),1,0))</f>
        <v>0</v>
      </c>
      <c r="L681" s="9" t="str">
        <f t="shared" si="31"/>
        <v/>
      </c>
      <c r="M681" s="9" t="str">
        <f t="shared" si="32"/>
        <v/>
      </c>
    </row>
    <row r="682" ht="25" customHeight="1" spans="1:13">
      <c r="A682" s="9" t="s">
        <v>244</v>
      </c>
      <c r="B682" s="9" t="s">
        <v>243</v>
      </c>
      <c r="C682" s="9" t="s">
        <v>1042</v>
      </c>
      <c r="D682" s="10">
        <v>45596</v>
      </c>
      <c r="E682" s="10">
        <v>45626</v>
      </c>
      <c r="F682" s="10"/>
      <c r="G682" s="10">
        <f>净值原始!C5911</f>
        <v>45625</v>
      </c>
      <c r="H682" s="15"/>
      <c r="I682" s="15">
        <f>净值原始!F5911</f>
        <v>0.9836</v>
      </c>
      <c r="J682" s="11" t="str">
        <f t="shared" si="30"/>
        <v/>
      </c>
      <c r="K682" s="9">
        <f>IF(COUNT(F682:I682)&lt;&gt;4,0,IF(AND(G682&gt;F682,H682&gt;0,I682&gt;0,L682&lt;='Sheet1-指标体系'!$J$31,M682&lt;='Sheet1-指标体系'!$J$31),1,0))</f>
        <v>0</v>
      </c>
      <c r="L682" s="9" t="str">
        <f t="shared" si="31"/>
        <v/>
      </c>
      <c r="M682" s="9">
        <f t="shared" si="32"/>
        <v>1</v>
      </c>
    </row>
    <row r="683" ht="25" customHeight="1" spans="1:13">
      <c r="A683" s="9" t="s">
        <v>244</v>
      </c>
      <c r="B683" s="9" t="s">
        <v>243</v>
      </c>
      <c r="C683" s="9" t="s">
        <v>1043</v>
      </c>
      <c r="D683" s="10">
        <v>45626</v>
      </c>
      <c r="E683" s="10">
        <v>45657</v>
      </c>
      <c r="F683" s="10">
        <f>净值原始!C5911</f>
        <v>45625</v>
      </c>
      <c r="G683" s="10">
        <f>净值原始!C5915</f>
        <v>45653</v>
      </c>
      <c r="H683" s="15">
        <f>净值原始!F5911</f>
        <v>0.9836</v>
      </c>
      <c r="I683" s="15">
        <f>净值原始!F5915</f>
        <v>1.0029</v>
      </c>
      <c r="J683" s="11">
        <f t="shared" si="30"/>
        <v>0.0196217974786497</v>
      </c>
      <c r="K683" s="9">
        <f>IF(COUNT(F683:I683)&lt;&gt;4,0,IF(AND(G683&gt;F683,H683&gt;0,I683&gt;0,L683&lt;='Sheet1-指标体系'!$J$31,M683&lt;='Sheet1-指标体系'!$J$31),1,0))</f>
        <v>1</v>
      </c>
      <c r="L683" s="9">
        <f t="shared" si="31"/>
        <v>1</v>
      </c>
      <c r="M683" s="9">
        <f t="shared" si="32"/>
        <v>4</v>
      </c>
    </row>
    <row r="684" ht="25" customHeight="1" spans="1:13">
      <c r="A684" s="9" t="s">
        <v>244</v>
      </c>
      <c r="B684" s="9" t="s">
        <v>243</v>
      </c>
      <c r="C684" s="9" t="s">
        <v>1044</v>
      </c>
      <c r="D684" s="10">
        <v>45657</v>
      </c>
      <c r="E684" s="10">
        <v>45688</v>
      </c>
      <c r="F684" s="10">
        <f>净值原始!C5915</f>
        <v>45653</v>
      </c>
      <c r="G684" s="10">
        <f>净值原始!C5920</f>
        <v>45684</v>
      </c>
      <c r="H684" s="15">
        <f>净值原始!F5915</f>
        <v>1.0029</v>
      </c>
      <c r="I684" s="15">
        <f>净值原始!F5920</f>
        <v>0.9987</v>
      </c>
      <c r="J684" s="11">
        <f t="shared" si="30"/>
        <v>-0.00418785521986231</v>
      </c>
      <c r="K684" s="9">
        <f>IF(COUNT(F684:I684)&lt;&gt;4,0,IF(AND(G684&gt;F684,H684&gt;0,I684&gt;0,L684&lt;='Sheet1-指标体系'!$J$31,M684&lt;='Sheet1-指标体系'!$J$31),1,0))</f>
        <v>1</v>
      </c>
      <c r="L684" s="9">
        <f t="shared" si="31"/>
        <v>4</v>
      </c>
      <c r="M684" s="9">
        <f t="shared" si="32"/>
        <v>4</v>
      </c>
    </row>
    <row r="685" ht="25" customHeight="1" spans="1:13">
      <c r="A685" s="9" t="s">
        <v>244</v>
      </c>
      <c r="B685" s="9" t="s">
        <v>243</v>
      </c>
      <c r="C685" s="9" t="s">
        <v>1045</v>
      </c>
      <c r="D685" s="10">
        <v>45688</v>
      </c>
      <c r="E685" s="10">
        <v>45716</v>
      </c>
      <c r="F685" s="10">
        <f>净值原始!C5920</f>
        <v>45684</v>
      </c>
      <c r="G685" s="10">
        <f>净值原始!C5924</f>
        <v>45716</v>
      </c>
      <c r="H685" s="15">
        <f>净值原始!F5920</f>
        <v>0.9987</v>
      </c>
      <c r="I685" s="15">
        <f>净值原始!F5924</f>
        <v>1.035</v>
      </c>
      <c r="J685" s="11">
        <f t="shared" si="30"/>
        <v>0.0363472514268548</v>
      </c>
      <c r="K685" s="9">
        <f>IF(COUNT(F685:I685)&lt;&gt;4,0,IF(AND(G685&gt;F685,H685&gt;0,I685&gt;0,L685&lt;='Sheet1-指标体系'!$J$31,M685&lt;='Sheet1-指标体系'!$J$31),1,0))</f>
        <v>1</v>
      </c>
      <c r="L685" s="9">
        <f t="shared" si="31"/>
        <v>4</v>
      </c>
      <c r="M685" s="9">
        <f t="shared" si="32"/>
        <v>0</v>
      </c>
    </row>
    <row r="686" ht="25" customHeight="1" spans="1:13">
      <c r="A686" s="9" t="s">
        <v>244</v>
      </c>
      <c r="B686" s="9" t="s">
        <v>243</v>
      </c>
      <c r="C686" s="9" t="s">
        <v>1046</v>
      </c>
      <c r="D686" s="10">
        <v>45716</v>
      </c>
      <c r="E686" s="10">
        <v>45747</v>
      </c>
      <c r="F686" s="10">
        <f>净值原始!C5924</f>
        <v>45716</v>
      </c>
      <c r="G686" s="10">
        <f>净值原始!C5929</f>
        <v>45747</v>
      </c>
      <c r="H686" s="15">
        <f>净值原始!F5924</f>
        <v>1.035</v>
      </c>
      <c r="I686" s="15">
        <f>净值原始!F5929</f>
        <v>1.0547</v>
      </c>
      <c r="J686" s="11">
        <f t="shared" si="30"/>
        <v>0.0190338164251209</v>
      </c>
      <c r="K686" s="9">
        <f>IF(COUNT(F686:I686)&lt;&gt;4,0,IF(AND(G686&gt;F686,H686&gt;0,I686&gt;0,L686&lt;='Sheet1-指标体系'!$J$31,M686&lt;='Sheet1-指标体系'!$J$31),1,0))</f>
        <v>1</v>
      </c>
      <c r="L686" s="9">
        <f t="shared" si="31"/>
        <v>0</v>
      </c>
      <c r="M686" s="9">
        <f t="shared" si="32"/>
        <v>0</v>
      </c>
    </row>
    <row r="687" ht="25" customHeight="1" spans="1:13">
      <c r="A687" s="9" t="s">
        <v>244</v>
      </c>
      <c r="B687" s="9" t="s">
        <v>243</v>
      </c>
      <c r="C687" s="9" t="s">
        <v>1047</v>
      </c>
      <c r="D687" s="10">
        <v>45747</v>
      </c>
      <c r="E687" s="10">
        <v>45777</v>
      </c>
      <c r="F687" s="10">
        <f>净值原始!C5929</f>
        <v>45747</v>
      </c>
      <c r="G687" s="10">
        <f>净值原始!C5934</f>
        <v>45777</v>
      </c>
      <c r="H687" s="15">
        <f>净值原始!F5929</f>
        <v>1.0547</v>
      </c>
      <c r="I687" s="15">
        <f>净值原始!F5934</f>
        <v>1.0413</v>
      </c>
      <c r="J687" s="11">
        <f t="shared" si="30"/>
        <v>-0.0127050346069973</v>
      </c>
      <c r="K687" s="9">
        <f>IF(COUNT(F687:I687)&lt;&gt;4,0,IF(AND(G687&gt;F687,H687&gt;0,I687&gt;0,L687&lt;='Sheet1-指标体系'!$J$31,M687&lt;='Sheet1-指标体系'!$J$31),1,0))</f>
        <v>1</v>
      </c>
      <c r="L687" s="9">
        <f t="shared" si="31"/>
        <v>0</v>
      </c>
      <c r="M687" s="9">
        <f t="shared" si="32"/>
        <v>0</v>
      </c>
    </row>
    <row r="688" ht="25" customHeight="1" spans="1:13">
      <c r="A688" s="9" t="s">
        <v>244</v>
      </c>
      <c r="B688" s="9" t="s">
        <v>243</v>
      </c>
      <c r="C688" s="9" t="s">
        <v>1048</v>
      </c>
      <c r="D688" s="10">
        <v>45777</v>
      </c>
      <c r="E688" s="10">
        <v>45808</v>
      </c>
      <c r="F688" s="10">
        <f>净值原始!C5934</f>
        <v>45777</v>
      </c>
      <c r="G688" s="10">
        <f>净值原始!C5938</f>
        <v>45807</v>
      </c>
      <c r="H688" s="15">
        <f>净值原始!F5934</f>
        <v>1.0413</v>
      </c>
      <c r="I688" s="15">
        <f>净值原始!F5938</f>
        <v>1.0214</v>
      </c>
      <c r="J688" s="11">
        <f t="shared" si="30"/>
        <v>-0.0191107269758953</v>
      </c>
      <c r="K688" s="9">
        <f>IF(COUNT(F688:I688)&lt;&gt;4,0,IF(AND(G688&gt;F688,H688&gt;0,I688&gt;0,L688&lt;='Sheet1-指标体系'!$J$31,M688&lt;='Sheet1-指标体系'!$J$31),1,0))</f>
        <v>1</v>
      </c>
      <c r="L688" s="9">
        <f t="shared" si="31"/>
        <v>0</v>
      </c>
      <c r="M688" s="9">
        <f t="shared" si="32"/>
        <v>1</v>
      </c>
    </row>
    <row r="689" ht="25" customHeight="1" spans="1:13">
      <c r="A689" s="9" t="s">
        <v>244</v>
      </c>
      <c r="B689" s="9" t="s">
        <v>243</v>
      </c>
      <c r="C689" s="9" t="s">
        <v>1049</v>
      </c>
      <c r="D689" s="10">
        <v>45808</v>
      </c>
      <c r="E689" s="10">
        <v>45838</v>
      </c>
      <c r="F689" s="10">
        <f>净值原始!C5938</f>
        <v>45807</v>
      </c>
      <c r="G689" s="10">
        <f>净值原始!C5943</f>
        <v>45838</v>
      </c>
      <c r="H689" s="15">
        <f>净值原始!F5938</f>
        <v>1.0214</v>
      </c>
      <c r="I689" s="15">
        <f>净值原始!F5943</f>
        <v>1.0163</v>
      </c>
      <c r="J689" s="11">
        <f t="shared" si="30"/>
        <v>-0.00499314666144512</v>
      </c>
      <c r="K689" s="9">
        <f>IF(COUNT(F689:I689)&lt;&gt;4,0,IF(AND(G689&gt;F689,H689&gt;0,I689&gt;0,L689&lt;='Sheet1-指标体系'!$J$31,M689&lt;='Sheet1-指标体系'!$J$31),1,0))</f>
        <v>1</v>
      </c>
      <c r="L689" s="9">
        <f t="shared" si="31"/>
        <v>1</v>
      </c>
      <c r="M689" s="9">
        <f t="shared" si="32"/>
        <v>0</v>
      </c>
    </row>
    <row r="690" ht="25" customHeight="1" spans="1:13">
      <c r="A690" s="9" t="s">
        <v>244</v>
      </c>
      <c r="B690" s="9" t="s">
        <v>243</v>
      </c>
      <c r="C690" s="9" t="s">
        <v>1050</v>
      </c>
      <c r="D690" s="10">
        <v>45838</v>
      </c>
      <c r="E690" s="10">
        <v>45869</v>
      </c>
      <c r="F690" s="10">
        <f>净值原始!C5943</f>
        <v>45838</v>
      </c>
      <c r="G690" s="10">
        <f>净值原始!C5948</f>
        <v>45869</v>
      </c>
      <c r="H690" s="15">
        <f>净值原始!F5943</f>
        <v>1.0163</v>
      </c>
      <c r="I690" s="15">
        <f>净值原始!F5948</f>
        <v>1.026</v>
      </c>
      <c r="J690" s="11">
        <f t="shared" si="30"/>
        <v>0.00954442585850646</v>
      </c>
      <c r="K690" s="9">
        <f>IF(COUNT(F690:I690)&lt;&gt;4,0,IF(AND(G690&gt;F690,H690&gt;0,I690&gt;0,L690&lt;='Sheet1-指标体系'!$J$31,M690&lt;='Sheet1-指标体系'!$J$31),1,0))</f>
        <v>1</v>
      </c>
      <c r="L690" s="9">
        <f t="shared" si="31"/>
        <v>0</v>
      </c>
      <c r="M690" s="9">
        <f t="shared" si="32"/>
        <v>0</v>
      </c>
    </row>
    <row r="691" ht="25" customHeight="1" spans="1:13">
      <c r="A691" s="9" t="s">
        <v>244</v>
      </c>
      <c r="B691" s="9" t="s">
        <v>243</v>
      </c>
      <c r="C691" s="9" t="s">
        <v>1051</v>
      </c>
      <c r="D691" s="10">
        <v>45869</v>
      </c>
      <c r="E691" s="10">
        <v>45900</v>
      </c>
      <c r="F691" s="10">
        <f>净值原始!C5948</f>
        <v>45869</v>
      </c>
      <c r="G691" s="10">
        <f>净值原始!C5953</f>
        <v>45898</v>
      </c>
      <c r="H691" s="15">
        <f>净值原始!F5948</f>
        <v>1.026</v>
      </c>
      <c r="I691" s="15">
        <f>净值原始!F5953</f>
        <v>1.0764</v>
      </c>
      <c r="J691" s="11">
        <f t="shared" si="30"/>
        <v>0.0491228070175438</v>
      </c>
      <c r="K691" s="9">
        <f>IF(COUNT(F691:I691)&lt;&gt;4,0,IF(AND(G691&gt;F691,H691&gt;0,I691&gt;0,L691&lt;='Sheet1-指标体系'!$J$31,M691&lt;='Sheet1-指标体系'!$J$31),1,0))</f>
        <v>1</v>
      </c>
      <c r="L691" s="9">
        <f t="shared" si="31"/>
        <v>0</v>
      </c>
      <c r="M691" s="9">
        <f t="shared" si="32"/>
        <v>2</v>
      </c>
    </row>
    <row r="692" ht="25" customHeight="1" spans="1:13">
      <c r="A692" s="9" t="s">
        <v>244</v>
      </c>
      <c r="B692" s="9" t="s">
        <v>243</v>
      </c>
      <c r="C692" s="9" t="s">
        <v>1052</v>
      </c>
      <c r="D692" s="10">
        <v>45900</v>
      </c>
      <c r="E692" s="10">
        <v>45930</v>
      </c>
      <c r="F692" s="10">
        <f>净值原始!C5953</f>
        <v>45898</v>
      </c>
      <c r="G692" s="10">
        <f>净值原始!C5958</f>
        <v>45930</v>
      </c>
      <c r="H692" s="15">
        <f>净值原始!F5953</f>
        <v>1.0764</v>
      </c>
      <c r="I692" s="15">
        <f>净值原始!F5958</f>
        <v>1.0349</v>
      </c>
      <c r="J692" s="11">
        <f t="shared" si="30"/>
        <v>-0.0385544407283539</v>
      </c>
      <c r="K692" s="9">
        <f>IF(COUNT(F692:I692)&lt;&gt;4,0,IF(AND(G692&gt;F692,H692&gt;0,I692&gt;0,L692&lt;='Sheet1-指标体系'!$J$31,M692&lt;='Sheet1-指标体系'!$J$31),1,0))</f>
        <v>1</v>
      </c>
      <c r="L692" s="9">
        <f t="shared" si="31"/>
        <v>2</v>
      </c>
      <c r="M692" s="9">
        <f t="shared" si="32"/>
        <v>0</v>
      </c>
    </row>
    <row r="693" ht="25" customHeight="1" spans="1:13">
      <c r="A693" s="9" t="s">
        <v>244</v>
      </c>
      <c r="B693" s="9" t="s">
        <v>243</v>
      </c>
      <c r="C693" s="9" t="s">
        <v>1053</v>
      </c>
      <c r="D693" s="10">
        <v>45930</v>
      </c>
      <c r="E693" s="10">
        <v>45961</v>
      </c>
      <c r="F693" s="10">
        <f>净值原始!C5958</f>
        <v>45930</v>
      </c>
      <c r="G693" s="10">
        <f>净值原始!C5962</f>
        <v>45961</v>
      </c>
      <c r="H693" s="15">
        <f>净值原始!F5958</f>
        <v>1.0349</v>
      </c>
      <c r="I693" s="15">
        <f>净值原始!F5962</f>
        <v>1.006</v>
      </c>
      <c r="J693" s="11">
        <f t="shared" si="30"/>
        <v>-0.0279254034206203</v>
      </c>
      <c r="K693" s="9">
        <f>IF(COUNT(F693:I693)&lt;&gt;4,0,IF(AND(G693&gt;F693,H693&gt;0,I693&gt;0,L693&lt;='Sheet1-指标体系'!$J$31,M693&lt;='Sheet1-指标体系'!$J$31),1,0))</f>
        <v>1</v>
      </c>
      <c r="L693" s="9">
        <f t="shared" si="31"/>
        <v>0</v>
      </c>
      <c r="M693" s="9">
        <f t="shared" si="32"/>
        <v>0</v>
      </c>
    </row>
    <row r="694" ht="25" customHeight="1" spans="1:13">
      <c r="A694" s="9" t="s">
        <v>244</v>
      </c>
      <c r="B694" s="9" t="s">
        <v>243</v>
      </c>
      <c r="C694" s="9" t="s">
        <v>1054</v>
      </c>
      <c r="D694" s="10">
        <v>45961</v>
      </c>
      <c r="E694" s="10">
        <v>45991</v>
      </c>
      <c r="F694" s="10">
        <f>净值原始!C5962</f>
        <v>45961</v>
      </c>
      <c r="G694" s="10">
        <f>净值原始!C5966</f>
        <v>45989</v>
      </c>
      <c r="H694" s="15">
        <f>净值原始!F5962</f>
        <v>1.006</v>
      </c>
      <c r="I694" s="15">
        <f>净值原始!F5966</f>
        <v>1.0076</v>
      </c>
      <c r="J694" s="11">
        <f t="shared" si="30"/>
        <v>0.00159045725646134</v>
      </c>
      <c r="K694" s="9">
        <f>IF(COUNT(F694:I694)&lt;&gt;4,0,IF(AND(G694&gt;F694,H694&gt;0,I694&gt;0,L694&lt;='Sheet1-指标体系'!$J$31,M694&lt;='Sheet1-指标体系'!$J$31),1,0))</f>
        <v>1</v>
      </c>
      <c r="L694" s="9">
        <f t="shared" si="31"/>
        <v>0</v>
      </c>
      <c r="M694" s="9">
        <f t="shared" si="32"/>
        <v>2</v>
      </c>
    </row>
    <row r="695" ht="25" customHeight="1" spans="1:13">
      <c r="A695" s="9" t="s">
        <v>244</v>
      </c>
      <c r="B695" s="9" t="s">
        <v>243</v>
      </c>
      <c r="C695" s="9" t="s">
        <v>1055</v>
      </c>
      <c r="D695" s="10">
        <v>45991</v>
      </c>
      <c r="E695" s="10">
        <v>46022</v>
      </c>
      <c r="F695" s="10">
        <f>净值原始!C5966</f>
        <v>45989</v>
      </c>
      <c r="G695" s="10">
        <f>净值原始!C5971</f>
        <v>46022</v>
      </c>
      <c r="H695" s="15">
        <f>净值原始!F5966</f>
        <v>1.0076</v>
      </c>
      <c r="I695" s="15">
        <f>净值原始!F5971</f>
        <v>0.9843</v>
      </c>
      <c r="J695" s="11">
        <f t="shared" si="30"/>
        <v>-0.0231242556570068</v>
      </c>
      <c r="K695" s="9">
        <f>IF(COUNT(F695:I695)&lt;&gt;4,0,IF(AND(G695&gt;F695,H695&gt;0,I695&gt;0,L695&lt;='Sheet1-指标体系'!$J$31,M695&lt;='Sheet1-指标体系'!$J$31),1,0))</f>
        <v>1</v>
      </c>
      <c r="L695" s="9">
        <f t="shared" si="31"/>
        <v>2</v>
      </c>
      <c r="M695" s="9">
        <f t="shared" si="32"/>
        <v>0</v>
      </c>
    </row>
    <row r="696" ht="25" customHeight="1" spans="1:13">
      <c r="A696" s="9" t="s">
        <v>244</v>
      </c>
      <c r="B696" s="9" t="s">
        <v>243</v>
      </c>
      <c r="C696" s="9" t="s">
        <v>1056</v>
      </c>
      <c r="D696" s="10">
        <v>46022</v>
      </c>
      <c r="E696" s="10">
        <v>46053</v>
      </c>
      <c r="F696" s="10">
        <f>净值原始!C5971</f>
        <v>46022</v>
      </c>
      <c r="G696" s="10">
        <f>净值原始!C5975</f>
        <v>46052</v>
      </c>
      <c r="H696" s="15">
        <f>净值原始!F5971</f>
        <v>0.9843</v>
      </c>
      <c r="I696" s="15">
        <f>净值原始!F5975</f>
        <v>1.0449</v>
      </c>
      <c r="J696" s="11">
        <f t="shared" si="30"/>
        <v>0.0615665955501372</v>
      </c>
      <c r="K696" s="9">
        <f>IF(COUNT(F696:I696)&lt;&gt;4,0,IF(AND(G696&gt;F696,H696&gt;0,I696&gt;0,L696&lt;='Sheet1-指标体系'!$J$31,M696&lt;='Sheet1-指标体系'!$J$31),1,0))</f>
        <v>1</v>
      </c>
      <c r="L696" s="9">
        <f t="shared" si="31"/>
        <v>0</v>
      </c>
      <c r="M696" s="9">
        <f t="shared" si="32"/>
        <v>1</v>
      </c>
    </row>
    <row r="697" ht="25" customHeight="1" spans="1:13">
      <c r="A697" s="9" t="s">
        <v>244</v>
      </c>
      <c r="B697" s="9" t="s">
        <v>243</v>
      </c>
      <c r="C697" s="9" t="s">
        <v>1057</v>
      </c>
      <c r="D697" s="10">
        <v>46053</v>
      </c>
      <c r="E697" s="10">
        <v>46081</v>
      </c>
      <c r="F697" s="10">
        <f>净值原始!C5975</f>
        <v>46052</v>
      </c>
      <c r="G697" s="10">
        <f>净值原始!C5989</f>
        <v>46080</v>
      </c>
      <c r="H697" s="15">
        <f>净值原始!F5975</f>
        <v>1.0449</v>
      </c>
      <c r="I697" s="15">
        <f>净值原始!F5989</f>
        <v>1.0759</v>
      </c>
      <c r="J697" s="11">
        <f t="shared" si="30"/>
        <v>0.0296679108048619</v>
      </c>
      <c r="K697" s="9">
        <f>IF(COUNT(F697:I697)&lt;&gt;4,0,IF(AND(G697&gt;F697,H697&gt;0,I697&gt;0,L697&lt;='Sheet1-指标体系'!$J$31,M697&lt;='Sheet1-指标体系'!$J$31),1,0))</f>
        <v>1</v>
      </c>
      <c r="L697" s="9">
        <f t="shared" si="31"/>
        <v>1</v>
      </c>
      <c r="M697" s="9">
        <f t="shared" si="32"/>
        <v>1</v>
      </c>
    </row>
    <row r="698" ht="25" customHeight="1" spans="1:13">
      <c r="A698" s="9" t="s">
        <v>244</v>
      </c>
      <c r="B698" s="9" t="s">
        <v>243</v>
      </c>
      <c r="C698" s="9" t="s">
        <v>1058</v>
      </c>
      <c r="D698" s="10">
        <v>46081</v>
      </c>
      <c r="E698" s="10">
        <v>46112</v>
      </c>
      <c r="F698" s="10">
        <f>净值原始!C5989</f>
        <v>46080</v>
      </c>
      <c r="G698" s="10">
        <f>净值原始!C6009</f>
        <v>46112</v>
      </c>
      <c r="H698" s="15">
        <f>净值原始!F5989</f>
        <v>1.0759</v>
      </c>
      <c r="I698" s="15">
        <f>净值原始!F6009</f>
        <v>1.0471</v>
      </c>
      <c r="J698" s="11">
        <f t="shared" si="30"/>
        <v>-0.026768287015522</v>
      </c>
      <c r="K698" s="9">
        <f>IF(COUNT(F698:I698)&lt;&gt;4,0,IF(AND(G698&gt;F698,H698&gt;0,I698&gt;0,L698&lt;='Sheet1-指标体系'!$J$31,M698&lt;='Sheet1-指标体系'!$J$31),1,0))</f>
        <v>1</v>
      </c>
      <c r="L698" s="9">
        <f t="shared" si="31"/>
        <v>1</v>
      </c>
      <c r="M698" s="9">
        <f t="shared" si="32"/>
        <v>0</v>
      </c>
    </row>
    <row r="699" ht="25" customHeight="1" spans="1:13">
      <c r="A699" s="9" t="s">
        <v>244</v>
      </c>
      <c r="B699" s="9" t="s">
        <v>243</v>
      </c>
      <c r="C699" s="9" t="s">
        <v>1059</v>
      </c>
      <c r="D699" s="10">
        <v>46112</v>
      </c>
      <c r="E699" s="10">
        <v>46142</v>
      </c>
      <c r="F699" s="10">
        <f>净值原始!C6009</f>
        <v>46112</v>
      </c>
      <c r="G699" s="10">
        <f>净值原始!C6030</f>
        <v>46142</v>
      </c>
      <c r="H699" s="15">
        <f>净值原始!F6009</f>
        <v>1.0471</v>
      </c>
      <c r="I699" s="15">
        <f>净值原始!F6030</f>
        <v>1.0439</v>
      </c>
      <c r="J699" s="11">
        <f t="shared" si="30"/>
        <v>-0.00305605959316191</v>
      </c>
      <c r="K699" s="9">
        <f>IF(COUNT(F699:I699)&lt;&gt;4,0,IF(AND(G699&gt;F699,H699&gt;0,I699&gt;0,L699&lt;='Sheet1-指标体系'!$J$31,M699&lt;='Sheet1-指标体系'!$J$31),1,0))</f>
        <v>1</v>
      </c>
      <c r="L699" s="9">
        <f t="shared" si="31"/>
        <v>0</v>
      </c>
      <c r="M699" s="9">
        <f t="shared" si="32"/>
        <v>0</v>
      </c>
    </row>
    <row r="700" ht="25" customHeight="1" spans="1:13">
      <c r="A700" s="9" t="s">
        <v>244</v>
      </c>
      <c r="B700" s="9" t="s">
        <v>243</v>
      </c>
      <c r="C700" s="9" t="s">
        <v>1060</v>
      </c>
      <c r="D700" s="10">
        <v>46142</v>
      </c>
      <c r="E700" s="10">
        <v>46173</v>
      </c>
      <c r="F700" s="10">
        <f>净值原始!C6030</f>
        <v>46142</v>
      </c>
      <c r="G700" s="10">
        <f>净值原始!C6048</f>
        <v>46171</v>
      </c>
      <c r="H700" s="15">
        <f>净值原始!F6030</f>
        <v>1.0439</v>
      </c>
      <c r="I700" s="15">
        <f>净值原始!F6048</f>
        <v>1.0458</v>
      </c>
      <c r="J700" s="11">
        <f t="shared" si="30"/>
        <v>0.00182009771050873</v>
      </c>
      <c r="K700" s="9">
        <f>IF(COUNT(F700:I700)&lt;&gt;4,0,IF(AND(G700&gt;F700,H700&gt;0,I700&gt;0,L700&lt;='Sheet1-指标体系'!$J$31,M700&lt;='Sheet1-指标体系'!$J$31),1,0))</f>
        <v>1</v>
      </c>
      <c r="L700" s="9">
        <f t="shared" si="31"/>
        <v>0</v>
      </c>
      <c r="M700" s="9">
        <f t="shared" si="32"/>
        <v>2</v>
      </c>
    </row>
    <row r="701" ht="25" customHeight="1" spans="1:13">
      <c r="A701" s="9" t="s">
        <v>244</v>
      </c>
      <c r="B701" s="9" t="s">
        <v>243</v>
      </c>
      <c r="C701" s="9" t="s">
        <v>1061</v>
      </c>
      <c r="D701" s="10">
        <v>46173</v>
      </c>
      <c r="E701" s="10">
        <v>46203</v>
      </c>
      <c r="F701" s="10">
        <f>净值原始!C6048</f>
        <v>46171</v>
      </c>
      <c r="G701" s="10">
        <f>净值原始!C6064</f>
        <v>46203</v>
      </c>
      <c r="H701" s="15">
        <f>净值原始!F6048</f>
        <v>1.0458</v>
      </c>
      <c r="I701" s="15">
        <f>净值原始!F6064</f>
        <v>1.0778</v>
      </c>
      <c r="J701" s="11">
        <f t="shared" si="30"/>
        <v>0.0305985848154524</v>
      </c>
      <c r="K701" s="9">
        <f>IF(COUNT(F701:I701)&lt;&gt;4,0,IF(AND(G701&gt;F701,H701&gt;0,I701&gt;0,L701&lt;='Sheet1-指标体系'!$J$31,M701&lt;='Sheet1-指标体系'!$J$31),1,0))</f>
        <v>1</v>
      </c>
      <c r="L701" s="9">
        <f t="shared" si="31"/>
        <v>2</v>
      </c>
      <c r="M701" s="9">
        <f t="shared" si="32"/>
        <v>0</v>
      </c>
    </row>
    <row r="702" ht="25" customHeight="1" spans="1:13">
      <c r="A702" s="9" t="s">
        <v>244</v>
      </c>
      <c r="B702" s="9" t="s">
        <v>243</v>
      </c>
      <c r="C702" s="9" t="s">
        <v>1062</v>
      </c>
      <c r="D702" s="10">
        <v>46203</v>
      </c>
      <c r="E702" s="10">
        <v>46234</v>
      </c>
      <c r="F702" s="10">
        <f>净值原始!C6064</f>
        <v>46203</v>
      </c>
      <c r="G702" s="10">
        <f>净值原始!C6083</f>
        <v>46234</v>
      </c>
      <c r="H702" s="15">
        <f>净值原始!F6064</f>
        <v>1.0778</v>
      </c>
      <c r="I702" s="15">
        <f>净值原始!F6083</f>
        <v>0.9786</v>
      </c>
      <c r="J702" s="11">
        <f t="shared" si="30"/>
        <v>-0.092039339395064</v>
      </c>
      <c r="K702" s="9">
        <f>IF(COUNT(F702:I702)&lt;&gt;4,0,IF(AND(G702&gt;F702,H702&gt;0,I702&gt;0,L702&lt;='Sheet1-指标体系'!$J$31,M702&lt;='Sheet1-指标体系'!$J$31),1,0))</f>
        <v>1</v>
      </c>
      <c r="L702" s="9">
        <f t="shared" si="31"/>
        <v>0</v>
      </c>
      <c r="M702" s="9">
        <f t="shared" si="32"/>
        <v>0</v>
      </c>
    </row>
    <row r="703" ht="25" customHeight="1" spans="1:13">
      <c r="A703" s="9" t="s">
        <v>244</v>
      </c>
      <c r="B703" s="9" t="s">
        <v>243</v>
      </c>
      <c r="C703" s="9" t="s">
        <v>1063</v>
      </c>
      <c r="D703" s="10">
        <v>46234</v>
      </c>
      <c r="E703" s="10">
        <v>46265</v>
      </c>
      <c r="F703" s="10">
        <f>净值原始!C6083</f>
        <v>46234</v>
      </c>
      <c r="G703" s="10">
        <f>净值原始!C6104</f>
        <v>46265</v>
      </c>
      <c r="H703" s="15">
        <f>净值原始!F6083</f>
        <v>0.9786</v>
      </c>
      <c r="I703" s="15">
        <f>净值原始!F6104</f>
        <v>1.0122</v>
      </c>
      <c r="J703" s="11">
        <f t="shared" si="30"/>
        <v>0.0343347639484979</v>
      </c>
      <c r="K703" s="9">
        <f>IF(COUNT(F703:I703)&lt;&gt;4,0,IF(AND(G703&gt;F703,H703&gt;0,I703&gt;0,L703&lt;='Sheet1-指标体系'!$J$31,M703&lt;='Sheet1-指标体系'!$J$31),1,0))</f>
        <v>1</v>
      </c>
      <c r="L703" s="9">
        <f t="shared" si="31"/>
        <v>0</v>
      </c>
      <c r="M703" s="9">
        <f t="shared" si="32"/>
        <v>0</v>
      </c>
    </row>
    <row r="704" ht="25" customHeight="1" spans="1:13">
      <c r="A704" s="9" t="s">
        <v>244</v>
      </c>
      <c r="B704" s="9" t="s">
        <v>243</v>
      </c>
      <c r="C704" s="9" t="s">
        <v>1064</v>
      </c>
      <c r="D704" s="10">
        <v>46265</v>
      </c>
      <c r="E704" s="10">
        <v>46269</v>
      </c>
      <c r="F704" s="10">
        <f>净值原始!C6104</f>
        <v>46265</v>
      </c>
      <c r="G704" s="10">
        <f>净值原始!C6108</f>
        <v>46269</v>
      </c>
      <c r="H704" s="15">
        <f>净值原始!F6104</f>
        <v>1.0122</v>
      </c>
      <c r="I704" s="15">
        <f>净值原始!F6108</f>
        <v>1.0236</v>
      </c>
      <c r="J704" s="11">
        <f t="shared" si="30"/>
        <v>0.0112625963248372</v>
      </c>
      <c r="K704" s="9">
        <f>IF(COUNT(F704:I704)&lt;&gt;4,0,IF(AND(G704&gt;F704,H704&gt;0,I704&gt;0,L704&lt;='Sheet1-指标体系'!$J$31,M704&lt;='Sheet1-指标体系'!$J$31),1,0))</f>
        <v>1</v>
      </c>
      <c r="L704" s="9">
        <f t="shared" si="31"/>
        <v>0</v>
      </c>
      <c r="M704" s="9">
        <f t="shared" si="32"/>
        <v>0</v>
      </c>
    </row>
    <row r="705" ht="25" customHeight="1" spans="1:13">
      <c r="A705" s="9" t="s">
        <v>207</v>
      </c>
      <c r="B705" s="9" t="s">
        <v>206</v>
      </c>
      <c r="C705" s="9" t="s">
        <v>1028</v>
      </c>
      <c r="D705" s="10">
        <v>45169</v>
      </c>
      <c r="E705" s="10">
        <v>45199</v>
      </c>
      <c r="F705" s="10"/>
      <c r="G705" s="10"/>
      <c r="H705" s="15"/>
      <c r="I705" s="15"/>
      <c r="J705" s="11" t="str">
        <f t="shared" si="30"/>
        <v/>
      </c>
      <c r="K705" s="9">
        <f>IF(COUNT(F705:I705)&lt;&gt;4,0,IF(AND(G705&gt;F705,H705&gt;0,I705&gt;0,L705&lt;='Sheet1-指标体系'!$J$31,M705&lt;='Sheet1-指标体系'!$J$31),1,0))</f>
        <v>0</v>
      </c>
      <c r="L705" s="9" t="str">
        <f t="shared" si="31"/>
        <v/>
      </c>
      <c r="M705" s="9" t="str">
        <f t="shared" si="32"/>
        <v/>
      </c>
    </row>
    <row r="706" ht="25" customHeight="1" spans="1:13">
      <c r="A706" s="9" t="s">
        <v>207</v>
      </c>
      <c r="B706" s="9" t="s">
        <v>206</v>
      </c>
      <c r="C706" s="9" t="s">
        <v>1029</v>
      </c>
      <c r="D706" s="10">
        <v>45199</v>
      </c>
      <c r="E706" s="10">
        <v>45230</v>
      </c>
      <c r="F706" s="10"/>
      <c r="G706" s="10"/>
      <c r="H706" s="15"/>
      <c r="I706" s="15"/>
      <c r="J706" s="11" t="str">
        <f t="shared" ref="J706:J769" si="33">IF(K706=1,I706/H706-1,"")</f>
        <v/>
      </c>
      <c r="K706" s="9">
        <f>IF(COUNT(F706:I706)&lt;&gt;4,0,IF(AND(G706&gt;F706,H706&gt;0,I706&gt;0,L706&lt;='Sheet1-指标体系'!$J$31,M706&lt;='Sheet1-指标体系'!$J$31),1,0))</f>
        <v>0</v>
      </c>
      <c r="L706" s="9" t="str">
        <f t="shared" ref="L706:L769" si="34">IF(ISNUMBER(F706),D706-F706,"")</f>
        <v/>
      </c>
      <c r="M706" s="9" t="str">
        <f t="shared" ref="M706:M769" si="35">IF(ISNUMBER(G706),E706-G706,"")</f>
        <v/>
      </c>
    </row>
    <row r="707" ht="25" customHeight="1" spans="1:13">
      <c r="A707" s="9" t="s">
        <v>207</v>
      </c>
      <c r="B707" s="9" t="s">
        <v>206</v>
      </c>
      <c r="C707" s="9" t="s">
        <v>1030</v>
      </c>
      <c r="D707" s="10">
        <v>45230</v>
      </c>
      <c r="E707" s="10">
        <v>45260</v>
      </c>
      <c r="F707" s="10"/>
      <c r="G707" s="10"/>
      <c r="H707" s="15"/>
      <c r="I707" s="15"/>
      <c r="J707" s="11" t="str">
        <f t="shared" si="33"/>
        <v/>
      </c>
      <c r="K707" s="9">
        <f>IF(COUNT(F707:I707)&lt;&gt;4,0,IF(AND(G707&gt;F707,H707&gt;0,I707&gt;0,L707&lt;='Sheet1-指标体系'!$J$31,M707&lt;='Sheet1-指标体系'!$J$31),1,0))</f>
        <v>0</v>
      </c>
      <c r="L707" s="9" t="str">
        <f t="shared" si="34"/>
        <v/>
      </c>
      <c r="M707" s="9" t="str">
        <f t="shared" si="35"/>
        <v/>
      </c>
    </row>
    <row r="708" ht="25" customHeight="1" spans="1:13">
      <c r="A708" s="9" t="s">
        <v>207</v>
      </c>
      <c r="B708" s="9" t="s">
        <v>206</v>
      </c>
      <c r="C708" s="9" t="s">
        <v>1031</v>
      </c>
      <c r="D708" s="10">
        <v>45260</v>
      </c>
      <c r="E708" s="10">
        <v>45291</v>
      </c>
      <c r="F708" s="10"/>
      <c r="G708" s="10"/>
      <c r="H708" s="15"/>
      <c r="I708" s="15"/>
      <c r="J708" s="11" t="str">
        <f t="shared" si="33"/>
        <v/>
      </c>
      <c r="K708" s="9">
        <f>IF(COUNT(F708:I708)&lt;&gt;4,0,IF(AND(G708&gt;F708,H708&gt;0,I708&gt;0,L708&lt;='Sheet1-指标体系'!$J$31,M708&lt;='Sheet1-指标体系'!$J$31),1,0))</f>
        <v>0</v>
      </c>
      <c r="L708" s="9" t="str">
        <f t="shared" si="34"/>
        <v/>
      </c>
      <c r="M708" s="9" t="str">
        <f t="shared" si="35"/>
        <v/>
      </c>
    </row>
    <row r="709" ht="25" customHeight="1" spans="1:13">
      <c r="A709" s="9" t="s">
        <v>207</v>
      </c>
      <c r="B709" s="9" t="s">
        <v>206</v>
      </c>
      <c r="C709" s="9" t="s">
        <v>1032</v>
      </c>
      <c r="D709" s="10">
        <v>45291</v>
      </c>
      <c r="E709" s="10">
        <v>45322</v>
      </c>
      <c r="F709" s="10"/>
      <c r="G709" s="10"/>
      <c r="H709" s="15"/>
      <c r="I709" s="15"/>
      <c r="J709" s="11" t="str">
        <f t="shared" si="33"/>
        <v/>
      </c>
      <c r="K709" s="9">
        <f>IF(COUNT(F709:I709)&lt;&gt;4,0,IF(AND(G709&gt;F709,H709&gt;0,I709&gt;0,L709&lt;='Sheet1-指标体系'!$J$31,M709&lt;='Sheet1-指标体系'!$J$31),1,0))</f>
        <v>0</v>
      </c>
      <c r="L709" s="9" t="str">
        <f t="shared" si="34"/>
        <v/>
      </c>
      <c r="M709" s="9" t="str">
        <f t="shared" si="35"/>
        <v/>
      </c>
    </row>
    <row r="710" ht="25" customHeight="1" spans="1:13">
      <c r="A710" s="9" t="s">
        <v>207</v>
      </c>
      <c r="B710" s="9" t="s">
        <v>206</v>
      </c>
      <c r="C710" s="9" t="s">
        <v>1033</v>
      </c>
      <c r="D710" s="10">
        <v>45322</v>
      </c>
      <c r="E710" s="10">
        <v>45351</v>
      </c>
      <c r="F710" s="10"/>
      <c r="G710" s="10"/>
      <c r="H710" s="15"/>
      <c r="I710" s="15"/>
      <c r="J710" s="11" t="str">
        <f t="shared" si="33"/>
        <v/>
      </c>
      <c r="K710" s="9">
        <f>IF(COUNT(F710:I710)&lt;&gt;4,0,IF(AND(G710&gt;F710,H710&gt;0,I710&gt;0,L710&lt;='Sheet1-指标体系'!$J$31,M710&lt;='Sheet1-指标体系'!$J$31),1,0))</f>
        <v>0</v>
      </c>
      <c r="L710" s="9" t="str">
        <f t="shared" si="34"/>
        <v/>
      </c>
      <c r="M710" s="9" t="str">
        <f t="shared" si="35"/>
        <v/>
      </c>
    </row>
    <row r="711" ht="25" customHeight="1" spans="1:13">
      <c r="A711" s="9" t="s">
        <v>207</v>
      </c>
      <c r="B711" s="9" t="s">
        <v>206</v>
      </c>
      <c r="C711" s="9" t="s">
        <v>1034</v>
      </c>
      <c r="D711" s="10">
        <v>45351</v>
      </c>
      <c r="E711" s="10">
        <v>45382</v>
      </c>
      <c r="F711" s="10"/>
      <c r="G711" s="10"/>
      <c r="H711" s="15"/>
      <c r="I711" s="15"/>
      <c r="J711" s="11" t="str">
        <f t="shared" si="33"/>
        <v/>
      </c>
      <c r="K711" s="9">
        <f>IF(COUNT(F711:I711)&lt;&gt;4,0,IF(AND(G711&gt;F711,H711&gt;0,I711&gt;0,L711&lt;='Sheet1-指标体系'!$J$31,M711&lt;='Sheet1-指标体系'!$J$31),1,0))</f>
        <v>0</v>
      </c>
      <c r="L711" s="9" t="str">
        <f t="shared" si="34"/>
        <v/>
      </c>
      <c r="M711" s="9" t="str">
        <f t="shared" si="35"/>
        <v/>
      </c>
    </row>
    <row r="712" ht="25" customHeight="1" spans="1:13">
      <c r="A712" s="9" t="s">
        <v>207</v>
      </c>
      <c r="B712" s="9" t="s">
        <v>206</v>
      </c>
      <c r="C712" s="9" t="s">
        <v>1035</v>
      </c>
      <c r="D712" s="10">
        <v>45382</v>
      </c>
      <c r="E712" s="10">
        <v>45412</v>
      </c>
      <c r="F712" s="10"/>
      <c r="G712" s="10"/>
      <c r="H712" s="15"/>
      <c r="I712" s="15"/>
      <c r="J712" s="11" t="str">
        <f t="shared" si="33"/>
        <v/>
      </c>
      <c r="K712" s="9">
        <f>IF(COUNT(F712:I712)&lt;&gt;4,0,IF(AND(G712&gt;F712,H712&gt;0,I712&gt;0,L712&lt;='Sheet1-指标体系'!$J$31,M712&lt;='Sheet1-指标体系'!$J$31),1,0))</f>
        <v>0</v>
      </c>
      <c r="L712" s="9" t="str">
        <f t="shared" si="34"/>
        <v/>
      </c>
      <c r="M712" s="9" t="str">
        <f t="shared" si="35"/>
        <v/>
      </c>
    </row>
    <row r="713" ht="25" customHeight="1" spans="1:13">
      <c r="A713" s="9" t="s">
        <v>207</v>
      </c>
      <c r="B713" s="9" t="s">
        <v>206</v>
      </c>
      <c r="C713" s="9" t="s">
        <v>1036</v>
      </c>
      <c r="D713" s="10">
        <v>45412</v>
      </c>
      <c r="E713" s="10">
        <v>45443</v>
      </c>
      <c r="F713" s="10"/>
      <c r="G713" s="10"/>
      <c r="H713" s="15"/>
      <c r="I713" s="15"/>
      <c r="J713" s="11" t="str">
        <f t="shared" si="33"/>
        <v/>
      </c>
      <c r="K713" s="9">
        <f>IF(COUNT(F713:I713)&lt;&gt;4,0,IF(AND(G713&gt;F713,H713&gt;0,I713&gt;0,L713&lt;='Sheet1-指标体系'!$J$31,M713&lt;='Sheet1-指标体系'!$J$31),1,0))</f>
        <v>0</v>
      </c>
      <c r="L713" s="9" t="str">
        <f t="shared" si="34"/>
        <v/>
      </c>
      <c r="M713" s="9" t="str">
        <f t="shared" si="35"/>
        <v/>
      </c>
    </row>
    <row r="714" ht="25" customHeight="1" spans="1:13">
      <c r="A714" s="9" t="s">
        <v>207</v>
      </c>
      <c r="B714" s="9" t="s">
        <v>206</v>
      </c>
      <c r="C714" s="9" t="s">
        <v>1037</v>
      </c>
      <c r="D714" s="10">
        <v>45443</v>
      </c>
      <c r="E714" s="10">
        <v>45473</v>
      </c>
      <c r="F714" s="10"/>
      <c r="G714" s="10"/>
      <c r="H714" s="15"/>
      <c r="I714" s="15"/>
      <c r="J714" s="11" t="str">
        <f t="shared" si="33"/>
        <v/>
      </c>
      <c r="K714" s="9">
        <f>IF(COUNT(F714:I714)&lt;&gt;4,0,IF(AND(G714&gt;F714,H714&gt;0,I714&gt;0,L714&lt;='Sheet1-指标体系'!$J$31,M714&lt;='Sheet1-指标体系'!$J$31),1,0))</f>
        <v>0</v>
      </c>
      <c r="L714" s="9" t="str">
        <f t="shared" si="34"/>
        <v/>
      </c>
      <c r="M714" s="9" t="str">
        <f t="shared" si="35"/>
        <v/>
      </c>
    </row>
    <row r="715" ht="25" customHeight="1" spans="1:13">
      <c r="A715" s="9" t="s">
        <v>207</v>
      </c>
      <c r="B715" s="9" t="s">
        <v>206</v>
      </c>
      <c r="C715" s="9" t="s">
        <v>1038</v>
      </c>
      <c r="D715" s="10">
        <v>45473</v>
      </c>
      <c r="E715" s="10">
        <v>45504</v>
      </c>
      <c r="F715" s="10"/>
      <c r="G715" s="10"/>
      <c r="H715" s="15"/>
      <c r="I715" s="15"/>
      <c r="J715" s="11" t="str">
        <f t="shared" si="33"/>
        <v/>
      </c>
      <c r="K715" s="9">
        <f>IF(COUNT(F715:I715)&lt;&gt;4,0,IF(AND(G715&gt;F715,H715&gt;0,I715&gt;0,L715&lt;='Sheet1-指标体系'!$J$31,M715&lt;='Sheet1-指标体系'!$J$31),1,0))</f>
        <v>0</v>
      </c>
      <c r="L715" s="9" t="str">
        <f t="shared" si="34"/>
        <v/>
      </c>
      <c r="M715" s="9" t="str">
        <f t="shared" si="35"/>
        <v/>
      </c>
    </row>
    <row r="716" ht="25" customHeight="1" spans="1:13">
      <c r="A716" s="9" t="s">
        <v>207</v>
      </c>
      <c r="B716" s="9" t="s">
        <v>206</v>
      </c>
      <c r="C716" s="9" t="s">
        <v>1039</v>
      </c>
      <c r="D716" s="10">
        <v>45504</v>
      </c>
      <c r="E716" s="10">
        <v>45535</v>
      </c>
      <c r="F716" s="10"/>
      <c r="G716" s="10"/>
      <c r="H716" s="15"/>
      <c r="I716" s="15"/>
      <c r="J716" s="11" t="str">
        <f t="shared" si="33"/>
        <v/>
      </c>
      <c r="K716" s="9">
        <f>IF(COUNT(F716:I716)&lt;&gt;4,0,IF(AND(G716&gt;F716,H716&gt;0,I716&gt;0,L716&lt;='Sheet1-指标体系'!$J$31,M716&lt;='Sheet1-指标体系'!$J$31),1,0))</f>
        <v>0</v>
      </c>
      <c r="L716" s="9" t="str">
        <f t="shared" si="34"/>
        <v/>
      </c>
      <c r="M716" s="9" t="str">
        <f t="shared" si="35"/>
        <v/>
      </c>
    </row>
    <row r="717" ht="25" customHeight="1" spans="1:13">
      <c r="A717" s="9" t="s">
        <v>207</v>
      </c>
      <c r="B717" s="9" t="s">
        <v>206</v>
      </c>
      <c r="C717" s="9" t="s">
        <v>1040</v>
      </c>
      <c r="D717" s="10">
        <v>45535</v>
      </c>
      <c r="E717" s="10">
        <v>45565</v>
      </c>
      <c r="F717" s="10"/>
      <c r="G717" s="10"/>
      <c r="H717" s="15"/>
      <c r="I717" s="15"/>
      <c r="J717" s="11" t="str">
        <f t="shared" si="33"/>
        <v/>
      </c>
      <c r="K717" s="9">
        <f>IF(COUNT(F717:I717)&lt;&gt;4,0,IF(AND(G717&gt;F717,H717&gt;0,I717&gt;0,L717&lt;='Sheet1-指标体系'!$J$31,M717&lt;='Sheet1-指标体系'!$J$31),1,0))</f>
        <v>0</v>
      </c>
      <c r="L717" s="9" t="str">
        <f t="shared" si="34"/>
        <v/>
      </c>
      <c r="M717" s="9" t="str">
        <f t="shared" si="35"/>
        <v/>
      </c>
    </row>
    <row r="718" ht="25" customHeight="1" spans="1:13">
      <c r="A718" s="9" t="s">
        <v>207</v>
      </c>
      <c r="B718" s="9" t="s">
        <v>206</v>
      </c>
      <c r="C718" s="9" t="s">
        <v>1041</v>
      </c>
      <c r="D718" s="10">
        <v>45565</v>
      </c>
      <c r="E718" s="10">
        <v>45596</v>
      </c>
      <c r="F718" s="10"/>
      <c r="G718" s="10"/>
      <c r="H718" s="15"/>
      <c r="I718" s="15"/>
      <c r="J718" s="11" t="str">
        <f t="shared" si="33"/>
        <v/>
      </c>
      <c r="K718" s="9">
        <f>IF(COUNT(F718:I718)&lt;&gt;4,0,IF(AND(G718&gt;F718,H718&gt;0,I718&gt;0,L718&lt;='Sheet1-指标体系'!$J$31,M718&lt;='Sheet1-指标体系'!$J$31),1,0))</f>
        <v>0</v>
      </c>
      <c r="L718" s="9" t="str">
        <f t="shared" si="34"/>
        <v/>
      </c>
      <c r="M718" s="9" t="str">
        <f t="shared" si="35"/>
        <v/>
      </c>
    </row>
    <row r="719" ht="25" customHeight="1" spans="1:13">
      <c r="A719" s="9" t="s">
        <v>207</v>
      </c>
      <c r="B719" s="9" t="s">
        <v>206</v>
      </c>
      <c r="C719" s="9" t="s">
        <v>1042</v>
      </c>
      <c r="D719" s="10">
        <v>45596</v>
      </c>
      <c r="E719" s="10">
        <v>45626</v>
      </c>
      <c r="F719" s="10"/>
      <c r="G719" s="10"/>
      <c r="H719" s="15"/>
      <c r="I719" s="15"/>
      <c r="J719" s="11" t="str">
        <f t="shared" si="33"/>
        <v/>
      </c>
      <c r="K719" s="9">
        <f>IF(COUNT(F719:I719)&lt;&gt;4,0,IF(AND(G719&gt;F719,H719&gt;0,I719&gt;0,L719&lt;='Sheet1-指标体系'!$J$31,M719&lt;='Sheet1-指标体系'!$J$31),1,0))</f>
        <v>0</v>
      </c>
      <c r="L719" s="9" t="str">
        <f t="shared" si="34"/>
        <v/>
      </c>
      <c r="M719" s="9" t="str">
        <f t="shared" si="35"/>
        <v/>
      </c>
    </row>
    <row r="720" ht="25" customHeight="1" spans="1:13">
      <c r="A720" s="9" t="s">
        <v>207</v>
      </c>
      <c r="B720" s="9" t="s">
        <v>206</v>
      </c>
      <c r="C720" s="9" t="s">
        <v>1043</v>
      </c>
      <c r="D720" s="10">
        <v>45626</v>
      </c>
      <c r="E720" s="10">
        <v>45657</v>
      </c>
      <c r="F720" s="10"/>
      <c r="G720" s="10">
        <f>净值原始!C6114</f>
        <v>45653</v>
      </c>
      <c r="H720" s="15"/>
      <c r="I720" s="15">
        <f>净值原始!F6114</f>
        <v>1</v>
      </c>
      <c r="J720" s="11" t="str">
        <f t="shared" si="33"/>
        <v/>
      </c>
      <c r="K720" s="9">
        <f>IF(COUNT(F720:I720)&lt;&gt;4,0,IF(AND(G720&gt;F720,H720&gt;0,I720&gt;0,L720&lt;='Sheet1-指标体系'!$J$31,M720&lt;='Sheet1-指标体系'!$J$31),1,0))</f>
        <v>0</v>
      </c>
      <c r="L720" s="9" t="str">
        <f t="shared" si="34"/>
        <v/>
      </c>
      <c r="M720" s="9">
        <f t="shared" si="35"/>
        <v>4</v>
      </c>
    </row>
    <row r="721" ht="25" customHeight="1" spans="1:13">
      <c r="A721" s="9" t="s">
        <v>207</v>
      </c>
      <c r="B721" s="9" t="s">
        <v>206</v>
      </c>
      <c r="C721" s="9" t="s">
        <v>1044</v>
      </c>
      <c r="D721" s="10">
        <v>45657</v>
      </c>
      <c r="E721" s="10">
        <v>45688</v>
      </c>
      <c r="F721" s="10">
        <f>净值原始!C6114</f>
        <v>45653</v>
      </c>
      <c r="G721" s="10">
        <f>净值原始!C6119</f>
        <v>45684</v>
      </c>
      <c r="H721" s="15">
        <f>净值原始!F6114</f>
        <v>1</v>
      </c>
      <c r="I721" s="15">
        <f>净值原始!F6119</f>
        <v>0.9987</v>
      </c>
      <c r="J721" s="11">
        <f t="shared" si="33"/>
        <v>-0.00129999999999997</v>
      </c>
      <c r="K721" s="9">
        <f>IF(COUNT(F721:I721)&lt;&gt;4,0,IF(AND(G721&gt;F721,H721&gt;0,I721&gt;0,L721&lt;='Sheet1-指标体系'!$J$31,M721&lt;='Sheet1-指标体系'!$J$31),1,0))</f>
        <v>1</v>
      </c>
      <c r="L721" s="9">
        <f t="shared" si="34"/>
        <v>4</v>
      </c>
      <c r="M721" s="9">
        <f t="shared" si="35"/>
        <v>4</v>
      </c>
    </row>
    <row r="722" ht="25" customHeight="1" spans="1:13">
      <c r="A722" s="9" t="s">
        <v>207</v>
      </c>
      <c r="B722" s="9" t="s">
        <v>206</v>
      </c>
      <c r="C722" s="9" t="s">
        <v>1045</v>
      </c>
      <c r="D722" s="10">
        <v>45688</v>
      </c>
      <c r="E722" s="10">
        <v>45716</v>
      </c>
      <c r="F722" s="10">
        <f>净值原始!C6119</f>
        <v>45684</v>
      </c>
      <c r="G722" s="10">
        <f>净值原始!C6123</f>
        <v>45716</v>
      </c>
      <c r="H722" s="15">
        <f>净值原始!F6119</f>
        <v>0.9987</v>
      </c>
      <c r="I722" s="15">
        <f>净值原始!F6123</f>
        <v>1.0037</v>
      </c>
      <c r="J722" s="11">
        <f t="shared" si="33"/>
        <v>0.00500650846099937</v>
      </c>
      <c r="K722" s="9">
        <f>IF(COUNT(F722:I722)&lt;&gt;4,0,IF(AND(G722&gt;F722,H722&gt;0,I722&gt;0,L722&lt;='Sheet1-指标体系'!$J$31,M722&lt;='Sheet1-指标体系'!$J$31),1,0))</f>
        <v>1</v>
      </c>
      <c r="L722" s="9">
        <f t="shared" si="34"/>
        <v>4</v>
      </c>
      <c r="M722" s="9">
        <f t="shared" si="35"/>
        <v>0</v>
      </c>
    </row>
    <row r="723" ht="25" customHeight="1" spans="1:13">
      <c r="A723" s="9" t="s">
        <v>207</v>
      </c>
      <c r="B723" s="9" t="s">
        <v>206</v>
      </c>
      <c r="C723" s="9" t="s">
        <v>1046</v>
      </c>
      <c r="D723" s="10">
        <v>45716</v>
      </c>
      <c r="E723" s="10">
        <v>45747</v>
      </c>
      <c r="F723" s="10">
        <f>净值原始!C6123</f>
        <v>45716</v>
      </c>
      <c r="G723" s="10">
        <f>净值原始!C6127</f>
        <v>45744</v>
      </c>
      <c r="H723" s="15">
        <f>净值原始!F6123</f>
        <v>1.0037</v>
      </c>
      <c r="I723" s="15">
        <f>净值原始!F6127</f>
        <v>1.0228</v>
      </c>
      <c r="J723" s="11">
        <f t="shared" si="33"/>
        <v>0.0190295905150941</v>
      </c>
      <c r="K723" s="9">
        <f>IF(COUNT(F723:I723)&lt;&gt;4,0,IF(AND(G723&gt;F723,H723&gt;0,I723&gt;0,L723&lt;='Sheet1-指标体系'!$J$31,M723&lt;='Sheet1-指标体系'!$J$31),1,0))</f>
        <v>1</v>
      </c>
      <c r="L723" s="9">
        <f t="shared" si="34"/>
        <v>0</v>
      </c>
      <c r="M723" s="9">
        <f t="shared" si="35"/>
        <v>3</v>
      </c>
    </row>
    <row r="724" ht="25" customHeight="1" spans="1:13">
      <c r="A724" s="9" t="s">
        <v>207</v>
      </c>
      <c r="B724" s="9" t="s">
        <v>206</v>
      </c>
      <c r="C724" s="9" t="s">
        <v>1047</v>
      </c>
      <c r="D724" s="10">
        <v>45747</v>
      </c>
      <c r="E724" s="10">
        <v>45777</v>
      </c>
      <c r="F724" s="10">
        <f>净值原始!C6127</f>
        <v>45744</v>
      </c>
      <c r="G724" s="10">
        <f>净值原始!C6132</f>
        <v>45777</v>
      </c>
      <c r="H724" s="15">
        <f>净值原始!F6127</f>
        <v>1.0228</v>
      </c>
      <c r="I724" s="15">
        <f>净值原始!F6132</f>
        <v>1.043</v>
      </c>
      <c r="J724" s="11">
        <f t="shared" si="33"/>
        <v>0.0197497066875245</v>
      </c>
      <c r="K724" s="9">
        <f>IF(COUNT(F724:I724)&lt;&gt;4,0,IF(AND(G724&gt;F724,H724&gt;0,I724&gt;0,L724&lt;='Sheet1-指标体系'!$J$31,M724&lt;='Sheet1-指标体系'!$J$31),1,0))</f>
        <v>1</v>
      </c>
      <c r="L724" s="9">
        <f t="shared" si="34"/>
        <v>3</v>
      </c>
      <c r="M724" s="9">
        <f t="shared" si="35"/>
        <v>0</v>
      </c>
    </row>
    <row r="725" ht="25" customHeight="1" spans="1:13">
      <c r="A725" s="9" t="s">
        <v>207</v>
      </c>
      <c r="B725" s="9" t="s">
        <v>206</v>
      </c>
      <c r="C725" s="9" t="s">
        <v>1048</v>
      </c>
      <c r="D725" s="10">
        <v>45777</v>
      </c>
      <c r="E725" s="10">
        <v>45808</v>
      </c>
      <c r="F725" s="10">
        <f>净值原始!C6132</f>
        <v>45777</v>
      </c>
      <c r="G725" s="10">
        <f>净值原始!C6136</f>
        <v>45807</v>
      </c>
      <c r="H725" s="15">
        <f>净值原始!F6132</f>
        <v>1.043</v>
      </c>
      <c r="I725" s="15">
        <f>净值原始!F6136</f>
        <v>1.0509</v>
      </c>
      <c r="J725" s="11">
        <f t="shared" si="33"/>
        <v>0.0075743048897412</v>
      </c>
      <c r="K725" s="9">
        <f>IF(COUNT(F725:I725)&lt;&gt;4,0,IF(AND(G725&gt;F725,H725&gt;0,I725&gt;0,L725&lt;='Sheet1-指标体系'!$J$31,M725&lt;='Sheet1-指标体系'!$J$31),1,0))</f>
        <v>1</v>
      </c>
      <c r="L725" s="9">
        <f t="shared" si="34"/>
        <v>0</v>
      </c>
      <c r="M725" s="9">
        <f t="shared" si="35"/>
        <v>1</v>
      </c>
    </row>
    <row r="726" ht="25" customHeight="1" spans="1:13">
      <c r="A726" s="9" t="s">
        <v>207</v>
      </c>
      <c r="B726" s="9" t="s">
        <v>206</v>
      </c>
      <c r="C726" s="9" t="s">
        <v>1049</v>
      </c>
      <c r="D726" s="10">
        <v>45808</v>
      </c>
      <c r="E726" s="10">
        <v>45838</v>
      </c>
      <c r="F726" s="10">
        <f>净值原始!C6136</f>
        <v>45807</v>
      </c>
      <c r="G726" s="10">
        <f>净值原始!C6140</f>
        <v>45835</v>
      </c>
      <c r="H726" s="15">
        <f>净值原始!F6136</f>
        <v>1.0509</v>
      </c>
      <c r="I726" s="15">
        <f>净值原始!F6140</f>
        <v>1.0657</v>
      </c>
      <c r="J726" s="11">
        <f t="shared" si="33"/>
        <v>0.0140831668094017</v>
      </c>
      <c r="K726" s="9">
        <f>IF(COUNT(F726:I726)&lt;&gt;4,0,IF(AND(G726&gt;F726,H726&gt;0,I726&gt;0,L726&lt;='Sheet1-指标体系'!$J$31,M726&lt;='Sheet1-指标体系'!$J$31),1,0))</f>
        <v>1</v>
      </c>
      <c r="L726" s="9">
        <f t="shared" si="34"/>
        <v>1</v>
      </c>
      <c r="M726" s="9">
        <f t="shared" si="35"/>
        <v>3</v>
      </c>
    </row>
    <row r="727" ht="25" customHeight="1" spans="1:13">
      <c r="A727" s="9" t="s">
        <v>207</v>
      </c>
      <c r="B727" s="9" t="s">
        <v>206</v>
      </c>
      <c r="C727" s="9" t="s">
        <v>1050</v>
      </c>
      <c r="D727" s="10">
        <v>45838</v>
      </c>
      <c r="E727" s="10">
        <v>45869</v>
      </c>
      <c r="F727" s="10">
        <f>净值原始!C6140</f>
        <v>45835</v>
      </c>
      <c r="G727" s="10">
        <f>净值原始!C6146</f>
        <v>45869</v>
      </c>
      <c r="H727" s="15">
        <f>净值原始!F6140</f>
        <v>1.0657</v>
      </c>
      <c r="I727" s="15">
        <f>净值原始!F6146</f>
        <v>1.0212</v>
      </c>
      <c r="J727" s="11">
        <f t="shared" si="33"/>
        <v>-0.0417565919114197</v>
      </c>
      <c r="K727" s="9">
        <f>IF(COUNT(F727:I727)&lt;&gt;4,0,IF(AND(G727&gt;F727,H727&gt;0,I727&gt;0,L727&lt;='Sheet1-指标体系'!$J$31,M727&lt;='Sheet1-指标体系'!$J$31),1,0))</f>
        <v>1</v>
      </c>
      <c r="L727" s="9">
        <f t="shared" si="34"/>
        <v>3</v>
      </c>
      <c r="M727" s="9">
        <f t="shared" si="35"/>
        <v>0</v>
      </c>
    </row>
    <row r="728" ht="25" customHeight="1" spans="1:13">
      <c r="A728" s="9" t="s">
        <v>207</v>
      </c>
      <c r="B728" s="9" t="s">
        <v>206</v>
      </c>
      <c r="C728" s="9" t="s">
        <v>1051</v>
      </c>
      <c r="D728" s="10">
        <v>45869</v>
      </c>
      <c r="E728" s="10">
        <v>45900</v>
      </c>
      <c r="F728" s="10">
        <f>净值原始!C6146</f>
        <v>45869</v>
      </c>
      <c r="G728" s="10">
        <f>净值原始!C6151</f>
        <v>45898</v>
      </c>
      <c r="H728" s="15">
        <f>净值原始!F6146</f>
        <v>1.0212</v>
      </c>
      <c r="I728" s="15">
        <f>净值原始!F6151</f>
        <v>1.0335</v>
      </c>
      <c r="J728" s="11">
        <f t="shared" si="33"/>
        <v>0.0120446533490011</v>
      </c>
      <c r="K728" s="9">
        <f>IF(COUNT(F728:I728)&lt;&gt;4,0,IF(AND(G728&gt;F728,H728&gt;0,I728&gt;0,L728&lt;='Sheet1-指标体系'!$J$31,M728&lt;='Sheet1-指标体系'!$J$31),1,0))</f>
        <v>1</v>
      </c>
      <c r="L728" s="9">
        <f t="shared" si="34"/>
        <v>0</v>
      </c>
      <c r="M728" s="9">
        <f t="shared" si="35"/>
        <v>2</v>
      </c>
    </row>
    <row r="729" ht="25" customHeight="1" spans="1:13">
      <c r="A729" s="9" t="s">
        <v>207</v>
      </c>
      <c r="B729" s="9" t="s">
        <v>206</v>
      </c>
      <c r="C729" s="9" t="s">
        <v>1052</v>
      </c>
      <c r="D729" s="10">
        <v>45900</v>
      </c>
      <c r="E729" s="10">
        <v>45930</v>
      </c>
      <c r="F729" s="10">
        <f>净值原始!C6151</f>
        <v>45898</v>
      </c>
      <c r="G729" s="10">
        <f>净值原始!C6156</f>
        <v>45930</v>
      </c>
      <c r="H729" s="15">
        <f>净值原始!F6151</f>
        <v>1.0335</v>
      </c>
      <c r="I729" s="15">
        <f>净值原始!F6156</f>
        <v>1.0577</v>
      </c>
      <c r="J729" s="11">
        <f t="shared" si="33"/>
        <v>0.0234155781325593</v>
      </c>
      <c r="K729" s="9">
        <f>IF(COUNT(F729:I729)&lt;&gt;4,0,IF(AND(G729&gt;F729,H729&gt;0,I729&gt;0,L729&lt;='Sheet1-指标体系'!$J$31,M729&lt;='Sheet1-指标体系'!$J$31),1,0))</f>
        <v>1</v>
      </c>
      <c r="L729" s="9">
        <f t="shared" si="34"/>
        <v>2</v>
      </c>
      <c r="M729" s="9">
        <f t="shared" si="35"/>
        <v>0</v>
      </c>
    </row>
    <row r="730" ht="25" customHeight="1" spans="1:13">
      <c r="A730" s="9" t="s">
        <v>207</v>
      </c>
      <c r="B730" s="9" t="s">
        <v>206</v>
      </c>
      <c r="C730" s="9" t="s">
        <v>1053</v>
      </c>
      <c r="D730" s="10">
        <v>45930</v>
      </c>
      <c r="E730" s="10">
        <v>45961</v>
      </c>
      <c r="F730" s="10">
        <f>净值原始!C6156</f>
        <v>45930</v>
      </c>
      <c r="G730" s="10">
        <f>净值原始!C6160</f>
        <v>45961</v>
      </c>
      <c r="H730" s="15">
        <f>净值原始!F6156</f>
        <v>1.0577</v>
      </c>
      <c r="I730" s="15">
        <f>净值原始!F6160</f>
        <v>1.0682</v>
      </c>
      <c r="J730" s="11">
        <f t="shared" si="33"/>
        <v>0.00992720052945062</v>
      </c>
      <c r="K730" s="9">
        <f>IF(COUNT(F730:I730)&lt;&gt;4,0,IF(AND(G730&gt;F730,H730&gt;0,I730&gt;0,L730&lt;='Sheet1-指标体系'!$J$31,M730&lt;='Sheet1-指标体系'!$J$31),1,0))</f>
        <v>1</v>
      </c>
      <c r="L730" s="9">
        <f t="shared" si="34"/>
        <v>0</v>
      </c>
      <c r="M730" s="9">
        <f t="shared" si="35"/>
        <v>0</v>
      </c>
    </row>
    <row r="731" ht="25" customHeight="1" spans="1:13">
      <c r="A731" s="9" t="s">
        <v>207</v>
      </c>
      <c r="B731" s="9" t="s">
        <v>206</v>
      </c>
      <c r="C731" s="9" t="s">
        <v>1054</v>
      </c>
      <c r="D731" s="10">
        <v>45961</v>
      </c>
      <c r="E731" s="10">
        <v>45991</v>
      </c>
      <c r="F731" s="10">
        <f>净值原始!C6160</f>
        <v>45961</v>
      </c>
      <c r="G731" s="10">
        <f>净值原始!C6164</f>
        <v>45989</v>
      </c>
      <c r="H731" s="15">
        <f>净值原始!F6160</f>
        <v>1.0682</v>
      </c>
      <c r="I731" s="15">
        <f>净值原始!F6164</f>
        <v>1.0785</v>
      </c>
      <c r="J731" s="11">
        <f t="shared" si="33"/>
        <v>0.00964238906571802</v>
      </c>
      <c r="K731" s="9">
        <f>IF(COUNT(F731:I731)&lt;&gt;4,0,IF(AND(G731&gt;F731,H731&gt;0,I731&gt;0,L731&lt;='Sheet1-指标体系'!$J$31,M731&lt;='Sheet1-指标体系'!$J$31),1,0))</f>
        <v>1</v>
      </c>
      <c r="L731" s="9">
        <f t="shared" si="34"/>
        <v>0</v>
      </c>
      <c r="M731" s="9">
        <f t="shared" si="35"/>
        <v>2</v>
      </c>
    </row>
    <row r="732" ht="25" customHeight="1" spans="1:13">
      <c r="A732" s="9" t="s">
        <v>207</v>
      </c>
      <c r="B732" s="9" t="s">
        <v>206</v>
      </c>
      <c r="C732" s="9" t="s">
        <v>1055</v>
      </c>
      <c r="D732" s="10">
        <v>45991</v>
      </c>
      <c r="E732" s="10">
        <v>46022</v>
      </c>
      <c r="F732" s="10">
        <f>净值原始!C6164</f>
        <v>45989</v>
      </c>
      <c r="G732" s="10">
        <f>净值原始!C6168</f>
        <v>46022</v>
      </c>
      <c r="H732" s="15">
        <f>净值原始!F6164</f>
        <v>1.0785</v>
      </c>
      <c r="I732" s="15">
        <f>净值原始!F6168</f>
        <v>1.0685</v>
      </c>
      <c r="J732" s="11">
        <f t="shared" si="33"/>
        <v>-0.00927213722763098</v>
      </c>
      <c r="K732" s="9">
        <f>IF(COUNT(F732:I732)&lt;&gt;4,0,IF(AND(G732&gt;F732,H732&gt;0,I732&gt;0,L732&lt;='Sheet1-指标体系'!$J$31,M732&lt;='Sheet1-指标体系'!$J$31),1,0))</f>
        <v>1</v>
      </c>
      <c r="L732" s="9">
        <f t="shared" si="34"/>
        <v>2</v>
      </c>
      <c r="M732" s="9">
        <f t="shared" si="35"/>
        <v>0</v>
      </c>
    </row>
    <row r="733" ht="25" customHeight="1" spans="1:13">
      <c r="A733" s="9" t="s">
        <v>207</v>
      </c>
      <c r="B733" s="9" t="s">
        <v>206</v>
      </c>
      <c r="C733" s="9" t="s">
        <v>1056</v>
      </c>
      <c r="D733" s="10">
        <v>46022</v>
      </c>
      <c r="E733" s="10">
        <v>46053</v>
      </c>
      <c r="F733" s="10">
        <f>净值原始!C6168</f>
        <v>46022</v>
      </c>
      <c r="G733" s="10">
        <f>净值原始!C6172</f>
        <v>46052</v>
      </c>
      <c r="H733" s="15">
        <f>净值原始!F6168</f>
        <v>1.0685</v>
      </c>
      <c r="I733" s="15">
        <f>净值原始!F6172</f>
        <v>1.0392</v>
      </c>
      <c r="J733" s="11">
        <f t="shared" si="33"/>
        <v>-0.0274216190921854</v>
      </c>
      <c r="K733" s="9">
        <f>IF(COUNT(F733:I733)&lt;&gt;4,0,IF(AND(G733&gt;F733,H733&gt;0,I733&gt;0,L733&lt;='Sheet1-指标体系'!$J$31,M733&lt;='Sheet1-指标体系'!$J$31),1,0))</f>
        <v>1</v>
      </c>
      <c r="L733" s="9">
        <f t="shared" si="34"/>
        <v>0</v>
      </c>
      <c r="M733" s="9">
        <f t="shared" si="35"/>
        <v>1</v>
      </c>
    </row>
    <row r="734" ht="25" customHeight="1" spans="1:13">
      <c r="A734" s="9" t="s">
        <v>207</v>
      </c>
      <c r="B734" s="9" t="s">
        <v>206</v>
      </c>
      <c r="C734" s="9" t="s">
        <v>1057</v>
      </c>
      <c r="D734" s="10">
        <v>46053</v>
      </c>
      <c r="E734" s="10">
        <v>46081</v>
      </c>
      <c r="F734" s="10">
        <f>净值原始!C6172</f>
        <v>46052</v>
      </c>
      <c r="G734" s="10">
        <f>净值原始!C6176</f>
        <v>46080</v>
      </c>
      <c r="H734" s="15">
        <f>净值原始!F6172</f>
        <v>1.0392</v>
      </c>
      <c r="I734" s="15">
        <f>净值原始!F6176</f>
        <v>1.0629</v>
      </c>
      <c r="J734" s="11">
        <f t="shared" si="33"/>
        <v>0.0228060046189378</v>
      </c>
      <c r="K734" s="9">
        <f>IF(COUNT(F734:I734)&lt;&gt;4,0,IF(AND(G734&gt;F734,H734&gt;0,I734&gt;0,L734&lt;='Sheet1-指标体系'!$J$31,M734&lt;='Sheet1-指标体系'!$J$31),1,0))</f>
        <v>1</v>
      </c>
      <c r="L734" s="9">
        <f t="shared" si="34"/>
        <v>1</v>
      </c>
      <c r="M734" s="9">
        <f t="shared" si="35"/>
        <v>1</v>
      </c>
    </row>
    <row r="735" ht="25" customHeight="1" spans="1:13">
      <c r="A735" s="9" t="s">
        <v>207</v>
      </c>
      <c r="B735" s="9" t="s">
        <v>206</v>
      </c>
      <c r="C735" s="9" t="s">
        <v>1058</v>
      </c>
      <c r="D735" s="10">
        <v>46081</v>
      </c>
      <c r="E735" s="10">
        <v>46112</v>
      </c>
      <c r="F735" s="10">
        <f>净值原始!C6176</f>
        <v>46080</v>
      </c>
      <c r="G735" s="10">
        <f>净值原始!C6181</f>
        <v>46112</v>
      </c>
      <c r="H735" s="15">
        <f>净值原始!F6176</f>
        <v>1.0629</v>
      </c>
      <c r="I735" s="15">
        <f>净值原始!F6181</f>
        <v>1.1197</v>
      </c>
      <c r="J735" s="11">
        <f t="shared" si="33"/>
        <v>0.0534387054285446</v>
      </c>
      <c r="K735" s="9">
        <f>IF(COUNT(F735:I735)&lt;&gt;4,0,IF(AND(G735&gt;F735,H735&gt;0,I735&gt;0,L735&lt;='Sheet1-指标体系'!$J$31,M735&lt;='Sheet1-指标体系'!$J$31),1,0))</f>
        <v>1</v>
      </c>
      <c r="L735" s="9">
        <f t="shared" si="34"/>
        <v>1</v>
      </c>
      <c r="M735" s="9">
        <f t="shared" si="35"/>
        <v>0</v>
      </c>
    </row>
    <row r="736" ht="25" customHeight="1" spans="1:13">
      <c r="A736" s="9" t="s">
        <v>207</v>
      </c>
      <c r="B736" s="9" t="s">
        <v>206</v>
      </c>
      <c r="C736" s="9" t="s">
        <v>1059</v>
      </c>
      <c r="D736" s="10">
        <v>46112</v>
      </c>
      <c r="E736" s="10">
        <v>46142</v>
      </c>
      <c r="F736" s="10">
        <f>净值原始!C6181</f>
        <v>46112</v>
      </c>
      <c r="G736" s="10">
        <f>净值原始!C6186</f>
        <v>46142</v>
      </c>
      <c r="H736" s="15">
        <f>净值原始!F6181</f>
        <v>1.1197</v>
      </c>
      <c r="I736" s="15">
        <f>净值原始!F6186</f>
        <v>1.091</v>
      </c>
      <c r="J736" s="11">
        <f t="shared" si="33"/>
        <v>-0.0256318656783067</v>
      </c>
      <c r="K736" s="9">
        <f>IF(COUNT(F736:I736)&lt;&gt;4,0,IF(AND(G736&gt;F736,H736&gt;0,I736&gt;0,L736&lt;='Sheet1-指标体系'!$J$31,M736&lt;='Sheet1-指标体系'!$J$31),1,0))</f>
        <v>1</v>
      </c>
      <c r="L736" s="9">
        <f t="shared" si="34"/>
        <v>0</v>
      </c>
      <c r="M736" s="9">
        <f t="shared" si="35"/>
        <v>0</v>
      </c>
    </row>
    <row r="737" ht="25" customHeight="1" spans="1:13">
      <c r="A737" s="9" t="s">
        <v>207</v>
      </c>
      <c r="B737" s="9" t="s">
        <v>206</v>
      </c>
      <c r="C737" s="9" t="s">
        <v>1060</v>
      </c>
      <c r="D737" s="10">
        <v>46142</v>
      </c>
      <c r="E737" s="10">
        <v>46173</v>
      </c>
      <c r="F737" s="10">
        <f>净值原始!C6186</f>
        <v>46142</v>
      </c>
      <c r="G737" s="10">
        <f>净值原始!C6190</f>
        <v>46171</v>
      </c>
      <c r="H737" s="15">
        <f>净值原始!F6186</f>
        <v>1.091</v>
      </c>
      <c r="I737" s="15">
        <f>净值原始!F6190</f>
        <v>1.0796</v>
      </c>
      <c r="J737" s="11">
        <f t="shared" si="33"/>
        <v>-0.0104491292392301</v>
      </c>
      <c r="K737" s="9">
        <f>IF(COUNT(F737:I737)&lt;&gt;4,0,IF(AND(G737&gt;F737,H737&gt;0,I737&gt;0,L737&lt;='Sheet1-指标体系'!$J$31,M737&lt;='Sheet1-指标体系'!$J$31),1,0))</f>
        <v>1</v>
      </c>
      <c r="L737" s="9">
        <f t="shared" si="34"/>
        <v>0</v>
      </c>
      <c r="M737" s="9">
        <f t="shared" si="35"/>
        <v>2</v>
      </c>
    </row>
    <row r="738" ht="25" customHeight="1" spans="1:13">
      <c r="A738" s="9" t="s">
        <v>207</v>
      </c>
      <c r="B738" s="9" t="s">
        <v>206</v>
      </c>
      <c r="C738" s="9" t="s">
        <v>1061</v>
      </c>
      <c r="D738" s="10">
        <v>46173</v>
      </c>
      <c r="E738" s="10">
        <v>46203</v>
      </c>
      <c r="F738" s="10">
        <f>净值原始!C6190</f>
        <v>46171</v>
      </c>
      <c r="G738" s="10">
        <f>净值原始!C6196</f>
        <v>46203</v>
      </c>
      <c r="H738" s="15">
        <f>净值原始!F6190</f>
        <v>1.0796</v>
      </c>
      <c r="I738" s="15">
        <f>净值原始!F6196</f>
        <v>1.0856</v>
      </c>
      <c r="J738" s="11">
        <f t="shared" si="33"/>
        <v>0.00555761393108556</v>
      </c>
      <c r="K738" s="9">
        <f>IF(COUNT(F738:I738)&lt;&gt;4,0,IF(AND(G738&gt;F738,H738&gt;0,I738&gt;0,L738&lt;='Sheet1-指标体系'!$J$31,M738&lt;='Sheet1-指标体系'!$J$31),1,0))</f>
        <v>1</v>
      </c>
      <c r="L738" s="9">
        <f t="shared" si="34"/>
        <v>2</v>
      </c>
      <c r="M738" s="9">
        <f t="shared" si="35"/>
        <v>0</v>
      </c>
    </row>
    <row r="739" ht="25" customHeight="1" spans="1:13">
      <c r="A739" s="9" t="s">
        <v>207</v>
      </c>
      <c r="B739" s="9" t="s">
        <v>206</v>
      </c>
      <c r="C739" s="9" t="s">
        <v>1062</v>
      </c>
      <c r="D739" s="10">
        <v>46203</v>
      </c>
      <c r="E739" s="10">
        <v>46234</v>
      </c>
      <c r="F739" s="10">
        <f>净值原始!C6196</f>
        <v>46203</v>
      </c>
      <c r="G739" s="10">
        <f>净值原始!C6202</f>
        <v>46234</v>
      </c>
      <c r="H739" s="15">
        <f>净值原始!F6196</f>
        <v>1.0856</v>
      </c>
      <c r="I739" s="15">
        <f>净值原始!F6202</f>
        <v>1.0446</v>
      </c>
      <c r="J739" s="11">
        <f t="shared" si="33"/>
        <v>-0.0377671333824613</v>
      </c>
      <c r="K739" s="9">
        <f>IF(COUNT(F739:I739)&lt;&gt;4,0,IF(AND(G739&gt;F739,H739&gt;0,I739&gt;0,L739&lt;='Sheet1-指标体系'!$J$31,M739&lt;='Sheet1-指标体系'!$J$31),1,0))</f>
        <v>1</v>
      </c>
      <c r="L739" s="9">
        <f t="shared" si="34"/>
        <v>0</v>
      </c>
      <c r="M739" s="9">
        <f t="shared" si="35"/>
        <v>0</v>
      </c>
    </row>
    <row r="740" ht="25" customHeight="1" spans="1:13">
      <c r="A740" s="9" t="s">
        <v>207</v>
      </c>
      <c r="B740" s="9" t="s">
        <v>206</v>
      </c>
      <c r="C740" s="9" t="s">
        <v>1063</v>
      </c>
      <c r="D740" s="10">
        <v>46234</v>
      </c>
      <c r="E740" s="10">
        <v>46265</v>
      </c>
      <c r="F740" s="10">
        <f>净值原始!C6202</f>
        <v>46234</v>
      </c>
      <c r="G740" s="10">
        <f>净值原始!C6207</f>
        <v>46265</v>
      </c>
      <c r="H740" s="15">
        <f>净值原始!F6202</f>
        <v>1.0446</v>
      </c>
      <c r="I740" s="15">
        <f>净值原始!F6207</f>
        <v>1.1126</v>
      </c>
      <c r="J740" s="11">
        <f t="shared" si="33"/>
        <v>0.0650966877273598</v>
      </c>
      <c r="K740" s="9">
        <f>IF(COUNT(F740:I740)&lt;&gt;4,0,IF(AND(G740&gt;F740,H740&gt;0,I740&gt;0,L740&lt;='Sheet1-指标体系'!$J$31,M740&lt;='Sheet1-指标体系'!$J$31),1,0))</f>
        <v>1</v>
      </c>
      <c r="L740" s="9">
        <f t="shared" si="34"/>
        <v>0</v>
      </c>
      <c r="M740" s="9">
        <f t="shared" si="35"/>
        <v>0</v>
      </c>
    </row>
    <row r="741" ht="25" customHeight="1" spans="1:13">
      <c r="A741" s="9" t="s">
        <v>207</v>
      </c>
      <c r="B741" s="9" t="s">
        <v>206</v>
      </c>
      <c r="C741" s="9" t="s">
        <v>1064</v>
      </c>
      <c r="D741" s="10">
        <v>46265</v>
      </c>
      <c r="E741" s="10">
        <v>46269</v>
      </c>
      <c r="F741" s="10">
        <f>净值原始!C6207</f>
        <v>46265</v>
      </c>
      <c r="G741" s="10">
        <f>净值原始!C6209</f>
        <v>46269</v>
      </c>
      <c r="H741" s="15">
        <f>净值原始!F6207</f>
        <v>1.1126</v>
      </c>
      <c r="I741" s="15">
        <f>净值原始!F6209</f>
        <v>1.0458</v>
      </c>
      <c r="J741" s="11">
        <f t="shared" si="33"/>
        <v>-0.0600395470070105</v>
      </c>
      <c r="K741" s="9">
        <f>IF(COUNT(F741:I741)&lt;&gt;4,0,IF(AND(G741&gt;F741,H741&gt;0,I741&gt;0,L741&lt;='Sheet1-指标体系'!$J$31,M741&lt;='Sheet1-指标体系'!$J$31),1,0))</f>
        <v>1</v>
      </c>
      <c r="L741" s="9">
        <f t="shared" si="34"/>
        <v>0</v>
      </c>
      <c r="M741" s="9">
        <f t="shared" si="35"/>
        <v>0</v>
      </c>
    </row>
    <row r="742" ht="25" customHeight="1" spans="1:13">
      <c r="A742" s="9" t="s">
        <v>231</v>
      </c>
      <c r="B742" s="9" t="s">
        <v>229</v>
      </c>
      <c r="C742" s="9" t="s">
        <v>1028</v>
      </c>
      <c r="D742" s="10">
        <v>45169</v>
      </c>
      <c r="E742" s="10">
        <v>45199</v>
      </c>
      <c r="F742" s="10">
        <f>净值原始!C6777</f>
        <v>45169</v>
      </c>
      <c r="G742" s="10">
        <f>净值原始!C6797</f>
        <v>45197</v>
      </c>
      <c r="H742" s="15">
        <f>净值原始!F6777</f>
        <v>1.2534</v>
      </c>
      <c r="I742" s="15">
        <f>净值原始!F6797</f>
        <v>1.2622</v>
      </c>
      <c r="J742" s="11">
        <f t="shared" si="33"/>
        <v>0.00702090314344983</v>
      </c>
      <c r="K742" s="9">
        <f>IF(COUNT(F742:I742)&lt;&gt;4,0,IF(AND(G742&gt;F742,H742&gt;0,I742&gt;0,L742&lt;='Sheet1-指标体系'!$J$31,M742&lt;='Sheet1-指标体系'!$J$31),1,0))</f>
        <v>1</v>
      </c>
      <c r="L742" s="9">
        <f t="shared" si="34"/>
        <v>0</v>
      </c>
      <c r="M742" s="9">
        <f t="shared" si="35"/>
        <v>2</v>
      </c>
    </row>
    <row r="743" ht="25" customHeight="1" spans="1:13">
      <c r="A743" s="9" t="s">
        <v>231</v>
      </c>
      <c r="B743" s="9" t="s">
        <v>229</v>
      </c>
      <c r="C743" s="9" t="s">
        <v>1029</v>
      </c>
      <c r="D743" s="10">
        <v>45199</v>
      </c>
      <c r="E743" s="10">
        <v>45230</v>
      </c>
      <c r="F743" s="10">
        <f>净值原始!C6797</f>
        <v>45197</v>
      </c>
      <c r="G743" s="10">
        <f>净值原始!C6814</f>
        <v>45230</v>
      </c>
      <c r="H743" s="15">
        <f>净值原始!F6797</f>
        <v>1.2622</v>
      </c>
      <c r="I743" s="15">
        <f>净值原始!F6814</f>
        <v>1.2713</v>
      </c>
      <c r="J743" s="11">
        <f t="shared" si="33"/>
        <v>0.00720963397242924</v>
      </c>
      <c r="K743" s="9">
        <f>IF(COUNT(F743:I743)&lt;&gt;4,0,IF(AND(G743&gt;F743,H743&gt;0,I743&gt;0,L743&lt;='Sheet1-指标体系'!$J$31,M743&lt;='Sheet1-指标体系'!$J$31),1,0))</f>
        <v>1</v>
      </c>
      <c r="L743" s="9">
        <f t="shared" si="34"/>
        <v>2</v>
      </c>
      <c r="M743" s="9">
        <f t="shared" si="35"/>
        <v>0</v>
      </c>
    </row>
    <row r="744" ht="25" customHeight="1" spans="1:13">
      <c r="A744" s="9" t="s">
        <v>231</v>
      </c>
      <c r="B744" s="9" t="s">
        <v>229</v>
      </c>
      <c r="C744" s="9" t="s">
        <v>1030</v>
      </c>
      <c r="D744" s="10">
        <v>45230</v>
      </c>
      <c r="E744" s="10">
        <v>45260</v>
      </c>
      <c r="F744" s="10">
        <f>净值原始!C6814</f>
        <v>45230</v>
      </c>
      <c r="G744" s="10">
        <f>净值原始!C6836</f>
        <v>45260</v>
      </c>
      <c r="H744" s="15">
        <f>净值原始!F6814</f>
        <v>1.2713</v>
      </c>
      <c r="I744" s="15">
        <f>净值原始!F6836</f>
        <v>1.2782</v>
      </c>
      <c r="J744" s="11">
        <f t="shared" si="33"/>
        <v>0.00542751514198048</v>
      </c>
      <c r="K744" s="9">
        <f>IF(COUNT(F744:I744)&lt;&gt;4,0,IF(AND(G744&gt;F744,H744&gt;0,I744&gt;0,L744&lt;='Sheet1-指标体系'!$J$31,M744&lt;='Sheet1-指标体系'!$J$31),1,0))</f>
        <v>1</v>
      </c>
      <c r="L744" s="9">
        <f t="shared" si="34"/>
        <v>0</v>
      </c>
      <c r="M744" s="9">
        <f t="shared" si="35"/>
        <v>0</v>
      </c>
    </row>
    <row r="745" ht="25" customHeight="1" spans="1:13">
      <c r="A745" s="9" t="s">
        <v>231</v>
      </c>
      <c r="B745" s="9" t="s">
        <v>229</v>
      </c>
      <c r="C745" s="9" t="s">
        <v>1031</v>
      </c>
      <c r="D745" s="10">
        <v>45260</v>
      </c>
      <c r="E745" s="10">
        <v>45291</v>
      </c>
      <c r="F745" s="10">
        <f>净值原始!C6836</f>
        <v>45260</v>
      </c>
      <c r="G745" s="10">
        <f>净值原始!C6857</f>
        <v>45289</v>
      </c>
      <c r="H745" s="15">
        <f>净值原始!F6836</f>
        <v>1.2782</v>
      </c>
      <c r="I745" s="15">
        <f>净值原始!F6857</f>
        <v>1.287</v>
      </c>
      <c r="J745" s="11">
        <f t="shared" si="33"/>
        <v>0.00688468158347666</v>
      </c>
      <c r="K745" s="9">
        <f>IF(COUNT(F745:I745)&lt;&gt;4,0,IF(AND(G745&gt;F745,H745&gt;0,I745&gt;0,L745&lt;='Sheet1-指标体系'!$J$31,M745&lt;='Sheet1-指标体系'!$J$31),1,0))</f>
        <v>1</v>
      </c>
      <c r="L745" s="9">
        <f t="shared" si="34"/>
        <v>0</v>
      </c>
      <c r="M745" s="9">
        <f t="shared" si="35"/>
        <v>2</v>
      </c>
    </row>
    <row r="746" ht="25" customHeight="1" spans="1:13">
      <c r="A746" s="9" t="s">
        <v>231</v>
      </c>
      <c r="B746" s="9" t="s">
        <v>229</v>
      </c>
      <c r="C746" s="9" t="s">
        <v>1032</v>
      </c>
      <c r="D746" s="10">
        <v>45291</v>
      </c>
      <c r="E746" s="10">
        <v>45322</v>
      </c>
      <c r="F746" s="10">
        <f>净值原始!C6857</f>
        <v>45289</v>
      </c>
      <c r="G746" s="10">
        <f>净值原始!C6879</f>
        <v>45322</v>
      </c>
      <c r="H746" s="15">
        <f>净值原始!F6857</f>
        <v>1.287</v>
      </c>
      <c r="I746" s="15">
        <f>净值原始!F6879</f>
        <v>1.2936</v>
      </c>
      <c r="J746" s="11">
        <f t="shared" si="33"/>
        <v>0.00512820512820533</v>
      </c>
      <c r="K746" s="9">
        <f>IF(COUNT(F746:I746)&lt;&gt;4,0,IF(AND(G746&gt;F746,H746&gt;0,I746&gt;0,L746&lt;='Sheet1-指标体系'!$J$31,M746&lt;='Sheet1-指标体系'!$J$31),1,0))</f>
        <v>1</v>
      </c>
      <c r="L746" s="9">
        <f t="shared" si="34"/>
        <v>2</v>
      </c>
      <c r="M746" s="9">
        <f t="shared" si="35"/>
        <v>0</v>
      </c>
    </row>
    <row r="747" ht="25" customHeight="1" spans="1:13">
      <c r="A747" s="9" t="s">
        <v>231</v>
      </c>
      <c r="B747" s="9" t="s">
        <v>229</v>
      </c>
      <c r="C747" s="9" t="s">
        <v>1033</v>
      </c>
      <c r="D747" s="10">
        <v>45322</v>
      </c>
      <c r="E747" s="10">
        <v>45351</v>
      </c>
      <c r="F747" s="10">
        <f>净值原始!C6879</f>
        <v>45322</v>
      </c>
      <c r="G747" s="10">
        <f>净值原始!C6894</f>
        <v>45351</v>
      </c>
      <c r="H747" s="15">
        <f>净值原始!F6879</f>
        <v>1.2936</v>
      </c>
      <c r="I747" s="15">
        <f>净值原始!F6894</f>
        <v>1.2927</v>
      </c>
      <c r="J747" s="11">
        <f t="shared" si="33"/>
        <v>-0.000695732838590035</v>
      </c>
      <c r="K747" s="9">
        <f>IF(COUNT(F747:I747)&lt;&gt;4,0,IF(AND(G747&gt;F747,H747&gt;0,I747&gt;0,L747&lt;='Sheet1-指标体系'!$J$31,M747&lt;='Sheet1-指标体系'!$J$31),1,0))</f>
        <v>1</v>
      </c>
      <c r="L747" s="9">
        <f t="shared" si="34"/>
        <v>0</v>
      </c>
      <c r="M747" s="9">
        <f t="shared" si="35"/>
        <v>0</v>
      </c>
    </row>
    <row r="748" ht="25" customHeight="1" spans="1:13">
      <c r="A748" s="9" t="s">
        <v>231</v>
      </c>
      <c r="B748" s="9" t="s">
        <v>229</v>
      </c>
      <c r="C748" s="9" t="s">
        <v>1034</v>
      </c>
      <c r="D748" s="10">
        <v>45351</v>
      </c>
      <c r="E748" s="10">
        <v>45382</v>
      </c>
      <c r="F748" s="10">
        <f>净值原始!C6894</f>
        <v>45351</v>
      </c>
      <c r="G748" s="10">
        <f>净值原始!C6915</f>
        <v>45380</v>
      </c>
      <c r="H748" s="15">
        <f>净值原始!F6894</f>
        <v>1.2927</v>
      </c>
      <c r="I748" s="15">
        <f>净值原始!F6915</f>
        <v>1.3004</v>
      </c>
      <c r="J748" s="11">
        <f t="shared" si="33"/>
        <v>0.00595652510249867</v>
      </c>
      <c r="K748" s="9">
        <f>IF(COUNT(F748:I748)&lt;&gt;4,0,IF(AND(G748&gt;F748,H748&gt;0,I748&gt;0,L748&lt;='Sheet1-指标体系'!$J$31,M748&lt;='Sheet1-指标体系'!$J$31),1,0))</f>
        <v>1</v>
      </c>
      <c r="L748" s="9">
        <f t="shared" si="34"/>
        <v>0</v>
      </c>
      <c r="M748" s="9">
        <f t="shared" si="35"/>
        <v>2</v>
      </c>
    </row>
    <row r="749" ht="25" customHeight="1" spans="1:13">
      <c r="A749" s="9" t="s">
        <v>231</v>
      </c>
      <c r="B749" s="9" t="s">
        <v>229</v>
      </c>
      <c r="C749" s="9" t="s">
        <v>1035</v>
      </c>
      <c r="D749" s="10">
        <v>45382</v>
      </c>
      <c r="E749" s="10">
        <v>45412</v>
      </c>
      <c r="F749" s="10">
        <f>净值原始!C6915</f>
        <v>45380</v>
      </c>
      <c r="G749" s="10">
        <f>净值原始!C6929</f>
        <v>45412</v>
      </c>
      <c r="H749" s="15">
        <f>净值原始!F6915</f>
        <v>1.3004</v>
      </c>
      <c r="I749" s="15">
        <f>净值原始!F6929</f>
        <v>1.3099</v>
      </c>
      <c r="J749" s="11">
        <f t="shared" si="33"/>
        <v>0.00730544447862203</v>
      </c>
      <c r="K749" s="9">
        <f>IF(COUNT(F749:I749)&lt;&gt;4,0,IF(AND(G749&gt;F749,H749&gt;0,I749&gt;0,L749&lt;='Sheet1-指标体系'!$J$31,M749&lt;='Sheet1-指标体系'!$J$31),1,0))</f>
        <v>1</v>
      </c>
      <c r="L749" s="9">
        <f t="shared" si="34"/>
        <v>2</v>
      </c>
      <c r="M749" s="9">
        <f t="shared" si="35"/>
        <v>0</v>
      </c>
    </row>
    <row r="750" ht="25" customHeight="1" spans="1:13">
      <c r="A750" s="9" t="s">
        <v>231</v>
      </c>
      <c r="B750" s="9" t="s">
        <v>229</v>
      </c>
      <c r="C750" s="9" t="s">
        <v>1036</v>
      </c>
      <c r="D750" s="10">
        <v>45412</v>
      </c>
      <c r="E750" s="10">
        <v>45443</v>
      </c>
      <c r="F750" s="10">
        <f>净值原始!C6929</f>
        <v>45412</v>
      </c>
      <c r="G750" s="10">
        <f>净值原始!C6933</f>
        <v>45443</v>
      </c>
      <c r="H750" s="15">
        <f>净值原始!F6929</f>
        <v>1.3099</v>
      </c>
      <c r="I750" s="15">
        <f>净值原始!F6933</f>
        <v>1.3213</v>
      </c>
      <c r="J750" s="11">
        <f t="shared" si="33"/>
        <v>0.00870295442400182</v>
      </c>
      <c r="K750" s="9">
        <f>IF(COUNT(F750:I750)&lt;&gt;4,0,IF(AND(G750&gt;F750,H750&gt;0,I750&gt;0,L750&lt;='Sheet1-指标体系'!$J$31,M750&lt;='Sheet1-指标体系'!$J$31),1,0))</f>
        <v>1</v>
      </c>
      <c r="L750" s="9">
        <f t="shared" si="34"/>
        <v>0</v>
      </c>
      <c r="M750" s="9">
        <f t="shared" si="35"/>
        <v>0</v>
      </c>
    </row>
    <row r="751" ht="25" customHeight="1" spans="1:13">
      <c r="A751" s="9" t="s">
        <v>231</v>
      </c>
      <c r="B751" s="9" t="s">
        <v>229</v>
      </c>
      <c r="C751" s="9" t="s">
        <v>1037</v>
      </c>
      <c r="D751" s="10">
        <v>45443</v>
      </c>
      <c r="E751" s="10">
        <v>45473</v>
      </c>
      <c r="F751" s="10">
        <f>净值原始!C6933</f>
        <v>45443</v>
      </c>
      <c r="G751" s="10">
        <f>净值原始!C6937</f>
        <v>45471</v>
      </c>
      <c r="H751" s="15">
        <f>净值原始!F6933</f>
        <v>1.3213</v>
      </c>
      <c r="I751" s="15">
        <f>净值原始!F6937</f>
        <v>1.3324</v>
      </c>
      <c r="J751" s="11">
        <f t="shared" si="33"/>
        <v>0.00840081737682596</v>
      </c>
      <c r="K751" s="9">
        <f>IF(COUNT(F751:I751)&lt;&gt;4,0,IF(AND(G751&gt;F751,H751&gt;0,I751&gt;0,L751&lt;='Sheet1-指标体系'!$J$31,M751&lt;='Sheet1-指标体系'!$J$31),1,0))</f>
        <v>1</v>
      </c>
      <c r="L751" s="9">
        <f t="shared" si="34"/>
        <v>0</v>
      </c>
      <c r="M751" s="9">
        <f t="shared" si="35"/>
        <v>2</v>
      </c>
    </row>
    <row r="752" ht="25" customHeight="1" spans="1:13">
      <c r="A752" s="9" t="s">
        <v>231</v>
      </c>
      <c r="B752" s="9" t="s">
        <v>229</v>
      </c>
      <c r="C752" s="9" t="s">
        <v>1038</v>
      </c>
      <c r="D752" s="10">
        <v>45473</v>
      </c>
      <c r="E752" s="10">
        <v>45504</v>
      </c>
      <c r="F752" s="10">
        <f>净值原始!C6937</f>
        <v>45471</v>
      </c>
      <c r="G752" s="10">
        <f>净值原始!C6942</f>
        <v>45504</v>
      </c>
      <c r="H752" s="15">
        <f>净值原始!F6937</f>
        <v>1.3324</v>
      </c>
      <c r="I752" s="15">
        <f>净值原始!F6942</f>
        <v>1.3416</v>
      </c>
      <c r="J752" s="11">
        <f t="shared" si="33"/>
        <v>0.00690483338336834</v>
      </c>
      <c r="K752" s="9">
        <f>IF(COUNT(F752:I752)&lt;&gt;4,0,IF(AND(G752&gt;F752,H752&gt;0,I752&gt;0,L752&lt;='Sheet1-指标体系'!$J$31,M752&lt;='Sheet1-指标体系'!$J$31),1,0))</f>
        <v>1</v>
      </c>
      <c r="L752" s="9">
        <f t="shared" si="34"/>
        <v>2</v>
      </c>
      <c r="M752" s="9">
        <f t="shared" si="35"/>
        <v>0</v>
      </c>
    </row>
    <row r="753" ht="25" customHeight="1" spans="1:13">
      <c r="A753" s="9" t="s">
        <v>231</v>
      </c>
      <c r="B753" s="9" t="s">
        <v>229</v>
      </c>
      <c r="C753" s="9" t="s">
        <v>1039</v>
      </c>
      <c r="D753" s="10">
        <v>45504</v>
      </c>
      <c r="E753" s="10">
        <v>45535</v>
      </c>
      <c r="F753" s="10">
        <f>净值原始!C6942</f>
        <v>45504</v>
      </c>
      <c r="G753" s="10">
        <f>净值原始!C6950</f>
        <v>45534</v>
      </c>
      <c r="H753" s="15">
        <f>净值原始!F6942</f>
        <v>1.3416</v>
      </c>
      <c r="I753" s="15">
        <f>净值原始!F6950</f>
        <v>1.3471</v>
      </c>
      <c r="J753" s="11">
        <f t="shared" si="33"/>
        <v>0.00409958258795462</v>
      </c>
      <c r="K753" s="9">
        <f>IF(COUNT(F753:I753)&lt;&gt;4,0,IF(AND(G753&gt;F753,H753&gt;0,I753&gt;0,L753&lt;='Sheet1-指标体系'!$J$31,M753&lt;='Sheet1-指标体系'!$J$31),1,0))</f>
        <v>1</v>
      </c>
      <c r="L753" s="9">
        <f t="shared" si="34"/>
        <v>0</v>
      </c>
      <c r="M753" s="9">
        <f t="shared" si="35"/>
        <v>1</v>
      </c>
    </row>
    <row r="754" ht="25" customHeight="1" spans="1:13">
      <c r="A754" s="9" t="s">
        <v>231</v>
      </c>
      <c r="B754" s="9" t="s">
        <v>229</v>
      </c>
      <c r="C754" s="9" t="s">
        <v>1040</v>
      </c>
      <c r="D754" s="10">
        <v>45535</v>
      </c>
      <c r="E754" s="10">
        <v>45565</v>
      </c>
      <c r="F754" s="10">
        <f>净值原始!C6950</f>
        <v>45534</v>
      </c>
      <c r="G754" s="10">
        <f>净值原始!C6969</f>
        <v>45565</v>
      </c>
      <c r="H754" s="15">
        <f>净值原始!F6950</f>
        <v>1.3471</v>
      </c>
      <c r="I754" s="15">
        <f>净值原始!F6969</f>
        <v>1.36</v>
      </c>
      <c r="J754" s="11">
        <f t="shared" si="33"/>
        <v>0.00957612649395001</v>
      </c>
      <c r="K754" s="9">
        <f>IF(COUNT(F754:I754)&lt;&gt;4,0,IF(AND(G754&gt;F754,H754&gt;0,I754&gt;0,L754&lt;='Sheet1-指标体系'!$J$31,M754&lt;='Sheet1-指标体系'!$J$31),1,0))</f>
        <v>1</v>
      </c>
      <c r="L754" s="9">
        <f t="shared" si="34"/>
        <v>1</v>
      </c>
      <c r="M754" s="9">
        <f t="shared" si="35"/>
        <v>0</v>
      </c>
    </row>
    <row r="755" ht="25" customHeight="1" spans="1:13">
      <c r="A755" s="9" t="s">
        <v>231</v>
      </c>
      <c r="B755" s="9" t="s">
        <v>229</v>
      </c>
      <c r="C755" s="9" t="s">
        <v>1041</v>
      </c>
      <c r="D755" s="10">
        <v>45565</v>
      </c>
      <c r="E755" s="10">
        <v>45596</v>
      </c>
      <c r="F755" s="10">
        <f>净值原始!C6969</f>
        <v>45565</v>
      </c>
      <c r="G755" s="10">
        <f>净值原始!C6987</f>
        <v>45596</v>
      </c>
      <c r="H755" s="15">
        <f>净值原始!F6969</f>
        <v>1.36</v>
      </c>
      <c r="I755" s="15">
        <f>净值原始!F6987</f>
        <v>1.3703</v>
      </c>
      <c r="J755" s="11">
        <f t="shared" si="33"/>
        <v>0.0075735294117647</v>
      </c>
      <c r="K755" s="9">
        <f>IF(COUNT(F755:I755)&lt;&gt;4,0,IF(AND(G755&gt;F755,H755&gt;0,I755&gt;0,L755&lt;='Sheet1-指标体系'!$J$31,M755&lt;='Sheet1-指标体系'!$J$31),1,0))</f>
        <v>1</v>
      </c>
      <c r="L755" s="9">
        <f t="shared" si="34"/>
        <v>0</v>
      </c>
      <c r="M755" s="9">
        <f t="shared" si="35"/>
        <v>0</v>
      </c>
    </row>
    <row r="756" ht="25" customHeight="1" spans="1:13">
      <c r="A756" s="9" t="s">
        <v>231</v>
      </c>
      <c r="B756" s="9" t="s">
        <v>229</v>
      </c>
      <c r="C756" s="9" t="s">
        <v>1042</v>
      </c>
      <c r="D756" s="10">
        <v>45596</v>
      </c>
      <c r="E756" s="10">
        <v>45626</v>
      </c>
      <c r="F756" s="10">
        <f>净值原始!C6987</f>
        <v>45596</v>
      </c>
      <c r="G756" s="10">
        <f>净值原始!C7008</f>
        <v>45625</v>
      </c>
      <c r="H756" s="15">
        <f>净值原始!F6987</f>
        <v>1.3703</v>
      </c>
      <c r="I756" s="15">
        <f>净值原始!F7008</f>
        <v>1.3773</v>
      </c>
      <c r="J756" s="11">
        <f t="shared" si="33"/>
        <v>0.0051083704298327</v>
      </c>
      <c r="K756" s="9">
        <f>IF(COUNT(F756:I756)&lt;&gt;4,0,IF(AND(G756&gt;F756,H756&gt;0,I756&gt;0,L756&lt;='Sheet1-指标体系'!$J$31,M756&lt;='Sheet1-指标体系'!$J$31),1,0))</f>
        <v>1</v>
      </c>
      <c r="L756" s="9">
        <f t="shared" si="34"/>
        <v>0</v>
      </c>
      <c r="M756" s="9">
        <f t="shared" si="35"/>
        <v>1</v>
      </c>
    </row>
    <row r="757" ht="25" customHeight="1" spans="1:13">
      <c r="A757" s="9" t="s">
        <v>231</v>
      </c>
      <c r="B757" s="9" t="s">
        <v>229</v>
      </c>
      <c r="C757" s="9" t="s">
        <v>1043</v>
      </c>
      <c r="D757" s="10">
        <v>45626</v>
      </c>
      <c r="E757" s="10">
        <v>45657</v>
      </c>
      <c r="F757" s="10">
        <f>净值原始!C7008</f>
        <v>45625</v>
      </c>
      <c r="G757" s="10">
        <f>净值原始!C7030</f>
        <v>45657</v>
      </c>
      <c r="H757" s="15">
        <f>净值原始!F7008</f>
        <v>1.3773</v>
      </c>
      <c r="I757" s="15">
        <f>净值原始!F7030</f>
        <v>1.3857</v>
      </c>
      <c r="J757" s="11">
        <f t="shared" si="33"/>
        <v>0.00609888913090817</v>
      </c>
      <c r="K757" s="9">
        <f>IF(COUNT(F757:I757)&lt;&gt;4,0,IF(AND(G757&gt;F757,H757&gt;0,I757&gt;0,L757&lt;='Sheet1-指标体系'!$J$31,M757&lt;='Sheet1-指标体系'!$J$31),1,0))</f>
        <v>1</v>
      </c>
      <c r="L757" s="9">
        <f t="shared" si="34"/>
        <v>1</v>
      </c>
      <c r="M757" s="9">
        <f t="shared" si="35"/>
        <v>0</v>
      </c>
    </row>
    <row r="758" ht="25" customHeight="1" spans="1:13">
      <c r="A758" s="9" t="s">
        <v>231</v>
      </c>
      <c r="B758" s="9" t="s">
        <v>229</v>
      </c>
      <c r="C758" s="9" t="s">
        <v>1044</v>
      </c>
      <c r="D758" s="10">
        <v>45657</v>
      </c>
      <c r="E758" s="10">
        <v>45688</v>
      </c>
      <c r="F758" s="10">
        <f>净值原始!C7030</f>
        <v>45657</v>
      </c>
      <c r="G758" s="10">
        <f>净值原始!C7046</f>
        <v>45684</v>
      </c>
      <c r="H758" s="15">
        <f>净值原始!F7030</f>
        <v>1.3857</v>
      </c>
      <c r="I758" s="15">
        <f>净值原始!F7046</f>
        <v>1.3922</v>
      </c>
      <c r="J758" s="11">
        <f t="shared" si="33"/>
        <v>0.00469077000793838</v>
      </c>
      <c r="K758" s="9">
        <f>IF(COUNT(F758:I758)&lt;&gt;4,0,IF(AND(G758&gt;F758,H758&gt;0,I758&gt;0,L758&lt;='Sheet1-指标体系'!$J$31,M758&lt;='Sheet1-指标体系'!$J$31),1,0))</f>
        <v>1</v>
      </c>
      <c r="L758" s="9">
        <f t="shared" si="34"/>
        <v>0</v>
      </c>
      <c r="M758" s="9">
        <f t="shared" si="35"/>
        <v>4</v>
      </c>
    </row>
    <row r="759" ht="25" customHeight="1" spans="1:13">
      <c r="A759" s="9" t="s">
        <v>231</v>
      </c>
      <c r="B759" s="9" t="s">
        <v>229</v>
      </c>
      <c r="C759" s="9" t="s">
        <v>1045</v>
      </c>
      <c r="D759" s="10">
        <v>45688</v>
      </c>
      <c r="E759" s="10">
        <v>45716</v>
      </c>
      <c r="F759" s="10">
        <f>净值原始!C7046</f>
        <v>45684</v>
      </c>
      <c r="G759" s="10">
        <f>净值原始!C7050</f>
        <v>45716</v>
      </c>
      <c r="H759" s="15">
        <f>净值原始!F7046</f>
        <v>1.3922</v>
      </c>
      <c r="I759" s="15">
        <f>净值原始!F7050</f>
        <v>1.3924</v>
      </c>
      <c r="J759" s="11">
        <f t="shared" si="33"/>
        <v>0.000143657520471185</v>
      </c>
      <c r="K759" s="9">
        <f>IF(COUNT(F759:I759)&lt;&gt;4,0,IF(AND(G759&gt;F759,H759&gt;0,I759&gt;0,L759&lt;='Sheet1-指标体系'!$J$31,M759&lt;='Sheet1-指标体系'!$J$31),1,0))</f>
        <v>1</v>
      </c>
      <c r="L759" s="9">
        <f t="shared" si="34"/>
        <v>4</v>
      </c>
      <c r="M759" s="9">
        <f t="shared" si="35"/>
        <v>0</v>
      </c>
    </row>
    <row r="760" ht="25" customHeight="1" spans="1:13">
      <c r="A760" s="9" t="s">
        <v>231</v>
      </c>
      <c r="B760" s="9" t="s">
        <v>229</v>
      </c>
      <c r="C760" s="9" t="s">
        <v>1046</v>
      </c>
      <c r="D760" s="10">
        <v>45716</v>
      </c>
      <c r="E760" s="10">
        <v>45747</v>
      </c>
      <c r="F760" s="10">
        <f>净值原始!C7050</f>
        <v>45716</v>
      </c>
      <c r="G760" s="10">
        <f>净值原始!C7055</f>
        <v>45747</v>
      </c>
      <c r="H760" s="15">
        <f>净值原始!F7050</f>
        <v>1.3924</v>
      </c>
      <c r="I760" s="15">
        <f>净值原始!F7055</f>
        <v>1.3947</v>
      </c>
      <c r="J760" s="11">
        <f t="shared" si="33"/>
        <v>0.00165182418845156</v>
      </c>
      <c r="K760" s="9">
        <f>IF(COUNT(F760:I760)&lt;&gt;4,0,IF(AND(G760&gt;F760,H760&gt;0,I760&gt;0,L760&lt;='Sheet1-指标体系'!$J$31,M760&lt;='Sheet1-指标体系'!$J$31),1,0))</f>
        <v>1</v>
      </c>
      <c r="L760" s="9">
        <f t="shared" si="34"/>
        <v>0</v>
      </c>
      <c r="M760" s="9">
        <f t="shared" si="35"/>
        <v>0</v>
      </c>
    </row>
    <row r="761" ht="25" customHeight="1" spans="1:13">
      <c r="A761" s="9" t="s">
        <v>231</v>
      </c>
      <c r="B761" s="9" t="s">
        <v>229</v>
      </c>
      <c r="C761" s="9" t="s">
        <v>1047</v>
      </c>
      <c r="D761" s="10">
        <v>45747</v>
      </c>
      <c r="E761" s="10">
        <v>45777</v>
      </c>
      <c r="F761" s="10">
        <f>净值原始!C7055</f>
        <v>45747</v>
      </c>
      <c r="G761" s="10">
        <f>净值原始!C7060</f>
        <v>45777</v>
      </c>
      <c r="H761" s="15">
        <f>净值原始!F7055</f>
        <v>1.3947</v>
      </c>
      <c r="I761" s="15">
        <f>净值原始!F7060</f>
        <v>1.4064</v>
      </c>
      <c r="J761" s="11">
        <f t="shared" si="33"/>
        <v>0.00838890083889021</v>
      </c>
      <c r="K761" s="9">
        <f>IF(COUNT(F761:I761)&lt;&gt;4,0,IF(AND(G761&gt;F761,H761&gt;0,I761&gt;0,L761&lt;='Sheet1-指标体系'!$J$31,M761&lt;='Sheet1-指标体系'!$J$31),1,0))</f>
        <v>1</v>
      </c>
      <c r="L761" s="9">
        <f t="shared" si="34"/>
        <v>0</v>
      </c>
      <c r="M761" s="9">
        <f t="shared" si="35"/>
        <v>0</v>
      </c>
    </row>
    <row r="762" ht="25" customHeight="1" spans="1:13">
      <c r="A762" s="9" t="s">
        <v>231</v>
      </c>
      <c r="B762" s="9" t="s">
        <v>229</v>
      </c>
      <c r="C762" s="9" t="s">
        <v>1048</v>
      </c>
      <c r="D762" s="10">
        <v>45777</v>
      </c>
      <c r="E762" s="10">
        <v>45808</v>
      </c>
      <c r="F762" s="10">
        <f>净值原始!C7060</f>
        <v>45777</v>
      </c>
      <c r="G762" s="10">
        <f>净值原始!C7064</f>
        <v>45807</v>
      </c>
      <c r="H762" s="15">
        <f>净值原始!F7060</f>
        <v>1.4064</v>
      </c>
      <c r="I762" s="15">
        <f>净值原始!F7064</f>
        <v>1.411</v>
      </c>
      <c r="J762" s="11">
        <f t="shared" si="33"/>
        <v>0.00327076222980649</v>
      </c>
      <c r="K762" s="9">
        <f>IF(COUNT(F762:I762)&lt;&gt;4,0,IF(AND(G762&gt;F762,H762&gt;0,I762&gt;0,L762&lt;='Sheet1-指标体系'!$J$31,M762&lt;='Sheet1-指标体系'!$J$31),1,0))</f>
        <v>1</v>
      </c>
      <c r="L762" s="9">
        <f t="shared" si="34"/>
        <v>0</v>
      </c>
      <c r="M762" s="9">
        <f t="shared" si="35"/>
        <v>1</v>
      </c>
    </row>
    <row r="763" ht="25" customHeight="1" spans="1:13">
      <c r="A763" s="9" t="s">
        <v>231</v>
      </c>
      <c r="B763" s="9" t="s">
        <v>229</v>
      </c>
      <c r="C763" s="9" t="s">
        <v>1049</v>
      </c>
      <c r="D763" s="10">
        <v>45808</v>
      </c>
      <c r="E763" s="10">
        <v>45838</v>
      </c>
      <c r="F763" s="10">
        <f>净值原始!C7064</f>
        <v>45807</v>
      </c>
      <c r="G763" s="10">
        <f>净值原始!C7069</f>
        <v>45838</v>
      </c>
      <c r="H763" s="15">
        <f>净值原始!F7064</f>
        <v>1.411</v>
      </c>
      <c r="I763" s="15">
        <f>净值原始!F7069</f>
        <v>1.4164</v>
      </c>
      <c r="J763" s="11">
        <f t="shared" si="33"/>
        <v>0.00382707299787399</v>
      </c>
      <c r="K763" s="9">
        <f>IF(COUNT(F763:I763)&lt;&gt;4,0,IF(AND(G763&gt;F763,H763&gt;0,I763&gt;0,L763&lt;='Sheet1-指标体系'!$J$31,M763&lt;='Sheet1-指标体系'!$J$31),1,0))</f>
        <v>1</v>
      </c>
      <c r="L763" s="9">
        <f t="shared" si="34"/>
        <v>1</v>
      </c>
      <c r="M763" s="9">
        <f t="shared" si="35"/>
        <v>0</v>
      </c>
    </row>
    <row r="764" ht="25" customHeight="1" spans="1:13">
      <c r="A764" s="9" t="s">
        <v>231</v>
      </c>
      <c r="B764" s="9" t="s">
        <v>229</v>
      </c>
      <c r="C764" s="9" t="s">
        <v>1050</v>
      </c>
      <c r="D764" s="10">
        <v>45838</v>
      </c>
      <c r="E764" s="10">
        <v>45869</v>
      </c>
      <c r="F764" s="10">
        <f>净值原始!C7069</f>
        <v>45838</v>
      </c>
      <c r="G764" s="10">
        <f>净值原始!C7074</f>
        <v>45869</v>
      </c>
      <c r="H764" s="15">
        <f>净值原始!F7069</f>
        <v>1.4164</v>
      </c>
      <c r="I764" s="15">
        <f>净值原始!F7074</f>
        <v>1.423</v>
      </c>
      <c r="J764" s="11">
        <f t="shared" si="33"/>
        <v>0.00465970064953392</v>
      </c>
      <c r="K764" s="9">
        <f>IF(COUNT(F764:I764)&lt;&gt;4,0,IF(AND(G764&gt;F764,H764&gt;0,I764&gt;0,L764&lt;='Sheet1-指标体系'!$J$31,M764&lt;='Sheet1-指标体系'!$J$31),1,0))</f>
        <v>1</v>
      </c>
      <c r="L764" s="9">
        <f t="shared" si="34"/>
        <v>0</v>
      </c>
      <c r="M764" s="9">
        <f t="shared" si="35"/>
        <v>0</v>
      </c>
    </row>
    <row r="765" ht="25" customHeight="1" spans="1:13">
      <c r="A765" s="9" t="s">
        <v>231</v>
      </c>
      <c r="B765" s="9" t="s">
        <v>229</v>
      </c>
      <c r="C765" s="9" t="s">
        <v>1051</v>
      </c>
      <c r="D765" s="10">
        <v>45869</v>
      </c>
      <c r="E765" s="10">
        <v>45900</v>
      </c>
      <c r="F765" s="10">
        <f>净值原始!C7074</f>
        <v>45869</v>
      </c>
      <c r="G765" s="10">
        <f>净值原始!C7079</f>
        <v>45898</v>
      </c>
      <c r="H765" s="15">
        <f>净值原始!F7074</f>
        <v>1.423</v>
      </c>
      <c r="I765" s="15">
        <f>净值原始!F7079</f>
        <v>1.4244</v>
      </c>
      <c r="J765" s="11">
        <f t="shared" si="33"/>
        <v>0.000983836964160378</v>
      </c>
      <c r="K765" s="9">
        <f>IF(COUNT(F765:I765)&lt;&gt;4,0,IF(AND(G765&gt;F765,H765&gt;0,I765&gt;0,L765&lt;='Sheet1-指标体系'!$J$31,M765&lt;='Sheet1-指标体系'!$J$31),1,0))</f>
        <v>1</v>
      </c>
      <c r="L765" s="9">
        <f t="shared" si="34"/>
        <v>0</v>
      </c>
      <c r="M765" s="9">
        <f t="shared" si="35"/>
        <v>2</v>
      </c>
    </row>
    <row r="766" ht="25" customHeight="1" spans="1:13">
      <c r="A766" s="9" t="s">
        <v>231</v>
      </c>
      <c r="B766" s="9" t="s">
        <v>229</v>
      </c>
      <c r="C766" s="9" t="s">
        <v>1052</v>
      </c>
      <c r="D766" s="10">
        <v>45900</v>
      </c>
      <c r="E766" s="10">
        <v>45930</v>
      </c>
      <c r="F766" s="10">
        <f>净值原始!C7079</f>
        <v>45898</v>
      </c>
      <c r="G766" s="10">
        <f>净值原始!C7084</f>
        <v>45930</v>
      </c>
      <c r="H766" s="15">
        <f>净值原始!F7079</f>
        <v>1.4244</v>
      </c>
      <c r="I766" s="15">
        <f>净值原始!F7084</f>
        <v>1.4293</v>
      </c>
      <c r="J766" s="11">
        <f t="shared" si="33"/>
        <v>0.00344004493119909</v>
      </c>
      <c r="K766" s="9">
        <f>IF(COUNT(F766:I766)&lt;&gt;4,0,IF(AND(G766&gt;F766,H766&gt;0,I766&gt;0,L766&lt;='Sheet1-指标体系'!$J$31,M766&lt;='Sheet1-指标体系'!$J$31),1,0))</f>
        <v>1</v>
      </c>
      <c r="L766" s="9">
        <f t="shared" si="34"/>
        <v>2</v>
      </c>
      <c r="M766" s="9">
        <f t="shared" si="35"/>
        <v>0</v>
      </c>
    </row>
    <row r="767" ht="25" customHeight="1" spans="1:13">
      <c r="A767" s="9" t="s">
        <v>231</v>
      </c>
      <c r="B767" s="9" t="s">
        <v>229</v>
      </c>
      <c r="C767" s="9" t="s">
        <v>1053</v>
      </c>
      <c r="D767" s="10">
        <v>45930</v>
      </c>
      <c r="E767" s="10">
        <v>45961</v>
      </c>
      <c r="F767" s="10">
        <f>净值原始!C7084</f>
        <v>45930</v>
      </c>
      <c r="G767" s="10">
        <f>净值原始!C7088</f>
        <v>45961</v>
      </c>
      <c r="H767" s="15">
        <f>净值原始!F7084</f>
        <v>1.4293</v>
      </c>
      <c r="I767" s="15">
        <f>净值原始!F7088</f>
        <v>1.4336</v>
      </c>
      <c r="J767" s="11">
        <f t="shared" si="33"/>
        <v>0.00300846568250179</v>
      </c>
      <c r="K767" s="9">
        <f>IF(COUNT(F767:I767)&lt;&gt;4,0,IF(AND(G767&gt;F767,H767&gt;0,I767&gt;0,L767&lt;='Sheet1-指标体系'!$J$31,M767&lt;='Sheet1-指标体系'!$J$31),1,0))</f>
        <v>1</v>
      </c>
      <c r="L767" s="9">
        <f t="shared" si="34"/>
        <v>0</v>
      </c>
      <c r="M767" s="9">
        <f t="shared" si="35"/>
        <v>0</v>
      </c>
    </row>
    <row r="768" ht="25" customHeight="1" spans="1:13">
      <c r="A768" s="9" t="s">
        <v>231</v>
      </c>
      <c r="B768" s="9" t="s">
        <v>229</v>
      </c>
      <c r="C768" s="9" t="s">
        <v>1054</v>
      </c>
      <c r="D768" s="10">
        <v>45961</v>
      </c>
      <c r="E768" s="10">
        <v>45991</v>
      </c>
      <c r="F768" s="10">
        <f>净值原始!C7088</f>
        <v>45961</v>
      </c>
      <c r="G768" s="10">
        <f>净值原始!C7092</f>
        <v>45989</v>
      </c>
      <c r="H768" s="15">
        <f>净值原始!F7088</f>
        <v>1.4336</v>
      </c>
      <c r="I768" s="15">
        <f>净值原始!F7092</f>
        <v>1.4354</v>
      </c>
      <c r="J768" s="11">
        <f t="shared" si="33"/>
        <v>0.00125558035714279</v>
      </c>
      <c r="K768" s="9">
        <f>IF(COUNT(F768:I768)&lt;&gt;4,0,IF(AND(G768&gt;F768,H768&gt;0,I768&gt;0,L768&lt;='Sheet1-指标体系'!$J$31,M768&lt;='Sheet1-指标体系'!$J$31),1,0))</f>
        <v>1</v>
      </c>
      <c r="L768" s="9">
        <f t="shared" si="34"/>
        <v>0</v>
      </c>
      <c r="M768" s="9">
        <f t="shared" si="35"/>
        <v>2</v>
      </c>
    </row>
    <row r="769" ht="25" customHeight="1" spans="1:13">
      <c r="A769" s="9" t="s">
        <v>231</v>
      </c>
      <c r="B769" s="9" t="s">
        <v>229</v>
      </c>
      <c r="C769" s="9" t="s">
        <v>1055</v>
      </c>
      <c r="D769" s="10">
        <v>45991</v>
      </c>
      <c r="E769" s="10">
        <v>46022</v>
      </c>
      <c r="F769" s="10">
        <f>净值原始!C7092</f>
        <v>45989</v>
      </c>
      <c r="G769" s="10">
        <f>净值原始!C7097</f>
        <v>46022</v>
      </c>
      <c r="H769" s="15">
        <f>净值原始!F7092</f>
        <v>1.4354</v>
      </c>
      <c r="I769" s="15">
        <f>净值原始!F7097</f>
        <v>1.4387</v>
      </c>
      <c r="J769" s="11">
        <f t="shared" si="33"/>
        <v>0.00229901072871685</v>
      </c>
      <c r="K769" s="9">
        <f>IF(COUNT(F769:I769)&lt;&gt;4,0,IF(AND(G769&gt;F769,H769&gt;0,I769&gt;0,L769&lt;='Sheet1-指标体系'!$J$31,M769&lt;='Sheet1-指标体系'!$J$31),1,0))</f>
        <v>1</v>
      </c>
      <c r="L769" s="9">
        <f t="shared" si="34"/>
        <v>2</v>
      </c>
      <c r="M769" s="9">
        <f t="shared" si="35"/>
        <v>0</v>
      </c>
    </row>
    <row r="770" ht="25" customHeight="1" spans="1:13">
      <c r="A770" s="9" t="s">
        <v>231</v>
      </c>
      <c r="B770" s="9" t="s">
        <v>229</v>
      </c>
      <c r="C770" s="9" t="s">
        <v>1056</v>
      </c>
      <c r="D770" s="10">
        <v>46022</v>
      </c>
      <c r="E770" s="10">
        <v>46053</v>
      </c>
      <c r="F770" s="10">
        <f>净值原始!C7097</f>
        <v>46022</v>
      </c>
      <c r="G770" s="10">
        <f>净值原始!C7101</f>
        <v>46052</v>
      </c>
      <c r="H770" s="15">
        <f>净值原始!F7097</f>
        <v>1.4387</v>
      </c>
      <c r="I770" s="15">
        <f>净值原始!F7101</f>
        <v>1.4659</v>
      </c>
      <c r="J770" s="11">
        <f t="shared" ref="J770:J833" si="36">IF(K770=1,I770/H770-1,"")</f>
        <v>0.0189059567665253</v>
      </c>
      <c r="K770" s="9">
        <f>IF(COUNT(F770:I770)&lt;&gt;4,0,IF(AND(G770&gt;F770,H770&gt;0,I770&gt;0,L770&lt;='Sheet1-指标体系'!$J$31,M770&lt;='Sheet1-指标体系'!$J$31),1,0))</f>
        <v>1</v>
      </c>
      <c r="L770" s="9">
        <f t="shared" ref="L770:L833" si="37">IF(ISNUMBER(F770),D770-F770,"")</f>
        <v>0</v>
      </c>
      <c r="M770" s="9">
        <f t="shared" ref="M770:M833" si="38">IF(ISNUMBER(G770),E770-G770,"")</f>
        <v>1</v>
      </c>
    </row>
    <row r="771" ht="25" customHeight="1" spans="1:13">
      <c r="A771" s="9" t="s">
        <v>231</v>
      </c>
      <c r="B771" s="9" t="s">
        <v>229</v>
      </c>
      <c r="C771" s="9" t="s">
        <v>1057</v>
      </c>
      <c r="D771" s="10">
        <v>46053</v>
      </c>
      <c r="E771" s="10">
        <v>46081</v>
      </c>
      <c r="F771" s="10">
        <f>净值原始!C7101</f>
        <v>46052</v>
      </c>
      <c r="G771" s="10">
        <f>净值原始!C7104</f>
        <v>46080</v>
      </c>
      <c r="H771" s="15">
        <f>净值原始!F7101</f>
        <v>1.4659</v>
      </c>
      <c r="I771" s="15">
        <f>净值原始!F7104</f>
        <v>1.4731</v>
      </c>
      <c r="J771" s="11">
        <f t="shared" si="36"/>
        <v>0.00491165836687357</v>
      </c>
      <c r="K771" s="9">
        <f>IF(COUNT(F771:I771)&lt;&gt;4,0,IF(AND(G771&gt;F771,H771&gt;0,I771&gt;0,L771&lt;='Sheet1-指标体系'!$J$31,M771&lt;='Sheet1-指标体系'!$J$31),1,0))</f>
        <v>1</v>
      </c>
      <c r="L771" s="9">
        <f t="shared" si="37"/>
        <v>1</v>
      </c>
      <c r="M771" s="9">
        <f t="shared" si="38"/>
        <v>1</v>
      </c>
    </row>
    <row r="772" ht="25" customHeight="1" spans="1:13">
      <c r="A772" s="9" t="s">
        <v>231</v>
      </c>
      <c r="B772" s="9" t="s">
        <v>229</v>
      </c>
      <c r="C772" s="9" t="s">
        <v>1058</v>
      </c>
      <c r="D772" s="10">
        <v>46081</v>
      </c>
      <c r="E772" s="10">
        <v>46112</v>
      </c>
      <c r="F772" s="10">
        <f>净值原始!C7104</f>
        <v>46080</v>
      </c>
      <c r="G772" s="10">
        <f>净值原始!C7108</f>
        <v>46108</v>
      </c>
      <c r="H772" s="15">
        <f>净值原始!F7104</f>
        <v>1.4731</v>
      </c>
      <c r="I772" s="15">
        <f>净值原始!F7108</f>
        <v>1.5094</v>
      </c>
      <c r="J772" s="11">
        <f t="shared" si="36"/>
        <v>0.0246419116149617</v>
      </c>
      <c r="K772" s="9">
        <f>IF(COUNT(F772:I772)&lt;&gt;4,0,IF(AND(G772&gt;F772,H772&gt;0,I772&gt;0,L772&lt;='Sheet1-指标体系'!$J$31,M772&lt;='Sheet1-指标体系'!$J$31),1,0))</f>
        <v>1</v>
      </c>
      <c r="L772" s="9">
        <f t="shared" si="37"/>
        <v>1</v>
      </c>
      <c r="M772" s="9">
        <f t="shared" si="38"/>
        <v>4</v>
      </c>
    </row>
    <row r="773" ht="25" customHeight="1" spans="1:13">
      <c r="A773" s="9" t="s">
        <v>231</v>
      </c>
      <c r="B773" s="9" t="s">
        <v>229</v>
      </c>
      <c r="C773" s="9" t="s">
        <v>1059</v>
      </c>
      <c r="D773" s="10">
        <v>46112</v>
      </c>
      <c r="E773" s="10">
        <v>46142</v>
      </c>
      <c r="F773" s="10">
        <f>净值原始!C7108</f>
        <v>46108</v>
      </c>
      <c r="G773" s="10">
        <f>净值原始!C7113</f>
        <v>46142</v>
      </c>
      <c r="H773" s="15">
        <f>净值原始!F7108</f>
        <v>1.5094</v>
      </c>
      <c r="I773" s="15">
        <f>净值原始!F7113</f>
        <v>1.5259</v>
      </c>
      <c r="J773" s="11">
        <f t="shared" si="36"/>
        <v>0.0109314959586591</v>
      </c>
      <c r="K773" s="9">
        <f>IF(COUNT(F773:I773)&lt;&gt;4,0,IF(AND(G773&gt;F773,H773&gt;0,I773&gt;0,L773&lt;='Sheet1-指标体系'!$J$31,M773&lt;='Sheet1-指标体系'!$J$31),1,0))</f>
        <v>1</v>
      </c>
      <c r="L773" s="9">
        <f t="shared" si="37"/>
        <v>4</v>
      </c>
      <c r="M773" s="9">
        <f t="shared" si="38"/>
        <v>0</v>
      </c>
    </row>
    <row r="774" ht="25" customHeight="1" spans="1:13">
      <c r="A774" s="9" t="s">
        <v>231</v>
      </c>
      <c r="B774" s="9" t="s">
        <v>229</v>
      </c>
      <c r="C774" s="9" t="s">
        <v>1060</v>
      </c>
      <c r="D774" s="10">
        <v>46142</v>
      </c>
      <c r="E774" s="10">
        <v>46173</v>
      </c>
      <c r="F774" s="10">
        <f>净值原始!C7113</f>
        <v>46142</v>
      </c>
      <c r="G774" s="10">
        <f>净值原始!C7117</f>
        <v>46171</v>
      </c>
      <c r="H774" s="15">
        <f>净值原始!F7113</f>
        <v>1.5259</v>
      </c>
      <c r="I774" s="15">
        <f>净值原始!F7117</f>
        <v>1.5324</v>
      </c>
      <c r="J774" s="11">
        <f t="shared" si="36"/>
        <v>0.0042597811127858</v>
      </c>
      <c r="K774" s="9">
        <f>IF(COUNT(F774:I774)&lt;&gt;4,0,IF(AND(G774&gt;F774,H774&gt;0,I774&gt;0,L774&lt;='Sheet1-指标体系'!$J$31,M774&lt;='Sheet1-指标体系'!$J$31),1,0))</f>
        <v>1</v>
      </c>
      <c r="L774" s="9">
        <f t="shared" si="37"/>
        <v>0</v>
      </c>
      <c r="M774" s="9">
        <f t="shared" si="38"/>
        <v>2</v>
      </c>
    </row>
    <row r="775" ht="25" customHeight="1" spans="1:13">
      <c r="A775" s="9" t="s">
        <v>231</v>
      </c>
      <c r="B775" s="9" t="s">
        <v>229</v>
      </c>
      <c r="C775" s="9" t="s">
        <v>1061</v>
      </c>
      <c r="D775" s="10">
        <v>46173</v>
      </c>
      <c r="E775" s="10">
        <v>46203</v>
      </c>
      <c r="F775" s="10">
        <f>净值原始!C7117</f>
        <v>46171</v>
      </c>
      <c r="G775" s="10">
        <f>净值原始!C7121</f>
        <v>46199</v>
      </c>
      <c r="H775" s="15">
        <f>净值原始!F7117</f>
        <v>1.5324</v>
      </c>
      <c r="I775" s="15">
        <f>净值原始!F7121</f>
        <v>1.5475</v>
      </c>
      <c r="J775" s="11">
        <f t="shared" si="36"/>
        <v>0.00985382406682334</v>
      </c>
      <c r="K775" s="9">
        <f>IF(COUNT(F775:I775)&lt;&gt;4,0,IF(AND(G775&gt;F775,H775&gt;0,I775&gt;0,L775&lt;='Sheet1-指标体系'!$J$31,M775&lt;='Sheet1-指标体系'!$J$31),1,0))</f>
        <v>1</v>
      </c>
      <c r="L775" s="9">
        <f t="shared" si="37"/>
        <v>2</v>
      </c>
      <c r="M775" s="9">
        <f t="shared" si="38"/>
        <v>4</v>
      </c>
    </row>
    <row r="776" ht="25" customHeight="1" spans="1:13">
      <c r="A776" s="9" t="s">
        <v>231</v>
      </c>
      <c r="B776" s="9" t="s">
        <v>229</v>
      </c>
      <c r="C776" s="9" t="s">
        <v>1062</v>
      </c>
      <c r="D776" s="10">
        <v>46203</v>
      </c>
      <c r="E776" s="10">
        <v>46234</v>
      </c>
      <c r="F776" s="10">
        <f>净值原始!C7121</f>
        <v>46199</v>
      </c>
      <c r="G776" s="10">
        <f>净值原始!C7130</f>
        <v>46234</v>
      </c>
      <c r="H776" s="15">
        <f>净值原始!F7121</f>
        <v>1.5475</v>
      </c>
      <c r="I776" s="15">
        <f>净值原始!F7130</f>
        <v>1.5688</v>
      </c>
      <c r="J776" s="11">
        <f t="shared" si="36"/>
        <v>0.0137641357027463</v>
      </c>
      <c r="K776" s="9">
        <f>IF(COUNT(F776:I776)&lt;&gt;4,0,IF(AND(G776&gt;F776,H776&gt;0,I776&gt;0,L776&lt;='Sheet1-指标体系'!$J$31,M776&lt;='Sheet1-指标体系'!$J$31),1,0))</f>
        <v>1</v>
      </c>
      <c r="L776" s="9">
        <f t="shared" si="37"/>
        <v>4</v>
      </c>
      <c r="M776" s="9">
        <f t="shared" si="38"/>
        <v>0</v>
      </c>
    </row>
    <row r="777" ht="25" customHeight="1" spans="1:13">
      <c r="A777" s="9" t="s">
        <v>231</v>
      </c>
      <c r="B777" s="9" t="s">
        <v>229</v>
      </c>
      <c r="C777" s="9" t="s">
        <v>1063</v>
      </c>
      <c r="D777" s="10">
        <v>46234</v>
      </c>
      <c r="E777" s="10">
        <v>46265</v>
      </c>
      <c r="F777" s="10">
        <f>净值原始!C7130</f>
        <v>46234</v>
      </c>
      <c r="G777" s="10">
        <f>净值原始!C7143</f>
        <v>46265</v>
      </c>
      <c r="H777" s="15">
        <f>净值原始!F7130</f>
        <v>1.5688</v>
      </c>
      <c r="I777" s="15">
        <f>净值原始!F7143</f>
        <v>1.5806</v>
      </c>
      <c r="J777" s="11">
        <f t="shared" si="36"/>
        <v>0.00752167261601233</v>
      </c>
      <c r="K777" s="9">
        <f>IF(COUNT(F777:I777)&lt;&gt;4,0,IF(AND(G777&gt;F777,H777&gt;0,I777&gt;0,L777&lt;='Sheet1-指标体系'!$J$31,M777&lt;='Sheet1-指标体系'!$J$31),1,0))</f>
        <v>1</v>
      </c>
      <c r="L777" s="9">
        <f t="shared" si="37"/>
        <v>0</v>
      </c>
      <c r="M777" s="9">
        <f t="shared" si="38"/>
        <v>0</v>
      </c>
    </row>
    <row r="778" ht="25" customHeight="1" spans="1:13">
      <c r="A778" s="9" t="s">
        <v>231</v>
      </c>
      <c r="B778" s="9" t="s">
        <v>229</v>
      </c>
      <c r="C778" s="9" t="s">
        <v>1064</v>
      </c>
      <c r="D778" s="10">
        <v>46265</v>
      </c>
      <c r="E778" s="10">
        <v>46269</v>
      </c>
      <c r="F778" s="10">
        <f>净值原始!C7143</f>
        <v>46265</v>
      </c>
      <c r="G778" s="10">
        <f>净值原始!C7143</f>
        <v>46265</v>
      </c>
      <c r="H778" s="15">
        <f>净值原始!F7143</f>
        <v>1.5806</v>
      </c>
      <c r="I778" s="15">
        <f>净值原始!F7143</f>
        <v>1.5806</v>
      </c>
      <c r="J778" s="11" t="str">
        <f t="shared" si="36"/>
        <v/>
      </c>
      <c r="K778" s="9">
        <f>IF(COUNT(F778:I778)&lt;&gt;4,0,IF(AND(G778&gt;F778,H778&gt;0,I778&gt;0,L778&lt;='Sheet1-指标体系'!$J$31,M778&lt;='Sheet1-指标体系'!$J$31),1,0))</f>
        <v>0</v>
      </c>
      <c r="L778" s="9">
        <f t="shared" si="37"/>
        <v>0</v>
      </c>
      <c r="M778" s="9">
        <f t="shared" si="38"/>
        <v>4</v>
      </c>
    </row>
    <row r="779" ht="25" customHeight="1" spans="1:13">
      <c r="A779" s="9" t="s">
        <v>343</v>
      </c>
      <c r="B779" s="9" t="s">
        <v>342</v>
      </c>
      <c r="C779" s="9" t="s">
        <v>1028</v>
      </c>
      <c r="D779" s="10">
        <v>45169</v>
      </c>
      <c r="E779" s="10">
        <v>45199</v>
      </c>
      <c r="F779" s="10"/>
      <c r="G779" s="10"/>
      <c r="H779" s="15"/>
      <c r="I779" s="15"/>
      <c r="J779" s="11" t="str">
        <f t="shared" si="36"/>
        <v/>
      </c>
      <c r="K779" s="9">
        <f>IF(COUNT(F779:I779)&lt;&gt;4,0,IF(AND(G779&gt;F779,H779&gt;0,I779&gt;0,L779&lt;='Sheet1-指标体系'!$J$31,M779&lt;='Sheet1-指标体系'!$J$31),1,0))</f>
        <v>0</v>
      </c>
      <c r="L779" s="9" t="str">
        <f t="shared" si="37"/>
        <v/>
      </c>
      <c r="M779" s="9" t="str">
        <f t="shared" si="38"/>
        <v/>
      </c>
    </row>
    <row r="780" ht="25" customHeight="1" spans="1:13">
      <c r="A780" s="9" t="s">
        <v>343</v>
      </c>
      <c r="B780" s="9" t="s">
        <v>342</v>
      </c>
      <c r="C780" s="9" t="s">
        <v>1029</v>
      </c>
      <c r="D780" s="10">
        <v>45199</v>
      </c>
      <c r="E780" s="10">
        <v>45230</v>
      </c>
      <c r="F780" s="10"/>
      <c r="G780" s="10"/>
      <c r="H780" s="15"/>
      <c r="I780" s="15"/>
      <c r="J780" s="11" t="str">
        <f t="shared" si="36"/>
        <v/>
      </c>
      <c r="K780" s="9">
        <f>IF(COUNT(F780:I780)&lt;&gt;4,0,IF(AND(G780&gt;F780,H780&gt;0,I780&gt;0,L780&lt;='Sheet1-指标体系'!$J$31,M780&lt;='Sheet1-指标体系'!$J$31),1,0))</f>
        <v>0</v>
      </c>
      <c r="L780" s="9" t="str">
        <f t="shared" si="37"/>
        <v/>
      </c>
      <c r="M780" s="9" t="str">
        <f t="shared" si="38"/>
        <v/>
      </c>
    </row>
    <row r="781" ht="25" customHeight="1" spans="1:13">
      <c r="A781" s="9" t="s">
        <v>343</v>
      </c>
      <c r="B781" s="9" t="s">
        <v>342</v>
      </c>
      <c r="C781" s="9" t="s">
        <v>1030</v>
      </c>
      <c r="D781" s="10">
        <v>45230</v>
      </c>
      <c r="E781" s="10">
        <v>45260</v>
      </c>
      <c r="F781" s="10"/>
      <c r="G781" s="10"/>
      <c r="H781" s="15"/>
      <c r="I781" s="15"/>
      <c r="J781" s="11" t="str">
        <f t="shared" si="36"/>
        <v/>
      </c>
      <c r="K781" s="9">
        <f>IF(COUNT(F781:I781)&lt;&gt;4,0,IF(AND(G781&gt;F781,H781&gt;0,I781&gt;0,L781&lt;='Sheet1-指标体系'!$J$31,M781&lt;='Sheet1-指标体系'!$J$31),1,0))</f>
        <v>0</v>
      </c>
      <c r="L781" s="9" t="str">
        <f t="shared" si="37"/>
        <v/>
      </c>
      <c r="M781" s="9" t="str">
        <f t="shared" si="38"/>
        <v/>
      </c>
    </row>
    <row r="782" ht="25" customHeight="1" spans="1:13">
      <c r="A782" s="9" t="s">
        <v>343</v>
      </c>
      <c r="B782" s="9" t="s">
        <v>342</v>
      </c>
      <c r="C782" s="9" t="s">
        <v>1031</v>
      </c>
      <c r="D782" s="10">
        <v>45260</v>
      </c>
      <c r="E782" s="10">
        <v>45291</v>
      </c>
      <c r="F782" s="10"/>
      <c r="G782" s="10"/>
      <c r="H782" s="15"/>
      <c r="I782" s="15"/>
      <c r="J782" s="11" t="str">
        <f t="shared" si="36"/>
        <v/>
      </c>
      <c r="K782" s="9">
        <f>IF(COUNT(F782:I782)&lt;&gt;4,0,IF(AND(G782&gt;F782,H782&gt;0,I782&gt;0,L782&lt;='Sheet1-指标体系'!$J$31,M782&lt;='Sheet1-指标体系'!$J$31),1,0))</f>
        <v>0</v>
      </c>
      <c r="L782" s="9" t="str">
        <f t="shared" si="37"/>
        <v/>
      </c>
      <c r="M782" s="9" t="str">
        <f t="shared" si="38"/>
        <v/>
      </c>
    </row>
    <row r="783" ht="25" customHeight="1" spans="1:13">
      <c r="A783" s="9" t="s">
        <v>343</v>
      </c>
      <c r="B783" s="9" t="s">
        <v>342</v>
      </c>
      <c r="C783" s="9" t="s">
        <v>1032</v>
      </c>
      <c r="D783" s="10">
        <v>45291</v>
      </c>
      <c r="E783" s="10">
        <v>45322</v>
      </c>
      <c r="F783" s="10"/>
      <c r="G783" s="10"/>
      <c r="H783" s="15"/>
      <c r="I783" s="15"/>
      <c r="J783" s="11" t="str">
        <f t="shared" si="36"/>
        <v/>
      </c>
      <c r="K783" s="9">
        <f>IF(COUNT(F783:I783)&lt;&gt;4,0,IF(AND(G783&gt;F783,H783&gt;0,I783&gt;0,L783&lt;='Sheet1-指标体系'!$J$31,M783&lt;='Sheet1-指标体系'!$J$31),1,0))</f>
        <v>0</v>
      </c>
      <c r="L783" s="9" t="str">
        <f t="shared" si="37"/>
        <v/>
      </c>
      <c r="M783" s="9" t="str">
        <f t="shared" si="38"/>
        <v/>
      </c>
    </row>
    <row r="784" ht="25" customHeight="1" spans="1:13">
      <c r="A784" s="9" t="s">
        <v>343</v>
      </c>
      <c r="B784" s="9" t="s">
        <v>342</v>
      </c>
      <c r="C784" s="9" t="s">
        <v>1033</v>
      </c>
      <c r="D784" s="10">
        <v>45322</v>
      </c>
      <c r="E784" s="10">
        <v>45351</v>
      </c>
      <c r="F784" s="10"/>
      <c r="G784" s="10"/>
      <c r="H784" s="15"/>
      <c r="I784" s="15"/>
      <c r="J784" s="11" t="str">
        <f t="shared" si="36"/>
        <v/>
      </c>
      <c r="K784" s="9">
        <f>IF(COUNT(F784:I784)&lt;&gt;4,0,IF(AND(G784&gt;F784,H784&gt;0,I784&gt;0,L784&lt;='Sheet1-指标体系'!$J$31,M784&lt;='Sheet1-指标体系'!$J$31),1,0))</f>
        <v>0</v>
      </c>
      <c r="L784" s="9" t="str">
        <f t="shared" si="37"/>
        <v/>
      </c>
      <c r="M784" s="9" t="str">
        <f t="shared" si="38"/>
        <v/>
      </c>
    </row>
    <row r="785" ht="25" customHeight="1" spans="1:13">
      <c r="A785" s="9" t="s">
        <v>343</v>
      </c>
      <c r="B785" s="9" t="s">
        <v>342</v>
      </c>
      <c r="C785" s="9" t="s">
        <v>1034</v>
      </c>
      <c r="D785" s="10">
        <v>45351</v>
      </c>
      <c r="E785" s="10">
        <v>45382</v>
      </c>
      <c r="F785" s="10"/>
      <c r="G785" s="10"/>
      <c r="H785" s="15"/>
      <c r="I785" s="15"/>
      <c r="J785" s="11" t="str">
        <f t="shared" si="36"/>
        <v/>
      </c>
      <c r="K785" s="9">
        <f>IF(COUNT(F785:I785)&lt;&gt;4,0,IF(AND(G785&gt;F785,H785&gt;0,I785&gt;0,L785&lt;='Sheet1-指标体系'!$J$31,M785&lt;='Sheet1-指标体系'!$J$31),1,0))</f>
        <v>0</v>
      </c>
      <c r="L785" s="9" t="str">
        <f t="shared" si="37"/>
        <v/>
      </c>
      <c r="M785" s="9" t="str">
        <f t="shared" si="38"/>
        <v/>
      </c>
    </row>
    <row r="786" ht="25" customHeight="1" spans="1:13">
      <c r="A786" s="9" t="s">
        <v>343</v>
      </c>
      <c r="B786" s="9" t="s">
        <v>342</v>
      </c>
      <c r="C786" s="9" t="s">
        <v>1035</v>
      </c>
      <c r="D786" s="10">
        <v>45382</v>
      </c>
      <c r="E786" s="10">
        <v>45412</v>
      </c>
      <c r="F786" s="10"/>
      <c r="G786" s="10"/>
      <c r="H786" s="15"/>
      <c r="I786" s="15"/>
      <c r="J786" s="11" t="str">
        <f t="shared" si="36"/>
        <v/>
      </c>
      <c r="K786" s="9">
        <f>IF(COUNT(F786:I786)&lt;&gt;4,0,IF(AND(G786&gt;F786,H786&gt;0,I786&gt;0,L786&lt;='Sheet1-指标体系'!$J$31,M786&lt;='Sheet1-指标体系'!$J$31),1,0))</f>
        <v>0</v>
      </c>
      <c r="L786" s="9" t="str">
        <f t="shared" si="37"/>
        <v/>
      </c>
      <c r="M786" s="9" t="str">
        <f t="shared" si="38"/>
        <v/>
      </c>
    </row>
    <row r="787" ht="25" customHeight="1" spans="1:13">
      <c r="A787" s="9" t="s">
        <v>343</v>
      </c>
      <c r="B787" s="9" t="s">
        <v>342</v>
      </c>
      <c r="C787" s="9" t="s">
        <v>1036</v>
      </c>
      <c r="D787" s="10">
        <v>45412</v>
      </c>
      <c r="E787" s="10">
        <v>45443</v>
      </c>
      <c r="F787" s="10"/>
      <c r="G787" s="10"/>
      <c r="H787" s="15"/>
      <c r="I787" s="15"/>
      <c r="J787" s="11" t="str">
        <f t="shared" si="36"/>
        <v/>
      </c>
      <c r="K787" s="9">
        <f>IF(COUNT(F787:I787)&lt;&gt;4,0,IF(AND(G787&gt;F787,H787&gt;0,I787&gt;0,L787&lt;='Sheet1-指标体系'!$J$31,M787&lt;='Sheet1-指标体系'!$J$31),1,0))</f>
        <v>0</v>
      </c>
      <c r="L787" s="9" t="str">
        <f t="shared" si="37"/>
        <v/>
      </c>
      <c r="M787" s="9" t="str">
        <f t="shared" si="38"/>
        <v/>
      </c>
    </row>
    <row r="788" ht="25" customHeight="1" spans="1:13">
      <c r="A788" s="9" t="s">
        <v>343</v>
      </c>
      <c r="B788" s="9" t="s">
        <v>342</v>
      </c>
      <c r="C788" s="9" t="s">
        <v>1037</v>
      </c>
      <c r="D788" s="10">
        <v>45443</v>
      </c>
      <c r="E788" s="10">
        <v>45473</v>
      </c>
      <c r="F788" s="10"/>
      <c r="G788" s="10"/>
      <c r="H788" s="15"/>
      <c r="I788" s="15"/>
      <c r="J788" s="11" t="str">
        <f t="shared" si="36"/>
        <v/>
      </c>
      <c r="K788" s="9">
        <f>IF(COUNT(F788:I788)&lt;&gt;4,0,IF(AND(G788&gt;F788,H788&gt;0,I788&gt;0,L788&lt;='Sheet1-指标体系'!$J$31,M788&lt;='Sheet1-指标体系'!$J$31),1,0))</f>
        <v>0</v>
      </c>
      <c r="L788" s="9" t="str">
        <f t="shared" si="37"/>
        <v/>
      </c>
      <c r="M788" s="9" t="str">
        <f t="shared" si="38"/>
        <v/>
      </c>
    </row>
    <row r="789" ht="25" customHeight="1" spans="1:13">
      <c r="A789" s="9" t="s">
        <v>343</v>
      </c>
      <c r="B789" s="9" t="s">
        <v>342</v>
      </c>
      <c r="C789" s="9" t="s">
        <v>1038</v>
      </c>
      <c r="D789" s="10">
        <v>45473</v>
      </c>
      <c r="E789" s="10">
        <v>45504</v>
      </c>
      <c r="F789" s="10"/>
      <c r="G789" s="10"/>
      <c r="H789" s="15"/>
      <c r="I789" s="15"/>
      <c r="J789" s="11" t="str">
        <f t="shared" si="36"/>
        <v/>
      </c>
      <c r="K789" s="9">
        <f>IF(COUNT(F789:I789)&lt;&gt;4,0,IF(AND(G789&gt;F789,H789&gt;0,I789&gt;0,L789&lt;='Sheet1-指标体系'!$J$31,M789&lt;='Sheet1-指标体系'!$J$31),1,0))</f>
        <v>0</v>
      </c>
      <c r="L789" s="9" t="str">
        <f t="shared" si="37"/>
        <v/>
      </c>
      <c r="M789" s="9" t="str">
        <f t="shared" si="38"/>
        <v/>
      </c>
    </row>
    <row r="790" ht="25" customHeight="1" spans="1:13">
      <c r="A790" s="9" t="s">
        <v>343</v>
      </c>
      <c r="B790" s="9" t="s">
        <v>342</v>
      </c>
      <c r="C790" s="9" t="s">
        <v>1039</v>
      </c>
      <c r="D790" s="10">
        <v>45504</v>
      </c>
      <c r="E790" s="10">
        <v>45535</v>
      </c>
      <c r="F790" s="10"/>
      <c r="G790" s="10"/>
      <c r="H790" s="15"/>
      <c r="I790" s="15"/>
      <c r="J790" s="11" t="str">
        <f t="shared" si="36"/>
        <v/>
      </c>
      <c r="K790" s="9">
        <f>IF(COUNT(F790:I790)&lt;&gt;4,0,IF(AND(G790&gt;F790,H790&gt;0,I790&gt;0,L790&lt;='Sheet1-指标体系'!$J$31,M790&lt;='Sheet1-指标体系'!$J$31),1,0))</f>
        <v>0</v>
      </c>
      <c r="L790" s="9" t="str">
        <f t="shared" si="37"/>
        <v/>
      </c>
      <c r="M790" s="9" t="str">
        <f t="shared" si="38"/>
        <v/>
      </c>
    </row>
    <row r="791" ht="25" customHeight="1" spans="1:13">
      <c r="A791" s="9" t="s">
        <v>343</v>
      </c>
      <c r="B791" s="9" t="s">
        <v>342</v>
      </c>
      <c r="C791" s="9" t="s">
        <v>1040</v>
      </c>
      <c r="D791" s="10">
        <v>45535</v>
      </c>
      <c r="E791" s="10">
        <v>45565</v>
      </c>
      <c r="F791" s="10"/>
      <c r="G791" s="10"/>
      <c r="H791" s="15"/>
      <c r="I791" s="15"/>
      <c r="J791" s="11" t="str">
        <f t="shared" si="36"/>
        <v/>
      </c>
      <c r="K791" s="9">
        <f>IF(COUNT(F791:I791)&lt;&gt;4,0,IF(AND(G791&gt;F791,H791&gt;0,I791&gt;0,L791&lt;='Sheet1-指标体系'!$J$31,M791&lt;='Sheet1-指标体系'!$J$31),1,0))</f>
        <v>0</v>
      </c>
      <c r="L791" s="9" t="str">
        <f t="shared" si="37"/>
        <v/>
      </c>
      <c r="M791" s="9" t="str">
        <f t="shared" si="38"/>
        <v/>
      </c>
    </row>
    <row r="792" ht="25" customHeight="1" spans="1:13">
      <c r="A792" s="9" t="s">
        <v>343</v>
      </c>
      <c r="B792" s="9" t="s">
        <v>342</v>
      </c>
      <c r="C792" s="9" t="s">
        <v>1041</v>
      </c>
      <c r="D792" s="10">
        <v>45565</v>
      </c>
      <c r="E792" s="10">
        <v>45596</v>
      </c>
      <c r="F792" s="10"/>
      <c r="G792" s="10"/>
      <c r="H792" s="15"/>
      <c r="I792" s="15"/>
      <c r="J792" s="11" t="str">
        <f t="shared" si="36"/>
        <v/>
      </c>
      <c r="K792" s="9">
        <f>IF(COUNT(F792:I792)&lt;&gt;4,0,IF(AND(G792&gt;F792,H792&gt;0,I792&gt;0,L792&lt;='Sheet1-指标体系'!$J$31,M792&lt;='Sheet1-指标体系'!$J$31),1,0))</f>
        <v>0</v>
      </c>
      <c r="L792" s="9" t="str">
        <f t="shared" si="37"/>
        <v/>
      </c>
      <c r="M792" s="9" t="str">
        <f t="shared" si="38"/>
        <v/>
      </c>
    </row>
    <row r="793" ht="25" customHeight="1" spans="1:13">
      <c r="A793" s="9" t="s">
        <v>343</v>
      </c>
      <c r="B793" s="9" t="s">
        <v>342</v>
      </c>
      <c r="C793" s="9" t="s">
        <v>1042</v>
      </c>
      <c r="D793" s="10">
        <v>45596</v>
      </c>
      <c r="E793" s="10">
        <v>45626</v>
      </c>
      <c r="F793" s="10"/>
      <c r="G793" s="10"/>
      <c r="H793" s="15"/>
      <c r="I793" s="15"/>
      <c r="J793" s="11" t="str">
        <f t="shared" si="36"/>
        <v/>
      </c>
      <c r="K793" s="9">
        <f>IF(COUNT(F793:I793)&lt;&gt;4,0,IF(AND(G793&gt;F793,H793&gt;0,I793&gt;0,L793&lt;='Sheet1-指标体系'!$J$31,M793&lt;='Sheet1-指标体系'!$J$31),1,0))</f>
        <v>0</v>
      </c>
      <c r="L793" s="9" t="str">
        <f t="shared" si="37"/>
        <v/>
      </c>
      <c r="M793" s="9" t="str">
        <f t="shared" si="38"/>
        <v/>
      </c>
    </row>
    <row r="794" ht="25" customHeight="1" spans="1:13">
      <c r="A794" s="9" t="s">
        <v>343</v>
      </c>
      <c r="B794" s="9" t="s">
        <v>342</v>
      </c>
      <c r="C794" s="9" t="s">
        <v>1043</v>
      </c>
      <c r="D794" s="10">
        <v>45626</v>
      </c>
      <c r="E794" s="10">
        <v>45657</v>
      </c>
      <c r="F794" s="10"/>
      <c r="G794" s="10"/>
      <c r="H794" s="15"/>
      <c r="I794" s="15"/>
      <c r="J794" s="11" t="str">
        <f t="shared" si="36"/>
        <v/>
      </c>
      <c r="K794" s="9">
        <f>IF(COUNT(F794:I794)&lt;&gt;4,0,IF(AND(G794&gt;F794,H794&gt;0,I794&gt;0,L794&lt;='Sheet1-指标体系'!$J$31,M794&lt;='Sheet1-指标体系'!$J$31),1,0))</f>
        <v>0</v>
      </c>
      <c r="L794" s="9" t="str">
        <f t="shared" si="37"/>
        <v/>
      </c>
      <c r="M794" s="9" t="str">
        <f t="shared" si="38"/>
        <v/>
      </c>
    </row>
    <row r="795" ht="25" customHeight="1" spans="1:13">
      <c r="A795" s="9" t="s">
        <v>343</v>
      </c>
      <c r="B795" s="9" t="s">
        <v>342</v>
      </c>
      <c r="C795" s="9" t="s">
        <v>1044</v>
      </c>
      <c r="D795" s="10">
        <v>45657</v>
      </c>
      <c r="E795" s="10">
        <v>45688</v>
      </c>
      <c r="F795" s="10"/>
      <c r="G795" s="10"/>
      <c r="H795" s="15"/>
      <c r="I795" s="15"/>
      <c r="J795" s="11" t="str">
        <f t="shared" si="36"/>
        <v/>
      </c>
      <c r="K795" s="9">
        <f>IF(COUNT(F795:I795)&lt;&gt;4,0,IF(AND(G795&gt;F795,H795&gt;0,I795&gt;0,L795&lt;='Sheet1-指标体系'!$J$31,M795&lt;='Sheet1-指标体系'!$J$31),1,0))</f>
        <v>0</v>
      </c>
      <c r="L795" s="9" t="str">
        <f t="shared" si="37"/>
        <v/>
      </c>
      <c r="M795" s="9" t="str">
        <f t="shared" si="38"/>
        <v/>
      </c>
    </row>
    <row r="796" ht="25" customHeight="1" spans="1:13">
      <c r="A796" s="9" t="s">
        <v>343</v>
      </c>
      <c r="B796" s="9" t="s">
        <v>342</v>
      </c>
      <c r="C796" s="9" t="s">
        <v>1045</v>
      </c>
      <c r="D796" s="10">
        <v>45688</v>
      </c>
      <c r="E796" s="10">
        <v>45716</v>
      </c>
      <c r="F796" s="10"/>
      <c r="G796" s="10"/>
      <c r="H796" s="15"/>
      <c r="I796" s="15"/>
      <c r="J796" s="11" t="str">
        <f t="shared" si="36"/>
        <v/>
      </c>
      <c r="K796" s="9">
        <f>IF(COUNT(F796:I796)&lt;&gt;4,0,IF(AND(G796&gt;F796,H796&gt;0,I796&gt;0,L796&lt;='Sheet1-指标体系'!$J$31,M796&lt;='Sheet1-指标体系'!$J$31),1,0))</f>
        <v>0</v>
      </c>
      <c r="L796" s="9" t="str">
        <f t="shared" si="37"/>
        <v/>
      </c>
      <c r="M796" s="9" t="str">
        <f t="shared" si="38"/>
        <v/>
      </c>
    </row>
    <row r="797" ht="25" customHeight="1" spans="1:13">
      <c r="A797" s="9" t="s">
        <v>343</v>
      </c>
      <c r="B797" s="9" t="s">
        <v>342</v>
      </c>
      <c r="C797" s="9" t="s">
        <v>1046</v>
      </c>
      <c r="D797" s="10">
        <v>45716</v>
      </c>
      <c r="E797" s="10">
        <v>45747</v>
      </c>
      <c r="F797" s="10"/>
      <c r="G797" s="10"/>
      <c r="H797" s="15"/>
      <c r="I797" s="15"/>
      <c r="J797" s="11" t="str">
        <f t="shared" si="36"/>
        <v/>
      </c>
      <c r="K797" s="9">
        <f>IF(COUNT(F797:I797)&lt;&gt;4,0,IF(AND(G797&gt;F797,H797&gt;0,I797&gt;0,L797&lt;='Sheet1-指标体系'!$J$31,M797&lt;='Sheet1-指标体系'!$J$31),1,0))</f>
        <v>0</v>
      </c>
      <c r="L797" s="9" t="str">
        <f t="shared" si="37"/>
        <v/>
      </c>
      <c r="M797" s="9" t="str">
        <f t="shared" si="38"/>
        <v/>
      </c>
    </row>
    <row r="798" ht="25" customHeight="1" spans="1:13">
      <c r="A798" s="9" t="s">
        <v>343</v>
      </c>
      <c r="B798" s="9" t="s">
        <v>342</v>
      </c>
      <c r="C798" s="9" t="s">
        <v>1047</v>
      </c>
      <c r="D798" s="10">
        <v>45747</v>
      </c>
      <c r="E798" s="10">
        <v>45777</v>
      </c>
      <c r="F798" s="10"/>
      <c r="G798" s="10"/>
      <c r="H798" s="15"/>
      <c r="I798" s="15"/>
      <c r="J798" s="11" t="str">
        <f t="shared" si="36"/>
        <v/>
      </c>
      <c r="K798" s="9">
        <f>IF(COUNT(F798:I798)&lt;&gt;4,0,IF(AND(G798&gt;F798,H798&gt;0,I798&gt;0,L798&lt;='Sheet1-指标体系'!$J$31,M798&lt;='Sheet1-指标体系'!$J$31),1,0))</f>
        <v>0</v>
      </c>
      <c r="L798" s="9" t="str">
        <f t="shared" si="37"/>
        <v/>
      </c>
      <c r="M798" s="9" t="str">
        <f t="shared" si="38"/>
        <v/>
      </c>
    </row>
    <row r="799" ht="25" customHeight="1" spans="1:13">
      <c r="A799" s="9" t="s">
        <v>343</v>
      </c>
      <c r="B799" s="9" t="s">
        <v>342</v>
      </c>
      <c r="C799" s="9" t="s">
        <v>1048</v>
      </c>
      <c r="D799" s="10">
        <v>45777</v>
      </c>
      <c r="E799" s="10">
        <v>45808</v>
      </c>
      <c r="F799" s="10"/>
      <c r="G799" s="10"/>
      <c r="H799" s="15"/>
      <c r="I799" s="15"/>
      <c r="J799" s="11" t="str">
        <f t="shared" si="36"/>
        <v/>
      </c>
      <c r="K799" s="9">
        <f>IF(COUNT(F799:I799)&lt;&gt;4,0,IF(AND(G799&gt;F799,H799&gt;0,I799&gt;0,L799&lt;='Sheet1-指标体系'!$J$31,M799&lt;='Sheet1-指标体系'!$J$31),1,0))</f>
        <v>0</v>
      </c>
      <c r="L799" s="9" t="str">
        <f t="shared" si="37"/>
        <v/>
      </c>
      <c r="M799" s="9" t="str">
        <f t="shared" si="38"/>
        <v/>
      </c>
    </row>
    <row r="800" ht="25" customHeight="1" spans="1:13">
      <c r="A800" s="9" t="s">
        <v>343</v>
      </c>
      <c r="B800" s="9" t="s">
        <v>342</v>
      </c>
      <c r="C800" s="9" t="s">
        <v>1049</v>
      </c>
      <c r="D800" s="10">
        <v>45808</v>
      </c>
      <c r="E800" s="10">
        <v>45838</v>
      </c>
      <c r="F800" s="10"/>
      <c r="G800" s="10"/>
      <c r="H800" s="15"/>
      <c r="I800" s="15"/>
      <c r="J800" s="11" t="str">
        <f t="shared" si="36"/>
        <v/>
      </c>
      <c r="K800" s="9">
        <f>IF(COUNT(F800:I800)&lt;&gt;4,0,IF(AND(G800&gt;F800,H800&gt;0,I800&gt;0,L800&lt;='Sheet1-指标体系'!$J$31,M800&lt;='Sheet1-指标体系'!$J$31),1,0))</f>
        <v>0</v>
      </c>
      <c r="L800" s="9" t="str">
        <f t="shared" si="37"/>
        <v/>
      </c>
      <c r="M800" s="9" t="str">
        <f t="shared" si="38"/>
        <v/>
      </c>
    </row>
    <row r="801" ht="25" customHeight="1" spans="1:13">
      <c r="A801" s="9" t="s">
        <v>343</v>
      </c>
      <c r="B801" s="9" t="s">
        <v>342</v>
      </c>
      <c r="C801" s="9" t="s">
        <v>1050</v>
      </c>
      <c r="D801" s="10">
        <v>45838</v>
      </c>
      <c r="E801" s="10">
        <v>45869</v>
      </c>
      <c r="F801" s="10"/>
      <c r="G801" s="10"/>
      <c r="H801" s="15"/>
      <c r="I801" s="15"/>
      <c r="J801" s="11" t="str">
        <f t="shared" si="36"/>
        <v/>
      </c>
      <c r="K801" s="9">
        <f>IF(COUNT(F801:I801)&lt;&gt;4,0,IF(AND(G801&gt;F801,H801&gt;0,I801&gt;0,L801&lt;='Sheet1-指标体系'!$J$31,M801&lt;='Sheet1-指标体系'!$J$31),1,0))</f>
        <v>0</v>
      </c>
      <c r="L801" s="9" t="str">
        <f t="shared" si="37"/>
        <v/>
      </c>
      <c r="M801" s="9" t="str">
        <f t="shared" si="38"/>
        <v/>
      </c>
    </row>
    <row r="802" ht="25" customHeight="1" spans="1:13">
      <c r="A802" s="9" t="s">
        <v>343</v>
      </c>
      <c r="B802" s="9" t="s">
        <v>342</v>
      </c>
      <c r="C802" s="9" t="s">
        <v>1051</v>
      </c>
      <c r="D802" s="10">
        <v>45869</v>
      </c>
      <c r="E802" s="10">
        <v>45900</v>
      </c>
      <c r="F802" s="10"/>
      <c r="G802" s="10"/>
      <c r="H802" s="15"/>
      <c r="I802" s="15"/>
      <c r="J802" s="11" t="str">
        <f t="shared" si="36"/>
        <v/>
      </c>
      <c r="K802" s="9">
        <f>IF(COUNT(F802:I802)&lt;&gt;4,0,IF(AND(G802&gt;F802,H802&gt;0,I802&gt;0,L802&lt;='Sheet1-指标体系'!$J$31,M802&lt;='Sheet1-指标体系'!$J$31),1,0))</f>
        <v>0</v>
      </c>
      <c r="L802" s="9" t="str">
        <f t="shared" si="37"/>
        <v/>
      </c>
      <c r="M802" s="9" t="str">
        <f t="shared" si="38"/>
        <v/>
      </c>
    </row>
    <row r="803" ht="25" customHeight="1" spans="1:13">
      <c r="A803" s="9" t="s">
        <v>343</v>
      </c>
      <c r="B803" s="9" t="s">
        <v>342</v>
      </c>
      <c r="C803" s="9" t="s">
        <v>1052</v>
      </c>
      <c r="D803" s="10">
        <v>45900</v>
      </c>
      <c r="E803" s="10">
        <v>45930</v>
      </c>
      <c r="F803" s="10"/>
      <c r="G803" s="10"/>
      <c r="H803" s="15"/>
      <c r="I803" s="15"/>
      <c r="J803" s="11" t="str">
        <f t="shared" si="36"/>
        <v/>
      </c>
      <c r="K803" s="9">
        <f>IF(COUNT(F803:I803)&lt;&gt;4,0,IF(AND(G803&gt;F803,H803&gt;0,I803&gt;0,L803&lt;='Sheet1-指标体系'!$J$31,M803&lt;='Sheet1-指标体系'!$J$31),1,0))</f>
        <v>0</v>
      </c>
      <c r="L803" s="9" t="str">
        <f t="shared" si="37"/>
        <v/>
      </c>
      <c r="M803" s="9" t="str">
        <f t="shared" si="38"/>
        <v/>
      </c>
    </row>
    <row r="804" ht="25" customHeight="1" spans="1:13">
      <c r="A804" s="9" t="s">
        <v>343</v>
      </c>
      <c r="B804" s="9" t="s">
        <v>342</v>
      </c>
      <c r="C804" s="9" t="s">
        <v>1053</v>
      </c>
      <c r="D804" s="10">
        <v>45930</v>
      </c>
      <c r="E804" s="10">
        <v>45961</v>
      </c>
      <c r="F804" s="10"/>
      <c r="G804" s="10"/>
      <c r="H804" s="15"/>
      <c r="I804" s="15"/>
      <c r="J804" s="11" t="str">
        <f t="shared" si="36"/>
        <v/>
      </c>
      <c r="K804" s="9">
        <f>IF(COUNT(F804:I804)&lt;&gt;4,0,IF(AND(G804&gt;F804,H804&gt;0,I804&gt;0,L804&lt;='Sheet1-指标体系'!$J$31,M804&lt;='Sheet1-指标体系'!$J$31),1,0))</f>
        <v>0</v>
      </c>
      <c r="L804" s="9" t="str">
        <f t="shared" si="37"/>
        <v/>
      </c>
      <c r="M804" s="9" t="str">
        <f t="shared" si="38"/>
        <v/>
      </c>
    </row>
    <row r="805" ht="25" customHeight="1" spans="1:13">
      <c r="A805" s="9" t="s">
        <v>343</v>
      </c>
      <c r="B805" s="9" t="s">
        <v>342</v>
      </c>
      <c r="C805" s="9" t="s">
        <v>1054</v>
      </c>
      <c r="D805" s="10">
        <v>45961</v>
      </c>
      <c r="E805" s="10">
        <v>45991</v>
      </c>
      <c r="F805" s="10"/>
      <c r="G805" s="10"/>
      <c r="H805" s="15"/>
      <c r="I805" s="15"/>
      <c r="J805" s="11" t="str">
        <f t="shared" si="36"/>
        <v/>
      </c>
      <c r="K805" s="9">
        <f>IF(COUNT(F805:I805)&lt;&gt;4,0,IF(AND(G805&gt;F805,H805&gt;0,I805&gt;0,L805&lt;='Sheet1-指标体系'!$J$31,M805&lt;='Sheet1-指标体系'!$J$31),1,0))</f>
        <v>0</v>
      </c>
      <c r="L805" s="9" t="str">
        <f t="shared" si="37"/>
        <v/>
      </c>
      <c r="M805" s="9" t="str">
        <f t="shared" si="38"/>
        <v/>
      </c>
    </row>
    <row r="806" ht="25" customHeight="1" spans="1:13">
      <c r="A806" s="9" t="s">
        <v>343</v>
      </c>
      <c r="B806" s="9" t="s">
        <v>342</v>
      </c>
      <c r="C806" s="9" t="s">
        <v>1055</v>
      </c>
      <c r="D806" s="10">
        <v>45991</v>
      </c>
      <c r="E806" s="10">
        <v>46022</v>
      </c>
      <c r="F806" s="10"/>
      <c r="G806" s="10">
        <f>净值原始!C7144</f>
        <v>46022</v>
      </c>
      <c r="H806" s="15"/>
      <c r="I806" s="15">
        <f>净值原始!F7144</f>
        <v>1.28</v>
      </c>
      <c r="J806" s="11" t="str">
        <f t="shared" si="36"/>
        <v/>
      </c>
      <c r="K806" s="9">
        <f>IF(COUNT(F806:I806)&lt;&gt;4,0,IF(AND(G806&gt;F806,H806&gt;0,I806&gt;0,L806&lt;='Sheet1-指标体系'!$J$31,M806&lt;='Sheet1-指标体系'!$J$31),1,0))</f>
        <v>0</v>
      </c>
      <c r="L806" s="9" t="str">
        <f t="shared" si="37"/>
        <v/>
      </c>
      <c r="M806" s="9">
        <f t="shared" si="38"/>
        <v>0</v>
      </c>
    </row>
    <row r="807" ht="25" customHeight="1" spans="1:13">
      <c r="A807" s="9" t="s">
        <v>343</v>
      </c>
      <c r="B807" s="9" t="s">
        <v>342</v>
      </c>
      <c r="C807" s="9" t="s">
        <v>1056</v>
      </c>
      <c r="D807" s="10">
        <v>46022</v>
      </c>
      <c r="E807" s="10">
        <v>46053</v>
      </c>
      <c r="F807" s="10">
        <f>净值原始!C7144</f>
        <v>46022</v>
      </c>
      <c r="G807" s="10">
        <f>净值原始!C7164</f>
        <v>46052</v>
      </c>
      <c r="H807" s="15">
        <f>净值原始!F7144</f>
        <v>1.28</v>
      </c>
      <c r="I807" s="15">
        <f>净值原始!F7164</f>
        <v>1.264</v>
      </c>
      <c r="J807" s="11">
        <f t="shared" si="36"/>
        <v>-0.0125</v>
      </c>
      <c r="K807" s="9">
        <f>IF(COUNT(F807:I807)&lt;&gt;4,0,IF(AND(G807&gt;F807,H807&gt;0,I807&gt;0,L807&lt;='Sheet1-指标体系'!$J$31,M807&lt;='Sheet1-指标体系'!$J$31),1,0))</f>
        <v>1</v>
      </c>
      <c r="L807" s="9">
        <f t="shared" si="37"/>
        <v>0</v>
      </c>
      <c r="M807" s="9">
        <f t="shared" si="38"/>
        <v>1</v>
      </c>
    </row>
    <row r="808" ht="25" customHeight="1" spans="1:13">
      <c r="A808" s="9" t="s">
        <v>343</v>
      </c>
      <c r="B808" s="9" t="s">
        <v>342</v>
      </c>
      <c r="C808" s="9" t="s">
        <v>1057</v>
      </c>
      <c r="D808" s="10">
        <v>46053</v>
      </c>
      <c r="E808" s="10">
        <v>46081</v>
      </c>
      <c r="F808" s="10">
        <f>净值原始!C7164</f>
        <v>46052</v>
      </c>
      <c r="G808" s="10">
        <f>净值原始!C7178</f>
        <v>46080</v>
      </c>
      <c r="H808" s="15">
        <f>净值原始!F7164</f>
        <v>1.264</v>
      </c>
      <c r="I808" s="15">
        <f>净值原始!F7178</f>
        <v>1.289</v>
      </c>
      <c r="J808" s="11">
        <f t="shared" si="36"/>
        <v>0.0197784810126582</v>
      </c>
      <c r="K808" s="9">
        <f>IF(COUNT(F808:I808)&lt;&gt;4,0,IF(AND(G808&gt;F808,H808&gt;0,I808&gt;0,L808&lt;='Sheet1-指标体系'!$J$31,M808&lt;='Sheet1-指标体系'!$J$31),1,0))</f>
        <v>1</v>
      </c>
      <c r="L808" s="9">
        <f t="shared" si="37"/>
        <v>1</v>
      </c>
      <c r="M808" s="9">
        <f t="shared" si="38"/>
        <v>1</v>
      </c>
    </row>
    <row r="809" ht="25" customHeight="1" spans="1:13">
      <c r="A809" s="9" t="s">
        <v>343</v>
      </c>
      <c r="B809" s="9" t="s">
        <v>342</v>
      </c>
      <c r="C809" s="9" t="s">
        <v>1058</v>
      </c>
      <c r="D809" s="10">
        <v>46081</v>
      </c>
      <c r="E809" s="10">
        <v>46112</v>
      </c>
      <c r="F809" s="10">
        <f>净值原始!C7178</f>
        <v>46080</v>
      </c>
      <c r="G809" s="10">
        <f>净值原始!C7200</f>
        <v>46112</v>
      </c>
      <c r="H809" s="15">
        <f>净值原始!F7178</f>
        <v>1.289</v>
      </c>
      <c r="I809" s="15">
        <f>净值原始!F7200</f>
        <v>1.281</v>
      </c>
      <c r="J809" s="11">
        <f t="shared" si="36"/>
        <v>-0.00620636152055853</v>
      </c>
      <c r="K809" s="9">
        <f>IF(COUNT(F809:I809)&lt;&gt;4,0,IF(AND(G809&gt;F809,H809&gt;0,I809&gt;0,L809&lt;='Sheet1-指标体系'!$J$31,M809&lt;='Sheet1-指标体系'!$J$31),1,0))</f>
        <v>1</v>
      </c>
      <c r="L809" s="9">
        <f t="shared" si="37"/>
        <v>1</v>
      </c>
      <c r="M809" s="9">
        <f t="shared" si="38"/>
        <v>0</v>
      </c>
    </row>
    <row r="810" ht="25" customHeight="1" spans="1:13">
      <c r="A810" s="9" t="s">
        <v>343</v>
      </c>
      <c r="B810" s="9" t="s">
        <v>342</v>
      </c>
      <c r="C810" s="9" t="s">
        <v>1059</v>
      </c>
      <c r="D810" s="10">
        <v>46112</v>
      </c>
      <c r="E810" s="10">
        <v>46142</v>
      </c>
      <c r="F810" s="10">
        <f>净值原始!C7200</f>
        <v>46112</v>
      </c>
      <c r="G810" s="10">
        <f>净值原始!C7221</f>
        <v>46142</v>
      </c>
      <c r="H810" s="15">
        <f>净值原始!F7200</f>
        <v>1.281</v>
      </c>
      <c r="I810" s="15">
        <f>净值原始!F7221</f>
        <v>1.29</v>
      </c>
      <c r="J810" s="11">
        <f t="shared" si="36"/>
        <v>0.00702576112412179</v>
      </c>
      <c r="K810" s="9">
        <f>IF(COUNT(F810:I810)&lt;&gt;4,0,IF(AND(G810&gt;F810,H810&gt;0,I810&gt;0,L810&lt;='Sheet1-指标体系'!$J$31,M810&lt;='Sheet1-指标体系'!$J$31),1,0))</f>
        <v>1</v>
      </c>
      <c r="L810" s="9">
        <f t="shared" si="37"/>
        <v>0</v>
      </c>
      <c r="M810" s="9">
        <f t="shared" si="38"/>
        <v>0</v>
      </c>
    </row>
    <row r="811" ht="25" customHeight="1" spans="1:13">
      <c r="A811" s="9" t="s">
        <v>343</v>
      </c>
      <c r="B811" s="9" t="s">
        <v>342</v>
      </c>
      <c r="C811" s="9" t="s">
        <v>1060</v>
      </c>
      <c r="D811" s="10">
        <v>46142</v>
      </c>
      <c r="E811" s="10">
        <v>46173</v>
      </c>
      <c r="F811" s="10">
        <f>净值原始!C7221</f>
        <v>46142</v>
      </c>
      <c r="G811" s="10">
        <f>净值原始!C7239</f>
        <v>46171</v>
      </c>
      <c r="H811" s="15">
        <f>净值原始!F7221</f>
        <v>1.29</v>
      </c>
      <c r="I811" s="15">
        <f>净值原始!F7239</f>
        <v>1.291</v>
      </c>
      <c r="J811" s="11">
        <f t="shared" si="36"/>
        <v>0.000775193798449481</v>
      </c>
      <c r="K811" s="9">
        <f>IF(COUNT(F811:I811)&lt;&gt;4,0,IF(AND(G811&gt;F811,H811&gt;0,I811&gt;0,L811&lt;='Sheet1-指标体系'!$J$31,M811&lt;='Sheet1-指标体系'!$J$31),1,0))</f>
        <v>1</v>
      </c>
      <c r="L811" s="9">
        <f t="shared" si="37"/>
        <v>0</v>
      </c>
      <c r="M811" s="9">
        <f t="shared" si="38"/>
        <v>2</v>
      </c>
    </row>
    <row r="812" ht="25" customHeight="1" spans="1:13">
      <c r="A812" s="9" t="s">
        <v>343</v>
      </c>
      <c r="B812" s="9" t="s">
        <v>342</v>
      </c>
      <c r="C812" s="9" t="s">
        <v>1061</v>
      </c>
      <c r="D812" s="10">
        <v>46173</v>
      </c>
      <c r="E812" s="10">
        <v>46203</v>
      </c>
      <c r="F812" s="10">
        <f>净值原始!C7239</f>
        <v>46171</v>
      </c>
      <c r="G812" s="10">
        <f>净值原始!C7260</f>
        <v>46203</v>
      </c>
      <c r="H812" s="15">
        <f>净值原始!F7239</f>
        <v>1.291</v>
      </c>
      <c r="I812" s="15">
        <f>净值原始!F7260</f>
        <v>1.299</v>
      </c>
      <c r="J812" s="11">
        <f t="shared" si="36"/>
        <v>0.00619674670797821</v>
      </c>
      <c r="K812" s="9">
        <f>IF(COUNT(F812:I812)&lt;&gt;4,0,IF(AND(G812&gt;F812,H812&gt;0,I812&gt;0,L812&lt;='Sheet1-指标体系'!$J$31,M812&lt;='Sheet1-指标体系'!$J$31),1,0))</f>
        <v>1</v>
      </c>
      <c r="L812" s="9">
        <f t="shared" si="37"/>
        <v>2</v>
      </c>
      <c r="M812" s="9">
        <f t="shared" si="38"/>
        <v>0</v>
      </c>
    </row>
    <row r="813" ht="25" customHeight="1" spans="1:13">
      <c r="A813" s="9" t="s">
        <v>343</v>
      </c>
      <c r="B813" s="9" t="s">
        <v>342</v>
      </c>
      <c r="C813" s="9" t="s">
        <v>1062</v>
      </c>
      <c r="D813" s="10">
        <v>46203</v>
      </c>
      <c r="E813" s="10">
        <v>46234</v>
      </c>
      <c r="F813" s="10">
        <f>净值原始!C7260</f>
        <v>46203</v>
      </c>
      <c r="G813" s="10">
        <f>净值原始!C7283</f>
        <v>46234</v>
      </c>
      <c r="H813" s="15">
        <f>净值原始!F7260</f>
        <v>1.299</v>
      </c>
      <c r="I813" s="15">
        <f>净值原始!F7283</f>
        <v>1.319</v>
      </c>
      <c r="J813" s="11">
        <f t="shared" si="36"/>
        <v>0.0153964588144726</v>
      </c>
      <c r="K813" s="9">
        <f>IF(COUNT(F813:I813)&lt;&gt;4,0,IF(AND(G813&gt;F813,H813&gt;0,I813&gt;0,L813&lt;='Sheet1-指标体系'!$J$31,M813&lt;='Sheet1-指标体系'!$J$31),1,0))</f>
        <v>1</v>
      </c>
      <c r="L813" s="9">
        <f t="shared" si="37"/>
        <v>0</v>
      </c>
      <c r="M813" s="9">
        <f t="shared" si="38"/>
        <v>0</v>
      </c>
    </row>
    <row r="814" ht="25" customHeight="1" spans="1:13">
      <c r="A814" s="9" t="s">
        <v>343</v>
      </c>
      <c r="B814" s="9" t="s">
        <v>342</v>
      </c>
      <c r="C814" s="9" t="s">
        <v>1063</v>
      </c>
      <c r="D814" s="10">
        <v>46234</v>
      </c>
      <c r="E814" s="10">
        <v>46265</v>
      </c>
      <c r="F814" s="10">
        <f>净值原始!C7283</f>
        <v>46234</v>
      </c>
      <c r="G814" s="10">
        <f>净值原始!C7304</f>
        <v>46265</v>
      </c>
      <c r="H814" s="15">
        <f>净值原始!F7283</f>
        <v>1.319</v>
      </c>
      <c r="I814" s="15">
        <f>净值原始!F7304</f>
        <v>1.344</v>
      </c>
      <c r="J814" s="11">
        <f t="shared" si="36"/>
        <v>0.018953752843063</v>
      </c>
      <c r="K814" s="9">
        <f>IF(COUNT(F814:I814)&lt;&gt;4,0,IF(AND(G814&gt;F814,H814&gt;0,I814&gt;0,L814&lt;='Sheet1-指标体系'!$J$31,M814&lt;='Sheet1-指标体系'!$J$31),1,0))</f>
        <v>1</v>
      </c>
      <c r="L814" s="9">
        <f t="shared" si="37"/>
        <v>0</v>
      </c>
      <c r="M814" s="9">
        <f t="shared" si="38"/>
        <v>0</v>
      </c>
    </row>
    <row r="815" ht="25" customHeight="1" spans="1:13">
      <c r="A815" s="9" t="s">
        <v>343</v>
      </c>
      <c r="B815" s="9" t="s">
        <v>342</v>
      </c>
      <c r="C815" s="9" t="s">
        <v>1064</v>
      </c>
      <c r="D815" s="10">
        <v>46265</v>
      </c>
      <c r="E815" s="10">
        <v>46269</v>
      </c>
      <c r="F815" s="10">
        <f>净值原始!C7304</f>
        <v>46265</v>
      </c>
      <c r="G815" s="10">
        <f>净值原始!C7308</f>
        <v>46269</v>
      </c>
      <c r="H815" s="15">
        <f>净值原始!F7304</f>
        <v>1.344</v>
      </c>
      <c r="I815" s="15">
        <f>净值原始!F7308</f>
        <v>1.337</v>
      </c>
      <c r="J815" s="11">
        <f t="shared" si="36"/>
        <v>-0.00520833333333337</v>
      </c>
      <c r="K815" s="9">
        <f>IF(COUNT(F815:I815)&lt;&gt;4,0,IF(AND(G815&gt;F815,H815&gt;0,I815&gt;0,L815&lt;='Sheet1-指标体系'!$J$31,M815&lt;='Sheet1-指标体系'!$J$31),1,0))</f>
        <v>1</v>
      </c>
      <c r="L815" s="9">
        <f t="shared" si="37"/>
        <v>0</v>
      </c>
      <c r="M815" s="9">
        <f t="shared" si="38"/>
        <v>0</v>
      </c>
    </row>
    <row r="816" ht="25" customHeight="1" spans="1:13">
      <c r="A816" s="9" t="s">
        <v>194</v>
      </c>
      <c r="B816" s="9" t="s">
        <v>193</v>
      </c>
      <c r="C816" s="9" t="s">
        <v>1028</v>
      </c>
      <c r="D816" s="10">
        <v>45169</v>
      </c>
      <c r="E816" s="10">
        <v>45199</v>
      </c>
      <c r="F816" s="10"/>
      <c r="G816" s="10"/>
      <c r="H816" s="15"/>
      <c r="I816" s="15"/>
      <c r="J816" s="11" t="str">
        <f t="shared" si="36"/>
        <v/>
      </c>
      <c r="K816" s="9">
        <f>IF(COUNT(F816:I816)&lt;&gt;4,0,IF(AND(G816&gt;F816,H816&gt;0,I816&gt;0,L816&lt;='Sheet1-指标体系'!$J$31,M816&lt;='Sheet1-指标体系'!$J$31),1,0))</f>
        <v>0</v>
      </c>
      <c r="L816" s="9" t="str">
        <f t="shared" si="37"/>
        <v/>
      </c>
      <c r="M816" s="9" t="str">
        <f t="shared" si="38"/>
        <v/>
      </c>
    </row>
    <row r="817" ht="25" customHeight="1" spans="1:13">
      <c r="A817" s="9" t="s">
        <v>194</v>
      </c>
      <c r="B817" s="9" t="s">
        <v>193</v>
      </c>
      <c r="C817" s="9" t="s">
        <v>1029</v>
      </c>
      <c r="D817" s="10">
        <v>45199</v>
      </c>
      <c r="E817" s="10">
        <v>45230</v>
      </c>
      <c r="F817" s="10"/>
      <c r="G817" s="10"/>
      <c r="H817" s="15"/>
      <c r="I817" s="15"/>
      <c r="J817" s="11" t="str">
        <f t="shared" si="36"/>
        <v/>
      </c>
      <c r="K817" s="9">
        <f>IF(COUNT(F817:I817)&lt;&gt;4,0,IF(AND(G817&gt;F817,H817&gt;0,I817&gt;0,L817&lt;='Sheet1-指标体系'!$J$31,M817&lt;='Sheet1-指标体系'!$J$31),1,0))</f>
        <v>0</v>
      </c>
      <c r="L817" s="9" t="str">
        <f t="shared" si="37"/>
        <v/>
      </c>
      <c r="M817" s="9" t="str">
        <f t="shared" si="38"/>
        <v/>
      </c>
    </row>
    <row r="818" ht="25" customHeight="1" spans="1:13">
      <c r="A818" s="9" t="s">
        <v>194</v>
      </c>
      <c r="B818" s="9" t="s">
        <v>193</v>
      </c>
      <c r="C818" s="9" t="s">
        <v>1030</v>
      </c>
      <c r="D818" s="10">
        <v>45230</v>
      </c>
      <c r="E818" s="10">
        <v>45260</v>
      </c>
      <c r="F818" s="10"/>
      <c r="G818" s="10"/>
      <c r="H818" s="15"/>
      <c r="I818" s="15"/>
      <c r="J818" s="11" t="str">
        <f t="shared" si="36"/>
        <v/>
      </c>
      <c r="K818" s="9">
        <f>IF(COUNT(F818:I818)&lt;&gt;4,0,IF(AND(G818&gt;F818,H818&gt;0,I818&gt;0,L818&lt;='Sheet1-指标体系'!$J$31,M818&lt;='Sheet1-指标体系'!$J$31),1,0))</f>
        <v>0</v>
      </c>
      <c r="L818" s="9" t="str">
        <f t="shared" si="37"/>
        <v/>
      </c>
      <c r="M818" s="9" t="str">
        <f t="shared" si="38"/>
        <v/>
      </c>
    </row>
    <row r="819" ht="25" customHeight="1" spans="1:13">
      <c r="A819" s="9" t="s">
        <v>194</v>
      </c>
      <c r="B819" s="9" t="s">
        <v>193</v>
      </c>
      <c r="C819" s="9" t="s">
        <v>1031</v>
      </c>
      <c r="D819" s="10">
        <v>45260</v>
      </c>
      <c r="E819" s="10">
        <v>45291</v>
      </c>
      <c r="F819" s="10"/>
      <c r="G819" s="10"/>
      <c r="H819" s="15"/>
      <c r="I819" s="15"/>
      <c r="J819" s="11" t="str">
        <f t="shared" si="36"/>
        <v/>
      </c>
      <c r="K819" s="9">
        <f>IF(COUNT(F819:I819)&lt;&gt;4,0,IF(AND(G819&gt;F819,H819&gt;0,I819&gt;0,L819&lt;='Sheet1-指标体系'!$J$31,M819&lt;='Sheet1-指标体系'!$J$31),1,0))</f>
        <v>0</v>
      </c>
      <c r="L819" s="9" t="str">
        <f t="shared" si="37"/>
        <v/>
      </c>
      <c r="M819" s="9" t="str">
        <f t="shared" si="38"/>
        <v/>
      </c>
    </row>
    <row r="820" ht="25" customHeight="1" spans="1:13">
      <c r="A820" s="9" t="s">
        <v>194</v>
      </c>
      <c r="B820" s="9" t="s">
        <v>193</v>
      </c>
      <c r="C820" s="9" t="s">
        <v>1032</v>
      </c>
      <c r="D820" s="10">
        <v>45291</v>
      </c>
      <c r="E820" s="10">
        <v>45322</v>
      </c>
      <c r="F820" s="10"/>
      <c r="G820" s="10"/>
      <c r="H820" s="15"/>
      <c r="I820" s="15"/>
      <c r="J820" s="11" t="str">
        <f t="shared" si="36"/>
        <v/>
      </c>
      <c r="K820" s="9">
        <f>IF(COUNT(F820:I820)&lt;&gt;4,0,IF(AND(G820&gt;F820,H820&gt;0,I820&gt;0,L820&lt;='Sheet1-指标体系'!$J$31,M820&lt;='Sheet1-指标体系'!$J$31),1,0))</f>
        <v>0</v>
      </c>
      <c r="L820" s="9" t="str">
        <f t="shared" si="37"/>
        <v/>
      </c>
      <c r="M820" s="9" t="str">
        <f t="shared" si="38"/>
        <v/>
      </c>
    </row>
    <row r="821" ht="25" customHeight="1" spans="1:13">
      <c r="A821" s="9" t="s">
        <v>194</v>
      </c>
      <c r="B821" s="9" t="s">
        <v>193</v>
      </c>
      <c r="C821" s="9" t="s">
        <v>1033</v>
      </c>
      <c r="D821" s="10">
        <v>45322</v>
      </c>
      <c r="E821" s="10">
        <v>45351</v>
      </c>
      <c r="F821" s="10"/>
      <c r="G821" s="10"/>
      <c r="H821" s="15"/>
      <c r="I821" s="15"/>
      <c r="J821" s="11" t="str">
        <f t="shared" si="36"/>
        <v/>
      </c>
      <c r="K821" s="9">
        <f>IF(COUNT(F821:I821)&lt;&gt;4,0,IF(AND(G821&gt;F821,H821&gt;0,I821&gt;0,L821&lt;='Sheet1-指标体系'!$J$31,M821&lt;='Sheet1-指标体系'!$J$31),1,0))</f>
        <v>0</v>
      </c>
      <c r="L821" s="9" t="str">
        <f t="shared" si="37"/>
        <v/>
      </c>
      <c r="M821" s="9" t="str">
        <f t="shared" si="38"/>
        <v/>
      </c>
    </row>
    <row r="822" ht="25" customHeight="1" spans="1:13">
      <c r="A822" s="9" t="s">
        <v>194</v>
      </c>
      <c r="B822" s="9" t="s">
        <v>193</v>
      </c>
      <c r="C822" s="9" t="s">
        <v>1034</v>
      </c>
      <c r="D822" s="10">
        <v>45351</v>
      </c>
      <c r="E822" s="10">
        <v>45382</v>
      </c>
      <c r="F822" s="10"/>
      <c r="G822" s="10"/>
      <c r="H822" s="15"/>
      <c r="I822" s="15"/>
      <c r="J822" s="11" t="str">
        <f t="shared" si="36"/>
        <v/>
      </c>
      <c r="K822" s="9">
        <f>IF(COUNT(F822:I822)&lt;&gt;4,0,IF(AND(G822&gt;F822,H822&gt;0,I822&gt;0,L822&lt;='Sheet1-指标体系'!$J$31,M822&lt;='Sheet1-指标体系'!$J$31),1,0))</f>
        <v>0</v>
      </c>
      <c r="L822" s="9" t="str">
        <f t="shared" si="37"/>
        <v/>
      </c>
      <c r="M822" s="9" t="str">
        <f t="shared" si="38"/>
        <v/>
      </c>
    </row>
    <row r="823" ht="25" customHeight="1" spans="1:13">
      <c r="A823" s="9" t="s">
        <v>194</v>
      </c>
      <c r="B823" s="9" t="s">
        <v>193</v>
      </c>
      <c r="C823" s="9" t="s">
        <v>1035</v>
      </c>
      <c r="D823" s="10">
        <v>45382</v>
      </c>
      <c r="E823" s="10">
        <v>45412</v>
      </c>
      <c r="F823" s="10"/>
      <c r="G823" s="10"/>
      <c r="H823" s="15"/>
      <c r="I823" s="15"/>
      <c r="J823" s="11" t="str">
        <f t="shared" si="36"/>
        <v/>
      </c>
      <c r="K823" s="9">
        <f>IF(COUNT(F823:I823)&lt;&gt;4,0,IF(AND(G823&gt;F823,H823&gt;0,I823&gt;0,L823&lt;='Sheet1-指标体系'!$J$31,M823&lt;='Sheet1-指标体系'!$J$31),1,0))</f>
        <v>0</v>
      </c>
      <c r="L823" s="9" t="str">
        <f t="shared" si="37"/>
        <v/>
      </c>
      <c r="M823" s="9" t="str">
        <f t="shared" si="38"/>
        <v/>
      </c>
    </row>
    <row r="824" ht="25" customHeight="1" spans="1:13">
      <c r="A824" s="9" t="s">
        <v>194</v>
      </c>
      <c r="B824" s="9" t="s">
        <v>193</v>
      </c>
      <c r="C824" s="9" t="s">
        <v>1036</v>
      </c>
      <c r="D824" s="10">
        <v>45412</v>
      </c>
      <c r="E824" s="10">
        <v>45443</v>
      </c>
      <c r="F824" s="10"/>
      <c r="G824" s="10"/>
      <c r="H824" s="15"/>
      <c r="I824" s="15"/>
      <c r="J824" s="11" t="str">
        <f t="shared" si="36"/>
        <v/>
      </c>
      <c r="K824" s="9">
        <f>IF(COUNT(F824:I824)&lt;&gt;4,0,IF(AND(G824&gt;F824,H824&gt;0,I824&gt;0,L824&lt;='Sheet1-指标体系'!$J$31,M824&lt;='Sheet1-指标体系'!$J$31),1,0))</f>
        <v>0</v>
      </c>
      <c r="L824" s="9" t="str">
        <f t="shared" si="37"/>
        <v/>
      </c>
      <c r="M824" s="9" t="str">
        <f t="shared" si="38"/>
        <v/>
      </c>
    </row>
    <row r="825" ht="25" customHeight="1" spans="1:13">
      <c r="A825" s="9" t="s">
        <v>194</v>
      </c>
      <c r="B825" s="9" t="s">
        <v>193</v>
      </c>
      <c r="C825" s="9" t="s">
        <v>1037</v>
      </c>
      <c r="D825" s="10">
        <v>45443</v>
      </c>
      <c r="E825" s="10">
        <v>45473</v>
      </c>
      <c r="F825" s="10"/>
      <c r="G825" s="10"/>
      <c r="H825" s="15"/>
      <c r="I825" s="15"/>
      <c r="J825" s="11" t="str">
        <f t="shared" si="36"/>
        <v/>
      </c>
      <c r="K825" s="9">
        <f>IF(COUNT(F825:I825)&lt;&gt;4,0,IF(AND(G825&gt;F825,H825&gt;0,I825&gt;0,L825&lt;='Sheet1-指标体系'!$J$31,M825&lt;='Sheet1-指标体系'!$J$31),1,0))</f>
        <v>0</v>
      </c>
      <c r="L825" s="9" t="str">
        <f t="shared" si="37"/>
        <v/>
      </c>
      <c r="M825" s="9" t="str">
        <f t="shared" si="38"/>
        <v/>
      </c>
    </row>
    <row r="826" ht="25" customHeight="1" spans="1:13">
      <c r="A826" s="9" t="s">
        <v>194</v>
      </c>
      <c r="B826" s="9" t="s">
        <v>193</v>
      </c>
      <c r="C826" s="9" t="s">
        <v>1038</v>
      </c>
      <c r="D826" s="10">
        <v>45473</v>
      </c>
      <c r="E826" s="10">
        <v>45504</v>
      </c>
      <c r="F826" s="10"/>
      <c r="G826" s="10"/>
      <c r="H826" s="15"/>
      <c r="I826" s="15"/>
      <c r="J826" s="11" t="str">
        <f t="shared" si="36"/>
        <v/>
      </c>
      <c r="K826" s="9">
        <f>IF(COUNT(F826:I826)&lt;&gt;4,0,IF(AND(G826&gt;F826,H826&gt;0,I826&gt;0,L826&lt;='Sheet1-指标体系'!$J$31,M826&lt;='Sheet1-指标体系'!$J$31),1,0))</f>
        <v>0</v>
      </c>
      <c r="L826" s="9" t="str">
        <f t="shared" si="37"/>
        <v/>
      </c>
      <c r="M826" s="9" t="str">
        <f t="shared" si="38"/>
        <v/>
      </c>
    </row>
    <row r="827" ht="25" customHeight="1" spans="1:13">
      <c r="A827" s="9" t="s">
        <v>194</v>
      </c>
      <c r="B827" s="9" t="s">
        <v>193</v>
      </c>
      <c r="C827" s="9" t="s">
        <v>1039</v>
      </c>
      <c r="D827" s="10">
        <v>45504</v>
      </c>
      <c r="E827" s="10">
        <v>45535</v>
      </c>
      <c r="F827" s="10"/>
      <c r="G827" s="10"/>
      <c r="H827" s="15"/>
      <c r="I827" s="15"/>
      <c r="J827" s="11" t="str">
        <f t="shared" si="36"/>
        <v/>
      </c>
      <c r="K827" s="9">
        <f>IF(COUNT(F827:I827)&lt;&gt;4,0,IF(AND(G827&gt;F827,H827&gt;0,I827&gt;0,L827&lt;='Sheet1-指标体系'!$J$31,M827&lt;='Sheet1-指标体系'!$J$31),1,0))</f>
        <v>0</v>
      </c>
      <c r="L827" s="9" t="str">
        <f t="shared" si="37"/>
        <v/>
      </c>
      <c r="M827" s="9" t="str">
        <f t="shared" si="38"/>
        <v/>
      </c>
    </row>
    <row r="828" ht="25" customHeight="1" spans="1:13">
      <c r="A828" s="9" t="s">
        <v>194</v>
      </c>
      <c r="B828" s="9" t="s">
        <v>193</v>
      </c>
      <c r="C828" s="9" t="s">
        <v>1040</v>
      </c>
      <c r="D828" s="10">
        <v>45535</v>
      </c>
      <c r="E828" s="10">
        <v>45565</v>
      </c>
      <c r="F828" s="10"/>
      <c r="G828" s="10"/>
      <c r="H828" s="15"/>
      <c r="I828" s="15"/>
      <c r="J828" s="11" t="str">
        <f t="shared" si="36"/>
        <v/>
      </c>
      <c r="K828" s="9">
        <f>IF(COUNT(F828:I828)&lt;&gt;4,0,IF(AND(G828&gt;F828,H828&gt;0,I828&gt;0,L828&lt;='Sheet1-指标体系'!$J$31,M828&lt;='Sheet1-指标体系'!$J$31),1,0))</f>
        <v>0</v>
      </c>
      <c r="L828" s="9" t="str">
        <f t="shared" si="37"/>
        <v/>
      </c>
      <c r="M828" s="9" t="str">
        <f t="shared" si="38"/>
        <v/>
      </c>
    </row>
    <row r="829" ht="25" customHeight="1" spans="1:13">
      <c r="A829" s="9" t="s">
        <v>194</v>
      </c>
      <c r="B829" s="9" t="s">
        <v>193</v>
      </c>
      <c r="C829" s="9" t="s">
        <v>1041</v>
      </c>
      <c r="D829" s="10">
        <v>45565</v>
      </c>
      <c r="E829" s="10">
        <v>45596</v>
      </c>
      <c r="F829" s="10"/>
      <c r="G829" s="10"/>
      <c r="H829" s="15"/>
      <c r="I829" s="15"/>
      <c r="J829" s="11" t="str">
        <f t="shared" si="36"/>
        <v/>
      </c>
      <c r="K829" s="9">
        <f>IF(COUNT(F829:I829)&lt;&gt;4,0,IF(AND(G829&gt;F829,H829&gt;0,I829&gt;0,L829&lt;='Sheet1-指标体系'!$J$31,M829&lt;='Sheet1-指标体系'!$J$31),1,0))</f>
        <v>0</v>
      </c>
      <c r="L829" s="9" t="str">
        <f t="shared" si="37"/>
        <v/>
      </c>
      <c r="M829" s="9" t="str">
        <f t="shared" si="38"/>
        <v/>
      </c>
    </row>
    <row r="830" ht="25" customHeight="1" spans="1:13">
      <c r="A830" s="9" t="s">
        <v>194</v>
      </c>
      <c r="B830" s="9" t="s">
        <v>193</v>
      </c>
      <c r="C830" s="9" t="s">
        <v>1042</v>
      </c>
      <c r="D830" s="10">
        <v>45596</v>
      </c>
      <c r="E830" s="10">
        <v>45626</v>
      </c>
      <c r="F830" s="10"/>
      <c r="G830" s="10"/>
      <c r="H830" s="15"/>
      <c r="I830" s="15"/>
      <c r="J830" s="11" t="str">
        <f t="shared" si="36"/>
        <v/>
      </c>
      <c r="K830" s="9">
        <f>IF(COUNT(F830:I830)&lt;&gt;4,0,IF(AND(G830&gt;F830,H830&gt;0,I830&gt;0,L830&lt;='Sheet1-指标体系'!$J$31,M830&lt;='Sheet1-指标体系'!$J$31),1,0))</f>
        <v>0</v>
      </c>
      <c r="L830" s="9" t="str">
        <f t="shared" si="37"/>
        <v/>
      </c>
      <c r="M830" s="9" t="str">
        <f t="shared" si="38"/>
        <v/>
      </c>
    </row>
    <row r="831" ht="25" customHeight="1" spans="1:13">
      <c r="A831" s="9" t="s">
        <v>194</v>
      </c>
      <c r="B831" s="9" t="s">
        <v>193</v>
      </c>
      <c r="C831" s="9" t="s">
        <v>1043</v>
      </c>
      <c r="D831" s="10">
        <v>45626</v>
      </c>
      <c r="E831" s="10">
        <v>45657</v>
      </c>
      <c r="F831" s="10"/>
      <c r="G831" s="10"/>
      <c r="H831" s="15"/>
      <c r="I831" s="15"/>
      <c r="J831" s="11" t="str">
        <f t="shared" si="36"/>
        <v/>
      </c>
      <c r="K831" s="9">
        <f>IF(COUNT(F831:I831)&lt;&gt;4,0,IF(AND(G831&gt;F831,H831&gt;0,I831&gt;0,L831&lt;='Sheet1-指标体系'!$J$31,M831&lt;='Sheet1-指标体系'!$J$31),1,0))</f>
        <v>0</v>
      </c>
      <c r="L831" s="9" t="str">
        <f t="shared" si="37"/>
        <v/>
      </c>
      <c r="M831" s="9" t="str">
        <f t="shared" si="38"/>
        <v/>
      </c>
    </row>
    <row r="832" ht="25" customHeight="1" spans="1:13">
      <c r="A832" s="9" t="s">
        <v>194</v>
      </c>
      <c r="B832" s="9" t="s">
        <v>193</v>
      </c>
      <c r="C832" s="9" t="s">
        <v>1044</v>
      </c>
      <c r="D832" s="10">
        <v>45657</v>
      </c>
      <c r="E832" s="10">
        <v>45688</v>
      </c>
      <c r="F832" s="10"/>
      <c r="G832" s="10"/>
      <c r="H832" s="15"/>
      <c r="I832" s="15"/>
      <c r="J832" s="11" t="str">
        <f t="shared" si="36"/>
        <v/>
      </c>
      <c r="K832" s="9">
        <f>IF(COUNT(F832:I832)&lt;&gt;4,0,IF(AND(G832&gt;F832,H832&gt;0,I832&gt;0,L832&lt;='Sheet1-指标体系'!$J$31,M832&lt;='Sheet1-指标体系'!$J$31),1,0))</f>
        <v>0</v>
      </c>
      <c r="L832" s="9" t="str">
        <f t="shared" si="37"/>
        <v/>
      </c>
      <c r="M832" s="9" t="str">
        <f t="shared" si="38"/>
        <v/>
      </c>
    </row>
    <row r="833" ht="25" customHeight="1" spans="1:13">
      <c r="A833" s="9" t="s">
        <v>194</v>
      </c>
      <c r="B833" s="9" t="s">
        <v>193</v>
      </c>
      <c r="C833" s="9" t="s">
        <v>1045</v>
      </c>
      <c r="D833" s="10">
        <v>45688</v>
      </c>
      <c r="E833" s="10">
        <v>45716</v>
      </c>
      <c r="F833" s="10"/>
      <c r="G833" s="10">
        <f>净值原始!C7316</f>
        <v>45716</v>
      </c>
      <c r="H833" s="15"/>
      <c r="I833" s="15">
        <f>净值原始!F7316</f>
        <v>0.9991</v>
      </c>
      <c r="J833" s="11" t="str">
        <f t="shared" si="36"/>
        <v/>
      </c>
      <c r="K833" s="9">
        <f>IF(COUNT(F833:I833)&lt;&gt;4,0,IF(AND(G833&gt;F833,H833&gt;0,I833&gt;0,L833&lt;='Sheet1-指标体系'!$J$31,M833&lt;='Sheet1-指标体系'!$J$31),1,0))</f>
        <v>0</v>
      </c>
      <c r="L833" s="9" t="str">
        <f t="shared" si="37"/>
        <v/>
      </c>
      <c r="M833" s="9">
        <f t="shared" si="38"/>
        <v>0</v>
      </c>
    </row>
    <row r="834" ht="25" customHeight="1" spans="1:13">
      <c r="A834" s="9" t="s">
        <v>194</v>
      </c>
      <c r="B834" s="9" t="s">
        <v>193</v>
      </c>
      <c r="C834" s="9" t="s">
        <v>1046</v>
      </c>
      <c r="D834" s="10">
        <v>45716</v>
      </c>
      <c r="E834" s="10">
        <v>45747</v>
      </c>
      <c r="F834" s="10">
        <f>净值原始!C7316</f>
        <v>45716</v>
      </c>
      <c r="G834" s="10">
        <f>净值原始!C7321</f>
        <v>45747</v>
      </c>
      <c r="H834" s="15">
        <f>净值原始!F7316</f>
        <v>0.9991</v>
      </c>
      <c r="I834" s="15">
        <f>净值原始!F7321</f>
        <v>1.0031</v>
      </c>
      <c r="J834" s="11">
        <f t="shared" ref="J834:J897" si="39">IF(K834=1,I834/H834-1,"")</f>
        <v>0.00400360324291871</v>
      </c>
      <c r="K834" s="9">
        <f>IF(COUNT(F834:I834)&lt;&gt;4,0,IF(AND(G834&gt;F834,H834&gt;0,I834&gt;0,L834&lt;='Sheet1-指标体系'!$J$31,M834&lt;='Sheet1-指标体系'!$J$31),1,0))</f>
        <v>1</v>
      </c>
      <c r="L834" s="9">
        <f t="shared" ref="L834:L897" si="40">IF(ISNUMBER(F834),D834-F834,"")</f>
        <v>0</v>
      </c>
      <c r="M834" s="9">
        <f t="shared" ref="M834:M897" si="41">IF(ISNUMBER(G834),E834-G834,"")</f>
        <v>0</v>
      </c>
    </row>
    <row r="835" ht="25" customHeight="1" spans="1:13">
      <c r="A835" s="9" t="s">
        <v>194</v>
      </c>
      <c r="B835" s="9" t="s">
        <v>193</v>
      </c>
      <c r="C835" s="9" t="s">
        <v>1047</v>
      </c>
      <c r="D835" s="10">
        <v>45747</v>
      </c>
      <c r="E835" s="10">
        <v>45777</v>
      </c>
      <c r="F835" s="10">
        <f>净值原始!C7321</f>
        <v>45747</v>
      </c>
      <c r="G835" s="10">
        <f>净值原始!C7326</f>
        <v>45777</v>
      </c>
      <c r="H835" s="15">
        <f>净值原始!F7321</f>
        <v>1.0031</v>
      </c>
      <c r="I835" s="15">
        <f>净值原始!F7326</f>
        <v>1.0276</v>
      </c>
      <c r="J835" s="11">
        <f t="shared" si="39"/>
        <v>0.0244242847173761</v>
      </c>
      <c r="K835" s="9">
        <f>IF(COUNT(F835:I835)&lt;&gt;4,0,IF(AND(G835&gt;F835,H835&gt;0,I835&gt;0,L835&lt;='Sheet1-指标体系'!$J$31,M835&lt;='Sheet1-指标体系'!$J$31),1,0))</f>
        <v>1</v>
      </c>
      <c r="L835" s="9">
        <f t="shared" si="40"/>
        <v>0</v>
      </c>
      <c r="M835" s="9">
        <f t="shared" si="41"/>
        <v>0</v>
      </c>
    </row>
    <row r="836" ht="25" customHeight="1" spans="1:13">
      <c r="A836" s="9" t="s">
        <v>194</v>
      </c>
      <c r="B836" s="9" t="s">
        <v>193</v>
      </c>
      <c r="C836" s="9" t="s">
        <v>1048</v>
      </c>
      <c r="D836" s="10">
        <v>45777</v>
      </c>
      <c r="E836" s="10">
        <v>45808</v>
      </c>
      <c r="F836" s="10">
        <f>净值原始!C7326</f>
        <v>45777</v>
      </c>
      <c r="G836" s="10">
        <f>净值原始!C7330</f>
        <v>45807</v>
      </c>
      <c r="H836" s="15">
        <f>净值原始!F7326</f>
        <v>1.0276</v>
      </c>
      <c r="I836" s="15">
        <f>净值原始!F7330</f>
        <v>1.0314</v>
      </c>
      <c r="J836" s="11">
        <f t="shared" si="39"/>
        <v>0.00369793694044374</v>
      </c>
      <c r="K836" s="9">
        <f>IF(COUNT(F836:I836)&lt;&gt;4,0,IF(AND(G836&gt;F836,H836&gt;0,I836&gt;0,L836&lt;='Sheet1-指标体系'!$J$31,M836&lt;='Sheet1-指标体系'!$J$31),1,0))</f>
        <v>1</v>
      </c>
      <c r="L836" s="9">
        <f t="shared" si="40"/>
        <v>0</v>
      </c>
      <c r="M836" s="9">
        <f t="shared" si="41"/>
        <v>1</v>
      </c>
    </row>
    <row r="837" ht="25" customHeight="1" spans="1:13">
      <c r="A837" s="9" t="s">
        <v>194</v>
      </c>
      <c r="B837" s="9" t="s">
        <v>193</v>
      </c>
      <c r="C837" s="9" t="s">
        <v>1049</v>
      </c>
      <c r="D837" s="10">
        <v>45808</v>
      </c>
      <c r="E837" s="10">
        <v>45838</v>
      </c>
      <c r="F837" s="10">
        <f>净值原始!C7330</f>
        <v>45807</v>
      </c>
      <c r="G837" s="10">
        <f>净值原始!C7335</f>
        <v>45838</v>
      </c>
      <c r="H837" s="15">
        <f>净值原始!F7330</f>
        <v>1.0314</v>
      </c>
      <c r="I837" s="15">
        <f>净值原始!F7335</f>
        <v>1.037</v>
      </c>
      <c r="J837" s="11">
        <f t="shared" si="39"/>
        <v>0.0054295132829163</v>
      </c>
      <c r="K837" s="9">
        <f>IF(COUNT(F837:I837)&lt;&gt;4,0,IF(AND(G837&gt;F837,H837&gt;0,I837&gt;0,L837&lt;='Sheet1-指标体系'!$J$31,M837&lt;='Sheet1-指标体系'!$J$31),1,0))</f>
        <v>1</v>
      </c>
      <c r="L837" s="9">
        <f t="shared" si="40"/>
        <v>1</v>
      </c>
      <c r="M837" s="9">
        <f t="shared" si="41"/>
        <v>0</v>
      </c>
    </row>
    <row r="838" ht="25" customHeight="1" spans="1:13">
      <c r="A838" s="9" t="s">
        <v>194</v>
      </c>
      <c r="B838" s="9" t="s">
        <v>193</v>
      </c>
      <c r="C838" s="9" t="s">
        <v>1050</v>
      </c>
      <c r="D838" s="10">
        <v>45838</v>
      </c>
      <c r="E838" s="10">
        <v>45869</v>
      </c>
      <c r="F838" s="10">
        <f>净值原始!C7335</f>
        <v>45838</v>
      </c>
      <c r="G838" s="10">
        <f>净值原始!C7340</f>
        <v>45869</v>
      </c>
      <c r="H838" s="15">
        <f>净值原始!F7335</f>
        <v>1.037</v>
      </c>
      <c r="I838" s="15">
        <f>净值原始!F7340</f>
        <v>1.0387</v>
      </c>
      <c r="J838" s="11">
        <f t="shared" si="39"/>
        <v>0.00163934426229506</v>
      </c>
      <c r="K838" s="9">
        <f>IF(COUNT(F838:I838)&lt;&gt;4,0,IF(AND(G838&gt;F838,H838&gt;0,I838&gt;0,L838&lt;='Sheet1-指标体系'!$J$31,M838&lt;='Sheet1-指标体系'!$J$31),1,0))</f>
        <v>1</v>
      </c>
      <c r="L838" s="9">
        <f t="shared" si="40"/>
        <v>0</v>
      </c>
      <c r="M838" s="9">
        <f t="shared" si="41"/>
        <v>0</v>
      </c>
    </row>
    <row r="839" ht="25" customHeight="1" spans="1:13">
      <c r="A839" s="9" t="s">
        <v>194</v>
      </c>
      <c r="B839" s="9" t="s">
        <v>193</v>
      </c>
      <c r="C839" s="9" t="s">
        <v>1051</v>
      </c>
      <c r="D839" s="10">
        <v>45869</v>
      </c>
      <c r="E839" s="10">
        <v>45900</v>
      </c>
      <c r="F839" s="10">
        <f>净值原始!C7340</f>
        <v>45869</v>
      </c>
      <c r="G839" s="10">
        <f>净值原始!C7345</f>
        <v>45898</v>
      </c>
      <c r="H839" s="15">
        <f>净值原始!F7340</f>
        <v>1.0387</v>
      </c>
      <c r="I839" s="15">
        <f>净值原始!F7345</f>
        <v>1.0481</v>
      </c>
      <c r="J839" s="11">
        <f t="shared" si="39"/>
        <v>0.00904977375565608</v>
      </c>
      <c r="K839" s="9">
        <f>IF(COUNT(F839:I839)&lt;&gt;4,0,IF(AND(G839&gt;F839,H839&gt;0,I839&gt;0,L839&lt;='Sheet1-指标体系'!$J$31,M839&lt;='Sheet1-指标体系'!$J$31),1,0))</f>
        <v>1</v>
      </c>
      <c r="L839" s="9">
        <f t="shared" si="40"/>
        <v>0</v>
      </c>
      <c r="M839" s="9">
        <f t="shared" si="41"/>
        <v>2</v>
      </c>
    </row>
    <row r="840" ht="25" customHeight="1" spans="1:13">
      <c r="A840" s="9" t="s">
        <v>194</v>
      </c>
      <c r="B840" s="9" t="s">
        <v>193</v>
      </c>
      <c r="C840" s="9" t="s">
        <v>1052</v>
      </c>
      <c r="D840" s="10">
        <v>45900</v>
      </c>
      <c r="E840" s="10">
        <v>45930</v>
      </c>
      <c r="F840" s="10">
        <f>净值原始!C7345</f>
        <v>45898</v>
      </c>
      <c r="G840" s="10">
        <f>净值原始!C7350</f>
        <v>45930</v>
      </c>
      <c r="H840" s="15">
        <f>净值原始!F7345</f>
        <v>1.0481</v>
      </c>
      <c r="I840" s="15">
        <f>净值原始!F7350</f>
        <v>1.0663</v>
      </c>
      <c r="J840" s="11">
        <f t="shared" si="39"/>
        <v>0.0173647552714435</v>
      </c>
      <c r="K840" s="9">
        <f>IF(COUNT(F840:I840)&lt;&gt;4,0,IF(AND(G840&gt;F840,H840&gt;0,I840&gt;0,L840&lt;='Sheet1-指标体系'!$J$31,M840&lt;='Sheet1-指标体系'!$J$31),1,0))</f>
        <v>1</v>
      </c>
      <c r="L840" s="9">
        <f t="shared" si="40"/>
        <v>2</v>
      </c>
      <c r="M840" s="9">
        <f t="shared" si="41"/>
        <v>0</v>
      </c>
    </row>
    <row r="841" ht="25" customHeight="1" spans="1:13">
      <c r="A841" s="9" t="s">
        <v>194</v>
      </c>
      <c r="B841" s="9" t="s">
        <v>193</v>
      </c>
      <c r="C841" s="9" t="s">
        <v>1053</v>
      </c>
      <c r="D841" s="10">
        <v>45930</v>
      </c>
      <c r="E841" s="10">
        <v>45961</v>
      </c>
      <c r="F841" s="10">
        <f>净值原始!C7350</f>
        <v>45930</v>
      </c>
      <c r="G841" s="10">
        <f>净值原始!C7354</f>
        <v>45961</v>
      </c>
      <c r="H841" s="15">
        <f>净值原始!F7350</f>
        <v>1.0663</v>
      </c>
      <c r="I841" s="15">
        <f>净值原始!F7354</f>
        <v>1.0701</v>
      </c>
      <c r="J841" s="11">
        <f t="shared" si="39"/>
        <v>0.00356372503047919</v>
      </c>
      <c r="K841" s="9">
        <f>IF(COUNT(F841:I841)&lt;&gt;4,0,IF(AND(G841&gt;F841,H841&gt;0,I841&gt;0,L841&lt;='Sheet1-指标体系'!$J$31,M841&lt;='Sheet1-指标体系'!$J$31),1,0))</f>
        <v>1</v>
      </c>
      <c r="L841" s="9">
        <f t="shared" si="40"/>
        <v>0</v>
      </c>
      <c r="M841" s="9">
        <f t="shared" si="41"/>
        <v>0</v>
      </c>
    </row>
    <row r="842" ht="25" customHeight="1" spans="1:13">
      <c r="A842" s="9" t="s">
        <v>194</v>
      </c>
      <c r="B842" s="9" t="s">
        <v>193</v>
      </c>
      <c r="C842" s="9" t="s">
        <v>1054</v>
      </c>
      <c r="D842" s="10">
        <v>45961</v>
      </c>
      <c r="E842" s="10">
        <v>45991</v>
      </c>
      <c r="F842" s="10">
        <f>净值原始!C7354</f>
        <v>45961</v>
      </c>
      <c r="G842" s="10">
        <f>净值原始!C7358</f>
        <v>45989</v>
      </c>
      <c r="H842" s="15">
        <f>净值原始!F7354</f>
        <v>1.0701</v>
      </c>
      <c r="I842" s="15">
        <f>净值原始!F7358</f>
        <v>1.0707</v>
      </c>
      <c r="J842" s="11">
        <f t="shared" si="39"/>
        <v>0.000560695262124877</v>
      </c>
      <c r="K842" s="9">
        <f>IF(COUNT(F842:I842)&lt;&gt;4,0,IF(AND(G842&gt;F842,H842&gt;0,I842&gt;0,L842&lt;='Sheet1-指标体系'!$J$31,M842&lt;='Sheet1-指标体系'!$J$31),1,0))</f>
        <v>1</v>
      </c>
      <c r="L842" s="9">
        <f t="shared" si="40"/>
        <v>0</v>
      </c>
      <c r="M842" s="9">
        <f t="shared" si="41"/>
        <v>2</v>
      </c>
    </row>
    <row r="843" ht="25" customHeight="1" spans="1:13">
      <c r="A843" s="9" t="s">
        <v>194</v>
      </c>
      <c r="B843" s="9" t="s">
        <v>193</v>
      </c>
      <c r="C843" s="9" t="s">
        <v>1055</v>
      </c>
      <c r="D843" s="10">
        <v>45991</v>
      </c>
      <c r="E843" s="10">
        <v>46022</v>
      </c>
      <c r="F843" s="10">
        <f>净值原始!C7358</f>
        <v>45989</v>
      </c>
      <c r="G843" s="10">
        <f>净值原始!C7363</f>
        <v>46022</v>
      </c>
      <c r="H843" s="15">
        <f>净值原始!F7358</f>
        <v>1.0707</v>
      </c>
      <c r="I843" s="15">
        <f>净值原始!F7363</f>
        <v>1.0773</v>
      </c>
      <c r="J843" s="11">
        <f t="shared" si="39"/>
        <v>0.00616419165032212</v>
      </c>
      <c r="K843" s="9">
        <f>IF(COUNT(F843:I843)&lt;&gt;4,0,IF(AND(G843&gt;F843,H843&gt;0,I843&gt;0,L843&lt;='Sheet1-指标体系'!$J$31,M843&lt;='Sheet1-指标体系'!$J$31),1,0))</f>
        <v>1</v>
      </c>
      <c r="L843" s="9">
        <f t="shared" si="40"/>
        <v>2</v>
      </c>
      <c r="M843" s="9">
        <f t="shared" si="41"/>
        <v>0</v>
      </c>
    </row>
    <row r="844" ht="25" customHeight="1" spans="1:13">
      <c r="A844" s="9" t="s">
        <v>194</v>
      </c>
      <c r="B844" s="9" t="s">
        <v>193</v>
      </c>
      <c r="C844" s="9" t="s">
        <v>1056</v>
      </c>
      <c r="D844" s="10">
        <v>46022</v>
      </c>
      <c r="E844" s="10">
        <v>46053</v>
      </c>
      <c r="F844" s="10">
        <f>净值原始!C7363</f>
        <v>46022</v>
      </c>
      <c r="G844" s="10">
        <f>净值原始!C7367</f>
        <v>46052</v>
      </c>
      <c r="H844" s="15">
        <f>净值原始!F7363</f>
        <v>1.0773</v>
      </c>
      <c r="I844" s="15">
        <f>净值原始!F7367</f>
        <v>1.1326</v>
      </c>
      <c r="J844" s="11">
        <f t="shared" si="39"/>
        <v>0.0513320337881742</v>
      </c>
      <c r="K844" s="9">
        <f>IF(COUNT(F844:I844)&lt;&gt;4,0,IF(AND(G844&gt;F844,H844&gt;0,I844&gt;0,L844&lt;='Sheet1-指标体系'!$J$31,M844&lt;='Sheet1-指标体系'!$J$31),1,0))</f>
        <v>1</v>
      </c>
      <c r="L844" s="9">
        <f t="shared" si="40"/>
        <v>0</v>
      </c>
      <c r="M844" s="9">
        <f t="shared" si="41"/>
        <v>1</v>
      </c>
    </row>
    <row r="845" ht="25" customHeight="1" spans="1:13">
      <c r="A845" s="9" t="s">
        <v>194</v>
      </c>
      <c r="B845" s="9" t="s">
        <v>193</v>
      </c>
      <c r="C845" s="9" t="s">
        <v>1057</v>
      </c>
      <c r="D845" s="10">
        <v>46053</v>
      </c>
      <c r="E845" s="10">
        <v>46081</v>
      </c>
      <c r="F845" s="10">
        <f>净值原始!C7367</f>
        <v>46052</v>
      </c>
      <c r="G845" s="10">
        <f>净值原始!C7370</f>
        <v>46080</v>
      </c>
      <c r="H845" s="15">
        <f>净值原始!F7367</f>
        <v>1.1326</v>
      </c>
      <c r="I845" s="15">
        <f>净值原始!F7370</f>
        <v>1.1528</v>
      </c>
      <c r="J845" s="11">
        <f t="shared" si="39"/>
        <v>0.0178350697510155</v>
      </c>
      <c r="K845" s="9">
        <f>IF(COUNT(F845:I845)&lt;&gt;4,0,IF(AND(G845&gt;F845,H845&gt;0,I845&gt;0,L845&lt;='Sheet1-指标体系'!$J$31,M845&lt;='Sheet1-指标体系'!$J$31),1,0))</f>
        <v>1</v>
      </c>
      <c r="L845" s="9">
        <f t="shared" si="40"/>
        <v>1</v>
      </c>
      <c r="M845" s="9">
        <f t="shared" si="41"/>
        <v>1</v>
      </c>
    </row>
    <row r="846" ht="25" customHeight="1" spans="1:13">
      <c r="A846" s="9" t="s">
        <v>194</v>
      </c>
      <c r="B846" s="9" t="s">
        <v>193</v>
      </c>
      <c r="C846" s="9" t="s">
        <v>1058</v>
      </c>
      <c r="D846" s="10">
        <v>46081</v>
      </c>
      <c r="E846" s="10">
        <v>46112</v>
      </c>
      <c r="F846" s="10">
        <f>净值原始!C7370</f>
        <v>46080</v>
      </c>
      <c r="G846" s="10">
        <f>净值原始!C7374</f>
        <v>46108</v>
      </c>
      <c r="H846" s="15">
        <f>净值原始!F7370</f>
        <v>1.1528</v>
      </c>
      <c r="I846" s="15">
        <f>净值原始!F7374</f>
        <v>1.1577</v>
      </c>
      <c r="J846" s="11">
        <f t="shared" si="39"/>
        <v>0.00425052047189434</v>
      </c>
      <c r="K846" s="9">
        <f>IF(COUNT(F846:I846)&lt;&gt;4,0,IF(AND(G846&gt;F846,H846&gt;0,I846&gt;0,L846&lt;='Sheet1-指标体系'!$J$31,M846&lt;='Sheet1-指标体系'!$J$31),1,0))</f>
        <v>1</v>
      </c>
      <c r="L846" s="9">
        <f t="shared" si="40"/>
        <v>1</v>
      </c>
      <c r="M846" s="9">
        <f t="shared" si="41"/>
        <v>4</v>
      </c>
    </row>
    <row r="847" ht="25" customHeight="1" spans="1:13">
      <c r="A847" s="9" t="s">
        <v>194</v>
      </c>
      <c r="B847" s="9" t="s">
        <v>193</v>
      </c>
      <c r="C847" s="9" t="s">
        <v>1059</v>
      </c>
      <c r="D847" s="10">
        <v>46112</v>
      </c>
      <c r="E847" s="10">
        <v>46142</v>
      </c>
      <c r="F847" s="10">
        <f>净值原始!C7374</f>
        <v>46108</v>
      </c>
      <c r="G847" s="10">
        <f>净值原始!C7379</f>
        <v>46142</v>
      </c>
      <c r="H847" s="15">
        <f>净值原始!F7374</f>
        <v>1.1577</v>
      </c>
      <c r="I847" s="15">
        <f>净值原始!F7379</f>
        <v>1.1656</v>
      </c>
      <c r="J847" s="11">
        <f t="shared" si="39"/>
        <v>0.00682387492441916</v>
      </c>
      <c r="K847" s="9">
        <f>IF(COUNT(F847:I847)&lt;&gt;4,0,IF(AND(G847&gt;F847,H847&gt;0,I847&gt;0,L847&lt;='Sheet1-指标体系'!$J$31,M847&lt;='Sheet1-指标体系'!$J$31),1,0))</f>
        <v>1</v>
      </c>
      <c r="L847" s="9">
        <f t="shared" si="40"/>
        <v>4</v>
      </c>
      <c r="M847" s="9">
        <f t="shared" si="41"/>
        <v>0</v>
      </c>
    </row>
    <row r="848" ht="25" customHeight="1" spans="1:13">
      <c r="A848" s="9" t="s">
        <v>194</v>
      </c>
      <c r="B848" s="9" t="s">
        <v>193</v>
      </c>
      <c r="C848" s="9" t="s">
        <v>1060</v>
      </c>
      <c r="D848" s="10">
        <v>46142</v>
      </c>
      <c r="E848" s="10">
        <v>46173</v>
      </c>
      <c r="F848" s="10">
        <f>净值原始!C7379</f>
        <v>46142</v>
      </c>
      <c r="G848" s="10">
        <f>净值原始!C7383</f>
        <v>46171</v>
      </c>
      <c r="H848" s="15">
        <f>净值原始!F7379</f>
        <v>1.1656</v>
      </c>
      <c r="I848" s="15">
        <f>净值原始!F7383</f>
        <v>1.1766</v>
      </c>
      <c r="J848" s="11">
        <f t="shared" si="39"/>
        <v>0.00943719972546342</v>
      </c>
      <c r="K848" s="9">
        <f>IF(COUNT(F848:I848)&lt;&gt;4,0,IF(AND(G848&gt;F848,H848&gt;0,I848&gt;0,L848&lt;='Sheet1-指标体系'!$J$31,M848&lt;='Sheet1-指标体系'!$J$31),1,0))</f>
        <v>1</v>
      </c>
      <c r="L848" s="9">
        <f t="shared" si="40"/>
        <v>0</v>
      </c>
      <c r="M848" s="9">
        <f t="shared" si="41"/>
        <v>2</v>
      </c>
    </row>
    <row r="849" ht="25" customHeight="1" spans="1:13">
      <c r="A849" s="9" t="s">
        <v>194</v>
      </c>
      <c r="B849" s="9" t="s">
        <v>193</v>
      </c>
      <c r="C849" s="9" t="s">
        <v>1061</v>
      </c>
      <c r="D849" s="10">
        <v>46173</v>
      </c>
      <c r="E849" s="10">
        <v>46203</v>
      </c>
      <c r="F849" s="10">
        <f>净值原始!C7383</f>
        <v>46171</v>
      </c>
      <c r="G849" s="10">
        <f>净值原始!C7388</f>
        <v>46203</v>
      </c>
      <c r="H849" s="15">
        <f>净值原始!F7383</f>
        <v>1.1766</v>
      </c>
      <c r="I849" s="15">
        <f>净值原始!F7388</f>
        <v>1.2043</v>
      </c>
      <c r="J849" s="11">
        <f t="shared" si="39"/>
        <v>0.0235424103348629</v>
      </c>
      <c r="K849" s="9">
        <f>IF(COUNT(F849:I849)&lt;&gt;4,0,IF(AND(G849&gt;F849,H849&gt;0,I849&gt;0,L849&lt;='Sheet1-指标体系'!$J$31,M849&lt;='Sheet1-指标体系'!$J$31),1,0))</f>
        <v>1</v>
      </c>
      <c r="L849" s="9">
        <f t="shared" si="40"/>
        <v>2</v>
      </c>
      <c r="M849" s="9">
        <f t="shared" si="41"/>
        <v>0</v>
      </c>
    </row>
    <row r="850" ht="25" customHeight="1" spans="1:13">
      <c r="A850" s="9" t="s">
        <v>194</v>
      </c>
      <c r="B850" s="9" t="s">
        <v>193</v>
      </c>
      <c r="C850" s="9" t="s">
        <v>1062</v>
      </c>
      <c r="D850" s="10">
        <v>46203</v>
      </c>
      <c r="E850" s="10">
        <v>46234</v>
      </c>
      <c r="F850" s="10">
        <f>净值原始!C7388</f>
        <v>46203</v>
      </c>
      <c r="G850" s="10">
        <f>净值原始!C7393</f>
        <v>46234</v>
      </c>
      <c r="H850" s="15">
        <f>净值原始!F7388</f>
        <v>1.2043</v>
      </c>
      <c r="I850" s="15">
        <f>净值原始!F7393</f>
        <v>1.3816</v>
      </c>
      <c r="J850" s="11">
        <f t="shared" si="39"/>
        <v>0.14722245287719</v>
      </c>
      <c r="K850" s="9">
        <f>IF(COUNT(F850:I850)&lt;&gt;4,0,IF(AND(G850&gt;F850,H850&gt;0,I850&gt;0,L850&lt;='Sheet1-指标体系'!$J$31,M850&lt;='Sheet1-指标体系'!$J$31),1,0))</f>
        <v>1</v>
      </c>
      <c r="L850" s="9">
        <f t="shared" si="40"/>
        <v>0</v>
      </c>
      <c r="M850" s="9">
        <f t="shared" si="41"/>
        <v>0</v>
      </c>
    </row>
    <row r="851" ht="25" customHeight="1" spans="1:13">
      <c r="A851" s="9" t="s">
        <v>194</v>
      </c>
      <c r="B851" s="9" t="s">
        <v>193</v>
      </c>
      <c r="C851" s="9" t="s">
        <v>1063</v>
      </c>
      <c r="D851" s="10">
        <v>46234</v>
      </c>
      <c r="E851" s="10">
        <v>46265</v>
      </c>
      <c r="F851" s="10">
        <f>净值原始!C7393</f>
        <v>46234</v>
      </c>
      <c r="G851" s="10">
        <f>净值原始!C7399</f>
        <v>46265</v>
      </c>
      <c r="H851" s="15">
        <f>净值原始!F7393</f>
        <v>1.3816</v>
      </c>
      <c r="I851" s="15">
        <f>净值原始!F7399</f>
        <v>1.3824</v>
      </c>
      <c r="J851" s="11">
        <f t="shared" si="39"/>
        <v>0.000579038795599507</v>
      </c>
      <c r="K851" s="9">
        <f>IF(COUNT(F851:I851)&lt;&gt;4,0,IF(AND(G851&gt;F851,H851&gt;0,I851&gt;0,L851&lt;='Sheet1-指标体系'!$J$31,M851&lt;='Sheet1-指标体系'!$J$31),1,0))</f>
        <v>1</v>
      </c>
      <c r="L851" s="9">
        <f t="shared" si="40"/>
        <v>0</v>
      </c>
      <c r="M851" s="9">
        <f t="shared" si="41"/>
        <v>0</v>
      </c>
    </row>
    <row r="852" ht="25" customHeight="1" spans="1:13">
      <c r="A852" s="9" t="s">
        <v>194</v>
      </c>
      <c r="B852" s="9" t="s">
        <v>193</v>
      </c>
      <c r="C852" s="9" t="s">
        <v>1064</v>
      </c>
      <c r="D852" s="10">
        <v>46265</v>
      </c>
      <c r="E852" s="10">
        <v>46269</v>
      </c>
      <c r="F852" s="10">
        <f>净值原始!C7399</f>
        <v>46265</v>
      </c>
      <c r="G852" s="10">
        <f>净值原始!C7399</f>
        <v>46265</v>
      </c>
      <c r="H852" s="15">
        <f>净值原始!F7399</f>
        <v>1.3824</v>
      </c>
      <c r="I852" s="15">
        <f>净值原始!F7399</f>
        <v>1.3824</v>
      </c>
      <c r="J852" s="11" t="str">
        <f t="shared" si="39"/>
        <v/>
      </c>
      <c r="K852" s="9">
        <f>IF(COUNT(F852:I852)&lt;&gt;4,0,IF(AND(G852&gt;F852,H852&gt;0,I852&gt;0,L852&lt;='Sheet1-指标体系'!$J$31,M852&lt;='Sheet1-指标体系'!$J$31),1,0))</f>
        <v>0</v>
      </c>
      <c r="L852" s="9">
        <f t="shared" si="40"/>
        <v>0</v>
      </c>
      <c r="M852" s="9">
        <f t="shared" si="41"/>
        <v>4</v>
      </c>
    </row>
    <row r="853" ht="25" customHeight="1" spans="1:13">
      <c r="A853" s="9" t="s">
        <v>199</v>
      </c>
      <c r="B853" s="9" t="s">
        <v>198</v>
      </c>
      <c r="C853" s="9" t="s">
        <v>1028</v>
      </c>
      <c r="D853" s="10">
        <v>45169</v>
      </c>
      <c r="E853" s="10">
        <v>45199</v>
      </c>
      <c r="F853" s="10"/>
      <c r="G853" s="10"/>
      <c r="H853" s="15"/>
      <c r="I853" s="15"/>
      <c r="J853" s="11" t="str">
        <f t="shared" si="39"/>
        <v/>
      </c>
      <c r="K853" s="9">
        <f>IF(COUNT(F853:I853)&lt;&gt;4,0,IF(AND(G853&gt;F853,H853&gt;0,I853&gt;0,L853&lt;='Sheet1-指标体系'!$J$31,M853&lt;='Sheet1-指标体系'!$J$31),1,0))</f>
        <v>0</v>
      </c>
      <c r="L853" s="9" t="str">
        <f t="shared" si="40"/>
        <v/>
      </c>
      <c r="M853" s="9" t="str">
        <f t="shared" si="41"/>
        <v/>
      </c>
    </row>
    <row r="854" ht="25" customHeight="1" spans="1:13">
      <c r="A854" s="9" t="s">
        <v>199</v>
      </c>
      <c r="B854" s="9" t="s">
        <v>198</v>
      </c>
      <c r="C854" s="9" t="s">
        <v>1029</v>
      </c>
      <c r="D854" s="10">
        <v>45199</v>
      </c>
      <c r="E854" s="10">
        <v>45230</v>
      </c>
      <c r="F854" s="10"/>
      <c r="G854" s="10"/>
      <c r="H854" s="15"/>
      <c r="I854" s="15"/>
      <c r="J854" s="11" t="str">
        <f t="shared" si="39"/>
        <v/>
      </c>
      <c r="K854" s="9">
        <f>IF(COUNT(F854:I854)&lt;&gt;4,0,IF(AND(G854&gt;F854,H854&gt;0,I854&gt;0,L854&lt;='Sheet1-指标体系'!$J$31,M854&lt;='Sheet1-指标体系'!$J$31),1,0))</f>
        <v>0</v>
      </c>
      <c r="L854" s="9" t="str">
        <f t="shared" si="40"/>
        <v/>
      </c>
      <c r="M854" s="9" t="str">
        <f t="shared" si="41"/>
        <v/>
      </c>
    </row>
    <row r="855" ht="25" customHeight="1" spans="1:13">
      <c r="A855" s="9" t="s">
        <v>199</v>
      </c>
      <c r="B855" s="9" t="s">
        <v>198</v>
      </c>
      <c r="C855" s="9" t="s">
        <v>1030</v>
      </c>
      <c r="D855" s="10">
        <v>45230</v>
      </c>
      <c r="E855" s="10">
        <v>45260</v>
      </c>
      <c r="F855" s="10"/>
      <c r="G855" s="10"/>
      <c r="H855" s="15"/>
      <c r="I855" s="15"/>
      <c r="J855" s="11" t="str">
        <f t="shared" si="39"/>
        <v/>
      </c>
      <c r="K855" s="9">
        <f>IF(COUNT(F855:I855)&lt;&gt;4,0,IF(AND(G855&gt;F855,H855&gt;0,I855&gt;0,L855&lt;='Sheet1-指标体系'!$J$31,M855&lt;='Sheet1-指标体系'!$J$31),1,0))</f>
        <v>0</v>
      </c>
      <c r="L855" s="9" t="str">
        <f t="shared" si="40"/>
        <v/>
      </c>
      <c r="M855" s="9" t="str">
        <f t="shared" si="41"/>
        <v/>
      </c>
    </row>
    <row r="856" ht="25" customHeight="1" spans="1:13">
      <c r="A856" s="9" t="s">
        <v>199</v>
      </c>
      <c r="B856" s="9" t="s">
        <v>198</v>
      </c>
      <c r="C856" s="9" t="s">
        <v>1031</v>
      </c>
      <c r="D856" s="10">
        <v>45260</v>
      </c>
      <c r="E856" s="10">
        <v>45291</v>
      </c>
      <c r="F856" s="10"/>
      <c r="G856" s="10"/>
      <c r="H856" s="15"/>
      <c r="I856" s="15"/>
      <c r="J856" s="11" t="str">
        <f t="shared" si="39"/>
        <v/>
      </c>
      <c r="K856" s="9">
        <f>IF(COUNT(F856:I856)&lt;&gt;4,0,IF(AND(G856&gt;F856,H856&gt;0,I856&gt;0,L856&lt;='Sheet1-指标体系'!$J$31,M856&lt;='Sheet1-指标体系'!$J$31),1,0))</f>
        <v>0</v>
      </c>
      <c r="L856" s="9" t="str">
        <f t="shared" si="40"/>
        <v/>
      </c>
      <c r="M856" s="9" t="str">
        <f t="shared" si="41"/>
        <v/>
      </c>
    </row>
    <row r="857" ht="25" customHeight="1" spans="1:13">
      <c r="A857" s="9" t="s">
        <v>199</v>
      </c>
      <c r="B857" s="9" t="s">
        <v>198</v>
      </c>
      <c r="C857" s="9" t="s">
        <v>1032</v>
      </c>
      <c r="D857" s="10">
        <v>45291</v>
      </c>
      <c r="E857" s="10">
        <v>45322</v>
      </c>
      <c r="F857" s="10"/>
      <c r="G857" s="10"/>
      <c r="H857" s="15"/>
      <c r="I857" s="15"/>
      <c r="J857" s="11" t="str">
        <f t="shared" si="39"/>
        <v/>
      </c>
      <c r="K857" s="9">
        <f>IF(COUNT(F857:I857)&lt;&gt;4,0,IF(AND(G857&gt;F857,H857&gt;0,I857&gt;0,L857&lt;='Sheet1-指标体系'!$J$31,M857&lt;='Sheet1-指标体系'!$J$31),1,0))</f>
        <v>0</v>
      </c>
      <c r="L857" s="9" t="str">
        <f t="shared" si="40"/>
        <v/>
      </c>
      <c r="M857" s="9" t="str">
        <f t="shared" si="41"/>
        <v/>
      </c>
    </row>
    <row r="858" ht="25" customHeight="1" spans="1:13">
      <c r="A858" s="9" t="s">
        <v>199</v>
      </c>
      <c r="B858" s="9" t="s">
        <v>198</v>
      </c>
      <c r="C858" s="9" t="s">
        <v>1033</v>
      </c>
      <c r="D858" s="10">
        <v>45322</v>
      </c>
      <c r="E858" s="10">
        <v>45351</v>
      </c>
      <c r="F858" s="10"/>
      <c r="G858" s="10"/>
      <c r="H858" s="15"/>
      <c r="I858" s="15"/>
      <c r="J858" s="11" t="str">
        <f t="shared" si="39"/>
        <v/>
      </c>
      <c r="K858" s="9">
        <f>IF(COUNT(F858:I858)&lt;&gt;4,0,IF(AND(G858&gt;F858,H858&gt;0,I858&gt;0,L858&lt;='Sheet1-指标体系'!$J$31,M858&lt;='Sheet1-指标体系'!$J$31),1,0))</f>
        <v>0</v>
      </c>
      <c r="L858" s="9" t="str">
        <f t="shared" si="40"/>
        <v/>
      </c>
      <c r="M858" s="9" t="str">
        <f t="shared" si="41"/>
        <v/>
      </c>
    </row>
    <row r="859" ht="25" customHeight="1" spans="1:13">
      <c r="A859" s="9" t="s">
        <v>199</v>
      </c>
      <c r="B859" s="9" t="s">
        <v>198</v>
      </c>
      <c r="C859" s="9" t="s">
        <v>1034</v>
      </c>
      <c r="D859" s="10">
        <v>45351</v>
      </c>
      <c r="E859" s="10">
        <v>45382</v>
      </c>
      <c r="F859" s="10"/>
      <c r="G859" s="10"/>
      <c r="H859" s="15"/>
      <c r="I859" s="15"/>
      <c r="J859" s="11" t="str">
        <f t="shared" si="39"/>
        <v/>
      </c>
      <c r="K859" s="9">
        <f>IF(COUNT(F859:I859)&lt;&gt;4,0,IF(AND(G859&gt;F859,H859&gt;0,I859&gt;0,L859&lt;='Sheet1-指标体系'!$J$31,M859&lt;='Sheet1-指标体系'!$J$31),1,0))</f>
        <v>0</v>
      </c>
      <c r="L859" s="9" t="str">
        <f t="shared" si="40"/>
        <v/>
      </c>
      <c r="M859" s="9" t="str">
        <f t="shared" si="41"/>
        <v/>
      </c>
    </row>
    <row r="860" ht="25" customHeight="1" spans="1:13">
      <c r="A860" s="9" t="s">
        <v>199</v>
      </c>
      <c r="B860" s="9" t="s">
        <v>198</v>
      </c>
      <c r="C860" s="9" t="s">
        <v>1035</v>
      </c>
      <c r="D860" s="10">
        <v>45382</v>
      </c>
      <c r="E860" s="10">
        <v>45412</v>
      </c>
      <c r="F860" s="10"/>
      <c r="G860" s="10"/>
      <c r="H860" s="15"/>
      <c r="I860" s="15"/>
      <c r="J860" s="11" t="str">
        <f t="shared" si="39"/>
        <v/>
      </c>
      <c r="K860" s="9">
        <f>IF(COUNT(F860:I860)&lt;&gt;4,0,IF(AND(G860&gt;F860,H860&gt;0,I860&gt;0,L860&lt;='Sheet1-指标体系'!$J$31,M860&lt;='Sheet1-指标体系'!$J$31),1,0))</f>
        <v>0</v>
      </c>
      <c r="L860" s="9" t="str">
        <f t="shared" si="40"/>
        <v/>
      </c>
      <c r="M860" s="9" t="str">
        <f t="shared" si="41"/>
        <v/>
      </c>
    </row>
    <row r="861" ht="25" customHeight="1" spans="1:13">
      <c r="A861" s="9" t="s">
        <v>199</v>
      </c>
      <c r="B861" s="9" t="s">
        <v>198</v>
      </c>
      <c r="C861" s="9" t="s">
        <v>1036</v>
      </c>
      <c r="D861" s="10">
        <v>45412</v>
      </c>
      <c r="E861" s="10">
        <v>45443</v>
      </c>
      <c r="F861" s="10"/>
      <c r="G861" s="10"/>
      <c r="H861" s="15"/>
      <c r="I861" s="15"/>
      <c r="J861" s="11" t="str">
        <f t="shared" si="39"/>
        <v/>
      </c>
      <c r="K861" s="9">
        <f>IF(COUNT(F861:I861)&lt;&gt;4,0,IF(AND(G861&gt;F861,H861&gt;0,I861&gt;0,L861&lt;='Sheet1-指标体系'!$J$31,M861&lt;='Sheet1-指标体系'!$J$31),1,0))</f>
        <v>0</v>
      </c>
      <c r="L861" s="9" t="str">
        <f t="shared" si="40"/>
        <v/>
      </c>
      <c r="M861" s="9" t="str">
        <f t="shared" si="41"/>
        <v/>
      </c>
    </row>
    <row r="862" ht="25" customHeight="1" spans="1:13">
      <c r="A862" s="9" t="s">
        <v>199</v>
      </c>
      <c r="B862" s="9" t="s">
        <v>198</v>
      </c>
      <c r="C862" s="9" t="s">
        <v>1037</v>
      </c>
      <c r="D862" s="10">
        <v>45443</v>
      </c>
      <c r="E862" s="10">
        <v>45473</v>
      </c>
      <c r="F862" s="10"/>
      <c r="G862" s="10"/>
      <c r="H862" s="15"/>
      <c r="I862" s="15"/>
      <c r="J862" s="11" t="str">
        <f t="shared" si="39"/>
        <v/>
      </c>
      <c r="K862" s="9">
        <f>IF(COUNT(F862:I862)&lt;&gt;4,0,IF(AND(G862&gt;F862,H862&gt;0,I862&gt;0,L862&lt;='Sheet1-指标体系'!$J$31,M862&lt;='Sheet1-指标体系'!$J$31),1,0))</f>
        <v>0</v>
      </c>
      <c r="L862" s="9" t="str">
        <f t="shared" si="40"/>
        <v/>
      </c>
      <c r="M862" s="9" t="str">
        <f t="shared" si="41"/>
        <v/>
      </c>
    </row>
    <row r="863" ht="25" customHeight="1" spans="1:13">
      <c r="A863" s="9" t="s">
        <v>199</v>
      </c>
      <c r="B863" s="9" t="s">
        <v>198</v>
      </c>
      <c r="C863" s="9" t="s">
        <v>1038</v>
      </c>
      <c r="D863" s="10">
        <v>45473</v>
      </c>
      <c r="E863" s="10">
        <v>45504</v>
      </c>
      <c r="F863" s="10"/>
      <c r="G863" s="10"/>
      <c r="H863" s="15"/>
      <c r="I863" s="15"/>
      <c r="J863" s="11" t="str">
        <f t="shared" si="39"/>
        <v/>
      </c>
      <c r="K863" s="9">
        <f>IF(COUNT(F863:I863)&lt;&gt;4,0,IF(AND(G863&gt;F863,H863&gt;0,I863&gt;0,L863&lt;='Sheet1-指标体系'!$J$31,M863&lt;='Sheet1-指标体系'!$J$31),1,0))</f>
        <v>0</v>
      </c>
      <c r="L863" s="9" t="str">
        <f t="shared" si="40"/>
        <v/>
      </c>
      <c r="M863" s="9" t="str">
        <f t="shared" si="41"/>
        <v/>
      </c>
    </row>
    <row r="864" ht="25" customHeight="1" spans="1:13">
      <c r="A864" s="9" t="s">
        <v>199</v>
      </c>
      <c r="B864" s="9" t="s">
        <v>198</v>
      </c>
      <c r="C864" s="9" t="s">
        <v>1039</v>
      </c>
      <c r="D864" s="10">
        <v>45504</v>
      </c>
      <c r="E864" s="10">
        <v>45535</v>
      </c>
      <c r="F864" s="10"/>
      <c r="G864" s="10"/>
      <c r="H864" s="15"/>
      <c r="I864" s="15"/>
      <c r="J864" s="11" t="str">
        <f t="shared" si="39"/>
        <v/>
      </c>
      <c r="K864" s="9">
        <f>IF(COUNT(F864:I864)&lt;&gt;4,0,IF(AND(G864&gt;F864,H864&gt;0,I864&gt;0,L864&lt;='Sheet1-指标体系'!$J$31,M864&lt;='Sheet1-指标体系'!$J$31),1,0))</f>
        <v>0</v>
      </c>
      <c r="L864" s="9" t="str">
        <f t="shared" si="40"/>
        <v/>
      </c>
      <c r="M864" s="9" t="str">
        <f t="shared" si="41"/>
        <v/>
      </c>
    </row>
    <row r="865" ht="25" customHeight="1" spans="1:13">
      <c r="A865" s="9" t="s">
        <v>199</v>
      </c>
      <c r="B865" s="9" t="s">
        <v>198</v>
      </c>
      <c r="C865" s="9" t="s">
        <v>1040</v>
      </c>
      <c r="D865" s="10">
        <v>45535</v>
      </c>
      <c r="E865" s="10">
        <v>45565</v>
      </c>
      <c r="F865" s="10"/>
      <c r="G865" s="10"/>
      <c r="H865" s="15"/>
      <c r="I865" s="15"/>
      <c r="J865" s="11" t="str">
        <f t="shared" si="39"/>
        <v/>
      </c>
      <c r="K865" s="9">
        <f>IF(COUNT(F865:I865)&lt;&gt;4,0,IF(AND(G865&gt;F865,H865&gt;0,I865&gt;0,L865&lt;='Sheet1-指标体系'!$J$31,M865&lt;='Sheet1-指标体系'!$J$31),1,0))</f>
        <v>0</v>
      </c>
      <c r="L865" s="9" t="str">
        <f t="shared" si="40"/>
        <v/>
      </c>
      <c r="M865" s="9" t="str">
        <f t="shared" si="41"/>
        <v/>
      </c>
    </row>
    <row r="866" ht="25" customHeight="1" spans="1:13">
      <c r="A866" s="9" t="s">
        <v>199</v>
      </c>
      <c r="B866" s="9" t="s">
        <v>198</v>
      </c>
      <c r="C866" s="9" t="s">
        <v>1041</v>
      </c>
      <c r="D866" s="10">
        <v>45565</v>
      </c>
      <c r="E866" s="10">
        <v>45596</v>
      </c>
      <c r="F866" s="10"/>
      <c r="G866" s="10"/>
      <c r="H866" s="15"/>
      <c r="I866" s="15"/>
      <c r="J866" s="11" t="str">
        <f t="shared" si="39"/>
        <v/>
      </c>
      <c r="K866" s="9">
        <f>IF(COUNT(F866:I866)&lt;&gt;4,0,IF(AND(G866&gt;F866,H866&gt;0,I866&gt;0,L866&lt;='Sheet1-指标体系'!$J$31,M866&lt;='Sheet1-指标体系'!$J$31),1,0))</f>
        <v>0</v>
      </c>
      <c r="L866" s="9" t="str">
        <f t="shared" si="40"/>
        <v/>
      </c>
      <c r="M866" s="9" t="str">
        <f t="shared" si="41"/>
        <v/>
      </c>
    </row>
    <row r="867" ht="25" customHeight="1" spans="1:13">
      <c r="A867" s="9" t="s">
        <v>199</v>
      </c>
      <c r="B867" s="9" t="s">
        <v>198</v>
      </c>
      <c r="C867" s="9" t="s">
        <v>1042</v>
      </c>
      <c r="D867" s="10">
        <v>45596</v>
      </c>
      <c r="E867" s="10">
        <v>45626</v>
      </c>
      <c r="F867" s="10"/>
      <c r="G867" s="10"/>
      <c r="H867" s="15"/>
      <c r="I867" s="15"/>
      <c r="J867" s="11" t="str">
        <f t="shared" si="39"/>
        <v/>
      </c>
      <c r="K867" s="9">
        <f>IF(COUNT(F867:I867)&lt;&gt;4,0,IF(AND(G867&gt;F867,H867&gt;0,I867&gt;0,L867&lt;='Sheet1-指标体系'!$J$31,M867&lt;='Sheet1-指标体系'!$J$31),1,0))</f>
        <v>0</v>
      </c>
      <c r="L867" s="9" t="str">
        <f t="shared" si="40"/>
        <v/>
      </c>
      <c r="M867" s="9" t="str">
        <f t="shared" si="41"/>
        <v/>
      </c>
    </row>
    <row r="868" ht="25" customHeight="1" spans="1:13">
      <c r="A868" s="9" t="s">
        <v>199</v>
      </c>
      <c r="B868" s="9" t="s">
        <v>198</v>
      </c>
      <c r="C868" s="9" t="s">
        <v>1043</v>
      </c>
      <c r="D868" s="10">
        <v>45626</v>
      </c>
      <c r="E868" s="10">
        <v>45657</v>
      </c>
      <c r="F868" s="10"/>
      <c r="G868" s="10"/>
      <c r="H868" s="15"/>
      <c r="I868" s="15"/>
      <c r="J868" s="11" t="str">
        <f t="shared" si="39"/>
        <v/>
      </c>
      <c r="K868" s="9">
        <f>IF(COUNT(F868:I868)&lt;&gt;4,0,IF(AND(G868&gt;F868,H868&gt;0,I868&gt;0,L868&lt;='Sheet1-指标体系'!$J$31,M868&lt;='Sheet1-指标体系'!$J$31),1,0))</f>
        <v>0</v>
      </c>
      <c r="L868" s="9" t="str">
        <f t="shared" si="40"/>
        <v/>
      </c>
      <c r="M868" s="9" t="str">
        <f t="shared" si="41"/>
        <v/>
      </c>
    </row>
    <row r="869" ht="25" customHeight="1" spans="1:13">
      <c r="A869" s="9" t="s">
        <v>199</v>
      </c>
      <c r="B869" s="9" t="s">
        <v>198</v>
      </c>
      <c r="C869" s="9" t="s">
        <v>1044</v>
      </c>
      <c r="D869" s="10">
        <v>45657</v>
      </c>
      <c r="E869" s="10">
        <v>45688</v>
      </c>
      <c r="F869" s="10"/>
      <c r="G869" s="10"/>
      <c r="H869" s="15"/>
      <c r="I869" s="15"/>
      <c r="J869" s="11" t="str">
        <f t="shared" si="39"/>
        <v/>
      </c>
      <c r="K869" s="9">
        <f>IF(COUNT(F869:I869)&lt;&gt;4,0,IF(AND(G869&gt;F869,H869&gt;0,I869&gt;0,L869&lt;='Sheet1-指标体系'!$J$31,M869&lt;='Sheet1-指标体系'!$J$31),1,0))</f>
        <v>0</v>
      </c>
      <c r="L869" s="9" t="str">
        <f t="shared" si="40"/>
        <v/>
      </c>
      <c r="M869" s="9" t="str">
        <f t="shared" si="41"/>
        <v/>
      </c>
    </row>
    <row r="870" ht="25" customHeight="1" spans="1:13">
      <c r="A870" s="9" t="s">
        <v>199</v>
      </c>
      <c r="B870" s="9" t="s">
        <v>198</v>
      </c>
      <c r="C870" s="9" t="s">
        <v>1045</v>
      </c>
      <c r="D870" s="10">
        <v>45688</v>
      </c>
      <c r="E870" s="10">
        <v>45716</v>
      </c>
      <c r="F870" s="10"/>
      <c r="G870" s="10"/>
      <c r="H870" s="15"/>
      <c r="I870" s="15"/>
      <c r="J870" s="11" t="str">
        <f t="shared" si="39"/>
        <v/>
      </c>
      <c r="K870" s="9">
        <f>IF(COUNT(F870:I870)&lt;&gt;4,0,IF(AND(G870&gt;F870,H870&gt;0,I870&gt;0,L870&lt;='Sheet1-指标体系'!$J$31,M870&lt;='Sheet1-指标体系'!$J$31),1,0))</f>
        <v>0</v>
      </c>
      <c r="L870" s="9" t="str">
        <f t="shared" si="40"/>
        <v/>
      </c>
      <c r="M870" s="9" t="str">
        <f t="shared" si="41"/>
        <v/>
      </c>
    </row>
    <row r="871" ht="25" customHeight="1" spans="1:13">
      <c r="A871" s="9" t="s">
        <v>199</v>
      </c>
      <c r="B871" s="9" t="s">
        <v>198</v>
      </c>
      <c r="C871" s="9" t="s">
        <v>1046</v>
      </c>
      <c r="D871" s="10">
        <v>45716</v>
      </c>
      <c r="E871" s="10">
        <v>45747</v>
      </c>
      <c r="F871" s="10"/>
      <c r="G871" s="10"/>
      <c r="H871" s="15"/>
      <c r="I871" s="15"/>
      <c r="J871" s="11" t="str">
        <f t="shared" si="39"/>
        <v/>
      </c>
      <c r="K871" s="9">
        <f>IF(COUNT(F871:I871)&lt;&gt;4,0,IF(AND(G871&gt;F871,H871&gt;0,I871&gt;0,L871&lt;='Sheet1-指标体系'!$J$31,M871&lt;='Sheet1-指标体系'!$J$31),1,0))</f>
        <v>0</v>
      </c>
      <c r="L871" s="9" t="str">
        <f t="shared" si="40"/>
        <v/>
      </c>
      <c r="M871" s="9" t="str">
        <f t="shared" si="41"/>
        <v/>
      </c>
    </row>
    <row r="872" ht="25" customHeight="1" spans="1:13">
      <c r="A872" s="9" t="s">
        <v>199</v>
      </c>
      <c r="B872" s="9" t="s">
        <v>198</v>
      </c>
      <c r="C872" s="9" t="s">
        <v>1047</v>
      </c>
      <c r="D872" s="10">
        <v>45747</v>
      </c>
      <c r="E872" s="10">
        <v>45777</v>
      </c>
      <c r="F872" s="10"/>
      <c r="G872" s="10">
        <f>净值原始!C7404</f>
        <v>45777</v>
      </c>
      <c r="H872" s="15"/>
      <c r="I872" s="15">
        <f>净值原始!F7404</f>
        <v>1.0042</v>
      </c>
      <c r="J872" s="11" t="str">
        <f t="shared" si="39"/>
        <v/>
      </c>
      <c r="K872" s="9">
        <f>IF(COUNT(F872:I872)&lt;&gt;4,0,IF(AND(G872&gt;F872,H872&gt;0,I872&gt;0,L872&lt;='Sheet1-指标体系'!$J$31,M872&lt;='Sheet1-指标体系'!$J$31),1,0))</f>
        <v>0</v>
      </c>
      <c r="L872" s="9" t="str">
        <f t="shared" si="40"/>
        <v/>
      </c>
      <c r="M872" s="9">
        <f t="shared" si="41"/>
        <v>0</v>
      </c>
    </row>
    <row r="873" ht="25" customHeight="1" spans="1:13">
      <c r="A873" s="9" t="s">
        <v>199</v>
      </c>
      <c r="B873" s="9" t="s">
        <v>198</v>
      </c>
      <c r="C873" s="9" t="s">
        <v>1048</v>
      </c>
      <c r="D873" s="10">
        <v>45777</v>
      </c>
      <c r="E873" s="10">
        <v>45808</v>
      </c>
      <c r="F873" s="10">
        <f>净值原始!C7404</f>
        <v>45777</v>
      </c>
      <c r="G873" s="10">
        <f>净值原始!C7408</f>
        <v>45807</v>
      </c>
      <c r="H873" s="15">
        <f>净值原始!F7404</f>
        <v>1.0042</v>
      </c>
      <c r="I873" s="15">
        <f>净值原始!F7408</f>
        <v>1.0056</v>
      </c>
      <c r="J873" s="11">
        <f t="shared" si="39"/>
        <v>0.00139414459271059</v>
      </c>
      <c r="K873" s="9">
        <f>IF(COUNT(F873:I873)&lt;&gt;4,0,IF(AND(G873&gt;F873,H873&gt;0,I873&gt;0,L873&lt;='Sheet1-指标体系'!$J$31,M873&lt;='Sheet1-指标体系'!$J$31),1,0))</f>
        <v>1</v>
      </c>
      <c r="L873" s="9">
        <f t="shared" si="40"/>
        <v>0</v>
      </c>
      <c r="M873" s="9">
        <f t="shared" si="41"/>
        <v>1</v>
      </c>
    </row>
    <row r="874" ht="25" customHeight="1" spans="1:13">
      <c r="A874" s="9" t="s">
        <v>199</v>
      </c>
      <c r="B874" s="9" t="s">
        <v>198</v>
      </c>
      <c r="C874" s="9" t="s">
        <v>1049</v>
      </c>
      <c r="D874" s="10">
        <v>45808</v>
      </c>
      <c r="E874" s="10">
        <v>45838</v>
      </c>
      <c r="F874" s="10">
        <f>净值原始!C7408</f>
        <v>45807</v>
      </c>
      <c r="G874" s="10">
        <f>净值原始!C7412</f>
        <v>45835</v>
      </c>
      <c r="H874" s="15">
        <f>净值原始!F7408</f>
        <v>1.0056</v>
      </c>
      <c r="I874" s="15">
        <f>净值原始!F7412</f>
        <v>1.0087</v>
      </c>
      <c r="J874" s="11">
        <f t="shared" si="39"/>
        <v>0.003082736674622</v>
      </c>
      <c r="K874" s="9">
        <f>IF(COUNT(F874:I874)&lt;&gt;4,0,IF(AND(G874&gt;F874,H874&gt;0,I874&gt;0,L874&lt;='Sheet1-指标体系'!$J$31,M874&lt;='Sheet1-指标体系'!$J$31),1,0))</f>
        <v>1</v>
      </c>
      <c r="L874" s="9">
        <f t="shared" si="40"/>
        <v>1</v>
      </c>
      <c r="M874" s="9">
        <f t="shared" si="41"/>
        <v>3</v>
      </c>
    </row>
    <row r="875" ht="25" customHeight="1" spans="1:13">
      <c r="A875" s="9" t="s">
        <v>199</v>
      </c>
      <c r="B875" s="9" t="s">
        <v>198</v>
      </c>
      <c r="C875" s="9" t="s">
        <v>1050</v>
      </c>
      <c r="D875" s="10">
        <v>45838</v>
      </c>
      <c r="E875" s="10">
        <v>45869</v>
      </c>
      <c r="F875" s="10">
        <f>净值原始!C7412</f>
        <v>45835</v>
      </c>
      <c r="G875" s="10">
        <f>净值原始!C7416</f>
        <v>45863</v>
      </c>
      <c r="H875" s="15">
        <f>净值原始!F7412</f>
        <v>1.0087</v>
      </c>
      <c r="I875" s="15">
        <f>净值原始!F7416</f>
        <v>1.0066</v>
      </c>
      <c r="J875" s="11">
        <f t="shared" si="39"/>
        <v>-0.00208188757807082</v>
      </c>
      <c r="K875" s="9">
        <f>IF(COUNT(F875:I875)&lt;&gt;4,0,IF(AND(G875&gt;F875,H875&gt;0,I875&gt;0,L875&lt;='Sheet1-指标体系'!$J$31,M875&lt;='Sheet1-指标体系'!$J$31),1,0))</f>
        <v>1</v>
      </c>
      <c r="L875" s="9">
        <f t="shared" si="40"/>
        <v>3</v>
      </c>
      <c r="M875" s="9">
        <f t="shared" si="41"/>
        <v>6</v>
      </c>
    </row>
    <row r="876" ht="25" customHeight="1" spans="1:13">
      <c r="A876" s="9" t="s">
        <v>199</v>
      </c>
      <c r="B876" s="9" t="s">
        <v>198</v>
      </c>
      <c r="C876" s="9" t="s">
        <v>1051</v>
      </c>
      <c r="D876" s="10">
        <v>45869</v>
      </c>
      <c r="E876" s="10">
        <v>45900</v>
      </c>
      <c r="F876" s="10">
        <f>净值原始!C7416</f>
        <v>45863</v>
      </c>
      <c r="G876" s="10">
        <f>净值原始!C7421</f>
        <v>45898</v>
      </c>
      <c r="H876" s="15">
        <f>净值原始!F7416</f>
        <v>1.0066</v>
      </c>
      <c r="I876" s="15">
        <f>净值原始!F7421</f>
        <v>1.0196</v>
      </c>
      <c r="J876" s="11">
        <f t="shared" si="39"/>
        <v>0.0129147625670576</v>
      </c>
      <c r="K876" s="9">
        <f>IF(COUNT(F876:I876)&lt;&gt;4,0,IF(AND(G876&gt;F876,H876&gt;0,I876&gt;0,L876&lt;='Sheet1-指标体系'!$J$31,M876&lt;='Sheet1-指标体系'!$J$31),1,0))</f>
        <v>1</v>
      </c>
      <c r="L876" s="9">
        <f t="shared" si="40"/>
        <v>6</v>
      </c>
      <c r="M876" s="9">
        <f t="shared" si="41"/>
        <v>2</v>
      </c>
    </row>
    <row r="877" ht="25" customHeight="1" spans="1:13">
      <c r="A877" s="9" t="s">
        <v>199</v>
      </c>
      <c r="B877" s="9" t="s">
        <v>198</v>
      </c>
      <c r="C877" s="9" t="s">
        <v>1052</v>
      </c>
      <c r="D877" s="10">
        <v>45900</v>
      </c>
      <c r="E877" s="10">
        <v>45930</v>
      </c>
      <c r="F877" s="10">
        <f>净值原始!C7421</f>
        <v>45898</v>
      </c>
      <c r="G877" s="10">
        <f>净值原始!C7426</f>
        <v>45930</v>
      </c>
      <c r="H877" s="15">
        <f>净值原始!F7421</f>
        <v>1.0196</v>
      </c>
      <c r="I877" s="15">
        <f>净值原始!F7426</f>
        <v>1.0265</v>
      </c>
      <c r="J877" s="11">
        <f t="shared" si="39"/>
        <v>0.00676735974892106</v>
      </c>
      <c r="K877" s="9">
        <f>IF(COUNT(F877:I877)&lt;&gt;4,0,IF(AND(G877&gt;F877,H877&gt;0,I877&gt;0,L877&lt;='Sheet1-指标体系'!$J$31,M877&lt;='Sheet1-指标体系'!$J$31),1,0))</f>
        <v>1</v>
      </c>
      <c r="L877" s="9">
        <f t="shared" si="40"/>
        <v>2</v>
      </c>
      <c r="M877" s="9">
        <f t="shared" si="41"/>
        <v>0</v>
      </c>
    </row>
    <row r="878" ht="25" customHeight="1" spans="1:13">
      <c r="A878" s="9" t="s">
        <v>199</v>
      </c>
      <c r="B878" s="9" t="s">
        <v>198</v>
      </c>
      <c r="C878" s="9" t="s">
        <v>1053</v>
      </c>
      <c r="D878" s="10">
        <v>45930</v>
      </c>
      <c r="E878" s="10">
        <v>45961</v>
      </c>
      <c r="F878" s="10">
        <f>净值原始!C7426</f>
        <v>45930</v>
      </c>
      <c r="G878" s="10">
        <f>净值原始!C7430</f>
        <v>45961</v>
      </c>
      <c r="H878" s="15">
        <f>净值原始!F7426</f>
        <v>1.0265</v>
      </c>
      <c r="I878" s="15">
        <f>净值原始!F7430</f>
        <v>1.0349</v>
      </c>
      <c r="J878" s="11">
        <f t="shared" si="39"/>
        <v>0.0081831466147102</v>
      </c>
      <c r="K878" s="9">
        <f>IF(COUNT(F878:I878)&lt;&gt;4,0,IF(AND(G878&gt;F878,H878&gt;0,I878&gt;0,L878&lt;='Sheet1-指标体系'!$J$31,M878&lt;='Sheet1-指标体系'!$J$31),1,0))</f>
        <v>1</v>
      </c>
      <c r="L878" s="9">
        <f t="shared" si="40"/>
        <v>0</v>
      </c>
      <c r="M878" s="9">
        <f t="shared" si="41"/>
        <v>0</v>
      </c>
    </row>
    <row r="879" ht="25" customHeight="1" spans="1:13">
      <c r="A879" s="9" t="s">
        <v>199</v>
      </c>
      <c r="B879" s="9" t="s">
        <v>198</v>
      </c>
      <c r="C879" s="9" t="s">
        <v>1054</v>
      </c>
      <c r="D879" s="10">
        <v>45961</v>
      </c>
      <c r="E879" s="10">
        <v>45991</v>
      </c>
      <c r="F879" s="10">
        <f>净值原始!C7430</f>
        <v>45961</v>
      </c>
      <c r="G879" s="10">
        <f>净值原始!C7434</f>
        <v>45989</v>
      </c>
      <c r="H879" s="15">
        <f>净值原始!F7430</f>
        <v>1.0349</v>
      </c>
      <c r="I879" s="15">
        <f>净值原始!F7434</f>
        <v>1.0389</v>
      </c>
      <c r="J879" s="11">
        <f t="shared" si="39"/>
        <v>0.00386510773987836</v>
      </c>
      <c r="K879" s="9">
        <f>IF(COUNT(F879:I879)&lt;&gt;4,0,IF(AND(G879&gt;F879,H879&gt;0,I879&gt;0,L879&lt;='Sheet1-指标体系'!$J$31,M879&lt;='Sheet1-指标体系'!$J$31),1,0))</f>
        <v>1</v>
      </c>
      <c r="L879" s="9">
        <f t="shared" si="40"/>
        <v>0</v>
      </c>
      <c r="M879" s="9">
        <f t="shared" si="41"/>
        <v>2</v>
      </c>
    </row>
    <row r="880" ht="25" customHeight="1" spans="1:13">
      <c r="A880" s="9" t="s">
        <v>199</v>
      </c>
      <c r="B880" s="9" t="s">
        <v>198</v>
      </c>
      <c r="C880" s="9" t="s">
        <v>1055</v>
      </c>
      <c r="D880" s="10">
        <v>45991</v>
      </c>
      <c r="E880" s="10">
        <v>46022</v>
      </c>
      <c r="F880" s="10">
        <f>净值原始!C7434</f>
        <v>45989</v>
      </c>
      <c r="G880" s="10">
        <f>净值原始!C7439</f>
        <v>46022</v>
      </c>
      <c r="H880" s="15">
        <f>净值原始!F7434</f>
        <v>1.0389</v>
      </c>
      <c r="I880" s="15">
        <f>净值原始!F7439</f>
        <v>1.0414</v>
      </c>
      <c r="J880" s="11">
        <f t="shared" si="39"/>
        <v>0.00240639137549348</v>
      </c>
      <c r="K880" s="9">
        <f>IF(COUNT(F880:I880)&lt;&gt;4,0,IF(AND(G880&gt;F880,H880&gt;0,I880&gt;0,L880&lt;='Sheet1-指标体系'!$J$31,M880&lt;='Sheet1-指标体系'!$J$31),1,0))</f>
        <v>1</v>
      </c>
      <c r="L880" s="9">
        <f t="shared" si="40"/>
        <v>2</v>
      </c>
      <c r="M880" s="9">
        <f t="shared" si="41"/>
        <v>0</v>
      </c>
    </row>
    <row r="881" ht="25" customHeight="1" spans="1:13">
      <c r="A881" s="9" t="s">
        <v>199</v>
      </c>
      <c r="B881" s="9" t="s">
        <v>198</v>
      </c>
      <c r="C881" s="9" t="s">
        <v>1056</v>
      </c>
      <c r="D881" s="10">
        <v>46022</v>
      </c>
      <c r="E881" s="10">
        <v>46053</v>
      </c>
      <c r="F881" s="10">
        <f>净值原始!C7439</f>
        <v>46022</v>
      </c>
      <c r="G881" s="10">
        <f>净值原始!C7443</f>
        <v>46052</v>
      </c>
      <c r="H881" s="15">
        <f>净值原始!F7439</f>
        <v>1.0414</v>
      </c>
      <c r="I881" s="15">
        <f>净值原始!F7443</f>
        <v>1.0693</v>
      </c>
      <c r="J881" s="11">
        <f t="shared" si="39"/>
        <v>0.0267908584597656</v>
      </c>
      <c r="K881" s="9">
        <f>IF(COUNT(F881:I881)&lt;&gt;4,0,IF(AND(G881&gt;F881,H881&gt;0,I881&gt;0,L881&lt;='Sheet1-指标体系'!$J$31,M881&lt;='Sheet1-指标体系'!$J$31),1,0))</f>
        <v>1</v>
      </c>
      <c r="L881" s="9">
        <f t="shared" si="40"/>
        <v>0</v>
      </c>
      <c r="M881" s="9">
        <f t="shared" si="41"/>
        <v>1</v>
      </c>
    </row>
    <row r="882" ht="25" customHeight="1" spans="1:13">
      <c r="A882" s="9" t="s">
        <v>199</v>
      </c>
      <c r="B882" s="9" t="s">
        <v>198</v>
      </c>
      <c r="C882" s="9" t="s">
        <v>1057</v>
      </c>
      <c r="D882" s="10">
        <v>46053</v>
      </c>
      <c r="E882" s="10">
        <v>46081</v>
      </c>
      <c r="F882" s="10">
        <f>净值原始!C7443</f>
        <v>46052</v>
      </c>
      <c r="G882" s="10">
        <f>净值原始!C7446</f>
        <v>46080</v>
      </c>
      <c r="H882" s="15">
        <f>净值原始!F7443</f>
        <v>1.0693</v>
      </c>
      <c r="I882" s="15">
        <f>净值原始!F7446</f>
        <v>1.0917</v>
      </c>
      <c r="J882" s="11">
        <f t="shared" si="39"/>
        <v>0.0209482839240624</v>
      </c>
      <c r="K882" s="9">
        <f>IF(COUNT(F882:I882)&lt;&gt;4,0,IF(AND(G882&gt;F882,H882&gt;0,I882&gt;0,L882&lt;='Sheet1-指标体系'!$J$31,M882&lt;='Sheet1-指标体系'!$J$31),1,0))</f>
        <v>1</v>
      </c>
      <c r="L882" s="9">
        <f t="shared" si="40"/>
        <v>1</v>
      </c>
      <c r="M882" s="9">
        <f t="shared" si="41"/>
        <v>1</v>
      </c>
    </row>
    <row r="883" ht="25" customHeight="1" spans="1:13">
      <c r="A883" s="9" t="s">
        <v>199</v>
      </c>
      <c r="B883" s="9" t="s">
        <v>198</v>
      </c>
      <c r="C883" s="9" t="s">
        <v>1058</v>
      </c>
      <c r="D883" s="10">
        <v>46081</v>
      </c>
      <c r="E883" s="10">
        <v>46112</v>
      </c>
      <c r="F883" s="10">
        <f>净值原始!C7446</f>
        <v>46080</v>
      </c>
      <c r="G883" s="10">
        <f>净值原始!C7450</f>
        <v>46108</v>
      </c>
      <c r="H883" s="15">
        <f>净值原始!F7446</f>
        <v>1.0917</v>
      </c>
      <c r="I883" s="15">
        <f>净值原始!F7450</f>
        <v>1.1046</v>
      </c>
      <c r="J883" s="11">
        <f t="shared" si="39"/>
        <v>0.0118164330860127</v>
      </c>
      <c r="K883" s="9">
        <f>IF(COUNT(F883:I883)&lt;&gt;4,0,IF(AND(G883&gt;F883,H883&gt;0,I883&gt;0,L883&lt;='Sheet1-指标体系'!$J$31,M883&lt;='Sheet1-指标体系'!$J$31),1,0))</f>
        <v>1</v>
      </c>
      <c r="L883" s="9">
        <f t="shared" si="40"/>
        <v>1</v>
      </c>
      <c r="M883" s="9">
        <f t="shared" si="41"/>
        <v>4</v>
      </c>
    </row>
    <row r="884" ht="25" customHeight="1" spans="1:13">
      <c r="A884" s="9" t="s">
        <v>199</v>
      </c>
      <c r="B884" s="9" t="s">
        <v>198</v>
      </c>
      <c r="C884" s="9" t="s">
        <v>1059</v>
      </c>
      <c r="D884" s="10">
        <v>46112</v>
      </c>
      <c r="E884" s="10">
        <v>46142</v>
      </c>
      <c r="F884" s="10">
        <f>净值原始!C7450</f>
        <v>46108</v>
      </c>
      <c r="G884" s="10">
        <f>净值原始!C7455</f>
        <v>46142</v>
      </c>
      <c r="H884" s="15">
        <f>净值原始!F7450</f>
        <v>1.1046</v>
      </c>
      <c r="I884" s="15">
        <f>净值原始!F7455</f>
        <v>1.1225</v>
      </c>
      <c r="J884" s="11">
        <f t="shared" si="39"/>
        <v>0.0162049610718813</v>
      </c>
      <c r="K884" s="9">
        <f>IF(COUNT(F884:I884)&lt;&gt;4,0,IF(AND(G884&gt;F884,H884&gt;0,I884&gt;0,L884&lt;='Sheet1-指标体系'!$J$31,M884&lt;='Sheet1-指标体系'!$J$31),1,0))</f>
        <v>1</v>
      </c>
      <c r="L884" s="9">
        <f t="shared" si="40"/>
        <v>4</v>
      </c>
      <c r="M884" s="9">
        <f t="shared" si="41"/>
        <v>0</v>
      </c>
    </row>
    <row r="885" ht="25" customHeight="1" spans="1:13">
      <c r="A885" s="9" t="s">
        <v>199</v>
      </c>
      <c r="B885" s="9" t="s">
        <v>198</v>
      </c>
      <c r="C885" s="9" t="s">
        <v>1060</v>
      </c>
      <c r="D885" s="10">
        <v>46142</v>
      </c>
      <c r="E885" s="10">
        <v>46173</v>
      </c>
      <c r="F885" s="10">
        <f>净值原始!C7455</f>
        <v>46142</v>
      </c>
      <c r="G885" s="10">
        <f>净值原始!C7459</f>
        <v>46171</v>
      </c>
      <c r="H885" s="15">
        <f>净值原始!F7455</f>
        <v>1.1225</v>
      </c>
      <c r="I885" s="15">
        <f>净值原始!F7459</f>
        <v>1.1245</v>
      </c>
      <c r="J885" s="11">
        <f t="shared" si="39"/>
        <v>0.00178173719376384</v>
      </c>
      <c r="K885" s="9">
        <f>IF(COUNT(F885:I885)&lt;&gt;4,0,IF(AND(G885&gt;F885,H885&gt;0,I885&gt;0,L885&lt;='Sheet1-指标体系'!$J$31,M885&lt;='Sheet1-指标体系'!$J$31),1,0))</f>
        <v>1</v>
      </c>
      <c r="L885" s="9">
        <f t="shared" si="40"/>
        <v>0</v>
      </c>
      <c r="M885" s="9">
        <f t="shared" si="41"/>
        <v>2</v>
      </c>
    </row>
    <row r="886" ht="25" customHeight="1" spans="1:13">
      <c r="A886" s="9" t="s">
        <v>199</v>
      </c>
      <c r="B886" s="9" t="s">
        <v>198</v>
      </c>
      <c r="C886" s="9" t="s">
        <v>1061</v>
      </c>
      <c r="D886" s="10">
        <v>46173</v>
      </c>
      <c r="E886" s="10">
        <v>46203</v>
      </c>
      <c r="F886" s="10">
        <f>净值原始!C7459</f>
        <v>46171</v>
      </c>
      <c r="G886" s="10">
        <f>净值原始!C7464</f>
        <v>46199</v>
      </c>
      <c r="H886" s="15">
        <f>净值原始!F7459</f>
        <v>1.1245</v>
      </c>
      <c r="I886" s="15">
        <f>净值原始!F7464</f>
        <v>1.1276</v>
      </c>
      <c r="J886" s="11">
        <f t="shared" si="39"/>
        <v>0.0027567807914628</v>
      </c>
      <c r="K886" s="9">
        <f>IF(COUNT(F886:I886)&lt;&gt;4,0,IF(AND(G886&gt;F886,H886&gt;0,I886&gt;0,L886&lt;='Sheet1-指标体系'!$J$31,M886&lt;='Sheet1-指标体系'!$J$31),1,0))</f>
        <v>1</v>
      </c>
      <c r="L886" s="9">
        <f t="shared" si="40"/>
        <v>2</v>
      </c>
      <c r="M886" s="9">
        <f t="shared" si="41"/>
        <v>4</v>
      </c>
    </row>
    <row r="887" ht="25" customHeight="1" spans="1:13">
      <c r="A887" s="9" t="s">
        <v>199</v>
      </c>
      <c r="B887" s="9" t="s">
        <v>198</v>
      </c>
      <c r="C887" s="9" t="s">
        <v>1062</v>
      </c>
      <c r="D887" s="10">
        <v>46203</v>
      </c>
      <c r="E887" s="10">
        <v>46234</v>
      </c>
      <c r="F887" s="10">
        <f>净值原始!C7464</f>
        <v>46199</v>
      </c>
      <c r="G887" s="10">
        <f>净值原始!C7470</f>
        <v>46234</v>
      </c>
      <c r="H887" s="15">
        <f>净值原始!F7464</f>
        <v>1.1276</v>
      </c>
      <c r="I887" s="15">
        <f>净值原始!F7470</f>
        <v>1.1397</v>
      </c>
      <c r="J887" s="11">
        <f t="shared" si="39"/>
        <v>0.0107307555870877</v>
      </c>
      <c r="K887" s="9">
        <f>IF(COUNT(F887:I887)&lt;&gt;4,0,IF(AND(G887&gt;F887,H887&gt;0,I887&gt;0,L887&lt;='Sheet1-指标体系'!$J$31,M887&lt;='Sheet1-指标体系'!$J$31),1,0))</f>
        <v>1</v>
      </c>
      <c r="L887" s="9">
        <f t="shared" si="40"/>
        <v>4</v>
      </c>
      <c r="M887" s="9">
        <f t="shared" si="41"/>
        <v>0</v>
      </c>
    </row>
    <row r="888" ht="25" customHeight="1" spans="1:13">
      <c r="A888" s="9" t="s">
        <v>199</v>
      </c>
      <c r="B888" s="9" t="s">
        <v>198</v>
      </c>
      <c r="C888" s="9" t="s">
        <v>1063</v>
      </c>
      <c r="D888" s="10">
        <v>46234</v>
      </c>
      <c r="E888" s="10">
        <v>46265</v>
      </c>
      <c r="F888" s="10">
        <f>净值原始!C7470</f>
        <v>46234</v>
      </c>
      <c r="G888" s="10">
        <f>净值原始!C7475</f>
        <v>46262</v>
      </c>
      <c r="H888" s="15">
        <f>净值原始!F7470</f>
        <v>1.1397</v>
      </c>
      <c r="I888" s="15">
        <f>净值原始!F7475</f>
        <v>1.1367</v>
      </c>
      <c r="J888" s="11">
        <f t="shared" si="39"/>
        <v>-0.00263227165043423</v>
      </c>
      <c r="K888" s="9">
        <f>IF(COUNT(F888:I888)&lt;&gt;4,0,IF(AND(G888&gt;F888,H888&gt;0,I888&gt;0,L888&lt;='Sheet1-指标体系'!$J$31,M888&lt;='Sheet1-指标体系'!$J$31),1,0))</f>
        <v>1</v>
      </c>
      <c r="L888" s="9">
        <f t="shared" si="40"/>
        <v>0</v>
      </c>
      <c r="M888" s="9">
        <f t="shared" si="41"/>
        <v>3</v>
      </c>
    </row>
    <row r="889" ht="25" customHeight="1" spans="1:13">
      <c r="A889" s="9" t="s">
        <v>199</v>
      </c>
      <c r="B889" s="9" t="s">
        <v>198</v>
      </c>
      <c r="C889" s="9" t="s">
        <v>1064</v>
      </c>
      <c r="D889" s="10">
        <v>46265</v>
      </c>
      <c r="E889" s="10">
        <v>46269</v>
      </c>
      <c r="F889" s="10">
        <f>净值原始!C7475</f>
        <v>46262</v>
      </c>
      <c r="G889" s="10">
        <f>净值原始!C7476</f>
        <v>46269</v>
      </c>
      <c r="H889" s="15">
        <f>净值原始!F7475</f>
        <v>1.1367</v>
      </c>
      <c r="I889" s="15">
        <f>净值原始!F7476</f>
        <v>1.1362</v>
      </c>
      <c r="J889" s="11">
        <f t="shared" si="39"/>
        <v>-0.000439869798539605</v>
      </c>
      <c r="K889" s="9">
        <f>IF(COUNT(F889:I889)&lt;&gt;4,0,IF(AND(G889&gt;F889,H889&gt;0,I889&gt;0,L889&lt;='Sheet1-指标体系'!$J$31,M889&lt;='Sheet1-指标体系'!$J$31),1,0))</f>
        <v>1</v>
      </c>
      <c r="L889" s="9">
        <f t="shared" si="40"/>
        <v>3</v>
      </c>
      <c r="M889" s="9">
        <f t="shared" si="41"/>
        <v>0</v>
      </c>
    </row>
    <row r="890" ht="25" customHeight="1" spans="1:13">
      <c r="A890" s="9" t="s">
        <v>203</v>
      </c>
      <c r="B890" s="9" t="s">
        <v>202</v>
      </c>
      <c r="C890" s="9" t="s">
        <v>1028</v>
      </c>
      <c r="D890" s="10">
        <v>45169</v>
      </c>
      <c r="E890" s="10">
        <v>45199</v>
      </c>
      <c r="F890" s="10"/>
      <c r="G890" s="10"/>
      <c r="H890" s="15"/>
      <c r="I890" s="15"/>
      <c r="J890" s="11" t="str">
        <f t="shared" si="39"/>
        <v/>
      </c>
      <c r="K890" s="9">
        <f>IF(COUNT(F890:I890)&lt;&gt;4,0,IF(AND(G890&gt;F890,H890&gt;0,I890&gt;0,L890&lt;='Sheet1-指标体系'!$J$31,M890&lt;='Sheet1-指标体系'!$J$31),1,0))</f>
        <v>0</v>
      </c>
      <c r="L890" s="9" t="str">
        <f t="shared" si="40"/>
        <v/>
      </c>
      <c r="M890" s="9" t="str">
        <f t="shared" si="41"/>
        <v/>
      </c>
    </row>
    <row r="891" ht="25" customHeight="1" spans="1:13">
      <c r="A891" s="9" t="s">
        <v>203</v>
      </c>
      <c r="B891" s="9" t="s">
        <v>202</v>
      </c>
      <c r="C891" s="9" t="s">
        <v>1029</v>
      </c>
      <c r="D891" s="10">
        <v>45199</v>
      </c>
      <c r="E891" s="10">
        <v>45230</v>
      </c>
      <c r="F891" s="10"/>
      <c r="G891" s="10"/>
      <c r="H891" s="15"/>
      <c r="I891" s="15"/>
      <c r="J891" s="11" t="str">
        <f t="shared" si="39"/>
        <v/>
      </c>
      <c r="K891" s="9">
        <f>IF(COUNT(F891:I891)&lt;&gt;4,0,IF(AND(G891&gt;F891,H891&gt;0,I891&gt;0,L891&lt;='Sheet1-指标体系'!$J$31,M891&lt;='Sheet1-指标体系'!$J$31),1,0))</f>
        <v>0</v>
      </c>
      <c r="L891" s="9" t="str">
        <f t="shared" si="40"/>
        <v/>
      </c>
      <c r="M891" s="9" t="str">
        <f t="shared" si="41"/>
        <v/>
      </c>
    </row>
    <row r="892" ht="25" customHeight="1" spans="1:13">
      <c r="A892" s="9" t="s">
        <v>203</v>
      </c>
      <c r="B892" s="9" t="s">
        <v>202</v>
      </c>
      <c r="C892" s="9" t="s">
        <v>1030</v>
      </c>
      <c r="D892" s="10">
        <v>45230</v>
      </c>
      <c r="E892" s="10">
        <v>45260</v>
      </c>
      <c r="F892" s="10"/>
      <c r="G892" s="10"/>
      <c r="H892" s="15"/>
      <c r="I892" s="15"/>
      <c r="J892" s="11" t="str">
        <f t="shared" si="39"/>
        <v/>
      </c>
      <c r="K892" s="9">
        <f>IF(COUNT(F892:I892)&lt;&gt;4,0,IF(AND(G892&gt;F892,H892&gt;0,I892&gt;0,L892&lt;='Sheet1-指标体系'!$J$31,M892&lt;='Sheet1-指标体系'!$J$31),1,0))</f>
        <v>0</v>
      </c>
      <c r="L892" s="9" t="str">
        <f t="shared" si="40"/>
        <v/>
      </c>
      <c r="M892" s="9" t="str">
        <f t="shared" si="41"/>
        <v/>
      </c>
    </row>
    <row r="893" ht="25" customHeight="1" spans="1:13">
      <c r="A893" s="9" t="s">
        <v>203</v>
      </c>
      <c r="B893" s="9" t="s">
        <v>202</v>
      </c>
      <c r="C893" s="9" t="s">
        <v>1031</v>
      </c>
      <c r="D893" s="10">
        <v>45260</v>
      </c>
      <c r="E893" s="10">
        <v>45291</v>
      </c>
      <c r="F893" s="10"/>
      <c r="G893" s="10"/>
      <c r="H893" s="15"/>
      <c r="I893" s="15"/>
      <c r="J893" s="11" t="str">
        <f t="shared" si="39"/>
        <v/>
      </c>
      <c r="K893" s="9">
        <f>IF(COUNT(F893:I893)&lt;&gt;4,0,IF(AND(G893&gt;F893,H893&gt;0,I893&gt;0,L893&lt;='Sheet1-指标体系'!$J$31,M893&lt;='Sheet1-指标体系'!$J$31),1,0))</f>
        <v>0</v>
      </c>
      <c r="L893" s="9" t="str">
        <f t="shared" si="40"/>
        <v/>
      </c>
      <c r="M893" s="9" t="str">
        <f t="shared" si="41"/>
        <v/>
      </c>
    </row>
    <row r="894" ht="25" customHeight="1" spans="1:13">
      <c r="A894" s="9" t="s">
        <v>203</v>
      </c>
      <c r="B894" s="9" t="s">
        <v>202</v>
      </c>
      <c r="C894" s="9" t="s">
        <v>1032</v>
      </c>
      <c r="D894" s="10">
        <v>45291</v>
      </c>
      <c r="E894" s="10">
        <v>45322</v>
      </c>
      <c r="F894" s="10"/>
      <c r="G894" s="10"/>
      <c r="H894" s="15"/>
      <c r="I894" s="15"/>
      <c r="J894" s="11" t="str">
        <f t="shared" si="39"/>
        <v/>
      </c>
      <c r="K894" s="9">
        <f>IF(COUNT(F894:I894)&lt;&gt;4,0,IF(AND(G894&gt;F894,H894&gt;0,I894&gt;0,L894&lt;='Sheet1-指标体系'!$J$31,M894&lt;='Sheet1-指标体系'!$J$31),1,0))</f>
        <v>0</v>
      </c>
      <c r="L894" s="9" t="str">
        <f t="shared" si="40"/>
        <v/>
      </c>
      <c r="M894" s="9" t="str">
        <f t="shared" si="41"/>
        <v/>
      </c>
    </row>
    <row r="895" ht="25" customHeight="1" spans="1:13">
      <c r="A895" s="9" t="s">
        <v>203</v>
      </c>
      <c r="B895" s="9" t="s">
        <v>202</v>
      </c>
      <c r="C895" s="9" t="s">
        <v>1033</v>
      </c>
      <c r="D895" s="10">
        <v>45322</v>
      </c>
      <c r="E895" s="10">
        <v>45351</v>
      </c>
      <c r="F895" s="10"/>
      <c r="G895" s="10"/>
      <c r="H895" s="15"/>
      <c r="I895" s="15"/>
      <c r="J895" s="11" t="str">
        <f t="shared" si="39"/>
        <v/>
      </c>
      <c r="K895" s="9">
        <f>IF(COUNT(F895:I895)&lt;&gt;4,0,IF(AND(G895&gt;F895,H895&gt;0,I895&gt;0,L895&lt;='Sheet1-指标体系'!$J$31,M895&lt;='Sheet1-指标体系'!$J$31),1,0))</f>
        <v>0</v>
      </c>
      <c r="L895" s="9" t="str">
        <f t="shared" si="40"/>
        <v/>
      </c>
      <c r="M895" s="9" t="str">
        <f t="shared" si="41"/>
        <v/>
      </c>
    </row>
    <row r="896" ht="25" customHeight="1" spans="1:13">
      <c r="A896" s="9" t="s">
        <v>203</v>
      </c>
      <c r="B896" s="9" t="s">
        <v>202</v>
      </c>
      <c r="C896" s="9" t="s">
        <v>1034</v>
      </c>
      <c r="D896" s="10">
        <v>45351</v>
      </c>
      <c r="E896" s="10">
        <v>45382</v>
      </c>
      <c r="F896" s="10"/>
      <c r="G896" s="10"/>
      <c r="H896" s="15"/>
      <c r="I896" s="15"/>
      <c r="J896" s="11" t="str">
        <f t="shared" si="39"/>
        <v/>
      </c>
      <c r="K896" s="9">
        <f>IF(COUNT(F896:I896)&lt;&gt;4,0,IF(AND(G896&gt;F896,H896&gt;0,I896&gt;0,L896&lt;='Sheet1-指标体系'!$J$31,M896&lt;='Sheet1-指标体系'!$J$31),1,0))</f>
        <v>0</v>
      </c>
      <c r="L896" s="9" t="str">
        <f t="shared" si="40"/>
        <v/>
      </c>
      <c r="M896" s="9" t="str">
        <f t="shared" si="41"/>
        <v/>
      </c>
    </row>
    <row r="897" ht="25" customHeight="1" spans="1:13">
      <c r="A897" s="9" t="s">
        <v>203</v>
      </c>
      <c r="B897" s="9" t="s">
        <v>202</v>
      </c>
      <c r="C897" s="9" t="s">
        <v>1035</v>
      </c>
      <c r="D897" s="10">
        <v>45382</v>
      </c>
      <c r="E897" s="10">
        <v>45412</v>
      </c>
      <c r="F897" s="10"/>
      <c r="G897" s="10"/>
      <c r="H897" s="15"/>
      <c r="I897" s="15"/>
      <c r="J897" s="11" t="str">
        <f t="shared" si="39"/>
        <v/>
      </c>
      <c r="K897" s="9">
        <f>IF(COUNT(F897:I897)&lt;&gt;4,0,IF(AND(G897&gt;F897,H897&gt;0,I897&gt;0,L897&lt;='Sheet1-指标体系'!$J$31,M897&lt;='Sheet1-指标体系'!$J$31),1,0))</f>
        <v>0</v>
      </c>
      <c r="L897" s="9" t="str">
        <f t="shared" si="40"/>
        <v/>
      </c>
      <c r="M897" s="9" t="str">
        <f t="shared" si="41"/>
        <v/>
      </c>
    </row>
    <row r="898" ht="25" customHeight="1" spans="1:13">
      <c r="A898" s="9" t="s">
        <v>203</v>
      </c>
      <c r="B898" s="9" t="s">
        <v>202</v>
      </c>
      <c r="C898" s="9" t="s">
        <v>1036</v>
      </c>
      <c r="D898" s="10">
        <v>45412</v>
      </c>
      <c r="E898" s="10">
        <v>45443</v>
      </c>
      <c r="F898" s="10"/>
      <c r="G898" s="10"/>
      <c r="H898" s="15"/>
      <c r="I898" s="15"/>
      <c r="J898" s="11" t="str">
        <f t="shared" ref="J898:J961" si="42">IF(K898=1,I898/H898-1,"")</f>
        <v/>
      </c>
      <c r="K898" s="9">
        <f>IF(COUNT(F898:I898)&lt;&gt;4,0,IF(AND(G898&gt;F898,H898&gt;0,I898&gt;0,L898&lt;='Sheet1-指标体系'!$J$31,M898&lt;='Sheet1-指标体系'!$J$31),1,0))</f>
        <v>0</v>
      </c>
      <c r="L898" s="9" t="str">
        <f t="shared" ref="L898:L961" si="43">IF(ISNUMBER(F898),D898-F898,"")</f>
        <v/>
      </c>
      <c r="M898" s="9" t="str">
        <f t="shared" ref="M898:M961" si="44">IF(ISNUMBER(G898),E898-G898,"")</f>
        <v/>
      </c>
    </row>
    <row r="899" ht="25" customHeight="1" spans="1:13">
      <c r="A899" s="9" t="s">
        <v>203</v>
      </c>
      <c r="B899" s="9" t="s">
        <v>202</v>
      </c>
      <c r="C899" s="9" t="s">
        <v>1037</v>
      </c>
      <c r="D899" s="10">
        <v>45443</v>
      </c>
      <c r="E899" s="10">
        <v>45473</v>
      </c>
      <c r="F899" s="10"/>
      <c r="G899" s="10"/>
      <c r="H899" s="15"/>
      <c r="I899" s="15"/>
      <c r="J899" s="11" t="str">
        <f t="shared" si="42"/>
        <v/>
      </c>
      <c r="K899" s="9">
        <f>IF(COUNT(F899:I899)&lt;&gt;4,0,IF(AND(G899&gt;F899,H899&gt;0,I899&gt;0,L899&lt;='Sheet1-指标体系'!$J$31,M899&lt;='Sheet1-指标体系'!$J$31),1,0))</f>
        <v>0</v>
      </c>
      <c r="L899" s="9" t="str">
        <f t="shared" si="43"/>
        <v/>
      </c>
      <c r="M899" s="9" t="str">
        <f t="shared" si="44"/>
        <v/>
      </c>
    </row>
    <row r="900" ht="25" customHeight="1" spans="1:13">
      <c r="A900" s="9" t="s">
        <v>203</v>
      </c>
      <c r="B900" s="9" t="s">
        <v>202</v>
      </c>
      <c r="C900" s="9" t="s">
        <v>1038</v>
      </c>
      <c r="D900" s="10">
        <v>45473</v>
      </c>
      <c r="E900" s="10">
        <v>45504</v>
      </c>
      <c r="F900" s="10"/>
      <c r="G900" s="10"/>
      <c r="H900" s="15"/>
      <c r="I900" s="15"/>
      <c r="J900" s="11" t="str">
        <f t="shared" si="42"/>
        <v/>
      </c>
      <c r="K900" s="9">
        <f>IF(COUNT(F900:I900)&lt;&gt;4,0,IF(AND(G900&gt;F900,H900&gt;0,I900&gt;0,L900&lt;='Sheet1-指标体系'!$J$31,M900&lt;='Sheet1-指标体系'!$J$31),1,0))</f>
        <v>0</v>
      </c>
      <c r="L900" s="9" t="str">
        <f t="shared" si="43"/>
        <v/>
      </c>
      <c r="M900" s="9" t="str">
        <f t="shared" si="44"/>
        <v/>
      </c>
    </row>
    <row r="901" ht="25" customHeight="1" spans="1:13">
      <c r="A901" s="9" t="s">
        <v>203</v>
      </c>
      <c r="B901" s="9" t="s">
        <v>202</v>
      </c>
      <c r="C901" s="9" t="s">
        <v>1039</v>
      </c>
      <c r="D901" s="10">
        <v>45504</v>
      </c>
      <c r="E901" s="10">
        <v>45535</v>
      </c>
      <c r="F901" s="10"/>
      <c r="G901" s="10"/>
      <c r="H901" s="15"/>
      <c r="I901" s="15"/>
      <c r="J901" s="11" t="str">
        <f t="shared" si="42"/>
        <v/>
      </c>
      <c r="K901" s="9">
        <f>IF(COUNT(F901:I901)&lt;&gt;4,0,IF(AND(G901&gt;F901,H901&gt;0,I901&gt;0,L901&lt;='Sheet1-指标体系'!$J$31,M901&lt;='Sheet1-指标体系'!$J$31),1,0))</f>
        <v>0</v>
      </c>
      <c r="L901" s="9" t="str">
        <f t="shared" si="43"/>
        <v/>
      </c>
      <c r="M901" s="9" t="str">
        <f t="shared" si="44"/>
        <v/>
      </c>
    </row>
    <row r="902" ht="25" customHeight="1" spans="1:13">
      <c r="A902" s="9" t="s">
        <v>203</v>
      </c>
      <c r="B902" s="9" t="s">
        <v>202</v>
      </c>
      <c r="C902" s="9" t="s">
        <v>1040</v>
      </c>
      <c r="D902" s="10">
        <v>45535</v>
      </c>
      <c r="E902" s="10">
        <v>45565</v>
      </c>
      <c r="F902" s="10"/>
      <c r="G902" s="10"/>
      <c r="H902" s="15"/>
      <c r="I902" s="15"/>
      <c r="J902" s="11" t="str">
        <f t="shared" si="42"/>
        <v/>
      </c>
      <c r="K902" s="9">
        <f>IF(COUNT(F902:I902)&lt;&gt;4,0,IF(AND(G902&gt;F902,H902&gt;0,I902&gt;0,L902&lt;='Sheet1-指标体系'!$J$31,M902&lt;='Sheet1-指标体系'!$J$31),1,0))</f>
        <v>0</v>
      </c>
      <c r="L902" s="9" t="str">
        <f t="shared" si="43"/>
        <v/>
      </c>
      <c r="M902" s="9" t="str">
        <f t="shared" si="44"/>
        <v/>
      </c>
    </row>
    <row r="903" ht="25" customHeight="1" spans="1:13">
      <c r="A903" s="9" t="s">
        <v>203</v>
      </c>
      <c r="B903" s="9" t="s">
        <v>202</v>
      </c>
      <c r="C903" s="9" t="s">
        <v>1041</v>
      </c>
      <c r="D903" s="10">
        <v>45565</v>
      </c>
      <c r="E903" s="10">
        <v>45596</v>
      </c>
      <c r="F903" s="10"/>
      <c r="G903" s="10"/>
      <c r="H903" s="15"/>
      <c r="I903" s="15"/>
      <c r="J903" s="11" t="str">
        <f t="shared" si="42"/>
        <v/>
      </c>
      <c r="K903" s="9">
        <f>IF(COUNT(F903:I903)&lt;&gt;4,0,IF(AND(G903&gt;F903,H903&gt;0,I903&gt;0,L903&lt;='Sheet1-指标体系'!$J$31,M903&lt;='Sheet1-指标体系'!$J$31),1,0))</f>
        <v>0</v>
      </c>
      <c r="L903" s="9" t="str">
        <f t="shared" si="43"/>
        <v/>
      </c>
      <c r="M903" s="9" t="str">
        <f t="shared" si="44"/>
        <v/>
      </c>
    </row>
    <row r="904" ht="25" customHeight="1" spans="1:13">
      <c r="A904" s="9" t="s">
        <v>203</v>
      </c>
      <c r="B904" s="9" t="s">
        <v>202</v>
      </c>
      <c r="C904" s="9" t="s">
        <v>1042</v>
      </c>
      <c r="D904" s="10">
        <v>45596</v>
      </c>
      <c r="E904" s="10">
        <v>45626</v>
      </c>
      <c r="F904" s="10"/>
      <c r="G904" s="10"/>
      <c r="H904" s="15"/>
      <c r="I904" s="15"/>
      <c r="J904" s="11" t="str">
        <f t="shared" si="42"/>
        <v/>
      </c>
      <c r="K904" s="9">
        <f>IF(COUNT(F904:I904)&lt;&gt;4,0,IF(AND(G904&gt;F904,H904&gt;0,I904&gt;0,L904&lt;='Sheet1-指标体系'!$J$31,M904&lt;='Sheet1-指标体系'!$J$31),1,0))</f>
        <v>0</v>
      </c>
      <c r="L904" s="9" t="str">
        <f t="shared" si="43"/>
        <v/>
      </c>
      <c r="M904" s="9" t="str">
        <f t="shared" si="44"/>
        <v/>
      </c>
    </row>
    <row r="905" ht="25" customHeight="1" spans="1:13">
      <c r="A905" s="9" t="s">
        <v>203</v>
      </c>
      <c r="B905" s="9" t="s">
        <v>202</v>
      </c>
      <c r="C905" s="9" t="s">
        <v>1043</v>
      </c>
      <c r="D905" s="10">
        <v>45626</v>
      </c>
      <c r="E905" s="10">
        <v>45657</v>
      </c>
      <c r="F905" s="10"/>
      <c r="G905" s="10"/>
      <c r="H905" s="15"/>
      <c r="I905" s="15"/>
      <c r="J905" s="11" t="str">
        <f t="shared" si="42"/>
        <v/>
      </c>
      <c r="K905" s="9">
        <f>IF(COUNT(F905:I905)&lt;&gt;4,0,IF(AND(G905&gt;F905,H905&gt;0,I905&gt;0,L905&lt;='Sheet1-指标体系'!$J$31,M905&lt;='Sheet1-指标体系'!$J$31),1,0))</f>
        <v>0</v>
      </c>
      <c r="L905" s="9" t="str">
        <f t="shared" si="43"/>
        <v/>
      </c>
      <c r="M905" s="9" t="str">
        <f t="shared" si="44"/>
        <v/>
      </c>
    </row>
    <row r="906" ht="25" customHeight="1" spans="1:13">
      <c r="A906" s="9" t="s">
        <v>203</v>
      </c>
      <c r="B906" s="9" t="s">
        <v>202</v>
      </c>
      <c r="C906" s="9" t="s">
        <v>1044</v>
      </c>
      <c r="D906" s="10">
        <v>45657</v>
      </c>
      <c r="E906" s="10">
        <v>45688</v>
      </c>
      <c r="F906" s="10"/>
      <c r="G906" s="10"/>
      <c r="H906" s="15"/>
      <c r="I906" s="15"/>
      <c r="J906" s="11" t="str">
        <f t="shared" si="42"/>
        <v/>
      </c>
      <c r="K906" s="9">
        <f>IF(COUNT(F906:I906)&lt;&gt;4,0,IF(AND(G906&gt;F906,H906&gt;0,I906&gt;0,L906&lt;='Sheet1-指标体系'!$J$31,M906&lt;='Sheet1-指标体系'!$J$31),1,0))</f>
        <v>0</v>
      </c>
      <c r="L906" s="9" t="str">
        <f t="shared" si="43"/>
        <v/>
      </c>
      <c r="M906" s="9" t="str">
        <f t="shared" si="44"/>
        <v/>
      </c>
    </row>
    <row r="907" ht="25" customHeight="1" spans="1:13">
      <c r="A907" s="9" t="s">
        <v>203</v>
      </c>
      <c r="B907" s="9" t="s">
        <v>202</v>
      </c>
      <c r="C907" s="9" t="s">
        <v>1045</v>
      </c>
      <c r="D907" s="10">
        <v>45688</v>
      </c>
      <c r="E907" s="10">
        <v>45716</v>
      </c>
      <c r="F907" s="10"/>
      <c r="G907" s="10"/>
      <c r="H907" s="15"/>
      <c r="I907" s="15"/>
      <c r="J907" s="11" t="str">
        <f t="shared" si="42"/>
        <v/>
      </c>
      <c r="K907" s="9">
        <f>IF(COUNT(F907:I907)&lt;&gt;4,0,IF(AND(G907&gt;F907,H907&gt;0,I907&gt;0,L907&lt;='Sheet1-指标体系'!$J$31,M907&lt;='Sheet1-指标体系'!$J$31),1,0))</f>
        <v>0</v>
      </c>
      <c r="L907" s="9" t="str">
        <f t="shared" si="43"/>
        <v/>
      </c>
      <c r="M907" s="9" t="str">
        <f t="shared" si="44"/>
        <v/>
      </c>
    </row>
    <row r="908" ht="25" customHeight="1" spans="1:13">
      <c r="A908" s="9" t="s">
        <v>203</v>
      </c>
      <c r="B908" s="9" t="s">
        <v>202</v>
      </c>
      <c r="C908" s="9" t="s">
        <v>1046</v>
      </c>
      <c r="D908" s="10">
        <v>45716</v>
      </c>
      <c r="E908" s="10">
        <v>45747</v>
      </c>
      <c r="F908" s="10"/>
      <c r="G908" s="10"/>
      <c r="H908" s="15"/>
      <c r="I908" s="15"/>
      <c r="J908" s="11" t="str">
        <f t="shared" si="42"/>
        <v/>
      </c>
      <c r="K908" s="9">
        <f>IF(COUNT(F908:I908)&lt;&gt;4,0,IF(AND(G908&gt;F908,H908&gt;0,I908&gt;0,L908&lt;='Sheet1-指标体系'!$J$31,M908&lt;='Sheet1-指标体系'!$J$31),1,0))</f>
        <v>0</v>
      </c>
      <c r="L908" s="9" t="str">
        <f t="shared" si="43"/>
        <v/>
      </c>
      <c r="M908" s="9" t="str">
        <f t="shared" si="44"/>
        <v/>
      </c>
    </row>
    <row r="909" ht="25" customHeight="1" spans="1:13">
      <c r="A909" s="9" t="s">
        <v>203</v>
      </c>
      <c r="B909" s="9" t="s">
        <v>202</v>
      </c>
      <c r="C909" s="9" t="s">
        <v>1047</v>
      </c>
      <c r="D909" s="10">
        <v>45747</v>
      </c>
      <c r="E909" s="10">
        <v>45777</v>
      </c>
      <c r="F909" s="10"/>
      <c r="G909" s="10"/>
      <c r="H909" s="15"/>
      <c r="I909" s="15"/>
      <c r="J909" s="11" t="str">
        <f t="shared" si="42"/>
        <v/>
      </c>
      <c r="K909" s="9">
        <f>IF(COUNT(F909:I909)&lt;&gt;4,0,IF(AND(G909&gt;F909,H909&gt;0,I909&gt;0,L909&lt;='Sheet1-指标体系'!$J$31,M909&lt;='Sheet1-指标体系'!$J$31),1,0))</f>
        <v>0</v>
      </c>
      <c r="L909" s="9" t="str">
        <f t="shared" si="43"/>
        <v/>
      </c>
      <c r="M909" s="9" t="str">
        <f t="shared" si="44"/>
        <v/>
      </c>
    </row>
    <row r="910" ht="25" customHeight="1" spans="1:13">
      <c r="A910" s="9" t="s">
        <v>203</v>
      </c>
      <c r="B910" s="9" t="s">
        <v>202</v>
      </c>
      <c r="C910" s="9" t="s">
        <v>1048</v>
      </c>
      <c r="D910" s="10">
        <v>45777</v>
      </c>
      <c r="E910" s="10">
        <v>45808</v>
      </c>
      <c r="F910" s="10"/>
      <c r="G910" s="10"/>
      <c r="H910" s="15"/>
      <c r="I910" s="15"/>
      <c r="J910" s="11" t="str">
        <f t="shared" si="42"/>
        <v/>
      </c>
      <c r="K910" s="9">
        <f>IF(COUNT(F910:I910)&lt;&gt;4,0,IF(AND(G910&gt;F910,H910&gt;0,I910&gt;0,L910&lt;='Sheet1-指标体系'!$J$31,M910&lt;='Sheet1-指标体系'!$J$31),1,0))</f>
        <v>0</v>
      </c>
      <c r="L910" s="9" t="str">
        <f t="shared" si="43"/>
        <v/>
      </c>
      <c r="M910" s="9" t="str">
        <f t="shared" si="44"/>
        <v/>
      </c>
    </row>
    <row r="911" ht="25" customHeight="1" spans="1:13">
      <c r="A911" s="9" t="s">
        <v>203</v>
      </c>
      <c r="B911" s="9" t="s">
        <v>202</v>
      </c>
      <c r="C911" s="9" t="s">
        <v>1049</v>
      </c>
      <c r="D911" s="10">
        <v>45808</v>
      </c>
      <c r="E911" s="10">
        <v>45838</v>
      </c>
      <c r="F911" s="10"/>
      <c r="G911" s="10">
        <f>净值原始!C7481</f>
        <v>45838</v>
      </c>
      <c r="H911" s="15"/>
      <c r="I911" s="15">
        <f>净值原始!F7481</f>
        <v>1.0123</v>
      </c>
      <c r="J911" s="11" t="str">
        <f t="shared" si="42"/>
        <v/>
      </c>
      <c r="K911" s="9">
        <f>IF(COUNT(F911:I911)&lt;&gt;4,0,IF(AND(G911&gt;F911,H911&gt;0,I911&gt;0,L911&lt;='Sheet1-指标体系'!$J$31,M911&lt;='Sheet1-指标体系'!$J$31),1,0))</f>
        <v>0</v>
      </c>
      <c r="L911" s="9" t="str">
        <f t="shared" si="43"/>
        <v/>
      </c>
      <c r="M911" s="9">
        <f t="shared" si="44"/>
        <v>0</v>
      </c>
    </row>
    <row r="912" ht="25" customHeight="1" spans="1:13">
      <c r="A912" s="9" t="s">
        <v>203</v>
      </c>
      <c r="B912" s="9" t="s">
        <v>202</v>
      </c>
      <c r="C912" s="9" t="s">
        <v>1050</v>
      </c>
      <c r="D912" s="10">
        <v>45838</v>
      </c>
      <c r="E912" s="10">
        <v>45869</v>
      </c>
      <c r="F912" s="10">
        <f>净值原始!C7481</f>
        <v>45838</v>
      </c>
      <c r="G912" s="10">
        <f>净值原始!C7486</f>
        <v>45869</v>
      </c>
      <c r="H912" s="15">
        <f>净值原始!F7481</f>
        <v>1.0123</v>
      </c>
      <c r="I912" s="15">
        <f>净值原始!F7486</f>
        <v>1.0156</v>
      </c>
      <c r="J912" s="11">
        <f t="shared" si="42"/>
        <v>0.00325990319075387</v>
      </c>
      <c r="K912" s="9">
        <f>IF(COUNT(F912:I912)&lt;&gt;4,0,IF(AND(G912&gt;F912,H912&gt;0,I912&gt;0,L912&lt;='Sheet1-指标体系'!$J$31,M912&lt;='Sheet1-指标体系'!$J$31),1,0))</f>
        <v>1</v>
      </c>
      <c r="L912" s="9">
        <f t="shared" si="43"/>
        <v>0</v>
      </c>
      <c r="M912" s="9">
        <f t="shared" si="44"/>
        <v>0</v>
      </c>
    </row>
    <row r="913" ht="25" customHeight="1" spans="1:13">
      <c r="A913" s="9" t="s">
        <v>203</v>
      </c>
      <c r="B913" s="9" t="s">
        <v>202</v>
      </c>
      <c r="C913" s="9" t="s">
        <v>1051</v>
      </c>
      <c r="D913" s="10">
        <v>45869</v>
      </c>
      <c r="E913" s="10">
        <v>45900</v>
      </c>
      <c r="F913" s="10">
        <f>净值原始!C7486</f>
        <v>45869</v>
      </c>
      <c r="G913" s="10">
        <f>净值原始!C7491</f>
        <v>45898</v>
      </c>
      <c r="H913" s="15">
        <f>净值原始!F7486</f>
        <v>1.0156</v>
      </c>
      <c r="I913" s="15">
        <f>净值原始!F7491</f>
        <v>1.0222</v>
      </c>
      <c r="J913" s="11">
        <f t="shared" si="42"/>
        <v>0.00649862150452929</v>
      </c>
      <c r="K913" s="9">
        <f>IF(COUNT(F913:I913)&lt;&gt;4,0,IF(AND(G913&gt;F913,H913&gt;0,I913&gt;0,L913&lt;='Sheet1-指标体系'!$J$31,M913&lt;='Sheet1-指标体系'!$J$31),1,0))</f>
        <v>1</v>
      </c>
      <c r="L913" s="9">
        <f t="shared" si="43"/>
        <v>0</v>
      </c>
      <c r="M913" s="9">
        <f t="shared" si="44"/>
        <v>2</v>
      </c>
    </row>
    <row r="914" ht="25" customHeight="1" spans="1:13">
      <c r="A914" s="9" t="s">
        <v>203</v>
      </c>
      <c r="B914" s="9" t="s">
        <v>202</v>
      </c>
      <c r="C914" s="9" t="s">
        <v>1052</v>
      </c>
      <c r="D914" s="10">
        <v>45900</v>
      </c>
      <c r="E914" s="10">
        <v>45930</v>
      </c>
      <c r="F914" s="10">
        <f>净值原始!C7491</f>
        <v>45898</v>
      </c>
      <c r="G914" s="10">
        <f>净值原始!C7496</f>
        <v>45930</v>
      </c>
      <c r="H914" s="15">
        <f>净值原始!F7491</f>
        <v>1.0222</v>
      </c>
      <c r="I914" s="15">
        <f>净值原始!F7496</f>
        <v>1.0256</v>
      </c>
      <c r="J914" s="11">
        <f t="shared" si="42"/>
        <v>0.00332615926433188</v>
      </c>
      <c r="K914" s="9">
        <f>IF(COUNT(F914:I914)&lt;&gt;4,0,IF(AND(G914&gt;F914,H914&gt;0,I914&gt;0,L914&lt;='Sheet1-指标体系'!$J$31,M914&lt;='Sheet1-指标体系'!$J$31),1,0))</f>
        <v>1</v>
      </c>
      <c r="L914" s="9">
        <f t="shared" si="43"/>
        <v>2</v>
      </c>
      <c r="M914" s="9">
        <f t="shared" si="44"/>
        <v>0</v>
      </c>
    </row>
    <row r="915" ht="25" customHeight="1" spans="1:13">
      <c r="A915" s="9" t="s">
        <v>203</v>
      </c>
      <c r="B915" s="9" t="s">
        <v>202</v>
      </c>
      <c r="C915" s="9" t="s">
        <v>1053</v>
      </c>
      <c r="D915" s="10">
        <v>45930</v>
      </c>
      <c r="E915" s="10">
        <v>45961</v>
      </c>
      <c r="F915" s="10">
        <f>净值原始!C7496</f>
        <v>45930</v>
      </c>
      <c r="G915" s="10">
        <f>净值原始!C7500</f>
        <v>45961</v>
      </c>
      <c r="H915" s="15">
        <f>净值原始!F7496</f>
        <v>1.0256</v>
      </c>
      <c r="I915" s="15">
        <f>净值原始!F7500</f>
        <v>1.0297</v>
      </c>
      <c r="J915" s="11">
        <f t="shared" si="42"/>
        <v>0.00399765990639622</v>
      </c>
      <c r="K915" s="9">
        <f>IF(COUNT(F915:I915)&lt;&gt;4,0,IF(AND(G915&gt;F915,H915&gt;0,I915&gt;0,L915&lt;='Sheet1-指标体系'!$J$31,M915&lt;='Sheet1-指标体系'!$J$31),1,0))</f>
        <v>1</v>
      </c>
      <c r="L915" s="9">
        <f t="shared" si="43"/>
        <v>0</v>
      </c>
      <c r="M915" s="9">
        <f t="shared" si="44"/>
        <v>0</v>
      </c>
    </row>
    <row r="916" ht="25" customHeight="1" spans="1:13">
      <c r="A916" s="9" t="s">
        <v>203</v>
      </c>
      <c r="B916" s="9" t="s">
        <v>202</v>
      </c>
      <c r="C916" s="9" t="s">
        <v>1054</v>
      </c>
      <c r="D916" s="10">
        <v>45961</v>
      </c>
      <c r="E916" s="10">
        <v>45991</v>
      </c>
      <c r="F916" s="10">
        <f>净值原始!C7500</f>
        <v>45961</v>
      </c>
      <c r="G916" s="10">
        <f>净值原始!C7504</f>
        <v>45989</v>
      </c>
      <c r="H916" s="15">
        <f>净值原始!F7500</f>
        <v>1.0297</v>
      </c>
      <c r="I916" s="15">
        <f>净值原始!F7504</f>
        <v>1.0302</v>
      </c>
      <c r="J916" s="11">
        <f t="shared" si="42"/>
        <v>0.000485578323783598</v>
      </c>
      <c r="K916" s="9">
        <f>IF(COUNT(F916:I916)&lt;&gt;4,0,IF(AND(G916&gt;F916,H916&gt;0,I916&gt;0,L916&lt;='Sheet1-指标体系'!$J$31,M916&lt;='Sheet1-指标体系'!$J$31),1,0))</f>
        <v>1</v>
      </c>
      <c r="L916" s="9">
        <f t="shared" si="43"/>
        <v>0</v>
      </c>
      <c r="M916" s="9">
        <f t="shared" si="44"/>
        <v>2</v>
      </c>
    </row>
    <row r="917" ht="25" customHeight="1" spans="1:13">
      <c r="A917" s="9" t="s">
        <v>203</v>
      </c>
      <c r="B917" s="9" t="s">
        <v>202</v>
      </c>
      <c r="C917" s="9" t="s">
        <v>1055</v>
      </c>
      <c r="D917" s="10">
        <v>45991</v>
      </c>
      <c r="E917" s="10">
        <v>46022</v>
      </c>
      <c r="F917" s="10">
        <f>净值原始!C7504</f>
        <v>45989</v>
      </c>
      <c r="G917" s="10">
        <f>净值原始!C7509</f>
        <v>46022</v>
      </c>
      <c r="H917" s="15">
        <f>净值原始!F7504</f>
        <v>1.0302</v>
      </c>
      <c r="I917" s="15">
        <f>净值原始!F7509</f>
        <v>1.0311</v>
      </c>
      <c r="J917" s="11">
        <f t="shared" si="42"/>
        <v>0.000873616773441999</v>
      </c>
      <c r="K917" s="9">
        <f>IF(COUNT(F917:I917)&lt;&gt;4,0,IF(AND(G917&gt;F917,H917&gt;0,I917&gt;0,L917&lt;='Sheet1-指标体系'!$J$31,M917&lt;='Sheet1-指标体系'!$J$31),1,0))</f>
        <v>1</v>
      </c>
      <c r="L917" s="9">
        <f t="shared" si="43"/>
        <v>2</v>
      </c>
      <c r="M917" s="9">
        <f t="shared" si="44"/>
        <v>0</v>
      </c>
    </row>
    <row r="918" ht="25" customHeight="1" spans="1:13">
      <c r="A918" s="9" t="s">
        <v>203</v>
      </c>
      <c r="B918" s="9" t="s">
        <v>202</v>
      </c>
      <c r="C918" s="9" t="s">
        <v>1056</v>
      </c>
      <c r="D918" s="10">
        <v>46022</v>
      </c>
      <c r="E918" s="10">
        <v>46053</v>
      </c>
      <c r="F918" s="10">
        <f>净值原始!C7509</f>
        <v>46022</v>
      </c>
      <c r="G918" s="10">
        <f>净值原始!C7513</f>
        <v>46052</v>
      </c>
      <c r="H918" s="15">
        <f>净值原始!F7509</f>
        <v>1.0311</v>
      </c>
      <c r="I918" s="15">
        <f>净值原始!F7513</f>
        <v>1.0472</v>
      </c>
      <c r="J918" s="11">
        <f t="shared" si="42"/>
        <v>0.0156143923964698</v>
      </c>
      <c r="K918" s="9">
        <f>IF(COUNT(F918:I918)&lt;&gt;4,0,IF(AND(G918&gt;F918,H918&gt;0,I918&gt;0,L918&lt;='Sheet1-指标体系'!$J$31,M918&lt;='Sheet1-指标体系'!$J$31),1,0))</f>
        <v>1</v>
      </c>
      <c r="L918" s="9">
        <f t="shared" si="43"/>
        <v>0</v>
      </c>
      <c r="M918" s="9">
        <f t="shared" si="44"/>
        <v>1</v>
      </c>
    </row>
    <row r="919" ht="25" customHeight="1" spans="1:13">
      <c r="A919" s="9" t="s">
        <v>203</v>
      </c>
      <c r="B919" s="9" t="s">
        <v>202</v>
      </c>
      <c r="C919" s="9" t="s">
        <v>1057</v>
      </c>
      <c r="D919" s="10">
        <v>46053</v>
      </c>
      <c r="E919" s="10">
        <v>46081</v>
      </c>
      <c r="F919" s="10">
        <f>净值原始!C7513</f>
        <v>46052</v>
      </c>
      <c r="G919" s="10">
        <f>净值原始!C7516</f>
        <v>46080</v>
      </c>
      <c r="H919" s="15">
        <f>净值原始!F7513</f>
        <v>1.0472</v>
      </c>
      <c r="I919" s="15">
        <f>净值原始!F7516</f>
        <v>1.064</v>
      </c>
      <c r="J919" s="11">
        <f t="shared" si="42"/>
        <v>0.0160427807486632</v>
      </c>
      <c r="K919" s="9">
        <f>IF(COUNT(F919:I919)&lt;&gt;4,0,IF(AND(G919&gt;F919,H919&gt;0,I919&gt;0,L919&lt;='Sheet1-指标体系'!$J$31,M919&lt;='Sheet1-指标体系'!$J$31),1,0))</f>
        <v>1</v>
      </c>
      <c r="L919" s="9">
        <f t="shared" si="43"/>
        <v>1</v>
      </c>
      <c r="M919" s="9">
        <f t="shared" si="44"/>
        <v>1</v>
      </c>
    </row>
    <row r="920" ht="25" customHeight="1" spans="1:13">
      <c r="A920" s="9" t="s">
        <v>203</v>
      </c>
      <c r="B920" s="9" t="s">
        <v>202</v>
      </c>
      <c r="C920" s="9" t="s">
        <v>1058</v>
      </c>
      <c r="D920" s="10">
        <v>46081</v>
      </c>
      <c r="E920" s="10">
        <v>46112</v>
      </c>
      <c r="F920" s="10">
        <f>净值原始!C7516</f>
        <v>46080</v>
      </c>
      <c r="G920" s="10">
        <f>净值原始!C7522</f>
        <v>46112</v>
      </c>
      <c r="H920" s="15">
        <f>净值原始!F7516</f>
        <v>1.064</v>
      </c>
      <c r="I920" s="15">
        <f>净值原始!F7522</f>
        <v>1.0841</v>
      </c>
      <c r="J920" s="11">
        <f t="shared" si="42"/>
        <v>0.018890977443609</v>
      </c>
      <c r="K920" s="9">
        <f>IF(COUNT(F920:I920)&lt;&gt;4,0,IF(AND(G920&gt;F920,H920&gt;0,I920&gt;0,L920&lt;='Sheet1-指标体系'!$J$31,M920&lt;='Sheet1-指标体系'!$J$31),1,0))</f>
        <v>1</v>
      </c>
      <c r="L920" s="9">
        <f t="shared" si="43"/>
        <v>1</v>
      </c>
      <c r="M920" s="9">
        <f t="shared" si="44"/>
        <v>0</v>
      </c>
    </row>
    <row r="921" ht="25" customHeight="1" spans="1:13">
      <c r="A921" s="9" t="s">
        <v>203</v>
      </c>
      <c r="B921" s="9" t="s">
        <v>202</v>
      </c>
      <c r="C921" s="9" t="s">
        <v>1059</v>
      </c>
      <c r="D921" s="10">
        <v>46112</v>
      </c>
      <c r="E921" s="10">
        <v>46142</v>
      </c>
      <c r="F921" s="10">
        <f>净值原始!C7522</f>
        <v>46112</v>
      </c>
      <c r="G921" s="10">
        <f>净值原始!C7527</f>
        <v>46142</v>
      </c>
      <c r="H921" s="15">
        <f>净值原始!F7522</f>
        <v>1.0841</v>
      </c>
      <c r="I921" s="15">
        <f>净值原始!F7527</f>
        <v>1.0856</v>
      </c>
      <c r="J921" s="11">
        <f t="shared" si="42"/>
        <v>0.00138363619592274</v>
      </c>
      <c r="K921" s="9">
        <f>IF(COUNT(F921:I921)&lt;&gt;4,0,IF(AND(G921&gt;F921,H921&gt;0,I921&gt;0,L921&lt;='Sheet1-指标体系'!$J$31,M921&lt;='Sheet1-指标体系'!$J$31),1,0))</f>
        <v>1</v>
      </c>
      <c r="L921" s="9">
        <f t="shared" si="43"/>
        <v>0</v>
      </c>
      <c r="M921" s="9">
        <f t="shared" si="44"/>
        <v>0</v>
      </c>
    </row>
    <row r="922" ht="25" customHeight="1" spans="1:13">
      <c r="A922" s="9" t="s">
        <v>203</v>
      </c>
      <c r="B922" s="9" t="s">
        <v>202</v>
      </c>
      <c r="C922" s="9" t="s">
        <v>1060</v>
      </c>
      <c r="D922" s="10">
        <v>46142</v>
      </c>
      <c r="E922" s="10">
        <v>46173</v>
      </c>
      <c r="F922" s="10">
        <f>净值原始!C7527</f>
        <v>46142</v>
      </c>
      <c r="G922" s="10">
        <f>净值原始!C7531</f>
        <v>46171</v>
      </c>
      <c r="H922" s="15">
        <f>净值原始!F7527</f>
        <v>1.0856</v>
      </c>
      <c r="I922" s="15">
        <f>净值原始!F7531</f>
        <v>1.0904</v>
      </c>
      <c r="J922" s="11">
        <f t="shared" si="42"/>
        <v>0.00442151805453217</v>
      </c>
      <c r="K922" s="9">
        <f>IF(COUNT(F922:I922)&lt;&gt;4,0,IF(AND(G922&gt;F922,H922&gt;0,I922&gt;0,L922&lt;='Sheet1-指标体系'!$J$31,M922&lt;='Sheet1-指标体系'!$J$31),1,0))</f>
        <v>1</v>
      </c>
      <c r="L922" s="9">
        <f t="shared" si="43"/>
        <v>0</v>
      </c>
      <c r="M922" s="9">
        <f t="shared" si="44"/>
        <v>2</v>
      </c>
    </row>
    <row r="923" ht="25" customHeight="1" spans="1:13">
      <c r="A923" s="9" t="s">
        <v>203</v>
      </c>
      <c r="B923" s="9" t="s">
        <v>202</v>
      </c>
      <c r="C923" s="9" t="s">
        <v>1061</v>
      </c>
      <c r="D923" s="10">
        <v>46173</v>
      </c>
      <c r="E923" s="10">
        <v>46203</v>
      </c>
      <c r="F923" s="10">
        <f>净值原始!C7531</f>
        <v>46171</v>
      </c>
      <c r="G923" s="10">
        <f>净值原始!C7535</f>
        <v>46199</v>
      </c>
      <c r="H923" s="15">
        <f>净值原始!F7531</f>
        <v>1.0904</v>
      </c>
      <c r="I923" s="15">
        <f>净值原始!F7535</f>
        <v>1.0935</v>
      </c>
      <c r="J923" s="11">
        <f t="shared" si="42"/>
        <v>0.00284299339691851</v>
      </c>
      <c r="K923" s="9">
        <f>IF(COUNT(F923:I923)&lt;&gt;4,0,IF(AND(G923&gt;F923,H923&gt;0,I923&gt;0,L923&lt;='Sheet1-指标体系'!$J$31,M923&lt;='Sheet1-指标体系'!$J$31),1,0))</f>
        <v>1</v>
      </c>
      <c r="L923" s="9">
        <f t="shared" si="43"/>
        <v>2</v>
      </c>
      <c r="M923" s="9">
        <f t="shared" si="44"/>
        <v>4</v>
      </c>
    </row>
    <row r="924" ht="25" customHeight="1" spans="1:13">
      <c r="A924" s="9" t="s">
        <v>203</v>
      </c>
      <c r="B924" s="9" t="s">
        <v>202</v>
      </c>
      <c r="C924" s="9" t="s">
        <v>1062</v>
      </c>
      <c r="D924" s="10">
        <v>46203</v>
      </c>
      <c r="E924" s="10">
        <v>46234</v>
      </c>
      <c r="F924" s="10">
        <f>净值原始!C7535</f>
        <v>46199</v>
      </c>
      <c r="G924" s="10">
        <f>净值原始!C7541</f>
        <v>46234</v>
      </c>
      <c r="H924" s="15">
        <f>净值原始!F7535</f>
        <v>1.0935</v>
      </c>
      <c r="I924" s="15">
        <f>净值原始!F7541</f>
        <v>1.1102</v>
      </c>
      <c r="J924" s="11">
        <f t="shared" si="42"/>
        <v>0.0152720621856426</v>
      </c>
      <c r="K924" s="9">
        <f>IF(COUNT(F924:I924)&lt;&gt;4,0,IF(AND(G924&gt;F924,H924&gt;0,I924&gt;0,L924&lt;='Sheet1-指标体系'!$J$31,M924&lt;='Sheet1-指标体系'!$J$31),1,0))</f>
        <v>1</v>
      </c>
      <c r="L924" s="9">
        <f t="shared" si="43"/>
        <v>4</v>
      </c>
      <c r="M924" s="9">
        <f t="shared" si="44"/>
        <v>0</v>
      </c>
    </row>
    <row r="925" ht="25" customHeight="1" spans="1:13">
      <c r="A925" s="9" t="s">
        <v>203</v>
      </c>
      <c r="B925" s="9" t="s">
        <v>202</v>
      </c>
      <c r="C925" s="9" t="s">
        <v>1063</v>
      </c>
      <c r="D925" s="10">
        <v>46234</v>
      </c>
      <c r="E925" s="10">
        <v>46265</v>
      </c>
      <c r="F925" s="10">
        <f>净值原始!C7541</f>
        <v>46234</v>
      </c>
      <c r="G925" s="10">
        <f>净值原始!C7550</f>
        <v>46265</v>
      </c>
      <c r="H925" s="15">
        <f>净值原始!F7541</f>
        <v>1.1102</v>
      </c>
      <c r="I925" s="15">
        <f>净值原始!F7550</f>
        <v>1.1099</v>
      </c>
      <c r="J925" s="11">
        <f t="shared" si="42"/>
        <v>-0.000270221581696983</v>
      </c>
      <c r="K925" s="9">
        <f>IF(COUNT(F925:I925)&lt;&gt;4,0,IF(AND(G925&gt;F925,H925&gt;0,I925&gt;0,L925&lt;='Sheet1-指标体系'!$J$31,M925&lt;='Sheet1-指标体系'!$J$31),1,0))</f>
        <v>1</v>
      </c>
      <c r="L925" s="9">
        <f t="shared" si="43"/>
        <v>0</v>
      </c>
      <c r="M925" s="9">
        <f t="shared" si="44"/>
        <v>0</v>
      </c>
    </row>
    <row r="926" ht="25" customHeight="1" spans="1:13">
      <c r="A926" s="9" t="s">
        <v>203</v>
      </c>
      <c r="B926" s="9" t="s">
        <v>202</v>
      </c>
      <c r="C926" s="9" t="s">
        <v>1064</v>
      </c>
      <c r="D926" s="10">
        <v>46265</v>
      </c>
      <c r="E926" s="10">
        <v>46269</v>
      </c>
      <c r="F926" s="10">
        <f>净值原始!C7550</f>
        <v>46265</v>
      </c>
      <c r="G926" s="10">
        <f>净值原始!C7550</f>
        <v>46265</v>
      </c>
      <c r="H926" s="15">
        <f>净值原始!F7550</f>
        <v>1.1099</v>
      </c>
      <c r="I926" s="15">
        <f>净值原始!F7550</f>
        <v>1.1099</v>
      </c>
      <c r="J926" s="11" t="str">
        <f t="shared" si="42"/>
        <v/>
      </c>
      <c r="K926" s="9">
        <f>IF(COUNT(F926:I926)&lt;&gt;4,0,IF(AND(G926&gt;F926,H926&gt;0,I926&gt;0,L926&lt;='Sheet1-指标体系'!$J$31,M926&lt;='Sheet1-指标体系'!$J$31),1,0))</f>
        <v>0</v>
      </c>
      <c r="L926" s="9">
        <f t="shared" si="43"/>
        <v>0</v>
      </c>
      <c r="M926" s="9">
        <f t="shared" si="44"/>
        <v>4</v>
      </c>
    </row>
    <row r="927" ht="25" customHeight="1" spans="1:13">
      <c r="A927" s="9" t="s">
        <v>260</v>
      </c>
      <c r="B927" s="9" t="s">
        <v>259</v>
      </c>
      <c r="C927" s="9" t="s">
        <v>1028</v>
      </c>
      <c r="D927" s="10">
        <v>45169</v>
      </c>
      <c r="E927" s="10">
        <v>45199</v>
      </c>
      <c r="F927" s="10"/>
      <c r="G927" s="10"/>
      <c r="H927" s="15"/>
      <c r="I927" s="15"/>
      <c r="J927" s="11" t="str">
        <f t="shared" si="42"/>
        <v/>
      </c>
      <c r="K927" s="9">
        <f>IF(COUNT(F927:I927)&lt;&gt;4,0,IF(AND(G927&gt;F927,H927&gt;0,I927&gt;0,L927&lt;='Sheet1-指标体系'!$J$31,M927&lt;='Sheet1-指标体系'!$J$31),1,0))</f>
        <v>0</v>
      </c>
      <c r="L927" s="9" t="str">
        <f t="shared" si="43"/>
        <v/>
      </c>
      <c r="M927" s="9" t="str">
        <f t="shared" si="44"/>
        <v/>
      </c>
    </row>
    <row r="928" ht="25" customHeight="1" spans="1:13">
      <c r="A928" s="9" t="s">
        <v>260</v>
      </c>
      <c r="B928" s="9" t="s">
        <v>259</v>
      </c>
      <c r="C928" s="9" t="s">
        <v>1029</v>
      </c>
      <c r="D928" s="10">
        <v>45199</v>
      </c>
      <c r="E928" s="10">
        <v>45230</v>
      </c>
      <c r="F928" s="10"/>
      <c r="G928" s="10"/>
      <c r="H928" s="15"/>
      <c r="I928" s="15"/>
      <c r="J928" s="11" t="str">
        <f t="shared" si="42"/>
        <v/>
      </c>
      <c r="K928" s="9">
        <f>IF(COUNT(F928:I928)&lt;&gt;4,0,IF(AND(G928&gt;F928,H928&gt;0,I928&gt;0,L928&lt;='Sheet1-指标体系'!$J$31,M928&lt;='Sheet1-指标体系'!$J$31),1,0))</f>
        <v>0</v>
      </c>
      <c r="L928" s="9" t="str">
        <f t="shared" si="43"/>
        <v/>
      </c>
      <c r="M928" s="9" t="str">
        <f t="shared" si="44"/>
        <v/>
      </c>
    </row>
    <row r="929" ht="25" customHeight="1" spans="1:13">
      <c r="A929" s="9" t="s">
        <v>260</v>
      </c>
      <c r="B929" s="9" t="s">
        <v>259</v>
      </c>
      <c r="C929" s="9" t="s">
        <v>1030</v>
      </c>
      <c r="D929" s="10">
        <v>45230</v>
      </c>
      <c r="E929" s="10">
        <v>45260</v>
      </c>
      <c r="F929" s="10"/>
      <c r="G929" s="10"/>
      <c r="H929" s="15"/>
      <c r="I929" s="15"/>
      <c r="J929" s="11" t="str">
        <f t="shared" si="42"/>
        <v/>
      </c>
      <c r="K929" s="9">
        <f>IF(COUNT(F929:I929)&lt;&gt;4,0,IF(AND(G929&gt;F929,H929&gt;0,I929&gt;0,L929&lt;='Sheet1-指标体系'!$J$31,M929&lt;='Sheet1-指标体系'!$J$31),1,0))</f>
        <v>0</v>
      </c>
      <c r="L929" s="9" t="str">
        <f t="shared" si="43"/>
        <v/>
      </c>
      <c r="M929" s="9" t="str">
        <f t="shared" si="44"/>
        <v/>
      </c>
    </row>
    <row r="930" ht="25" customHeight="1" spans="1:13">
      <c r="A930" s="9" t="s">
        <v>260</v>
      </c>
      <c r="B930" s="9" t="s">
        <v>259</v>
      </c>
      <c r="C930" s="9" t="s">
        <v>1031</v>
      </c>
      <c r="D930" s="10">
        <v>45260</v>
      </c>
      <c r="E930" s="10">
        <v>45291</v>
      </c>
      <c r="F930" s="10"/>
      <c r="G930" s="10"/>
      <c r="H930" s="15"/>
      <c r="I930" s="15"/>
      <c r="J930" s="11" t="str">
        <f t="shared" si="42"/>
        <v/>
      </c>
      <c r="K930" s="9">
        <f>IF(COUNT(F930:I930)&lt;&gt;4,0,IF(AND(G930&gt;F930,H930&gt;0,I930&gt;0,L930&lt;='Sheet1-指标体系'!$J$31,M930&lt;='Sheet1-指标体系'!$J$31),1,0))</f>
        <v>0</v>
      </c>
      <c r="L930" s="9" t="str">
        <f t="shared" si="43"/>
        <v/>
      </c>
      <c r="M930" s="9" t="str">
        <f t="shared" si="44"/>
        <v/>
      </c>
    </row>
    <row r="931" ht="25" customHeight="1" spans="1:13">
      <c r="A931" s="9" t="s">
        <v>260</v>
      </c>
      <c r="B931" s="9" t="s">
        <v>259</v>
      </c>
      <c r="C931" s="9" t="s">
        <v>1032</v>
      </c>
      <c r="D931" s="10">
        <v>45291</v>
      </c>
      <c r="E931" s="10">
        <v>45322</v>
      </c>
      <c r="F931" s="10"/>
      <c r="G931" s="10"/>
      <c r="H931" s="15"/>
      <c r="I931" s="15"/>
      <c r="J931" s="11" t="str">
        <f t="shared" si="42"/>
        <v/>
      </c>
      <c r="K931" s="9">
        <f>IF(COUNT(F931:I931)&lt;&gt;4,0,IF(AND(G931&gt;F931,H931&gt;0,I931&gt;0,L931&lt;='Sheet1-指标体系'!$J$31,M931&lt;='Sheet1-指标体系'!$J$31),1,0))</f>
        <v>0</v>
      </c>
      <c r="L931" s="9" t="str">
        <f t="shared" si="43"/>
        <v/>
      </c>
      <c r="M931" s="9" t="str">
        <f t="shared" si="44"/>
        <v/>
      </c>
    </row>
    <row r="932" ht="25" customHeight="1" spans="1:13">
      <c r="A932" s="9" t="s">
        <v>260</v>
      </c>
      <c r="B932" s="9" t="s">
        <v>259</v>
      </c>
      <c r="C932" s="9" t="s">
        <v>1033</v>
      </c>
      <c r="D932" s="10">
        <v>45322</v>
      </c>
      <c r="E932" s="10">
        <v>45351</v>
      </c>
      <c r="F932" s="10"/>
      <c r="G932" s="10"/>
      <c r="H932" s="15"/>
      <c r="I932" s="15"/>
      <c r="J932" s="11" t="str">
        <f t="shared" si="42"/>
        <v/>
      </c>
      <c r="K932" s="9">
        <f>IF(COUNT(F932:I932)&lt;&gt;4,0,IF(AND(G932&gt;F932,H932&gt;0,I932&gt;0,L932&lt;='Sheet1-指标体系'!$J$31,M932&lt;='Sheet1-指标体系'!$J$31),1,0))</f>
        <v>0</v>
      </c>
      <c r="L932" s="9" t="str">
        <f t="shared" si="43"/>
        <v/>
      </c>
      <c r="M932" s="9" t="str">
        <f t="shared" si="44"/>
        <v/>
      </c>
    </row>
    <row r="933" ht="25" customHeight="1" spans="1:13">
      <c r="A933" s="9" t="s">
        <v>260</v>
      </c>
      <c r="B933" s="9" t="s">
        <v>259</v>
      </c>
      <c r="C933" s="9" t="s">
        <v>1034</v>
      </c>
      <c r="D933" s="10">
        <v>45351</v>
      </c>
      <c r="E933" s="10">
        <v>45382</v>
      </c>
      <c r="F933" s="10"/>
      <c r="G933" s="10"/>
      <c r="H933" s="15"/>
      <c r="I933" s="15"/>
      <c r="J933" s="11" t="str">
        <f t="shared" si="42"/>
        <v/>
      </c>
      <c r="K933" s="9">
        <f>IF(COUNT(F933:I933)&lt;&gt;4,0,IF(AND(G933&gt;F933,H933&gt;0,I933&gt;0,L933&lt;='Sheet1-指标体系'!$J$31,M933&lt;='Sheet1-指标体系'!$J$31),1,0))</f>
        <v>0</v>
      </c>
      <c r="L933" s="9" t="str">
        <f t="shared" si="43"/>
        <v/>
      </c>
      <c r="M933" s="9" t="str">
        <f t="shared" si="44"/>
        <v/>
      </c>
    </row>
    <row r="934" ht="25" customHeight="1" spans="1:13">
      <c r="A934" s="9" t="s">
        <v>260</v>
      </c>
      <c r="B934" s="9" t="s">
        <v>259</v>
      </c>
      <c r="C934" s="9" t="s">
        <v>1035</v>
      </c>
      <c r="D934" s="10">
        <v>45382</v>
      </c>
      <c r="E934" s="10">
        <v>45412</v>
      </c>
      <c r="F934" s="10"/>
      <c r="G934" s="10"/>
      <c r="H934" s="15"/>
      <c r="I934" s="15"/>
      <c r="J934" s="11" t="str">
        <f t="shared" si="42"/>
        <v/>
      </c>
      <c r="K934" s="9">
        <f>IF(COUNT(F934:I934)&lt;&gt;4,0,IF(AND(G934&gt;F934,H934&gt;0,I934&gt;0,L934&lt;='Sheet1-指标体系'!$J$31,M934&lt;='Sheet1-指标体系'!$J$31),1,0))</f>
        <v>0</v>
      </c>
      <c r="L934" s="9" t="str">
        <f t="shared" si="43"/>
        <v/>
      </c>
      <c r="M934" s="9" t="str">
        <f t="shared" si="44"/>
        <v/>
      </c>
    </row>
    <row r="935" ht="25" customHeight="1" spans="1:13">
      <c r="A935" s="9" t="s">
        <v>260</v>
      </c>
      <c r="B935" s="9" t="s">
        <v>259</v>
      </c>
      <c r="C935" s="9" t="s">
        <v>1036</v>
      </c>
      <c r="D935" s="10">
        <v>45412</v>
      </c>
      <c r="E935" s="10">
        <v>45443</v>
      </c>
      <c r="F935" s="10"/>
      <c r="G935" s="10"/>
      <c r="H935" s="15"/>
      <c r="I935" s="15"/>
      <c r="J935" s="11" t="str">
        <f t="shared" si="42"/>
        <v/>
      </c>
      <c r="K935" s="9">
        <f>IF(COUNT(F935:I935)&lt;&gt;4,0,IF(AND(G935&gt;F935,H935&gt;0,I935&gt;0,L935&lt;='Sheet1-指标体系'!$J$31,M935&lt;='Sheet1-指标体系'!$J$31),1,0))</f>
        <v>0</v>
      </c>
      <c r="L935" s="9" t="str">
        <f t="shared" si="43"/>
        <v/>
      </c>
      <c r="M935" s="9" t="str">
        <f t="shared" si="44"/>
        <v/>
      </c>
    </row>
    <row r="936" ht="25" customHeight="1" spans="1:13">
      <c r="A936" s="9" t="s">
        <v>260</v>
      </c>
      <c r="B936" s="9" t="s">
        <v>259</v>
      </c>
      <c r="C936" s="9" t="s">
        <v>1037</v>
      </c>
      <c r="D936" s="10">
        <v>45443</v>
      </c>
      <c r="E936" s="10">
        <v>45473</v>
      </c>
      <c r="F936" s="10"/>
      <c r="G936" s="10"/>
      <c r="H936" s="15"/>
      <c r="I936" s="15"/>
      <c r="J936" s="11" t="str">
        <f t="shared" si="42"/>
        <v/>
      </c>
      <c r="K936" s="9">
        <f>IF(COUNT(F936:I936)&lt;&gt;4,0,IF(AND(G936&gt;F936,H936&gt;0,I936&gt;0,L936&lt;='Sheet1-指标体系'!$J$31,M936&lt;='Sheet1-指标体系'!$J$31),1,0))</f>
        <v>0</v>
      </c>
      <c r="L936" s="9" t="str">
        <f t="shared" si="43"/>
        <v/>
      </c>
      <c r="M936" s="9" t="str">
        <f t="shared" si="44"/>
        <v/>
      </c>
    </row>
    <row r="937" ht="25" customHeight="1" spans="1:13">
      <c r="A937" s="9" t="s">
        <v>260</v>
      </c>
      <c r="B937" s="9" t="s">
        <v>259</v>
      </c>
      <c r="C937" s="9" t="s">
        <v>1038</v>
      </c>
      <c r="D937" s="10">
        <v>45473</v>
      </c>
      <c r="E937" s="10">
        <v>45504</v>
      </c>
      <c r="F937" s="10"/>
      <c r="G937" s="10"/>
      <c r="H937" s="15"/>
      <c r="I937" s="15"/>
      <c r="J937" s="11" t="str">
        <f t="shared" si="42"/>
        <v/>
      </c>
      <c r="K937" s="9">
        <f>IF(COUNT(F937:I937)&lt;&gt;4,0,IF(AND(G937&gt;F937,H937&gt;0,I937&gt;0,L937&lt;='Sheet1-指标体系'!$J$31,M937&lt;='Sheet1-指标体系'!$J$31),1,0))</f>
        <v>0</v>
      </c>
      <c r="L937" s="9" t="str">
        <f t="shared" si="43"/>
        <v/>
      </c>
      <c r="M937" s="9" t="str">
        <f t="shared" si="44"/>
        <v/>
      </c>
    </row>
    <row r="938" ht="25" customHeight="1" spans="1:13">
      <c r="A938" s="9" t="s">
        <v>260</v>
      </c>
      <c r="B938" s="9" t="s">
        <v>259</v>
      </c>
      <c r="C938" s="9" t="s">
        <v>1039</v>
      </c>
      <c r="D938" s="10">
        <v>45504</v>
      </c>
      <c r="E938" s="10">
        <v>45535</v>
      </c>
      <c r="F938" s="10"/>
      <c r="G938" s="10"/>
      <c r="H938" s="15"/>
      <c r="I938" s="15"/>
      <c r="J938" s="11" t="str">
        <f t="shared" si="42"/>
        <v/>
      </c>
      <c r="K938" s="9">
        <f>IF(COUNT(F938:I938)&lt;&gt;4,0,IF(AND(G938&gt;F938,H938&gt;0,I938&gt;0,L938&lt;='Sheet1-指标体系'!$J$31,M938&lt;='Sheet1-指标体系'!$J$31),1,0))</f>
        <v>0</v>
      </c>
      <c r="L938" s="9" t="str">
        <f t="shared" si="43"/>
        <v/>
      </c>
      <c r="M938" s="9" t="str">
        <f t="shared" si="44"/>
        <v/>
      </c>
    </row>
    <row r="939" ht="25" customHeight="1" spans="1:13">
      <c r="A939" s="9" t="s">
        <v>260</v>
      </c>
      <c r="B939" s="9" t="s">
        <v>259</v>
      </c>
      <c r="C939" s="9" t="s">
        <v>1040</v>
      </c>
      <c r="D939" s="10">
        <v>45535</v>
      </c>
      <c r="E939" s="10">
        <v>45565</v>
      </c>
      <c r="F939" s="10"/>
      <c r="G939" s="10"/>
      <c r="H939" s="15"/>
      <c r="I939" s="15"/>
      <c r="J939" s="11" t="str">
        <f t="shared" si="42"/>
        <v/>
      </c>
      <c r="K939" s="9">
        <f>IF(COUNT(F939:I939)&lt;&gt;4,0,IF(AND(G939&gt;F939,H939&gt;0,I939&gt;0,L939&lt;='Sheet1-指标体系'!$J$31,M939&lt;='Sheet1-指标体系'!$J$31),1,0))</f>
        <v>0</v>
      </c>
      <c r="L939" s="9" t="str">
        <f t="shared" si="43"/>
        <v/>
      </c>
      <c r="M939" s="9" t="str">
        <f t="shared" si="44"/>
        <v/>
      </c>
    </row>
    <row r="940" ht="25" customHeight="1" spans="1:13">
      <c r="A940" s="9" t="s">
        <v>260</v>
      </c>
      <c r="B940" s="9" t="s">
        <v>259</v>
      </c>
      <c r="C940" s="9" t="s">
        <v>1041</v>
      </c>
      <c r="D940" s="10">
        <v>45565</v>
      </c>
      <c r="E940" s="10">
        <v>45596</v>
      </c>
      <c r="F940" s="10"/>
      <c r="G940" s="10"/>
      <c r="H940" s="15"/>
      <c r="I940" s="15"/>
      <c r="J940" s="11" t="str">
        <f t="shared" si="42"/>
        <v/>
      </c>
      <c r="K940" s="9">
        <f>IF(COUNT(F940:I940)&lt;&gt;4,0,IF(AND(G940&gt;F940,H940&gt;0,I940&gt;0,L940&lt;='Sheet1-指标体系'!$J$31,M940&lt;='Sheet1-指标体系'!$J$31),1,0))</f>
        <v>0</v>
      </c>
      <c r="L940" s="9" t="str">
        <f t="shared" si="43"/>
        <v/>
      </c>
      <c r="M940" s="9" t="str">
        <f t="shared" si="44"/>
        <v/>
      </c>
    </row>
    <row r="941" ht="25" customHeight="1" spans="1:13">
      <c r="A941" s="9" t="s">
        <v>260</v>
      </c>
      <c r="B941" s="9" t="s">
        <v>259</v>
      </c>
      <c r="C941" s="9" t="s">
        <v>1042</v>
      </c>
      <c r="D941" s="10">
        <v>45596</v>
      </c>
      <c r="E941" s="10">
        <v>45626</v>
      </c>
      <c r="F941" s="10"/>
      <c r="G941" s="10"/>
      <c r="H941" s="15"/>
      <c r="I941" s="15"/>
      <c r="J941" s="11" t="str">
        <f t="shared" si="42"/>
        <v/>
      </c>
      <c r="K941" s="9">
        <f>IF(COUNT(F941:I941)&lt;&gt;4,0,IF(AND(G941&gt;F941,H941&gt;0,I941&gt;0,L941&lt;='Sheet1-指标体系'!$J$31,M941&lt;='Sheet1-指标体系'!$J$31),1,0))</f>
        <v>0</v>
      </c>
      <c r="L941" s="9" t="str">
        <f t="shared" si="43"/>
        <v/>
      </c>
      <c r="M941" s="9" t="str">
        <f t="shared" si="44"/>
        <v/>
      </c>
    </row>
    <row r="942" ht="25" customHeight="1" spans="1:13">
      <c r="A942" s="9" t="s">
        <v>260</v>
      </c>
      <c r="B942" s="9" t="s">
        <v>259</v>
      </c>
      <c r="C942" s="9" t="s">
        <v>1043</v>
      </c>
      <c r="D942" s="10">
        <v>45626</v>
      </c>
      <c r="E942" s="10">
        <v>45657</v>
      </c>
      <c r="F942" s="10"/>
      <c r="G942" s="10"/>
      <c r="H942" s="15"/>
      <c r="I942" s="15"/>
      <c r="J942" s="11" t="str">
        <f t="shared" si="42"/>
        <v/>
      </c>
      <c r="K942" s="9">
        <f>IF(COUNT(F942:I942)&lt;&gt;4,0,IF(AND(G942&gt;F942,H942&gt;0,I942&gt;0,L942&lt;='Sheet1-指标体系'!$J$31,M942&lt;='Sheet1-指标体系'!$J$31),1,0))</f>
        <v>0</v>
      </c>
      <c r="L942" s="9" t="str">
        <f t="shared" si="43"/>
        <v/>
      </c>
      <c r="M942" s="9" t="str">
        <f t="shared" si="44"/>
        <v/>
      </c>
    </row>
    <row r="943" ht="25" customHeight="1" spans="1:13">
      <c r="A943" s="9" t="s">
        <v>260</v>
      </c>
      <c r="B943" s="9" t="s">
        <v>259</v>
      </c>
      <c r="C943" s="9" t="s">
        <v>1044</v>
      </c>
      <c r="D943" s="10">
        <v>45657</v>
      </c>
      <c r="E943" s="10">
        <v>45688</v>
      </c>
      <c r="F943" s="10"/>
      <c r="G943" s="10"/>
      <c r="H943" s="15"/>
      <c r="I943" s="15"/>
      <c r="J943" s="11" t="str">
        <f t="shared" si="42"/>
        <v/>
      </c>
      <c r="K943" s="9">
        <f>IF(COUNT(F943:I943)&lt;&gt;4,0,IF(AND(G943&gt;F943,H943&gt;0,I943&gt;0,L943&lt;='Sheet1-指标体系'!$J$31,M943&lt;='Sheet1-指标体系'!$J$31),1,0))</f>
        <v>0</v>
      </c>
      <c r="L943" s="9" t="str">
        <f t="shared" si="43"/>
        <v/>
      </c>
      <c r="M943" s="9" t="str">
        <f t="shared" si="44"/>
        <v/>
      </c>
    </row>
    <row r="944" ht="25" customHeight="1" spans="1:13">
      <c r="A944" s="9" t="s">
        <v>260</v>
      </c>
      <c r="B944" s="9" t="s">
        <v>259</v>
      </c>
      <c r="C944" s="9" t="s">
        <v>1045</v>
      </c>
      <c r="D944" s="10">
        <v>45688</v>
      </c>
      <c r="E944" s="10">
        <v>45716</v>
      </c>
      <c r="F944" s="10"/>
      <c r="G944" s="10"/>
      <c r="H944" s="15"/>
      <c r="I944" s="15"/>
      <c r="J944" s="11" t="str">
        <f t="shared" si="42"/>
        <v/>
      </c>
      <c r="K944" s="9">
        <f>IF(COUNT(F944:I944)&lt;&gt;4,0,IF(AND(G944&gt;F944,H944&gt;0,I944&gt;0,L944&lt;='Sheet1-指标体系'!$J$31,M944&lt;='Sheet1-指标体系'!$J$31),1,0))</f>
        <v>0</v>
      </c>
      <c r="L944" s="9" t="str">
        <f t="shared" si="43"/>
        <v/>
      </c>
      <c r="M944" s="9" t="str">
        <f t="shared" si="44"/>
        <v/>
      </c>
    </row>
    <row r="945" ht="25" customHeight="1" spans="1:13">
      <c r="A945" s="9" t="s">
        <v>260</v>
      </c>
      <c r="B945" s="9" t="s">
        <v>259</v>
      </c>
      <c r="C945" s="9" t="s">
        <v>1046</v>
      </c>
      <c r="D945" s="10">
        <v>45716</v>
      </c>
      <c r="E945" s="10">
        <v>45747</v>
      </c>
      <c r="F945" s="10"/>
      <c r="G945" s="10"/>
      <c r="H945" s="15"/>
      <c r="I945" s="15"/>
      <c r="J945" s="11" t="str">
        <f t="shared" si="42"/>
        <v/>
      </c>
      <c r="K945" s="9">
        <f>IF(COUNT(F945:I945)&lt;&gt;4,0,IF(AND(G945&gt;F945,H945&gt;0,I945&gt;0,L945&lt;='Sheet1-指标体系'!$J$31,M945&lt;='Sheet1-指标体系'!$J$31),1,0))</f>
        <v>0</v>
      </c>
      <c r="L945" s="9" t="str">
        <f t="shared" si="43"/>
        <v/>
      </c>
      <c r="M945" s="9" t="str">
        <f t="shared" si="44"/>
        <v/>
      </c>
    </row>
    <row r="946" ht="25" customHeight="1" spans="1:13">
      <c r="A946" s="9" t="s">
        <v>260</v>
      </c>
      <c r="B946" s="9" t="s">
        <v>259</v>
      </c>
      <c r="C946" s="9" t="s">
        <v>1047</v>
      </c>
      <c r="D946" s="10">
        <v>45747</v>
      </c>
      <c r="E946" s="10">
        <v>45777</v>
      </c>
      <c r="F946" s="10"/>
      <c r="G946" s="10"/>
      <c r="H946" s="15"/>
      <c r="I946" s="15"/>
      <c r="J946" s="11" t="str">
        <f t="shared" si="42"/>
        <v/>
      </c>
      <c r="K946" s="9">
        <f>IF(COUNT(F946:I946)&lt;&gt;4,0,IF(AND(G946&gt;F946,H946&gt;0,I946&gt;0,L946&lt;='Sheet1-指标体系'!$J$31,M946&lt;='Sheet1-指标体系'!$J$31),1,0))</f>
        <v>0</v>
      </c>
      <c r="L946" s="9" t="str">
        <f t="shared" si="43"/>
        <v/>
      </c>
      <c r="M946" s="9" t="str">
        <f t="shared" si="44"/>
        <v/>
      </c>
    </row>
    <row r="947" ht="25" customHeight="1" spans="1:13">
      <c r="A947" s="9" t="s">
        <v>260</v>
      </c>
      <c r="B947" s="9" t="s">
        <v>259</v>
      </c>
      <c r="C947" s="9" t="s">
        <v>1048</v>
      </c>
      <c r="D947" s="10">
        <v>45777</v>
      </c>
      <c r="E947" s="10">
        <v>45808</v>
      </c>
      <c r="F947" s="10"/>
      <c r="G947" s="10"/>
      <c r="H947" s="15"/>
      <c r="I947" s="15"/>
      <c r="J947" s="11" t="str">
        <f t="shared" si="42"/>
        <v/>
      </c>
      <c r="K947" s="9">
        <f>IF(COUNT(F947:I947)&lt;&gt;4,0,IF(AND(G947&gt;F947,H947&gt;0,I947&gt;0,L947&lt;='Sheet1-指标体系'!$J$31,M947&lt;='Sheet1-指标体系'!$J$31),1,0))</f>
        <v>0</v>
      </c>
      <c r="L947" s="9" t="str">
        <f t="shared" si="43"/>
        <v/>
      </c>
      <c r="M947" s="9" t="str">
        <f t="shared" si="44"/>
        <v/>
      </c>
    </row>
    <row r="948" ht="25" customHeight="1" spans="1:13">
      <c r="A948" s="9" t="s">
        <v>260</v>
      </c>
      <c r="B948" s="9" t="s">
        <v>259</v>
      </c>
      <c r="C948" s="9" t="s">
        <v>1049</v>
      </c>
      <c r="D948" s="10">
        <v>45808</v>
      </c>
      <c r="E948" s="10">
        <v>45838</v>
      </c>
      <c r="F948" s="10"/>
      <c r="G948" s="10"/>
      <c r="H948" s="15"/>
      <c r="I948" s="15"/>
      <c r="J948" s="11" t="str">
        <f t="shared" si="42"/>
        <v/>
      </c>
      <c r="K948" s="9">
        <f>IF(COUNT(F948:I948)&lt;&gt;4,0,IF(AND(G948&gt;F948,H948&gt;0,I948&gt;0,L948&lt;='Sheet1-指标体系'!$J$31,M948&lt;='Sheet1-指标体系'!$J$31),1,0))</f>
        <v>0</v>
      </c>
      <c r="L948" s="9" t="str">
        <f t="shared" si="43"/>
        <v/>
      </c>
      <c r="M948" s="9" t="str">
        <f t="shared" si="44"/>
        <v/>
      </c>
    </row>
    <row r="949" ht="25" customHeight="1" spans="1:13">
      <c r="A949" s="9" t="s">
        <v>260</v>
      </c>
      <c r="B949" s="9" t="s">
        <v>259</v>
      </c>
      <c r="C949" s="9" t="s">
        <v>1050</v>
      </c>
      <c r="D949" s="10">
        <v>45838</v>
      </c>
      <c r="E949" s="10">
        <v>45869</v>
      </c>
      <c r="F949" s="10"/>
      <c r="G949" s="10"/>
      <c r="H949" s="15"/>
      <c r="I949" s="15"/>
      <c r="J949" s="11" t="str">
        <f t="shared" si="42"/>
        <v/>
      </c>
      <c r="K949" s="9">
        <f>IF(COUNT(F949:I949)&lt;&gt;4,0,IF(AND(G949&gt;F949,H949&gt;0,I949&gt;0,L949&lt;='Sheet1-指标体系'!$J$31,M949&lt;='Sheet1-指标体系'!$J$31),1,0))</f>
        <v>0</v>
      </c>
      <c r="L949" s="9" t="str">
        <f t="shared" si="43"/>
        <v/>
      </c>
      <c r="M949" s="9" t="str">
        <f t="shared" si="44"/>
        <v/>
      </c>
    </row>
    <row r="950" ht="25" customHeight="1" spans="1:13">
      <c r="A950" s="9" t="s">
        <v>260</v>
      </c>
      <c r="B950" s="9" t="s">
        <v>259</v>
      </c>
      <c r="C950" s="9" t="s">
        <v>1051</v>
      </c>
      <c r="D950" s="10">
        <v>45869</v>
      </c>
      <c r="E950" s="10">
        <v>45900</v>
      </c>
      <c r="F950" s="10"/>
      <c r="G950" s="10"/>
      <c r="H950" s="15"/>
      <c r="I950" s="15"/>
      <c r="J950" s="11" t="str">
        <f t="shared" si="42"/>
        <v/>
      </c>
      <c r="K950" s="9">
        <f>IF(COUNT(F950:I950)&lt;&gt;4,0,IF(AND(G950&gt;F950,H950&gt;0,I950&gt;0,L950&lt;='Sheet1-指标体系'!$J$31,M950&lt;='Sheet1-指标体系'!$J$31),1,0))</f>
        <v>0</v>
      </c>
      <c r="L950" s="9" t="str">
        <f t="shared" si="43"/>
        <v/>
      </c>
      <c r="M950" s="9" t="str">
        <f t="shared" si="44"/>
        <v/>
      </c>
    </row>
    <row r="951" ht="25" customHeight="1" spans="1:13">
      <c r="A951" s="9" t="s">
        <v>260</v>
      </c>
      <c r="B951" s="9" t="s">
        <v>259</v>
      </c>
      <c r="C951" s="9" t="s">
        <v>1052</v>
      </c>
      <c r="D951" s="10">
        <v>45900</v>
      </c>
      <c r="E951" s="10">
        <v>45930</v>
      </c>
      <c r="F951" s="10"/>
      <c r="G951" s="10"/>
      <c r="H951" s="15"/>
      <c r="I951" s="15"/>
      <c r="J951" s="11" t="str">
        <f t="shared" si="42"/>
        <v/>
      </c>
      <c r="K951" s="9">
        <f>IF(COUNT(F951:I951)&lt;&gt;4,0,IF(AND(G951&gt;F951,H951&gt;0,I951&gt;0,L951&lt;='Sheet1-指标体系'!$J$31,M951&lt;='Sheet1-指标体系'!$J$31),1,0))</f>
        <v>0</v>
      </c>
      <c r="L951" s="9" t="str">
        <f t="shared" si="43"/>
        <v/>
      </c>
      <c r="M951" s="9" t="str">
        <f t="shared" si="44"/>
        <v/>
      </c>
    </row>
    <row r="952" ht="25" customHeight="1" spans="1:13">
      <c r="A952" s="9" t="s">
        <v>260</v>
      </c>
      <c r="B952" s="9" t="s">
        <v>259</v>
      </c>
      <c r="C952" s="9" t="s">
        <v>1053</v>
      </c>
      <c r="D952" s="10">
        <v>45930</v>
      </c>
      <c r="E952" s="10">
        <v>45961</v>
      </c>
      <c r="F952" s="10"/>
      <c r="G952" s="10"/>
      <c r="H952" s="15"/>
      <c r="I952" s="15"/>
      <c r="J952" s="11" t="str">
        <f t="shared" si="42"/>
        <v/>
      </c>
      <c r="K952" s="9">
        <f>IF(COUNT(F952:I952)&lt;&gt;4,0,IF(AND(G952&gt;F952,H952&gt;0,I952&gt;0,L952&lt;='Sheet1-指标体系'!$J$31,M952&lt;='Sheet1-指标体系'!$J$31),1,0))</f>
        <v>0</v>
      </c>
      <c r="L952" s="9" t="str">
        <f t="shared" si="43"/>
        <v/>
      </c>
      <c r="M952" s="9" t="str">
        <f t="shared" si="44"/>
        <v/>
      </c>
    </row>
    <row r="953" ht="25" customHeight="1" spans="1:13">
      <c r="A953" s="9" t="s">
        <v>260</v>
      </c>
      <c r="B953" s="9" t="s">
        <v>259</v>
      </c>
      <c r="C953" s="9" t="s">
        <v>1054</v>
      </c>
      <c r="D953" s="10">
        <v>45961</v>
      </c>
      <c r="E953" s="10">
        <v>45991</v>
      </c>
      <c r="F953" s="10"/>
      <c r="G953" s="10"/>
      <c r="H953" s="15"/>
      <c r="I953" s="15"/>
      <c r="J953" s="11" t="str">
        <f t="shared" si="42"/>
        <v/>
      </c>
      <c r="K953" s="9">
        <f>IF(COUNT(F953:I953)&lt;&gt;4,0,IF(AND(G953&gt;F953,H953&gt;0,I953&gt;0,L953&lt;='Sheet1-指标体系'!$J$31,M953&lt;='Sheet1-指标体系'!$J$31),1,0))</f>
        <v>0</v>
      </c>
      <c r="L953" s="9" t="str">
        <f t="shared" si="43"/>
        <v/>
      </c>
      <c r="M953" s="9" t="str">
        <f t="shared" si="44"/>
        <v/>
      </c>
    </row>
    <row r="954" ht="25" customHeight="1" spans="1:13">
      <c r="A954" s="9" t="s">
        <v>260</v>
      </c>
      <c r="B954" s="9" t="s">
        <v>259</v>
      </c>
      <c r="C954" s="9" t="s">
        <v>1055</v>
      </c>
      <c r="D954" s="10">
        <v>45991</v>
      </c>
      <c r="E954" s="10">
        <v>46022</v>
      </c>
      <c r="F954" s="10"/>
      <c r="G954" s="10"/>
      <c r="H954" s="15"/>
      <c r="I954" s="15"/>
      <c r="J954" s="11" t="str">
        <f t="shared" si="42"/>
        <v/>
      </c>
      <c r="K954" s="9">
        <f>IF(COUNT(F954:I954)&lt;&gt;4,0,IF(AND(G954&gt;F954,H954&gt;0,I954&gt;0,L954&lt;='Sheet1-指标体系'!$J$31,M954&lt;='Sheet1-指标体系'!$J$31),1,0))</f>
        <v>0</v>
      </c>
      <c r="L954" s="9" t="str">
        <f t="shared" si="43"/>
        <v/>
      </c>
      <c r="M954" s="9" t="str">
        <f t="shared" si="44"/>
        <v/>
      </c>
    </row>
    <row r="955" ht="25" customHeight="1" spans="1:13">
      <c r="A955" s="9" t="s">
        <v>260</v>
      </c>
      <c r="B955" s="9" t="s">
        <v>259</v>
      </c>
      <c r="C955" s="9" t="s">
        <v>1056</v>
      </c>
      <c r="D955" s="10">
        <v>46022</v>
      </c>
      <c r="E955" s="10">
        <v>46053</v>
      </c>
      <c r="F955" s="10"/>
      <c r="G955" s="10"/>
      <c r="H955" s="15"/>
      <c r="I955" s="15"/>
      <c r="J955" s="11" t="str">
        <f t="shared" si="42"/>
        <v/>
      </c>
      <c r="K955" s="9">
        <f>IF(COUNT(F955:I955)&lt;&gt;4,0,IF(AND(G955&gt;F955,H955&gt;0,I955&gt;0,L955&lt;='Sheet1-指标体系'!$J$31,M955&lt;='Sheet1-指标体系'!$J$31),1,0))</f>
        <v>0</v>
      </c>
      <c r="L955" s="9" t="str">
        <f t="shared" si="43"/>
        <v/>
      </c>
      <c r="M955" s="9" t="str">
        <f t="shared" si="44"/>
        <v/>
      </c>
    </row>
    <row r="956" ht="25" customHeight="1" spans="1:13">
      <c r="A956" s="9" t="s">
        <v>260</v>
      </c>
      <c r="B956" s="9" t="s">
        <v>259</v>
      </c>
      <c r="C956" s="9" t="s">
        <v>1057</v>
      </c>
      <c r="D956" s="10">
        <v>46053</v>
      </c>
      <c r="E956" s="10">
        <v>46081</v>
      </c>
      <c r="F956" s="10"/>
      <c r="G956" s="10"/>
      <c r="H956" s="15"/>
      <c r="I956" s="15"/>
      <c r="J956" s="11" t="str">
        <f t="shared" si="42"/>
        <v/>
      </c>
      <c r="K956" s="9">
        <f>IF(COUNT(F956:I956)&lt;&gt;4,0,IF(AND(G956&gt;F956,H956&gt;0,I956&gt;0,L956&lt;='Sheet1-指标体系'!$J$31,M956&lt;='Sheet1-指标体系'!$J$31),1,0))</f>
        <v>0</v>
      </c>
      <c r="L956" s="9" t="str">
        <f t="shared" si="43"/>
        <v/>
      </c>
      <c r="M956" s="9" t="str">
        <f t="shared" si="44"/>
        <v/>
      </c>
    </row>
    <row r="957" ht="25" customHeight="1" spans="1:13">
      <c r="A957" s="9" t="s">
        <v>260</v>
      </c>
      <c r="B957" s="9" t="s">
        <v>259</v>
      </c>
      <c r="C957" s="9" t="s">
        <v>1058</v>
      </c>
      <c r="D957" s="10">
        <v>46081</v>
      </c>
      <c r="E957" s="10">
        <v>46112</v>
      </c>
      <c r="F957" s="10"/>
      <c r="G957" s="10"/>
      <c r="H957" s="15"/>
      <c r="I957" s="15"/>
      <c r="J957" s="11" t="str">
        <f t="shared" si="42"/>
        <v/>
      </c>
      <c r="K957" s="9">
        <f>IF(COUNT(F957:I957)&lt;&gt;4,0,IF(AND(G957&gt;F957,H957&gt;0,I957&gt;0,L957&lt;='Sheet1-指标体系'!$J$31,M957&lt;='Sheet1-指标体系'!$J$31),1,0))</f>
        <v>0</v>
      </c>
      <c r="L957" s="9" t="str">
        <f t="shared" si="43"/>
        <v/>
      </c>
      <c r="M957" s="9" t="str">
        <f t="shared" si="44"/>
        <v/>
      </c>
    </row>
    <row r="958" ht="25" customHeight="1" spans="1:13">
      <c r="A958" s="9" t="s">
        <v>260</v>
      </c>
      <c r="B958" s="9" t="s">
        <v>259</v>
      </c>
      <c r="C958" s="9" t="s">
        <v>1059</v>
      </c>
      <c r="D958" s="10">
        <v>46112</v>
      </c>
      <c r="E958" s="10">
        <v>46142</v>
      </c>
      <c r="F958" s="10"/>
      <c r="G958" s="10"/>
      <c r="H958" s="15"/>
      <c r="I958" s="15"/>
      <c r="J958" s="11" t="str">
        <f t="shared" si="42"/>
        <v/>
      </c>
      <c r="K958" s="9">
        <f>IF(COUNT(F958:I958)&lt;&gt;4,0,IF(AND(G958&gt;F958,H958&gt;0,I958&gt;0,L958&lt;='Sheet1-指标体系'!$J$31,M958&lt;='Sheet1-指标体系'!$J$31),1,0))</f>
        <v>0</v>
      </c>
      <c r="L958" s="9" t="str">
        <f t="shared" si="43"/>
        <v/>
      </c>
      <c r="M958" s="9" t="str">
        <f t="shared" si="44"/>
        <v/>
      </c>
    </row>
    <row r="959" ht="25" customHeight="1" spans="1:13">
      <c r="A959" s="9" t="s">
        <v>260</v>
      </c>
      <c r="B959" s="9" t="s">
        <v>259</v>
      </c>
      <c r="C959" s="9" t="s">
        <v>1060</v>
      </c>
      <c r="D959" s="10">
        <v>46142</v>
      </c>
      <c r="E959" s="10">
        <v>46173</v>
      </c>
      <c r="F959" s="10"/>
      <c r="G959" s="10">
        <f>净值原始!C7563</f>
        <v>46171</v>
      </c>
      <c r="H959" s="15"/>
      <c r="I959" s="15">
        <f>净值原始!F7563</f>
        <v>1.0952</v>
      </c>
      <c r="J959" s="11" t="str">
        <f t="shared" si="42"/>
        <v/>
      </c>
      <c r="K959" s="9">
        <f>IF(COUNT(F959:I959)&lt;&gt;4,0,IF(AND(G959&gt;F959,H959&gt;0,I959&gt;0,L959&lt;='Sheet1-指标体系'!$J$31,M959&lt;='Sheet1-指标体系'!$J$31),1,0))</f>
        <v>0</v>
      </c>
      <c r="L959" s="9" t="str">
        <f t="shared" si="43"/>
        <v/>
      </c>
      <c r="M959" s="9">
        <f t="shared" si="44"/>
        <v>2</v>
      </c>
    </row>
    <row r="960" ht="25" customHeight="1" spans="1:13">
      <c r="A960" s="9" t="s">
        <v>260</v>
      </c>
      <c r="B960" s="9" t="s">
        <v>259</v>
      </c>
      <c r="C960" s="9" t="s">
        <v>1061</v>
      </c>
      <c r="D960" s="10">
        <v>46173</v>
      </c>
      <c r="E960" s="10">
        <v>46203</v>
      </c>
      <c r="F960" s="10">
        <f>净值原始!C7563</f>
        <v>46171</v>
      </c>
      <c r="G960" s="10">
        <f>净值原始!C7584</f>
        <v>46203</v>
      </c>
      <c r="H960" s="15">
        <f>净值原始!F7563</f>
        <v>1.0952</v>
      </c>
      <c r="I960" s="15">
        <f>净值原始!F7584</f>
        <v>1.1027</v>
      </c>
      <c r="J960" s="11">
        <f t="shared" si="42"/>
        <v>0.00684806428049667</v>
      </c>
      <c r="K960" s="9">
        <f>IF(COUNT(F960:I960)&lt;&gt;4,0,IF(AND(G960&gt;F960,H960&gt;0,I960&gt;0,L960&lt;='Sheet1-指标体系'!$J$31,M960&lt;='Sheet1-指标体系'!$J$31),1,0))</f>
        <v>1</v>
      </c>
      <c r="L960" s="9">
        <f t="shared" si="43"/>
        <v>2</v>
      </c>
      <c r="M960" s="9">
        <f t="shared" si="44"/>
        <v>0</v>
      </c>
    </row>
    <row r="961" ht="25" customHeight="1" spans="1:13">
      <c r="A961" s="9" t="s">
        <v>260</v>
      </c>
      <c r="B961" s="9" t="s">
        <v>259</v>
      </c>
      <c r="C961" s="9" t="s">
        <v>1062</v>
      </c>
      <c r="D961" s="10">
        <v>46203</v>
      </c>
      <c r="E961" s="10">
        <v>46234</v>
      </c>
      <c r="F961" s="10">
        <f>净值原始!C7584</f>
        <v>46203</v>
      </c>
      <c r="G961" s="10">
        <f>净值原始!C7607</f>
        <v>46234</v>
      </c>
      <c r="H961" s="15">
        <f>净值原始!F7584</f>
        <v>1.1027</v>
      </c>
      <c r="I961" s="15">
        <f>净值原始!F7607</f>
        <v>1.1224</v>
      </c>
      <c r="J961" s="11">
        <f t="shared" si="42"/>
        <v>0.0178652398657839</v>
      </c>
      <c r="K961" s="9">
        <f>IF(COUNT(F961:I961)&lt;&gt;4,0,IF(AND(G961&gt;F961,H961&gt;0,I961&gt;0,L961&lt;='Sheet1-指标体系'!$J$31,M961&lt;='Sheet1-指标体系'!$J$31),1,0))</f>
        <v>1</v>
      </c>
      <c r="L961" s="9">
        <f t="shared" si="43"/>
        <v>0</v>
      </c>
      <c r="M961" s="9">
        <f t="shared" si="44"/>
        <v>0</v>
      </c>
    </row>
    <row r="962" ht="25" customHeight="1" spans="1:13">
      <c r="A962" s="9" t="s">
        <v>260</v>
      </c>
      <c r="B962" s="9" t="s">
        <v>259</v>
      </c>
      <c r="C962" s="9" t="s">
        <v>1063</v>
      </c>
      <c r="D962" s="10">
        <v>46234</v>
      </c>
      <c r="E962" s="10">
        <v>46265</v>
      </c>
      <c r="F962" s="10">
        <f>净值原始!C7607</f>
        <v>46234</v>
      </c>
      <c r="G962" s="10">
        <f>净值原始!C7628</f>
        <v>46265</v>
      </c>
      <c r="H962" s="15">
        <f>净值原始!F7607</f>
        <v>1.1224</v>
      </c>
      <c r="I962" s="15">
        <f>净值原始!F7628</f>
        <v>1.1365</v>
      </c>
      <c r="J962" s="11">
        <f>IF(K962=1,I962/H962-1,"")</f>
        <v>0.0125623663578047</v>
      </c>
      <c r="K962" s="9">
        <f>IF(COUNT(F962:I962)&lt;&gt;4,0,IF(AND(G962&gt;F962,H962&gt;0,I962&gt;0,L962&lt;='Sheet1-指标体系'!$J$31,M962&lt;='Sheet1-指标体系'!$J$31),1,0))</f>
        <v>1</v>
      </c>
      <c r="L962" s="9">
        <f>IF(ISNUMBER(F962),D962-F962,"")</f>
        <v>0</v>
      </c>
      <c r="M962" s="9">
        <f>IF(ISNUMBER(G962),E962-G962,"")</f>
        <v>0</v>
      </c>
    </row>
    <row r="963" ht="25" customHeight="1" spans="1:13">
      <c r="A963" s="9" t="s">
        <v>260</v>
      </c>
      <c r="B963" s="9" t="s">
        <v>259</v>
      </c>
      <c r="C963" s="9" t="s">
        <v>1064</v>
      </c>
      <c r="D963" s="10">
        <v>46265</v>
      </c>
      <c r="E963" s="10">
        <v>46269</v>
      </c>
      <c r="F963" s="10">
        <f>净值原始!C7628</f>
        <v>46265</v>
      </c>
      <c r="G963" s="10">
        <f>净值原始!C7632</f>
        <v>46269</v>
      </c>
      <c r="H963" s="15">
        <f>净值原始!F7628</f>
        <v>1.1365</v>
      </c>
      <c r="I963" s="15">
        <f>净值原始!F7632</f>
        <v>1.1383</v>
      </c>
      <c r="J963" s="11">
        <f>IF(K963=1,I963/H963-1,"")</f>
        <v>0.00158380994280694</v>
      </c>
      <c r="K963" s="9">
        <f>IF(COUNT(F963:I963)&lt;&gt;4,0,IF(AND(G963&gt;F963,H963&gt;0,I963&gt;0,L963&lt;='Sheet1-指标体系'!$J$31,M963&lt;='Sheet1-指标体系'!$J$31),1,0))</f>
        <v>1</v>
      </c>
      <c r="L963" s="9">
        <f>IF(ISNUMBER(F963),D963-F963,"")</f>
        <v>0</v>
      </c>
      <c r="M963" s="9">
        <f>IF(ISNUMBER(G963),E963-G963,"")</f>
        <v>0</v>
      </c>
    </row>
  </sheetData>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9"/>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6.8"/>
  <cols>
    <col min="1" max="1" width="15" customWidth="1"/>
    <col min="2" max="2" width="30" customWidth="1"/>
    <col min="3" max="10" width="15" customWidth="1"/>
    <col min="11" max="11" width="50" customWidth="1"/>
    <col min="12" max="16" width="15" customWidth="1"/>
    <col min="17" max="17" width="42" customWidth="1"/>
    <col min="18" max="19" width="15" customWidth="1"/>
  </cols>
  <sheetData>
    <row r="1" ht="43" customHeight="1" spans="1:19">
      <c r="A1" s="7" t="s">
        <v>673</v>
      </c>
      <c r="B1" s="8" t="s">
        <v>2</v>
      </c>
      <c r="C1" s="8" t="s">
        <v>1065</v>
      </c>
      <c r="D1" s="8" t="s">
        <v>1066</v>
      </c>
      <c r="E1" s="8" t="s">
        <v>1067</v>
      </c>
      <c r="F1" s="8" t="s">
        <v>1068</v>
      </c>
      <c r="G1" s="8" t="s">
        <v>1069</v>
      </c>
      <c r="H1" s="8" t="s">
        <v>1070</v>
      </c>
      <c r="I1" s="8" t="s">
        <v>1071</v>
      </c>
      <c r="J1" s="8" t="s">
        <v>1072</v>
      </c>
      <c r="K1" s="8" t="s">
        <v>1073</v>
      </c>
      <c r="L1" s="8" t="s">
        <v>553</v>
      </c>
      <c r="M1" s="8" t="s">
        <v>563</v>
      </c>
      <c r="N1" s="8" t="s">
        <v>569</v>
      </c>
      <c r="O1" s="8" t="s">
        <v>558</v>
      </c>
      <c r="P1" s="8" t="s">
        <v>1074</v>
      </c>
      <c r="Q1" s="8" t="s">
        <v>1009</v>
      </c>
      <c r="R1" s="8" t="s">
        <v>1075</v>
      </c>
      <c r="S1" s="14" t="s">
        <v>1076</v>
      </c>
    </row>
    <row r="2" ht="25" customHeight="1" spans="1:19">
      <c r="A2" s="9" t="s">
        <v>383</v>
      </c>
      <c r="B2" s="9" t="s">
        <v>381</v>
      </c>
      <c r="C2" s="9" t="s">
        <v>1077</v>
      </c>
      <c r="D2" s="10">
        <v>45904</v>
      </c>
      <c r="E2" s="10">
        <v>46269</v>
      </c>
      <c r="F2" s="10">
        <f>净值原始!C63</f>
        <v>45898</v>
      </c>
      <c r="G2" s="10">
        <f>净值原始!C115</f>
        <v>46269</v>
      </c>
      <c r="H2" s="15">
        <f>净值原始!F63</f>
        <v>1.2553</v>
      </c>
      <c r="I2" s="15">
        <f>净值原始!F115</f>
        <v>1.4573</v>
      </c>
      <c r="J2" s="9">
        <f t="shared" ref="J2:J65" si="0">IF(COUNT(F2:G2)=2,G2-F2,"")</f>
        <v>371</v>
      </c>
      <c r="K2" s="9" t="s">
        <v>1025</v>
      </c>
      <c r="L2" s="11">
        <f>IF(AND(K2="可计算",COUNT(H2:J2)=3,H2&gt;0,I2&gt;0,J2&gt;0),(I2/H2)^('Sheet1-指标体系'!$J$30/J2)-1,"")</f>
        <v>0.158119660655945</v>
      </c>
      <c r="M2" s="11">
        <f>MAX(净值原始!K63:K115)</f>
        <v>0.0145656981621292</v>
      </c>
      <c r="N2" s="17">
        <f t="shared" ref="N2:N65" si="1">IF(COUNT(L2:M2)&lt;&gt;2,"",IF(M2=0,"",L2/M2))</f>
        <v>10.8556183779131</v>
      </c>
      <c r="O2" s="11">
        <f>IF(P2='Sheet1-指标体系'!$J$5,COUNTIF(月度明细!J26:J38,"&gt;0")/P2,"")</f>
        <v>0.692307692307692</v>
      </c>
      <c r="P2" s="9">
        <f>COUNT(月度明细!J26:J38)</f>
        <v>13</v>
      </c>
      <c r="Q2" s="9" t="s">
        <v>1010</v>
      </c>
      <c r="R2" s="9">
        <v>14</v>
      </c>
      <c r="S2" s="9" t="s">
        <v>1078</v>
      </c>
    </row>
    <row r="3" ht="25" customHeight="1" spans="1:19">
      <c r="A3" s="9" t="s">
        <v>383</v>
      </c>
      <c r="B3" s="9" t="s">
        <v>381</v>
      </c>
      <c r="C3" s="9" t="s">
        <v>1079</v>
      </c>
      <c r="D3" s="10">
        <v>45173</v>
      </c>
      <c r="E3" s="10">
        <v>46269</v>
      </c>
      <c r="F3" s="10"/>
      <c r="G3" s="10">
        <f>净值原始!C115</f>
        <v>46269</v>
      </c>
      <c r="H3" s="15"/>
      <c r="I3" s="15">
        <f>净值原始!F115</f>
        <v>1.4573</v>
      </c>
      <c r="J3" s="9" t="str">
        <f t="shared" si="0"/>
        <v/>
      </c>
      <c r="K3" s="9" t="s">
        <v>1080</v>
      </c>
      <c r="L3" s="11" t="str">
        <f>IF(AND(K3="可计算",COUNT(H3:J3)=3,H3&gt;0,I3&gt;0,J3&gt;0),(I3/H3)^('Sheet1-指标体系'!$J$30/J3)-1,"")</f>
        <v/>
      </c>
      <c r="M3" s="11"/>
      <c r="N3" s="17" t="str">
        <f t="shared" si="1"/>
        <v/>
      </c>
      <c r="O3" s="11" t="str">
        <f>IF(P3='Sheet1-指标体系'!$J$6,COUNTIF(月度明细!J2:J38,"&gt;0")/P3,"")</f>
        <v/>
      </c>
      <c r="P3" s="9">
        <f>COUNT(月度明细!J2:J38)</f>
        <v>25</v>
      </c>
      <c r="Q3" s="9" t="s">
        <v>1010</v>
      </c>
      <c r="R3" s="9">
        <v>14</v>
      </c>
      <c r="S3" s="9" t="s">
        <v>1078</v>
      </c>
    </row>
    <row r="4" ht="25" customHeight="1" spans="1:19">
      <c r="A4" s="9" t="s">
        <v>383</v>
      </c>
      <c r="B4" s="9" t="s">
        <v>381</v>
      </c>
      <c r="C4" s="9" t="s">
        <v>1081</v>
      </c>
      <c r="D4" s="10">
        <v>44904</v>
      </c>
      <c r="E4" s="10">
        <v>46269</v>
      </c>
      <c r="F4" s="10"/>
      <c r="G4" s="10">
        <f>净值原始!C115</f>
        <v>46269</v>
      </c>
      <c r="H4" s="15"/>
      <c r="I4" s="15">
        <f>净值原始!F115</f>
        <v>1.4573</v>
      </c>
      <c r="J4" s="9" t="str">
        <f t="shared" si="0"/>
        <v/>
      </c>
      <c r="K4" s="9" t="s">
        <v>1082</v>
      </c>
      <c r="L4" s="11" t="str">
        <f>IF(AND(K4="可计算",COUNT(H4:J4)=3,H4&gt;0,I4&gt;0,J4&gt;0),(I4/H4)^('Sheet1-指标体系'!$J$30/J4)-1,"")</f>
        <v/>
      </c>
      <c r="M4" s="11"/>
      <c r="N4" s="17" t="str">
        <f t="shared" si="1"/>
        <v/>
      </c>
      <c r="O4" s="11"/>
      <c r="P4" s="9"/>
      <c r="Q4" s="9" t="s">
        <v>1010</v>
      </c>
      <c r="R4" s="9">
        <v>14</v>
      </c>
      <c r="S4" s="9" t="s">
        <v>1078</v>
      </c>
    </row>
    <row r="5" ht="25" customHeight="1" spans="1:19">
      <c r="A5" s="9" t="s">
        <v>388</v>
      </c>
      <c r="B5" s="9" t="s">
        <v>387</v>
      </c>
      <c r="C5" s="9" t="s">
        <v>1077</v>
      </c>
      <c r="D5" s="10">
        <v>45904</v>
      </c>
      <c r="E5" s="10">
        <v>46269</v>
      </c>
      <c r="F5" s="10">
        <f>净值原始!C278</f>
        <v>45898</v>
      </c>
      <c r="G5" s="10">
        <f>净值原始!C355</f>
        <v>46265</v>
      </c>
      <c r="H5" s="15">
        <f>净值原始!F278</f>
        <v>1.2721</v>
      </c>
      <c r="I5" s="15">
        <f>净值原始!F355</f>
        <v>1.5343</v>
      </c>
      <c r="J5" s="9">
        <f t="shared" si="0"/>
        <v>367</v>
      </c>
      <c r="K5" s="9" t="s">
        <v>1025</v>
      </c>
      <c r="L5" s="11">
        <f>IF(AND(K5="可计算",COUNT(H5:J5)=3,H5&gt;0,I5&gt;0,J5&gt;0),(I5/H5)^('Sheet1-指标体系'!$J$30/J5)-1,"")</f>
        <v>0.204884716237227</v>
      </c>
      <c r="M5" s="11">
        <f>MAX(净值原始!K278:K355)</f>
        <v>0.00926635546575638</v>
      </c>
      <c r="N5" s="17">
        <f t="shared" si="1"/>
        <v>22.1106040011496</v>
      </c>
      <c r="O5" s="11" t="str">
        <f>IF(P5='Sheet1-指标体系'!$J$5,COUNTIF(月度明细!J63:J75,"&gt;0")/P5,"")</f>
        <v/>
      </c>
      <c r="P5" s="9">
        <f>COUNT(月度明细!J63:J75)</f>
        <v>12</v>
      </c>
      <c r="Q5" s="9" t="s">
        <v>813</v>
      </c>
      <c r="R5" s="9">
        <v>15</v>
      </c>
      <c r="S5" s="9" t="s">
        <v>1083</v>
      </c>
    </row>
    <row r="6" ht="25" customHeight="1" spans="1:19">
      <c r="A6" s="9" t="s">
        <v>388</v>
      </c>
      <c r="B6" s="9" t="s">
        <v>387</v>
      </c>
      <c r="C6" s="9" t="s">
        <v>1079</v>
      </c>
      <c r="D6" s="10">
        <v>45173</v>
      </c>
      <c r="E6" s="10">
        <v>46269</v>
      </c>
      <c r="F6" s="10">
        <f>净值原始!C164</f>
        <v>45170</v>
      </c>
      <c r="G6" s="10">
        <f>净值原始!C355</f>
        <v>46265</v>
      </c>
      <c r="H6" s="15">
        <f>净值原始!F164</f>
        <v>1.0003</v>
      </c>
      <c r="I6" s="15">
        <f>净值原始!F355</f>
        <v>1.5343</v>
      </c>
      <c r="J6" s="9">
        <f t="shared" si="0"/>
        <v>1095</v>
      </c>
      <c r="K6" s="9" t="s">
        <v>1025</v>
      </c>
      <c r="L6" s="11">
        <f>IF(AND(K6="可计算",COUNT(H6:J6)=3,H6&gt;0,I6&gt;0,J6&gt;0),(I6/H6)^('Sheet1-指标体系'!$J$30/J6)-1,"")</f>
        <v>0.153258520854718</v>
      </c>
      <c r="M6" s="11">
        <f>MAX(净值原始!M164:M355)</f>
        <v>0.0108076242876795</v>
      </c>
      <c r="N6" s="17">
        <f t="shared" si="1"/>
        <v>14.1805929569027</v>
      </c>
      <c r="O6" s="11" t="str">
        <f>IF(P6='Sheet1-指标体系'!$J$6,COUNTIF(月度明细!J39:J75,"&gt;0")/P6,"")</f>
        <v/>
      </c>
      <c r="P6" s="9">
        <f>COUNT(月度明细!J39:J75)</f>
        <v>36</v>
      </c>
      <c r="Q6" s="9" t="s">
        <v>813</v>
      </c>
      <c r="R6" s="9">
        <v>15</v>
      </c>
      <c r="S6" s="9" t="s">
        <v>1083</v>
      </c>
    </row>
    <row r="7" ht="25" customHeight="1" spans="1:19">
      <c r="A7" s="9" t="s">
        <v>388</v>
      </c>
      <c r="B7" s="9" t="s">
        <v>387</v>
      </c>
      <c r="C7" s="9" t="s">
        <v>1081</v>
      </c>
      <c r="D7" s="10">
        <v>44883</v>
      </c>
      <c r="E7" s="10">
        <v>46269</v>
      </c>
      <c r="F7" s="10">
        <f>净值原始!C116</f>
        <v>44883</v>
      </c>
      <c r="G7" s="10">
        <f>净值原始!C355</f>
        <v>46265</v>
      </c>
      <c r="H7" s="15">
        <f>净值原始!F116</f>
        <v>1</v>
      </c>
      <c r="I7" s="15">
        <f>净值原始!F355</f>
        <v>1.5343</v>
      </c>
      <c r="J7" s="9">
        <f t="shared" si="0"/>
        <v>1382</v>
      </c>
      <c r="K7" s="9" t="s">
        <v>1025</v>
      </c>
      <c r="L7" s="11">
        <f>IF(AND(K7="可计算",COUNT(H7:J7)=3,H7&gt;0,I7&gt;0,J7&gt;0),(I7/H7)^('Sheet1-指标体系'!$J$30/J7)-1,"")</f>
        <v>0.119697639612653</v>
      </c>
      <c r="M7" s="11">
        <f>MAX(净值原始!I116:I355)</f>
        <v>0.0136467775674869</v>
      </c>
      <c r="N7" s="17">
        <f t="shared" si="1"/>
        <v>8.77112849687163</v>
      </c>
      <c r="O7" s="11"/>
      <c r="P7" s="9"/>
      <c r="Q7" s="9" t="s">
        <v>813</v>
      </c>
      <c r="R7" s="9">
        <v>15</v>
      </c>
      <c r="S7" s="9" t="s">
        <v>1083</v>
      </c>
    </row>
    <row r="8" ht="25" customHeight="1" spans="1:19">
      <c r="A8" s="9" t="s">
        <v>139</v>
      </c>
      <c r="B8" s="9" t="s">
        <v>135</v>
      </c>
      <c r="C8" s="9" t="s">
        <v>1077</v>
      </c>
      <c r="D8" s="10">
        <v>45904</v>
      </c>
      <c r="E8" s="10">
        <v>46269</v>
      </c>
      <c r="F8" s="10"/>
      <c r="G8" s="10">
        <f>净值原始!C508</f>
        <v>46269</v>
      </c>
      <c r="H8" s="15"/>
      <c r="I8" s="15">
        <f>净值原始!F508</f>
        <v>1.0797</v>
      </c>
      <c r="J8" s="9" t="str">
        <f t="shared" si="0"/>
        <v/>
      </c>
      <c r="K8" s="9" t="s">
        <v>1080</v>
      </c>
      <c r="L8" s="11" t="str">
        <f>IF(AND(K8="可计算",COUNT(H8:J8)=3,H8&gt;0,I8&gt;0,J8&gt;0),(I8/H8)^('Sheet1-指标体系'!$J$30/J8)-1,"")</f>
        <v/>
      </c>
      <c r="M8" s="11"/>
      <c r="N8" s="17" t="str">
        <f t="shared" si="1"/>
        <v/>
      </c>
      <c r="O8" s="11" t="str">
        <f>IF(P8='Sheet1-指标体系'!$J$5,COUNTIF(月度明细!J100:J112,"&gt;0")/P8,"")</f>
        <v/>
      </c>
      <c r="P8" s="9">
        <f>COUNT(月度明细!J100:J112)</f>
        <v>8</v>
      </c>
      <c r="Q8" s="9" t="s">
        <v>1011</v>
      </c>
      <c r="R8" s="9">
        <v>11</v>
      </c>
      <c r="S8" s="9" t="s">
        <v>1084</v>
      </c>
    </row>
    <row r="9" ht="25" customHeight="1" spans="1:19">
      <c r="A9" s="9" t="s">
        <v>139</v>
      </c>
      <c r="B9" s="9" t="s">
        <v>135</v>
      </c>
      <c r="C9" s="9" t="s">
        <v>1079</v>
      </c>
      <c r="D9" s="10">
        <v>45173</v>
      </c>
      <c r="E9" s="10">
        <v>46269</v>
      </c>
      <c r="F9" s="10"/>
      <c r="G9" s="10">
        <f>净值原始!C508</f>
        <v>46269</v>
      </c>
      <c r="H9" s="15"/>
      <c r="I9" s="15">
        <f>净值原始!F508</f>
        <v>1.0797</v>
      </c>
      <c r="J9" s="9" t="str">
        <f t="shared" si="0"/>
        <v/>
      </c>
      <c r="K9" s="9" t="s">
        <v>1080</v>
      </c>
      <c r="L9" s="11" t="str">
        <f>IF(AND(K9="可计算",COUNT(H9:J9)=3,H9&gt;0,I9&gt;0,J9&gt;0),(I9/H9)^('Sheet1-指标体系'!$J$30/J9)-1,"")</f>
        <v/>
      </c>
      <c r="M9" s="11"/>
      <c r="N9" s="17" t="str">
        <f t="shared" si="1"/>
        <v/>
      </c>
      <c r="O9" s="11" t="str">
        <f>IF(P9='Sheet1-指标体系'!$J$6,COUNTIF(月度明细!J76:J112,"&gt;0")/P9,"")</f>
        <v/>
      </c>
      <c r="P9" s="9">
        <f>COUNT(月度明细!J76:J112)</f>
        <v>8</v>
      </c>
      <c r="Q9" s="9" t="s">
        <v>1011</v>
      </c>
      <c r="R9" s="9">
        <v>11</v>
      </c>
      <c r="S9" s="9" t="s">
        <v>1084</v>
      </c>
    </row>
    <row r="10" ht="25" customHeight="1" spans="1:19">
      <c r="A10" s="9" t="s">
        <v>139</v>
      </c>
      <c r="B10" s="9" t="s">
        <v>135</v>
      </c>
      <c r="C10" s="9" t="s">
        <v>1081</v>
      </c>
      <c r="D10" s="10">
        <v>46017</v>
      </c>
      <c r="E10" s="10">
        <v>46269</v>
      </c>
      <c r="F10" s="10"/>
      <c r="G10" s="10">
        <f>净值原始!C508</f>
        <v>46269</v>
      </c>
      <c r="H10" s="15"/>
      <c r="I10" s="15">
        <f>净值原始!F508</f>
        <v>1.0797</v>
      </c>
      <c r="J10" s="9" t="str">
        <f t="shared" si="0"/>
        <v/>
      </c>
      <c r="K10" s="9" t="s">
        <v>1082</v>
      </c>
      <c r="L10" s="11" t="str">
        <f>IF(AND(K10="可计算",COUNT(H10:J10)=3,H10&gt;0,I10&gt;0,J10&gt;0),(I10/H10)^('Sheet1-指标体系'!$J$30/J10)-1,"")</f>
        <v/>
      </c>
      <c r="M10" s="11"/>
      <c r="N10" s="17" t="str">
        <f t="shared" si="1"/>
        <v/>
      </c>
      <c r="O10" s="11"/>
      <c r="P10" s="9"/>
      <c r="Q10" s="9" t="s">
        <v>1011</v>
      </c>
      <c r="R10" s="9">
        <v>11</v>
      </c>
      <c r="S10" s="9" t="s">
        <v>1084</v>
      </c>
    </row>
    <row r="11" ht="25" customHeight="1" spans="1:19">
      <c r="A11" s="9" t="s">
        <v>145</v>
      </c>
      <c r="B11" s="9" t="s">
        <v>144</v>
      </c>
      <c r="C11" s="9" t="s">
        <v>1077</v>
      </c>
      <c r="D11" s="10">
        <v>45904</v>
      </c>
      <c r="E11" s="10">
        <v>46269</v>
      </c>
      <c r="F11" s="10"/>
      <c r="G11" s="10">
        <f>净值原始!C647</f>
        <v>46269</v>
      </c>
      <c r="H11" s="15"/>
      <c r="I11" s="15">
        <f>净值原始!F647</f>
        <v>1.0868</v>
      </c>
      <c r="J11" s="9" t="str">
        <f t="shared" si="0"/>
        <v/>
      </c>
      <c r="K11" s="9" t="s">
        <v>1080</v>
      </c>
      <c r="L11" s="11" t="str">
        <f>IF(AND(K11="可计算",COUNT(H11:J11)=3,H11&gt;0,I11&gt;0,J11&gt;0),(I11/H11)^('Sheet1-指标体系'!$J$30/J11)-1,"")</f>
        <v/>
      </c>
      <c r="M11" s="11"/>
      <c r="N11" s="17" t="str">
        <f t="shared" si="1"/>
        <v/>
      </c>
      <c r="O11" s="11" t="str">
        <f>IF(P11='Sheet1-指标体系'!$J$5,COUNTIF(月度明细!J137:J149,"&gt;0")/P11,"")</f>
        <v/>
      </c>
      <c r="P11" s="9">
        <f>COUNT(月度明细!J137:J149)</f>
        <v>7</v>
      </c>
      <c r="Q11" s="9" t="s">
        <v>797</v>
      </c>
      <c r="R11" s="9">
        <v>11</v>
      </c>
      <c r="S11" s="9" t="s">
        <v>1084</v>
      </c>
    </row>
    <row r="12" ht="25" customHeight="1" spans="1:19">
      <c r="A12" s="9" t="s">
        <v>145</v>
      </c>
      <c r="B12" s="9" t="s">
        <v>144</v>
      </c>
      <c r="C12" s="9" t="s">
        <v>1079</v>
      </c>
      <c r="D12" s="10">
        <v>45173</v>
      </c>
      <c r="E12" s="10">
        <v>46269</v>
      </c>
      <c r="F12" s="10"/>
      <c r="G12" s="10">
        <f>净值原始!C647</f>
        <v>46269</v>
      </c>
      <c r="H12" s="15"/>
      <c r="I12" s="15">
        <f>净值原始!F647</f>
        <v>1.0868</v>
      </c>
      <c r="J12" s="9" t="str">
        <f t="shared" si="0"/>
        <v/>
      </c>
      <c r="K12" s="9" t="s">
        <v>1080</v>
      </c>
      <c r="L12" s="11" t="str">
        <f>IF(AND(K12="可计算",COUNT(H12:J12)=3,H12&gt;0,I12&gt;0,J12&gt;0),(I12/H12)^('Sheet1-指标体系'!$J$30/J12)-1,"")</f>
        <v/>
      </c>
      <c r="M12" s="11"/>
      <c r="N12" s="17" t="str">
        <f t="shared" si="1"/>
        <v/>
      </c>
      <c r="O12" s="11" t="str">
        <f>IF(P12='Sheet1-指标体系'!$J$6,COUNTIF(月度明细!J113:J149,"&gt;0")/P12,"")</f>
        <v/>
      </c>
      <c r="P12" s="9">
        <f>COUNT(月度明细!J113:J149)</f>
        <v>7</v>
      </c>
      <c r="Q12" s="9" t="s">
        <v>797</v>
      </c>
      <c r="R12" s="9">
        <v>11</v>
      </c>
      <c r="S12" s="9" t="s">
        <v>1084</v>
      </c>
    </row>
    <row r="13" ht="25" customHeight="1" spans="1:19">
      <c r="A13" s="9" t="s">
        <v>145</v>
      </c>
      <c r="B13" s="9" t="s">
        <v>144</v>
      </c>
      <c r="C13" s="9" t="s">
        <v>1081</v>
      </c>
      <c r="D13" s="10">
        <v>46066</v>
      </c>
      <c r="E13" s="10">
        <v>46269</v>
      </c>
      <c r="F13" s="10">
        <f>净值原始!C513</f>
        <v>46066</v>
      </c>
      <c r="G13" s="10">
        <f>净值原始!C647</f>
        <v>46269</v>
      </c>
      <c r="H13" s="15">
        <f>净值原始!F513</f>
        <v>1</v>
      </c>
      <c r="I13" s="15">
        <f>净值原始!F647</f>
        <v>1.0868</v>
      </c>
      <c r="J13" s="9">
        <f t="shared" si="0"/>
        <v>203</v>
      </c>
      <c r="K13" s="9" t="s">
        <v>1025</v>
      </c>
      <c r="L13" s="11">
        <f>IF(AND(K13="可计算",COUNT(H13:J13)=3,H13&gt;0,I13&gt;0,J13&gt;0),(I13/H13)^('Sheet1-指标体系'!$J$30/J13)-1,"")</f>
        <v>0.161443539957389</v>
      </c>
      <c r="M13" s="11">
        <f>MAX(净值原始!I513:I647)</f>
        <v>0.00719769673704418</v>
      </c>
      <c r="N13" s="17">
        <f t="shared" si="1"/>
        <v>22.4298891514131</v>
      </c>
      <c r="O13" s="11"/>
      <c r="P13" s="9"/>
      <c r="Q13" s="9" t="s">
        <v>797</v>
      </c>
      <c r="R13" s="9">
        <v>11</v>
      </c>
      <c r="S13" s="9" t="s">
        <v>1084</v>
      </c>
    </row>
    <row r="14" ht="25" customHeight="1" spans="1:19">
      <c r="A14" s="9" t="s">
        <v>213</v>
      </c>
      <c r="B14" s="9" t="s">
        <v>211</v>
      </c>
      <c r="C14" s="9" t="s">
        <v>1077</v>
      </c>
      <c r="D14" s="10">
        <v>45904</v>
      </c>
      <c r="E14" s="10">
        <v>46269</v>
      </c>
      <c r="F14" s="10"/>
      <c r="G14" s="10">
        <f>净值原始!C772</f>
        <v>46269</v>
      </c>
      <c r="H14" s="15"/>
      <c r="I14" s="15">
        <f>净值原始!F772</f>
        <v>1.0018</v>
      </c>
      <c r="J14" s="9" t="str">
        <f t="shared" si="0"/>
        <v/>
      </c>
      <c r="K14" s="9" t="s">
        <v>1080</v>
      </c>
      <c r="L14" s="11" t="str">
        <f>IF(AND(K14="可计算",COUNT(H14:J14)=3,H14&gt;0,I14&gt;0,J14&gt;0),(I14/H14)^('Sheet1-指标体系'!$J$30/J14)-1,"")</f>
        <v/>
      </c>
      <c r="M14" s="11"/>
      <c r="N14" s="17" t="str">
        <f t="shared" si="1"/>
        <v/>
      </c>
      <c r="O14" s="11" t="str">
        <f>IF(P14='Sheet1-指标体系'!$J$5,COUNTIF(月度明细!J174:J186,"&gt;0")/P14,"")</f>
        <v/>
      </c>
      <c r="P14" s="9">
        <f>COUNT(月度明细!J174:J186)</f>
        <v>6</v>
      </c>
      <c r="Q14" s="9" t="s">
        <v>802</v>
      </c>
      <c r="R14" s="9">
        <v>6</v>
      </c>
      <c r="S14" s="9" t="s">
        <v>1084</v>
      </c>
    </row>
    <row r="15" ht="25" customHeight="1" spans="1:19">
      <c r="A15" s="9" t="s">
        <v>213</v>
      </c>
      <c r="B15" s="9" t="s">
        <v>211</v>
      </c>
      <c r="C15" s="9" t="s">
        <v>1079</v>
      </c>
      <c r="D15" s="10">
        <v>45173</v>
      </c>
      <c r="E15" s="10">
        <v>46269</v>
      </c>
      <c r="F15" s="10"/>
      <c r="G15" s="10">
        <f>净值原始!C772</f>
        <v>46269</v>
      </c>
      <c r="H15" s="15"/>
      <c r="I15" s="15">
        <f>净值原始!F772</f>
        <v>1.0018</v>
      </c>
      <c r="J15" s="9" t="str">
        <f t="shared" si="0"/>
        <v/>
      </c>
      <c r="K15" s="9" t="s">
        <v>1080</v>
      </c>
      <c r="L15" s="11" t="str">
        <f>IF(AND(K15="可计算",COUNT(H15:J15)=3,H15&gt;0,I15&gt;0,J15&gt;0),(I15/H15)^('Sheet1-指标体系'!$J$30/J15)-1,"")</f>
        <v/>
      </c>
      <c r="M15" s="11"/>
      <c r="N15" s="17" t="str">
        <f t="shared" si="1"/>
        <v/>
      </c>
      <c r="O15" s="11" t="str">
        <f>IF(P15='Sheet1-指标体系'!$J$6,COUNTIF(月度明细!J150:J186,"&gt;0")/P15,"")</f>
        <v/>
      </c>
      <c r="P15" s="9">
        <f>COUNT(月度明细!J150:J186)</f>
        <v>6</v>
      </c>
      <c r="Q15" s="9" t="s">
        <v>802</v>
      </c>
      <c r="R15" s="9">
        <v>6</v>
      </c>
      <c r="S15" s="9" t="s">
        <v>1084</v>
      </c>
    </row>
    <row r="16" ht="25" customHeight="1" spans="1:19">
      <c r="A16" s="9" t="s">
        <v>213</v>
      </c>
      <c r="B16" s="9" t="s">
        <v>211</v>
      </c>
      <c r="C16" s="9" t="s">
        <v>1081</v>
      </c>
      <c r="D16" s="10">
        <v>46094</v>
      </c>
      <c r="E16" s="10">
        <v>46269</v>
      </c>
      <c r="F16" s="10">
        <f>净值原始!C652</f>
        <v>46094</v>
      </c>
      <c r="G16" s="10">
        <f>净值原始!C772</f>
        <v>46269</v>
      </c>
      <c r="H16" s="15">
        <f>净值原始!F652</f>
        <v>1</v>
      </c>
      <c r="I16" s="15">
        <f>净值原始!F772</f>
        <v>1.0018</v>
      </c>
      <c r="J16" s="9">
        <f t="shared" si="0"/>
        <v>175</v>
      </c>
      <c r="K16" s="9" t="s">
        <v>1025</v>
      </c>
      <c r="L16" s="11">
        <f>IF(AND(K16="可计算",COUNT(H16:J16)=3,H16&gt;0,I16&gt;0,J16&gt;0),(I16/H16)^('Sheet1-指标体系'!$J$30/J16)-1,"")</f>
        <v>0.00375795437634197</v>
      </c>
      <c r="M16" s="11">
        <f>MAX(净值原始!I652:I772)</f>
        <v>0.0281978729632159</v>
      </c>
      <c r="N16" s="17">
        <f t="shared" si="1"/>
        <v>0.133270845685567</v>
      </c>
      <c r="O16" s="11"/>
      <c r="P16" s="9"/>
      <c r="Q16" s="9" t="s">
        <v>802</v>
      </c>
      <c r="R16" s="9">
        <v>6</v>
      </c>
      <c r="S16" s="9" t="s">
        <v>1084</v>
      </c>
    </row>
    <row r="17" ht="25" customHeight="1" spans="1:19">
      <c r="A17" s="9" t="s">
        <v>816</v>
      </c>
      <c r="B17" s="9" t="s">
        <v>518</v>
      </c>
      <c r="C17" s="9" t="s">
        <v>1077</v>
      </c>
      <c r="D17" s="10">
        <v>45904</v>
      </c>
      <c r="E17" s="10">
        <v>46269</v>
      </c>
      <c r="F17" s="10">
        <f>净值原始!C809</f>
        <v>45898</v>
      </c>
      <c r="G17" s="10">
        <f>净值原始!C861</f>
        <v>46269</v>
      </c>
      <c r="H17" s="15">
        <f>净值原始!F809</f>
        <v>1.3326</v>
      </c>
      <c r="I17" s="15">
        <f>净值原始!F861</f>
        <v>1.6776</v>
      </c>
      <c r="J17" s="9">
        <f t="shared" si="0"/>
        <v>371</v>
      </c>
      <c r="K17" s="9" t="s">
        <v>1025</v>
      </c>
      <c r="L17" s="11">
        <f>IF(AND(K17="可计算",COUNT(H17:J17)=3,H17&gt;0,I17&gt;0,J17&gt;0),(I17/H17)^('Sheet1-指标体系'!$J$30/J17)-1,"")</f>
        <v>0.254213705021174</v>
      </c>
      <c r="M17" s="11">
        <f>MAX(净值原始!K809:K861)</f>
        <v>0.0111371982421287</v>
      </c>
      <c r="N17" s="17">
        <f t="shared" si="1"/>
        <v>22.825642454631</v>
      </c>
      <c r="O17" s="11">
        <f>IF(P17='Sheet1-指标体系'!$J$5,COUNTIF(月度明细!J211:J223,"&gt;0")/P17,"")</f>
        <v>1</v>
      </c>
      <c r="P17" s="9">
        <f>COUNT(月度明细!J211:J223)</f>
        <v>13</v>
      </c>
      <c r="Q17" s="9" t="s">
        <v>819</v>
      </c>
      <c r="R17" s="9">
        <v>14</v>
      </c>
      <c r="S17" s="9" t="s">
        <v>1078</v>
      </c>
    </row>
    <row r="18" ht="25" customHeight="1" spans="1:19">
      <c r="A18" s="9" t="s">
        <v>816</v>
      </c>
      <c r="B18" s="9" t="s">
        <v>518</v>
      </c>
      <c r="C18" s="9" t="s">
        <v>1079</v>
      </c>
      <c r="D18" s="10">
        <v>45173</v>
      </c>
      <c r="E18" s="10">
        <v>46269</v>
      </c>
      <c r="F18" s="10"/>
      <c r="G18" s="10">
        <f>净值原始!C861</f>
        <v>46269</v>
      </c>
      <c r="H18" s="15"/>
      <c r="I18" s="15">
        <f>净值原始!F861</f>
        <v>1.6776</v>
      </c>
      <c r="J18" s="9" t="str">
        <f t="shared" si="0"/>
        <v/>
      </c>
      <c r="K18" s="9" t="s">
        <v>1080</v>
      </c>
      <c r="L18" s="11" t="str">
        <f>IF(AND(K18="可计算",COUNT(H18:J18)=3,H18&gt;0,I18&gt;0,J18&gt;0),(I18/H18)^('Sheet1-指标体系'!$J$30/J18)-1,"")</f>
        <v/>
      </c>
      <c r="M18" s="11"/>
      <c r="N18" s="17" t="str">
        <f t="shared" si="1"/>
        <v/>
      </c>
      <c r="O18" s="11" t="str">
        <f>IF(P18='Sheet1-指标体系'!$J$6,COUNTIF(月度明细!J187:J223,"&gt;0")/P18,"")</f>
        <v/>
      </c>
      <c r="P18" s="9">
        <f>COUNT(月度明细!J187:J223)</f>
        <v>20</v>
      </c>
      <c r="Q18" s="9" t="s">
        <v>819</v>
      </c>
      <c r="R18" s="9">
        <v>14</v>
      </c>
      <c r="S18" s="9" t="s">
        <v>1078</v>
      </c>
    </row>
    <row r="19" ht="25" customHeight="1" spans="1:19">
      <c r="A19" s="9" t="s">
        <v>816</v>
      </c>
      <c r="B19" s="9" t="s">
        <v>518</v>
      </c>
      <c r="C19" s="9" t="s">
        <v>1081</v>
      </c>
      <c r="D19" s="10">
        <v>45363</v>
      </c>
      <c r="E19" s="10">
        <v>46269</v>
      </c>
      <c r="F19" s="10"/>
      <c r="G19" s="10">
        <f>净值原始!C861</f>
        <v>46269</v>
      </c>
      <c r="H19" s="15"/>
      <c r="I19" s="15">
        <f>净值原始!F861</f>
        <v>1.6776</v>
      </c>
      <c r="J19" s="9" t="str">
        <f t="shared" si="0"/>
        <v/>
      </c>
      <c r="K19" s="9" t="s">
        <v>1082</v>
      </c>
      <c r="L19" s="11" t="str">
        <f>IF(AND(K19="可计算",COUNT(H19:J19)=3,H19&gt;0,I19&gt;0,J19&gt;0),(I19/H19)^('Sheet1-指标体系'!$J$30/J19)-1,"")</f>
        <v/>
      </c>
      <c r="M19" s="11"/>
      <c r="N19" s="17" t="str">
        <f t="shared" si="1"/>
        <v/>
      </c>
      <c r="O19" s="11"/>
      <c r="P19" s="9"/>
      <c r="Q19" s="9" t="s">
        <v>819</v>
      </c>
      <c r="R19" s="9">
        <v>14</v>
      </c>
      <c r="S19" s="9" t="s">
        <v>1078</v>
      </c>
    </row>
    <row r="20" ht="25" customHeight="1" spans="1:19">
      <c r="A20" s="9" t="s">
        <v>477</v>
      </c>
      <c r="B20" s="9" t="s">
        <v>476</v>
      </c>
      <c r="C20" s="9" t="s">
        <v>1077</v>
      </c>
      <c r="D20" s="10">
        <v>45904</v>
      </c>
      <c r="E20" s="10">
        <v>46269</v>
      </c>
      <c r="F20" s="10"/>
      <c r="G20" s="10">
        <f>净值原始!C1076</f>
        <v>46269</v>
      </c>
      <c r="H20" s="15"/>
      <c r="I20" s="15">
        <f>净值原始!F1076</f>
        <v>1.1149</v>
      </c>
      <c r="J20" s="9" t="str">
        <f t="shared" si="0"/>
        <v/>
      </c>
      <c r="K20" s="9" t="s">
        <v>1080</v>
      </c>
      <c r="L20" s="11" t="str">
        <f>IF(AND(K20="可计算",COUNT(H20:J20)=3,H20&gt;0,I20&gt;0,J20&gt;0),(I20/H20)^('Sheet1-指标体系'!$J$30/J20)-1,"")</f>
        <v/>
      </c>
      <c r="M20" s="11"/>
      <c r="N20" s="17" t="str">
        <f t="shared" si="1"/>
        <v/>
      </c>
      <c r="O20" s="11" t="str">
        <f>IF(P20='Sheet1-指标体系'!$J$5,COUNTIF(月度明细!J248:J260,"&gt;0")/P20,"")</f>
        <v/>
      </c>
      <c r="P20" s="9">
        <f>COUNT(月度明细!J248:J260)</f>
        <v>11</v>
      </c>
      <c r="Q20" s="9" t="s">
        <v>1012</v>
      </c>
      <c r="R20" s="9">
        <v>11</v>
      </c>
      <c r="S20" s="9" t="s">
        <v>1084</v>
      </c>
    </row>
    <row r="21" ht="25" customHeight="1" spans="1:19">
      <c r="A21" s="9" t="s">
        <v>477</v>
      </c>
      <c r="B21" s="9" t="s">
        <v>476</v>
      </c>
      <c r="C21" s="9" t="s">
        <v>1079</v>
      </c>
      <c r="D21" s="10">
        <v>45173</v>
      </c>
      <c r="E21" s="10">
        <v>46269</v>
      </c>
      <c r="F21" s="10"/>
      <c r="G21" s="10">
        <f>净值原始!C1076</f>
        <v>46269</v>
      </c>
      <c r="H21" s="15"/>
      <c r="I21" s="15">
        <f>净值原始!F1076</f>
        <v>1.1149</v>
      </c>
      <c r="J21" s="9" t="str">
        <f t="shared" si="0"/>
        <v/>
      </c>
      <c r="K21" s="9" t="s">
        <v>1080</v>
      </c>
      <c r="L21" s="11" t="str">
        <f>IF(AND(K21="可计算",COUNT(H21:J21)=3,H21&gt;0,I21&gt;0,J21&gt;0),(I21/H21)^('Sheet1-指标体系'!$J$30/J21)-1,"")</f>
        <v/>
      </c>
      <c r="M21" s="11"/>
      <c r="N21" s="17" t="str">
        <f t="shared" si="1"/>
        <v/>
      </c>
      <c r="O21" s="11" t="str">
        <f>IF(P21='Sheet1-指标体系'!$J$6,COUNTIF(月度明细!J224:J260,"&gt;0")/P21,"")</f>
        <v/>
      </c>
      <c r="P21" s="9">
        <f>COUNT(月度明细!J224:J260)</f>
        <v>11</v>
      </c>
      <c r="Q21" s="9" t="s">
        <v>1012</v>
      </c>
      <c r="R21" s="9">
        <v>11</v>
      </c>
      <c r="S21" s="9" t="s">
        <v>1084</v>
      </c>
    </row>
    <row r="22" ht="25" customHeight="1" spans="1:19">
      <c r="A22" s="9" t="s">
        <v>477</v>
      </c>
      <c r="B22" s="9" t="s">
        <v>476</v>
      </c>
      <c r="C22" s="9" t="s">
        <v>1081</v>
      </c>
      <c r="D22" s="10">
        <v>45749</v>
      </c>
      <c r="E22" s="10">
        <v>46269</v>
      </c>
      <c r="F22" s="10"/>
      <c r="G22" s="10">
        <f>净值原始!C1076</f>
        <v>46269</v>
      </c>
      <c r="H22" s="15"/>
      <c r="I22" s="15">
        <f>净值原始!F1076</f>
        <v>1.1149</v>
      </c>
      <c r="J22" s="9" t="str">
        <f t="shared" si="0"/>
        <v/>
      </c>
      <c r="K22" s="9" t="s">
        <v>1082</v>
      </c>
      <c r="L22" s="11" t="str">
        <f>IF(AND(K22="可计算",COUNT(H22:J22)=3,H22&gt;0,I22&gt;0,J22&gt;0),(I22/H22)^('Sheet1-指标体系'!$J$30/J22)-1,"")</f>
        <v/>
      </c>
      <c r="M22" s="11"/>
      <c r="N22" s="17" t="str">
        <f t="shared" si="1"/>
        <v/>
      </c>
      <c r="O22" s="11"/>
      <c r="P22" s="9"/>
      <c r="Q22" s="9" t="s">
        <v>1012</v>
      </c>
      <c r="R22" s="9">
        <v>11</v>
      </c>
      <c r="S22" s="9" t="s">
        <v>1084</v>
      </c>
    </row>
    <row r="23" ht="25" customHeight="1" spans="1:19">
      <c r="A23" s="9" t="s">
        <v>472</v>
      </c>
      <c r="B23" s="9" t="s">
        <v>471</v>
      </c>
      <c r="C23" s="9" t="s">
        <v>1077</v>
      </c>
      <c r="D23" s="10">
        <v>45904</v>
      </c>
      <c r="E23" s="10">
        <v>46269</v>
      </c>
      <c r="F23" s="10">
        <f>净值原始!C1120</f>
        <v>45904</v>
      </c>
      <c r="G23" s="10">
        <f>净值原始!C1362</f>
        <v>46269</v>
      </c>
      <c r="H23" s="15">
        <f>净值原始!F1120</f>
        <v>1.0085</v>
      </c>
      <c r="I23" s="15">
        <f>净值原始!F1362</f>
        <v>1.0978</v>
      </c>
      <c r="J23" s="9">
        <f t="shared" si="0"/>
        <v>365</v>
      </c>
      <c r="K23" s="9" t="s">
        <v>1025</v>
      </c>
      <c r="L23" s="11">
        <f>IF(AND(K23="可计算",COUNT(H23:J23)=3,H23&gt;0,I23&gt;0,J23&gt;0),(I23/H23)^('Sheet1-指标体系'!$J$30/J23)-1,"")</f>
        <v>0.0885473475458602</v>
      </c>
      <c r="M23" s="11">
        <f>MAX(净值原始!K1120:K1362)</f>
        <v>0.00338823529411769</v>
      </c>
      <c r="N23" s="17">
        <f t="shared" si="1"/>
        <v>26.1337657687431</v>
      </c>
      <c r="O23" s="11">
        <f>IF(P23='Sheet1-指标体系'!$J$5,COUNTIF(月度明细!J285:J297,"&gt;0")/P23,"")</f>
        <v>1</v>
      </c>
      <c r="P23" s="9">
        <f>COUNT(月度明细!J285:J297)</f>
        <v>13</v>
      </c>
      <c r="Q23" s="9" t="s">
        <v>815</v>
      </c>
      <c r="R23" s="9">
        <v>11</v>
      </c>
      <c r="S23" s="9" t="s">
        <v>1084</v>
      </c>
    </row>
    <row r="24" ht="25" customHeight="1" spans="1:19">
      <c r="A24" s="9" t="s">
        <v>472</v>
      </c>
      <c r="B24" s="9" t="s">
        <v>471</v>
      </c>
      <c r="C24" s="9" t="s">
        <v>1079</v>
      </c>
      <c r="D24" s="10">
        <v>45173</v>
      </c>
      <c r="E24" s="10">
        <v>46269</v>
      </c>
      <c r="F24" s="10"/>
      <c r="G24" s="10">
        <f>净值原始!C1362</f>
        <v>46269</v>
      </c>
      <c r="H24" s="15"/>
      <c r="I24" s="15">
        <f>净值原始!F1362</f>
        <v>1.0978</v>
      </c>
      <c r="J24" s="9" t="str">
        <f t="shared" si="0"/>
        <v/>
      </c>
      <c r="K24" s="9" t="s">
        <v>1080</v>
      </c>
      <c r="L24" s="11" t="str">
        <f>IF(AND(K24="可计算",COUNT(H24:J24)=3,H24&gt;0,I24&gt;0,J24&gt;0),(I24/H24)^('Sheet1-指标体系'!$J$30/J24)-1,"")</f>
        <v/>
      </c>
      <c r="M24" s="11"/>
      <c r="N24" s="17" t="str">
        <f t="shared" si="1"/>
        <v/>
      </c>
      <c r="O24" s="11" t="str">
        <f>IF(P24='Sheet1-指标体系'!$J$6,COUNTIF(月度明细!J261:J297,"&gt;0")/P24,"")</f>
        <v/>
      </c>
      <c r="P24" s="9">
        <f>COUNT(月度明细!J261:J297)</f>
        <v>14</v>
      </c>
      <c r="Q24" s="9" t="s">
        <v>815</v>
      </c>
      <c r="R24" s="9">
        <v>11</v>
      </c>
      <c r="S24" s="9" t="s">
        <v>1084</v>
      </c>
    </row>
    <row r="25" ht="25" customHeight="1" spans="1:19">
      <c r="A25" s="9" t="s">
        <v>472</v>
      </c>
      <c r="B25" s="9" t="s">
        <v>471</v>
      </c>
      <c r="C25" s="9" t="s">
        <v>1081</v>
      </c>
      <c r="D25" s="10">
        <v>45848</v>
      </c>
      <c r="E25" s="10">
        <v>46269</v>
      </c>
      <c r="F25" s="10">
        <f>净值原始!C1080</f>
        <v>45848</v>
      </c>
      <c r="G25" s="10">
        <f>净值原始!C1362</f>
        <v>46269</v>
      </c>
      <c r="H25" s="15">
        <f>净值原始!F1080</f>
        <v>1</v>
      </c>
      <c r="I25" s="15">
        <f>净值原始!F1362</f>
        <v>1.0978</v>
      </c>
      <c r="J25" s="9">
        <f t="shared" si="0"/>
        <v>421</v>
      </c>
      <c r="K25" s="9" t="s">
        <v>1025</v>
      </c>
      <c r="L25" s="11">
        <f>IF(AND(K25="可计算",COUNT(H25:J25)=3,H25&gt;0,I25&gt;0,J25&gt;0),(I25/H25)^('Sheet1-指标体系'!$J$30/J25)-1,"")</f>
        <v>0.0842588197581635</v>
      </c>
      <c r="M25" s="11">
        <f>MAX(净值原始!I1080:I1362)</f>
        <v>0.00338823529411769</v>
      </c>
      <c r="N25" s="17">
        <f t="shared" si="1"/>
        <v>24.8680544425132</v>
      </c>
      <c r="O25" s="11"/>
      <c r="P25" s="9"/>
      <c r="Q25" s="9" t="s">
        <v>815</v>
      </c>
      <c r="R25" s="9">
        <v>11</v>
      </c>
      <c r="S25" s="9" t="s">
        <v>1084</v>
      </c>
    </row>
    <row r="26" ht="25" customHeight="1" spans="1:19">
      <c r="A26" s="9" t="s">
        <v>90</v>
      </c>
      <c r="B26" s="9" t="s">
        <v>88</v>
      </c>
      <c r="C26" s="9" t="s">
        <v>1077</v>
      </c>
      <c r="D26" s="10">
        <v>45904</v>
      </c>
      <c r="E26" s="10">
        <v>46269</v>
      </c>
      <c r="F26" s="10">
        <f>净值原始!C1591</f>
        <v>45898</v>
      </c>
      <c r="G26" s="10">
        <f>净值原始!C1643</f>
        <v>46269</v>
      </c>
      <c r="H26" s="15">
        <f>净值原始!F1591</f>
        <v>1.3019</v>
      </c>
      <c r="I26" s="15">
        <f>净值原始!F1643</f>
        <v>1.3985</v>
      </c>
      <c r="J26" s="9">
        <f t="shared" si="0"/>
        <v>371</v>
      </c>
      <c r="K26" s="9" t="s">
        <v>1025</v>
      </c>
      <c r="L26" s="11">
        <f>IF(AND(K26="可计算",COUNT(H26:J26)=3,H26&gt;0,I26&gt;0,J26&gt;0),(I26/H26)^('Sheet1-指标体系'!$J$30/J26)-1,"")</f>
        <v>0.0729565217090635</v>
      </c>
      <c r="M26" s="11">
        <f>MAX(净值原始!K1591:K1643)</f>
        <v>0.00165090799939971</v>
      </c>
      <c r="N26" s="17">
        <f t="shared" si="1"/>
        <v>44.1917549224981</v>
      </c>
      <c r="O26" s="11">
        <f>IF(P26='Sheet1-指标体系'!$J$5,COUNTIF(月度明细!J322:J334,"&gt;0")/P26,"")</f>
        <v>1</v>
      </c>
      <c r="P26" s="9">
        <f>COUNT(月度明细!J322:J334)</f>
        <v>13</v>
      </c>
      <c r="Q26" s="9" t="s">
        <v>793</v>
      </c>
      <c r="R26" s="9">
        <v>15</v>
      </c>
      <c r="S26" s="9" t="s">
        <v>1083</v>
      </c>
    </row>
    <row r="27" ht="25" customHeight="1" spans="1:19">
      <c r="A27" s="9" t="s">
        <v>90</v>
      </c>
      <c r="B27" s="9" t="s">
        <v>88</v>
      </c>
      <c r="C27" s="9" t="s">
        <v>1079</v>
      </c>
      <c r="D27" s="10">
        <v>45173</v>
      </c>
      <c r="E27" s="10">
        <v>46269</v>
      </c>
      <c r="F27" s="10">
        <f>净值原始!C1489</f>
        <v>45170</v>
      </c>
      <c r="G27" s="10">
        <f>净值原始!C1643</f>
        <v>46269</v>
      </c>
      <c r="H27" s="15">
        <f>净值原始!F1489</f>
        <v>1.1665</v>
      </c>
      <c r="I27" s="15">
        <f>净值原始!F1643</f>
        <v>1.3985</v>
      </c>
      <c r="J27" s="9">
        <f t="shared" si="0"/>
        <v>1099</v>
      </c>
      <c r="K27" s="9" t="s">
        <v>1025</v>
      </c>
      <c r="L27" s="11">
        <f>IF(AND(K27="可计算",COUNT(H27:J27)=3,H27&gt;0,I27&gt;0,J27&gt;0),(I27/H27)^('Sheet1-指标体系'!$J$30/J27)-1,"")</f>
        <v>0.0620957413947367</v>
      </c>
      <c r="M27" s="11">
        <f>MAX(净值原始!M1489:M1643)</f>
        <v>0.0114873553364767</v>
      </c>
      <c r="N27" s="17">
        <f t="shared" si="1"/>
        <v>5.40557330872835</v>
      </c>
      <c r="O27" s="11">
        <f>IF(P27='Sheet1-指标体系'!$J$6,COUNTIF(月度明细!J298:J334,"&gt;0")/P27,"")</f>
        <v>0.891891891891892</v>
      </c>
      <c r="P27" s="9">
        <f>COUNT(月度明细!J298:J334)</f>
        <v>37</v>
      </c>
      <c r="Q27" s="9" t="s">
        <v>793</v>
      </c>
      <c r="R27" s="9">
        <v>15</v>
      </c>
      <c r="S27" s="9" t="s">
        <v>1083</v>
      </c>
    </row>
    <row r="28" ht="25" customHeight="1" spans="1:19">
      <c r="A28" s="9" t="s">
        <v>90</v>
      </c>
      <c r="B28" s="9" t="s">
        <v>88</v>
      </c>
      <c r="C28" s="9" t="s">
        <v>1081</v>
      </c>
      <c r="D28" s="10">
        <v>44288</v>
      </c>
      <c r="E28" s="10">
        <v>46269</v>
      </c>
      <c r="F28" s="10">
        <f>净值原始!C1366</f>
        <v>44288</v>
      </c>
      <c r="G28" s="10">
        <f>净值原始!C1643</f>
        <v>46269</v>
      </c>
      <c r="H28" s="15">
        <f>净值原始!F1366</f>
        <v>1</v>
      </c>
      <c r="I28" s="15">
        <f>净值原始!F1643</f>
        <v>1.3985</v>
      </c>
      <c r="J28" s="9">
        <f t="shared" si="0"/>
        <v>1981</v>
      </c>
      <c r="K28" s="9" t="s">
        <v>1025</v>
      </c>
      <c r="L28" s="11">
        <f>IF(AND(K28="可计算",COUNT(H28:J28)=3,H28&gt;0,I28&gt;0,J28&gt;0),(I28/H28)^('Sheet1-指标体系'!$J$30/J28)-1,"")</f>
        <v>0.0637470418513069</v>
      </c>
      <c r="M28" s="11">
        <f>MAX(净值原始!I1366:I1643)</f>
        <v>0.0114873553364767</v>
      </c>
      <c r="N28" s="17">
        <f t="shared" si="1"/>
        <v>5.5493227104141</v>
      </c>
      <c r="O28" s="11"/>
      <c r="P28" s="9"/>
      <c r="Q28" s="9" t="s">
        <v>793</v>
      </c>
      <c r="R28" s="9">
        <v>15</v>
      </c>
      <c r="S28" s="9" t="s">
        <v>1083</v>
      </c>
    </row>
    <row r="29" ht="25" customHeight="1" spans="1:19">
      <c r="A29" s="9" t="s">
        <v>371</v>
      </c>
      <c r="B29" s="9" t="s">
        <v>370</v>
      </c>
      <c r="C29" s="9" t="s">
        <v>1077</v>
      </c>
      <c r="D29" s="10">
        <v>45904</v>
      </c>
      <c r="E29" s="10">
        <v>46269</v>
      </c>
      <c r="F29" s="10">
        <f>净值原始!C2113</f>
        <v>45898</v>
      </c>
      <c r="G29" s="10">
        <f>净值原始!C2173</f>
        <v>46267</v>
      </c>
      <c r="H29" s="15">
        <f>净值原始!F2113</f>
        <v>1.3577</v>
      </c>
      <c r="I29" s="15">
        <f>净值原始!F2173</f>
        <v>1.4945</v>
      </c>
      <c r="J29" s="9">
        <f t="shared" si="0"/>
        <v>369</v>
      </c>
      <c r="K29" s="9" t="s">
        <v>1025</v>
      </c>
      <c r="L29" s="11">
        <f>IF(AND(K29="可计算",COUNT(H29:J29)=3,H29&gt;0,I29&gt;0,J29&gt;0),(I29/H29)^('Sheet1-指标体系'!$J$30/J29)-1,"")</f>
        <v>0.0996137314702967</v>
      </c>
      <c r="M29" s="11">
        <f>MAX(净值原始!K2113:K2173)</f>
        <v>0.0402287251934073</v>
      </c>
      <c r="N29" s="17">
        <f t="shared" si="1"/>
        <v>2.47618414432435</v>
      </c>
      <c r="O29" s="11">
        <f>IF(P29='Sheet1-指标体系'!$J$5,COUNTIF(月度明细!J359:J371,"&gt;0")/P29,"")</f>
        <v>0.692307692307692</v>
      </c>
      <c r="P29" s="9">
        <f>COUNT(月度明细!J359:J371)</f>
        <v>13</v>
      </c>
      <c r="Q29" s="9" t="s">
        <v>812</v>
      </c>
      <c r="R29" s="9">
        <v>14</v>
      </c>
      <c r="S29" s="9" t="s">
        <v>1078</v>
      </c>
    </row>
    <row r="30" ht="25" customHeight="1" spans="1:19">
      <c r="A30" s="9" t="s">
        <v>371</v>
      </c>
      <c r="B30" s="9" t="s">
        <v>370</v>
      </c>
      <c r="C30" s="9" t="s">
        <v>1079</v>
      </c>
      <c r="D30" s="10">
        <v>45173</v>
      </c>
      <c r="E30" s="10">
        <v>46269</v>
      </c>
      <c r="F30" s="10">
        <f>净值原始!C1959</f>
        <v>45170</v>
      </c>
      <c r="G30" s="10">
        <f>净值原始!C2173</f>
        <v>46267</v>
      </c>
      <c r="H30" s="15">
        <f>净值原始!F1959</f>
        <v>1.171</v>
      </c>
      <c r="I30" s="15">
        <f>净值原始!F2173</f>
        <v>1.4945</v>
      </c>
      <c r="J30" s="9">
        <f t="shared" si="0"/>
        <v>1097</v>
      </c>
      <c r="K30" s="9" t="s">
        <v>1025</v>
      </c>
      <c r="L30" s="11">
        <f>IF(AND(K30="可计算",COUNT(H30:J30)=3,H30&gt;0,I30&gt;0,J30&gt;0),(I30/H30)^('Sheet1-指标体系'!$J$30/J30)-1,"")</f>
        <v>0.0845476235035083</v>
      </c>
      <c r="M30" s="11">
        <f>MAX(净值原始!M1959:M2173)</f>
        <v>0.0402287251934073</v>
      </c>
      <c r="N30" s="17">
        <f t="shared" si="1"/>
        <v>2.10167294879541</v>
      </c>
      <c r="O30" s="11">
        <f>IF(P30='Sheet1-指标体系'!$J$6,COUNTIF(月度明细!J335:J371,"&gt;0")/P30,"")</f>
        <v>0.756756756756757</v>
      </c>
      <c r="P30" s="9">
        <f>COUNT(月度明细!J335:J371)</f>
        <v>37</v>
      </c>
      <c r="Q30" s="9" t="s">
        <v>812</v>
      </c>
      <c r="R30" s="9">
        <v>14</v>
      </c>
      <c r="S30" s="9" t="s">
        <v>1078</v>
      </c>
    </row>
    <row r="31" ht="25" customHeight="1" spans="1:19">
      <c r="A31" s="9" t="s">
        <v>371</v>
      </c>
      <c r="B31" s="9" t="s">
        <v>370</v>
      </c>
      <c r="C31" s="9" t="s">
        <v>1081</v>
      </c>
      <c r="D31" s="10">
        <v>44305</v>
      </c>
      <c r="E31" s="10">
        <v>46269</v>
      </c>
      <c r="F31" s="10">
        <f>净值原始!C1644</f>
        <v>44305</v>
      </c>
      <c r="G31" s="10">
        <f>净值原始!C2173</f>
        <v>46267</v>
      </c>
      <c r="H31" s="15">
        <f>净值原始!F1644</f>
        <v>1</v>
      </c>
      <c r="I31" s="15">
        <f>净值原始!F2173</f>
        <v>1.4945</v>
      </c>
      <c r="J31" s="9">
        <f t="shared" si="0"/>
        <v>1962</v>
      </c>
      <c r="K31" s="9" t="s">
        <v>1025</v>
      </c>
      <c r="L31" s="11">
        <f>IF(AND(K31="可计算",COUNT(H31:J31)=3,H31&gt;0,I31&gt;0,J31&gt;0),(I31/H31)^('Sheet1-指标体系'!$J$30/J31)-1,"")</f>
        <v>0.0776116770429107</v>
      </c>
      <c r="M31" s="11">
        <f>MAX(净值原始!I1644:I2173)</f>
        <v>0.0402287251934073</v>
      </c>
      <c r="N31" s="17">
        <f t="shared" si="1"/>
        <v>1.92926016595798</v>
      </c>
      <c r="O31" s="11"/>
      <c r="P31" s="9"/>
      <c r="Q31" s="9" t="s">
        <v>812</v>
      </c>
      <c r="R31" s="9">
        <v>14</v>
      </c>
      <c r="S31" s="9" t="s">
        <v>1078</v>
      </c>
    </row>
    <row r="32" ht="25" customHeight="1" spans="1:19">
      <c r="A32" s="9" t="s">
        <v>53</v>
      </c>
      <c r="B32" s="9" t="s">
        <v>49</v>
      </c>
      <c r="C32" s="9" t="s">
        <v>1077</v>
      </c>
      <c r="D32" s="10">
        <v>45904</v>
      </c>
      <c r="E32" s="10">
        <v>46269</v>
      </c>
      <c r="F32" s="10">
        <f>净值原始!C2804</f>
        <v>45898</v>
      </c>
      <c r="G32" s="10">
        <f>净值原始!C2856</f>
        <v>46269</v>
      </c>
      <c r="H32" s="15">
        <f>净值原始!F2804</f>
        <v>1.5567</v>
      </c>
      <c r="I32" s="15">
        <f>净值原始!F2856</f>
        <v>2.2818</v>
      </c>
      <c r="J32" s="9">
        <f t="shared" si="0"/>
        <v>371</v>
      </c>
      <c r="K32" s="9" t="s">
        <v>1025</v>
      </c>
      <c r="L32" s="11">
        <f>IF(AND(K32="可计算",COUNT(H32:J32)=3,H32&gt;0,I32&gt;0,J32&gt;0),(I32/H32)^('Sheet1-指标体系'!$J$30/J32)-1,"")</f>
        <v>0.456756079869705</v>
      </c>
      <c r="M32" s="11">
        <f>MAX(净值原始!K2804:K2856)</f>
        <v>0.130615358535345</v>
      </c>
      <c r="N32" s="17">
        <f t="shared" si="1"/>
        <v>3.49695537333081</v>
      </c>
      <c r="O32" s="11">
        <f>IF(P32='Sheet1-指标体系'!$J$5,COUNTIF(月度明细!J396:J408,"&gt;0")/P32,"")</f>
        <v>0.692307692307692</v>
      </c>
      <c r="P32" s="9">
        <f>COUNT(月度明细!J396:J408)</f>
        <v>13</v>
      </c>
      <c r="Q32" s="9" t="s">
        <v>789</v>
      </c>
      <c r="R32" s="9">
        <v>14</v>
      </c>
      <c r="S32" s="9" t="s">
        <v>1084</v>
      </c>
    </row>
    <row r="33" ht="25" customHeight="1" spans="1:19">
      <c r="A33" s="9" t="s">
        <v>53</v>
      </c>
      <c r="B33" s="9" t="s">
        <v>49</v>
      </c>
      <c r="C33" s="9" t="s">
        <v>1079</v>
      </c>
      <c r="D33" s="10">
        <v>45173</v>
      </c>
      <c r="E33" s="10">
        <v>46269</v>
      </c>
      <c r="F33" s="10">
        <f>净值原始!C2358</f>
        <v>45173</v>
      </c>
      <c r="G33" s="10">
        <f>净值原始!C2856</f>
        <v>46269</v>
      </c>
      <c r="H33" s="15">
        <f>净值原始!F2358</f>
        <v>1.1804</v>
      </c>
      <c r="I33" s="15">
        <f>净值原始!F2856</f>
        <v>2.2818</v>
      </c>
      <c r="J33" s="9">
        <f t="shared" si="0"/>
        <v>1096</v>
      </c>
      <c r="K33" s="9" t="s">
        <v>1025</v>
      </c>
      <c r="L33" s="11">
        <f>IF(AND(K33="可计算",COUNT(H33:J33)=3,H33&gt;0,I33&gt;0,J33&gt;0),(I33/H33)^('Sheet1-指标体系'!$J$30/J33)-1,"")</f>
        <v>0.245457942277343</v>
      </c>
      <c r="M33" s="11">
        <f>MAX(净值原始!M2358:M2856)</f>
        <v>0.130615358535345</v>
      </c>
      <c r="N33" s="17">
        <f t="shared" si="1"/>
        <v>1.87924257169896</v>
      </c>
      <c r="O33" s="11">
        <f>IF(P33='Sheet1-指标体系'!$J$6,COUNTIF(月度明细!J372:J408,"&gt;0")/P33,"")</f>
        <v>0.648648648648649</v>
      </c>
      <c r="P33" s="9">
        <f>COUNT(月度明细!J372:J408)</f>
        <v>37</v>
      </c>
      <c r="Q33" s="9" t="s">
        <v>789</v>
      </c>
      <c r="R33" s="9">
        <v>14</v>
      </c>
      <c r="S33" s="9" t="s">
        <v>1084</v>
      </c>
    </row>
    <row r="34" ht="25" customHeight="1" spans="1:19">
      <c r="A34" s="9" t="s">
        <v>53</v>
      </c>
      <c r="B34" s="9" t="s">
        <v>49</v>
      </c>
      <c r="C34" s="9" t="s">
        <v>1081</v>
      </c>
      <c r="D34" s="10">
        <v>44897</v>
      </c>
      <c r="E34" s="10">
        <v>46269</v>
      </c>
      <c r="F34" s="10">
        <f>净值原始!C2174</f>
        <v>44897</v>
      </c>
      <c r="G34" s="10">
        <f>净值原始!C2856</f>
        <v>46269</v>
      </c>
      <c r="H34" s="15">
        <f>净值原始!F2174</f>
        <v>1</v>
      </c>
      <c r="I34" s="15">
        <f>净值原始!F2856</f>
        <v>2.2818</v>
      </c>
      <c r="J34" s="9">
        <f t="shared" si="0"/>
        <v>1372</v>
      </c>
      <c r="K34" s="9" t="s">
        <v>1025</v>
      </c>
      <c r="L34" s="11">
        <f>IF(AND(K34="可计算",COUNT(H34:J34)=3,H34&gt;0,I34&gt;0,J34&gt;0),(I34/H34)^('Sheet1-指标体系'!$J$30/J34)-1,"")</f>
        <v>0.245415795828636</v>
      </c>
      <c r="M34" s="11">
        <f>MAX(净值原始!I2174:I2856)</f>
        <v>0.130615358535345</v>
      </c>
      <c r="N34" s="17">
        <f t="shared" si="1"/>
        <v>1.87891989564325</v>
      </c>
      <c r="O34" s="11"/>
      <c r="P34" s="9"/>
      <c r="Q34" s="9" t="s">
        <v>789</v>
      </c>
      <c r="R34" s="9">
        <v>14</v>
      </c>
      <c r="S34" s="9" t="s">
        <v>1084</v>
      </c>
    </row>
    <row r="35" ht="25" customHeight="1" spans="1:19">
      <c r="A35" s="9" t="s">
        <v>238</v>
      </c>
      <c r="B35" s="9" t="s">
        <v>235</v>
      </c>
      <c r="C35" s="9" t="s">
        <v>1077</v>
      </c>
      <c r="D35" s="10">
        <v>45904</v>
      </c>
      <c r="E35" s="10">
        <v>46269</v>
      </c>
      <c r="F35" s="10"/>
      <c r="G35" s="10">
        <f>净值原始!C3004</f>
        <v>46269</v>
      </c>
      <c r="H35" s="15"/>
      <c r="I35" s="15">
        <f>净值原始!F3004</f>
        <v>1.0809</v>
      </c>
      <c r="J35" s="9" t="str">
        <f t="shared" si="0"/>
        <v/>
      </c>
      <c r="K35" s="9" t="s">
        <v>1080</v>
      </c>
      <c r="L35" s="11" t="str">
        <f>IF(AND(K35="可计算",COUNT(H35:J35)=3,H35&gt;0,I35&gt;0,J35&gt;0),(I35/H35)^('Sheet1-指标体系'!$J$30/J35)-1,"")</f>
        <v/>
      </c>
      <c r="M35" s="11"/>
      <c r="N35" s="17" t="str">
        <f t="shared" si="1"/>
        <v/>
      </c>
      <c r="O35" s="11" t="str">
        <f>IF(P35='Sheet1-指标体系'!$J$5,COUNTIF(月度明细!J433:J445,"&gt;0")/P35,"")</f>
        <v/>
      </c>
      <c r="P35" s="9">
        <f>COUNT(月度明细!J433:J445)</f>
        <v>8</v>
      </c>
      <c r="Q35" s="9" t="s">
        <v>805</v>
      </c>
      <c r="R35" s="9">
        <v>11</v>
      </c>
      <c r="S35" s="9" t="s">
        <v>1084</v>
      </c>
    </row>
    <row r="36" ht="25" customHeight="1" spans="1:19">
      <c r="A36" s="9" t="s">
        <v>238</v>
      </c>
      <c r="B36" s="9" t="s">
        <v>235</v>
      </c>
      <c r="C36" s="9" t="s">
        <v>1079</v>
      </c>
      <c r="D36" s="10">
        <v>45173</v>
      </c>
      <c r="E36" s="10">
        <v>46269</v>
      </c>
      <c r="F36" s="10"/>
      <c r="G36" s="10">
        <f>净值原始!C3004</f>
        <v>46269</v>
      </c>
      <c r="H36" s="15"/>
      <c r="I36" s="15">
        <f>净值原始!F3004</f>
        <v>1.0809</v>
      </c>
      <c r="J36" s="9" t="str">
        <f t="shared" si="0"/>
        <v/>
      </c>
      <c r="K36" s="9" t="s">
        <v>1080</v>
      </c>
      <c r="L36" s="11" t="str">
        <f>IF(AND(K36="可计算",COUNT(H36:J36)=3,H36&gt;0,I36&gt;0,J36&gt;0),(I36/H36)^('Sheet1-指标体系'!$J$30/J36)-1,"")</f>
        <v/>
      </c>
      <c r="M36" s="11"/>
      <c r="N36" s="17" t="str">
        <f t="shared" si="1"/>
        <v/>
      </c>
      <c r="O36" s="11" t="str">
        <f>IF(P36='Sheet1-指标体系'!$J$6,COUNTIF(月度明细!J409:J445,"&gt;0")/P36,"")</f>
        <v/>
      </c>
      <c r="P36" s="9">
        <f>COUNT(月度明细!J409:J445)</f>
        <v>8</v>
      </c>
      <c r="Q36" s="9" t="s">
        <v>805</v>
      </c>
      <c r="R36" s="9">
        <v>11</v>
      </c>
      <c r="S36" s="9" t="s">
        <v>1084</v>
      </c>
    </row>
    <row r="37" ht="25" customHeight="1" spans="1:19">
      <c r="A37" s="9" t="s">
        <v>238</v>
      </c>
      <c r="B37" s="9" t="s">
        <v>235</v>
      </c>
      <c r="C37" s="9" t="s">
        <v>1081</v>
      </c>
      <c r="D37" s="10">
        <v>46049</v>
      </c>
      <c r="E37" s="10">
        <v>46269</v>
      </c>
      <c r="F37" s="10">
        <f>净值原始!C2857</f>
        <v>46049</v>
      </c>
      <c r="G37" s="10">
        <f>净值原始!C3004</f>
        <v>46269</v>
      </c>
      <c r="H37" s="15">
        <f>净值原始!F2857</f>
        <v>1</v>
      </c>
      <c r="I37" s="15">
        <f>净值原始!F3004</f>
        <v>1.0809</v>
      </c>
      <c r="J37" s="9">
        <f t="shared" si="0"/>
        <v>220</v>
      </c>
      <c r="K37" s="9" t="s">
        <v>1025</v>
      </c>
      <c r="L37" s="11">
        <f>IF(AND(K37="可计算",COUNT(H37:J37)=3,H37&gt;0,I37&gt;0,J37&gt;0),(I37/H37)^('Sheet1-指标体系'!$J$30/J37)-1,"")</f>
        <v>0.137766765771663</v>
      </c>
      <c r="M37" s="11">
        <f>MAX(净值原始!I2857:I3004)</f>
        <v>0.00783186279369485</v>
      </c>
      <c r="N37" s="17">
        <f t="shared" si="1"/>
        <v>17.5905489409971</v>
      </c>
      <c r="O37" s="11"/>
      <c r="P37" s="9"/>
      <c r="Q37" s="9" t="s">
        <v>805</v>
      </c>
      <c r="R37" s="9">
        <v>11</v>
      </c>
      <c r="S37" s="9" t="s">
        <v>1084</v>
      </c>
    </row>
    <row r="38" ht="25" customHeight="1" spans="1:19">
      <c r="A38" s="9" t="s">
        <v>348</v>
      </c>
      <c r="B38" s="9" t="s">
        <v>347</v>
      </c>
      <c r="C38" s="9" t="s">
        <v>1077</v>
      </c>
      <c r="D38" s="10">
        <v>45904</v>
      </c>
      <c r="E38" s="10">
        <v>46269</v>
      </c>
      <c r="F38" s="10">
        <f>净值原始!C3186</f>
        <v>45898</v>
      </c>
      <c r="G38" s="10">
        <f>净值原始!C3238</f>
        <v>46269</v>
      </c>
      <c r="H38" s="15">
        <f>净值原始!F3186</f>
        <v>1.0695</v>
      </c>
      <c r="I38" s="15">
        <f>净值原始!F3238</f>
        <v>1.1932</v>
      </c>
      <c r="J38" s="9">
        <f t="shared" si="0"/>
        <v>371</v>
      </c>
      <c r="K38" s="9" t="s">
        <v>1025</v>
      </c>
      <c r="L38" s="11">
        <f>IF(AND(K38="可计算",COUNT(H38:J38)=3,H38&gt;0,I38&gt;0,J38&gt;0),(I38/H38)^('Sheet1-指标体系'!$J$30/J38)-1,"")</f>
        <v>0.113688504314173</v>
      </c>
      <c r="M38" s="11">
        <f>MAX(净值原始!K3186:K3238)</f>
        <v>0.0104599037024738</v>
      </c>
      <c r="N38" s="17">
        <f t="shared" si="1"/>
        <v>10.8689819283216</v>
      </c>
      <c r="O38" s="11">
        <f>IF(P38='Sheet1-指标体系'!$J$5,COUNTIF(月度明细!J470:J482,"&gt;0")/P38,"")</f>
        <v>0.615384615384615</v>
      </c>
      <c r="P38" s="9">
        <f>COUNT(月度明细!J470:J482)</f>
        <v>13</v>
      </c>
      <c r="Q38" s="9" t="s">
        <v>811</v>
      </c>
      <c r="R38" s="9">
        <v>14</v>
      </c>
      <c r="S38" s="9" t="s">
        <v>1084</v>
      </c>
    </row>
    <row r="39" ht="25" customHeight="1" spans="1:19">
      <c r="A39" s="9" t="s">
        <v>348</v>
      </c>
      <c r="B39" s="9" t="s">
        <v>347</v>
      </c>
      <c r="C39" s="9" t="s">
        <v>1079</v>
      </c>
      <c r="D39" s="10">
        <v>45173</v>
      </c>
      <c r="E39" s="10">
        <v>46269</v>
      </c>
      <c r="F39" s="10"/>
      <c r="G39" s="10">
        <f>净值原始!C3238</f>
        <v>46269</v>
      </c>
      <c r="H39" s="15"/>
      <c r="I39" s="15">
        <f>净值原始!F3238</f>
        <v>1.1932</v>
      </c>
      <c r="J39" s="9" t="str">
        <f t="shared" si="0"/>
        <v/>
      </c>
      <c r="K39" s="9" t="s">
        <v>1080</v>
      </c>
      <c r="L39" s="11" t="str">
        <f>IF(AND(K39="可计算",COUNT(H39:J39)=3,H39&gt;0,I39&gt;0,J39&gt;0),(I39/H39)^('Sheet1-指标体系'!$J$30/J39)-1,"")</f>
        <v/>
      </c>
      <c r="M39" s="11"/>
      <c r="N39" s="17" t="str">
        <f t="shared" si="1"/>
        <v/>
      </c>
      <c r="O39" s="11" t="str">
        <f>IF(P39='Sheet1-指标体系'!$J$6,COUNTIF(月度明细!J446:J482,"&gt;0")/P39,"")</f>
        <v/>
      </c>
      <c r="P39" s="9">
        <f>COUNT(月度明细!J446:J482)</f>
        <v>23</v>
      </c>
      <c r="Q39" s="9" t="s">
        <v>811</v>
      </c>
      <c r="R39" s="9">
        <v>14</v>
      </c>
      <c r="S39" s="9" t="s">
        <v>1084</v>
      </c>
    </row>
    <row r="40" ht="25" customHeight="1" spans="1:19">
      <c r="A40" s="9" t="s">
        <v>348</v>
      </c>
      <c r="B40" s="9" t="s">
        <v>347</v>
      </c>
      <c r="C40" s="9" t="s">
        <v>1081</v>
      </c>
      <c r="D40" s="10">
        <v>45595</v>
      </c>
      <c r="E40" s="10">
        <v>46269</v>
      </c>
      <c r="F40" s="10">
        <f>净值原始!C3008</f>
        <v>45595</v>
      </c>
      <c r="G40" s="10">
        <f>净值原始!C3238</f>
        <v>46269</v>
      </c>
      <c r="H40" s="15">
        <f>净值原始!F3008</f>
        <v>1</v>
      </c>
      <c r="I40" s="15">
        <f>净值原始!F3238</f>
        <v>1.1932</v>
      </c>
      <c r="J40" s="9">
        <f t="shared" si="0"/>
        <v>674</v>
      </c>
      <c r="K40" s="9" t="s">
        <v>1025</v>
      </c>
      <c r="L40" s="11">
        <f>IF(AND(K40="可计算",COUNT(H40:J40)=3,H40&gt;0,I40&gt;0,J40&gt;0),(I40/H40)^('Sheet1-指标体系'!$J$30/J40)-1,"")</f>
        <v>0.100382114301413</v>
      </c>
      <c r="M40" s="11">
        <f>MAX(净值原始!I3008:I3238)</f>
        <v>0.0104599037024738</v>
      </c>
      <c r="N40" s="17">
        <f t="shared" si="1"/>
        <v>9.59684880059377</v>
      </c>
      <c r="O40" s="11"/>
      <c r="P40" s="9"/>
      <c r="Q40" s="9" t="s">
        <v>811</v>
      </c>
      <c r="R40" s="9">
        <v>14</v>
      </c>
      <c r="S40" s="9" t="s">
        <v>1084</v>
      </c>
    </row>
    <row r="41" ht="25" customHeight="1" spans="1:19">
      <c r="A41" s="9" t="s">
        <v>327</v>
      </c>
      <c r="B41" s="9" t="s">
        <v>326</v>
      </c>
      <c r="C41" s="9" t="s">
        <v>1077</v>
      </c>
      <c r="D41" s="10">
        <v>45904</v>
      </c>
      <c r="E41" s="10">
        <v>46269</v>
      </c>
      <c r="F41" s="10">
        <f>净值原始!C4842</f>
        <v>45904</v>
      </c>
      <c r="G41" s="10">
        <f>净值原始!C5084</f>
        <v>46269</v>
      </c>
      <c r="H41" s="15">
        <f>净值原始!F4842</f>
        <v>2.15</v>
      </c>
      <c r="I41" s="15">
        <f>净值原始!F5084</f>
        <v>2.4475</v>
      </c>
      <c r="J41" s="9">
        <f t="shared" si="0"/>
        <v>365</v>
      </c>
      <c r="K41" s="9" t="s">
        <v>1025</v>
      </c>
      <c r="L41" s="11">
        <f>IF(AND(K41="可计算",COUNT(H41:J41)=3,H41&gt;0,I41&gt;0,J41&gt;0),(I41/H41)^('Sheet1-指标体系'!$J$30/J41)-1,"")</f>
        <v>0.138372093023256</v>
      </c>
      <c r="M41" s="11">
        <f>MAX(净值原始!K4842:K5084)</f>
        <v>0.00486317177711837</v>
      </c>
      <c r="N41" s="17">
        <f t="shared" si="1"/>
        <v>28.453054789121</v>
      </c>
      <c r="O41" s="11">
        <f>IF(P41='Sheet1-指标体系'!$J$5,COUNTIF(月度明细!J507:J519,"&gt;0")/P41,"")</f>
        <v>0.769230769230769</v>
      </c>
      <c r="P41" s="9">
        <f>COUNT(月度明细!J507:J519)</f>
        <v>13</v>
      </c>
      <c r="Q41" s="9" t="s">
        <v>809</v>
      </c>
      <c r="R41" s="9">
        <v>11</v>
      </c>
      <c r="S41" s="9" t="s">
        <v>1084</v>
      </c>
    </row>
    <row r="42" ht="25" customHeight="1" spans="1:19">
      <c r="A42" s="9" t="s">
        <v>327</v>
      </c>
      <c r="B42" s="9" t="s">
        <v>326</v>
      </c>
      <c r="C42" s="9" t="s">
        <v>1079</v>
      </c>
      <c r="D42" s="10">
        <v>45173</v>
      </c>
      <c r="E42" s="10">
        <v>46269</v>
      </c>
      <c r="F42" s="10">
        <f>净值原始!C4357</f>
        <v>45173</v>
      </c>
      <c r="G42" s="10">
        <f>净值原始!C5084</f>
        <v>46269</v>
      </c>
      <c r="H42" s="15">
        <f>净值原始!F4357</f>
        <v>1.7412</v>
      </c>
      <c r="I42" s="15">
        <f>净值原始!F5084</f>
        <v>2.4475</v>
      </c>
      <c r="J42" s="9">
        <f t="shared" si="0"/>
        <v>1096</v>
      </c>
      <c r="K42" s="9" t="s">
        <v>1025</v>
      </c>
      <c r="L42" s="11">
        <f>IF(AND(K42="可计算",COUNT(H42:J42)=3,H42&gt;0,I42&gt;0,J42&gt;0),(I42/H42)^('Sheet1-指标体系'!$J$30/J42)-1,"")</f>
        <v>0.120073116138451</v>
      </c>
      <c r="M42" s="11">
        <f>MAX(净值原始!M4357:M5084)</f>
        <v>0.00533091362785687</v>
      </c>
      <c r="N42" s="17">
        <f t="shared" si="1"/>
        <v>22.5239282645671</v>
      </c>
      <c r="O42" s="11">
        <f>IF(P42='Sheet1-指标体系'!$J$6,COUNTIF(月度明细!J483:J519,"&gt;0")/P42,"")</f>
        <v>0.783783783783784</v>
      </c>
      <c r="P42" s="9">
        <f>COUNT(月度明细!J483:J519)</f>
        <v>37</v>
      </c>
      <c r="Q42" s="9" t="s">
        <v>809</v>
      </c>
      <c r="R42" s="9">
        <v>11</v>
      </c>
      <c r="S42" s="9" t="s">
        <v>1084</v>
      </c>
    </row>
    <row r="43" ht="25" customHeight="1" spans="1:19">
      <c r="A43" s="9" t="s">
        <v>327</v>
      </c>
      <c r="B43" s="9" t="s">
        <v>326</v>
      </c>
      <c r="C43" s="9" t="s">
        <v>1081</v>
      </c>
      <c r="D43" s="10">
        <v>43490</v>
      </c>
      <c r="E43" s="10">
        <v>46269</v>
      </c>
      <c r="F43" s="10">
        <f>净值原始!C3239</f>
        <v>43490</v>
      </c>
      <c r="G43" s="10">
        <f>净值原始!C5084</f>
        <v>46269</v>
      </c>
      <c r="H43" s="15">
        <f>净值原始!F3239</f>
        <v>1.0001</v>
      </c>
      <c r="I43" s="15">
        <f>净值原始!F5084</f>
        <v>2.4475</v>
      </c>
      <c r="J43" s="9">
        <f t="shared" si="0"/>
        <v>2779</v>
      </c>
      <c r="K43" s="9" t="s">
        <v>1025</v>
      </c>
      <c r="L43" s="11">
        <f>IF(AND(K43="可计算",COUNT(H43:J43)=3,H43&gt;0,I43&gt;0,J43&gt;0),(I43/H43)^('Sheet1-指标体系'!$J$30/J43)-1,"")</f>
        <v>0.12473444211069</v>
      </c>
      <c r="M43" s="11">
        <f>MAX(净值原始!I3239:I5084)</f>
        <v>0.0196613872200984</v>
      </c>
      <c r="N43" s="17">
        <f t="shared" si="1"/>
        <v>6.34413231957426</v>
      </c>
      <c r="O43" s="11"/>
      <c r="P43" s="9"/>
      <c r="Q43" s="9" t="s">
        <v>809</v>
      </c>
      <c r="R43" s="9">
        <v>11</v>
      </c>
      <c r="S43" s="9" t="s">
        <v>1084</v>
      </c>
    </row>
    <row r="44" ht="25" customHeight="1" spans="1:19">
      <c r="A44" s="9" t="s">
        <v>422</v>
      </c>
      <c r="B44" s="9" t="s">
        <v>421</v>
      </c>
      <c r="C44" s="9" t="s">
        <v>1077</v>
      </c>
      <c r="D44" s="10">
        <v>45904</v>
      </c>
      <c r="E44" s="10">
        <v>46269</v>
      </c>
      <c r="F44" s="10">
        <f>净值原始!C5231</f>
        <v>45898</v>
      </c>
      <c r="G44" s="10">
        <f>净值原始!C5283</f>
        <v>46269</v>
      </c>
      <c r="H44" s="15">
        <f>净值原始!F5231</f>
        <v>1.3123</v>
      </c>
      <c r="I44" s="15">
        <f>净值原始!F5283</f>
        <v>1.321</v>
      </c>
      <c r="J44" s="9">
        <f t="shared" si="0"/>
        <v>371</v>
      </c>
      <c r="K44" s="9" t="s">
        <v>1025</v>
      </c>
      <c r="L44" s="11">
        <f>IF(AND(K44="可计算",COUNT(H44:J44)=3,H44&gt;0,I44&gt;0,J44&gt;0),(I44/H44)^('Sheet1-指标体系'!$J$30/J44)-1,"")</f>
        <v>0.00652201582515199</v>
      </c>
      <c r="M44" s="11">
        <f>MAX(净值原始!K5231:K5283)</f>
        <v>0.0431149238278361</v>
      </c>
      <c r="N44" s="17">
        <f t="shared" si="1"/>
        <v>0.151270493975481</v>
      </c>
      <c r="O44" s="11">
        <f>IF(P44='Sheet1-指标体系'!$J$5,COUNTIF(月度明细!J544:J556,"&gt;0")/P44,"")</f>
        <v>0.461538461538462</v>
      </c>
      <c r="P44" s="9">
        <f>COUNT(月度明细!J544:J556)</f>
        <v>13</v>
      </c>
      <c r="Q44" s="9" t="s">
        <v>814</v>
      </c>
      <c r="R44" s="9">
        <v>15</v>
      </c>
      <c r="S44" s="9" t="s">
        <v>1083</v>
      </c>
    </row>
    <row r="45" ht="25" customHeight="1" spans="1:19">
      <c r="A45" s="9" t="s">
        <v>422</v>
      </c>
      <c r="B45" s="9" t="s">
        <v>421</v>
      </c>
      <c r="C45" s="9" t="s">
        <v>1079</v>
      </c>
      <c r="D45" s="10">
        <v>45173</v>
      </c>
      <c r="E45" s="10">
        <v>46269</v>
      </c>
      <c r="F45" s="10">
        <f>净值原始!C5129</f>
        <v>45170</v>
      </c>
      <c r="G45" s="10">
        <f>净值原始!C5283</f>
        <v>46269</v>
      </c>
      <c r="H45" s="15">
        <f>净值原始!F5129</f>
        <v>1.0117</v>
      </c>
      <c r="I45" s="15">
        <f>净值原始!F5283</f>
        <v>1.321</v>
      </c>
      <c r="J45" s="9">
        <f t="shared" si="0"/>
        <v>1099</v>
      </c>
      <c r="K45" s="9" t="s">
        <v>1025</v>
      </c>
      <c r="L45" s="11">
        <f>IF(AND(K45="可计算",COUNT(H45:J45)=3,H45&gt;0,I45&gt;0,J45&gt;0),(I45/H45)^('Sheet1-指标体系'!$J$30/J45)-1,"")</f>
        <v>0.0926384246815495</v>
      </c>
      <c r="M45" s="11">
        <f>MAX(净值原始!M5129:M5283)</f>
        <v>0.0431149238278361</v>
      </c>
      <c r="N45" s="17">
        <f t="shared" si="1"/>
        <v>2.14863941431203</v>
      </c>
      <c r="O45" s="11">
        <f>IF(P45='Sheet1-指标体系'!$J$6,COUNTIF(月度明细!J520:J556,"&gt;0")/P45,"")</f>
        <v>0.648648648648649</v>
      </c>
      <c r="P45" s="9">
        <f>COUNT(月度明细!J520:J556)</f>
        <v>37</v>
      </c>
      <c r="Q45" s="9" t="s">
        <v>814</v>
      </c>
      <c r="R45" s="9">
        <v>15</v>
      </c>
      <c r="S45" s="9" t="s">
        <v>1083</v>
      </c>
    </row>
    <row r="46" ht="25" customHeight="1" spans="1:19">
      <c r="A46" s="9" t="s">
        <v>422</v>
      </c>
      <c r="B46" s="9" t="s">
        <v>421</v>
      </c>
      <c r="C46" s="9" t="s">
        <v>1081</v>
      </c>
      <c r="D46" s="10">
        <v>44881</v>
      </c>
      <c r="E46" s="10">
        <v>46269</v>
      </c>
      <c r="F46" s="10"/>
      <c r="G46" s="10">
        <f>净值原始!C5283</f>
        <v>46269</v>
      </c>
      <c r="H46" s="15"/>
      <c r="I46" s="15">
        <f>净值原始!F5283</f>
        <v>1.321</v>
      </c>
      <c r="J46" s="9" t="str">
        <f t="shared" si="0"/>
        <v/>
      </c>
      <c r="K46" s="9" t="s">
        <v>1082</v>
      </c>
      <c r="L46" s="11" t="str">
        <f>IF(AND(K46="可计算",COUNT(H46:J46)=3,H46&gt;0,I46&gt;0,J46&gt;0),(I46/H46)^('Sheet1-指标体系'!$J$30/J46)-1,"")</f>
        <v/>
      </c>
      <c r="M46" s="11"/>
      <c r="N46" s="17" t="str">
        <f t="shared" si="1"/>
        <v/>
      </c>
      <c r="O46" s="11"/>
      <c r="P46" s="9"/>
      <c r="Q46" s="9" t="s">
        <v>814</v>
      </c>
      <c r="R46" s="9">
        <v>15</v>
      </c>
      <c r="S46" s="9" t="s">
        <v>1083</v>
      </c>
    </row>
    <row r="47" ht="25" customHeight="1" spans="1:19">
      <c r="A47" s="9" t="s">
        <v>225</v>
      </c>
      <c r="B47" s="9" t="s">
        <v>224</v>
      </c>
      <c r="C47" s="9" t="s">
        <v>1077</v>
      </c>
      <c r="D47" s="10">
        <v>45904</v>
      </c>
      <c r="E47" s="10">
        <v>46269</v>
      </c>
      <c r="F47" s="10">
        <f>净值原始!C5330</f>
        <v>45898</v>
      </c>
      <c r="G47" s="10">
        <f>净值原始!C5386</f>
        <v>46269</v>
      </c>
      <c r="H47" s="15">
        <f>净值原始!F5330</f>
        <v>2.041</v>
      </c>
      <c r="I47" s="15">
        <f>净值原始!F5386</f>
        <v>2.781</v>
      </c>
      <c r="J47" s="9">
        <f t="shared" si="0"/>
        <v>371</v>
      </c>
      <c r="K47" s="9" t="s">
        <v>1025</v>
      </c>
      <c r="L47" s="11">
        <f>IF(AND(K47="可计算",COUNT(H47:J47)=3,H47&gt;0,I47&gt;0,J47&gt;0),(I47/H47)^('Sheet1-指标体系'!$J$30/J47)-1,"")</f>
        <v>0.355767062347637</v>
      </c>
      <c r="M47" s="11">
        <f>MAX(净值原始!K5330:K5386)</f>
        <v>0.0256410256410257</v>
      </c>
      <c r="N47" s="17">
        <f t="shared" si="1"/>
        <v>13.8749154315578</v>
      </c>
      <c r="O47" s="11">
        <f>IF(P47='Sheet1-指标体系'!$J$5,COUNTIF(月度明细!J581:J593,"&gt;0")/P47,"")</f>
        <v>0.769230769230769</v>
      </c>
      <c r="P47" s="9">
        <f>COUNT(月度明细!J581:J593)</f>
        <v>13</v>
      </c>
      <c r="Q47" s="9" t="s">
        <v>1013</v>
      </c>
      <c r="R47" s="9">
        <v>14</v>
      </c>
      <c r="S47" s="9" t="s">
        <v>1078</v>
      </c>
    </row>
    <row r="48" ht="25" customHeight="1" spans="1:19">
      <c r="A48" s="9" t="s">
        <v>225</v>
      </c>
      <c r="B48" s="9" t="s">
        <v>224</v>
      </c>
      <c r="C48" s="9" t="s">
        <v>1079</v>
      </c>
      <c r="D48" s="10">
        <v>45173</v>
      </c>
      <c r="E48" s="10">
        <v>46269</v>
      </c>
      <c r="F48" s="10"/>
      <c r="G48" s="10">
        <f>净值原始!C5386</f>
        <v>46269</v>
      </c>
      <c r="H48" s="15"/>
      <c r="I48" s="15">
        <f>净值原始!F5386</f>
        <v>2.781</v>
      </c>
      <c r="J48" s="9" t="str">
        <f t="shared" si="0"/>
        <v/>
      </c>
      <c r="K48" s="9" t="s">
        <v>1080</v>
      </c>
      <c r="L48" s="11" t="str">
        <f>IF(AND(K48="可计算",COUNT(H48:J48)=3,H48&gt;0,I48&gt;0,J48&gt;0),(I48/H48)^('Sheet1-指标体系'!$J$30/J48)-1,"")</f>
        <v/>
      </c>
      <c r="M48" s="11"/>
      <c r="N48" s="17" t="str">
        <f t="shared" si="1"/>
        <v/>
      </c>
      <c r="O48" s="11" t="str">
        <f>IF(P48='Sheet1-指标体系'!$J$6,COUNTIF(月度明细!J557:J593,"&gt;0")/P48,"")</f>
        <v/>
      </c>
      <c r="P48" s="9">
        <f>COUNT(月度明细!J557:J593)</f>
        <v>22</v>
      </c>
      <c r="Q48" s="9" t="s">
        <v>1013</v>
      </c>
      <c r="R48" s="9">
        <v>14</v>
      </c>
      <c r="S48" s="9" t="s">
        <v>1078</v>
      </c>
    </row>
    <row r="49" ht="25" customHeight="1" spans="1:19">
      <c r="A49" s="9" t="s">
        <v>225</v>
      </c>
      <c r="B49" s="9" t="s">
        <v>224</v>
      </c>
      <c r="C49" s="9" t="s">
        <v>1081</v>
      </c>
      <c r="D49" s="10">
        <v>44061</v>
      </c>
      <c r="E49" s="10">
        <v>46269</v>
      </c>
      <c r="F49" s="10"/>
      <c r="G49" s="10">
        <f>净值原始!C5386</f>
        <v>46269</v>
      </c>
      <c r="H49" s="15"/>
      <c r="I49" s="15">
        <f>净值原始!F5386</f>
        <v>2.781</v>
      </c>
      <c r="J49" s="9" t="str">
        <f t="shared" si="0"/>
        <v/>
      </c>
      <c r="K49" s="9" t="s">
        <v>1082</v>
      </c>
      <c r="L49" s="11" t="str">
        <f>IF(AND(K49="可计算",COUNT(H49:J49)=3,H49&gt;0,I49&gt;0,J49&gt;0),(I49/H49)^('Sheet1-指标体系'!$J$30/J49)-1,"")</f>
        <v/>
      </c>
      <c r="M49" s="11"/>
      <c r="N49" s="17" t="str">
        <f t="shared" si="1"/>
        <v/>
      </c>
      <c r="O49" s="11"/>
      <c r="P49" s="9"/>
      <c r="Q49" s="9" t="s">
        <v>1013</v>
      </c>
      <c r="R49" s="9">
        <v>14</v>
      </c>
      <c r="S49" s="9" t="s">
        <v>1078</v>
      </c>
    </row>
    <row r="50" ht="25" customHeight="1" spans="1:19">
      <c r="A50" s="9" t="s">
        <v>481</v>
      </c>
      <c r="B50" s="9" t="s">
        <v>480</v>
      </c>
      <c r="C50" s="9" t="s">
        <v>1077</v>
      </c>
      <c r="D50" s="10">
        <v>45904</v>
      </c>
      <c r="E50" s="10">
        <v>46269</v>
      </c>
      <c r="F50" s="10"/>
      <c r="G50" s="10">
        <f>净值原始!C5611</f>
        <v>46269</v>
      </c>
      <c r="H50" s="15"/>
      <c r="I50" s="15">
        <f>净值原始!F5611</f>
        <v>1.1236</v>
      </c>
      <c r="J50" s="9" t="str">
        <f t="shared" si="0"/>
        <v/>
      </c>
      <c r="K50" s="9" t="s">
        <v>1080</v>
      </c>
      <c r="L50" s="11" t="str">
        <f>IF(AND(K50="可计算",COUNT(H50:J50)=3,H50&gt;0,I50&gt;0,J50&gt;0),(I50/H50)^('Sheet1-指标体系'!$J$30/J50)-1,"")</f>
        <v/>
      </c>
      <c r="M50" s="11"/>
      <c r="N50" s="17" t="str">
        <f t="shared" si="1"/>
        <v/>
      </c>
      <c r="O50" s="11" t="str">
        <f>IF(P50='Sheet1-指标体系'!$J$5,COUNTIF(月度明细!J618:J630,"&gt;0")/P50,"")</f>
        <v/>
      </c>
      <c r="P50" s="9">
        <f>COUNT(月度明细!J618:J630)</f>
        <v>12</v>
      </c>
      <c r="Q50" s="9" t="s">
        <v>1014</v>
      </c>
      <c r="R50" s="9">
        <v>11</v>
      </c>
      <c r="S50" s="9" t="s">
        <v>1084</v>
      </c>
    </row>
    <row r="51" ht="25" customHeight="1" spans="1:19">
      <c r="A51" s="9" t="s">
        <v>481</v>
      </c>
      <c r="B51" s="9" t="s">
        <v>480</v>
      </c>
      <c r="C51" s="9" t="s">
        <v>1079</v>
      </c>
      <c r="D51" s="10">
        <v>45173</v>
      </c>
      <c r="E51" s="10">
        <v>46269</v>
      </c>
      <c r="F51" s="10"/>
      <c r="G51" s="10">
        <f>净值原始!C5611</f>
        <v>46269</v>
      </c>
      <c r="H51" s="15"/>
      <c r="I51" s="15">
        <f>净值原始!F5611</f>
        <v>1.1236</v>
      </c>
      <c r="J51" s="9" t="str">
        <f t="shared" si="0"/>
        <v/>
      </c>
      <c r="K51" s="9" t="s">
        <v>1080</v>
      </c>
      <c r="L51" s="11" t="str">
        <f>IF(AND(K51="可计算",COUNT(H51:J51)=3,H51&gt;0,I51&gt;0,J51&gt;0),(I51/H51)^('Sheet1-指标体系'!$J$30/J51)-1,"")</f>
        <v/>
      </c>
      <c r="M51" s="11"/>
      <c r="N51" s="17" t="str">
        <f t="shared" si="1"/>
        <v/>
      </c>
      <c r="O51" s="11" t="str">
        <f>IF(P51='Sheet1-指标体系'!$J$6,COUNTIF(月度明细!J594:J630,"&gt;0")/P51,"")</f>
        <v/>
      </c>
      <c r="P51" s="9">
        <f>COUNT(月度明细!J594:J630)</f>
        <v>12</v>
      </c>
      <c r="Q51" s="9" t="s">
        <v>1014</v>
      </c>
      <c r="R51" s="9">
        <v>11</v>
      </c>
      <c r="S51" s="9" t="s">
        <v>1084</v>
      </c>
    </row>
    <row r="52" ht="25" customHeight="1" spans="1:19">
      <c r="A52" s="9" t="s">
        <v>481</v>
      </c>
      <c r="B52" s="9" t="s">
        <v>480</v>
      </c>
      <c r="C52" s="9" t="s">
        <v>1081</v>
      </c>
      <c r="D52" s="10">
        <v>45929</v>
      </c>
      <c r="E52" s="10">
        <v>46269</v>
      </c>
      <c r="F52" s="10">
        <f>净值原始!C5387</f>
        <v>45929</v>
      </c>
      <c r="G52" s="10">
        <f>净值原始!C5611</f>
        <v>46269</v>
      </c>
      <c r="H52" s="15">
        <f>净值原始!F5387</f>
        <v>1</v>
      </c>
      <c r="I52" s="15">
        <f>净值原始!F5611</f>
        <v>1.1236</v>
      </c>
      <c r="J52" s="9">
        <f t="shared" si="0"/>
        <v>340</v>
      </c>
      <c r="K52" s="9" t="s">
        <v>1025</v>
      </c>
      <c r="L52" s="11">
        <f>IF(AND(K52="可计算",COUNT(H52:J52)=3,H52&gt;0,I52&gt;0,J52&gt;0),(I52/H52)^('Sheet1-指标体系'!$J$30/J52)-1,"")</f>
        <v>0.13326944955437</v>
      </c>
      <c r="M52" s="11">
        <f>MAX(净值原始!I5387:I5611)</f>
        <v>0.04510556621881</v>
      </c>
      <c r="N52" s="17">
        <f t="shared" si="1"/>
        <v>2.95461205182242</v>
      </c>
      <c r="O52" s="11"/>
      <c r="P52" s="9"/>
      <c r="Q52" s="9" t="s">
        <v>1014</v>
      </c>
      <c r="R52" s="9">
        <v>11</v>
      </c>
      <c r="S52" s="9" t="s">
        <v>1084</v>
      </c>
    </row>
    <row r="53" ht="25" customHeight="1" spans="1:19">
      <c r="A53" s="9" t="s">
        <v>249</v>
      </c>
      <c r="B53" s="9" t="s">
        <v>248</v>
      </c>
      <c r="C53" s="9" t="s">
        <v>1077</v>
      </c>
      <c r="D53" s="10">
        <v>45904</v>
      </c>
      <c r="E53" s="10">
        <v>46269</v>
      </c>
      <c r="F53" s="10">
        <f>净值原始!C5854</f>
        <v>45898</v>
      </c>
      <c r="G53" s="10">
        <f>净值原始!C5906</f>
        <v>46269</v>
      </c>
      <c r="H53" s="15">
        <f>净值原始!F5854</f>
        <v>1.8621</v>
      </c>
      <c r="I53" s="15">
        <f>净值原始!F5906</f>
        <v>1.985</v>
      </c>
      <c r="J53" s="9">
        <f t="shared" si="0"/>
        <v>371</v>
      </c>
      <c r="K53" s="9" t="s">
        <v>1025</v>
      </c>
      <c r="L53" s="11">
        <f>IF(AND(K53="可计算",COUNT(H53:J53)=3,H53&gt;0,I53&gt;0,J53&gt;0),(I53/H53)^('Sheet1-指标体系'!$J$30/J53)-1,"")</f>
        <v>0.0648994493369395</v>
      </c>
      <c r="M53" s="11">
        <f>MAX(净值原始!K5854:K5906)</f>
        <v>0.00148077634988641</v>
      </c>
      <c r="N53" s="17">
        <f t="shared" si="1"/>
        <v>43.8279888397176</v>
      </c>
      <c r="O53" s="11">
        <f>IF(P53='Sheet1-指标体系'!$J$5,COUNTIF(月度明细!J655:J667,"&gt;0")/P53,"")</f>
        <v>1</v>
      </c>
      <c r="P53" s="9">
        <f>COUNT(月度明细!J655:J667)</f>
        <v>13</v>
      </c>
      <c r="Q53" s="9" t="s">
        <v>807</v>
      </c>
      <c r="R53" s="9">
        <v>15</v>
      </c>
      <c r="S53" s="9" t="s">
        <v>1083</v>
      </c>
    </row>
    <row r="54" ht="25" customHeight="1" spans="1:19">
      <c r="A54" s="9" t="s">
        <v>249</v>
      </c>
      <c r="B54" s="9" t="s">
        <v>248</v>
      </c>
      <c r="C54" s="9" t="s">
        <v>1079</v>
      </c>
      <c r="D54" s="10">
        <v>45173</v>
      </c>
      <c r="E54" s="10">
        <v>46269</v>
      </c>
      <c r="F54" s="10">
        <f>净值原始!C5752</f>
        <v>45170</v>
      </c>
      <c r="G54" s="10">
        <f>净值原始!C5906</f>
        <v>46269</v>
      </c>
      <c r="H54" s="15">
        <f>净值原始!F5752</f>
        <v>1.5506</v>
      </c>
      <c r="I54" s="15">
        <f>净值原始!F5906</f>
        <v>1.985</v>
      </c>
      <c r="J54" s="9">
        <f t="shared" si="0"/>
        <v>1099</v>
      </c>
      <c r="K54" s="9" t="s">
        <v>1025</v>
      </c>
      <c r="L54" s="11">
        <f>IF(AND(K54="可计算",COUNT(H54:J54)=3,H54&gt;0,I54&gt;0,J54&gt;0),(I54/H54)^('Sheet1-指标体系'!$J$30/J54)-1,"")</f>
        <v>0.0854840487275965</v>
      </c>
      <c r="M54" s="11">
        <f>MAX(净值原始!M5752:M5906)</f>
        <v>0.003369637162284</v>
      </c>
      <c r="N54" s="17">
        <f t="shared" si="1"/>
        <v>25.3689179607854</v>
      </c>
      <c r="O54" s="11">
        <f>IF(P54='Sheet1-指标体系'!$J$6,COUNTIF(月度明细!J631:J667,"&gt;0")/P54,"")</f>
        <v>0.918918918918919</v>
      </c>
      <c r="P54" s="9">
        <f>COUNT(月度明细!J631:J667)</f>
        <v>37</v>
      </c>
      <c r="Q54" s="9" t="s">
        <v>807</v>
      </c>
      <c r="R54" s="9">
        <v>15</v>
      </c>
      <c r="S54" s="9" t="s">
        <v>1083</v>
      </c>
    </row>
    <row r="55" ht="25" customHeight="1" spans="1:19">
      <c r="A55" s="9" t="s">
        <v>249</v>
      </c>
      <c r="B55" s="9" t="s">
        <v>248</v>
      </c>
      <c r="C55" s="9" t="s">
        <v>1081</v>
      </c>
      <c r="D55" s="10">
        <v>44196</v>
      </c>
      <c r="E55" s="10">
        <v>46269</v>
      </c>
      <c r="F55" s="10">
        <f>净值原始!C5616</f>
        <v>44196</v>
      </c>
      <c r="G55" s="10">
        <f>净值原始!C5906</f>
        <v>46269</v>
      </c>
      <c r="H55" s="15">
        <f>净值原始!F5616</f>
        <v>1.0001</v>
      </c>
      <c r="I55" s="15">
        <f>净值原始!F5906</f>
        <v>1.985</v>
      </c>
      <c r="J55" s="9">
        <f t="shared" si="0"/>
        <v>2073</v>
      </c>
      <c r="K55" s="9" t="s">
        <v>1025</v>
      </c>
      <c r="L55" s="11">
        <f>IF(AND(K55="可计算",COUNT(H55:J55)=3,H55&gt;0,I55&gt;0,J55&gt;0),(I55/H55)^('Sheet1-指标体系'!$J$30/J55)-1,"")</f>
        <v>0.128288174778181</v>
      </c>
      <c r="M55" s="11">
        <f>MAX(净值原始!I5616:I5906)</f>
        <v>0.00524856407209362</v>
      </c>
      <c r="N55" s="17">
        <f t="shared" si="1"/>
        <v>24.4425280926423</v>
      </c>
      <c r="O55" s="11"/>
      <c r="P55" s="9"/>
      <c r="Q55" s="9" t="s">
        <v>807</v>
      </c>
      <c r="R55" s="9">
        <v>15</v>
      </c>
      <c r="S55" s="9" t="s">
        <v>1083</v>
      </c>
    </row>
    <row r="56" ht="25" customHeight="1" spans="1:19">
      <c r="A56" s="9" t="s">
        <v>244</v>
      </c>
      <c r="B56" s="9" t="s">
        <v>243</v>
      </c>
      <c r="C56" s="9" t="s">
        <v>1077</v>
      </c>
      <c r="D56" s="10">
        <v>45904</v>
      </c>
      <c r="E56" s="10">
        <v>46269</v>
      </c>
      <c r="F56" s="10">
        <f>净值原始!C5953</f>
        <v>45898</v>
      </c>
      <c r="G56" s="10">
        <f>净值原始!C6108</f>
        <v>46269</v>
      </c>
      <c r="H56" s="15">
        <f>净值原始!F5953</f>
        <v>1.0764</v>
      </c>
      <c r="I56" s="15">
        <f>净值原始!F6108</f>
        <v>1.0236</v>
      </c>
      <c r="J56" s="9">
        <f t="shared" si="0"/>
        <v>371</v>
      </c>
      <c r="K56" s="9" t="s">
        <v>1025</v>
      </c>
      <c r="L56" s="11">
        <f>IF(AND(K56="可计算",COUNT(H56:J56)=3,H56&gt;0,I56&gt;0,J56&gt;0),(I56/H56)^('Sheet1-指标体系'!$J$30/J56)-1,"")</f>
        <v>-0.0482785647879772</v>
      </c>
      <c r="M56" s="11">
        <f>MAX(净值原始!K5953:K6108)</f>
        <v>0.12206139946529</v>
      </c>
      <c r="N56" s="17">
        <f t="shared" si="1"/>
        <v>-0.395526882367967</v>
      </c>
      <c r="O56" s="11">
        <f>IF(P56='Sheet1-指标体系'!$J$5,COUNTIF(月度明细!J692:J704,"&gt;0")/P56,"")</f>
        <v>0.538461538461538</v>
      </c>
      <c r="P56" s="9">
        <f>COUNT(月度明细!J692:J704)</f>
        <v>13</v>
      </c>
      <c r="Q56" s="9" t="s">
        <v>806</v>
      </c>
      <c r="R56" s="9">
        <v>11</v>
      </c>
      <c r="S56" s="9" t="s">
        <v>1084</v>
      </c>
    </row>
    <row r="57" ht="25" customHeight="1" spans="1:19">
      <c r="A57" s="9" t="s">
        <v>244</v>
      </c>
      <c r="B57" s="9" t="s">
        <v>243</v>
      </c>
      <c r="C57" s="9" t="s">
        <v>1079</v>
      </c>
      <c r="D57" s="10">
        <v>45173</v>
      </c>
      <c r="E57" s="10">
        <v>46269</v>
      </c>
      <c r="F57" s="10"/>
      <c r="G57" s="10">
        <f>净值原始!C6108</f>
        <v>46269</v>
      </c>
      <c r="H57" s="15"/>
      <c r="I57" s="15">
        <f>净值原始!F6108</f>
        <v>1.0236</v>
      </c>
      <c r="J57" s="9" t="str">
        <f t="shared" si="0"/>
        <v/>
      </c>
      <c r="K57" s="9" t="s">
        <v>1080</v>
      </c>
      <c r="L57" s="11" t="str">
        <f>IF(AND(K57="可计算",COUNT(H57:J57)=3,H57&gt;0,I57&gt;0,J57&gt;0),(I57/H57)^('Sheet1-指标体系'!$J$30/J57)-1,"")</f>
        <v/>
      </c>
      <c r="M57" s="11"/>
      <c r="N57" s="17" t="str">
        <f t="shared" si="1"/>
        <v/>
      </c>
      <c r="O57" s="11" t="str">
        <f>IF(P57='Sheet1-指标体系'!$J$6,COUNTIF(月度明细!J668:J704,"&gt;0")/P57,"")</f>
        <v/>
      </c>
      <c r="P57" s="9">
        <f>COUNT(月度明细!J668:J704)</f>
        <v>22</v>
      </c>
      <c r="Q57" s="9" t="s">
        <v>806</v>
      </c>
      <c r="R57" s="9">
        <v>11</v>
      </c>
      <c r="S57" s="9" t="s">
        <v>1084</v>
      </c>
    </row>
    <row r="58" ht="25" customHeight="1" spans="1:19">
      <c r="A58" s="9" t="s">
        <v>244</v>
      </c>
      <c r="B58" s="9" t="s">
        <v>243</v>
      </c>
      <c r="C58" s="9" t="s">
        <v>1081</v>
      </c>
      <c r="D58" s="10">
        <v>45594</v>
      </c>
      <c r="E58" s="10">
        <v>46269</v>
      </c>
      <c r="F58" s="10"/>
      <c r="G58" s="10">
        <f>净值原始!C6108</f>
        <v>46269</v>
      </c>
      <c r="H58" s="15"/>
      <c r="I58" s="15">
        <f>净值原始!F6108</f>
        <v>1.0236</v>
      </c>
      <c r="J58" s="9" t="str">
        <f t="shared" si="0"/>
        <v/>
      </c>
      <c r="K58" s="9" t="s">
        <v>1082</v>
      </c>
      <c r="L58" s="11" t="str">
        <f>IF(AND(K58="可计算",COUNT(H58:J58)=3,H58&gt;0,I58&gt;0,J58&gt;0),(I58/H58)^('Sheet1-指标体系'!$J$30/J58)-1,"")</f>
        <v/>
      </c>
      <c r="M58" s="11"/>
      <c r="N58" s="17" t="str">
        <f t="shared" si="1"/>
        <v/>
      </c>
      <c r="O58" s="11"/>
      <c r="P58" s="9"/>
      <c r="Q58" s="9" t="s">
        <v>806</v>
      </c>
      <c r="R58" s="9">
        <v>11</v>
      </c>
      <c r="S58" s="9" t="s">
        <v>1084</v>
      </c>
    </row>
    <row r="59" ht="25" customHeight="1" spans="1:19">
      <c r="A59" s="9" t="s">
        <v>207</v>
      </c>
      <c r="B59" s="9" t="s">
        <v>206</v>
      </c>
      <c r="C59" s="9" t="s">
        <v>1077</v>
      </c>
      <c r="D59" s="10">
        <v>45904</v>
      </c>
      <c r="E59" s="10">
        <v>46269</v>
      </c>
      <c r="F59" s="10">
        <f>净值原始!C6151</f>
        <v>45898</v>
      </c>
      <c r="G59" s="10">
        <f>净值原始!C6209</f>
        <v>46269</v>
      </c>
      <c r="H59" s="15">
        <f>净值原始!F6151</f>
        <v>1.0335</v>
      </c>
      <c r="I59" s="15">
        <f>净值原始!F6209</f>
        <v>1.0458</v>
      </c>
      <c r="J59" s="9">
        <f t="shared" si="0"/>
        <v>371</v>
      </c>
      <c r="K59" s="9" t="s">
        <v>1025</v>
      </c>
      <c r="L59" s="11">
        <f>IF(AND(K59="可计算",COUNT(H59:J59)=3,H59&gt;0,I59&gt;0,J59&gt;0),(I59/H59)^('Sheet1-指标体系'!$J$30/J59)-1,"")</f>
        <v>0.011707709978378</v>
      </c>
      <c r="M59" s="11">
        <f>MAX(净值原始!K6151:K6209)</f>
        <v>0.0678208102802071</v>
      </c>
      <c r="N59" s="17">
        <f t="shared" si="1"/>
        <v>0.172627102654873</v>
      </c>
      <c r="O59" s="11">
        <f>IF(P59='Sheet1-指标体系'!$J$5,COUNTIF(月度明细!J729:J741,"&gt;0")/P59,"")</f>
        <v>0.538461538461538</v>
      </c>
      <c r="P59" s="9">
        <f>COUNT(月度明细!J729:J741)</f>
        <v>13</v>
      </c>
      <c r="Q59" s="9" t="s">
        <v>801</v>
      </c>
      <c r="R59" s="9">
        <v>14</v>
      </c>
      <c r="S59" s="9" t="s">
        <v>1078</v>
      </c>
    </row>
    <row r="60" ht="25" customHeight="1" spans="1:19">
      <c r="A60" s="9" t="s">
        <v>207</v>
      </c>
      <c r="B60" s="9" t="s">
        <v>206</v>
      </c>
      <c r="C60" s="9" t="s">
        <v>1079</v>
      </c>
      <c r="D60" s="10">
        <v>45173</v>
      </c>
      <c r="E60" s="10">
        <v>46269</v>
      </c>
      <c r="F60" s="10"/>
      <c r="G60" s="10">
        <f>净值原始!C6209</f>
        <v>46269</v>
      </c>
      <c r="H60" s="15"/>
      <c r="I60" s="15">
        <f>净值原始!F6209</f>
        <v>1.0458</v>
      </c>
      <c r="J60" s="9" t="str">
        <f t="shared" si="0"/>
        <v/>
      </c>
      <c r="K60" s="9" t="s">
        <v>1080</v>
      </c>
      <c r="L60" s="11" t="str">
        <f>IF(AND(K60="可计算",COUNT(H60:J60)=3,H60&gt;0,I60&gt;0,J60&gt;0),(I60/H60)^('Sheet1-指标体系'!$J$30/J60)-1,"")</f>
        <v/>
      </c>
      <c r="M60" s="11"/>
      <c r="N60" s="17" t="str">
        <f t="shared" si="1"/>
        <v/>
      </c>
      <c r="O60" s="11" t="str">
        <f>IF(P60='Sheet1-指标体系'!$J$6,COUNTIF(月度明细!J705:J741,"&gt;0")/P60,"")</f>
        <v/>
      </c>
      <c r="P60" s="9">
        <f>COUNT(月度明细!J705:J741)</f>
        <v>21</v>
      </c>
      <c r="Q60" s="9" t="s">
        <v>801</v>
      </c>
      <c r="R60" s="9">
        <v>14</v>
      </c>
      <c r="S60" s="9" t="s">
        <v>1078</v>
      </c>
    </row>
    <row r="61" ht="25" customHeight="1" spans="1:19">
      <c r="A61" s="9" t="s">
        <v>207</v>
      </c>
      <c r="B61" s="9" t="s">
        <v>206</v>
      </c>
      <c r="C61" s="9" t="s">
        <v>1081</v>
      </c>
      <c r="D61" s="10">
        <v>45652</v>
      </c>
      <c r="E61" s="10">
        <v>46269</v>
      </c>
      <c r="F61" s="10">
        <f>净值原始!C6113</f>
        <v>45652</v>
      </c>
      <c r="G61" s="10">
        <f>净值原始!C6209</f>
        <v>46269</v>
      </c>
      <c r="H61" s="15">
        <f>净值原始!F6113</f>
        <v>1</v>
      </c>
      <c r="I61" s="15">
        <f>净值原始!F6209</f>
        <v>1.0458</v>
      </c>
      <c r="J61" s="9">
        <f t="shared" si="0"/>
        <v>617</v>
      </c>
      <c r="K61" s="9" t="s">
        <v>1025</v>
      </c>
      <c r="L61" s="11">
        <f>IF(AND(K61="可计算",COUNT(H61:J61)=3,H61&gt;0,I61&gt;0,J61&gt;0),(I61/H61)^('Sheet1-指标体系'!$J$30/J61)-1,"")</f>
        <v>0.0268458961775353</v>
      </c>
      <c r="M61" s="11">
        <f>MAX(净值原始!I6113:I6209)</f>
        <v>0.0678208102802071</v>
      </c>
      <c r="N61" s="17">
        <f t="shared" si="1"/>
        <v>0.395835674428237</v>
      </c>
      <c r="O61" s="11"/>
      <c r="P61" s="9"/>
      <c r="Q61" s="9" t="s">
        <v>801</v>
      </c>
      <c r="R61" s="9">
        <v>14</v>
      </c>
      <c r="S61" s="9" t="s">
        <v>1078</v>
      </c>
    </row>
    <row r="62" ht="25" customHeight="1" spans="1:19">
      <c r="A62" s="9" t="s">
        <v>231</v>
      </c>
      <c r="B62" s="9" t="s">
        <v>229</v>
      </c>
      <c r="C62" s="9" t="s">
        <v>1077</v>
      </c>
      <c r="D62" s="10">
        <v>45904</v>
      </c>
      <c r="E62" s="10">
        <v>46269</v>
      </c>
      <c r="F62" s="10">
        <f>净值原始!C7079</f>
        <v>45898</v>
      </c>
      <c r="G62" s="10">
        <f>净值原始!C7143</f>
        <v>46265</v>
      </c>
      <c r="H62" s="15">
        <f>净值原始!F7079</f>
        <v>1.4244</v>
      </c>
      <c r="I62" s="15">
        <f>净值原始!F7143</f>
        <v>1.5806</v>
      </c>
      <c r="J62" s="9">
        <f t="shared" si="0"/>
        <v>367</v>
      </c>
      <c r="K62" s="9" t="s">
        <v>1025</v>
      </c>
      <c r="L62" s="11">
        <f>IF(AND(K62="可计算",COUNT(H62:J62)=3,H62&gt;0,I62&gt;0,J62&gt;0),(I62/H62)^('Sheet1-指标体系'!$J$30/J62)-1,"")</f>
        <v>0.109031152301643</v>
      </c>
      <c r="M62" s="11">
        <f>MAX(净值原始!K7079:K7143)</f>
        <v>0.00826733361122689</v>
      </c>
      <c r="N62" s="17">
        <f t="shared" si="1"/>
        <v>13.1881882876458</v>
      </c>
      <c r="O62" s="11" t="str">
        <f>IF(P62='Sheet1-指标体系'!$J$5,COUNTIF(月度明细!J766:J778,"&gt;0")/P62,"")</f>
        <v/>
      </c>
      <c r="P62" s="9">
        <f>COUNT(月度明细!J766:J778)</f>
        <v>12</v>
      </c>
      <c r="Q62" s="9" t="s">
        <v>804</v>
      </c>
      <c r="R62" s="9">
        <v>14</v>
      </c>
      <c r="S62" s="9" t="s">
        <v>1084</v>
      </c>
    </row>
    <row r="63" ht="25" customHeight="1" spans="1:19">
      <c r="A63" s="9" t="s">
        <v>231</v>
      </c>
      <c r="B63" s="9" t="s">
        <v>229</v>
      </c>
      <c r="C63" s="9" t="s">
        <v>1079</v>
      </c>
      <c r="D63" s="10">
        <v>45173</v>
      </c>
      <c r="E63" s="10">
        <v>46269</v>
      </c>
      <c r="F63" s="10">
        <f>净值原始!C6779</f>
        <v>45173</v>
      </c>
      <c r="G63" s="10">
        <f>净值原始!C7143</f>
        <v>46265</v>
      </c>
      <c r="H63" s="15">
        <f>净值原始!F6779</f>
        <v>1.2542</v>
      </c>
      <c r="I63" s="15">
        <f>净值原始!F7143</f>
        <v>1.5806</v>
      </c>
      <c r="J63" s="9">
        <f t="shared" si="0"/>
        <v>1092</v>
      </c>
      <c r="K63" s="9" t="s">
        <v>1025</v>
      </c>
      <c r="L63" s="11">
        <f>IF(AND(K63="可计算",COUNT(H63:J63)=3,H63&gt;0,I63&gt;0,J63&gt;0),(I63/H63)^('Sheet1-指标体系'!$J$30/J63)-1,"")</f>
        <v>0.0803812845919136</v>
      </c>
      <c r="M63" s="11">
        <f>MAX(净值原始!M6779:M7143)</f>
        <v>0.00826733361122689</v>
      </c>
      <c r="N63" s="17">
        <f t="shared" si="1"/>
        <v>9.72275807072274</v>
      </c>
      <c r="O63" s="11" t="str">
        <f>IF(P63='Sheet1-指标体系'!$J$6,COUNTIF(月度明细!J742:J778,"&gt;0")/P63,"")</f>
        <v/>
      </c>
      <c r="P63" s="9">
        <f>COUNT(月度明细!J742:J778)</f>
        <v>36</v>
      </c>
      <c r="Q63" s="9" t="s">
        <v>804</v>
      </c>
      <c r="R63" s="9">
        <v>14</v>
      </c>
      <c r="S63" s="9" t="s">
        <v>1084</v>
      </c>
    </row>
    <row r="64" ht="25" customHeight="1" spans="1:19">
      <c r="A64" s="9" t="s">
        <v>231</v>
      </c>
      <c r="B64" s="9" t="s">
        <v>229</v>
      </c>
      <c r="C64" s="9" t="s">
        <v>1081</v>
      </c>
      <c r="D64" s="10">
        <v>44323</v>
      </c>
      <c r="E64" s="10">
        <v>46269</v>
      </c>
      <c r="F64" s="10">
        <f>净值原始!C6211</f>
        <v>44323</v>
      </c>
      <c r="G64" s="10">
        <f>净值原始!C7143</f>
        <v>46265</v>
      </c>
      <c r="H64" s="15">
        <f>净值原始!F6211</f>
        <v>1</v>
      </c>
      <c r="I64" s="15">
        <f>净值原始!F7143</f>
        <v>1.5806</v>
      </c>
      <c r="J64" s="9">
        <f t="shared" si="0"/>
        <v>1942</v>
      </c>
      <c r="K64" s="9" t="s">
        <v>1025</v>
      </c>
      <c r="L64" s="11">
        <f>IF(AND(K64="可计算",COUNT(H64:J64)=3,H64&gt;0,I64&gt;0,J64&gt;0),(I64/H64)^('Sheet1-指标体系'!$J$30/J64)-1,"")</f>
        <v>0.0898549556576955</v>
      </c>
      <c r="M64" s="11">
        <f>MAX(净值原始!I6211:I7143)</f>
        <v>0.00826733361122689</v>
      </c>
      <c r="N64" s="17">
        <f t="shared" si="1"/>
        <v>10.8686742162762</v>
      </c>
      <c r="O64" s="11"/>
      <c r="P64" s="9"/>
      <c r="Q64" s="9" t="s">
        <v>804</v>
      </c>
      <c r="R64" s="9">
        <v>14</v>
      </c>
      <c r="S64" s="9" t="s">
        <v>1084</v>
      </c>
    </row>
    <row r="65" ht="25" customHeight="1" spans="1:19">
      <c r="A65" s="9" t="s">
        <v>343</v>
      </c>
      <c r="B65" s="9" t="s">
        <v>342</v>
      </c>
      <c r="C65" s="9" t="s">
        <v>1077</v>
      </c>
      <c r="D65" s="10">
        <v>45904</v>
      </c>
      <c r="E65" s="10">
        <v>46269</v>
      </c>
      <c r="F65" s="10"/>
      <c r="G65" s="10">
        <f>净值原始!C7308</f>
        <v>46269</v>
      </c>
      <c r="H65" s="15"/>
      <c r="I65" s="15">
        <f>净值原始!F7308</f>
        <v>1.337</v>
      </c>
      <c r="J65" s="9" t="str">
        <f t="shared" si="0"/>
        <v/>
      </c>
      <c r="K65" s="9" t="s">
        <v>1080</v>
      </c>
      <c r="L65" s="11" t="str">
        <f>IF(AND(K65="可计算",COUNT(H65:J65)=3,H65&gt;0,I65&gt;0,J65&gt;0),(I65/H65)^('Sheet1-指标体系'!$J$30/J65)-1,"")</f>
        <v/>
      </c>
      <c r="M65" s="11"/>
      <c r="N65" s="17" t="str">
        <f t="shared" si="1"/>
        <v/>
      </c>
      <c r="O65" s="11" t="str">
        <f>IF(P65='Sheet1-指标体系'!$J$5,COUNTIF(月度明细!J803:J815,"&gt;0")/P65,"")</f>
        <v/>
      </c>
      <c r="P65" s="9">
        <f>COUNT(月度明细!J803:J815)</f>
        <v>9</v>
      </c>
      <c r="Q65" s="9" t="s">
        <v>1015</v>
      </c>
      <c r="R65" s="9">
        <v>11</v>
      </c>
      <c r="S65" s="9" t="s">
        <v>1084</v>
      </c>
    </row>
    <row r="66" ht="25" customHeight="1" spans="1:19">
      <c r="A66" s="9" t="s">
        <v>343</v>
      </c>
      <c r="B66" s="9" t="s">
        <v>342</v>
      </c>
      <c r="C66" s="9" t="s">
        <v>1079</v>
      </c>
      <c r="D66" s="10">
        <v>45173</v>
      </c>
      <c r="E66" s="10">
        <v>46269</v>
      </c>
      <c r="F66" s="10"/>
      <c r="G66" s="10">
        <f>净值原始!C7308</f>
        <v>46269</v>
      </c>
      <c r="H66" s="15"/>
      <c r="I66" s="15">
        <f>净值原始!F7308</f>
        <v>1.337</v>
      </c>
      <c r="J66" s="9" t="str">
        <f t="shared" ref="J66:J79" si="2">IF(COUNT(F66:G66)=2,G66-F66,"")</f>
        <v/>
      </c>
      <c r="K66" s="9" t="s">
        <v>1080</v>
      </c>
      <c r="L66" s="11" t="str">
        <f>IF(AND(K66="可计算",COUNT(H66:J66)=3,H66&gt;0,I66&gt;0,J66&gt;0),(I66/H66)^('Sheet1-指标体系'!$J$30/J66)-1,"")</f>
        <v/>
      </c>
      <c r="M66" s="11"/>
      <c r="N66" s="17" t="str">
        <f t="shared" ref="N66:N79" si="3">IF(COUNT(L66:M66)&lt;&gt;2,"",IF(M66=0,"",L66/M66))</f>
        <v/>
      </c>
      <c r="O66" s="11" t="str">
        <f>IF(P66='Sheet1-指标体系'!$J$6,COUNTIF(月度明细!J779:J815,"&gt;0")/P66,"")</f>
        <v/>
      </c>
      <c r="P66" s="9">
        <f>COUNT(月度明细!J779:J815)</f>
        <v>9</v>
      </c>
      <c r="Q66" s="9" t="s">
        <v>1015</v>
      </c>
      <c r="R66" s="9">
        <v>11</v>
      </c>
      <c r="S66" s="9" t="s">
        <v>1084</v>
      </c>
    </row>
    <row r="67" ht="25" customHeight="1" spans="1:19">
      <c r="A67" s="9" t="s">
        <v>343</v>
      </c>
      <c r="B67" s="9" t="s">
        <v>342</v>
      </c>
      <c r="C67" s="9" t="s">
        <v>1081</v>
      </c>
      <c r="D67" s="10">
        <v>44893</v>
      </c>
      <c r="E67" s="10">
        <v>46269</v>
      </c>
      <c r="F67" s="10"/>
      <c r="G67" s="10">
        <f>净值原始!C7308</f>
        <v>46269</v>
      </c>
      <c r="H67" s="15"/>
      <c r="I67" s="15">
        <f>净值原始!F7308</f>
        <v>1.337</v>
      </c>
      <c r="J67" s="9" t="str">
        <f t="shared" si="2"/>
        <v/>
      </c>
      <c r="K67" s="9" t="s">
        <v>1082</v>
      </c>
      <c r="L67" s="11" t="str">
        <f>IF(AND(K67="可计算",COUNT(H67:J67)=3,H67&gt;0,I67&gt;0,J67&gt;0),(I67/H67)^('Sheet1-指标体系'!$J$30/J67)-1,"")</f>
        <v/>
      </c>
      <c r="M67" s="11"/>
      <c r="N67" s="17" t="str">
        <f t="shared" si="3"/>
        <v/>
      </c>
      <c r="O67" s="11"/>
      <c r="P67" s="9"/>
      <c r="Q67" s="9" t="s">
        <v>1015</v>
      </c>
      <c r="R67" s="9">
        <v>11</v>
      </c>
      <c r="S67" s="9" t="s">
        <v>1084</v>
      </c>
    </row>
    <row r="68" ht="25" customHeight="1" spans="1:19">
      <c r="A68" s="9" t="s">
        <v>194</v>
      </c>
      <c r="B68" s="9" t="s">
        <v>193</v>
      </c>
      <c r="C68" s="9" t="s">
        <v>1077</v>
      </c>
      <c r="D68" s="10">
        <v>45904</v>
      </c>
      <c r="E68" s="10">
        <v>46269</v>
      </c>
      <c r="F68" s="10">
        <f>净值原始!C7345</f>
        <v>45898</v>
      </c>
      <c r="G68" s="10">
        <f>净值原始!C7399</f>
        <v>46265</v>
      </c>
      <c r="H68" s="15">
        <f>净值原始!F7345</f>
        <v>1.0481</v>
      </c>
      <c r="I68" s="15">
        <f>净值原始!F7399</f>
        <v>1.3824</v>
      </c>
      <c r="J68" s="9">
        <f t="shared" si="2"/>
        <v>367</v>
      </c>
      <c r="K68" s="9" t="s">
        <v>1025</v>
      </c>
      <c r="L68" s="11">
        <f>IF(AND(K68="可计算",COUNT(H68:J68)=3,H68&gt;0,I68&gt;0,J68&gt;0),(I68/H68)^('Sheet1-指标体系'!$J$30/J68)-1,"")</f>
        <v>0.316969734003115</v>
      </c>
      <c r="M68" s="11">
        <f>MAX(净值原始!K7345:K7399)</f>
        <v>0.00619998558142887</v>
      </c>
      <c r="N68" s="17">
        <f t="shared" si="3"/>
        <v>51.1242695390374</v>
      </c>
      <c r="O68" s="11" t="str">
        <f>IF(P68='Sheet1-指标体系'!$J$5,COUNTIF(月度明细!J840:J852,"&gt;0")/P68,"")</f>
        <v/>
      </c>
      <c r="P68" s="9">
        <f>COUNT(月度明细!J840:J852)</f>
        <v>12</v>
      </c>
      <c r="Q68" s="9" t="s">
        <v>798</v>
      </c>
      <c r="R68" s="9">
        <v>14</v>
      </c>
      <c r="S68" s="9" t="s">
        <v>1078</v>
      </c>
    </row>
    <row r="69" ht="25" customHeight="1" spans="1:19">
      <c r="A69" s="9" t="s">
        <v>194</v>
      </c>
      <c r="B69" s="9" t="s">
        <v>193</v>
      </c>
      <c r="C69" s="9" t="s">
        <v>1079</v>
      </c>
      <c r="D69" s="10">
        <v>45173</v>
      </c>
      <c r="E69" s="10">
        <v>46269</v>
      </c>
      <c r="F69" s="10"/>
      <c r="G69" s="10">
        <f>净值原始!C7399</f>
        <v>46265</v>
      </c>
      <c r="H69" s="15"/>
      <c r="I69" s="15">
        <f>净值原始!F7399</f>
        <v>1.3824</v>
      </c>
      <c r="J69" s="9" t="str">
        <f t="shared" si="2"/>
        <v/>
      </c>
      <c r="K69" s="9" t="s">
        <v>1080</v>
      </c>
      <c r="L69" s="11" t="str">
        <f>IF(AND(K69="可计算",COUNT(H69:J69)=3,H69&gt;0,I69&gt;0,J69&gt;0),(I69/H69)^('Sheet1-指标体系'!$J$30/J69)-1,"")</f>
        <v/>
      </c>
      <c r="M69" s="11"/>
      <c r="N69" s="17" t="str">
        <f t="shared" si="3"/>
        <v/>
      </c>
      <c r="O69" s="11" t="str">
        <f>IF(P69='Sheet1-指标体系'!$J$6,COUNTIF(月度明细!J816:J852,"&gt;0")/P69,"")</f>
        <v/>
      </c>
      <c r="P69" s="9">
        <f>COUNT(月度明细!J816:J852)</f>
        <v>18</v>
      </c>
      <c r="Q69" s="9" t="s">
        <v>798</v>
      </c>
      <c r="R69" s="9">
        <v>14</v>
      </c>
      <c r="S69" s="9" t="s">
        <v>1078</v>
      </c>
    </row>
    <row r="70" ht="25" customHeight="1" spans="1:19">
      <c r="A70" s="9" t="s">
        <v>194</v>
      </c>
      <c r="B70" s="9" t="s">
        <v>193</v>
      </c>
      <c r="C70" s="9" t="s">
        <v>1081</v>
      </c>
      <c r="D70" s="10">
        <v>45694</v>
      </c>
      <c r="E70" s="10">
        <v>46269</v>
      </c>
      <c r="F70" s="10">
        <f>净值原始!C7312</f>
        <v>45694</v>
      </c>
      <c r="G70" s="10">
        <f>净值原始!C7399</f>
        <v>46265</v>
      </c>
      <c r="H70" s="15">
        <f>净值原始!F7312</f>
        <v>1</v>
      </c>
      <c r="I70" s="15">
        <f>净值原始!F7399</f>
        <v>1.3824</v>
      </c>
      <c r="J70" s="9">
        <f t="shared" si="2"/>
        <v>571</v>
      </c>
      <c r="K70" s="9" t="s">
        <v>1025</v>
      </c>
      <c r="L70" s="11">
        <f>IF(AND(K70="可计算",COUNT(H70:J70)=3,H70&gt;0,I70&gt;0,J70&gt;0),(I70/H70)^('Sheet1-指标体系'!$J$30/J70)-1,"")</f>
        <v>0.22997763561791</v>
      </c>
      <c r="M70" s="11">
        <f>MAX(净值原始!I7312:I7399)</f>
        <v>0.00619998558142887</v>
      </c>
      <c r="N70" s="17">
        <f t="shared" si="3"/>
        <v>37.0932532983259</v>
      </c>
      <c r="O70" s="11"/>
      <c r="P70" s="9"/>
      <c r="Q70" s="9" t="s">
        <v>798</v>
      </c>
      <c r="R70" s="9">
        <v>14</v>
      </c>
      <c r="S70" s="9" t="s">
        <v>1078</v>
      </c>
    </row>
    <row r="71" ht="25" customHeight="1" spans="1:19">
      <c r="A71" s="9" t="s">
        <v>199</v>
      </c>
      <c r="B71" s="9" t="s">
        <v>198</v>
      </c>
      <c r="C71" s="9" t="s">
        <v>1077</v>
      </c>
      <c r="D71" s="10">
        <v>45904</v>
      </c>
      <c r="E71" s="10">
        <v>46269</v>
      </c>
      <c r="F71" s="10">
        <f>净值原始!C7421</f>
        <v>45898</v>
      </c>
      <c r="G71" s="10">
        <f>净值原始!C7476</f>
        <v>46269</v>
      </c>
      <c r="H71" s="15">
        <f>净值原始!F7421</f>
        <v>1.0196</v>
      </c>
      <c r="I71" s="15">
        <f>净值原始!F7476</f>
        <v>1.1362</v>
      </c>
      <c r="J71" s="9">
        <f t="shared" si="2"/>
        <v>371</v>
      </c>
      <c r="K71" s="9" t="s">
        <v>1025</v>
      </c>
      <c r="L71" s="11">
        <f>IF(AND(K71="可计算",COUNT(H71:J71)=3,H71&gt;0,I71&gt;0,J71&gt;0),(I71/H71)^('Sheet1-指标体系'!$J$30/J71)-1,"")</f>
        <v>0.112408879112008</v>
      </c>
      <c r="M71" s="11">
        <f>MAX(净值原始!K7421:K7476)</f>
        <v>0.00426811523911141</v>
      </c>
      <c r="N71" s="17">
        <f t="shared" si="3"/>
        <v>26.3368894264932</v>
      </c>
      <c r="O71" s="11">
        <f>IF(P71='Sheet1-指标体系'!$J$5,COUNTIF(月度明细!J877:J889,"&gt;0")/P71,"")</f>
        <v>0.846153846153846</v>
      </c>
      <c r="P71" s="9">
        <f>COUNT(月度明细!J877:J889)</f>
        <v>13</v>
      </c>
      <c r="Q71" s="9" t="s">
        <v>799</v>
      </c>
      <c r="R71" s="9">
        <v>14</v>
      </c>
      <c r="S71" s="9" t="s">
        <v>1078</v>
      </c>
    </row>
    <row r="72" ht="25" customHeight="1" spans="1:19">
      <c r="A72" s="9" t="s">
        <v>199</v>
      </c>
      <c r="B72" s="9" t="s">
        <v>198</v>
      </c>
      <c r="C72" s="9" t="s">
        <v>1079</v>
      </c>
      <c r="D72" s="10">
        <v>45173</v>
      </c>
      <c r="E72" s="10">
        <v>46269</v>
      </c>
      <c r="F72" s="10"/>
      <c r="G72" s="10">
        <f>净值原始!C7476</f>
        <v>46269</v>
      </c>
      <c r="H72" s="15"/>
      <c r="I72" s="15">
        <f>净值原始!F7476</f>
        <v>1.1362</v>
      </c>
      <c r="J72" s="9" t="str">
        <f t="shared" si="2"/>
        <v/>
      </c>
      <c r="K72" s="9" t="s">
        <v>1080</v>
      </c>
      <c r="L72" s="11" t="str">
        <f>IF(AND(K72="可计算",COUNT(H72:J72)=3,H72&gt;0,I72&gt;0,J72&gt;0),(I72/H72)^('Sheet1-指标体系'!$J$30/J72)-1,"")</f>
        <v/>
      </c>
      <c r="M72" s="11"/>
      <c r="N72" s="17" t="str">
        <f t="shared" si="3"/>
        <v/>
      </c>
      <c r="O72" s="11" t="str">
        <f>IF(P72='Sheet1-指标体系'!$J$6,COUNTIF(月度明细!J853:J889,"&gt;0")/P72,"")</f>
        <v/>
      </c>
      <c r="P72" s="9">
        <f>COUNT(月度明细!J853:J889)</f>
        <v>17</v>
      </c>
      <c r="Q72" s="9" t="s">
        <v>799</v>
      </c>
      <c r="R72" s="9">
        <v>14</v>
      </c>
      <c r="S72" s="9" t="s">
        <v>1078</v>
      </c>
    </row>
    <row r="73" ht="25" customHeight="1" spans="1:19">
      <c r="A73" s="9" t="s">
        <v>199</v>
      </c>
      <c r="B73" s="9" t="s">
        <v>198</v>
      </c>
      <c r="C73" s="9" t="s">
        <v>1081</v>
      </c>
      <c r="D73" s="10">
        <v>45749</v>
      </c>
      <c r="E73" s="10">
        <v>46269</v>
      </c>
      <c r="F73" s="10"/>
      <c r="G73" s="10">
        <f>净值原始!C7476</f>
        <v>46269</v>
      </c>
      <c r="H73" s="15"/>
      <c r="I73" s="15">
        <f>净值原始!F7476</f>
        <v>1.1362</v>
      </c>
      <c r="J73" s="9" t="str">
        <f t="shared" si="2"/>
        <v/>
      </c>
      <c r="K73" s="9" t="s">
        <v>1082</v>
      </c>
      <c r="L73" s="11" t="str">
        <f>IF(AND(K73="可计算",COUNT(H73:J73)=3,H73&gt;0,I73&gt;0,J73&gt;0),(I73/H73)^('Sheet1-指标体系'!$J$30/J73)-1,"")</f>
        <v/>
      </c>
      <c r="M73" s="11"/>
      <c r="N73" s="17" t="str">
        <f t="shared" si="3"/>
        <v/>
      </c>
      <c r="O73" s="11"/>
      <c r="P73" s="9"/>
      <c r="Q73" s="9" t="s">
        <v>799</v>
      </c>
      <c r="R73" s="9">
        <v>14</v>
      </c>
      <c r="S73" s="9" t="s">
        <v>1078</v>
      </c>
    </row>
    <row r="74" ht="25" customHeight="1" spans="1:19">
      <c r="A74" s="9" t="s">
        <v>203</v>
      </c>
      <c r="B74" s="9" t="s">
        <v>202</v>
      </c>
      <c r="C74" s="9" t="s">
        <v>1077</v>
      </c>
      <c r="D74" s="10">
        <v>45904</v>
      </c>
      <c r="E74" s="10">
        <v>46269</v>
      </c>
      <c r="F74" s="10">
        <f>净值原始!C7491</f>
        <v>45898</v>
      </c>
      <c r="G74" s="10">
        <f>净值原始!C7550</f>
        <v>46265</v>
      </c>
      <c r="H74" s="15">
        <f>净值原始!F7491</f>
        <v>1.0222</v>
      </c>
      <c r="I74" s="15">
        <f>净值原始!F7550</f>
        <v>1.1099</v>
      </c>
      <c r="J74" s="9">
        <f t="shared" si="2"/>
        <v>367</v>
      </c>
      <c r="K74" s="9" t="s">
        <v>1025</v>
      </c>
      <c r="L74" s="11">
        <f>IF(AND(K74="可计算",COUNT(H74:J74)=3,H74&gt;0,I74&gt;0,J74&gt;0),(I74/H74)^('Sheet1-指标体系'!$J$30/J74)-1,"")</f>
        <v>0.0853083964433377</v>
      </c>
      <c r="M74" s="11">
        <f>MAX(净值原始!K7491:K7550)</f>
        <v>0.00417435200465976</v>
      </c>
      <c r="N74" s="17">
        <f t="shared" si="3"/>
        <v>20.4363207386701</v>
      </c>
      <c r="O74" s="11" t="str">
        <f>IF(P74='Sheet1-指标体系'!$J$5,COUNTIF(月度明细!J914:J926,"&gt;0")/P74,"")</f>
        <v/>
      </c>
      <c r="P74" s="9">
        <f>COUNT(月度明细!J914:J926)</f>
        <v>12</v>
      </c>
      <c r="Q74" s="9" t="s">
        <v>800</v>
      </c>
      <c r="R74" s="9">
        <v>14</v>
      </c>
      <c r="S74" s="9" t="s">
        <v>1078</v>
      </c>
    </row>
    <row r="75" ht="25" customHeight="1" spans="1:19">
      <c r="A75" s="9" t="s">
        <v>203</v>
      </c>
      <c r="B75" s="9" t="s">
        <v>202</v>
      </c>
      <c r="C75" s="9" t="s">
        <v>1079</v>
      </c>
      <c r="D75" s="10">
        <v>45173</v>
      </c>
      <c r="E75" s="10">
        <v>46269</v>
      </c>
      <c r="F75" s="10"/>
      <c r="G75" s="10">
        <f>净值原始!C7550</f>
        <v>46265</v>
      </c>
      <c r="H75" s="15"/>
      <c r="I75" s="15">
        <f>净值原始!F7550</f>
        <v>1.1099</v>
      </c>
      <c r="J75" s="9" t="str">
        <f t="shared" si="2"/>
        <v/>
      </c>
      <c r="K75" s="9" t="s">
        <v>1080</v>
      </c>
      <c r="L75" s="11" t="str">
        <f>IF(AND(K75="可计算",COUNT(H75:J75)=3,H75&gt;0,I75&gt;0,J75&gt;0),(I75/H75)^('Sheet1-指标体系'!$J$30/J75)-1,"")</f>
        <v/>
      </c>
      <c r="M75" s="11"/>
      <c r="N75" s="17" t="str">
        <f t="shared" si="3"/>
        <v/>
      </c>
      <c r="O75" s="11" t="str">
        <f>IF(P75='Sheet1-指标体系'!$J$6,COUNTIF(月度明细!J890:J926,"&gt;0")/P75,"")</f>
        <v/>
      </c>
      <c r="P75" s="9">
        <f>COUNT(月度明细!J890:J926)</f>
        <v>14</v>
      </c>
      <c r="Q75" s="9" t="s">
        <v>800</v>
      </c>
      <c r="R75" s="9">
        <v>14</v>
      </c>
      <c r="S75" s="9" t="s">
        <v>1078</v>
      </c>
    </row>
    <row r="76" ht="25" customHeight="1" spans="1:19">
      <c r="A76" s="9" t="s">
        <v>203</v>
      </c>
      <c r="B76" s="9" t="s">
        <v>202</v>
      </c>
      <c r="C76" s="9" t="s">
        <v>1081</v>
      </c>
      <c r="D76" s="10">
        <v>45818</v>
      </c>
      <c r="E76" s="10">
        <v>46269</v>
      </c>
      <c r="F76" s="10"/>
      <c r="G76" s="10">
        <f>净值原始!C7550</f>
        <v>46265</v>
      </c>
      <c r="H76" s="15"/>
      <c r="I76" s="15">
        <f>净值原始!F7550</f>
        <v>1.1099</v>
      </c>
      <c r="J76" s="9" t="str">
        <f t="shared" si="2"/>
        <v/>
      </c>
      <c r="K76" s="9" t="s">
        <v>1082</v>
      </c>
      <c r="L76" s="11" t="str">
        <f>IF(AND(K76="可计算",COUNT(H76:J76)=3,H76&gt;0,I76&gt;0,J76&gt;0),(I76/H76)^('Sheet1-指标体系'!$J$30/J76)-1,"")</f>
        <v/>
      </c>
      <c r="M76" s="11"/>
      <c r="N76" s="17" t="str">
        <f t="shared" si="3"/>
        <v/>
      </c>
      <c r="O76" s="11"/>
      <c r="P76" s="9"/>
      <c r="Q76" s="9" t="s">
        <v>800</v>
      </c>
      <c r="R76" s="9">
        <v>14</v>
      </c>
      <c r="S76" s="9" t="s">
        <v>1078</v>
      </c>
    </row>
    <row r="77" ht="25" customHeight="1" spans="1:19">
      <c r="A77" s="9" t="s">
        <v>260</v>
      </c>
      <c r="B77" s="9" t="s">
        <v>259</v>
      </c>
      <c r="C77" s="9" t="s">
        <v>1077</v>
      </c>
      <c r="D77" s="10">
        <v>45904</v>
      </c>
      <c r="E77" s="10">
        <v>46269</v>
      </c>
      <c r="F77" s="10"/>
      <c r="G77" s="10">
        <f>净值原始!C7632</f>
        <v>46269</v>
      </c>
      <c r="H77" s="15"/>
      <c r="I77" s="15">
        <f>净值原始!F7632</f>
        <v>1.1383</v>
      </c>
      <c r="J77" s="9" t="str">
        <f t="shared" si="2"/>
        <v/>
      </c>
      <c r="K77" s="9" t="s">
        <v>1080</v>
      </c>
      <c r="L77" s="11" t="str">
        <f>IF(AND(K77="可计算",COUNT(H77:J77)=3,H77&gt;0,I77&gt;0,J77&gt;0),(I77/H77)^('Sheet1-指标体系'!$J$30/J77)-1,"")</f>
        <v/>
      </c>
      <c r="M77" s="11"/>
      <c r="N77" s="17" t="str">
        <f t="shared" si="3"/>
        <v/>
      </c>
      <c r="O77" s="11" t="str">
        <f>IF(P77='Sheet1-指标体系'!$J$5,COUNTIF(月度明细!J951:J963,"&gt;0")/P77,"")</f>
        <v/>
      </c>
      <c r="P77" s="9">
        <f>COUNT(月度明细!J951:J963)</f>
        <v>4</v>
      </c>
      <c r="Q77" s="9" t="s">
        <v>1016</v>
      </c>
      <c r="R77" s="9">
        <v>4</v>
      </c>
      <c r="S77" s="9" t="s">
        <v>1084</v>
      </c>
    </row>
    <row r="78" ht="25" customHeight="1" spans="1:19">
      <c r="A78" s="9" t="s">
        <v>260</v>
      </c>
      <c r="B78" s="9" t="s">
        <v>259</v>
      </c>
      <c r="C78" s="9" t="s">
        <v>1079</v>
      </c>
      <c r="D78" s="10">
        <v>45173</v>
      </c>
      <c r="E78" s="10">
        <v>46269</v>
      </c>
      <c r="F78" s="10"/>
      <c r="G78" s="10">
        <f>净值原始!C7632</f>
        <v>46269</v>
      </c>
      <c r="H78" s="15"/>
      <c r="I78" s="15">
        <f>净值原始!F7632</f>
        <v>1.1383</v>
      </c>
      <c r="J78" s="9" t="str">
        <f t="shared" si="2"/>
        <v/>
      </c>
      <c r="K78" s="9" t="s">
        <v>1080</v>
      </c>
      <c r="L78" s="11" t="str">
        <f>IF(AND(K78="可计算",COUNT(H78:J78)=3,H78&gt;0,I78&gt;0,J78&gt;0),(I78/H78)^('Sheet1-指标体系'!$J$30/J78)-1,"")</f>
        <v/>
      </c>
      <c r="M78" s="11"/>
      <c r="N78" s="17" t="str">
        <f t="shared" si="3"/>
        <v/>
      </c>
      <c r="O78" s="11" t="str">
        <f>IF(P78='Sheet1-指标体系'!$J$6,COUNTIF(月度明细!J927:J963,"&gt;0")/P78,"")</f>
        <v/>
      </c>
      <c r="P78" s="9">
        <f>COUNT(月度明细!J927:J963)</f>
        <v>4</v>
      </c>
      <c r="Q78" s="9" t="s">
        <v>1016</v>
      </c>
      <c r="R78" s="9">
        <v>4</v>
      </c>
      <c r="S78" s="9" t="s">
        <v>1084</v>
      </c>
    </row>
    <row r="79" ht="25" customHeight="1" spans="1:19">
      <c r="A79" s="9" t="s">
        <v>260</v>
      </c>
      <c r="B79" s="9" t="s">
        <v>259</v>
      </c>
      <c r="C79" s="9" t="s">
        <v>1081</v>
      </c>
      <c r="D79" s="10">
        <v>45096</v>
      </c>
      <c r="E79" s="10">
        <v>46269</v>
      </c>
      <c r="F79" s="10"/>
      <c r="G79" s="10">
        <f>净值原始!C7632</f>
        <v>46269</v>
      </c>
      <c r="H79" s="15"/>
      <c r="I79" s="15">
        <f>净值原始!F7632</f>
        <v>1.1383</v>
      </c>
      <c r="J79" s="9" t="str">
        <f t="shared" si="2"/>
        <v/>
      </c>
      <c r="K79" s="9" t="s">
        <v>1082</v>
      </c>
      <c r="L79" s="11" t="str">
        <f>IF(AND(K79="可计算",COUNT(H79:J79)=3,H79&gt;0,I79&gt;0,J79&gt;0),(I79/H79)^('Sheet1-指标体系'!$J$30/J79)-1,"")</f>
        <v/>
      </c>
      <c r="M79" s="11"/>
      <c r="N79" s="17" t="str">
        <f t="shared" si="3"/>
        <v/>
      </c>
      <c r="O79" s="11"/>
      <c r="P79" s="9"/>
      <c r="Q79" s="9" t="s">
        <v>1016</v>
      </c>
      <c r="R79" s="9">
        <v>4</v>
      </c>
      <c r="S79" s="9" t="s">
        <v>1084</v>
      </c>
    </row>
  </sheetData>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2"/>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6.8"/>
  <cols>
    <col min="1" max="1" width="15" customWidth="1"/>
    <col min="2" max="2" width="30" customWidth="1"/>
    <col min="3" max="6" width="15" customWidth="1"/>
    <col min="7" max="11" width="43" customWidth="1"/>
  </cols>
  <sheetData>
    <row r="1" ht="43" customHeight="1" spans="1:11">
      <c r="A1" s="7" t="s">
        <v>673</v>
      </c>
      <c r="B1" s="8" t="s">
        <v>2</v>
      </c>
      <c r="C1" s="8" t="s">
        <v>1085</v>
      </c>
      <c r="D1" s="8" t="s">
        <v>1086</v>
      </c>
      <c r="E1" s="8" t="s">
        <v>1087</v>
      </c>
      <c r="F1" s="8" t="s">
        <v>1088</v>
      </c>
      <c r="G1" s="8" t="s">
        <v>1089</v>
      </c>
      <c r="H1" s="8" t="s">
        <v>1090</v>
      </c>
      <c r="I1" s="8" t="s">
        <v>1009</v>
      </c>
      <c r="J1" s="8" t="s">
        <v>1091</v>
      </c>
      <c r="K1" s="14" t="s">
        <v>1092</v>
      </c>
    </row>
    <row r="2" ht="25" customHeight="1" spans="1:11">
      <c r="A2" s="9" t="s">
        <v>53</v>
      </c>
      <c r="B2" s="9" t="s">
        <v>49</v>
      </c>
      <c r="C2" s="9" t="s">
        <v>1093</v>
      </c>
      <c r="D2" s="9" t="s">
        <v>1094</v>
      </c>
      <c r="E2" s="9" t="s">
        <v>770</v>
      </c>
      <c r="F2" s="15"/>
      <c r="G2" s="15">
        <f>IF(ISNUMBER('Sheet4-原始数据'!G3),'Sheet4-原始数据'!G3,"")</f>
        <v>0.456756079869705</v>
      </c>
      <c r="H2" s="9" t="s">
        <v>1095</v>
      </c>
      <c r="I2" s="9" t="s">
        <v>789</v>
      </c>
      <c r="J2" s="10">
        <v>46269</v>
      </c>
      <c r="K2" s="9">
        <v>32</v>
      </c>
    </row>
    <row r="3" ht="25" customHeight="1" spans="1:11">
      <c r="A3" s="9" t="s">
        <v>53</v>
      </c>
      <c r="B3" s="9" t="s">
        <v>49</v>
      </c>
      <c r="C3" s="9" t="s">
        <v>1093</v>
      </c>
      <c r="D3" s="9" t="s">
        <v>1096</v>
      </c>
      <c r="E3" s="9" t="s">
        <v>771</v>
      </c>
      <c r="F3" s="15"/>
      <c r="G3" s="15">
        <f>IF(ISNUMBER('Sheet4-原始数据'!H3),'Sheet4-原始数据'!H3,"")</f>
        <v>0.245457942277343</v>
      </c>
      <c r="H3" s="9" t="s">
        <v>1095</v>
      </c>
      <c r="I3" s="9" t="s">
        <v>789</v>
      </c>
      <c r="J3" s="10">
        <v>46269</v>
      </c>
      <c r="K3" s="9">
        <v>33</v>
      </c>
    </row>
    <row r="4" ht="25" customHeight="1" spans="1:11">
      <c r="A4" s="9" t="s">
        <v>53</v>
      </c>
      <c r="B4" s="9" t="s">
        <v>49</v>
      </c>
      <c r="C4" s="9" t="s">
        <v>1093</v>
      </c>
      <c r="D4" s="9" t="s">
        <v>1097</v>
      </c>
      <c r="E4" s="9" t="s">
        <v>772</v>
      </c>
      <c r="F4" s="15"/>
      <c r="G4" s="15">
        <f>IF(ISNUMBER('Sheet4-原始数据'!I3),'Sheet4-原始数据'!I3,"")</f>
        <v>0.648648648648649</v>
      </c>
      <c r="H4" s="9" t="s">
        <v>1095</v>
      </c>
      <c r="I4" s="9" t="s">
        <v>789</v>
      </c>
      <c r="J4" s="10">
        <v>46269</v>
      </c>
      <c r="K4" s="9">
        <v>33</v>
      </c>
    </row>
    <row r="5" ht="25" customHeight="1" spans="1:11">
      <c r="A5" s="9" t="s">
        <v>53</v>
      </c>
      <c r="B5" s="9" t="s">
        <v>49</v>
      </c>
      <c r="C5" s="9" t="s">
        <v>1093</v>
      </c>
      <c r="D5" s="9" t="s">
        <v>1098</v>
      </c>
      <c r="E5" s="9" t="s">
        <v>773</v>
      </c>
      <c r="F5" s="15"/>
      <c r="G5" s="15">
        <f>IF(ISNUMBER('Sheet4-原始数据'!J3),'Sheet4-原始数据'!J3,"")</f>
        <v>0.692307692307692</v>
      </c>
      <c r="H5" s="9" t="s">
        <v>1095</v>
      </c>
      <c r="I5" s="9" t="s">
        <v>789</v>
      </c>
      <c r="J5" s="10">
        <v>46269</v>
      </c>
      <c r="K5" s="9">
        <v>32</v>
      </c>
    </row>
    <row r="6" ht="25" customHeight="1" spans="1:11">
      <c r="A6" s="9" t="s">
        <v>53</v>
      </c>
      <c r="B6" s="9" t="s">
        <v>49</v>
      </c>
      <c r="C6" s="9" t="s">
        <v>1093</v>
      </c>
      <c r="D6" s="9" t="s">
        <v>1099</v>
      </c>
      <c r="E6" s="9" t="s">
        <v>774</v>
      </c>
      <c r="F6" s="15"/>
      <c r="G6" s="15">
        <f>IF(ISNUMBER('Sheet4-原始数据'!K3),'Sheet4-原始数据'!K3,"")</f>
        <v>0.130615358535345</v>
      </c>
      <c r="H6" s="9" t="s">
        <v>1095</v>
      </c>
      <c r="I6" s="9" t="s">
        <v>789</v>
      </c>
      <c r="J6" s="10">
        <v>46269</v>
      </c>
      <c r="K6" s="9">
        <v>33</v>
      </c>
    </row>
    <row r="7" ht="25" customHeight="1" spans="1:11">
      <c r="A7" s="9" t="s">
        <v>53</v>
      </c>
      <c r="B7" s="9" t="s">
        <v>49</v>
      </c>
      <c r="C7" s="9" t="s">
        <v>1093</v>
      </c>
      <c r="D7" s="9" t="s">
        <v>1100</v>
      </c>
      <c r="E7" s="9" t="s">
        <v>775</v>
      </c>
      <c r="F7" s="15"/>
      <c r="G7" s="15">
        <f>IF(ISNUMBER('Sheet4-原始数据'!L3),'Sheet4-原始数据'!L3,"")</f>
        <v>1.87924257169896</v>
      </c>
      <c r="H7" s="9" t="s">
        <v>1095</v>
      </c>
      <c r="I7" s="9" t="s">
        <v>789</v>
      </c>
      <c r="J7" s="10">
        <v>46269</v>
      </c>
      <c r="K7" s="9">
        <v>33</v>
      </c>
    </row>
    <row r="8" ht="25" customHeight="1" spans="1:11">
      <c r="A8" s="9" t="s">
        <v>53</v>
      </c>
      <c r="B8" s="9" t="s">
        <v>49</v>
      </c>
      <c r="C8" s="9" t="s">
        <v>1093</v>
      </c>
      <c r="D8" s="9" t="s">
        <v>1101</v>
      </c>
      <c r="E8" s="9" t="s">
        <v>776</v>
      </c>
      <c r="F8" s="15"/>
      <c r="G8" s="15">
        <f>IF(ISNUMBER('Sheet4-原始数据'!M3),'Sheet4-原始数据'!M3,"")</f>
        <v>3.49695537333081</v>
      </c>
      <c r="H8" s="9" t="s">
        <v>1095</v>
      </c>
      <c r="I8" s="9" t="s">
        <v>789</v>
      </c>
      <c r="J8" s="10">
        <v>46269</v>
      </c>
      <c r="K8" s="9">
        <v>32</v>
      </c>
    </row>
    <row r="9" ht="25" customHeight="1" spans="1:11">
      <c r="A9" s="9" t="s">
        <v>53</v>
      </c>
      <c r="B9" s="9" t="s">
        <v>49</v>
      </c>
      <c r="C9" s="9" t="s">
        <v>1093</v>
      </c>
      <c r="D9" s="9" t="s">
        <v>1102</v>
      </c>
      <c r="E9" s="9" t="s">
        <v>779</v>
      </c>
      <c r="F9" s="15"/>
      <c r="G9" s="15">
        <f>IF(ISNUMBER('Sheet4-原始数据'!S3),'Sheet4-原始数据'!S3,"")</f>
        <v>0.245415795828636</v>
      </c>
      <c r="H9" s="9" t="s">
        <v>1095</v>
      </c>
      <c r="I9" s="9" t="s">
        <v>789</v>
      </c>
      <c r="J9" s="10">
        <v>46269</v>
      </c>
      <c r="K9" s="9">
        <v>34</v>
      </c>
    </row>
    <row r="10" ht="25" customHeight="1" spans="1:11">
      <c r="A10" s="9" t="s">
        <v>90</v>
      </c>
      <c r="B10" s="9" t="s">
        <v>88</v>
      </c>
      <c r="C10" s="9" t="s">
        <v>1093</v>
      </c>
      <c r="D10" s="9" t="s">
        <v>1103</v>
      </c>
      <c r="E10" s="9" t="s">
        <v>770</v>
      </c>
      <c r="F10" s="15"/>
      <c r="G10" s="15">
        <f>IF(ISNUMBER('Sheet4-原始数据'!G8),'Sheet4-原始数据'!G8,"")</f>
        <v>0.0729565217090635</v>
      </c>
      <c r="H10" s="9" t="s">
        <v>1095</v>
      </c>
      <c r="I10" s="9" t="s">
        <v>793</v>
      </c>
      <c r="J10" s="10">
        <v>46269</v>
      </c>
      <c r="K10" s="9">
        <v>26</v>
      </c>
    </row>
    <row r="11" ht="25" customHeight="1" spans="1:11">
      <c r="A11" s="9" t="s">
        <v>90</v>
      </c>
      <c r="B11" s="9" t="s">
        <v>88</v>
      </c>
      <c r="C11" s="9" t="s">
        <v>1093</v>
      </c>
      <c r="D11" s="9" t="s">
        <v>1104</v>
      </c>
      <c r="E11" s="9" t="s">
        <v>771</v>
      </c>
      <c r="F11" s="15"/>
      <c r="G11" s="15">
        <f>IF(ISNUMBER('Sheet4-原始数据'!H8),'Sheet4-原始数据'!H8,"")</f>
        <v>0.0620957413947367</v>
      </c>
      <c r="H11" s="9" t="s">
        <v>1095</v>
      </c>
      <c r="I11" s="9" t="s">
        <v>793</v>
      </c>
      <c r="J11" s="10">
        <v>46269</v>
      </c>
      <c r="K11" s="9">
        <v>27</v>
      </c>
    </row>
    <row r="12" ht="25" customHeight="1" spans="1:11">
      <c r="A12" s="9" t="s">
        <v>90</v>
      </c>
      <c r="B12" s="9" t="s">
        <v>88</v>
      </c>
      <c r="C12" s="9" t="s">
        <v>1093</v>
      </c>
      <c r="D12" s="9" t="s">
        <v>1105</v>
      </c>
      <c r="E12" s="9" t="s">
        <v>772</v>
      </c>
      <c r="F12" s="15"/>
      <c r="G12" s="15">
        <f>IF(ISNUMBER('Sheet4-原始数据'!I8),'Sheet4-原始数据'!I8,"")</f>
        <v>0.891891891891892</v>
      </c>
      <c r="H12" s="9" t="s">
        <v>1095</v>
      </c>
      <c r="I12" s="9" t="s">
        <v>793</v>
      </c>
      <c r="J12" s="10">
        <v>46269</v>
      </c>
      <c r="K12" s="9">
        <v>27</v>
      </c>
    </row>
    <row r="13" ht="25" customHeight="1" spans="1:11">
      <c r="A13" s="9" t="s">
        <v>90</v>
      </c>
      <c r="B13" s="9" t="s">
        <v>88</v>
      </c>
      <c r="C13" s="9" t="s">
        <v>1093</v>
      </c>
      <c r="D13" s="9" t="s">
        <v>1106</v>
      </c>
      <c r="E13" s="9" t="s">
        <v>773</v>
      </c>
      <c r="F13" s="15"/>
      <c r="G13" s="15">
        <f>IF(ISNUMBER('Sheet4-原始数据'!J8),'Sheet4-原始数据'!J8,"")</f>
        <v>1</v>
      </c>
      <c r="H13" s="9" t="s">
        <v>1095</v>
      </c>
      <c r="I13" s="9" t="s">
        <v>793</v>
      </c>
      <c r="J13" s="10">
        <v>46269</v>
      </c>
      <c r="K13" s="9">
        <v>26</v>
      </c>
    </row>
    <row r="14" ht="25" customHeight="1" spans="1:11">
      <c r="A14" s="9" t="s">
        <v>90</v>
      </c>
      <c r="B14" s="9" t="s">
        <v>88</v>
      </c>
      <c r="C14" s="9" t="s">
        <v>1093</v>
      </c>
      <c r="D14" s="9" t="s">
        <v>1107</v>
      </c>
      <c r="E14" s="9" t="s">
        <v>774</v>
      </c>
      <c r="F14" s="15"/>
      <c r="G14" s="15">
        <f>IF(ISNUMBER('Sheet4-原始数据'!K8),'Sheet4-原始数据'!K8,"")</f>
        <v>0.0114873553364767</v>
      </c>
      <c r="H14" s="9" t="s">
        <v>1095</v>
      </c>
      <c r="I14" s="9" t="s">
        <v>793</v>
      </c>
      <c r="J14" s="10">
        <v>46269</v>
      </c>
      <c r="K14" s="9">
        <v>27</v>
      </c>
    </row>
    <row r="15" ht="25" customHeight="1" spans="1:11">
      <c r="A15" s="9" t="s">
        <v>90</v>
      </c>
      <c r="B15" s="9" t="s">
        <v>88</v>
      </c>
      <c r="C15" s="9" t="s">
        <v>1093</v>
      </c>
      <c r="D15" s="9" t="s">
        <v>1108</v>
      </c>
      <c r="E15" s="9" t="s">
        <v>775</v>
      </c>
      <c r="F15" s="15"/>
      <c r="G15" s="15">
        <f>IF(ISNUMBER('Sheet4-原始数据'!L8),'Sheet4-原始数据'!L8,"")</f>
        <v>5.40557330872835</v>
      </c>
      <c r="H15" s="9" t="s">
        <v>1095</v>
      </c>
      <c r="I15" s="9" t="s">
        <v>793</v>
      </c>
      <c r="J15" s="10">
        <v>46269</v>
      </c>
      <c r="K15" s="9">
        <v>27</v>
      </c>
    </row>
    <row r="16" ht="25" customHeight="1" spans="1:11">
      <c r="A16" s="9" t="s">
        <v>90</v>
      </c>
      <c r="B16" s="9" t="s">
        <v>88</v>
      </c>
      <c r="C16" s="9" t="s">
        <v>1093</v>
      </c>
      <c r="D16" s="9" t="s">
        <v>1109</v>
      </c>
      <c r="E16" s="9" t="s">
        <v>776</v>
      </c>
      <c r="F16" s="15"/>
      <c r="G16" s="15">
        <f>IF(ISNUMBER('Sheet4-原始数据'!M8),'Sheet4-原始数据'!M8,"")</f>
        <v>44.1917549224981</v>
      </c>
      <c r="H16" s="9" t="s">
        <v>1095</v>
      </c>
      <c r="I16" s="9" t="s">
        <v>793</v>
      </c>
      <c r="J16" s="10">
        <v>46269</v>
      </c>
      <c r="K16" s="9">
        <v>26</v>
      </c>
    </row>
    <row r="17" ht="25" customHeight="1" spans="1:11">
      <c r="A17" s="9" t="s">
        <v>90</v>
      </c>
      <c r="B17" s="9" t="s">
        <v>88</v>
      </c>
      <c r="C17" s="9" t="s">
        <v>1093</v>
      </c>
      <c r="D17" s="9" t="s">
        <v>1110</v>
      </c>
      <c r="E17" s="9" t="s">
        <v>779</v>
      </c>
      <c r="F17" s="15"/>
      <c r="G17" s="15">
        <f>IF(ISNUMBER('Sheet4-原始数据'!S8),'Sheet4-原始数据'!S8,"")</f>
        <v>0.0637470418513069</v>
      </c>
      <c r="H17" s="9" t="s">
        <v>1095</v>
      </c>
      <c r="I17" s="9" t="s">
        <v>793</v>
      </c>
      <c r="J17" s="10">
        <v>46269</v>
      </c>
      <c r="K17" s="9">
        <v>28</v>
      </c>
    </row>
    <row r="18" ht="25" customHeight="1" spans="1:11">
      <c r="A18" s="9" t="s">
        <v>145</v>
      </c>
      <c r="B18" s="9" t="s">
        <v>144</v>
      </c>
      <c r="C18" s="9" t="s">
        <v>1093</v>
      </c>
      <c r="D18" s="9" t="s">
        <v>1111</v>
      </c>
      <c r="E18" s="9" t="s">
        <v>779</v>
      </c>
      <c r="F18" s="15"/>
      <c r="G18" s="15">
        <f>IF(ISNUMBER('Sheet4-原始数据'!S16),'Sheet4-原始数据'!S16,"")</f>
        <v>0.161443539957389</v>
      </c>
      <c r="H18" s="9" t="s">
        <v>1095</v>
      </c>
      <c r="I18" s="9" t="s">
        <v>797</v>
      </c>
      <c r="J18" s="10">
        <v>46269</v>
      </c>
      <c r="K18" s="9">
        <v>13</v>
      </c>
    </row>
    <row r="19" ht="25" customHeight="1" spans="1:11">
      <c r="A19" s="9" t="s">
        <v>194</v>
      </c>
      <c r="B19" s="9" t="s">
        <v>193</v>
      </c>
      <c r="C19" s="9" t="s">
        <v>1093</v>
      </c>
      <c r="D19" s="9" t="s">
        <v>1112</v>
      </c>
      <c r="E19" s="9" t="s">
        <v>770</v>
      </c>
      <c r="F19" s="15"/>
      <c r="G19" s="15">
        <f>IF(ISNUMBER('Sheet4-原始数据'!G25),'Sheet4-原始数据'!G25,"")</f>
        <v>0.316969734003115</v>
      </c>
      <c r="H19" s="9" t="s">
        <v>1095</v>
      </c>
      <c r="I19" s="9" t="s">
        <v>798</v>
      </c>
      <c r="J19" s="10">
        <v>46269</v>
      </c>
      <c r="K19" s="9">
        <v>68</v>
      </c>
    </row>
    <row r="20" ht="25" customHeight="1" spans="1:11">
      <c r="A20" s="9" t="s">
        <v>194</v>
      </c>
      <c r="B20" s="9" t="s">
        <v>193</v>
      </c>
      <c r="C20" s="9" t="s">
        <v>1093</v>
      </c>
      <c r="D20" s="9" t="s">
        <v>1113</v>
      </c>
      <c r="E20" s="9" t="s">
        <v>776</v>
      </c>
      <c r="F20" s="15"/>
      <c r="G20" s="15">
        <f>IF(ISNUMBER('Sheet4-原始数据'!M25),'Sheet4-原始数据'!M25,"")</f>
        <v>51.1242695390374</v>
      </c>
      <c r="H20" s="9" t="s">
        <v>1095</v>
      </c>
      <c r="I20" s="9" t="s">
        <v>798</v>
      </c>
      <c r="J20" s="10">
        <v>46269</v>
      </c>
      <c r="K20" s="9">
        <v>68</v>
      </c>
    </row>
    <row r="21" ht="25" customHeight="1" spans="1:11">
      <c r="A21" s="9" t="s">
        <v>194</v>
      </c>
      <c r="B21" s="9" t="s">
        <v>193</v>
      </c>
      <c r="C21" s="9" t="s">
        <v>1093</v>
      </c>
      <c r="D21" s="9" t="s">
        <v>1114</v>
      </c>
      <c r="E21" s="9" t="s">
        <v>779</v>
      </c>
      <c r="F21" s="15"/>
      <c r="G21" s="15">
        <f>IF(ISNUMBER('Sheet4-原始数据'!S25),'Sheet4-原始数据'!S25,"")</f>
        <v>0.22997763561791</v>
      </c>
      <c r="H21" s="9" t="s">
        <v>1095</v>
      </c>
      <c r="I21" s="9" t="s">
        <v>798</v>
      </c>
      <c r="J21" s="10">
        <v>46269</v>
      </c>
      <c r="K21" s="9">
        <v>70</v>
      </c>
    </row>
    <row r="22" ht="25" customHeight="1" spans="1:11">
      <c r="A22" s="9" t="s">
        <v>199</v>
      </c>
      <c r="B22" s="9" t="s">
        <v>198</v>
      </c>
      <c r="C22" s="9" t="s">
        <v>1093</v>
      </c>
      <c r="D22" s="9" t="s">
        <v>1115</v>
      </c>
      <c r="E22" s="9" t="s">
        <v>770</v>
      </c>
      <c r="F22" s="15"/>
      <c r="G22" s="15">
        <f>IF(ISNUMBER('Sheet4-原始数据'!G26),'Sheet4-原始数据'!G26,"")</f>
        <v>0.112408879112008</v>
      </c>
      <c r="H22" s="9" t="s">
        <v>1095</v>
      </c>
      <c r="I22" s="9" t="s">
        <v>799</v>
      </c>
      <c r="J22" s="10">
        <v>46269</v>
      </c>
      <c r="K22" s="9">
        <v>71</v>
      </c>
    </row>
    <row r="23" ht="25" customHeight="1" spans="1:11">
      <c r="A23" s="9" t="s">
        <v>199</v>
      </c>
      <c r="B23" s="9" t="s">
        <v>198</v>
      </c>
      <c r="C23" s="9" t="s">
        <v>1093</v>
      </c>
      <c r="D23" s="9" t="s">
        <v>1116</v>
      </c>
      <c r="E23" s="9" t="s">
        <v>773</v>
      </c>
      <c r="F23" s="15"/>
      <c r="G23" s="15">
        <f>IF(ISNUMBER('Sheet4-原始数据'!J26),'Sheet4-原始数据'!J26,"")</f>
        <v>0.846153846153846</v>
      </c>
      <c r="H23" s="9" t="s">
        <v>1095</v>
      </c>
      <c r="I23" s="9" t="s">
        <v>799</v>
      </c>
      <c r="J23" s="10">
        <v>46269</v>
      </c>
      <c r="K23" s="9">
        <v>71</v>
      </c>
    </row>
    <row r="24" ht="25" customHeight="1" spans="1:11">
      <c r="A24" s="9" t="s">
        <v>199</v>
      </c>
      <c r="B24" s="9" t="s">
        <v>198</v>
      </c>
      <c r="C24" s="9" t="s">
        <v>1093</v>
      </c>
      <c r="D24" s="9" t="s">
        <v>1117</v>
      </c>
      <c r="E24" s="9" t="s">
        <v>776</v>
      </c>
      <c r="F24" s="15"/>
      <c r="G24" s="15">
        <f>IF(ISNUMBER('Sheet4-原始数据'!M26),'Sheet4-原始数据'!M26,"")</f>
        <v>26.3368894264932</v>
      </c>
      <c r="H24" s="9" t="s">
        <v>1095</v>
      </c>
      <c r="I24" s="9" t="s">
        <v>799</v>
      </c>
      <c r="J24" s="10">
        <v>46269</v>
      </c>
      <c r="K24" s="9">
        <v>71</v>
      </c>
    </row>
    <row r="25" ht="25" customHeight="1" spans="1:11">
      <c r="A25" s="9" t="s">
        <v>203</v>
      </c>
      <c r="B25" s="9" t="s">
        <v>202</v>
      </c>
      <c r="C25" s="9" t="s">
        <v>1093</v>
      </c>
      <c r="D25" s="9" t="s">
        <v>1118</v>
      </c>
      <c r="E25" s="9" t="s">
        <v>770</v>
      </c>
      <c r="F25" s="15"/>
      <c r="G25" s="15">
        <f>IF(ISNUMBER('Sheet4-原始数据'!G27),'Sheet4-原始数据'!G27,"")</f>
        <v>0.0853083964433377</v>
      </c>
      <c r="H25" s="9" t="s">
        <v>1095</v>
      </c>
      <c r="I25" s="9" t="s">
        <v>800</v>
      </c>
      <c r="J25" s="10">
        <v>46269</v>
      </c>
      <c r="K25" s="9">
        <v>74</v>
      </c>
    </row>
    <row r="26" ht="25" customHeight="1" spans="1:11">
      <c r="A26" s="9" t="s">
        <v>203</v>
      </c>
      <c r="B26" s="9" t="s">
        <v>202</v>
      </c>
      <c r="C26" s="9" t="s">
        <v>1093</v>
      </c>
      <c r="D26" s="9" t="s">
        <v>1119</v>
      </c>
      <c r="E26" s="9" t="s">
        <v>776</v>
      </c>
      <c r="F26" s="15"/>
      <c r="G26" s="15">
        <f>IF(ISNUMBER('Sheet4-原始数据'!M27),'Sheet4-原始数据'!M27,"")</f>
        <v>20.4363207386701</v>
      </c>
      <c r="H26" s="9" t="s">
        <v>1095</v>
      </c>
      <c r="I26" s="9" t="s">
        <v>800</v>
      </c>
      <c r="J26" s="10">
        <v>46269</v>
      </c>
      <c r="K26" s="9">
        <v>74</v>
      </c>
    </row>
    <row r="27" ht="25" customHeight="1" spans="1:11">
      <c r="A27" s="9" t="s">
        <v>207</v>
      </c>
      <c r="B27" s="9" t="s">
        <v>206</v>
      </c>
      <c r="C27" s="9" t="s">
        <v>1093</v>
      </c>
      <c r="D27" s="9" t="s">
        <v>1120</v>
      </c>
      <c r="E27" s="9" t="s">
        <v>770</v>
      </c>
      <c r="F27" s="15"/>
      <c r="G27" s="15">
        <f>IF(ISNUMBER('Sheet4-原始数据'!G28),'Sheet4-原始数据'!G28,"")</f>
        <v>0.011707709978378</v>
      </c>
      <c r="H27" s="9" t="s">
        <v>1095</v>
      </c>
      <c r="I27" s="9" t="s">
        <v>801</v>
      </c>
      <c r="J27" s="10">
        <v>46269</v>
      </c>
      <c r="K27" s="9">
        <v>59</v>
      </c>
    </row>
    <row r="28" ht="25" customHeight="1" spans="1:11">
      <c r="A28" s="9" t="s">
        <v>207</v>
      </c>
      <c r="B28" s="9" t="s">
        <v>206</v>
      </c>
      <c r="C28" s="9" t="s">
        <v>1093</v>
      </c>
      <c r="D28" s="9" t="s">
        <v>1121</v>
      </c>
      <c r="E28" s="9" t="s">
        <v>773</v>
      </c>
      <c r="F28" s="15"/>
      <c r="G28" s="15">
        <f>IF(ISNUMBER('Sheet4-原始数据'!J28),'Sheet4-原始数据'!J28,"")</f>
        <v>0.538461538461538</v>
      </c>
      <c r="H28" s="9" t="s">
        <v>1095</v>
      </c>
      <c r="I28" s="9" t="s">
        <v>801</v>
      </c>
      <c r="J28" s="10">
        <v>46269</v>
      </c>
      <c r="K28" s="9">
        <v>59</v>
      </c>
    </row>
    <row r="29" ht="25" customHeight="1" spans="1:11">
      <c r="A29" s="9" t="s">
        <v>207</v>
      </c>
      <c r="B29" s="9" t="s">
        <v>206</v>
      </c>
      <c r="C29" s="9" t="s">
        <v>1093</v>
      </c>
      <c r="D29" s="9" t="s">
        <v>1122</v>
      </c>
      <c r="E29" s="9" t="s">
        <v>776</v>
      </c>
      <c r="F29" s="15"/>
      <c r="G29" s="15">
        <f>IF(ISNUMBER('Sheet4-原始数据'!M28),'Sheet4-原始数据'!M28,"")</f>
        <v>0.172627102654873</v>
      </c>
      <c r="H29" s="9" t="s">
        <v>1095</v>
      </c>
      <c r="I29" s="9" t="s">
        <v>801</v>
      </c>
      <c r="J29" s="10">
        <v>46269</v>
      </c>
      <c r="K29" s="9">
        <v>59</v>
      </c>
    </row>
    <row r="30" ht="25" customHeight="1" spans="1:11">
      <c r="A30" s="9" t="s">
        <v>207</v>
      </c>
      <c r="B30" s="9" t="s">
        <v>206</v>
      </c>
      <c r="C30" s="9" t="s">
        <v>1093</v>
      </c>
      <c r="D30" s="9" t="s">
        <v>1123</v>
      </c>
      <c r="E30" s="9" t="s">
        <v>779</v>
      </c>
      <c r="F30" s="15"/>
      <c r="G30" s="15">
        <f>IF(ISNUMBER('Sheet4-原始数据'!S28),'Sheet4-原始数据'!S28,"")</f>
        <v>0.0268458961775353</v>
      </c>
      <c r="H30" s="9" t="s">
        <v>1095</v>
      </c>
      <c r="I30" s="9" t="s">
        <v>801</v>
      </c>
      <c r="J30" s="10">
        <v>46269</v>
      </c>
      <c r="K30" s="9">
        <v>61</v>
      </c>
    </row>
    <row r="31" ht="25" customHeight="1" spans="1:11">
      <c r="A31" s="9" t="s">
        <v>213</v>
      </c>
      <c r="B31" s="9" t="s">
        <v>211</v>
      </c>
      <c r="C31" s="9" t="s">
        <v>1093</v>
      </c>
      <c r="D31" s="9" t="s">
        <v>1124</v>
      </c>
      <c r="E31" s="9" t="s">
        <v>779</v>
      </c>
      <c r="F31" s="15"/>
      <c r="G31" s="15">
        <f>IF(ISNUMBER('Sheet4-原始数据'!S29),'Sheet4-原始数据'!S29,"")</f>
        <v>0.00375795437634197</v>
      </c>
      <c r="H31" s="9" t="s">
        <v>1095</v>
      </c>
      <c r="I31" s="9" t="s">
        <v>802</v>
      </c>
      <c r="J31" s="10">
        <v>46269</v>
      </c>
      <c r="K31" s="9">
        <v>16</v>
      </c>
    </row>
    <row r="32" ht="25" customHeight="1" spans="1:11">
      <c r="A32" s="9" t="s">
        <v>231</v>
      </c>
      <c r="B32" s="9" t="s">
        <v>229</v>
      </c>
      <c r="C32" s="9" t="s">
        <v>1093</v>
      </c>
      <c r="D32" s="9" t="s">
        <v>1125</v>
      </c>
      <c r="E32" s="9" t="s">
        <v>770</v>
      </c>
      <c r="F32" s="15"/>
      <c r="G32" s="15">
        <f>IF(ISNUMBER('Sheet4-原始数据'!G32),'Sheet4-原始数据'!G32,"")</f>
        <v>0.109031152301643</v>
      </c>
      <c r="H32" s="9" t="s">
        <v>1095</v>
      </c>
      <c r="I32" s="9" t="s">
        <v>804</v>
      </c>
      <c r="J32" s="10">
        <v>46269</v>
      </c>
      <c r="K32" s="9">
        <v>62</v>
      </c>
    </row>
    <row r="33" ht="25" customHeight="1" spans="1:11">
      <c r="A33" s="9" t="s">
        <v>231</v>
      </c>
      <c r="B33" s="9" t="s">
        <v>229</v>
      </c>
      <c r="C33" s="9" t="s">
        <v>1093</v>
      </c>
      <c r="D33" s="9" t="s">
        <v>1126</v>
      </c>
      <c r="E33" s="9" t="s">
        <v>771</v>
      </c>
      <c r="F33" s="15"/>
      <c r="G33" s="15">
        <f>IF(ISNUMBER('Sheet4-原始数据'!H32),'Sheet4-原始数据'!H32,"")</f>
        <v>0.0803812845919136</v>
      </c>
      <c r="H33" s="9" t="s">
        <v>1095</v>
      </c>
      <c r="I33" s="9" t="s">
        <v>804</v>
      </c>
      <c r="J33" s="10">
        <v>46269</v>
      </c>
      <c r="K33" s="9">
        <v>63</v>
      </c>
    </row>
    <row r="34" ht="25" customHeight="1" spans="1:11">
      <c r="A34" s="9" t="s">
        <v>231</v>
      </c>
      <c r="B34" s="9" t="s">
        <v>229</v>
      </c>
      <c r="C34" s="9" t="s">
        <v>1093</v>
      </c>
      <c r="D34" s="9" t="s">
        <v>1127</v>
      </c>
      <c r="E34" s="9" t="s">
        <v>774</v>
      </c>
      <c r="F34" s="15"/>
      <c r="G34" s="15">
        <f>IF(ISNUMBER('Sheet4-原始数据'!K32),'Sheet4-原始数据'!K32,"")</f>
        <v>0.00826733361122689</v>
      </c>
      <c r="H34" s="9" t="s">
        <v>1095</v>
      </c>
      <c r="I34" s="9" t="s">
        <v>804</v>
      </c>
      <c r="J34" s="10">
        <v>46269</v>
      </c>
      <c r="K34" s="9">
        <v>63</v>
      </c>
    </row>
    <row r="35" ht="25" customHeight="1" spans="1:11">
      <c r="A35" s="9" t="s">
        <v>231</v>
      </c>
      <c r="B35" s="9" t="s">
        <v>229</v>
      </c>
      <c r="C35" s="9" t="s">
        <v>1093</v>
      </c>
      <c r="D35" s="9" t="s">
        <v>1128</v>
      </c>
      <c r="E35" s="9" t="s">
        <v>775</v>
      </c>
      <c r="F35" s="15"/>
      <c r="G35" s="15">
        <f>IF(ISNUMBER('Sheet4-原始数据'!L32),'Sheet4-原始数据'!L32,"")</f>
        <v>9.72275807072274</v>
      </c>
      <c r="H35" s="9" t="s">
        <v>1095</v>
      </c>
      <c r="I35" s="9" t="s">
        <v>804</v>
      </c>
      <c r="J35" s="10">
        <v>46269</v>
      </c>
      <c r="K35" s="9">
        <v>63</v>
      </c>
    </row>
    <row r="36" ht="25" customHeight="1" spans="1:11">
      <c r="A36" s="9" t="s">
        <v>231</v>
      </c>
      <c r="B36" s="9" t="s">
        <v>229</v>
      </c>
      <c r="C36" s="9" t="s">
        <v>1093</v>
      </c>
      <c r="D36" s="9" t="s">
        <v>1129</v>
      </c>
      <c r="E36" s="9" t="s">
        <v>776</v>
      </c>
      <c r="F36" s="15"/>
      <c r="G36" s="15">
        <f>IF(ISNUMBER('Sheet4-原始数据'!M32),'Sheet4-原始数据'!M32,"")</f>
        <v>13.1881882876458</v>
      </c>
      <c r="H36" s="9" t="s">
        <v>1095</v>
      </c>
      <c r="I36" s="9" t="s">
        <v>804</v>
      </c>
      <c r="J36" s="10">
        <v>46269</v>
      </c>
      <c r="K36" s="9">
        <v>62</v>
      </c>
    </row>
    <row r="37" ht="25" customHeight="1" spans="1:11">
      <c r="A37" s="9" t="s">
        <v>231</v>
      </c>
      <c r="B37" s="9" t="s">
        <v>229</v>
      </c>
      <c r="C37" s="9" t="s">
        <v>1093</v>
      </c>
      <c r="D37" s="9" t="s">
        <v>1130</v>
      </c>
      <c r="E37" s="9" t="s">
        <v>779</v>
      </c>
      <c r="F37" s="15"/>
      <c r="G37" s="15">
        <f>IF(ISNUMBER('Sheet4-原始数据'!S32),'Sheet4-原始数据'!S32,"")</f>
        <v>0.0898549556576955</v>
      </c>
      <c r="H37" s="9" t="s">
        <v>1095</v>
      </c>
      <c r="I37" s="9" t="s">
        <v>804</v>
      </c>
      <c r="J37" s="10">
        <v>46269</v>
      </c>
      <c r="K37" s="9">
        <v>64</v>
      </c>
    </row>
    <row r="38" ht="25" customHeight="1" spans="1:11">
      <c r="A38" s="9" t="s">
        <v>238</v>
      </c>
      <c r="B38" s="9" t="s">
        <v>235</v>
      </c>
      <c r="C38" s="9" t="s">
        <v>1093</v>
      </c>
      <c r="D38" s="9" t="s">
        <v>1131</v>
      </c>
      <c r="E38" s="9" t="s">
        <v>779</v>
      </c>
      <c r="F38" s="15"/>
      <c r="G38" s="15">
        <f>IF(ISNUMBER('Sheet4-原始数据'!S33),'Sheet4-原始数据'!S33,"")</f>
        <v>0.137766765771663</v>
      </c>
      <c r="H38" s="9" t="s">
        <v>1095</v>
      </c>
      <c r="I38" s="9" t="s">
        <v>805</v>
      </c>
      <c r="J38" s="10">
        <v>46269</v>
      </c>
      <c r="K38" s="9">
        <v>37</v>
      </c>
    </row>
    <row r="39" ht="25" customHeight="1" spans="1:11">
      <c r="A39" s="9" t="s">
        <v>244</v>
      </c>
      <c r="B39" s="9" t="s">
        <v>243</v>
      </c>
      <c r="C39" s="9" t="s">
        <v>1093</v>
      </c>
      <c r="D39" s="9" t="s">
        <v>1132</v>
      </c>
      <c r="E39" s="9" t="s">
        <v>770</v>
      </c>
      <c r="F39" s="15"/>
      <c r="G39" s="15">
        <f>IF(ISNUMBER('Sheet4-原始数据'!G34),'Sheet4-原始数据'!G34,"")</f>
        <v>-0.0482785647879772</v>
      </c>
      <c r="H39" s="9" t="s">
        <v>1095</v>
      </c>
      <c r="I39" s="9" t="s">
        <v>806</v>
      </c>
      <c r="J39" s="10">
        <v>46269</v>
      </c>
      <c r="K39" s="9">
        <v>56</v>
      </c>
    </row>
    <row r="40" ht="25" customHeight="1" spans="1:11">
      <c r="A40" s="9" t="s">
        <v>244</v>
      </c>
      <c r="B40" s="9" t="s">
        <v>243</v>
      </c>
      <c r="C40" s="9" t="s">
        <v>1093</v>
      </c>
      <c r="D40" s="9" t="s">
        <v>1133</v>
      </c>
      <c r="E40" s="9" t="s">
        <v>773</v>
      </c>
      <c r="F40" s="15"/>
      <c r="G40" s="15">
        <f>IF(ISNUMBER('Sheet4-原始数据'!J34),'Sheet4-原始数据'!J34,"")</f>
        <v>0.538461538461538</v>
      </c>
      <c r="H40" s="9" t="s">
        <v>1095</v>
      </c>
      <c r="I40" s="9" t="s">
        <v>806</v>
      </c>
      <c r="J40" s="10">
        <v>46269</v>
      </c>
      <c r="K40" s="9">
        <v>56</v>
      </c>
    </row>
    <row r="41" ht="25" customHeight="1" spans="1:11">
      <c r="A41" s="9" t="s">
        <v>244</v>
      </c>
      <c r="B41" s="9" t="s">
        <v>243</v>
      </c>
      <c r="C41" s="9" t="s">
        <v>1093</v>
      </c>
      <c r="D41" s="9" t="s">
        <v>1134</v>
      </c>
      <c r="E41" s="9" t="s">
        <v>776</v>
      </c>
      <c r="F41" s="15"/>
      <c r="G41" s="15">
        <f>IF(ISNUMBER('Sheet4-原始数据'!M34),'Sheet4-原始数据'!M34,"")</f>
        <v>-0.395526882367967</v>
      </c>
      <c r="H41" s="9" t="s">
        <v>1095</v>
      </c>
      <c r="I41" s="9" t="s">
        <v>806</v>
      </c>
      <c r="J41" s="10">
        <v>46269</v>
      </c>
      <c r="K41" s="9">
        <v>56</v>
      </c>
    </row>
    <row r="42" ht="25" customHeight="1" spans="1:11">
      <c r="A42" s="9" t="s">
        <v>249</v>
      </c>
      <c r="B42" s="9" t="s">
        <v>248</v>
      </c>
      <c r="C42" s="9" t="s">
        <v>1093</v>
      </c>
      <c r="D42" s="9" t="s">
        <v>1135</v>
      </c>
      <c r="E42" s="9" t="s">
        <v>770</v>
      </c>
      <c r="F42" s="15"/>
      <c r="G42" s="15">
        <f>IF(ISNUMBER('Sheet4-原始数据'!G35),'Sheet4-原始数据'!G35,"")</f>
        <v>0.0648994493369395</v>
      </c>
      <c r="H42" s="9" t="s">
        <v>1095</v>
      </c>
      <c r="I42" s="9" t="s">
        <v>807</v>
      </c>
      <c r="J42" s="10">
        <v>46269</v>
      </c>
      <c r="K42" s="9">
        <v>53</v>
      </c>
    </row>
    <row r="43" ht="25" customHeight="1" spans="1:11">
      <c r="A43" s="9" t="s">
        <v>249</v>
      </c>
      <c r="B43" s="9" t="s">
        <v>248</v>
      </c>
      <c r="C43" s="9" t="s">
        <v>1093</v>
      </c>
      <c r="D43" s="9" t="s">
        <v>1136</v>
      </c>
      <c r="E43" s="9" t="s">
        <v>771</v>
      </c>
      <c r="F43" s="15"/>
      <c r="G43" s="15">
        <f>IF(ISNUMBER('Sheet4-原始数据'!H35),'Sheet4-原始数据'!H35,"")</f>
        <v>0.0854840487275965</v>
      </c>
      <c r="H43" s="9" t="s">
        <v>1095</v>
      </c>
      <c r="I43" s="9" t="s">
        <v>807</v>
      </c>
      <c r="J43" s="10">
        <v>46269</v>
      </c>
      <c r="K43" s="9">
        <v>54</v>
      </c>
    </row>
    <row r="44" ht="25" customHeight="1" spans="1:11">
      <c r="A44" s="9" t="s">
        <v>249</v>
      </c>
      <c r="B44" s="9" t="s">
        <v>248</v>
      </c>
      <c r="C44" s="9" t="s">
        <v>1093</v>
      </c>
      <c r="D44" s="9" t="s">
        <v>1137</v>
      </c>
      <c r="E44" s="9" t="s">
        <v>772</v>
      </c>
      <c r="F44" s="15"/>
      <c r="G44" s="15">
        <f>IF(ISNUMBER('Sheet4-原始数据'!I35),'Sheet4-原始数据'!I35,"")</f>
        <v>0.918918918918919</v>
      </c>
      <c r="H44" s="9" t="s">
        <v>1095</v>
      </c>
      <c r="I44" s="9" t="s">
        <v>807</v>
      </c>
      <c r="J44" s="10">
        <v>46269</v>
      </c>
      <c r="K44" s="9">
        <v>54</v>
      </c>
    </row>
    <row r="45" ht="25" customHeight="1" spans="1:11">
      <c r="A45" s="9" t="s">
        <v>249</v>
      </c>
      <c r="B45" s="9" t="s">
        <v>248</v>
      </c>
      <c r="C45" s="9" t="s">
        <v>1093</v>
      </c>
      <c r="D45" s="9" t="s">
        <v>1138</v>
      </c>
      <c r="E45" s="9" t="s">
        <v>773</v>
      </c>
      <c r="F45" s="15"/>
      <c r="G45" s="15">
        <f>IF(ISNUMBER('Sheet4-原始数据'!J35),'Sheet4-原始数据'!J35,"")</f>
        <v>1</v>
      </c>
      <c r="H45" s="9" t="s">
        <v>1095</v>
      </c>
      <c r="I45" s="9" t="s">
        <v>807</v>
      </c>
      <c r="J45" s="10">
        <v>46269</v>
      </c>
      <c r="K45" s="9">
        <v>53</v>
      </c>
    </row>
    <row r="46" ht="25" customHeight="1" spans="1:11">
      <c r="A46" s="9" t="s">
        <v>249</v>
      </c>
      <c r="B46" s="9" t="s">
        <v>248</v>
      </c>
      <c r="C46" s="9" t="s">
        <v>1093</v>
      </c>
      <c r="D46" s="9" t="s">
        <v>1139</v>
      </c>
      <c r="E46" s="9" t="s">
        <v>774</v>
      </c>
      <c r="F46" s="15"/>
      <c r="G46" s="15">
        <f>IF(ISNUMBER('Sheet4-原始数据'!K35),'Sheet4-原始数据'!K35,"")</f>
        <v>0.003369637162284</v>
      </c>
      <c r="H46" s="9" t="s">
        <v>1095</v>
      </c>
      <c r="I46" s="9" t="s">
        <v>807</v>
      </c>
      <c r="J46" s="10">
        <v>46269</v>
      </c>
      <c r="K46" s="9">
        <v>54</v>
      </c>
    </row>
    <row r="47" ht="25" customHeight="1" spans="1:11">
      <c r="A47" s="9" t="s">
        <v>249</v>
      </c>
      <c r="B47" s="9" t="s">
        <v>248</v>
      </c>
      <c r="C47" s="9" t="s">
        <v>1093</v>
      </c>
      <c r="D47" s="9" t="s">
        <v>1140</v>
      </c>
      <c r="E47" s="9" t="s">
        <v>775</v>
      </c>
      <c r="F47" s="15"/>
      <c r="G47" s="15">
        <f>IF(ISNUMBER('Sheet4-原始数据'!L35),'Sheet4-原始数据'!L35,"")</f>
        <v>25.3689179607854</v>
      </c>
      <c r="H47" s="9" t="s">
        <v>1095</v>
      </c>
      <c r="I47" s="9" t="s">
        <v>807</v>
      </c>
      <c r="J47" s="10">
        <v>46269</v>
      </c>
      <c r="K47" s="9">
        <v>54</v>
      </c>
    </row>
    <row r="48" ht="25" customHeight="1" spans="1:11">
      <c r="A48" s="9" t="s">
        <v>249</v>
      </c>
      <c r="B48" s="9" t="s">
        <v>248</v>
      </c>
      <c r="C48" s="9" t="s">
        <v>1093</v>
      </c>
      <c r="D48" s="9" t="s">
        <v>1141</v>
      </c>
      <c r="E48" s="9" t="s">
        <v>776</v>
      </c>
      <c r="F48" s="15"/>
      <c r="G48" s="15">
        <f>IF(ISNUMBER('Sheet4-原始数据'!M35),'Sheet4-原始数据'!M35,"")</f>
        <v>43.8279888397176</v>
      </c>
      <c r="H48" s="9" t="s">
        <v>1095</v>
      </c>
      <c r="I48" s="9" t="s">
        <v>807</v>
      </c>
      <c r="J48" s="10">
        <v>46269</v>
      </c>
      <c r="K48" s="9">
        <v>53</v>
      </c>
    </row>
    <row r="49" ht="25" customHeight="1" spans="1:11">
      <c r="A49" s="9" t="s">
        <v>249</v>
      </c>
      <c r="B49" s="9" t="s">
        <v>248</v>
      </c>
      <c r="C49" s="9" t="s">
        <v>1093</v>
      </c>
      <c r="D49" s="9" t="s">
        <v>1142</v>
      </c>
      <c r="E49" s="9" t="s">
        <v>779</v>
      </c>
      <c r="F49" s="15"/>
      <c r="G49" s="15">
        <f>IF(ISNUMBER('Sheet4-原始数据'!S35),'Sheet4-原始数据'!S35,"")</f>
        <v>0.128288174778181</v>
      </c>
      <c r="H49" s="9" t="s">
        <v>1095</v>
      </c>
      <c r="I49" s="9" t="s">
        <v>807</v>
      </c>
      <c r="J49" s="10">
        <v>46269</v>
      </c>
      <c r="K49" s="9">
        <v>55</v>
      </c>
    </row>
    <row r="50" ht="25" customHeight="1" spans="1:11">
      <c r="A50" s="9" t="s">
        <v>327</v>
      </c>
      <c r="B50" s="9" t="s">
        <v>326</v>
      </c>
      <c r="C50" s="9" t="s">
        <v>1093</v>
      </c>
      <c r="D50" s="9" t="s">
        <v>1143</v>
      </c>
      <c r="E50" s="9" t="s">
        <v>770</v>
      </c>
      <c r="F50" s="15"/>
      <c r="G50" s="15">
        <f>IF(ISNUMBER('Sheet4-原始数据'!G50),'Sheet4-原始数据'!G50,"")</f>
        <v>0.138372093023256</v>
      </c>
      <c r="H50" s="9" t="s">
        <v>1095</v>
      </c>
      <c r="I50" s="9" t="s">
        <v>809</v>
      </c>
      <c r="J50" s="10">
        <v>46269</v>
      </c>
      <c r="K50" s="9">
        <v>41</v>
      </c>
    </row>
    <row r="51" ht="25" customHeight="1" spans="1:11">
      <c r="A51" s="9" t="s">
        <v>327</v>
      </c>
      <c r="B51" s="9" t="s">
        <v>326</v>
      </c>
      <c r="C51" s="9" t="s">
        <v>1093</v>
      </c>
      <c r="D51" s="9" t="s">
        <v>1144</v>
      </c>
      <c r="E51" s="9" t="s">
        <v>771</v>
      </c>
      <c r="F51" s="15"/>
      <c r="G51" s="15">
        <f>IF(ISNUMBER('Sheet4-原始数据'!H50),'Sheet4-原始数据'!H50,"")</f>
        <v>0.120073116138451</v>
      </c>
      <c r="H51" s="9" t="s">
        <v>1095</v>
      </c>
      <c r="I51" s="9" t="s">
        <v>809</v>
      </c>
      <c r="J51" s="10">
        <v>46269</v>
      </c>
      <c r="K51" s="9">
        <v>42</v>
      </c>
    </row>
    <row r="52" ht="25" customHeight="1" spans="1:11">
      <c r="A52" s="9" t="s">
        <v>327</v>
      </c>
      <c r="B52" s="9" t="s">
        <v>326</v>
      </c>
      <c r="C52" s="9" t="s">
        <v>1093</v>
      </c>
      <c r="D52" s="9" t="s">
        <v>1145</v>
      </c>
      <c r="E52" s="9" t="s">
        <v>772</v>
      </c>
      <c r="F52" s="15"/>
      <c r="G52" s="15">
        <f>IF(ISNUMBER('Sheet4-原始数据'!I50),'Sheet4-原始数据'!I50,"")</f>
        <v>0.783783783783784</v>
      </c>
      <c r="H52" s="9" t="s">
        <v>1095</v>
      </c>
      <c r="I52" s="9" t="s">
        <v>809</v>
      </c>
      <c r="J52" s="10">
        <v>46269</v>
      </c>
      <c r="K52" s="9">
        <v>42</v>
      </c>
    </row>
    <row r="53" ht="25" customHeight="1" spans="1:11">
      <c r="A53" s="9" t="s">
        <v>327</v>
      </c>
      <c r="B53" s="9" t="s">
        <v>326</v>
      </c>
      <c r="C53" s="9" t="s">
        <v>1093</v>
      </c>
      <c r="D53" s="9" t="s">
        <v>1146</v>
      </c>
      <c r="E53" s="9" t="s">
        <v>773</v>
      </c>
      <c r="F53" s="15"/>
      <c r="G53" s="15">
        <f>IF(ISNUMBER('Sheet4-原始数据'!J50),'Sheet4-原始数据'!J50,"")</f>
        <v>0.769230769230769</v>
      </c>
      <c r="H53" s="9" t="s">
        <v>1095</v>
      </c>
      <c r="I53" s="9" t="s">
        <v>809</v>
      </c>
      <c r="J53" s="10">
        <v>46269</v>
      </c>
      <c r="K53" s="9">
        <v>41</v>
      </c>
    </row>
    <row r="54" ht="25" customHeight="1" spans="1:11">
      <c r="A54" s="9" t="s">
        <v>327</v>
      </c>
      <c r="B54" s="9" t="s">
        <v>326</v>
      </c>
      <c r="C54" s="9" t="s">
        <v>1093</v>
      </c>
      <c r="D54" s="9" t="s">
        <v>1147</v>
      </c>
      <c r="E54" s="9" t="s">
        <v>774</v>
      </c>
      <c r="F54" s="15"/>
      <c r="G54" s="15">
        <f>IF(ISNUMBER('Sheet4-原始数据'!K50),'Sheet4-原始数据'!K50,"")</f>
        <v>0.00533091362785687</v>
      </c>
      <c r="H54" s="9" t="s">
        <v>1095</v>
      </c>
      <c r="I54" s="9" t="s">
        <v>809</v>
      </c>
      <c r="J54" s="10">
        <v>46269</v>
      </c>
      <c r="K54" s="9">
        <v>42</v>
      </c>
    </row>
    <row r="55" ht="25" customHeight="1" spans="1:11">
      <c r="A55" s="9" t="s">
        <v>327</v>
      </c>
      <c r="B55" s="9" t="s">
        <v>326</v>
      </c>
      <c r="C55" s="9" t="s">
        <v>1093</v>
      </c>
      <c r="D55" s="9" t="s">
        <v>1148</v>
      </c>
      <c r="E55" s="9" t="s">
        <v>775</v>
      </c>
      <c r="F55" s="15"/>
      <c r="G55" s="15">
        <f>IF(ISNUMBER('Sheet4-原始数据'!L50),'Sheet4-原始数据'!L50,"")</f>
        <v>22.5239282645671</v>
      </c>
      <c r="H55" s="9" t="s">
        <v>1095</v>
      </c>
      <c r="I55" s="9" t="s">
        <v>809</v>
      </c>
      <c r="J55" s="10">
        <v>46269</v>
      </c>
      <c r="K55" s="9">
        <v>42</v>
      </c>
    </row>
    <row r="56" ht="25" customHeight="1" spans="1:11">
      <c r="A56" s="9" t="s">
        <v>327</v>
      </c>
      <c r="B56" s="9" t="s">
        <v>326</v>
      </c>
      <c r="C56" s="9" t="s">
        <v>1093</v>
      </c>
      <c r="D56" s="9" t="s">
        <v>1149</v>
      </c>
      <c r="E56" s="9" t="s">
        <v>776</v>
      </c>
      <c r="F56" s="15"/>
      <c r="G56" s="15">
        <f>IF(ISNUMBER('Sheet4-原始数据'!M50),'Sheet4-原始数据'!M50,"")</f>
        <v>28.453054789121</v>
      </c>
      <c r="H56" s="9" t="s">
        <v>1095</v>
      </c>
      <c r="I56" s="9" t="s">
        <v>809</v>
      </c>
      <c r="J56" s="10">
        <v>46269</v>
      </c>
      <c r="K56" s="9">
        <v>41</v>
      </c>
    </row>
    <row r="57" ht="25" customHeight="1" spans="1:11">
      <c r="A57" s="9" t="s">
        <v>327</v>
      </c>
      <c r="B57" s="9" t="s">
        <v>326</v>
      </c>
      <c r="C57" s="9" t="s">
        <v>1093</v>
      </c>
      <c r="D57" s="9" t="s">
        <v>1150</v>
      </c>
      <c r="E57" s="9" t="s">
        <v>779</v>
      </c>
      <c r="F57" s="15"/>
      <c r="G57" s="15">
        <f>IF(ISNUMBER('Sheet4-原始数据'!S50),'Sheet4-原始数据'!S50,"")</f>
        <v>0.12473444211069</v>
      </c>
      <c r="H57" s="9" t="s">
        <v>1095</v>
      </c>
      <c r="I57" s="9" t="s">
        <v>809</v>
      </c>
      <c r="J57" s="10">
        <v>46269</v>
      </c>
      <c r="K57" s="9">
        <v>43</v>
      </c>
    </row>
    <row r="58" ht="25" customHeight="1" spans="1:11">
      <c r="A58" s="9" t="s">
        <v>348</v>
      </c>
      <c r="B58" s="9" t="s">
        <v>347</v>
      </c>
      <c r="C58" s="9" t="s">
        <v>1093</v>
      </c>
      <c r="D58" s="9" t="s">
        <v>1151</v>
      </c>
      <c r="E58" s="9" t="s">
        <v>770</v>
      </c>
      <c r="F58" s="15"/>
      <c r="G58" s="15">
        <f>IF(ISNUMBER('Sheet4-原始数据'!G53),'Sheet4-原始数据'!G53,"")</f>
        <v>0.113688504314173</v>
      </c>
      <c r="H58" s="9" t="s">
        <v>1095</v>
      </c>
      <c r="I58" s="9" t="s">
        <v>811</v>
      </c>
      <c r="J58" s="10">
        <v>46269</v>
      </c>
      <c r="K58" s="9">
        <v>38</v>
      </c>
    </row>
    <row r="59" ht="25" customHeight="1" spans="1:11">
      <c r="A59" s="9" t="s">
        <v>348</v>
      </c>
      <c r="B59" s="9" t="s">
        <v>347</v>
      </c>
      <c r="C59" s="9" t="s">
        <v>1093</v>
      </c>
      <c r="D59" s="9" t="s">
        <v>1152</v>
      </c>
      <c r="E59" s="9" t="s">
        <v>773</v>
      </c>
      <c r="F59" s="15"/>
      <c r="G59" s="15">
        <f>IF(ISNUMBER('Sheet4-原始数据'!J53),'Sheet4-原始数据'!J53,"")</f>
        <v>0.615384615384615</v>
      </c>
      <c r="H59" s="9" t="s">
        <v>1095</v>
      </c>
      <c r="I59" s="9" t="s">
        <v>811</v>
      </c>
      <c r="J59" s="10">
        <v>46269</v>
      </c>
      <c r="K59" s="9">
        <v>38</v>
      </c>
    </row>
    <row r="60" ht="25" customHeight="1" spans="1:11">
      <c r="A60" s="9" t="s">
        <v>348</v>
      </c>
      <c r="B60" s="9" t="s">
        <v>347</v>
      </c>
      <c r="C60" s="9" t="s">
        <v>1093</v>
      </c>
      <c r="D60" s="9" t="s">
        <v>1153</v>
      </c>
      <c r="E60" s="9" t="s">
        <v>776</v>
      </c>
      <c r="F60" s="15"/>
      <c r="G60" s="15">
        <f>IF(ISNUMBER('Sheet4-原始数据'!M53),'Sheet4-原始数据'!M53,"")</f>
        <v>10.8689819283216</v>
      </c>
      <c r="H60" s="9" t="s">
        <v>1095</v>
      </c>
      <c r="I60" s="9" t="s">
        <v>811</v>
      </c>
      <c r="J60" s="10">
        <v>46269</v>
      </c>
      <c r="K60" s="9">
        <v>38</v>
      </c>
    </row>
    <row r="61" ht="25" customHeight="1" spans="1:11">
      <c r="A61" s="9" t="s">
        <v>348</v>
      </c>
      <c r="B61" s="9" t="s">
        <v>347</v>
      </c>
      <c r="C61" s="9" t="s">
        <v>1093</v>
      </c>
      <c r="D61" s="9" t="s">
        <v>1154</v>
      </c>
      <c r="E61" s="9" t="s">
        <v>779</v>
      </c>
      <c r="F61" s="15"/>
      <c r="G61" s="15">
        <f>IF(ISNUMBER('Sheet4-原始数据'!S53),'Sheet4-原始数据'!S53,"")</f>
        <v>0.100382114301413</v>
      </c>
      <c r="H61" s="9" t="s">
        <v>1095</v>
      </c>
      <c r="I61" s="9" t="s">
        <v>811</v>
      </c>
      <c r="J61" s="10">
        <v>46269</v>
      </c>
      <c r="K61" s="9">
        <v>40</v>
      </c>
    </row>
    <row r="62" ht="25" customHeight="1" spans="1:11">
      <c r="A62" s="9" t="s">
        <v>371</v>
      </c>
      <c r="B62" s="9" t="s">
        <v>370</v>
      </c>
      <c r="C62" s="9" t="s">
        <v>1093</v>
      </c>
      <c r="D62" s="9" t="s">
        <v>1155</v>
      </c>
      <c r="E62" s="9" t="s">
        <v>770</v>
      </c>
      <c r="F62" s="15"/>
      <c r="G62" s="15">
        <f>IF(ISNUMBER('Sheet4-原始数据'!G57),'Sheet4-原始数据'!G57,"")</f>
        <v>0.0996137314702967</v>
      </c>
      <c r="H62" s="9" t="s">
        <v>1095</v>
      </c>
      <c r="I62" s="9" t="s">
        <v>812</v>
      </c>
      <c r="J62" s="10">
        <v>46269</v>
      </c>
      <c r="K62" s="9">
        <v>29</v>
      </c>
    </row>
    <row r="63" ht="25" customHeight="1" spans="1:11">
      <c r="A63" s="9" t="s">
        <v>371</v>
      </c>
      <c r="B63" s="9" t="s">
        <v>370</v>
      </c>
      <c r="C63" s="9" t="s">
        <v>1093</v>
      </c>
      <c r="D63" s="9" t="s">
        <v>1156</v>
      </c>
      <c r="E63" s="9" t="s">
        <v>771</v>
      </c>
      <c r="F63" s="15"/>
      <c r="G63" s="15">
        <f>IF(ISNUMBER('Sheet4-原始数据'!H57),'Sheet4-原始数据'!H57,"")</f>
        <v>0.0845476235035083</v>
      </c>
      <c r="H63" s="9" t="s">
        <v>1095</v>
      </c>
      <c r="I63" s="9" t="s">
        <v>812</v>
      </c>
      <c r="J63" s="10">
        <v>46269</v>
      </c>
      <c r="K63" s="9">
        <v>30</v>
      </c>
    </row>
    <row r="64" ht="25" customHeight="1" spans="1:11">
      <c r="A64" s="9" t="s">
        <v>371</v>
      </c>
      <c r="B64" s="9" t="s">
        <v>370</v>
      </c>
      <c r="C64" s="9" t="s">
        <v>1093</v>
      </c>
      <c r="D64" s="9" t="s">
        <v>1157</v>
      </c>
      <c r="E64" s="9" t="s">
        <v>772</v>
      </c>
      <c r="F64" s="15"/>
      <c r="G64" s="15">
        <f>IF(ISNUMBER('Sheet4-原始数据'!I57),'Sheet4-原始数据'!I57,"")</f>
        <v>0.756756756756757</v>
      </c>
      <c r="H64" s="9" t="s">
        <v>1095</v>
      </c>
      <c r="I64" s="9" t="s">
        <v>812</v>
      </c>
      <c r="J64" s="10">
        <v>46269</v>
      </c>
      <c r="K64" s="9">
        <v>30</v>
      </c>
    </row>
    <row r="65" ht="25" customHeight="1" spans="1:11">
      <c r="A65" s="9" t="s">
        <v>371</v>
      </c>
      <c r="B65" s="9" t="s">
        <v>370</v>
      </c>
      <c r="C65" s="9" t="s">
        <v>1093</v>
      </c>
      <c r="D65" s="9" t="s">
        <v>1158</v>
      </c>
      <c r="E65" s="9" t="s">
        <v>773</v>
      </c>
      <c r="F65" s="15"/>
      <c r="G65" s="15">
        <f>IF(ISNUMBER('Sheet4-原始数据'!J57),'Sheet4-原始数据'!J57,"")</f>
        <v>0.692307692307692</v>
      </c>
      <c r="H65" s="9" t="s">
        <v>1095</v>
      </c>
      <c r="I65" s="9" t="s">
        <v>812</v>
      </c>
      <c r="J65" s="10">
        <v>46269</v>
      </c>
      <c r="K65" s="9">
        <v>29</v>
      </c>
    </row>
    <row r="66" ht="25" customHeight="1" spans="1:11">
      <c r="A66" s="9" t="s">
        <v>371</v>
      </c>
      <c r="B66" s="9" t="s">
        <v>370</v>
      </c>
      <c r="C66" s="9" t="s">
        <v>1093</v>
      </c>
      <c r="D66" s="9" t="s">
        <v>1159</v>
      </c>
      <c r="E66" s="9" t="s">
        <v>774</v>
      </c>
      <c r="F66" s="15"/>
      <c r="G66" s="15">
        <f>IF(ISNUMBER('Sheet4-原始数据'!K57),'Sheet4-原始数据'!K57,"")</f>
        <v>0.0402287251934073</v>
      </c>
      <c r="H66" s="9" t="s">
        <v>1095</v>
      </c>
      <c r="I66" s="9" t="s">
        <v>812</v>
      </c>
      <c r="J66" s="10">
        <v>46269</v>
      </c>
      <c r="K66" s="9">
        <v>30</v>
      </c>
    </row>
    <row r="67" ht="25" customHeight="1" spans="1:11">
      <c r="A67" s="9" t="s">
        <v>371</v>
      </c>
      <c r="B67" s="9" t="s">
        <v>370</v>
      </c>
      <c r="C67" s="9" t="s">
        <v>1093</v>
      </c>
      <c r="D67" s="9" t="s">
        <v>1160</v>
      </c>
      <c r="E67" s="9" t="s">
        <v>775</v>
      </c>
      <c r="F67" s="15"/>
      <c r="G67" s="15">
        <f>IF(ISNUMBER('Sheet4-原始数据'!L57),'Sheet4-原始数据'!L57,"")</f>
        <v>2.10167294879541</v>
      </c>
      <c r="H67" s="9" t="s">
        <v>1095</v>
      </c>
      <c r="I67" s="9" t="s">
        <v>812</v>
      </c>
      <c r="J67" s="10">
        <v>46269</v>
      </c>
      <c r="K67" s="9">
        <v>30</v>
      </c>
    </row>
    <row r="68" ht="25" customHeight="1" spans="1:11">
      <c r="A68" s="9" t="s">
        <v>371</v>
      </c>
      <c r="B68" s="9" t="s">
        <v>370</v>
      </c>
      <c r="C68" s="9" t="s">
        <v>1093</v>
      </c>
      <c r="D68" s="9" t="s">
        <v>1161</v>
      </c>
      <c r="E68" s="9" t="s">
        <v>776</v>
      </c>
      <c r="F68" s="15"/>
      <c r="G68" s="15">
        <f>IF(ISNUMBER('Sheet4-原始数据'!M57),'Sheet4-原始数据'!M57,"")</f>
        <v>2.47618414432435</v>
      </c>
      <c r="H68" s="9" t="s">
        <v>1095</v>
      </c>
      <c r="I68" s="9" t="s">
        <v>812</v>
      </c>
      <c r="J68" s="10">
        <v>46269</v>
      </c>
      <c r="K68" s="9">
        <v>29</v>
      </c>
    </row>
    <row r="69" ht="25" customHeight="1" spans="1:11">
      <c r="A69" s="9" t="s">
        <v>371</v>
      </c>
      <c r="B69" s="9" t="s">
        <v>370</v>
      </c>
      <c r="C69" s="9" t="s">
        <v>1093</v>
      </c>
      <c r="D69" s="9" t="s">
        <v>1162</v>
      </c>
      <c r="E69" s="9" t="s">
        <v>779</v>
      </c>
      <c r="F69" s="15"/>
      <c r="G69" s="15">
        <f>IF(ISNUMBER('Sheet4-原始数据'!S57),'Sheet4-原始数据'!S57,"")</f>
        <v>0.0776116770429107</v>
      </c>
      <c r="H69" s="9" t="s">
        <v>1095</v>
      </c>
      <c r="I69" s="9" t="s">
        <v>812</v>
      </c>
      <c r="J69" s="10">
        <v>46269</v>
      </c>
      <c r="K69" s="9">
        <v>31</v>
      </c>
    </row>
    <row r="70" ht="25" customHeight="1" spans="1:11">
      <c r="A70" s="9" t="s">
        <v>388</v>
      </c>
      <c r="B70" s="9" t="s">
        <v>387</v>
      </c>
      <c r="C70" s="9" t="s">
        <v>1093</v>
      </c>
      <c r="D70" s="9" t="s">
        <v>1163</v>
      </c>
      <c r="E70" s="9" t="s">
        <v>770</v>
      </c>
      <c r="F70" s="15"/>
      <c r="G70" s="15">
        <f>IF(ISNUMBER('Sheet4-原始数据'!G60),'Sheet4-原始数据'!G60,"")</f>
        <v>0.204884716237227</v>
      </c>
      <c r="H70" s="9" t="s">
        <v>1095</v>
      </c>
      <c r="I70" s="9" t="s">
        <v>813</v>
      </c>
      <c r="J70" s="10">
        <v>46269</v>
      </c>
      <c r="K70" s="9">
        <v>5</v>
      </c>
    </row>
    <row r="71" ht="25" customHeight="1" spans="1:11">
      <c r="A71" s="9" t="s">
        <v>388</v>
      </c>
      <c r="B71" s="9" t="s">
        <v>387</v>
      </c>
      <c r="C71" s="9" t="s">
        <v>1093</v>
      </c>
      <c r="D71" s="9" t="s">
        <v>1164</v>
      </c>
      <c r="E71" s="9" t="s">
        <v>771</v>
      </c>
      <c r="F71" s="15"/>
      <c r="G71" s="15">
        <f>IF(ISNUMBER('Sheet4-原始数据'!H60),'Sheet4-原始数据'!H60,"")</f>
        <v>0.153258520854718</v>
      </c>
      <c r="H71" s="9" t="s">
        <v>1095</v>
      </c>
      <c r="I71" s="9" t="s">
        <v>813</v>
      </c>
      <c r="J71" s="10">
        <v>46269</v>
      </c>
      <c r="K71" s="9">
        <v>6</v>
      </c>
    </row>
    <row r="72" ht="25" customHeight="1" spans="1:11">
      <c r="A72" s="9" t="s">
        <v>388</v>
      </c>
      <c r="B72" s="9" t="s">
        <v>387</v>
      </c>
      <c r="C72" s="9" t="s">
        <v>1093</v>
      </c>
      <c r="D72" s="9" t="s">
        <v>1165</v>
      </c>
      <c r="E72" s="9" t="s">
        <v>774</v>
      </c>
      <c r="F72" s="15"/>
      <c r="G72" s="15">
        <f>IF(ISNUMBER('Sheet4-原始数据'!K60),'Sheet4-原始数据'!K60,"")</f>
        <v>0.0108076242876795</v>
      </c>
      <c r="H72" s="9" t="s">
        <v>1095</v>
      </c>
      <c r="I72" s="9" t="s">
        <v>813</v>
      </c>
      <c r="J72" s="10">
        <v>46269</v>
      </c>
      <c r="K72" s="9">
        <v>6</v>
      </c>
    </row>
    <row r="73" ht="25" customHeight="1" spans="1:11">
      <c r="A73" s="9" t="s">
        <v>388</v>
      </c>
      <c r="B73" s="9" t="s">
        <v>387</v>
      </c>
      <c r="C73" s="9" t="s">
        <v>1093</v>
      </c>
      <c r="D73" s="9" t="s">
        <v>1166</v>
      </c>
      <c r="E73" s="9" t="s">
        <v>775</v>
      </c>
      <c r="F73" s="15"/>
      <c r="G73" s="15">
        <f>IF(ISNUMBER('Sheet4-原始数据'!L60),'Sheet4-原始数据'!L60,"")</f>
        <v>14.1805929569027</v>
      </c>
      <c r="H73" s="9" t="s">
        <v>1095</v>
      </c>
      <c r="I73" s="9" t="s">
        <v>813</v>
      </c>
      <c r="J73" s="10">
        <v>46269</v>
      </c>
      <c r="K73" s="9">
        <v>6</v>
      </c>
    </row>
    <row r="74" ht="25" customHeight="1" spans="1:11">
      <c r="A74" s="9" t="s">
        <v>388</v>
      </c>
      <c r="B74" s="9" t="s">
        <v>387</v>
      </c>
      <c r="C74" s="9" t="s">
        <v>1093</v>
      </c>
      <c r="D74" s="9" t="s">
        <v>1167</v>
      </c>
      <c r="E74" s="9" t="s">
        <v>776</v>
      </c>
      <c r="F74" s="15"/>
      <c r="G74" s="15">
        <f>IF(ISNUMBER('Sheet4-原始数据'!M60),'Sheet4-原始数据'!M60,"")</f>
        <v>22.1106040011496</v>
      </c>
      <c r="H74" s="9" t="s">
        <v>1095</v>
      </c>
      <c r="I74" s="9" t="s">
        <v>813</v>
      </c>
      <c r="J74" s="10">
        <v>46269</v>
      </c>
      <c r="K74" s="9">
        <v>5</v>
      </c>
    </row>
    <row r="75" ht="25" customHeight="1" spans="1:11">
      <c r="A75" s="9" t="s">
        <v>388</v>
      </c>
      <c r="B75" s="9" t="s">
        <v>387</v>
      </c>
      <c r="C75" s="9" t="s">
        <v>1093</v>
      </c>
      <c r="D75" s="9" t="s">
        <v>1168</v>
      </c>
      <c r="E75" s="9" t="s">
        <v>779</v>
      </c>
      <c r="F75" s="15"/>
      <c r="G75" s="15">
        <f>IF(ISNUMBER('Sheet4-原始数据'!S60),'Sheet4-原始数据'!S60,"")</f>
        <v>0.119697639612653</v>
      </c>
      <c r="H75" s="9" t="s">
        <v>1095</v>
      </c>
      <c r="I75" s="9" t="s">
        <v>813</v>
      </c>
      <c r="J75" s="10">
        <v>46269</v>
      </c>
      <c r="K75" s="9">
        <v>7</v>
      </c>
    </row>
    <row r="76" ht="25" customHeight="1" spans="1:11">
      <c r="A76" s="9" t="s">
        <v>422</v>
      </c>
      <c r="B76" s="9" t="s">
        <v>421</v>
      </c>
      <c r="C76" s="9" t="s">
        <v>1093</v>
      </c>
      <c r="D76" s="9" t="s">
        <v>1169</v>
      </c>
      <c r="E76" s="9" t="s">
        <v>770</v>
      </c>
      <c r="F76" s="15"/>
      <c r="G76" s="15">
        <f>IF(ISNUMBER('Sheet4-原始数据'!G67),'Sheet4-原始数据'!G67,"")</f>
        <v>0.00652201582515199</v>
      </c>
      <c r="H76" s="9" t="s">
        <v>1095</v>
      </c>
      <c r="I76" s="9" t="s">
        <v>814</v>
      </c>
      <c r="J76" s="10">
        <v>46269</v>
      </c>
      <c r="K76" s="9">
        <v>44</v>
      </c>
    </row>
    <row r="77" ht="25" customHeight="1" spans="1:11">
      <c r="A77" s="9" t="s">
        <v>422</v>
      </c>
      <c r="B77" s="9" t="s">
        <v>421</v>
      </c>
      <c r="C77" s="9" t="s">
        <v>1093</v>
      </c>
      <c r="D77" s="9" t="s">
        <v>1170</v>
      </c>
      <c r="E77" s="9" t="s">
        <v>771</v>
      </c>
      <c r="F77" s="15"/>
      <c r="G77" s="15">
        <f>IF(ISNUMBER('Sheet4-原始数据'!H67),'Sheet4-原始数据'!H67,"")</f>
        <v>0.0926384246815495</v>
      </c>
      <c r="H77" s="9" t="s">
        <v>1095</v>
      </c>
      <c r="I77" s="9" t="s">
        <v>814</v>
      </c>
      <c r="J77" s="10">
        <v>46269</v>
      </c>
      <c r="K77" s="9">
        <v>45</v>
      </c>
    </row>
    <row r="78" ht="25" customHeight="1" spans="1:11">
      <c r="A78" s="9" t="s">
        <v>422</v>
      </c>
      <c r="B78" s="9" t="s">
        <v>421</v>
      </c>
      <c r="C78" s="9" t="s">
        <v>1093</v>
      </c>
      <c r="D78" s="9" t="s">
        <v>1171</v>
      </c>
      <c r="E78" s="9" t="s">
        <v>772</v>
      </c>
      <c r="F78" s="15"/>
      <c r="G78" s="15">
        <f>IF(ISNUMBER('Sheet4-原始数据'!I67),'Sheet4-原始数据'!I67,"")</f>
        <v>0.648648648648649</v>
      </c>
      <c r="H78" s="9" t="s">
        <v>1095</v>
      </c>
      <c r="I78" s="9" t="s">
        <v>814</v>
      </c>
      <c r="J78" s="10">
        <v>46269</v>
      </c>
      <c r="K78" s="9">
        <v>45</v>
      </c>
    </row>
    <row r="79" ht="25" customHeight="1" spans="1:11">
      <c r="A79" s="9" t="s">
        <v>422</v>
      </c>
      <c r="B79" s="9" t="s">
        <v>421</v>
      </c>
      <c r="C79" s="9" t="s">
        <v>1093</v>
      </c>
      <c r="D79" s="9" t="s">
        <v>1172</v>
      </c>
      <c r="E79" s="9" t="s">
        <v>773</v>
      </c>
      <c r="F79" s="15"/>
      <c r="G79" s="15">
        <f>IF(ISNUMBER('Sheet4-原始数据'!J67),'Sheet4-原始数据'!J67,"")</f>
        <v>0.461538461538462</v>
      </c>
      <c r="H79" s="9" t="s">
        <v>1095</v>
      </c>
      <c r="I79" s="9" t="s">
        <v>814</v>
      </c>
      <c r="J79" s="10">
        <v>46269</v>
      </c>
      <c r="K79" s="9">
        <v>44</v>
      </c>
    </row>
    <row r="80" ht="25" customHeight="1" spans="1:11">
      <c r="A80" s="9" t="s">
        <v>422</v>
      </c>
      <c r="B80" s="9" t="s">
        <v>421</v>
      </c>
      <c r="C80" s="9" t="s">
        <v>1093</v>
      </c>
      <c r="D80" s="9" t="s">
        <v>1173</v>
      </c>
      <c r="E80" s="9" t="s">
        <v>774</v>
      </c>
      <c r="F80" s="15"/>
      <c r="G80" s="15">
        <f>IF(ISNUMBER('Sheet4-原始数据'!K67),'Sheet4-原始数据'!K67,"")</f>
        <v>0.0431149238278361</v>
      </c>
      <c r="H80" s="9" t="s">
        <v>1095</v>
      </c>
      <c r="I80" s="9" t="s">
        <v>814</v>
      </c>
      <c r="J80" s="10">
        <v>46269</v>
      </c>
      <c r="K80" s="9">
        <v>45</v>
      </c>
    </row>
    <row r="81" ht="25" customHeight="1" spans="1:11">
      <c r="A81" s="9" t="s">
        <v>422</v>
      </c>
      <c r="B81" s="9" t="s">
        <v>421</v>
      </c>
      <c r="C81" s="9" t="s">
        <v>1093</v>
      </c>
      <c r="D81" s="9" t="s">
        <v>1174</v>
      </c>
      <c r="E81" s="9" t="s">
        <v>775</v>
      </c>
      <c r="F81" s="15"/>
      <c r="G81" s="15">
        <f>IF(ISNUMBER('Sheet4-原始数据'!L67),'Sheet4-原始数据'!L67,"")</f>
        <v>2.14863941431203</v>
      </c>
      <c r="H81" s="9" t="s">
        <v>1095</v>
      </c>
      <c r="I81" s="9" t="s">
        <v>814</v>
      </c>
      <c r="J81" s="10">
        <v>46269</v>
      </c>
      <c r="K81" s="9">
        <v>45</v>
      </c>
    </row>
    <row r="82" ht="25" customHeight="1" spans="1:11">
      <c r="A82" s="9" t="s">
        <v>422</v>
      </c>
      <c r="B82" s="9" t="s">
        <v>421</v>
      </c>
      <c r="C82" s="9" t="s">
        <v>1093</v>
      </c>
      <c r="D82" s="9" t="s">
        <v>1175</v>
      </c>
      <c r="E82" s="9" t="s">
        <v>776</v>
      </c>
      <c r="F82" s="15"/>
      <c r="G82" s="15">
        <f>IF(ISNUMBER('Sheet4-原始数据'!M67),'Sheet4-原始数据'!M67,"")</f>
        <v>0.151270493975481</v>
      </c>
      <c r="H82" s="9" t="s">
        <v>1095</v>
      </c>
      <c r="I82" s="9" t="s">
        <v>814</v>
      </c>
      <c r="J82" s="10">
        <v>46269</v>
      </c>
      <c r="K82" s="9">
        <v>44</v>
      </c>
    </row>
    <row r="83" ht="25" customHeight="1" spans="1:11">
      <c r="A83" s="9" t="s">
        <v>472</v>
      </c>
      <c r="B83" s="9" t="s">
        <v>471</v>
      </c>
      <c r="C83" s="9" t="s">
        <v>1093</v>
      </c>
      <c r="D83" s="9" t="s">
        <v>1176</v>
      </c>
      <c r="E83" s="9" t="s">
        <v>770</v>
      </c>
      <c r="F83" s="15"/>
      <c r="G83" s="15">
        <f>IF(ISNUMBER('Sheet4-原始数据'!G76),'Sheet4-原始数据'!G76,"")</f>
        <v>0.0885473475458602</v>
      </c>
      <c r="H83" s="9" t="s">
        <v>1095</v>
      </c>
      <c r="I83" s="9" t="s">
        <v>815</v>
      </c>
      <c r="J83" s="10">
        <v>46269</v>
      </c>
      <c r="K83" s="9">
        <v>23</v>
      </c>
    </row>
    <row r="84" ht="25" customHeight="1" spans="1:11">
      <c r="A84" s="9" t="s">
        <v>472</v>
      </c>
      <c r="B84" s="9" t="s">
        <v>471</v>
      </c>
      <c r="C84" s="9" t="s">
        <v>1093</v>
      </c>
      <c r="D84" s="9" t="s">
        <v>1177</v>
      </c>
      <c r="E84" s="9" t="s">
        <v>773</v>
      </c>
      <c r="F84" s="15"/>
      <c r="G84" s="15">
        <f>IF(ISNUMBER('Sheet4-原始数据'!J76),'Sheet4-原始数据'!J76,"")</f>
        <v>1</v>
      </c>
      <c r="H84" s="9" t="s">
        <v>1095</v>
      </c>
      <c r="I84" s="9" t="s">
        <v>815</v>
      </c>
      <c r="J84" s="10">
        <v>46269</v>
      </c>
      <c r="K84" s="9">
        <v>23</v>
      </c>
    </row>
    <row r="85" ht="25" customHeight="1" spans="1:11">
      <c r="A85" s="9" t="s">
        <v>472</v>
      </c>
      <c r="B85" s="9" t="s">
        <v>471</v>
      </c>
      <c r="C85" s="9" t="s">
        <v>1093</v>
      </c>
      <c r="D85" s="9" t="s">
        <v>1178</v>
      </c>
      <c r="E85" s="9" t="s">
        <v>776</v>
      </c>
      <c r="F85" s="15"/>
      <c r="G85" s="15">
        <f>IF(ISNUMBER('Sheet4-原始数据'!M76),'Sheet4-原始数据'!M76,"")</f>
        <v>26.1337657687431</v>
      </c>
      <c r="H85" s="9" t="s">
        <v>1095</v>
      </c>
      <c r="I85" s="9" t="s">
        <v>815</v>
      </c>
      <c r="J85" s="10">
        <v>46269</v>
      </c>
      <c r="K85" s="9">
        <v>23</v>
      </c>
    </row>
    <row r="86" ht="25" customHeight="1" spans="1:11">
      <c r="A86" s="9" t="s">
        <v>472</v>
      </c>
      <c r="B86" s="9" t="s">
        <v>471</v>
      </c>
      <c r="C86" s="9" t="s">
        <v>1093</v>
      </c>
      <c r="D86" s="9" t="s">
        <v>1179</v>
      </c>
      <c r="E86" s="9" t="s">
        <v>779</v>
      </c>
      <c r="F86" s="15"/>
      <c r="G86" s="15">
        <f>IF(ISNUMBER('Sheet4-原始数据'!S76),'Sheet4-原始数据'!S76,"")</f>
        <v>0.0842588197581635</v>
      </c>
      <c r="H86" s="9" t="s">
        <v>1095</v>
      </c>
      <c r="I86" s="9" t="s">
        <v>815</v>
      </c>
      <c r="J86" s="10">
        <v>46269</v>
      </c>
      <c r="K86" s="9">
        <v>25</v>
      </c>
    </row>
    <row r="87" ht="25" customHeight="1" spans="1:11">
      <c r="A87" s="9" t="s">
        <v>816</v>
      </c>
      <c r="B87" s="9" t="s">
        <v>518</v>
      </c>
      <c r="C87" s="9" t="s">
        <v>1093</v>
      </c>
      <c r="D87" s="9" t="s">
        <v>1180</v>
      </c>
      <c r="E87" s="9" t="s">
        <v>770</v>
      </c>
      <c r="F87" s="15"/>
      <c r="G87" s="15">
        <f>IF(ISNUMBER('Sheet4-原始数据'!G84),'Sheet4-原始数据'!G84,"")</f>
        <v>0.254213705021174</v>
      </c>
      <c r="H87" s="9" t="s">
        <v>1095</v>
      </c>
      <c r="I87" s="9" t="s">
        <v>819</v>
      </c>
      <c r="J87" s="10">
        <v>46269</v>
      </c>
      <c r="K87" s="9">
        <v>17</v>
      </c>
    </row>
    <row r="88" ht="25" customHeight="1" spans="1:11">
      <c r="A88" s="9" t="s">
        <v>816</v>
      </c>
      <c r="B88" s="9" t="s">
        <v>518</v>
      </c>
      <c r="C88" s="9" t="s">
        <v>1093</v>
      </c>
      <c r="D88" s="9" t="s">
        <v>1181</v>
      </c>
      <c r="E88" s="9" t="s">
        <v>773</v>
      </c>
      <c r="F88" s="15"/>
      <c r="G88" s="15">
        <f>IF(ISNUMBER('Sheet4-原始数据'!J84),'Sheet4-原始数据'!J84,"")</f>
        <v>1</v>
      </c>
      <c r="H88" s="9" t="s">
        <v>1095</v>
      </c>
      <c r="I88" s="9" t="s">
        <v>819</v>
      </c>
      <c r="J88" s="10">
        <v>46269</v>
      </c>
      <c r="K88" s="9">
        <v>17</v>
      </c>
    </row>
    <row r="89" ht="25" customHeight="1" spans="1:11">
      <c r="A89" s="9" t="s">
        <v>816</v>
      </c>
      <c r="B89" s="9" t="s">
        <v>518</v>
      </c>
      <c r="C89" s="9" t="s">
        <v>1093</v>
      </c>
      <c r="D89" s="9" t="s">
        <v>1182</v>
      </c>
      <c r="E89" s="9" t="s">
        <v>776</v>
      </c>
      <c r="F89" s="15"/>
      <c r="G89" s="15">
        <f>IF(ISNUMBER('Sheet4-原始数据'!M84),'Sheet4-原始数据'!M84,"")</f>
        <v>22.825642454631</v>
      </c>
      <c r="H89" s="9" t="s">
        <v>1095</v>
      </c>
      <c r="I89" s="9" t="s">
        <v>819</v>
      </c>
      <c r="J89" s="10">
        <v>46269</v>
      </c>
      <c r="K89" s="9">
        <v>17</v>
      </c>
    </row>
    <row r="90" ht="25" customHeight="1" spans="1:11">
      <c r="A90" s="9"/>
      <c r="B90" s="9"/>
      <c r="C90" s="9"/>
      <c r="D90" s="9"/>
      <c r="E90" s="9"/>
      <c r="F90" s="9"/>
      <c r="G90" s="9"/>
      <c r="H90" s="9"/>
      <c r="I90" s="9"/>
      <c r="J90" s="9"/>
      <c r="K90" s="9"/>
    </row>
    <row r="91" ht="25" customHeight="1" spans="1:11">
      <c r="A91" s="9"/>
      <c r="B91" s="9"/>
      <c r="C91" s="9"/>
      <c r="D91" s="9"/>
      <c r="E91" s="9"/>
      <c r="F91" s="9"/>
      <c r="G91" s="9"/>
      <c r="H91" s="9"/>
      <c r="I91" s="9"/>
      <c r="J91" s="9"/>
      <c r="K91" s="9"/>
    </row>
    <row r="92" ht="25" customHeight="1" spans="1:11">
      <c r="A92" s="9"/>
      <c r="B92" s="9"/>
      <c r="C92" s="9"/>
      <c r="D92" s="9"/>
      <c r="E92" s="9"/>
      <c r="F92" s="9"/>
      <c r="G92" s="9"/>
      <c r="H92" s="9"/>
      <c r="I92" s="9"/>
      <c r="J92" s="9"/>
      <c r="K92" s="9"/>
    </row>
    <row r="93" ht="25" customHeight="1" spans="1:11">
      <c r="A93" s="19" t="s">
        <v>673</v>
      </c>
      <c r="B93" s="19" t="s">
        <v>2</v>
      </c>
      <c r="C93" s="19" t="s">
        <v>1183</v>
      </c>
      <c r="D93" s="19" t="s">
        <v>1184</v>
      </c>
      <c r="E93" s="19" t="s">
        <v>1185</v>
      </c>
      <c r="F93" s="19" t="s">
        <v>780</v>
      </c>
      <c r="G93" s="19" t="s">
        <v>1186</v>
      </c>
      <c r="H93" s="19" t="s">
        <v>1187</v>
      </c>
      <c r="I93" s="19" t="s">
        <v>1188</v>
      </c>
      <c r="J93" s="19" t="s">
        <v>1009</v>
      </c>
      <c r="K93" s="19" t="s">
        <v>1189</v>
      </c>
    </row>
    <row r="94" ht="25" customHeight="1" spans="1:11">
      <c r="A94" s="9" t="s">
        <v>383</v>
      </c>
      <c r="B94" s="9" t="s">
        <v>381</v>
      </c>
      <c r="C94" s="9">
        <v>114</v>
      </c>
      <c r="D94" s="10">
        <v>45513</v>
      </c>
      <c r="E94" s="10">
        <v>46269</v>
      </c>
      <c r="F94" s="9">
        <v>0</v>
      </c>
      <c r="G94" s="9" t="s">
        <v>1025</v>
      </c>
      <c r="H94" s="9" t="s">
        <v>1080</v>
      </c>
      <c r="I94" s="9" t="s">
        <v>1082</v>
      </c>
      <c r="J94" s="9" t="s">
        <v>1010</v>
      </c>
      <c r="K94" s="9" t="s">
        <v>1190</v>
      </c>
    </row>
    <row r="95" ht="25" customHeight="1" spans="1:11">
      <c r="A95" s="9" t="s">
        <v>388</v>
      </c>
      <c r="B95" s="9" t="s">
        <v>387</v>
      </c>
      <c r="C95" s="9">
        <v>240</v>
      </c>
      <c r="D95" s="10">
        <v>44883</v>
      </c>
      <c r="E95" s="10">
        <v>46265</v>
      </c>
      <c r="F95" s="9">
        <v>6</v>
      </c>
      <c r="G95" s="9" t="s">
        <v>1025</v>
      </c>
      <c r="H95" s="9" t="s">
        <v>1025</v>
      </c>
      <c r="I95" s="9" t="s">
        <v>1025</v>
      </c>
      <c r="J95" s="9" t="s">
        <v>813</v>
      </c>
      <c r="K95" s="9" t="s">
        <v>1191</v>
      </c>
    </row>
    <row r="96" ht="25" customHeight="1" spans="1:11">
      <c r="A96" s="9" t="s">
        <v>139</v>
      </c>
      <c r="B96" s="9" t="s">
        <v>135</v>
      </c>
      <c r="C96" s="9">
        <v>157</v>
      </c>
      <c r="D96" s="10">
        <v>46036</v>
      </c>
      <c r="E96" s="10">
        <v>46275</v>
      </c>
      <c r="F96" s="9">
        <v>0</v>
      </c>
      <c r="G96" s="9" t="s">
        <v>1080</v>
      </c>
      <c r="H96" s="9" t="s">
        <v>1080</v>
      </c>
      <c r="I96" s="9" t="s">
        <v>1082</v>
      </c>
      <c r="J96" s="9" t="s">
        <v>1011</v>
      </c>
      <c r="K96" s="9" t="s">
        <v>1192</v>
      </c>
    </row>
    <row r="97" ht="25" customHeight="1" spans="1:11">
      <c r="A97" s="9" t="s">
        <v>145</v>
      </c>
      <c r="B97" s="9" t="s">
        <v>144</v>
      </c>
      <c r="C97" s="9">
        <v>139</v>
      </c>
      <c r="D97" s="10">
        <v>46066</v>
      </c>
      <c r="E97" s="10">
        <v>46275</v>
      </c>
      <c r="F97" s="9">
        <v>1</v>
      </c>
      <c r="G97" s="9" t="s">
        <v>1080</v>
      </c>
      <c r="H97" s="9" t="s">
        <v>1080</v>
      </c>
      <c r="I97" s="9" t="s">
        <v>1025</v>
      </c>
      <c r="J97" s="9" t="s">
        <v>797</v>
      </c>
      <c r="K97" s="9" t="s">
        <v>1193</v>
      </c>
    </row>
    <row r="98" ht="25" customHeight="1" spans="1:11">
      <c r="A98" s="9" t="s">
        <v>213</v>
      </c>
      <c r="B98" s="9" t="s">
        <v>211</v>
      </c>
      <c r="C98" s="9">
        <v>124</v>
      </c>
      <c r="D98" s="10">
        <v>46094</v>
      </c>
      <c r="E98" s="10">
        <v>46274</v>
      </c>
      <c r="F98" s="9">
        <v>1</v>
      </c>
      <c r="G98" s="9" t="s">
        <v>1080</v>
      </c>
      <c r="H98" s="9" t="s">
        <v>1080</v>
      </c>
      <c r="I98" s="9" t="s">
        <v>1025</v>
      </c>
      <c r="J98" s="9" t="s">
        <v>802</v>
      </c>
      <c r="K98" s="9" t="s">
        <v>1194</v>
      </c>
    </row>
    <row r="99" ht="25" customHeight="1" spans="1:11">
      <c r="A99" s="9" t="s">
        <v>816</v>
      </c>
      <c r="B99" s="9" t="s">
        <v>518</v>
      </c>
      <c r="C99" s="9">
        <v>86</v>
      </c>
      <c r="D99" s="10">
        <v>45667</v>
      </c>
      <c r="E99" s="10">
        <v>46269</v>
      </c>
      <c r="F99" s="9">
        <v>3</v>
      </c>
      <c r="G99" s="9" t="s">
        <v>1025</v>
      </c>
      <c r="H99" s="9" t="s">
        <v>1080</v>
      </c>
      <c r="I99" s="9" t="s">
        <v>1082</v>
      </c>
      <c r="J99" s="9" t="s">
        <v>819</v>
      </c>
      <c r="K99" s="9" t="s">
        <v>1195</v>
      </c>
    </row>
    <row r="100" ht="25" customHeight="1" spans="1:11">
      <c r="A100" s="9" t="s">
        <v>477</v>
      </c>
      <c r="B100" s="9" t="s">
        <v>476</v>
      </c>
      <c r="C100" s="9">
        <v>218</v>
      </c>
      <c r="D100" s="10">
        <v>45952</v>
      </c>
      <c r="E100" s="10">
        <v>46274</v>
      </c>
      <c r="F100" s="9">
        <v>0</v>
      </c>
      <c r="G100" s="9" t="s">
        <v>1080</v>
      </c>
      <c r="H100" s="9" t="s">
        <v>1080</v>
      </c>
      <c r="I100" s="9" t="s">
        <v>1082</v>
      </c>
      <c r="J100" s="9" t="s">
        <v>1012</v>
      </c>
      <c r="K100" s="9" t="s">
        <v>1196</v>
      </c>
    </row>
    <row r="101" ht="25" customHeight="1" spans="1:11">
      <c r="A101" s="9" t="s">
        <v>472</v>
      </c>
      <c r="B101" s="9" t="s">
        <v>471</v>
      </c>
      <c r="C101" s="9">
        <v>286</v>
      </c>
      <c r="D101" s="10">
        <v>45848</v>
      </c>
      <c r="E101" s="10">
        <v>46274</v>
      </c>
      <c r="F101" s="9">
        <v>4</v>
      </c>
      <c r="G101" s="9" t="s">
        <v>1025</v>
      </c>
      <c r="H101" s="9" t="s">
        <v>1080</v>
      </c>
      <c r="I101" s="9" t="s">
        <v>1025</v>
      </c>
      <c r="J101" s="9" t="s">
        <v>815</v>
      </c>
      <c r="K101" s="9" t="s">
        <v>1197</v>
      </c>
    </row>
    <row r="102" ht="25" customHeight="1" spans="1:11">
      <c r="A102" s="9" t="s">
        <v>90</v>
      </c>
      <c r="B102" s="9" t="s">
        <v>88</v>
      </c>
      <c r="C102" s="9">
        <v>278</v>
      </c>
      <c r="D102" s="10">
        <v>44288</v>
      </c>
      <c r="E102" s="10">
        <v>46269</v>
      </c>
      <c r="F102" s="9">
        <v>8</v>
      </c>
      <c r="G102" s="9" t="s">
        <v>1025</v>
      </c>
      <c r="H102" s="9" t="s">
        <v>1025</v>
      </c>
      <c r="I102" s="9" t="s">
        <v>1025</v>
      </c>
      <c r="J102" s="9" t="s">
        <v>793</v>
      </c>
      <c r="K102" s="9" t="s">
        <v>1198</v>
      </c>
    </row>
    <row r="103" ht="25" customHeight="1" spans="1:11">
      <c r="A103" s="9" t="s">
        <v>371</v>
      </c>
      <c r="B103" s="9" t="s">
        <v>370</v>
      </c>
      <c r="C103" s="9">
        <v>530</v>
      </c>
      <c r="D103" s="10">
        <v>44305</v>
      </c>
      <c r="E103" s="10">
        <v>46267</v>
      </c>
      <c r="F103" s="9">
        <v>8</v>
      </c>
      <c r="G103" s="9" t="s">
        <v>1025</v>
      </c>
      <c r="H103" s="9" t="s">
        <v>1025</v>
      </c>
      <c r="I103" s="9" t="s">
        <v>1025</v>
      </c>
      <c r="J103" s="9" t="s">
        <v>812</v>
      </c>
      <c r="K103" s="9" t="s">
        <v>1199</v>
      </c>
    </row>
    <row r="104" ht="25" customHeight="1" spans="1:11">
      <c r="A104" s="9" t="s">
        <v>53</v>
      </c>
      <c r="B104" s="9" t="s">
        <v>49</v>
      </c>
      <c r="C104" s="9">
        <v>683</v>
      </c>
      <c r="D104" s="10">
        <v>44897</v>
      </c>
      <c r="E104" s="10">
        <v>46269</v>
      </c>
      <c r="F104" s="9">
        <v>8</v>
      </c>
      <c r="G104" s="9" t="s">
        <v>1025</v>
      </c>
      <c r="H104" s="9" t="s">
        <v>1025</v>
      </c>
      <c r="I104" s="9" t="s">
        <v>1025</v>
      </c>
      <c r="J104" s="9" t="s">
        <v>789</v>
      </c>
      <c r="K104" s="9" t="s">
        <v>1200</v>
      </c>
    </row>
    <row r="105" ht="25" customHeight="1" spans="1:11">
      <c r="A105" s="9" t="s">
        <v>238</v>
      </c>
      <c r="B105" s="9" t="s">
        <v>235</v>
      </c>
      <c r="C105" s="9">
        <v>151</v>
      </c>
      <c r="D105" s="10">
        <v>46049</v>
      </c>
      <c r="E105" s="10">
        <v>46274</v>
      </c>
      <c r="F105" s="9">
        <v>1</v>
      </c>
      <c r="G105" s="9" t="s">
        <v>1080</v>
      </c>
      <c r="H105" s="9" t="s">
        <v>1080</v>
      </c>
      <c r="I105" s="9" t="s">
        <v>1025</v>
      </c>
      <c r="J105" s="9" t="s">
        <v>805</v>
      </c>
      <c r="K105" s="9" t="s">
        <v>1201</v>
      </c>
    </row>
    <row r="106" ht="25" customHeight="1" spans="1:11">
      <c r="A106" s="9" t="s">
        <v>348</v>
      </c>
      <c r="B106" s="9" t="s">
        <v>347</v>
      </c>
      <c r="C106" s="9">
        <v>231</v>
      </c>
      <c r="D106" s="10">
        <v>45595</v>
      </c>
      <c r="E106" s="10">
        <v>46269</v>
      </c>
      <c r="F106" s="9">
        <v>4</v>
      </c>
      <c r="G106" s="9" t="s">
        <v>1025</v>
      </c>
      <c r="H106" s="9" t="s">
        <v>1080</v>
      </c>
      <c r="I106" s="9" t="s">
        <v>1025</v>
      </c>
      <c r="J106" s="9" t="s">
        <v>811</v>
      </c>
      <c r="K106" s="9" t="s">
        <v>1202</v>
      </c>
    </row>
    <row r="107" ht="25" customHeight="1" spans="1:11">
      <c r="A107" s="9" t="s">
        <v>327</v>
      </c>
      <c r="B107" s="9" t="s">
        <v>326</v>
      </c>
      <c r="C107" s="9">
        <v>1850</v>
      </c>
      <c r="D107" s="10">
        <v>43490</v>
      </c>
      <c r="E107" s="10">
        <v>46275</v>
      </c>
      <c r="F107" s="9">
        <v>8</v>
      </c>
      <c r="G107" s="9" t="s">
        <v>1025</v>
      </c>
      <c r="H107" s="9" t="s">
        <v>1025</v>
      </c>
      <c r="I107" s="9" t="s">
        <v>1025</v>
      </c>
      <c r="J107" s="9" t="s">
        <v>809</v>
      </c>
      <c r="K107" s="9" t="s">
        <v>1203</v>
      </c>
    </row>
    <row r="108" ht="25" customHeight="1" spans="1:11">
      <c r="A108" s="9" t="s">
        <v>422</v>
      </c>
      <c r="B108" s="9" t="s">
        <v>421</v>
      </c>
      <c r="C108" s="9">
        <v>195</v>
      </c>
      <c r="D108" s="10">
        <v>44883</v>
      </c>
      <c r="E108" s="10">
        <v>46269</v>
      </c>
      <c r="F108" s="9">
        <v>7</v>
      </c>
      <c r="G108" s="9" t="s">
        <v>1025</v>
      </c>
      <c r="H108" s="9" t="s">
        <v>1025</v>
      </c>
      <c r="I108" s="9" t="s">
        <v>1082</v>
      </c>
      <c r="J108" s="9" t="s">
        <v>814</v>
      </c>
      <c r="K108" s="9" t="s">
        <v>1204</v>
      </c>
    </row>
    <row r="109" ht="25" customHeight="1" spans="1:11">
      <c r="A109" s="9" t="s">
        <v>225</v>
      </c>
      <c r="B109" s="9" t="s">
        <v>224</v>
      </c>
      <c r="C109" s="9">
        <v>103</v>
      </c>
      <c r="D109" s="10">
        <v>45608</v>
      </c>
      <c r="E109" s="10">
        <v>46269</v>
      </c>
      <c r="F109" s="9">
        <v>0</v>
      </c>
      <c r="G109" s="9" t="s">
        <v>1025</v>
      </c>
      <c r="H109" s="9" t="s">
        <v>1080</v>
      </c>
      <c r="I109" s="9" t="s">
        <v>1082</v>
      </c>
      <c r="J109" s="9" t="s">
        <v>1013</v>
      </c>
      <c r="K109" s="9" t="s">
        <v>1205</v>
      </c>
    </row>
    <row r="110" ht="25" customHeight="1" spans="1:11">
      <c r="A110" s="9" t="s">
        <v>481</v>
      </c>
      <c r="B110" s="9" t="s">
        <v>480</v>
      </c>
      <c r="C110" s="9">
        <v>229</v>
      </c>
      <c r="D110" s="10">
        <v>45929</v>
      </c>
      <c r="E110" s="10">
        <v>46275</v>
      </c>
      <c r="F110" s="9">
        <v>0</v>
      </c>
      <c r="G110" s="9" t="s">
        <v>1080</v>
      </c>
      <c r="H110" s="9" t="s">
        <v>1080</v>
      </c>
      <c r="I110" s="9" t="s">
        <v>1025</v>
      </c>
      <c r="J110" s="9" t="s">
        <v>1014</v>
      </c>
      <c r="K110" s="9" t="s">
        <v>1206</v>
      </c>
    </row>
    <row r="111" ht="25" customHeight="1" spans="1:11">
      <c r="A111" s="9" t="s">
        <v>249</v>
      </c>
      <c r="B111" s="9" t="s">
        <v>248</v>
      </c>
      <c r="C111" s="9">
        <v>291</v>
      </c>
      <c r="D111" s="10">
        <v>44196</v>
      </c>
      <c r="E111" s="10">
        <v>46269</v>
      </c>
      <c r="F111" s="9">
        <v>8</v>
      </c>
      <c r="G111" s="9" t="s">
        <v>1025</v>
      </c>
      <c r="H111" s="9" t="s">
        <v>1025</v>
      </c>
      <c r="I111" s="9" t="s">
        <v>1025</v>
      </c>
      <c r="J111" s="9" t="s">
        <v>807</v>
      </c>
      <c r="K111" s="9" t="s">
        <v>1207</v>
      </c>
    </row>
    <row r="112" ht="25" customHeight="1" spans="1:11">
      <c r="A112" s="9" t="s">
        <v>244</v>
      </c>
      <c r="B112" s="9" t="s">
        <v>243</v>
      </c>
      <c r="C112" s="9">
        <v>206</v>
      </c>
      <c r="D112" s="10">
        <v>45597</v>
      </c>
      <c r="E112" s="10">
        <v>46275</v>
      </c>
      <c r="F112" s="9">
        <v>3</v>
      </c>
      <c r="G112" s="9" t="s">
        <v>1025</v>
      </c>
      <c r="H112" s="9" t="s">
        <v>1080</v>
      </c>
      <c r="I112" s="9" t="s">
        <v>1082</v>
      </c>
      <c r="J112" s="9" t="s">
        <v>806</v>
      </c>
      <c r="K112" s="9" t="s">
        <v>1208</v>
      </c>
    </row>
    <row r="113" ht="25" customHeight="1" spans="1:11">
      <c r="A113" s="9" t="s">
        <v>207</v>
      </c>
      <c r="B113" s="9" t="s">
        <v>206</v>
      </c>
      <c r="C113" s="9">
        <v>98</v>
      </c>
      <c r="D113" s="10">
        <v>45652</v>
      </c>
      <c r="E113" s="10">
        <v>46275</v>
      </c>
      <c r="F113" s="9">
        <v>4</v>
      </c>
      <c r="G113" s="9" t="s">
        <v>1025</v>
      </c>
      <c r="H113" s="9" t="s">
        <v>1080</v>
      </c>
      <c r="I113" s="9" t="s">
        <v>1025</v>
      </c>
      <c r="J113" s="9" t="s">
        <v>801</v>
      </c>
      <c r="K113" s="9" t="s">
        <v>1209</v>
      </c>
    </row>
    <row r="114" ht="25" customHeight="1" spans="1:11">
      <c r="A114" s="9" t="s">
        <v>231</v>
      </c>
      <c r="B114" s="9" t="s">
        <v>229</v>
      </c>
      <c r="C114" s="9">
        <v>933</v>
      </c>
      <c r="D114" s="10">
        <v>44323</v>
      </c>
      <c r="E114" s="10">
        <v>46265</v>
      </c>
      <c r="F114" s="9">
        <v>6</v>
      </c>
      <c r="G114" s="9" t="s">
        <v>1025</v>
      </c>
      <c r="H114" s="9" t="s">
        <v>1025</v>
      </c>
      <c r="I114" s="9" t="s">
        <v>1025</v>
      </c>
      <c r="J114" s="9" t="s">
        <v>804</v>
      </c>
      <c r="K114" s="9" t="s">
        <v>1210</v>
      </c>
    </row>
    <row r="115" ht="25" customHeight="1" spans="1:11">
      <c r="A115" s="9" t="s">
        <v>343</v>
      </c>
      <c r="B115" s="9" t="s">
        <v>342</v>
      </c>
      <c r="C115" s="9">
        <v>168</v>
      </c>
      <c r="D115" s="10">
        <v>46022</v>
      </c>
      <c r="E115" s="10">
        <v>46274</v>
      </c>
      <c r="F115" s="9">
        <v>0</v>
      </c>
      <c r="G115" s="9" t="s">
        <v>1080</v>
      </c>
      <c r="H115" s="9" t="s">
        <v>1080</v>
      </c>
      <c r="I115" s="9" t="s">
        <v>1082</v>
      </c>
      <c r="J115" s="9" t="s">
        <v>1015</v>
      </c>
      <c r="K115" s="9" t="s">
        <v>1211</v>
      </c>
    </row>
    <row r="116" ht="25" customHeight="1" spans="1:11">
      <c r="A116" s="9" t="s">
        <v>194</v>
      </c>
      <c r="B116" s="9" t="s">
        <v>193</v>
      </c>
      <c r="C116" s="9">
        <v>88</v>
      </c>
      <c r="D116" s="10">
        <v>45694</v>
      </c>
      <c r="E116" s="10">
        <v>46265</v>
      </c>
      <c r="F116" s="9">
        <v>3</v>
      </c>
      <c r="G116" s="9" t="s">
        <v>1025</v>
      </c>
      <c r="H116" s="9" t="s">
        <v>1080</v>
      </c>
      <c r="I116" s="9" t="s">
        <v>1025</v>
      </c>
      <c r="J116" s="9" t="s">
        <v>798</v>
      </c>
      <c r="K116" s="9" t="s">
        <v>1212</v>
      </c>
    </row>
    <row r="117" ht="25" customHeight="1" spans="1:11">
      <c r="A117" s="9" t="s">
        <v>199</v>
      </c>
      <c r="B117" s="9" t="s">
        <v>198</v>
      </c>
      <c r="C117" s="9">
        <v>77</v>
      </c>
      <c r="D117" s="10">
        <v>45750</v>
      </c>
      <c r="E117" s="10">
        <v>46269</v>
      </c>
      <c r="F117" s="9">
        <v>3</v>
      </c>
      <c r="G117" s="9" t="s">
        <v>1025</v>
      </c>
      <c r="H117" s="9" t="s">
        <v>1080</v>
      </c>
      <c r="I117" s="9" t="s">
        <v>1082</v>
      </c>
      <c r="J117" s="9" t="s">
        <v>799</v>
      </c>
      <c r="K117" s="9" t="s">
        <v>1213</v>
      </c>
    </row>
    <row r="118" ht="25" customHeight="1" spans="1:11">
      <c r="A118" s="9" t="s">
        <v>203</v>
      </c>
      <c r="B118" s="9" t="s">
        <v>202</v>
      </c>
      <c r="C118" s="9">
        <v>74</v>
      </c>
      <c r="D118" s="10">
        <v>45819</v>
      </c>
      <c r="E118" s="10">
        <v>46265</v>
      </c>
      <c r="F118" s="9">
        <v>2</v>
      </c>
      <c r="G118" s="9" t="s">
        <v>1025</v>
      </c>
      <c r="H118" s="9" t="s">
        <v>1080</v>
      </c>
      <c r="I118" s="9" t="s">
        <v>1082</v>
      </c>
      <c r="J118" s="9" t="s">
        <v>800</v>
      </c>
      <c r="K118" s="9" t="s">
        <v>1214</v>
      </c>
    </row>
    <row r="119" ht="25" customHeight="1" spans="1:11">
      <c r="A119" s="9" t="s">
        <v>260</v>
      </c>
      <c r="B119" s="9" t="s">
        <v>259</v>
      </c>
      <c r="C119" s="9">
        <v>85</v>
      </c>
      <c r="D119" s="10">
        <v>46154</v>
      </c>
      <c r="E119" s="10">
        <v>46274</v>
      </c>
      <c r="F119" s="9">
        <v>0</v>
      </c>
      <c r="G119" s="9" t="s">
        <v>1080</v>
      </c>
      <c r="H119" s="9" t="s">
        <v>1080</v>
      </c>
      <c r="I119" s="9" t="s">
        <v>1082</v>
      </c>
      <c r="J119" s="9" t="s">
        <v>1016</v>
      </c>
      <c r="K119" s="9" t="s">
        <v>1215</v>
      </c>
    </row>
    <row r="120" ht="25" customHeight="1" spans="1:11">
      <c r="A120" s="9"/>
      <c r="B120" s="9"/>
      <c r="C120" s="9"/>
      <c r="D120" s="9"/>
      <c r="E120" s="9"/>
      <c r="F120" s="9"/>
      <c r="G120" s="9"/>
      <c r="H120" s="9"/>
      <c r="I120" s="9"/>
      <c r="J120" s="9"/>
      <c r="K120" s="9"/>
    </row>
    <row r="121" ht="25" customHeight="1" spans="1:11">
      <c r="A121" s="9"/>
      <c r="B121" s="9"/>
      <c r="C121" s="9"/>
      <c r="D121" s="9"/>
      <c r="E121" s="9"/>
      <c r="F121" s="9"/>
      <c r="G121" s="9"/>
      <c r="H121" s="9"/>
      <c r="I121" s="9"/>
      <c r="J121" s="9"/>
      <c r="K121" s="9"/>
    </row>
    <row r="122" ht="25" customHeight="1" spans="1:11">
      <c r="A122" s="9"/>
      <c r="B122" s="9"/>
      <c r="C122" s="9"/>
      <c r="D122" s="9"/>
      <c r="E122" s="9"/>
      <c r="F122" s="9"/>
      <c r="G122" s="9"/>
      <c r="H122" s="9"/>
      <c r="I122" s="9"/>
      <c r="J122" s="9"/>
      <c r="K122" s="9"/>
    </row>
  </sheetData>
  <pageMargins left="0.7" right="0.7" top="0.75" bottom="0.75" header="0.3" footer="0.3"/>
  <headerFooter/>
  <tableParts count="2">
    <tablePart r:id="rId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84"/>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6.8"/>
  <cols>
    <col min="1" max="1" width="15" customWidth="1"/>
    <col min="2" max="2" width="30" customWidth="1"/>
    <col min="3" max="3" width="48" customWidth="1"/>
    <col min="4" max="6" width="15" customWidth="1"/>
    <col min="7" max="7" width="28" customWidth="1"/>
    <col min="8" max="8" width="15" customWidth="1"/>
    <col min="9" max="12" width="48" customWidth="1"/>
    <col min="13" max="17" width="15" customWidth="1"/>
    <col min="18" max="21" width="48" customWidth="1"/>
    <col min="22" max="24" width="15" customWidth="1"/>
  </cols>
  <sheetData>
    <row r="1" ht="43" customHeight="1" spans="1:24">
      <c r="A1" s="7" t="s">
        <v>673</v>
      </c>
      <c r="B1" s="8" t="s">
        <v>2</v>
      </c>
      <c r="C1" s="8" t="s">
        <v>1216</v>
      </c>
      <c r="D1" s="8" t="s">
        <v>1217</v>
      </c>
      <c r="E1" s="8" t="s">
        <v>765</v>
      </c>
      <c r="F1" s="8" t="s">
        <v>645</v>
      </c>
      <c r="G1" s="8" t="s">
        <v>766</v>
      </c>
      <c r="H1" s="8" t="s">
        <v>1218</v>
      </c>
      <c r="I1" s="8" t="s">
        <v>1219</v>
      </c>
      <c r="J1" s="8" t="s">
        <v>1220</v>
      </c>
      <c r="K1" s="8" t="s">
        <v>1221</v>
      </c>
      <c r="L1" s="8" t="s">
        <v>1222</v>
      </c>
      <c r="M1" s="8" t="s">
        <v>1223</v>
      </c>
      <c r="N1" s="8" t="s">
        <v>1224</v>
      </c>
      <c r="O1" s="8" t="s">
        <v>1225</v>
      </c>
      <c r="P1" s="8" t="s">
        <v>1226</v>
      </c>
      <c r="Q1" s="8" t="s">
        <v>1227</v>
      </c>
      <c r="R1" s="8" t="s">
        <v>1228</v>
      </c>
      <c r="S1" s="8" t="s">
        <v>1229</v>
      </c>
      <c r="T1" s="8" t="s">
        <v>1230</v>
      </c>
      <c r="U1" s="8" t="s">
        <v>1231</v>
      </c>
      <c r="V1" s="8" t="s">
        <v>1232</v>
      </c>
      <c r="W1" s="8" t="s">
        <v>1233</v>
      </c>
      <c r="X1" s="14" t="s">
        <v>1234</v>
      </c>
    </row>
    <row r="2" ht="25" customHeight="1" spans="1:24">
      <c r="A2" s="9" t="s">
        <v>40</v>
      </c>
      <c r="B2" s="9" t="s">
        <v>33</v>
      </c>
      <c r="C2" s="9" t="s">
        <v>1235</v>
      </c>
      <c r="D2" s="9" t="s">
        <v>1236</v>
      </c>
      <c r="E2" s="9" t="s">
        <v>557</v>
      </c>
      <c r="F2" s="9" t="str">
        <f>IF(E2="0-5亿元","小规模",IF(COUNTIF('Sheet1-指标体系'!$P$5:$P$10,E2)&gt;0,"大规模","规模待确认"))</f>
        <v>大规模</v>
      </c>
      <c r="G2" s="9" t="s">
        <v>1237</v>
      </c>
      <c r="H2" s="9" t="s">
        <v>1238</v>
      </c>
      <c r="I2" s="9" t="s">
        <v>1239</v>
      </c>
      <c r="J2" s="9" t="s">
        <v>1240</v>
      </c>
      <c r="K2" s="9" t="s">
        <v>1240</v>
      </c>
      <c r="L2" s="9" t="s">
        <v>1240</v>
      </c>
      <c r="M2" s="9" t="s">
        <v>1241</v>
      </c>
      <c r="N2" s="9" t="s">
        <v>1242</v>
      </c>
      <c r="O2" s="10">
        <v>45777</v>
      </c>
      <c r="P2" s="10">
        <v>46240</v>
      </c>
      <c r="Q2" s="10">
        <v>46276</v>
      </c>
      <c r="R2" s="9" t="s">
        <v>1243</v>
      </c>
      <c r="S2" s="9" t="s">
        <v>834</v>
      </c>
      <c r="T2" s="9" t="s">
        <v>785</v>
      </c>
      <c r="U2" s="9" t="s">
        <v>1244</v>
      </c>
      <c r="V2" s="9">
        <f>IF(F2="大规模",COUNTIFS($F$2:$F$84,"大规模",$X$2:$X$84,"&lt;"&amp;X2)+1,"")</f>
        <v>13</v>
      </c>
      <c r="W2" s="9" t="str">
        <f>IF(F2="小规模",COUNTIFS($F$2:$F$84,"小规模",$X$2:$X$84,"&lt;"&amp;X2)+1,"")</f>
        <v/>
      </c>
      <c r="X2" s="9">
        <f>'Sheet2-计算明细'!BJ17</f>
        <v>15</v>
      </c>
    </row>
    <row r="3" ht="25" customHeight="1" spans="1:24">
      <c r="A3" s="9" t="s">
        <v>53</v>
      </c>
      <c r="B3" s="9" t="s">
        <v>49</v>
      </c>
      <c r="C3" s="9" t="s">
        <v>1245</v>
      </c>
      <c r="D3" s="9" t="s">
        <v>1246</v>
      </c>
      <c r="E3" s="9" t="s">
        <v>546</v>
      </c>
      <c r="F3" s="9" t="str">
        <f>IF(E3="0-5亿元","小规模",IF(COUNTIF('Sheet1-指标体系'!$P$5:$P$10,E3)&gt;0,"大规模","规模待确认"))</f>
        <v>大规模</v>
      </c>
      <c r="G3" s="9" t="s">
        <v>1237</v>
      </c>
      <c r="H3" s="9" t="s">
        <v>1238</v>
      </c>
      <c r="I3" s="9" t="s">
        <v>1239</v>
      </c>
      <c r="J3" s="9" t="s">
        <v>1240</v>
      </c>
      <c r="K3" s="9" t="s">
        <v>1240</v>
      </c>
      <c r="L3" s="9" t="s">
        <v>1240</v>
      </c>
      <c r="M3" s="9" t="s">
        <v>1241</v>
      </c>
      <c r="N3" s="9" t="s">
        <v>1242</v>
      </c>
      <c r="O3" s="10">
        <v>45875</v>
      </c>
      <c r="P3" s="10">
        <v>45602</v>
      </c>
      <c r="Q3" s="10">
        <v>46276</v>
      </c>
      <c r="R3" s="9" t="s">
        <v>1247</v>
      </c>
      <c r="S3" s="9" t="s">
        <v>838</v>
      </c>
      <c r="T3" s="9" t="s">
        <v>785</v>
      </c>
      <c r="U3" s="9" t="s">
        <v>1244</v>
      </c>
      <c r="V3" s="9">
        <f>IF(F3="大规模",COUNTIFS($F$2:$F$84,"大规模",$X$2:$X$84,"&lt;"&amp;X3)+1,"")</f>
        <v>40</v>
      </c>
      <c r="W3" s="9" t="str">
        <f>IF(F3="小规模",COUNTIFS($F$2:$F$84,"小规模",$X$2:$X$84,"&lt;"&amp;X3)+1,"")</f>
        <v/>
      </c>
      <c r="X3" s="9">
        <f>'Sheet2-计算明细'!BJ18</f>
        <v>53</v>
      </c>
    </row>
    <row r="4" ht="25" customHeight="1" spans="1:24">
      <c r="A4" s="9" t="s">
        <v>63</v>
      </c>
      <c r="B4" s="9" t="s">
        <v>60</v>
      </c>
      <c r="C4" s="9" t="s">
        <v>1248</v>
      </c>
      <c r="D4" s="9" t="s">
        <v>1249</v>
      </c>
      <c r="E4" s="9" t="s">
        <v>546</v>
      </c>
      <c r="F4" s="9" t="str">
        <f>IF(E4="0-5亿元","小规模",IF(COUNTIF('Sheet1-指标体系'!$P$5:$P$10,E4)&gt;0,"大规模","规模待确认"))</f>
        <v>大规模</v>
      </c>
      <c r="G4" s="9" t="s">
        <v>1250</v>
      </c>
      <c r="H4" s="9" t="s">
        <v>1238</v>
      </c>
      <c r="I4" s="9" t="s">
        <v>1239</v>
      </c>
      <c r="J4" s="9" t="s">
        <v>1251</v>
      </c>
      <c r="K4" s="9" t="s">
        <v>1240</v>
      </c>
      <c r="L4" s="9" t="s">
        <v>1240</v>
      </c>
      <c r="M4" s="9" t="s">
        <v>1241</v>
      </c>
      <c r="N4" s="9" t="s">
        <v>1242</v>
      </c>
      <c r="O4" s="10">
        <v>46163</v>
      </c>
      <c r="P4" s="10">
        <v>44788</v>
      </c>
      <c r="Q4" s="10">
        <v>46276</v>
      </c>
      <c r="R4" s="9" t="s">
        <v>1252</v>
      </c>
      <c r="S4" s="9" t="s">
        <v>840</v>
      </c>
      <c r="T4" s="9" t="s">
        <v>785</v>
      </c>
      <c r="U4" s="9" t="s">
        <v>1244</v>
      </c>
      <c r="V4" s="9">
        <f>IF(F4="大规模",COUNTIFS($F$2:$F$84,"大规模",$X$2:$X$84,"&lt;"&amp;X4)+1,"")</f>
        <v>55</v>
      </c>
      <c r="W4" s="9" t="str">
        <f>IF(F4="小规模",COUNTIFS($F$2:$F$84,"小规模",$X$2:$X$84,"&lt;"&amp;X4)+1,"")</f>
        <v/>
      </c>
      <c r="X4" s="9">
        <f>'Sheet2-计算明细'!BJ19</f>
        <v>74</v>
      </c>
    </row>
    <row r="5" ht="25" customHeight="1" spans="1:24">
      <c r="A5" s="9" t="s">
        <v>72</v>
      </c>
      <c r="B5" s="9" t="s">
        <v>69</v>
      </c>
      <c r="C5" s="9" t="s">
        <v>1253</v>
      </c>
      <c r="D5" s="9" t="s">
        <v>1254</v>
      </c>
      <c r="E5" s="9" t="s">
        <v>572</v>
      </c>
      <c r="F5" s="9" t="str">
        <f>IF(E5="0-5亿元","小规模",IF(COUNTIF('Sheet1-指标体系'!$P$5:$P$10,E5)&gt;0,"大规模","规模待确认"))</f>
        <v>大规模</v>
      </c>
      <c r="G5" s="9" t="s">
        <v>1237</v>
      </c>
      <c r="H5" s="9" t="s">
        <v>1238</v>
      </c>
      <c r="I5" s="9" t="s">
        <v>1239</v>
      </c>
      <c r="J5" s="9" t="s">
        <v>1240</v>
      </c>
      <c r="K5" s="9" t="s">
        <v>1240</v>
      </c>
      <c r="L5" s="9" t="s">
        <v>1240</v>
      </c>
      <c r="M5" s="9" t="s">
        <v>1241</v>
      </c>
      <c r="N5" s="9" t="s">
        <v>1242</v>
      </c>
      <c r="O5" s="10">
        <v>46063</v>
      </c>
      <c r="P5" s="10">
        <v>46197</v>
      </c>
      <c r="Q5" s="10">
        <v>46276</v>
      </c>
      <c r="R5" s="9" t="s">
        <v>1255</v>
      </c>
      <c r="S5" s="9" t="s">
        <v>842</v>
      </c>
      <c r="T5" s="9" t="s">
        <v>785</v>
      </c>
      <c r="U5" s="9" t="s">
        <v>1244</v>
      </c>
      <c r="V5" s="9">
        <f>IF(F5="大规模",COUNTIFS($F$2:$F$84,"大规模",$X$2:$X$84,"&lt;"&amp;X5)+1,"")</f>
        <v>28</v>
      </c>
      <c r="W5" s="9" t="str">
        <f>IF(F5="小规模",COUNTIFS($F$2:$F$84,"小规模",$X$2:$X$84,"&lt;"&amp;X5)+1,"")</f>
        <v/>
      </c>
      <c r="X5" s="9">
        <f>'Sheet2-计算明细'!BJ20</f>
        <v>34</v>
      </c>
    </row>
    <row r="6" ht="25" customHeight="1" spans="1:24">
      <c r="A6" s="9" t="s">
        <v>78</v>
      </c>
      <c r="B6" s="9" t="s">
        <v>77</v>
      </c>
      <c r="C6" s="9" t="s">
        <v>1253</v>
      </c>
      <c r="D6" s="9" t="s">
        <v>1254</v>
      </c>
      <c r="E6" s="9" t="s">
        <v>572</v>
      </c>
      <c r="F6" s="9" t="str">
        <f>IF(E6="0-5亿元","小规模",IF(COUNTIF('Sheet1-指标体系'!$P$5:$P$10,E6)&gt;0,"大规模","规模待确认"))</f>
        <v>大规模</v>
      </c>
      <c r="G6" s="9" t="s">
        <v>1237</v>
      </c>
      <c r="H6" s="9" t="s">
        <v>1238</v>
      </c>
      <c r="I6" s="9" t="s">
        <v>1239</v>
      </c>
      <c r="J6" s="9" t="s">
        <v>1240</v>
      </c>
      <c r="K6" s="9" t="s">
        <v>1240</v>
      </c>
      <c r="L6" s="9" t="s">
        <v>1240</v>
      </c>
      <c r="M6" s="9" t="s">
        <v>1241</v>
      </c>
      <c r="N6" s="9" t="s">
        <v>1242</v>
      </c>
      <c r="O6" s="10">
        <v>46063</v>
      </c>
      <c r="P6" s="10">
        <v>45835</v>
      </c>
      <c r="Q6" s="10">
        <v>46276</v>
      </c>
      <c r="R6" s="9" t="s">
        <v>1255</v>
      </c>
      <c r="S6" s="9" t="s">
        <v>844</v>
      </c>
      <c r="T6" s="9" t="s">
        <v>785</v>
      </c>
      <c r="U6" s="9" t="s">
        <v>1244</v>
      </c>
      <c r="V6" s="9">
        <f>IF(F6="大规模",COUNTIFS($F$2:$F$84,"大规模",$X$2:$X$84,"&lt;"&amp;X6)+1,"")</f>
        <v>44</v>
      </c>
      <c r="W6" s="9" t="str">
        <f>IF(F6="小规模",COUNTIFS($F$2:$F$84,"小规模",$X$2:$X$84,"&lt;"&amp;X6)+1,"")</f>
        <v/>
      </c>
      <c r="X6" s="9">
        <f>'Sheet2-计算明细'!BJ21</f>
        <v>57</v>
      </c>
    </row>
    <row r="7" ht="25" customHeight="1" spans="1:24">
      <c r="A7" s="9" t="s">
        <v>84</v>
      </c>
      <c r="B7" s="9" t="s">
        <v>83</v>
      </c>
      <c r="C7" s="9" t="s">
        <v>1256</v>
      </c>
      <c r="D7" s="9" t="s">
        <v>1257</v>
      </c>
      <c r="E7" s="9" t="s">
        <v>542</v>
      </c>
      <c r="F7" s="9" t="str">
        <f>IF(E7="0-5亿元","小规模",IF(COUNTIF('Sheet1-指标体系'!$P$5:$P$10,E7)&gt;0,"大规模","规模待确认"))</f>
        <v>小规模</v>
      </c>
      <c r="G7" s="9" t="s">
        <v>1237</v>
      </c>
      <c r="H7" s="9" t="s">
        <v>1238</v>
      </c>
      <c r="I7" s="9" t="s">
        <v>1239</v>
      </c>
      <c r="J7" s="9" t="s">
        <v>1240</v>
      </c>
      <c r="K7" s="9" t="s">
        <v>1240</v>
      </c>
      <c r="L7" s="9" t="s">
        <v>1240</v>
      </c>
      <c r="M7" s="9" t="s">
        <v>1241</v>
      </c>
      <c r="N7" s="9" t="s">
        <v>1242</v>
      </c>
      <c r="O7" s="10">
        <v>46134</v>
      </c>
      <c r="P7" s="10">
        <v>44875</v>
      </c>
      <c r="Q7" s="10">
        <v>46276</v>
      </c>
      <c r="R7" s="9" t="s">
        <v>1258</v>
      </c>
      <c r="S7" s="9" t="s">
        <v>846</v>
      </c>
      <c r="T7" s="9" t="s">
        <v>785</v>
      </c>
      <c r="U7" s="9" t="s">
        <v>1244</v>
      </c>
      <c r="V7" s="9" t="str">
        <f>IF(F7="大规模",COUNTIFS($F$2:$F$84,"大规模",$X$2:$X$84,"&lt;"&amp;X7)+1,"")</f>
        <v/>
      </c>
      <c r="W7" s="9">
        <f>IF(F7="小规模",COUNTIFS($F$2:$F$84,"小规模",$X$2:$X$84,"&lt;"&amp;X7)+1,"")</f>
        <v>12</v>
      </c>
      <c r="X7" s="9">
        <f>'Sheet2-计算明细'!BJ22</f>
        <v>46</v>
      </c>
    </row>
    <row r="8" ht="25" customHeight="1" spans="1:24">
      <c r="A8" s="9" t="s">
        <v>90</v>
      </c>
      <c r="B8" s="9" t="s">
        <v>88</v>
      </c>
      <c r="C8" s="9" t="s">
        <v>1259</v>
      </c>
      <c r="D8" s="9" t="s">
        <v>1260</v>
      </c>
      <c r="E8" s="9" t="s">
        <v>546</v>
      </c>
      <c r="F8" s="9" t="str">
        <f>IF(E8="0-5亿元","小规模",IF(COUNTIF('Sheet1-指标体系'!$P$5:$P$10,E8)&gt;0,"大规模","规模待确认"))</f>
        <v>大规模</v>
      </c>
      <c r="G8" s="9" t="s">
        <v>1237</v>
      </c>
      <c r="H8" s="9" t="s">
        <v>1238</v>
      </c>
      <c r="I8" s="9" t="s">
        <v>1239</v>
      </c>
      <c r="J8" s="9" t="s">
        <v>1240</v>
      </c>
      <c r="K8" s="9" t="s">
        <v>1240</v>
      </c>
      <c r="L8" s="9" t="s">
        <v>1240</v>
      </c>
      <c r="M8" s="9" t="s">
        <v>1241</v>
      </c>
      <c r="N8" s="9" t="s">
        <v>1242</v>
      </c>
      <c r="O8" s="10">
        <v>46050</v>
      </c>
      <c r="P8" s="10">
        <v>46231</v>
      </c>
      <c r="Q8" s="10">
        <v>46276</v>
      </c>
      <c r="R8" s="9" t="s">
        <v>1261</v>
      </c>
      <c r="S8" s="9" t="s">
        <v>848</v>
      </c>
      <c r="T8" s="9" t="s">
        <v>785</v>
      </c>
      <c r="U8" s="9" t="s">
        <v>1244</v>
      </c>
      <c r="V8" s="9">
        <f>IF(F8="大规模",COUNTIFS($F$2:$F$84,"大规模",$X$2:$X$84,"&lt;"&amp;X8)+1,"")</f>
        <v>22</v>
      </c>
      <c r="W8" s="9" t="str">
        <f>IF(F8="小规模",COUNTIFS($F$2:$F$84,"小规模",$X$2:$X$84,"&lt;"&amp;X8)+1,"")</f>
        <v/>
      </c>
      <c r="X8" s="9">
        <f>'Sheet2-计算明细'!BJ23</f>
        <v>26</v>
      </c>
    </row>
    <row r="9" ht="25" customHeight="1" spans="1:24">
      <c r="A9" s="9" t="s">
        <v>98</v>
      </c>
      <c r="B9" s="9" t="s">
        <v>95</v>
      </c>
      <c r="C9" s="9" t="s">
        <v>1262</v>
      </c>
      <c r="D9" s="9" t="s">
        <v>1263</v>
      </c>
      <c r="E9" s="9" t="s">
        <v>557</v>
      </c>
      <c r="F9" s="9" t="str">
        <f>IF(E9="0-5亿元","小规模",IF(COUNTIF('Sheet1-指标体系'!$P$5:$P$10,E9)&gt;0,"大规模","规模待确认"))</f>
        <v>大规模</v>
      </c>
      <c r="G9" s="9" t="s">
        <v>1237</v>
      </c>
      <c r="H9" s="9" t="s">
        <v>1238</v>
      </c>
      <c r="I9" s="9" t="s">
        <v>1239</v>
      </c>
      <c r="J9" s="9" t="s">
        <v>1240</v>
      </c>
      <c r="K9" s="9" t="s">
        <v>1240</v>
      </c>
      <c r="L9" s="9" t="s">
        <v>1240</v>
      </c>
      <c r="M9" s="9" t="s">
        <v>1241</v>
      </c>
      <c r="N9" s="9" t="s">
        <v>1242</v>
      </c>
      <c r="O9" s="10">
        <v>45947</v>
      </c>
      <c r="P9" s="10">
        <v>45926</v>
      </c>
      <c r="Q9" s="10">
        <v>46276</v>
      </c>
      <c r="R9" s="9" t="s">
        <v>1264</v>
      </c>
      <c r="S9" s="9" t="s">
        <v>850</v>
      </c>
      <c r="T9" s="9" t="s">
        <v>785</v>
      </c>
      <c r="U9" s="9" t="s">
        <v>1244</v>
      </c>
      <c r="V9" s="9">
        <f>IF(F9="大规模",COUNTIFS($F$2:$F$84,"大规模",$X$2:$X$84,"&lt;"&amp;X9)+1,"")</f>
        <v>30</v>
      </c>
      <c r="W9" s="9" t="str">
        <f>IF(F9="小规模",COUNTIFS($F$2:$F$84,"小规模",$X$2:$X$84,"&lt;"&amp;X9)+1,"")</f>
        <v/>
      </c>
      <c r="X9" s="9">
        <f>'Sheet2-计算明细'!BJ24</f>
        <v>36</v>
      </c>
    </row>
    <row r="10" ht="25" customHeight="1" spans="1:24">
      <c r="A10" s="9" t="s">
        <v>105</v>
      </c>
      <c r="B10" s="9" t="s">
        <v>104</v>
      </c>
      <c r="C10" s="9" t="s">
        <v>1262</v>
      </c>
      <c r="D10" s="9" t="s">
        <v>1263</v>
      </c>
      <c r="E10" s="9" t="s">
        <v>557</v>
      </c>
      <c r="F10" s="9" t="str">
        <f>IF(E10="0-5亿元","小规模",IF(COUNTIF('Sheet1-指标体系'!$P$5:$P$10,E10)&gt;0,"大规模","规模待确认"))</f>
        <v>大规模</v>
      </c>
      <c r="G10" s="9" t="s">
        <v>1237</v>
      </c>
      <c r="H10" s="9" t="s">
        <v>1238</v>
      </c>
      <c r="I10" s="9" t="s">
        <v>1239</v>
      </c>
      <c r="J10" s="9" t="s">
        <v>1240</v>
      </c>
      <c r="K10" s="9" t="s">
        <v>1240</v>
      </c>
      <c r="L10" s="9" t="s">
        <v>1240</v>
      </c>
      <c r="M10" s="9" t="s">
        <v>1241</v>
      </c>
      <c r="N10" s="9" t="s">
        <v>1242</v>
      </c>
      <c r="O10" s="10">
        <v>45947</v>
      </c>
      <c r="P10" s="10">
        <v>46206</v>
      </c>
      <c r="Q10" s="10">
        <v>46276</v>
      </c>
      <c r="R10" s="9" t="s">
        <v>1264</v>
      </c>
      <c r="S10" s="9" t="s">
        <v>852</v>
      </c>
      <c r="T10" s="9" t="s">
        <v>785</v>
      </c>
      <c r="U10" s="9" t="s">
        <v>1244</v>
      </c>
      <c r="V10" s="9">
        <f>IF(F10="大规模",COUNTIFS($F$2:$F$84,"大规模",$X$2:$X$84,"&lt;"&amp;X10)+1,"")</f>
        <v>25</v>
      </c>
      <c r="W10" s="9" t="str">
        <f>IF(F10="小规模",COUNTIFS($F$2:$F$84,"小规模",$X$2:$X$84,"&lt;"&amp;X10)+1,"")</f>
        <v/>
      </c>
      <c r="X10" s="9">
        <f>'Sheet2-计算明细'!BJ25</f>
        <v>30</v>
      </c>
    </row>
    <row r="11" ht="25" customHeight="1" spans="1:24">
      <c r="A11" s="9" t="s">
        <v>112</v>
      </c>
      <c r="B11" s="9" t="s">
        <v>110</v>
      </c>
      <c r="C11" s="9" t="s">
        <v>1265</v>
      </c>
      <c r="D11" s="9" t="s">
        <v>1266</v>
      </c>
      <c r="E11" s="9" t="s">
        <v>546</v>
      </c>
      <c r="F11" s="9" t="str">
        <f>IF(E11="0-5亿元","小规模",IF(COUNTIF('Sheet1-指标体系'!$P$5:$P$10,E11)&gt;0,"大规模","规模待确认"))</f>
        <v>大规模</v>
      </c>
      <c r="G11" s="9" t="s">
        <v>1237</v>
      </c>
      <c r="H11" s="9" t="s">
        <v>1238</v>
      </c>
      <c r="I11" s="9" t="s">
        <v>1239</v>
      </c>
      <c r="J11" s="9" t="s">
        <v>1240</v>
      </c>
      <c r="K11" s="9" t="s">
        <v>1240</v>
      </c>
      <c r="L11" s="9" t="s">
        <v>1240</v>
      </c>
      <c r="M11" s="9" t="s">
        <v>1241</v>
      </c>
      <c r="N11" s="9" t="s">
        <v>1242</v>
      </c>
      <c r="O11" s="10">
        <v>46234</v>
      </c>
      <c r="P11" s="10">
        <v>46169</v>
      </c>
      <c r="Q11" s="10">
        <v>46276</v>
      </c>
      <c r="R11" s="9" t="s">
        <v>1267</v>
      </c>
      <c r="S11" s="9" t="s">
        <v>854</v>
      </c>
      <c r="T11" s="9" t="s">
        <v>785</v>
      </c>
      <c r="U11" s="9" t="s">
        <v>1244</v>
      </c>
      <c r="V11" s="9">
        <f>IF(F11="大规模",COUNTIFS($F$2:$F$84,"大规模",$X$2:$X$84,"&lt;"&amp;X11)+1,"")</f>
        <v>47</v>
      </c>
      <c r="W11" s="9" t="str">
        <f>IF(F11="小规模",COUNTIFS($F$2:$F$84,"小规模",$X$2:$X$84,"&lt;"&amp;X11)+1,"")</f>
        <v/>
      </c>
      <c r="X11" s="9">
        <f>'Sheet2-计算明细'!BJ26</f>
        <v>62</v>
      </c>
    </row>
    <row r="12" ht="25" customHeight="1" spans="1:24">
      <c r="A12" s="9" t="s">
        <v>118</v>
      </c>
      <c r="B12" s="9" t="s">
        <v>117</v>
      </c>
      <c r="C12" s="9" t="s">
        <v>1265</v>
      </c>
      <c r="D12" s="9" t="s">
        <v>1266</v>
      </c>
      <c r="E12" s="9" t="s">
        <v>546</v>
      </c>
      <c r="F12" s="9" t="str">
        <f>IF(E12="0-5亿元","小规模",IF(COUNTIF('Sheet1-指标体系'!$P$5:$P$10,E12)&gt;0,"大规模","规模待确认"))</f>
        <v>大规模</v>
      </c>
      <c r="G12" s="9" t="s">
        <v>1237</v>
      </c>
      <c r="H12" s="9" t="s">
        <v>1238</v>
      </c>
      <c r="I12" s="9" t="s">
        <v>1239</v>
      </c>
      <c r="J12" s="9" t="s">
        <v>1240</v>
      </c>
      <c r="K12" s="9" t="s">
        <v>1240</v>
      </c>
      <c r="L12" s="9" t="s">
        <v>1240</v>
      </c>
      <c r="M12" s="9" t="s">
        <v>1241</v>
      </c>
      <c r="N12" s="9" t="s">
        <v>1242</v>
      </c>
      <c r="O12" s="10">
        <v>46234</v>
      </c>
      <c r="P12" s="10">
        <v>45919</v>
      </c>
      <c r="Q12" s="10">
        <v>46276</v>
      </c>
      <c r="R12" s="9" t="s">
        <v>1267</v>
      </c>
      <c r="S12" s="9" t="s">
        <v>856</v>
      </c>
      <c r="T12" s="9" t="s">
        <v>785</v>
      </c>
      <c r="U12" s="9" t="s">
        <v>1244</v>
      </c>
      <c r="V12" s="9">
        <f>IF(F12="大规模",COUNTIFS($F$2:$F$84,"大规模",$X$2:$X$84,"&lt;"&amp;X12)+1,"")</f>
        <v>49</v>
      </c>
      <c r="W12" s="9" t="str">
        <f>IF(F12="小规模",COUNTIFS($F$2:$F$84,"小规模",$X$2:$X$84,"&lt;"&amp;X12)+1,"")</f>
        <v/>
      </c>
      <c r="X12" s="9">
        <f>'Sheet2-计算明细'!BJ27</f>
        <v>66</v>
      </c>
    </row>
    <row r="13" ht="25" customHeight="1" spans="1:24">
      <c r="A13" s="9" t="s">
        <v>124</v>
      </c>
      <c r="B13" s="9" t="s">
        <v>121</v>
      </c>
      <c r="C13" s="9" t="s">
        <v>1268</v>
      </c>
      <c r="D13" s="9" t="s">
        <v>1269</v>
      </c>
      <c r="E13" s="9" t="s">
        <v>542</v>
      </c>
      <c r="F13" s="9" t="str">
        <f>IF(E13="0-5亿元","小规模",IF(COUNTIF('Sheet1-指标体系'!$P$5:$P$10,E13)&gt;0,"大规模","规模待确认"))</f>
        <v>小规模</v>
      </c>
      <c r="G13" s="9" t="s">
        <v>1237</v>
      </c>
      <c r="H13" s="9" t="s">
        <v>1238</v>
      </c>
      <c r="I13" s="9" t="s">
        <v>1239</v>
      </c>
      <c r="J13" s="9" t="s">
        <v>1240</v>
      </c>
      <c r="K13" s="9" t="s">
        <v>1240</v>
      </c>
      <c r="L13" s="9" t="s">
        <v>1240</v>
      </c>
      <c r="M13" s="9" t="s">
        <v>1241</v>
      </c>
      <c r="N13" s="9" t="s">
        <v>1242</v>
      </c>
      <c r="O13" s="10">
        <v>46269</v>
      </c>
      <c r="P13" s="10">
        <v>45888</v>
      </c>
      <c r="Q13" s="10">
        <v>46276</v>
      </c>
      <c r="R13" s="9" t="s">
        <v>1270</v>
      </c>
      <c r="S13" s="9" t="s">
        <v>858</v>
      </c>
      <c r="T13" s="9" t="s">
        <v>785</v>
      </c>
      <c r="U13" s="9" t="s">
        <v>1244</v>
      </c>
      <c r="V13" s="9" t="str">
        <f>IF(F13="大规模",COUNTIFS($F$2:$F$84,"大规模",$X$2:$X$84,"&lt;"&amp;X13)+1,"")</f>
        <v/>
      </c>
      <c r="W13" s="9">
        <f>IF(F13="小规模",COUNTIFS($F$2:$F$84,"小规模",$X$2:$X$84,"&lt;"&amp;X13)+1,"")</f>
        <v>19</v>
      </c>
      <c r="X13" s="9">
        <f>'Sheet2-计算明细'!BJ28</f>
        <v>71</v>
      </c>
    </row>
    <row r="14" ht="25" customHeight="1" spans="1:24">
      <c r="A14" s="9" t="s">
        <v>130</v>
      </c>
      <c r="B14" s="9" t="s">
        <v>129</v>
      </c>
      <c r="C14" s="9" t="s">
        <v>1271</v>
      </c>
      <c r="D14" s="9" t="s">
        <v>1272</v>
      </c>
      <c r="E14" s="9" t="s">
        <v>542</v>
      </c>
      <c r="F14" s="9" t="str">
        <f>IF(E14="0-5亿元","小规模",IF(COUNTIF('Sheet1-指标体系'!$P$5:$P$10,E14)&gt;0,"大规模","规模待确认"))</f>
        <v>小规模</v>
      </c>
      <c r="G14" s="9" t="s">
        <v>1237</v>
      </c>
      <c r="H14" s="9" t="s">
        <v>1238</v>
      </c>
      <c r="I14" s="9" t="s">
        <v>1239</v>
      </c>
      <c r="J14" s="9" t="s">
        <v>1240</v>
      </c>
      <c r="K14" s="9" t="s">
        <v>1240</v>
      </c>
      <c r="L14" s="9" t="s">
        <v>1240</v>
      </c>
      <c r="M14" s="9" t="s">
        <v>1241</v>
      </c>
      <c r="N14" s="9" t="s">
        <v>1242</v>
      </c>
      <c r="O14" s="10">
        <v>46056</v>
      </c>
      <c r="P14" s="10">
        <v>46245</v>
      </c>
      <c r="Q14" s="10">
        <v>46276</v>
      </c>
      <c r="R14" s="9" t="s">
        <v>1273</v>
      </c>
      <c r="S14" s="9" t="s">
        <v>860</v>
      </c>
      <c r="T14" s="9" t="s">
        <v>785</v>
      </c>
      <c r="U14" s="9" t="s">
        <v>1244</v>
      </c>
      <c r="V14" s="9" t="str">
        <f>IF(F14="大规模",COUNTIFS($F$2:$F$84,"大规模",$X$2:$X$84,"&lt;"&amp;X14)+1,"")</f>
        <v/>
      </c>
      <c r="W14" s="9">
        <f>IF(F14="小规模",COUNTIFS($F$2:$F$84,"小规模",$X$2:$X$84,"&lt;"&amp;X14)+1,"")</f>
        <v>13</v>
      </c>
      <c r="X14" s="9">
        <f>'Sheet2-计算明细'!BJ29</f>
        <v>52</v>
      </c>
    </row>
    <row r="15" ht="25" customHeight="1" spans="1:24">
      <c r="A15" s="9" t="s">
        <v>139</v>
      </c>
      <c r="B15" s="9" t="s">
        <v>135</v>
      </c>
      <c r="C15" s="9" t="s">
        <v>1274</v>
      </c>
      <c r="D15" s="9" t="s">
        <v>1275</v>
      </c>
      <c r="E15" s="9" t="s">
        <v>557</v>
      </c>
      <c r="F15" s="9" t="str">
        <f>IF(E15="0-5亿元","小规模",IF(COUNTIF('Sheet1-指标体系'!$P$5:$P$10,E15)&gt;0,"大规模","规模待确认"))</f>
        <v>大规模</v>
      </c>
      <c r="G15" s="9" t="s">
        <v>1250</v>
      </c>
      <c r="H15" s="9" t="s">
        <v>1238</v>
      </c>
      <c r="I15" s="9" t="s">
        <v>1239</v>
      </c>
      <c r="J15" s="9" t="s">
        <v>1251</v>
      </c>
      <c r="K15" s="9" t="s">
        <v>1240</v>
      </c>
      <c r="L15" s="9" t="s">
        <v>1240</v>
      </c>
      <c r="M15" s="9" t="s">
        <v>1241</v>
      </c>
      <c r="N15" s="9" t="s">
        <v>1242</v>
      </c>
      <c r="O15" s="10">
        <v>46162</v>
      </c>
      <c r="P15" s="10">
        <v>46028</v>
      </c>
      <c r="Q15" s="10">
        <v>46276</v>
      </c>
      <c r="R15" s="9" t="s">
        <v>1276</v>
      </c>
      <c r="S15" s="9" t="s">
        <v>862</v>
      </c>
      <c r="T15" s="9" t="s">
        <v>785</v>
      </c>
      <c r="U15" s="9" t="s">
        <v>1244</v>
      </c>
      <c r="V15" s="9">
        <f>IF(F15="大规模",COUNTIFS($F$2:$F$84,"大规模",$X$2:$X$84,"&lt;"&amp;X15)+1,"")</f>
        <v>59</v>
      </c>
      <c r="W15" s="9" t="str">
        <f>IF(F15="小规模",COUNTIFS($F$2:$F$84,"小规模",$X$2:$X$84,"&lt;"&amp;X15)+1,"")</f>
        <v/>
      </c>
      <c r="X15" s="9">
        <f>'Sheet2-计算明细'!BJ30</f>
        <v>79</v>
      </c>
    </row>
    <row r="16" ht="25" customHeight="1" spans="1:24">
      <c r="A16" s="9" t="s">
        <v>145</v>
      </c>
      <c r="B16" s="9" t="s">
        <v>144</v>
      </c>
      <c r="C16" s="9" t="s">
        <v>1274</v>
      </c>
      <c r="D16" s="9" t="s">
        <v>1275</v>
      </c>
      <c r="E16" s="9" t="s">
        <v>557</v>
      </c>
      <c r="F16" s="9" t="str">
        <f>IF(E16="0-5亿元","小规模",IF(COUNTIF('Sheet1-指标体系'!$P$5:$P$10,E16)&gt;0,"大规模","规模待确认"))</f>
        <v>大规模</v>
      </c>
      <c r="G16" s="9" t="s">
        <v>1250</v>
      </c>
      <c r="H16" s="9" t="s">
        <v>1238</v>
      </c>
      <c r="I16" s="9" t="s">
        <v>1239</v>
      </c>
      <c r="J16" s="9" t="s">
        <v>1251</v>
      </c>
      <c r="K16" s="9" t="s">
        <v>1240</v>
      </c>
      <c r="L16" s="9" t="s">
        <v>1240</v>
      </c>
      <c r="M16" s="9" t="s">
        <v>1241</v>
      </c>
      <c r="N16" s="9" t="s">
        <v>1242</v>
      </c>
      <c r="O16" s="10">
        <v>46162</v>
      </c>
      <c r="P16" s="10">
        <v>46080</v>
      </c>
      <c r="Q16" s="10">
        <v>46276</v>
      </c>
      <c r="R16" s="9" t="s">
        <v>1276</v>
      </c>
      <c r="S16" s="9" t="s">
        <v>864</v>
      </c>
      <c r="T16" s="9" t="s">
        <v>785</v>
      </c>
      <c r="U16" s="9" t="s">
        <v>1244</v>
      </c>
      <c r="V16" s="9">
        <f>IF(F16="大规模",COUNTIFS($F$2:$F$84,"大规模",$X$2:$X$84,"&lt;"&amp;X16)+1,"")</f>
        <v>60</v>
      </c>
      <c r="W16" s="9" t="str">
        <f>IF(F16="小规模",COUNTIFS($F$2:$F$84,"小规模",$X$2:$X$84,"&lt;"&amp;X16)+1,"")</f>
        <v/>
      </c>
      <c r="X16" s="9">
        <f>'Sheet2-计算明细'!BJ31</f>
        <v>80</v>
      </c>
    </row>
    <row r="17" ht="25" customHeight="1" spans="1:24">
      <c r="A17" s="9" t="s">
        <v>151</v>
      </c>
      <c r="B17" s="9" t="s">
        <v>150</v>
      </c>
      <c r="C17" s="9" t="s">
        <v>1277</v>
      </c>
      <c r="D17" s="9" t="s">
        <v>1278</v>
      </c>
      <c r="E17" s="9" t="s">
        <v>542</v>
      </c>
      <c r="F17" s="9" t="str">
        <f>IF(E17="0-5亿元","小规模",IF(COUNTIF('Sheet1-指标体系'!$P$5:$P$10,E17)&gt;0,"大规模","规模待确认"))</f>
        <v>小规模</v>
      </c>
      <c r="G17" s="9" t="s">
        <v>1237</v>
      </c>
      <c r="H17" s="9" t="s">
        <v>1238</v>
      </c>
      <c r="I17" s="9" t="s">
        <v>1239</v>
      </c>
      <c r="J17" s="9" t="s">
        <v>1240</v>
      </c>
      <c r="K17" s="9" t="s">
        <v>1240</v>
      </c>
      <c r="L17" s="9" t="s">
        <v>1240</v>
      </c>
      <c r="M17" s="9" t="s">
        <v>1241</v>
      </c>
      <c r="N17" s="9" t="s">
        <v>1242</v>
      </c>
      <c r="O17" s="10">
        <v>46099</v>
      </c>
      <c r="P17" s="10">
        <v>44736</v>
      </c>
      <c r="Q17" s="10">
        <v>46276</v>
      </c>
      <c r="R17" s="9" t="s">
        <v>1279</v>
      </c>
      <c r="S17" s="9" t="s">
        <v>866</v>
      </c>
      <c r="T17" s="9" t="s">
        <v>785</v>
      </c>
      <c r="U17" s="9" t="s">
        <v>1244</v>
      </c>
      <c r="V17" s="9" t="str">
        <f>IF(F17="大规模",COUNTIFS($F$2:$F$84,"大规模",$X$2:$X$84,"&lt;"&amp;X17)+1,"")</f>
        <v/>
      </c>
      <c r="W17" s="9">
        <f>IF(F17="小规模",COUNTIFS($F$2:$F$84,"小规模",$X$2:$X$84,"&lt;"&amp;X17)+1,"")</f>
        <v>1</v>
      </c>
      <c r="X17" s="9">
        <f>'Sheet2-计算明细'!BJ32</f>
        <v>4</v>
      </c>
    </row>
    <row r="18" ht="25" customHeight="1" spans="1:24">
      <c r="A18" s="9" t="s">
        <v>157</v>
      </c>
      <c r="B18" s="9" t="s">
        <v>155</v>
      </c>
      <c r="C18" s="9" t="s">
        <v>1280</v>
      </c>
      <c r="D18" s="9" t="s">
        <v>1281</v>
      </c>
      <c r="E18" s="9" t="s">
        <v>546</v>
      </c>
      <c r="F18" s="9" t="str">
        <f>IF(E18="0-5亿元","小规模",IF(COUNTIF('Sheet1-指标体系'!$P$5:$P$10,E18)&gt;0,"大规模","规模待确认"))</f>
        <v>大规模</v>
      </c>
      <c r="G18" s="9" t="s">
        <v>1250</v>
      </c>
      <c r="H18" s="9" t="s">
        <v>1238</v>
      </c>
      <c r="I18" s="9" t="s">
        <v>1282</v>
      </c>
      <c r="J18" s="9" t="s">
        <v>1283</v>
      </c>
      <c r="K18" s="9" t="s">
        <v>1240</v>
      </c>
      <c r="L18" s="9" t="s">
        <v>1240</v>
      </c>
      <c r="M18" s="9" t="s">
        <v>1241</v>
      </c>
      <c r="N18" s="9" t="s">
        <v>1242</v>
      </c>
      <c r="O18" s="10">
        <v>45910</v>
      </c>
      <c r="P18" s="10">
        <v>45328</v>
      </c>
      <c r="Q18" s="10">
        <v>46276</v>
      </c>
      <c r="R18" s="9" t="s">
        <v>1284</v>
      </c>
      <c r="S18" s="9" t="s">
        <v>868</v>
      </c>
      <c r="T18" s="9" t="s">
        <v>785</v>
      </c>
      <c r="U18" s="9" t="s">
        <v>1244</v>
      </c>
      <c r="V18" s="9">
        <f>IF(F18="大规模",COUNTIFS($F$2:$F$84,"大规模",$X$2:$X$84,"&lt;"&amp;X18)+1,"")</f>
        <v>34</v>
      </c>
      <c r="W18" s="9" t="str">
        <f>IF(F18="小规模",COUNTIFS($F$2:$F$84,"小规模",$X$2:$X$84,"&lt;"&amp;X18)+1,"")</f>
        <v/>
      </c>
      <c r="X18" s="9">
        <f>'Sheet2-计算明细'!BJ33</f>
        <v>44</v>
      </c>
    </row>
    <row r="19" ht="25" customHeight="1" spans="1:24">
      <c r="A19" s="9" t="s">
        <v>162</v>
      </c>
      <c r="B19" s="9" t="s">
        <v>161</v>
      </c>
      <c r="C19" s="9" t="s">
        <v>1280</v>
      </c>
      <c r="D19" s="9" t="s">
        <v>1281</v>
      </c>
      <c r="E19" s="9" t="s">
        <v>546</v>
      </c>
      <c r="F19" s="9" t="str">
        <f>IF(E19="0-5亿元","小规模",IF(COUNTIF('Sheet1-指标体系'!$P$5:$P$10,E19)&gt;0,"大规模","规模待确认"))</f>
        <v>大规模</v>
      </c>
      <c r="G19" s="9" t="s">
        <v>1250</v>
      </c>
      <c r="H19" s="9" t="s">
        <v>1238</v>
      </c>
      <c r="I19" s="9" t="s">
        <v>1282</v>
      </c>
      <c r="J19" s="9" t="s">
        <v>1283</v>
      </c>
      <c r="K19" s="9" t="s">
        <v>1240</v>
      </c>
      <c r="L19" s="9" t="s">
        <v>1240</v>
      </c>
      <c r="M19" s="9" t="s">
        <v>1241</v>
      </c>
      <c r="N19" s="9" t="s">
        <v>1242</v>
      </c>
      <c r="O19" s="10">
        <v>45910</v>
      </c>
      <c r="P19" s="10">
        <v>45708</v>
      </c>
      <c r="Q19" s="10">
        <v>46276</v>
      </c>
      <c r="R19" s="9" t="s">
        <v>1284</v>
      </c>
      <c r="S19" s="9" t="s">
        <v>870</v>
      </c>
      <c r="T19" s="9" t="s">
        <v>785</v>
      </c>
      <c r="U19" s="9" t="s">
        <v>1244</v>
      </c>
      <c r="V19" s="9">
        <f>IF(F19="大规模",COUNTIFS($F$2:$F$84,"大规模",$X$2:$X$84,"&lt;"&amp;X19)+1,"")</f>
        <v>24</v>
      </c>
      <c r="W19" s="9" t="str">
        <f>IF(F19="小规模",COUNTIFS($F$2:$F$84,"小规模",$X$2:$X$84,"&lt;"&amp;X19)+1,"")</f>
        <v/>
      </c>
      <c r="X19" s="9">
        <f>'Sheet2-计算明细'!BJ34</f>
        <v>28</v>
      </c>
    </row>
    <row r="20" ht="25" customHeight="1" spans="1:24">
      <c r="A20" s="9" t="s">
        <v>166</v>
      </c>
      <c r="B20" s="9" t="s">
        <v>165</v>
      </c>
      <c r="C20" s="9" t="s">
        <v>1285</v>
      </c>
      <c r="D20" s="9" t="s">
        <v>1286</v>
      </c>
      <c r="E20" s="9" t="s">
        <v>542</v>
      </c>
      <c r="F20" s="9" t="str">
        <f>IF(E20="0-5亿元","小规模",IF(COUNTIF('Sheet1-指标体系'!$P$5:$P$10,E20)&gt;0,"大规模","规模待确认"))</f>
        <v>小规模</v>
      </c>
      <c r="G20" s="9" t="s">
        <v>1237</v>
      </c>
      <c r="H20" s="9" t="s">
        <v>1238</v>
      </c>
      <c r="I20" s="9" t="s">
        <v>1239</v>
      </c>
      <c r="J20" s="9" t="s">
        <v>1240</v>
      </c>
      <c r="K20" s="9" t="s">
        <v>1240</v>
      </c>
      <c r="L20" s="9" t="s">
        <v>1240</v>
      </c>
      <c r="M20" s="9" t="s">
        <v>1241</v>
      </c>
      <c r="N20" s="9" t="s">
        <v>1242</v>
      </c>
      <c r="O20" s="10">
        <v>45799</v>
      </c>
      <c r="P20" s="10">
        <v>46154</v>
      </c>
      <c r="Q20" s="10">
        <v>46276</v>
      </c>
      <c r="R20" s="9" t="s">
        <v>1287</v>
      </c>
      <c r="S20" s="9" t="s">
        <v>872</v>
      </c>
      <c r="T20" s="9" t="s">
        <v>785</v>
      </c>
      <c r="U20" s="9" t="s">
        <v>1244</v>
      </c>
      <c r="V20" s="9" t="str">
        <f>IF(F20="大规模",COUNTIFS($F$2:$F$84,"大规模",$X$2:$X$84,"&lt;"&amp;X20)+1,"")</f>
        <v/>
      </c>
      <c r="W20" s="9">
        <f>IF(F20="小规模",COUNTIFS($F$2:$F$84,"小规模",$X$2:$X$84,"&lt;"&amp;X20)+1,"")</f>
        <v>16</v>
      </c>
      <c r="X20" s="9">
        <f>'Sheet2-计算明细'!BJ35</f>
        <v>63</v>
      </c>
    </row>
    <row r="21" ht="25" customHeight="1" spans="1:24">
      <c r="A21" s="9" t="s">
        <v>171</v>
      </c>
      <c r="B21" s="9" t="s">
        <v>170</v>
      </c>
      <c r="C21" s="9" t="s">
        <v>1288</v>
      </c>
      <c r="D21" s="9" t="s">
        <v>1289</v>
      </c>
      <c r="E21" s="9" t="s">
        <v>542</v>
      </c>
      <c r="F21" s="9" t="str">
        <f>IF(E21="0-5亿元","小规模",IF(COUNTIF('Sheet1-指标体系'!$P$5:$P$10,E21)&gt;0,"大规模","规模待确认"))</f>
        <v>小规模</v>
      </c>
      <c r="G21" s="9" t="s">
        <v>1237</v>
      </c>
      <c r="H21" s="9" t="s">
        <v>1238</v>
      </c>
      <c r="I21" s="9" t="s">
        <v>1239</v>
      </c>
      <c r="J21" s="9" t="s">
        <v>1240</v>
      </c>
      <c r="K21" s="9" t="s">
        <v>1240</v>
      </c>
      <c r="L21" s="9" t="s">
        <v>1240</v>
      </c>
      <c r="M21" s="9" t="s">
        <v>1241</v>
      </c>
      <c r="N21" s="9" t="s">
        <v>1242</v>
      </c>
      <c r="O21" s="10">
        <v>46231</v>
      </c>
      <c r="P21" s="10">
        <v>44098</v>
      </c>
      <c r="Q21" s="10">
        <v>46276</v>
      </c>
      <c r="R21" s="9" t="s">
        <v>1290</v>
      </c>
      <c r="S21" s="9" t="s">
        <v>874</v>
      </c>
      <c r="T21" s="9" t="s">
        <v>785</v>
      </c>
      <c r="U21" s="9" t="s">
        <v>1244</v>
      </c>
      <c r="V21" s="9" t="str">
        <f>IF(F21="大规模",COUNTIFS($F$2:$F$84,"大规模",$X$2:$X$84,"&lt;"&amp;X21)+1,"")</f>
        <v/>
      </c>
      <c r="W21" s="9">
        <f>IF(F21="小规模",COUNTIFS($F$2:$F$84,"小规模",$X$2:$X$84,"&lt;"&amp;X21)+1,"")</f>
        <v>9</v>
      </c>
      <c r="X21" s="9">
        <f>'Sheet2-计算明细'!BJ36</f>
        <v>40</v>
      </c>
    </row>
    <row r="22" ht="25" customHeight="1" spans="1:24">
      <c r="A22" s="9" t="s">
        <v>176</v>
      </c>
      <c r="B22" s="9" t="s">
        <v>175</v>
      </c>
      <c r="C22" s="9" t="s">
        <v>1291</v>
      </c>
      <c r="D22" s="9" t="s">
        <v>1292</v>
      </c>
      <c r="E22" s="9" t="s">
        <v>551</v>
      </c>
      <c r="F22" s="9" t="str">
        <f>IF(E22="0-5亿元","小规模",IF(COUNTIF('Sheet1-指标体系'!$P$5:$P$10,E22)&gt;0,"大规模","规模待确认"))</f>
        <v>大规模</v>
      </c>
      <c r="G22" s="9" t="s">
        <v>1250</v>
      </c>
      <c r="H22" s="9" t="s">
        <v>1238</v>
      </c>
      <c r="I22" s="9" t="s">
        <v>1239</v>
      </c>
      <c r="J22" s="9" t="s">
        <v>1251</v>
      </c>
      <c r="K22" s="9" t="s">
        <v>1240</v>
      </c>
      <c r="L22" s="9" t="s">
        <v>1240</v>
      </c>
      <c r="M22" s="9" t="s">
        <v>1241</v>
      </c>
      <c r="N22" s="9" t="s">
        <v>1242</v>
      </c>
      <c r="O22" s="10">
        <v>46248</v>
      </c>
      <c r="P22" s="10">
        <v>46010</v>
      </c>
      <c r="Q22" s="10">
        <v>46276</v>
      </c>
      <c r="R22" s="9" t="s">
        <v>1293</v>
      </c>
      <c r="S22" s="9" t="s">
        <v>876</v>
      </c>
      <c r="T22" s="9" t="s">
        <v>785</v>
      </c>
      <c r="U22" s="9" t="s">
        <v>1244</v>
      </c>
      <c r="V22" s="9">
        <f>IF(F22="大规模",COUNTIFS($F$2:$F$84,"大规模",$X$2:$X$84,"&lt;"&amp;X22)+1,"")</f>
        <v>2</v>
      </c>
      <c r="W22" s="9" t="str">
        <f>IF(F22="小规模",COUNTIFS($F$2:$F$84,"小规模",$X$2:$X$84,"&lt;"&amp;X22)+1,"")</f>
        <v/>
      </c>
      <c r="X22" s="9">
        <f>'Sheet2-计算明细'!BJ37</f>
        <v>2</v>
      </c>
    </row>
    <row r="23" ht="25" customHeight="1" spans="1:24">
      <c r="A23" s="9" t="s">
        <v>182</v>
      </c>
      <c r="B23" s="9" t="s">
        <v>180</v>
      </c>
      <c r="C23" s="9" t="s">
        <v>1294</v>
      </c>
      <c r="D23" s="9" t="s">
        <v>1295</v>
      </c>
      <c r="E23" s="9" t="s">
        <v>542</v>
      </c>
      <c r="F23" s="9" t="str">
        <f>IF(E23="0-5亿元","小规模",IF(COUNTIF('Sheet1-指标体系'!$P$5:$P$10,E23)&gt;0,"大规模","规模待确认"))</f>
        <v>小规模</v>
      </c>
      <c r="G23" s="9" t="s">
        <v>1250</v>
      </c>
      <c r="H23" s="9" t="s">
        <v>1238</v>
      </c>
      <c r="I23" s="9" t="s">
        <v>1239</v>
      </c>
      <c r="J23" s="9" t="s">
        <v>1283</v>
      </c>
      <c r="K23" s="9" t="s">
        <v>1240</v>
      </c>
      <c r="L23" s="9" t="s">
        <v>1296</v>
      </c>
      <c r="M23" s="9" t="s">
        <v>1297</v>
      </c>
      <c r="N23" s="9" t="s">
        <v>1242</v>
      </c>
      <c r="O23" s="10">
        <v>46241</v>
      </c>
      <c r="P23" s="10"/>
      <c r="Q23" s="10">
        <v>46276</v>
      </c>
      <c r="R23" s="9" t="s">
        <v>1298</v>
      </c>
      <c r="S23" s="9" t="s">
        <v>785</v>
      </c>
      <c r="T23" s="9" t="s">
        <v>785</v>
      </c>
      <c r="U23" s="9" t="s">
        <v>1244</v>
      </c>
      <c r="V23" s="9" t="str">
        <f>IF(F23="大规模",COUNTIFS($F$2:$F$84,"大规模",$X$2:$X$84,"&lt;"&amp;X23)+1,"")</f>
        <v/>
      </c>
      <c r="W23" s="9">
        <f>IF(F23="小规模",COUNTIFS($F$2:$F$84,"小规模",$X$2:$X$84,"&lt;"&amp;X23)+1,"")</f>
        <v>11</v>
      </c>
      <c r="X23" s="9">
        <f>'Sheet2-计算明细'!BJ38</f>
        <v>45</v>
      </c>
    </row>
    <row r="24" ht="25" customHeight="1" spans="1:24">
      <c r="A24" s="9" t="s">
        <v>188</v>
      </c>
      <c r="B24" s="9" t="s">
        <v>186</v>
      </c>
      <c r="C24" s="9" t="s">
        <v>1299</v>
      </c>
      <c r="D24" s="9" t="s">
        <v>1300</v>
      </c>
      <c r="E24" s="9" t="s">
        <v>546</v>
      </c>
      <c r="F24" s="9" t="str">
        <f>IF(E24="0-5亿元","小规模",IF(COUNTIF('Sheet1-指标体系'!$P$5:$P$10,E24)&gt;0,"大规模","规模待确认"))</f>
        <v>大规模</v>
      </c>
      <c r="G24" s="9" t="s">
        <v>1237</v>
      </c>
      <c r="H24" s="9" t="s">
        <v>1238</v>
      </c>
      <c r="I24" s="9" t="s">
        <v>1239</v>
      </c>
      <c r="J24" s="9" t="s">
        <v>1240</v>
      </c>
      <c r="K24" s="9" t="s">
        <v>1240</v>
      </c>
      <c r="L24" s="9" t="s">
        <v>1240</v>
      </c>
      <c r="M24" s="9" t="s">
        <v>1241</v>
      </c>
      <c r="N24" s="9" t="s">
        <v>1242</v>
      </c>
      <c r="O24" s="10">
        <v>45877</v>
      </c>
      <c r="P24" s="10">
        <v>46178</v>
      </c>
      <c r="Q24" s="10">
        <v>46276</v>
      </c>
      <c r="R24" s="9" t="s">
        <v>1301</v>
      </c>
      <c r="S24" s="9" t="s">
        <v>881</v>
      </c>
      <c r="T24" s="9" t="s">
        <v>785</v>
      </c>
      <c r="U24" s="9" t="s">
        <v>1244</v>
      </c>
      <c r="V24" s="9">
        <f>IF(F24="大规模",COUNTIFS($F$2:$F$84,"大规模",$X$2:$X$84,"&lt;"&amp;X24)+1,"")</f>
        <v>50</v>
      </c>
      <c r="W24" s="9" t="str">
        <f>IF(F24="小规模",COUNTIFS($F$2:$F$84,"小规模",$X$2:$X$84,"&lt;"&amp;X24)+1,"")</f>
        <v/>
      </c>
      <c r="X24" s="9">
        <f>'Sheet2-计算明细'!BJ39</f>
        <v>67</v>
      </c>
    </row>
    <row r="25" ht="25" customHeight="1" spans="1:24">
      <c r="A25" s="9" t="s">
        <v>194</v>
      </c>
      <c r="B25" s="9" t="s">
        <v>193</v>
      </c>
      <c r="C25" s="9" t="s">
        <v>1302</v>
      </c>
      <c r="D25" s="9" t="s">
        <v>1303</v>
      </c>
      <c r="E25" s="9" t="s">
        <v>551</v>
      </c>
      <c r="F25" s="9" t="str">
        <f>IF(E25="0-5亿元","小规模",IF(COUNTIF('Sheet1-指标体系'!$P$5:$P$10,E25)&gt;0,"大规模","规模待确认"))</f>
        <v>大规模</v>
      </c>
      <c r="G25" s="9" t="s">
        <v>1250</v>
      </c>
      <c r="H25" s="9" t="s">
        <v>1238</v>
      </c>
      <c r="I25" s="9" t="s">
        <v>1282</v>
      </c>
      <c r="J25" s="9" t="s">
        <v>1283</v>
      </c>
      <c r="K25" s="9" t="s">
        <v>1240</v>
      </c>
      <c r="L25" s="9" t="s">
        <v>1240</v>
      </c>
      <c r="M25" s="9" t="s">
        <v>1241</v>
      </c>
      <c r="N25" s="9" t="s">
        <v>1242</v>
      </c>
      <c r="O25" s="10">
        <v>46094</v>
      </c>
      <c r="P25" s="10">
        <v>45701</v>
      </c>
      <c r="Q25" s="10">
        <v>46276</v>
      </c>
      <c r="R25" s="9" t="s">
        <v>1304</v>
      </c>
      <c r="S25" s="9" t="s">
        <v>883</v>
      </c>
      <c r="T25" s="9" t="s">
        <v>785</v>
      </c>
      <c r="U25" s="9" t="s">
        <v>1244</v>
      </c>
      <c r="V25" s="9">
        <f>IF(F25="大规模",COUNTIFS($F$2:$F$84,"大规模",$X$2:$X$84,"&lt;"&amp;X25)+1,"")</f>
        <v>4</v>
      </c>
      <c r="W25" s="9" t="str">
        <f>IF(F25="小规模",COUNTIFS($F$2:$F$84,"小规模",$X$2:$X$84,"&lt;"&amp;X25)+1,"")</f>
        <v/>
      </c>
      <c r="X25" s="9">
        <f>'Sheet2-计算明细'!BJ40</f>
        <v>5</v>
      </c>
    </row>
    <row r="26" ht="25" customHeight="1" spans="1:24">
      <c r="A26" s="9" t="s">
        <v>199</v>
      </c>
      <c r="B26" s="9" t="s">
        <v>198</v>
      </c>
      <c r="C26" s="9" t="s">
        <v>1302</v>
      </c>
      <c r="D26" s="9" t="s">
        <v>1303</v>
      </c>
      <c r="E26" s="9" t="s">
        <v>551</v>
      </c>
      <c r="F26" s="9" t="str">
        <f>IF(E26="0-5亿元","小规模",IF(COUNTIF('Sheet1-指标体系'!$P$5:$P$10,E26)&gt;0,"大规模","规模待确认"))</f>
        <v>大规模</v>
      </c>
      <c r="G26" s="9" t="s">
        <v>1250</v>
      </c>
      <c r="H26" s="9" t="s">
        <v>1238</v>
      </c>
      <c r="I26" s="9" t="s">
        <v>1282</v>
      </c>
      <c r="J26" s="9" t="s">
        <v>1283</v>
      </c>
      <c r="K26" s="9" t="s">
        <v>1240</v>
      </c>
      <c r="L26" s="9" t="s">
        <v>1240</v>
      </c>
      <c r="M26" s="9" t="s">
        <v>1241</v>
      </c>
      <c r="N26" s="9" t="s">
        <v>1242</v>
      </c>
      <c r="O26" s="10">
        <v>46094</v>
      </c>
      <c r="P26" s="10">
        <v>45826</v>
      </c>
      <c r="Q26" s="10">
        <v>46276</v>
      </c>
      <c r="R26" s="9" t="s">
        <v>1304</v>
      </c>
      <c r="S26" s="9" t="s">
        <v>886</v>
      </c>
      <c r="T26" s="9" t="s">
        <v>785</v>
      </c>
      <c r="U26" s="9" t="s">
        <v>1244</v>
      </c>
      <c r="V26" s="9">
        <f>IF(F26="大规模",COUNTIFS($F$2:$F$84,"大规模",$X$2:$X$84,"&lt;"&amp;X26)+1,"")</f>
        <v>8</v>
      </c>
      <c r="W26" s="9" t="str">
        <f>IF(F26="小规模",COUNTIFS($F$2:$F$84,"小规模",$X$2:$X$84,"&lt;"&amp;X26)+1,"")</f>
        <v/>
      </c>
      <c r="X26" s="9">
        <f>'Sheet2-计算明细'!BJ41</f>
        <v>10</v>
      </c>
    </row>
    <row r="27" ht="25" customHeight="1" spans="1:24">
      <c r="A27" s="9" t="s">
        <v>203</v>
      </c>
      <c r="B27" s="9" t="s">
        <v>202</v>
      </c>
      <c r="C27" s="9" t="s">
        <v>1302</v>
      </c>
      <c r="D27" s="9" t="s">
        <v>1303</v>
      </c>
      <c r="E27" s="9" t="s">
        <v>551</v>
      </c>
      <c r="F27" s="9" t="str">
        <f>IF(E27="0-5亿元","小规模",IF(COUNTIF('Sheet1-指标体系'!$P$5:$P$10,E27)&gt;0,"大规模","规模待确认"))</f>
        <v>大规模</v>
      </c>
      <c r="G27" s="9" t="s">
        <v>1250</v>
      </c>
      <c r="H27" s="9" t="s">
        <v>1238</v>
      </c>
      <c r="I27" s="9" t="s">
        <v>1282</v>
      </c>
      <c r="J27" s="9" t="s">
        <v>1283</v>
      </c>
      <c r="K27" s="9" t="s">
        <v>1240</v>
      </c>
      <c r="L27" s="9" t="s">
        <v>1240</v>
      </c>
      <c r="M27" s="9" t="s">
        <v>1241</v>
      </c>
      <c r="N27" s="9" t="s">
        <v>1242</v>
      </c>
      <c r="O27" s="10">
        <v>46094</v>
      </c>
      <c r="P27" s="10">
        <v>45824</v>
      </c>
      <c r="Q27" s="10">
        <v>46276</v>
      </c>
      <c r="R27" s="9" t="s">
        <v>1304</v>
      </c>
      <c r="S27" s="9" t="s">
        <v>888</v>
      </c>
      <c r="T27" s="9" t="s">
        <v>785</v>
      </c>
      <c r="U27" s="9" t="s">
        <v>1244</v>
      </c>
      <c r="V27" s="9">
        <f>IF(F27="大规模",COUNTIFS($F$2:$F$84,"大规模",$X$2:$X$84,"&lt;"&amp;X27)+1,"")</f>
        <v>14</v>
      </c>
      <c r="W27" s="9" t="str">
        <f>IF(F27="小规模",COUNTIFS($F$2:$F$84,"小规模",$X$2:$X$84,"&lt;"&amp;X27)+1,"")</f>
        <v/>
      </c>
      <c r="X27" s="9">
        <f>'Sheet2-计算明细'!BJ42</f>
        <v>16</v>
      </c>
    </row>
    <row r="28" ht="25" customHeight="1" spans="1:24">
      <c r="A28" s="9" t="s">
        <v>207</v>
      </c>
      <c r="B28" s="9" t="s">
        <v>206</v>
      </c>
      <c r="C28" s="9" t="s">
        <v>1305</v>
      </c>
      <c r="D28" s="9" t="s">
        <v>1306</v>
      </c>
      <c r="E28" s="9" t="s">
        <v>572</v>
      </c>
      <c r="F28" s="9" t="str">
        <f>IF(E28="0-5亿元","小规模",IF(COUNTIF('Sheet1-指标体系'!$P$5:$P$10,E28)&gt;0,"大规模","规模待确认"))</f>
        <v>大规模</v>
      </c>
      <c r="G28" s="9" t="s">
        <v>1237</v>
      </c>
      <c r="H28" s="9" t="s">
        <v>1238</v>
      </c>
      <c r="I28" s="9" t="s">
        <v>1239</v>
      </c>
      <c r="J28" s="9" t="s">
        <v>1240</v>
      </c>
      <c r="K28" s="9" t="s">
        <v>1240</v>
      </c>
      <c r="L28" s="9" t="s">
        <v>1296</v>
      </c>
      <c r="M28" s="9" t="s">
        <v>1297</v>
      </c>
      <c r="N28" s="9" t="s">
        <v>1242</v>
      </c>
      <c r="O28" s="10">
        <v>46265</v>
      </c>
      <c r="P28" s="10"/>
      <c r="Q28" s="10">
        <v>46276</v>
      </c>
      <c r="R28" s="9" t="s">
        <v>1307</v>
      </c>
      <c r="S28" s="9"/>
      <c r="T28" s="9" t="s">
        <v>785</v>
      </c>
      <c r="U28" s="9" t="s">
        <v>1308</v>
      </c>
      <c r="V28" s="9">
        <f>IF(F28="大规模",COUNTIFS($F$2:$F$84,"大规模",$X$2:$X$84,"&lt;"&amp;X28)+1,"")</f>
        <v>57</v>
      </c>
      <c r="W28" s="9" t="str">
        <f>IF(F28="小规模",COUNTIFS($F$2:$F$84,"小规模",$X$2:$X$84,"&lt;"&amp;X28)+1,"")</f>
        <v/>
      </c>
      <c r="X28" s="9">
        <f>'Sheet2-计算明细'!BJ43</f>
        <v>76</v>
      </c>
    </row>
    <row r="29" ht="25" customHeight="1" spans="1:24">
      <c r="A29" s="9" t="s">
        <v>213</v>
      </c>
      <c r="B29" s="9" t="s">
        <v>211</v>
      </c>
      <c r="C29" s="9" t="s">
        <v>1309</v>
      </c>
      <c r="D29" s="9" t="s">
        <v>1310</v>
      </c>
      <c r="E29" s="9" t="s">
        <v>551</v>
      </c>
      <c r="F29" s="9" t="str">
        <f>IF(E29="0-5亿元","小规模",IF(COUNTIF('Sheet1-指标体系'!$P$5:$P$10,E29)&gt;0,"大规模","规模待确认"))</f>
        <v>大规模</v>
      </c>
      <c r="G29" s="9" t="s">
        <v>1237</v>
      </c>
      <c r="H29" s="9" t="s">
        <v>1238</v>
      </c>
      <c r="I29" s="9" t="s">
        <v>1239</v>
      </c>
      <c r="J29" s="9" t="s">
        <v>1240</v>
      </c>
      <c r="K29" s="9" t="s">
        <v>1240</v>
      </c>
      <c r="L29" s="9" t="s">
        <v>1296</v>
      </c>
      <c r="M29" s="9" t="s">
        <v>1297</v>
      </c>
      <c r="N29" s="9" t="s">
        <v>1242</v>
      </c>
      <c r="O29" s="10">
        <v>46174</v>
      </c>
      <c r="P29" s="10"/>
      <c r="Q29" s="10">
        <v>46276</v>
      </c>
      <c r="R29" s="9" t="s">
        <v>1311</v>
      </c>
      <c r="S29" s="9"/>
      <c r="T29" s="9" t="s">
        <v>785</v>
      </c>
      <c r="U29" s="9" t="s">
        <v>1312</v>
      </c>
      <c r="V29" s="9">
        <f>IF(F29="大规模",COUNTIFS($F$2:$F$84,"大规模",$X$2:$X$84,"&lt;"&amp;X29)+1,"")</f>
        <v>61</v>
      </c>
      <c r="W29" s="9" t="str">
        <f>IF(F29="小规模",COUNTIFS($F$2:$F$84,"小规模",$X$2:$X$84,"&lt;"&amp;X29)+1,"")</f>
        <v/>
      </c>
      <c r="X29" s="9">
        <f>'Sheet2-计算明细'!BJ44</f>
        <v>81</v>
      </c>
    </row>
    <row r="30" ht="25" customHeight="1" spans="1:24">
      <c r="A30" s="9" t="s">
        <v>218</v>
      </c>
      <c r="B30" s="9" t="s">
        <v>217</v>
      </c>
      <c r="C30" s="9" t="s">
        <v>1313</v>
      </c>
      <c r="D30" s="9" t="s">
        <v>1314</v>
      </c>
      <c r="E30" s="9" t="s">
        <v>546</v>
      </c>
      <c r="F30" s="9" t="str">
        <f>IF(E30="0-5亿元","小规模",IF(COUNTIF('Sheet1-指标体系'!$P$5:$P$10,E30)&gt;0,"大规模","规模待确认"))</f>
        <v>大规模</v>
      </c>
      <c r="G30" s="9" t="s">
        <v>1315</v>
      </c>
      <c r="H30" s="9" t="s">
        <v>1238</v>
      </c>
      <c r="I30" s="9" t="s">
        <v>1316</v>
      </c>
      <c r="J30" s="9" t="s">
        <v>1283</v>
      </c>
      <c r="K30" s="9" t="s">
        <v>1240</v>
      </c>
      <c r="L30" s="9" t="s">
        <v>1240</v>
      </c>
      <c r="M30" s="9" t="s">
        <v>1241</v>
      </c>
      <c r="N30" s="9" t="s">
        <v>1242</v>
      </c>
      <c r="O30" s="10">
        <v>46224</v>
      </c>
      <c r="P30" s="10">
        <v>45859</v>
      </c>
      <c r="Q30" s="10">
        <v>46276</v>
      </c>
      <c r="R30" s="9" t="s">
        <v>1317</v>
      </c>
      <c r="S30" s="9" t="s">
        <v>893</v>
      </c>
      <c r="T30" s="9" t="s">
        <v>1318</v>
      </c>
      <c r="U30" s="9" t="s">
        <v>1244</v>
      </c>
      <c r="V30" s="9">
        <f>IF(F30="大规模",COUNTIFS($F$2:$F$84,"大规模",$X$2:$X$84,"&lt;"&amp;X30)+1,"")</f>
        <v>20</v>
      </c>
      <c r="W30" s="9" t="str">
        <f>IF(F30="小规模",COUNTIFS($F$2:$F$84,"小规模",$X$2:$X$84,"&lt;"&amp;X30)+1,"")</f>
        <v/>
      </c>
      <c r="X30" s="9">
        <f>'Sheet2-计算明细'!BJ45</f>
        <v>24</v>
      </c>
    </row>
    <row r="31" ht="25" customHeight="1" spans="1:24">
      <c r="A31" s="9" t="s">
        <v>225</v>
      </c>
      <c r="B31" s="9" t="s">
        <v>224</v>
      </c>
      <c r="C31" s="9" t="s">
        <v>1319</v>
      </c>
      <c r="D31" s="9" t="s">
        <v>1320</v>
      </c>
      <c r="E31" s="9" t="s">
        <v>542</v>
      </c>
      <c r="F31" s="9" t="str">
        <f>IF(E31="0-5亿元","小规模",IF(COUNTIF('Sheet1-指标体系'!$P$5:$P$10,E31)&gt;0,"大规模","规模待确认"))</f>
        <v>小规模</v>
      </c>
      <c r="G31" s="9" t="s">
        <v>1237</v>
      </c>
      <c r="H31" s="9" t="s">
        <v>1238</v>
      </c>
      <c r="I31" s="9" t="s">
        <v>1239</v>
      </c>
      <c r="J31" s="9" t="s">
        <v>1240</v>
      </c>
      <c r="K31" s="9" t="s">
        <v>1240</v>
      </c>
      <c r="L31" s="9" t="s">
        <v>1296</v>
      </c>
      <c r="M31" s="9" t="s">
        <v>1297</v>
      </c>
      <c r="N31" s="9" t="s">
        <v>1242</v>
      </c>
      <c r="O31" s="10">
        <v>46198</v>
      </c>
      <c r="P31" s="10"/>
      <c r="Q31" s="10">
        <v>46276</v>
      </c>
      <c r="R31" s="9" t="s">
        <v>1321</v>
      </c>
      <c r="S31" s="9" t="s">
        <v>785</v>
      </c>
      <c r="T31" s="9" t="s">
        <v>785</v>
      </c>
      <c r="U31" s="9" t="s">
        <v>1244</v>
      </c>
      <c r="V31" s="9" t="str">
        <f>IF(F31="大规模",COUNTIFS($F$2:$F$84,"大规模",$X$2:$X$84,"&lt;"&amp;X31)+1,"")</f>
        <v/>
      </c>
      <c r="W31" s="9">
        <f>IF(F31="小规模",COUNTIFS($F$2:$F$84,"小规模",$X$2:$X$84,"&lt;"&amp;X31)+1,"")</f>
        <v>10</v>
      </c>
      <c r="X31" s="9">
        <f>'Sheet2-计算明细'!BJ46</f>
        <v>42</v>
      </c>
    </row>
    <row r="32" ht="25" customHeight="1" spans="1:24">
      <c r="A32" s="9" t="s">
        <v>231</v>
      </c>
      <c r="B32" s="9" t="s">
        <v>229</v>
      </c>
      <c r="C32" s="9" t="s">
        <v>1322</v>
      </c>
      <c r="D32" s="9" t="s">
        <v>1323</v>
      </c>
      <c r="E32" s="9" t="s">
        <v>542</v>
      </c>
      <c r="F32" s="9" t="str">
        <f>IF(E32="0-5亿元","小规模",IF(COUNTIF('Sheet1-指标体系'!$P$5:$P$10,E32)&gt;0,"大规模","规模待确认"))</f>
        <v>小规模</v>
      </c>
      <c r="G32" s="9" t="s">
        <v>1237</v>
      </c>
      <c r="H32" s="9" t="s">
        <v>1238</v>
      </c>
      <c r="I32" s="9" t="s">
        <v>1239</v>
      </c>
      <c r="J32" s="9" t="s">
        <v>1240</v>
      </c>
      <c r="K32" s="9" t="s">
        <v>1240</v>
      </c>
      <c r="L32" s="9" t="s">
        <v>1240</v>
      </c>
      <c r="M32" s="9" t="s">
        <v>1241</v>
      </c>
      <c r="N32" s="9" t="s">
        <v>1242</v>
      </c>
      <c r="O32" s="10">
        <v>45471</v>
      </c>
      <c r="P32" s="10">
        <v>45603</v>
      </c>
      <c r="Q32" s="10">
        <v>46276</v>
      </c>
      <c r="R32" s="9" t="s">
        <v>1324</v>
      </c>
      <c r="S32" s="9" t="s">
        <v>896</v>
      </c>
      <c r="T32" s="9" t="s">
        <v>785</v>
      </c>
      <c r="U32" s="9" t="s">
        <v>1244</v>
      </c>
      <c r="V32" s="9" t="str">
        <f>IF(F32="大规模",COUNTIFS($F$2:$F$84,"大规模",$X$2:$X$84,"&lt;"&amp;X32)+1,"")</f>
        <v/>
      </c>
      <c r="W32" s="9">
        <f>IF(F32="小规模",COUNTIFS($F$2:$F$84,"小规模",$X$2:$X$84,"&lt;"&amp;X32)+1,"")</f>
        <v>4</v>
      </c>
      <c r="X32" s="9">
        <f>'Sheet2-计算明细'!BJ47</f>
        <v>23</v>
      </c>
    </row>
    <row r="33" ht="25" customHeight="1" spans="1:24">
      <c r="A33" s="9" t="s">
        <v>238</v>
      </c>
      <c r="B33" s="9" t="s">
        <v>235</v>
      </c>
      <c r="C33" s="9" t="s">
        <v>1325</v>
      </c>
      <c r="D33" s="9" t="s">
        <v>1326</v>
      </c>
      <c r="E33" s="9" t="s">
        <v>542</v>
      </c>
      <c r="F33" s="9" t="str">
        <f>IF(E33="0-5亿元","小规模",IF(COUNTIF('Sheet1-指标体系'!$P$5:$P$10,E33)&gt;0,"大规模","规模待确认"))</f>
        <v>小规模</v>
      </c>
      <c r="G33" s="9" t="s">
        <v>1237</v>
      </c>
      <c r="H33" s="9" t="s">
        <v>1238</v>
      </c>
      <c r="I33" s="9" t="s">
        <v>1239</v>
      </c>
      <c r="J33" s="9" t="s">
        <v>1240</v>
      </c>
      <c r="K33" s="9" t="s">
        <v>1240</v>
      </c>
      <c r="L33" s="9" t="s">
        <v>1240</v>
      </c>
      <c r="M33" s="9" t="s">
        <v>1241</v>
      </c>
      <c r="N33" s="9" t="s">
        <v>1242</v>
      </c>
      <c r="O33" s="10">
        <v>46092</v>
      </c>
      <c r="P33" s="10">
        <v>46238</v>
      </c>
      <c r="Q33" s="10">
        <v>46276</v>
      </c>
      <c r="R33" s="9" t="s">
        <v>1327</v>
      </c>
      <c r="S33" s="9" t="s">
        <v>898</v>
      </c>
      <c r="T33" s="9" t="s">
        <v>785</v>
      </c>
      <c r="U33" s="9" t="s">
        <v>1244</v>
      </c>
      <c r="V33" s="9" t="str">
        <f>IF(F33="大规模",COUNTIFS($F$2:$F$84,"大规模",$X$2:$X$84,"&lt;"&amp;X33)+1,"")</f>
        <v/>
      </c>
      <c r="W33" s="9">
        <f>IF(F33="小规模",COUNTIFS($F$2:$F$84,"小规模",$X$2:$X$84,"&lt;"&amp;X33)+1,"")</f>
        <v>21</v>
      </c>
      <c r="X33" s="9">
        <f>'Sheet2-计算明细'!BJ48</f>
        <v>82</v>
      </c>
    </row>
    <row r="34" ht="25" customHeight="1" spans="1:24">
      <c r="A34" s="9" t="s">
        <v>244</v>
      </c>
      <c r="B34" s="9" t="s">
        <v>243</v>
      </c>
      <c r="C34" s="9" t="s">
        <v>1328</v>
      </c>
      <c r="D34" s="9" t="s">
        <v>1329</v>
      </c>
      <c r="E34" s="9" t="s">
        <v>557</v>
      </c>
      <c r="F34" s="9" t="str">
        <f>IF(E34="0-5亿元","小规模",IF(COUNTIF('Sheet1-指标体系'!$P$5:$P$10,E34)&gt;0,"大规模","规模待确认"))</f>
        <v>大规模</v>
      </c>
      <c r="G34" s="9" t="s">
        <v>1237</v>
      </c>
      <c r="H34" s="9" t="s">
        <v>1238</v>
      </c>
      <c r="I34" s="9" t="s">
        <v>1239</v>
      </c>
      <c r="J34" s="9" t="s">
        <v>1240</v>
      </c>
      <c r="K34" s="9" t="s">
        <v>1240</v>
      </c>
      <c r="L34" s="9" t="s">
        <v>1240</v>
      </c>
      <c r="M34" s="9" t="s">
        <v>1241</v>
      </c>
      <c r="N34" s="9" t="s">
        <v>1242</v>
      </c>
      <c r="O34" s="10">
        <v>46106</v>
      </c>
      <c r="P34" s="10">
        <v>45595</v>
      </c>
      <c r="Q34" s="10">
        <v>46276</v>
      </c>
      <c r="R34" s="9" t="s">
        <v>1330</v>
      </c>
      <c r="S34" s="9" t="s">
        <v>900</v>
      </c>
      <c r="T34" s="9" t="s">
        <v>785</v>
      </c>
      <c r="U34" s="9" t="s">
        <v>1244</v>
      </c>
      <c r="V34" s="9">
        <f>IF(F34="大规模",COUNTIFS($F$2:$F$84,"大规模",$X$2:$X$84,"&lt;"&amp;X34)+1,"")</f>
        <v>58</v>
      </c>
      <c r="W34" s="9" t="str">
        <f>IF(F34="小规模",COUNTIFS($F$2:$F$84,"小规模",$X$2:$X$84,"&lt;"&amp;X34)+1,"")</f>
        <v/>
      </c>
      <c r="X34" s="9">
        <f>'Sheet2-计算明细'!BJ49</f>
        <v>77</v>
      </c>
    </row>
    <row r="35" ht="25" customHeight="1" spans="1:24">
      <c r="A35" s="9" t="s">
        <v>249</v>
      </c>
      <c r="B35" s="9" t="s">
        <v>248</v>
      </c>
      <c r="C35" s="9" t="s">
        <v>1331</v>
      </c>
      <c r="D35" s="9" t="s">
        <v>1332</v>
      </c>
      <c r="E35" s="9" t="s">
        <v>561</v>
      </c>
      <c r="F35" s="9" t="str">
        <f>IF(E35="0-5亿元","小规模",IF(COUNTIF('Sheet1-指标体系'!$P$5:$P$10,E35)&gt;0,"大规模","规模待确认"))</f>
        <v>大规模</v>
      </c>
      <c r="G35" s="9" t="s">
        <v>1237</v>
      </c>
      <c r="H35" s="9" t="s">
        <v>1238</v>
      </c>
      <c r="I35" s="9" t="s">
        <v>1239</v>
      </c>
      <c r="J35" s="9" t="s">
        <v>1240</v>
      </c>
      <c r="K35" s="9" t="s">
        <v>1240</v>
      </c>
      <c r="L35" s="9" t="s">
        <v>1240</v>
      </c>
      <c r="M35" s="9" t="s">
        <v>1241</v>
      </c>
      <c r="N35" s="9" t="s">
        <v>1242</v>
      </c>
      <c r="O35" s="10">
        <v>46174</v>
      </c>
      <c r="P35" s="10">
        <v>45722</v>
      </c>
      <c r="Q35" s="10">
        <v>46276</v>
      </c>
      <c r="R35" s="9" t="s">
        <v>1333</v>
      </c>
      <c r="S35" s="9" t="s">
        <v>902</v>
      </c>
      <c r="T35" s="9" t="s">
        <v>785</v>
      </c>
      <c r="U35" s="9" t="s">
        <v>1244</v>
      </c>
      <c r="V35" s="9">
        <f>IF(F35="大规模",COUNTIFS($F$2:$F$84,"大规模",$X$2:$X$84,"&lt;"&amp;X35)+1,"")</f>
        <v>5</v>
      </c>
      <c r="W35" s="9" t="str">
        <f>IF(F35="小规模",COUNTIFS($F$2:$F$84,"小规模",$X$2:$X$84,"&lt;"&amp;X35)+1,"")</f>
        <v/>
      </c>
      <c r="X35" s="9">
        <f>'Sheet2-计算明细'!BJ50</f>
        <v>6</v>
      </c>
    </row>
    <row r="36" ht="25" customHeight="1" spans="1:24">
      <c r="A36" s="9" t="s">
        <v>255</v>
      </c>
      <c r="B36" s="9" t="s">
        <v>254</v>
      </c>
      <c r="C36" s="9" t="s">
        <v>1334</v>
      </c>
      <c r="D36" s="9" t="s">
        <v>1335</v>
      </c>
      <c r="E36" s="9" t="s">
        <v>546</v>
      </c>
      <c r="F36" s="9" t="str">
        <f>IF(E36="0-5亿元","小规模",IF(COUNTIF('Sheet1-指标体系'!$P$5:$P$10,E36)&gt;0,"大规模","规模待确认"))</f>
        <v>大规模</v>
      </c>
      <c r="G36" s="9" t="s">
        <v>1237</v>
      </c>
      <c r="H36" s="9" t="s">
        <v>1238</v>
      </c>
      <c r="I36" s="9" t="s">
        <v>1239</v>
      </c>
      <c r="J36" s="9" t="s">
        <v>1240</v>
      </c>
      <c r="K36" s="9" t="s">
        <v>1240</v>
      </c>
      <c r="L36" s="9" t="s">
        <v>1240</v>
      </c>
      <c r="M36" s="9" t="s">
        <v>1241</v>
      </c>
      <c r="N36" s="9" t="s">
        <v>1242</v>
      </c>
      <c r="O36" s="10">
        <v>46272</v>
      </c>
      <c r="P36" s="10">
        <v>46230</v>
      </c>
      <c r="Q36" s="10">
        <v>46276</v>
      </c>
      <c r="R36" s="9" t="s">
        <v>1336</v>
      </c>
      <c r="S36" s="9" t="s">
        <v>904</v>
      </c>
      <c r="T36" s="9" t="s">
        <v>785</v>
      </c>
      <c r="U36" s="9" t="s">
        <v>1244</v>
      </c>
      <c r="V36" s="9">
        <f>IF(F36="大规模",COUNTIFS($F$2:$F$84,"大规模",$X$2:$X$84,"&lt;"&amp;X36)+1,"")</f>
        <v>31</v>
      </c>
      <c r="W36" s="9" t="str">
        <f>IF(F36="小规模",COUNTIFS($F$2:$F$84,"小规模",$X$2:$X$84,"&lt;"&amp;X36)+1,"")</f>
        <v/>
      </c>
      <c r="X36" s="9">
        <f>'Sheet2-计算明细'!BJ51</f>
        <v>38</v>
      </c>
    </row>
    <row r="37" ht="25" customHeight="1" spans="1:24">
      <c r="A37" s="9" t="s">
        <v>260</v>
      </c>
      <c r="B37" s="9" t="s">
        <v>259</v>
      </c>
      <c r="C37" s="9" t="s">
        <v>1337</v>
      </c>
      <c r="D37" s="9" t="s">
        <v>1338</v>
      </c>
      <c r="E37" s="9" t="s">
        <v>551</v>
      </c>
      <c r="F37" s="9" t="str">
        <f>IF(E37="0-5亿元","小规模",IF(COUNTIF('Sheet1-指标体系'!$P$5:$P$10,E37)&gt;0,"大规模","规模待确认"))</f>
        <v>大规模</v>
      </c>
      <c r="G37" s="9" t="s">
        <v>1237</v>
      </c>
      <c r="H37" s="9" t="s">
        <v>1238</v>
      </c>
      <c r="I37" s="9" t="s">
        <v>1239</v>
      </c>
      <c r="J37" s="9" t="s">
        <v>1240</v>
      </c>
      <c r="K37" s="9" t="s">
        <v>1240</v>
      </c>
      <c r="L37" s="9" t="s">
        <v>1240</v>
      </c>
      <c r="M37" s="9" t="s">
        <v>1241</v>
      </c>
      <c r="N37" s="9" t="s">
        <v>1242</v>
      </c>
      <c r="O37" s="10">
        <v>45861</v>
      </c>
      <c r="P37" s="10">
        <v>45103</v>
      </c>
      <c r="Q37" s="10">
        <v>46276</v>
      </c>
      <c r="R37" s="9" t="s">
        <v>1339</v>
      </c>
      <c r="S37" s="9" t="s">
        <v>906</v>
      </c>
      <c r="T37" s="9" t="s">
        <v>785</v>
      </c>
      <c r="U37" s="9" t="s">
        <v>1244</v>
      </c>
      <c r="V37" s="9">
        <f>IF(F37="大规模",COUNTIFS($F$2:$F$84,"大规模",$X$2:$X$84,"&lt;"&amp;X37)+1,"")</f>
        <v>3</v>
      </c>
      <c r="W37" s="9" t="str">
        <f>IF(F37="小规模",COUNTIFS($F$2:$F$84,"小规模",$X$2:$X$84,"&lt;"&amp;X37)+1,"")</f>
        <v/>
      </c>
      <c r="X37" s="9">
        <f>'Sheet2-计算明细'!BJ52</f>
        <v>3</v>
      </c>
    </row>
    <row r="38" ht="25" customHeight="1" spans="1:24">
      <c r="A38" s="9" t="s">
        <v>265</v>
      </c>
      <c r="B38" s="9" t="s">
        <v>264</v>
      </c>
      <c r="C38" s="9" t="s">
        <v>1340</v>
      </c>
      <c r="D38" s="9" t="s">
        <v>1341</v>
      </c>
      <c r="E38" s="9" t="s">
        <v>572</v>
      </c>
      <c r="F38" s="9" t="str">
        <f>IF(E38="0-5亿元","小规模",IF(COUNTIF('Sheet1-指标体系'!$P$5:$P$10,E38)&gt;0,"大规模","规模待确认"))</f>
        <v>大规模</v>
      </c>
      <c r="G38" s="9" t="s">
        <v>1237</v>
      </c>
      <c r="H38" s="9" t="s">
        <v>1238</v>
      </c>
      <c r="I38" s="9" t="s">
        <v>1239</v>
      </c>
      <c r="J38" s="9" t="s">
        <v>1240</v>
      </c>
      <c r="K38" s="9" t="s">
        <v>1240</v>
      </c>
      <c r="L38" s="9" t="s">
        <v>1240</v>
      </c>
      <c r="M38" s="9" t="s">
        <v>1241</v>
      </c>
      <c r="N38" s="9" t="s">
        <v>1242</v>
      </c>
      <c r="O38" s="10">
        <v>46223</v>
      </c>
      <c r="P38" s="10">
        <v>45869</v>
      </c>
      <c r="Q38" s="10">
        <v>46276</v>
      </c>
      <c r="R38" s="9" t="s">
        <v>1342</v>
      </c>
      <c r="S38" s="9" t="s">
        <v>908</v>
      </c>
      <c r="T38" s="9" t="s">
        <v>785</v>
      </c>
      <c r="U38" s="9" t="s">
        <v>1244</v>
      </c>
      <c r="V38" s="9">
        <f>IF(F38="大规模",COUNTIFS($F$2:$F$84,"大规模",$X$2:$X$84,"&lt;"&amp;X38)+1,"")</f>
        <v>21</v>
      </c>
      <c r="W38" s="9" t="str">
        <f>IF(F38="小规模",COUNTIFS($F$2:$F$84,"小规模",$X$2:$X$84,"&lt;"&amp;X38)+1,"")</f>
        <v/>
      </c>
      <c r="X38" s="9">
        <f>'Sheet2-计算明细'!BJ53</f>
        <v>25</v>
      </c>
    </row>
    <row r="39" ht="25" customHeight="1" spans="1:24">
      <c r="A39" s="9" t="s">
        <v>271</v>
      </c>
      <c r="B39" s="9" t="s">
        <v>269</v>
      </c>
      <c r="C39" s="9" t="s">
        <v>1343</v>
      </c>
      <c r="D39" s="9" t="s">
        <v>1344</v>
      </c>
      <c r="E39" s="9" t="s">
        <v>542</v>
      </c>
      <c r="F39" s="9" t="str">
        <f>IF(E39="0-5亿元","小规模",IF(COUNTIF('Sheet1-指标体系'!$P$5:$P$10,E39)&gt;0,"大规模","规模待确认"))</f>
        <v>小规模</v>
      </c>
      <c r="G39" s="9" t="s">
        <v>1250</v>
      </c>
      <c r="H39" s="9" t="s">
        <v>1238</v>
      </c>
      <c r="I39" s="9" t="s">
        <v>1239</v>
      </c>
      <c r="J39" s="9" t="s">
        <v>1240</v>
      </c>
      <c r="K39" s="9" t="s">
        <v>1240</v>
      </c>
      <c r="L39" s="9" t="s">
        <v>1345</v>
      </c>
      <c r="M39" s="9" t="s">
        <v>1241</v>
      </c>
      <c r="N39" s="9" t="s">
        <v>1242</v>
      </c>
      <c r="O39" s="10">
        <v>45797</v>
      </c>
      <c r="P39" s="10">
        <v>46211</v>
      </c>
      <c r="Q39" s="10">
        <v>46276</v>
      </c>
      <c r="R39" s="9" t="s">
        <v>1346</v>
      </c>
      <c r="S39" s="9" t="s">
        <v>910</v>
      </c>
      <c r="T39" s="9" t="s">
        <v>785</v>
      </c>
      <c r="U39" s="9" t="s">
        <v>1244</v>
      </c>
      <c r="V39" s="9" t="str">
        <f>IF(F39="大规模",COUNTIFS($F$2:$F$84,"大规模",$X$2:$X$84,"&lt;"&amp;X39)+1,"")</f>
        <v/>
      </c>
      <c r="W39" s="9">
        <f>IF(F39="小规模",COUNTIFS($F$2:$F$84,"小规模",$X$2:$X$84,"&lt;"&amp;X39)+1,"")</f>
        <v>17</v>
      </c>
      <c r="X39" s="9">
        <f>'Sheet2-计算明细'!BJ54</f>
        <v>65</v>
      </c>
    </row>
    <row r="40" ht="25" customHeight="1" spans="1:24">
      <c r="A40" s="9" t="s">
        <v>276</v>
      </c>
      <c r="B40" s="9" t="s">
        <v>275</v>
      </c>
      <c r="C40" s="9" t="s">
        <v>1347</v>
      </c>
      <c r="D40" s="9" t="s">
        <v>1348</v>
      </c>
      <c r="E40" s="9" t="s">
        <v>551</v>
      </c>
      <c r="F40" s="9" t="str">
        <f>IF(E40="0-5亿元","小规模",IF(COUNTIF('Sheet1-指标体系'!$P$5:$P$10,E40)&gt;0,"大规模","规模待确认"))</f>
        <v>大规模</v>
      </c>
      <c r="G40" s="9" t="s">
        <v>1237</v>
      </c>
      <c r="H40" s="9" t="s">
        <v>1238</v>
      </c>
      <c r="I40" s="9" t="s">
        <v>1239</v>
      </c>
      <c r="J40" s="9" t="s">
        <v>1240</v>
      </c>
      <c r="K40" s="9" t="s">
        <v>1240</v>
      </c>
      <c r="L40" s="9" t="s">
        <v>1240</v>
      </c>
      <c r="M40" s="9" t="s">
        <v>1241</v>
      </c>
      <c r="N40" s="9" t="s">
        <v>1242</v>
      </c>
      <c r="O40" s="10">
        <v>46016</v>
      </c>
      <c r="P40" s="10">
        <v>45632</v>
      </c>
      <c r="Q40" s="10">
        <v>46276</v>
      </c>
      <c r="R40" s="9" t="s">
        <v>1349</v>
      </c>
      <c r="S40" s="9" t="s">
        <v>912</v>
      </c>
      <c r="T40" s="9" t="s">
        <v>785</v>
      </c>
      <c r="U40" s="9" t="s">
        <v>1244</v>
      </c>
      <c r="V40" s="9">
        <f>IF(F40="大规模",COUNTIFS($F$2:$F$84,"大规模",$X$2:$X$84,"&lt;"&amp;X40)+1,"")</f>
        <v>12</v>
      </c>
      <c r="W40" s="9" t="str">
        <f>IF(F40="小规模",COUNTIFS($F$2:$F$84,"小规模",$X$2:$X$84,"&lt;"&amp;X40)+1,"")</f>
        <v/>
      </c>
      <c r="X40" s="9">
        <f>'Sheet2-计算明细'!BJ55</f>
        <v>14</v>
      </c>
    </row>
    <row r="41" ht="25" customHeight="1" spans="1:24">
      <c r="A41" s="9" t="s">
        <v>283</v>
      </c>
      <c r="B41" s="9" t="s">
        <v>281</v>
      </c>
      <c r="C41" s="9" t="s">
        <v>1350</v>
      </c>
      <c r="D41" s="9" t="s">
        <v>1351</v>
      </c>
      <c r="E41" s="9" t="s">
        <v>551</v>
      </c>
      <c r="F41" s="9" t="str">
        <f>IF(E41="0-5亿元","小规模",IF(COUNTIF('Sheet1-指标体系'!$P$5:$P$10,E41)&gt;0,"大规模","规模待确认"))</f>
        <v>大规模</v>
      </c>
      <c r="G41" s="9" t="s">
        <v>1237</v>
      </c>
      <c r="H41" s="9" t="s">
        <v>1238</v>
      </c>
      <c r="I41" s="9" t="s">
        <v>1239</v>
      </c>
      <c r="J41" s="9" t="s">
        <v>1240</v>
      </c>
      <c r="K41" s="9" t="s">
        <v>1240</v>
      </c>
      <c r="L41" s="9" t="s">
        <v>1240</v>
      </c>
      <c r="M41" s="9" t="s">
        <v>1241</v>
      </c>
      <c r="N41" s="9" t="s">
        <v>1242</v>
      </c>
      <c r="O41" s="10">
        <v>46185</v>
      </c>
      <c r="P41" s="10">
        <v>46212</v>
      </c>
      <c r="Q41" s="10">
        <v>46276</v>
      </c>
      <c r="R41" s="9" t="s">
        <v>1352</v>
      </c>
      <c r="S41" s="9" t="s">
        <v>914</v>
      </c>
      <c r="T41" s="9" t="s">
        <v>785</v>
      </c>
      <c r="U41" s="9" t="s">
        <v>1244</v>
      </c>
      <c r="V41" s="9">
        <f>IF(F41="大规模",COUNTIFS($F$2:$F$84,"大规模",$X$2:$X$84,"&lt;"&amp;X41)+1,"")</f>
        <v>39</v>
      </c>
      <c r="W41" s="9" t="str">
        <f>IF(F41="小规模",COUNTIFS($F$2:$F$84,"小规模",$X$2:$X$84,"&lt;"&amp;X41)+1,"")</f>
        <v/>
      </c>
      <c r="X41" s="9">
        <f>'Sheet2-计算明细'!BJ56</f>
        <v>51</v>
      </c>
    </row>
    <row r="42" ht="25" customHeight="1" spans="1:24">
      <c r="A42" s="9" t="s">
        <v>289</v>
      </c>
      <c r="B42" s="9" t="s">
        <v>288</v>
      </c>
      <c r="C42" s="9" t="s">
        <v>1350</v>
      </c>
      <c r="D42" s="9" t="s">
        <v>1351</v>
      </c>
      <c r="E42" s="9" t="s">
        <v>551</v>
      </c>
      <c r="F42" s="9" t="str">
        <f>IF(E42="0-5亿元","小规模",IF(COUNTIF('Sheet1-指标体系'!$P$5:$P$10,E42)&gt;0,"大规模","规模待确认"))</f>
        <v>大规模</v>
      </c>
      <c r="G42" s="9" t="s">
        <v>1237</v>
      </c>
      <c r="H42" s="9" t="s">
        <v>1238</v>
      </c>
      <c r="I42" s="9" t="s">
        <v>1239</v>
      </c>
      <c r="J42" s="9" t="s">
        <v>1240</v>
      </c>
      <c r="K42" s="9" t="s">
        <v>1240</v>
      </c>
      <c r="L42" s="9" t="s">
        <v>1240</v>
      </c>
      <c r="M42" s="9" t="s">
        <v>1241</v>
      </c>
      <c r="N42" s="9" t="s">
        <v>1242</v>
      </c>
      <c r="O42" s="10">
        <v>46185</v>
      </c>
      <c r="P42" s="10">
        <v>46225</v>
      </c>
      <c r="Q42" s="10">
        <v>46276</v>
      </c>
      <c r="R42" s="9" t="s">
        <v>1352</v>
      </c>
      <c r="S42" s="9" t="s">
        <v>916</v>
      </c>
      <c r="T42" s="9" t="s">
        <v>785</v>
      </c>
      <c r="U42" s="9" t="s">
        <v>1244</v>
      </c>
      <c r="V42" s="9">
        <f>IF(F42="大规模",COUNTIFS($F$2:$F$84,"大规模",$X$2:$X$84,"&lt;"&amp;X42)+1,"")</f>
        <v>36</v>
      </c>
      <c r="W42" s="9" t="str">
        <f>IF(F42="小规模",COUNTIFS($F$2:$F$84,"小规模",$X$2:$X$84,"&lt;"&amp;X42)+1,"")</f>
        <v/>
      </c>
      <c r="X42" s="9">
        <f>'Sheet2-计算明细'!BJ57</f>
        <v>48</v>
      </c>
    </row>
    <row r="43" ht="25" customHeight="1" spans="1:24">
      <c r="A43" s="9" t="s">
        <v>293</v>
      </c>
      <c r="B43" s="9" t="s">
        <v>292</v>
      </c>
      <c r="C43" s="9" t="s">
        <v>1350</v>
      </c>
      <c r="D43" s="9" t="s">
        <v>1351</v>
      </c>
      <c r="E43" s="9" t="s">
        <v>551</v>
      </c>
      <c r="F43" s="9" t="str">
        <f>IF(E43="0-5亿元","小规模",IF(COUNTIF('Sheet1-指标体系'!$P$5:$P$10,E43)&gt;0,"大规模","规模待确认"))</f>
        <v>大规模</v>
      </c>
      <c r="G43" s="9" t="s">
        <v>1237</v>
      </c>
      <c r="H43" s="9" t="s">
        <v>1238</v>
      </c>
      <c r="I43" s="9" t="s">
        <v>1239</v>
      </c>
      <c r="J43" s="9" t="s">
        <v>1240</v>
      </c>
      <c r="K43" s="9" t="s">
        <v>1240</v>
      </c>
      <c r="L43" s="9" t="s">
        <v>1240</v>
      </c>
      <c r="M43" s="9" t="s">
        <v>1241</v>
      </c>
      <c r="N43" s="9" t="s">
        <v>1242</v>
      </c>
      <c r="O43" s="10">
        <v>46185</v>
      </c>
      <c r="P43" s="10">
        <v>46209</v>
      </c>
      <c r="Q43" s="10">
        <v>46276</v>
      </c>
      <c r="R43" s="9" t="s">
        <v>1352</v>
      </c>
      <c r="S43" s="9" t="s">
        <v>918</v>
      </c>
      <c r="T43" s="9" t="s">
        <v>785</v>
      </c>
      <c r="U43" s="9" t="s">
        <v>1244</v>
      </c>
      <c r="V43" s="9">
        <f>IF(F43="大规模",COUNTIFS($F$2:$F$84,"大规模",$X$2:$X$84,"&lt;"&amp;X43)+1,"")</f>
        <v>29</v>
      </c>
      <c r="W43" s="9" t="str">
        <f>IF(F43="小规模",COUNTIFS($F$2:$F$84,"小规模",$X$2:$X$84,"&lt;"&amp;X43)+1,"")</f>
        <v/>
      </c>
      <c r="X43" s="9">
        <f>'Sheet2-计算明细'!BJ58</f>
        <v>35</v>
      </c>
    </row>
    <row r="44" ht="25" customHeight="1" spans="1:24">
      <c r="A44" s="9" t="s">
        <v>298</v>
      </c>
      <c r="B44" s="9" t="s">
        <v>296</v>
      </c>
      <c r="C44" s="9" t="s">
        <v>1350</v>
      </c>
      <c r="D44" s="9" t="s">
        <v>1351</v>
      </c>
      <c r="E44" s="9" t="s">
        <v>551</v>
      </c>
      <c r="F44" s="9" t="str">
        <f>IF(E44="0-5亿元","小规模",IF(COUNTIF('Sheet1-指标体系'!$P$5:$P$10,E44)&gt;0,"大规模","规模待确认"))</f>
        <v>大规模</v>
      </c>
      <c r="G44" s="9" t="s">
        <v>1237</v>
      </c>
      <c r="H44" s="9" t="s">
        <v>1238</v>
      </c>
      <c r="I44" s="9" t="s">
        <v>1239</v>
      </c>
      <c r="J44" s="9" t="s">
        <v>1240</v>
      </c>
      <c r="K44" s="9" t="s">
        <v>1240</v>
      </c>
      <c r="L44" s="9" t="s">
        <v>1240</v>
      </c>
      <c r="M44" s="9" t="s">
        <v>1241</v>
      </c>
      <c r="N44" s="9" t="s">
        <v>1242</v>
      </c>
      <c r="O44" s="10">
        <v>46185</v>
      </c>
      <c r="P44" s="10">
        <v>46156</v>
      </c>
      <c r="Q44" s="10">
        <v>46276</v>
      </c>
      <c r="R44" s="9" t="s">
        <v>1352</v>
      </c>
      <c r="S44" s="9" t="s">
        <v>920</v>
      </c>
      <c r="T44" s="9" t="s">
        <v>785</v>
      </c>
      <c r="U44" s="9" t="s">
        <v>1244</v>
      </c>
      <c r="V44" s="9">
        <f>IF(F44="大规模",COUNTIFS($F$2:$F$84,"大规模",$X$2:$X$84,"&lt;"&amp;X44)+1,"")</f>
        <v>17</v>
      </c>
      <c r="W44" s="9" t="str">
        <f>IF(F44="小规模",COUNTIFS($F$2:$F$84,"小规模",$X$2:$X$84,"&lt;"&amp;X44)+1,"")</f>
        <v/>
      </c>
      <c r="X44" s="9">
        <f>'Sheet2-计算明细'!BJ59</f>
        <v>20</v>
      </c>
    </row>
    <row r="45" ht="25" customHeight="1" spans="1:24">
      <c r="A45" s="9" t="s">
        <v>303</v>
      </c>
      <c r="B45" s="9" t="s">
        <v>302</v>
      </c>
      <c r="C45" s="9" t="s">
        <v>1350</v>
      </c>
      <c r="D45" s="9" t="s">
        <v>1351</v>
      </c>
      <c r="E45" s="9" t="s">
        <v>551</v>
      </c>
      <c r="F45" s="9" t="str">
        <f>IF(E45="0-5亿元","小规模",IF(COUNTIF('Sheet1-指标体系'!$P$5:$P$10,E45)&gt;0,"大规模","规模待确认"))</f>
        <v>大规模</v>
      </c>
      <c r="G45" s="9" t="s">
        <v>1237</v>
      </c>
      <c r="H45" s="9" t="s">
        <v>1238</v>
      </c>
      <c r="I45" s="9" t="s">
        <v>1239</v>
      </c>
      <c r="J45" s="9" t="s">
        <v>1240</v>
      </c>
      <c r="K45" s="9" t="s">
        <v>1240</v>
      </c>
      <c r="L45" s="9" t="s">
        <v>1240</v>
      </c>
      <c r="M45" s="9" t="s">
        <v>1241</v>
      </c>
      <c r="N45" s="9" t="s">
        <v>1242</v>
      </c>
      <c r="O45" s="10">
        <v>46185</v>
      </c>
      <c r="P45" s="10">
        <v>45636</v>
      </c>
      <c r="Q45" s="10">
        <v>46276</v>
      </c>
      <c r="R45" s="9" t="s">
        <v>1352</v>
      </c>
      <c r="S45" s="9" t="s">
        <v>922</v>
      </c>
      <c r="T45" s="9" t="s">
        <v>785</v>
      </c>
      <c r="U45" s="9" t="s">
        <v>1244</v>
      </c>
      <c r="V45" s="9">
        <f>IF(F45="大规模",COUNTIFS($F$2:$F$84,"大规模",$X$2:$X$84,"&lt;"&amp;X45)+1,"")</f>
        <v>32</v>
      </c>
      <c r="W45" s="9" t="str">
        <f>IF(F45="小规模",COUNTIFS($F$2:$F$84,"小规模",$X$2:$X$84,"&lt;"&amp;X45)+1,"")</f>
        <v/>
      </c>
      <c r="X45" s="9">
        <f>'Sheet2-计算明细'!BJ60</f>
        <v>41</v>
      </c>
    </row>
    <row r="46" ht="25" customHeight="1" spans="1:24">
      <c r="A46" s="9" t="s">
        <v>308</v>
      </c>
      <c r="B46" s="9" t="s">
        <v>306</v>
      </c>
      <c r="C46" s="9" t="s">
        <v>1353</v>
      </c>
      <c r="D46" s="9" t="s">
        <v>1354</v>
      </c>
      <c r="E46" s="9" t="s">
        <v>551</v>
      </c>
      <c r="F46" s="9" t="str">
        <f>IF(E46="0-5亿元","小规模",IF(COUNTIF('Sheet1-指标体系'!$P$5:$P$10,E46)&gt;0,"大规模","规模待确认"))</f>
        <v>大规模</v>
      </c>
      <c r="G46" s="9" t="s">
        <v>1237</v>
      </c>
      <c r="H46" s="9" t="s">
        <v>1238</v>
      </c>
      <c r="I46" s="9" t="s">
        <v>1239</v>
      </c>
      <c r="J46" s="9" t="s">
        <v>1240</v>
      </c>
      <c r="K46" s="9" t="s">
        <v>1240</v>
      </c>
      <c r="L46" s="9" t="s">
        <v>1240</v>
      </c>
      <c r="M46" s="9" t="s">
        <v>1241</v>
      </c>
      <c r="N46" s="9" t="s">
        <v>1242</v>
      </c>
      <c r="O46" s="10">
        <v>46020</v>
      </c>
      <c r="P46" s="10">
        <v>46052</v>
      </c>
      <c r="Q46" s="10">
        <v>46276</v>
      </c>
      <c r="R46" s="9" t="s">
        <v>1355</v>
      </c>
      <c r="S46" s="9" t="s">
        <v>924</v>
      </c>
      <c r="T46" s="9" t="s">
        <v>785</v>
      </c>
      <c r="U46" s="9" t="s">
        <v>1244</v>
      </c>
      <c r="V46" s="9">
        <f>IF(F46="大规模",COUNTIFS($F$2:$F$84,"大规模",$X$2:$X$84,"&lt;"&amp;X46)+1,"")</f>
        <v>10</v>
      </c>
      <c r="W46" s="9" t="str">
        <f>IF(F46="小规模",COUNTIFS($F$2:$F$84,"小规模",$X$2:$X$84,"&lt;"&amp;X46)+1,"")</f>
        <v/>
      </c>
      <c r="X46" s="9">
        <f>'Sheet2-计算明细'!BJ61</f>
        <v>12</v>
      </c>
    </row>
    <row r="47" ht="25" customHeight="1" spans="1:24">
      <c r="A47" s="9" t="s">
        <v>313</v>
      </c>
      <c r="B47" s="9" t="s">
        <v>312</v>
      </c>
      <c r="C47" s="9" t="s">
        <v>1356</v>
      </c>
      <c r="D47" s="9" t="s">
        <v>1357</v>
      </c>
      <c r="E47" s="9" t="s">
        <v>561</v>
      </c>
      <c r="F47" s="9" t="str">
        <f>IF(E47="0-5亿元","小规模",IF(COUNTIF('Sheet1-指标体系'!$P$5:$P$10,E47)&gt;0,"大规模","规模待确认"))</f>
        <v>大规模</v>
      </c>
      <c r="G47" s="9" t="s">
        <v>1237</v>
      </c>
      <c r="H47" s="9" t="s">
        <v>1238</v>
      </c>
      <c r="I47" s="9" t="s">
        <v>1239</v>
      </c>
      <c r="J47" s="9" t="s">
        <v>1240</v>
      </c>
      <c r="K47" s="9" t="s">
        <v>1240</v>
      </c>
      <c r="L47" s="9" t="s">
        <v>1240</v>
      </c>
      <c r="M47" s="9" t="s">
        <v>1241</v>
      </c>
      <c r="N47" s="9" t="s">
        <v>1242</v>
      </c>
      <c r="O47" s="10">
        <v>46239</v>
      </c>
      <c r="P47" s="10">
        <v>45742</v>
      </c>
      <c r="Q47" s="10">
        <v>46276</v>
      </c>
      <c r="R47" s="9" t="s">
        <v>1358</v>
      </c>
      <c r="S47" s="9" t="s">
        <v>926</v>
      </c>
      <c r="T47" s="9" t="s">
        <v>785</v>
      </c>
      <c r="U47" s="9" t="s">
        <v>1244</v>
      </c>
      <c r="V47" s="9">
        <f>IF(F47="大规模",COUNTIFS($F$2:$F$84,"大规模",$X$2:$X$84,"&lt;"&amp;X47)+1,"")</f>
        <v>15</v>
      </c>
      <c r="W47" s="9" t="str">
        <f>IF(F47="小规模",COUNTIFS($F$2:$F$84,"小规模",$X$2:$X$84,"&lt;"&amp;X47)+1,"")</f>
        <v/>
      </c>
      <c r="X47" s="9">
        <f>'Sheet2-计算明细'!BJ62</f>
        <v>18</v>
      </c>
    </row>
    <row r="48" ht="25" customHeight="1" spans="1:24">
      <c r="A48" s="9" t="s">
        <v>318</v>
      </c>
      <c r="B48" s="9" t="s">
        <v>317</v>
      </c>
      <c r="C48" s="9" t="s">
        <v>1356</v>
      </c>
      <c r="D48" s="9" t="s">
        <v>1357</v>
      </c>
      <c r="E48" s="9" t="s">
        <v>561</v>
      </c>
      <c r="F48" s="9" t="str">
        <f>IF(E48="0-5亿元","小规模",IF(COUNTIF('Sheet1-指标体系'!$P$5:$P$10,E48)&gt;0,"大规模","规模待确认"))</f>
        <v>大规模</v>
      </c>
      <c r="G48" s="9" t="s">
        <v>1237</v>
      </c>
      <c r="H48" s="9" t="s">
        <v>1238</v>
      </c>
      <c r="I48" s="9" t="s">
        <v>1239</v>
      </c>
      <c r="J48" s="9" t="s">
        <v>1240</v>
      </c>
      <c r="K48" s="9" t="s">
        <v>1240</v>
      </c>
      <c r="L48" s="9" t="s">
        <v>1240</v>
      </c>
      <c r="M48" s="9" t="s">
        <v>1241</v>
      </c>
      <c r="N48" s="9" t="s">
        <v>1242</v>
      </c>
      <c r="O48" s="10">
        <v>46239</v>
      </c>
      <c r="P48" s="10">
        <v>45597</v>
      </c>
      <c r="Q48" s="10">
        <v>46276</v>
      </c>
      <c r="R48" s="9" t="s">
        <v>1358</v>
      </c>
      <c r="S48" s="9" t="s">
        <v>928</v>
      </c>
      <c r="T48" s="9" t="s">
        <v>785</v>
      </c>
      <c r="U48" s="9" t="s">
        <v>1244</v>
      </c>
      <c r="V48" s="9">
        <f>IF(F48="大规模",COUNTIFS($F$2:$F$84,"大规模",$X$2:$X$84,"&lt;"&amp;X48)+1,"")</f>
        <v>19</v>
      </c>
      <c r="W48" s="9" t="str">
        <f>IF(F48="小规模",COUNTIFS($F$2:$F$84,"小规模",$X$2:$X$84,"&lt;"&amp;X48)+1,"")</f>
        <v/>
      </c>
      <c r="X48" s="9">
        <f>'Sheet2-计算明细'!BJ63</f>
        <v>22</v>
      </c>
    </row>
    <row r="49" ht="25" customHeight="1" spans="1:24">
      <c r="A49" s="9" t="s">
        <v>322</v>
      </c>
      <c r="B49" s="9" t="s">
        <v>321</v>
      </c>
      <c r="C49" s="9" t="s">
        <v>1356</v>
      </c>
      <c r="D49" s="9" t="s">
        <v>1357</v>
      </c>
      <c r="E49" s="9" t="s">
        <v>561</v>
      </c>
      <c r="F49" s="9" t="str">
        <f>IF(E49="0-5亿元","小规模",IF(COUNTIF('Sheet1-指标体系'!$P$5:$P$10,E49)&gt;0,"大规模","规模待确认"))</f>
        <v>大规模</v>
      </c>
      <c r="G49" s="9" t="s">
        <v>1237</v>
      </c>
      <c r="H49" s="9" t="s">
        <v>1238</v>
      </c>
      <c r="I49" s="9" t="s">
        <v>1239</v>
      </c>
      <c r="J49" s="9" t="s">
        <v>1240</v>
      </c>
      <c r="K49" s="9" t="s">
        <v>1240</v>
      </c>
      <c r="L49" s="9" t="s">
        <v>1240</v>
      </c>
      <c r="M49" s="9" t="s">
        <v>1241</v>
      </c>
      <c r="N49" s="9" t="s">
        <v>1242</v>
      </c>
      <c r="O49" s="10">
        <v>46239</v>
      </c>
      <c r="P49" s="10">
        <v>46169</v>
      </c>
      <c r="Q49" s="10">
        <v>46276</v>
      </c>
      <c r="R49" s="9" t="s">
        <v>1358</v>
      </c>
      <c r="S49" s="9" t="s">
        <v>930</v>
      </c>
      <c r="T49" s="9" t="s">
        <v>785</v>
      </c>
      <c r="U49" s="9" t="s">
        <v>1244</v>
      </c>
      <c r="V49" s="9">
        <f>IF(F49="大规模",COUNTIFS($F$2:$F$84,"大规模",$X$2:$X$84,"&lt;"&amp;X49)+1,"")</f>
        <v>27</v>
      </c>
      <c r="W49" s="9" t="str">
        <f>IF(F49="小规模",COUNTIFS($F$2:$F$84,"小规模",$X$2:$X$84,"&lt;"&amp;X49)+1,"")</f>
        <v/>
      </c>
      <c r="X49" s="9">
        <f>'Sheet2-计算明细'!BJ64</f>
        <v>33</v>
      </c>
    </row>
    <row r="50" ht="25" customHeight="1" spans="1:24">
      <c r="A50" s="9" t="s">
        <v>327</v>
      </c>
      <c r="B50" s="9" t="s">
        <v>326</v>
      </c>
      <c r="C50" s="9" t="s">
        <v>1359</v>
      </c>
      <c r="D50" s="9" t="s">
        <v>1360</v>
      </c>
      <c r="E50" s="9" t="s">
        <v>542</v>
      </c>
      <c r="F50" s="9" t="str">
        <f>IF(E50="0-5亿元","小规模",IF(COUNTIF('Sheet1-指标体系'!$P$5:$P$10,E50)&gt;0,"大规模","规模待确认"))</f>
        <v>小规模</v>
      </c>
      <c r="G50" s="9" t="s">
        <v>1250</v>
      </c>
      <c r="H50" s="9" t="s">
        <v>1238</v>
      </c>
      <c r="I50" s="9" t="s">
        <v>1239</v>
      </c>
      <c r="J50" s="9" t="s">
        <v>1283</v>
      </c>
      <c r="K50" s="9" t="s">
        <v>1240</v>
      </c>
      <c r="L50" s="9" t="s">
        <v>1240</v>
      </c>
      <c r="M50" s="9" t="s">
        <v>1241</v>
      </c>
      <c r="N50" s="9" t="s">
        <v>1242</v>
      </c>
      <c r="O50" s="10">
        <v>45593</v>
      </c>
      <c r="P50" s="10">
        <v>45769</v>
      </c>
      <c r="Q50" s="10">
        <v>46276</v>
      </c>
      <c r="R50" s="9" t="s">
        <v>1361</v>
      </c>
      <c r="S50" s="9" t="s">
        <v>932</v>
      </c>
      <c r="T50" s="9" t="s">
        <v>785</v>
      </c>
      <c r="U50" s="9" t="s">
        <v>1244</v>
      </c>
      <c r="V50" s="9" t="str">
        <f>IF(F50="大规模",COUNTIFS($F$2:$F$84,"大规模",$X$2:$X$84,"&lt;"&amp;X50)+1,"")</f>
        <v/>
      </c>
      <c r="W50" s="9">
        <f>IF(F50="小规模",COUNTIFS($F$2:$F$84,"小规模",$X$2:$X$84,"&lt;"&amp;X50)+1,"")</f>
        <v>2</v>
      </c>
      <c r="X50" s="9">
        <f>'Sheet2-计算明细'!BJ65</f>
        <v>7</v>
      </c>
    </row>
    <row r="51" ht="25" customHeight="1" spans="1:24">
      <c r="A51" s="9" t="s">
        <v>336</v>
      </c>
      <c r="B51" s="9" t="s">
        <v>333</v>
      </c>
      <c r="C51" s="9" t="s">
        <v>1362</v>
      </c>
      <c r="D51" s="9" t="s">
        <v>1363</v>
      </c>
      <c r="E51" s="9" t="s">
        <v>551</v>
      </c>
      <c r="F51" s="9" t="str">
        <f>IF(E51="0-5亿元","小规模",IF(COUNTIF('Sheet1-指标体系'!$P$5:$P$10,E51)&gt;0,"大规模","规模待确认"))</f>
        <v>大规模</v>
      </c>
      <c r="G51" s="9" t="s">
        <v>1237</v>
      </c>
      <c r="H51" s="9" t="s">
        <v>1238</v>
      </c>
      <c r="I51" s="9" t="s">
        <v>1239</v>
      </c>
      <c r="J51" s="9" t="s">
        <v>1240</v>
      </c>
      <c r="K51" s="9" t="s">
        <v>1240</v>
      </c>
      <c r="L51" s="9" t="s">
        <v>1240</v>
      </c>
      <c r="M51" s="9" t="s">
        <v>1241</v>
      </c>
      <c r="N51" s="9" t="s">
        <v>1242</v>
      </c>
      <c r="O51" s="10">
        <v>46218</v>
      </c>
      <c r="P51" s="10">
        <v>45734</v>
      </c>
      <c r="Q51" s="10">
        <v>46276</v>
      </c>
      <c r="R51" s="9" t="s">
        <v>1364</v>
      </c>
      <c r="S51" s="9" t="s">
        <v>934</v>
      </c>
      <c r="T51" s="9" t="s">
        <v>785</v>
      </c>
      <c r="U51" s="9" t="s">
        <v>1244</v>
      </c>
      <c r="V51" s="9">
        <f>IF(F51="大规模",COUNTIFS($F$2:$F$84,"大规模",$X$2:$X$84,"&lt;"&amp;X51)+1,"")</f>
        <v>35</v>
      </c>
      <c r="W51" s="9" t="str">
        <f>IF(F51="小规模",COUNTIFS($F$2:$F$84,"小规模",$X$2:$X$84,"&lt;"&amp;X51)+1,"")</f>
        <v/>
      </c>
      <c r="X51" s="9">
        <f>'Sheet2-计算明细'!BJ66</f>
        <v>47</v>
      </c>
    </row>
    <row r="52" ht="25" customHeight="1" spans="1:24">
      <c r="A52" s="9" t="s">
        <v>343</v>
      </c>
      <c r="B52" s="9" t="s">
        <v>342</v>
      </c>
      <c r="C52" s="9" t="s">
        <v>1365</v>
      </c>
      <c r="D52" s="9" t="s">
        <v>1366</v>
      </c>
      <c r="E52" s="9" t="s">
        <v>557</v>
      </c>
      <c r="F52" s="9" t="str">
        <f>IF(E52="0-5亿元","小规模",IF(COUNTIF('Sheet1-指标体系'!$P$5:$P$10,E52)&gt;0,"大规模","规模待确认"))</f>
        <v>大规模</v>
      </c>
      <c r="G52" s="9" t="s">
        <v>1237</v>
      </c>
      <c r="H52" s="9" t="s">
        <v>1238</v>
      </c>
      <c r="I52" s="9" t="s">
        <v>1239</v>
      </c>
      <c r="J52" s="9" t="s">
        <v>1240</v>
      </c>
      <c r="K52" s="9" t="s">
        <v>1240</v>
      </c>
      <c r="L52" s="9" t="s">
        <v>1296</v>
      </c>
      <c r="M52" s="9" t="s">
        <v>1297</v>
      </c>
      <c r="N52" s="9" t="s">
        <v>1242</v>
      </c>
      <c r="O52" s="10">
        <v>46156</v>
      </c>
      <c r="P52" s="10"/>
      <c r="Q52" s="10">
        <v>46276</v>
      </c>
      <c r="R52" s="9" t="s">
        <v>1367</v>
      </c>
      <c r="S52" s="9"/>
      <c r="T52" s="9" t="s">
        <v>785</v>
      </c>
      <c r="U52" s="9" t="s">
        <v>1312</v>
      </c>
      <c r="V52" s="9">
        <f>IF(F52="大规模",COUNTIFS($F$2:$F$84,"大规模",$X$2:$X$84,"&lt;"&amp;X52)+1,"")</f>
        <v>1</v>
      </c>
      <c r="W52" s="9" t="str">
        <f>IF(F52="小规模",COUNTIFS($F$2:$F$84,"小规模",$X$2:$X$84,"&lt;"&amp;X52)+1,"")</f>
        <v/>
      </c>
      <c r="X52" s="9">
        <f>'Sheet2-计算明细'!BJ67</f>
        <v>1</v>
      </c>
    </row>
    <row r="53" ht="25" customHeight="1" spans="1:24">
      <c r="A53" s="9" t="s">
        <v>348</v>
      </c>
      <c r="B53" s="9" t="s">
        <v>347</v>
      </c>
      <c r="C53" s="9" t="s">
        <v>1368</v>
      </c>
      <c r="D53" s="9" t="s">
        <v>1369</v>
      </c>
      <c r="E53" s="9" t="s">
        <v>546</v>
      </c>
      <c r="F53" s="9" t="str">
        <f>IF(E53="0-5亿元","小规模",IF(COUNTIF('Sheet1-指标体系'!$P$5:$P$10,E53)&gt;0,"大规模","规模待确认"))</f>
        <v>大规模</v>
      </c>
      <c r="G53" s="9" t="s">
        <v>1250</v>
      </c>
      <c r="H53" s="9" t="s">
        <v>1238</v>
      </c>
      <c r="I53" s="9" t="s">
        <v>1239</v>
      </c>
      <c r="J53" s="9" t="s">
        <v>1283</v>
      </c>
      <c r="K53" s="9" t="s">
        <v>1240</v>
      </c>
      <c r="L53" s="9" t="s">
        <v>1240</v>
      </c>
      <c r="M53" s="9" t="s">
        <v>1241</v>
      </c>
      <c r="N53" s="9" t="s">
        <v>1242</v>
      </c>
      <c r="O53" s="10">
        <v>45891</v>
      </c>
      <c r="P53" s="10">
        <v>45607</v>
      </c>
      <c r="Q53" s="10">
        <v>46276</v>
      </c>
      <c r="R53" s="9" t="s">
        <v>1370</v>
      </c>
      <c r="S53" s="9" t="s">
        <v>937</v>
      </c>
      <c r="T53" s="9" t="s">
        <v>785</v>
      </c>
      <c r="U53" s="9" t="s">
        <v>1244</v>
      </c>
      <c r="V53" s="9">
        <f>IF(F53="大规模",COUNTIFS($F$2:$F$84,"大规模",$X$2:$X$84,"&lt;"&amp;X53)+1,"")</f>
        <v>23</v>
      </c>
      <c r="W53" s="9" t="str">
        <f>IF(F53="小规模",COUNTIFS($F$2:$F$84,"小规模",$X$2:$X$84,"&lt;"&amp;X53)+1,"")</f>
        <v/>
      </c>
      <c r="X53" s="9">
        <f>'Sheet2-计算明细'!BJ68</f>
        <v>27</v>
      </c>
    </row>
    <row r="54" ht="25" customHeight="1" spans="1:24">
      <c r="A54" s="9" t="s">
        <v>354</v>
      </c>
      <c r="B54" s="9" t="s">
        <v>353</v>
      </c>
      <c r="C54" s="9" t="s">
        <v>1371</v>
      </c>
      <c r="D54" s="9" t="s">
        <v>1372</v>
      </c>
      <c r="E54" s="9" t="s">
        <v>542</v>
      </c>
      <c r="F54" s="9" t="str">
        <f>IF(E54="0-5亿元","小规模",IF(COUNTIF('Sheet1-指标体系'!$P$5:$P$10,E54)&gt;0,"大规模","规模待确认"))</f>
        <v>小规模</v>
      </c>
      <c r="G54" s="9" t="s">
        <v>1237</v>
      </c>
      <c r="H54" s="9" t="s">
        <v>1238</v>
      </c>
      <c r="I54" s="9" t="s">
        <v>1239</v>
      </c>
      <c r="J54" s="9" t="s">
        <v>1240</v>
      </c>
      <c r="K54" s="9" t="s">
        <v>1240</v>
      </c>
      <c r="L54" s="9" t="s">
        <v>1296</v>
      </c>
      <c r="M54" s="9" t="s">
        <v>1297</v>
      </c>
      <c r="N54" s="9" t="s">
        <v>1242</v>
      </c>
      <c r="O54" s="10">
        <v>46148</v>
      </c>
      <c r="P54" s="10"/>
      <c r="Q54" s="10">
        <v>46276</v>
      </c>
      <c r="R54" s="9" t="s">
        <v>1373</v>
      </c>
      <c r="S54" s="9" t="s">
        <v>785</v>
      </c>
      <c r="T54" s="9" t="s">
        <v>785</v>
      </c>
      <c r="U54" s="9" t="s">
        <v>1244</v>
      </c>
      <c r="V54" s="9" t="str">
        <f>IF(F54="大规模",COUNTIFS($F$2:$F$84,"大规模",$X$2:$X$84,"&lt;"&amp;X54)+1,"")</f>
        <v/>
      </c>
      <c r="W54" s="9">
        <f>IF(F54="小规模",COUNTIFS($F$2:$F$84,"小规模",$X$2:$X$84,"&lt;"&amp;X54)+1,"")</f>
        <v>15</v>
      </c>
      <c r="X54" s="9">
        <f>'Sheet2-计算明细'!BJ69</f>
        <v>61</v>
      </c>
    </row>
    <row r="55" ht="25" customHeight="1" spans="1:24">
      <c r="A55" s="9" t="s">
        <v>360</v>
      </c>
      <c r="B55" s="9" t="s">
        <v>359</v>
      </c>
      <c r="C55" s="9" t="s">
        <v>1374</v>
      </c>
      <c r="D55" s="9" t="s">
        <v>1375</v>
      </c>
      <c r="E55" s="9" t="s">
        <v>546</v>
      </c>
      <c r="F55" s="9" t="str">
        <f>IF(E55="0-5亿元","小规模",IF(COUNTIF('Sheet1-指标体系'!$P$5:$P$10,E55)&gt;0,"大规模","规模待确认"))</f>
        <v>大规模</v>
      </c>
      <c r="G55" s="9" t="s">
        <v>1237</v>
      </c>
      <c r="H55" s="9" t="s">
        <v>1238</v>
      </c>
      <c r="I55" s="9" t="s">
        <v>1239</v>
      </c>
      <c r="J55" s="9" t="s">
        <v>1240</v>
      </c>
      <c r="K55" s="9" t="s">
        <v>1240</v>
      </c>
      <c r="L55" s="9" t="s">
        <v>1240</v>
      </c>
      <c r="M55" s="9" t="s">
        <v>1241</v>
      </c>
      <c r="N55" s="9" t="s">
        <v>1242</v>
      </c>
      <c r="O55" s="10">
        <v>46128</v>
      </c>
      <c r="P55" s="10">
        <v>46203</v>
      </c>
      <c r="Q55" s="10">
        <v>46276</v>
      </c>
      <c r="R55" s="9" t="s">
        <v>1376</v>
      </c>
      <c r="S55" s="9" t="s">
        <v>940</v>
      </c>
      <c r="T55" s="9" t="s">
        <v>785</v>
      </c>
      <c r="U55" s="9" t="s">
        <v>1244</v>
      </c>
      <c r="V55" s="9">
        <f>IF(F55="大规模",COUNTIFS($F$2:$F$84,"大规模",$X$2:$X$84,"&lt;"&amp;X55)+1,"")</f>
        <v>53</v>
      </c>
      <c r="W55" s="9" t="str">
        <f>IF(F55="小规模",COUNTIFS($F$2:$F$84,"小规模",$X$2:$X$84,"&lt;"&amp;X55)+1,"")</f>
        <v/>
      </c>
      <c r="X55" s="9">
        <f>'Sheet2-计算明细'!BJ70</f>
        <v>72</v>
      </c>
    </row>
    <row r="56" ht="25" customHeight="1" spans="1:24">
      <c r="A56" s="9" t="s">
        <v>366</v>
      </c>
      <c r="B56" s="9" t="s">
        <v>365</v>
      </c>
      <c r="C56" s="9" t="s">
        <v>1377</v>
      </c>
      <c r="D56" s="9" t="s">
        <v>1378</v>
      </c>
      <c r="E56" s="9" t="s">
        <v>551</v>
      </c>
      <c r="F56" s="9" t="str">
        <f>IF(E56="0-5亿元","小规模",IF(COUNTIF('Sheet1-指标体系'!$P$5:$P$10,E56)&gt;0,"大规模","规模待确认"))</f>
        <v>大规模</v>
      </c>
      <c r="G56" s="9" t="s">
        <v>1237</v>
      </c>
      <c r="H56" s="9" t="s">
        <v>1238</v>
      </c>
      <c r="I56" s="9" t="s">
        <v>1239</v>
      </c>
      <c r="J56" s="9" t="s">
        <v>1240</v>
      </c>
      <c r="K56" s="9" t="s">
        <v>1240</v>
      </c>
      <c r="L56" s="9" t="s">
        <v>1240</v>
      </c>
      <c r="M56" s="9" t="s">
        <v>1241</v>
      </c>
      <c r="N56" s="9" t="s">
        <v>1242</v>
      </c>
      <c r="O56" s="10">
        <v>46133</v>
      </c>
      <c r="P56" s="10">
        <v>44988</v>
      </c>
      <c r="Q56" s="10">
        <v>46276</v>
      </c>
      <c r="R56" s="9" t="s">
        <v>1379</v>
      </c>
      <c r="S56" s="9" t="s">
        <v>942</v>
      </c>
      <c r="T56" s="9" t="s">
        <v>785</v>
      </c>
      <c r="U56" s="9" t="s">
        <v>1244</v>
      </c>
      <c r="V56" s="9">
        <f>IF(F56="大规模",COUNTIFS($F$2:$F$84,"大规模",$X$2:$X$84,"&lt;"&amp;X56)+1,"")</f>
        <v>42</v>
      </c>
      <c r="W56" s="9" t="str">
        <f>IF(F56="小规模",COUNTIFS($F$2:$F$84,"小规模",$X$2:$X$84,"&lt;"&amp;X56)+1,"")</f>
        <v/>
      </c>
      <c r="X56" s="9">
        <f>'Sheet2-计算明细'!BJ71</f>
        <v>55</v>
      </c>
    </row>
    <row r="57" ht="25" customHeight="1" spans="1:24">
      <c r="A57" s="9" t="s">
        <v>371</v>
      </c>
      <c r="B57" s="9" t="s">
        <v>370</v>
      </c>
      <c r="C57" s="9" t="s">
        <v>1377</v>
      </c>
      <c r="D57" s="9" t="s">
        <v>1378</v>
      </c>
      <c r="E57" s="9" t="s">
        <v>551</v>
      </c>
      <c r="F57" s="9" t="str">
        <f>IF(E57="0-5亿元","小规模",IF(COUNTIF('Sheet1-指标体系'!$P$5:$P$10,E57)&gt;0,"大规模","规模待确认"))</f>
        <v>大规模</v>
      </c>
      <c r="G57" s="9" t="s">
        <v>1237</v>
      </c>
      <c r="H57" s="9" t="s">
        <v>1238</v>
      </c>
      <c r="I57" s="9" t="s">
        <v>1239</v>
      </c>
      <c r="J57" s="9" t="s">
        <v>1240</v>
      </c>
      <c r="K57" s="9" t="s">
        <v>1240</v>
      </c>
      <c r="L57" s="9" t="s">
        <v>1240</v>
      </c>
      <c r="M57" s="9" t="s">
        <v>1241</v>
      </c>
      <c r="N57" s="9" t="s">
        <v>1242</v>
      </c>
      <c r="O57" s="10">
        <v>46133</v>
      </c>
      <c r="P57" s="10">
        <v>45770</v>
      </c>
      <c r="Q57" s="10">
        <v>46276</v>
      </c>
      <c r="R57" s="9" t="s">
        <v>1379</v>
      </c>
      <c r="S57" s="9" t="s">
        <v>944</v>
      </c>
      <c r="T57" s="9" t="s">
        <v>785</v>
      </c>
      <c r="U57" s="9" t="s">
        <v>1244</v>
      </c>
      <c r="V57" s="9">
        <f>IF(F57="大规模",COUNTIFS($F$2:$F$84,"大规模",$X$2:$X$84,"&lt;"&amp;X57)+1,"")</f>
        <v>41</v>
      </c>
      <c r="W57" s="9" t="str">
        <f>IF(F57="小规模",COUNTIFS($F$2:$F$84,"小规模",$X$2:$X$84,"&lt;"&amp;X57)+1,"")</f>
        <v/>
      </c>
      <c r="X57" s="9">
        <f>'Sheet2-计算明细'!BJ72</f>
        <v>54</v>
      </c>
    </row>
    <row r="58" ht="25" customHeight="1" spans="1:24">
      <c r="A58" s="9" t="s">
        <v>376</v>
      </c>
      <c r="B58" s="9" t="s">
        <v>375</v>
      </c>
      <c r="C58" s="9" t="s">
        <v>1380</v>
      </c>
      <c r="D58" s="9" t="s">
        <v>1381</v>
      </c>
      <c r="E58" s="9" t="s">
        <v>557</v>
      </c>
      <c r="F58" s="9" t="str">
        <f>IF(E58="0-5亿元","小规模",IF(COUNTIF('Sheet1-指标体系'!$P$5:$P$10,E58)&gt;0,"大规模","规模待确认"))</f>
        <v>大规模</v>
      </c>
      <c r="G58" s="9" t="s">
        <v>1237</v>
      </c>
      <c r="H58" s="9" t="s">
        <v>1238</v>
      </c>
      <c r="I58" s="9" t="s">
        <v>1239</v>
      </c>
      <c r="J58" s="9" t="s">
        <v>1240</v>
      </c>
      <c r="K58" s="9" t="s">
        <v>1240</v>
      </c>
      <c r="L58" s="9" t="s">
        <v>1240</v>
      </c>
      <c r="M58" s="9" t="s">
        <v>1241</v>
      </c>
      <c r="N58" s="9" t="s">
        <v>1242</v>
      </c>
      <c r="O58" s="10">
        <v>46027</v>
      </c>
      <c r="P58" s="10">
        <v>43928</v>
      </c>
      <c r="Q58" s="10">
        <v>46276</v>
      </c>
      <c r="R58" s="9" t="s">
        <v>1382</v>
      </c>
      <c r="S58" s="9" t="s">
        <v>946</v>
      </c>
      <c r="T58" s="9" t="s">
        <v>785</v>
      </c>
      <c r="U58" s="9" t="s">
        <v>1244</v>
      </c>
      <c r="V58" s="9">
        <f>IF(F58="大规模",COUNTIFS($F$2:$F$84,"大规模",$X$2:$X$84,"&lt;"&amp;X58)+1,"")</f>
        <v>52</v>
      </c>
      <c r="W58" s="9" t="str">
        <f>IF(F58="小规模",COUNTIFS($F$2:$F$84,"小规模",$X$2:$X$84,"&lt;"&amp;X58)+1,"")</f>
        <v/>
      </c>
      <c r="X58" s="9">
        <f>'Sheet2-计算明细'!BJ73</f>
        <v>69</v>
      </c>
    </row>
    <row r="59" ht="25" customHeight="1" spans="1:24">
      <c r="A59" s="9" t="s">
        <v>383</v>
      </c>
      <c r="B59" s="9" t="s">
        <v>381</v>
      </c>
      <c r="C59" s="9" t="s">
        <v>1383</v>
      </c>
      <c r="D59" s="9" t="s">
        <v>1384</v>
      </c>
      <c r="E59" s="9" t="s">
        <v>542</v>
      </c>
      <c r="F59" s="9" t="str">
        <f>IF(E59="0-5亿元","小规模",IF(COUNTIF('Sheet1-指标体系'!$P$5:$P$10,E59)&gt;0,"大规模","规模待确认"))</f>
        <v>小规模</v>
      </c>
      <c r="G59" s="9" t="s">
        <v>1237</v>
      </c>
      <c r="H59" s="9" t="s">
        <v>1238</v>
      </c>
      <c r="I59" s="9" t="s">
        <v>1239</v>
      </c>
      <c r="J59" s="9" t="s">
        <v>1240</v>
      </c>
      <c r="K59" s="9" t="s">
        <v>1240</v>
      </c>
      <c r="L59" s="9" t="s">
        <v>1296</v>
      </c>
      <c r="M59" s="9" t="s">
        <v>1297</v>
      </c>
      <c r="N59" s="9" t="s">
        <v>1242</v>
      </c>
      <c r="O59" s="10">
        <v>46079</v>
      </c>
      <c r="P59" s="10"/>
      <c r="Q59" s="10">
        <v>46276</v>
      </c>
      <c r="R59" s="9" t="s">
        <v>1385</v>
      </c>
      <c r="S59" s="9" t="s">
        <v>785</v>
      </c>
      <c r="T59" s="9" t="s">
        <v>785</v>
      </c>
      <c r="U59" s="9" t="s">
        <v>1244</v>
      </c>
      <c r="V59" s="9" t="str">
        <f>IF(F59="大规模",COUNTIFS($F$2:$F$84,"大规模",$X$2:$X$84,"&lt;"&amp;X59)+1,"")</f>
        <v/>
      </c>
      <c r="W59" s="9">
        <f>IF(F59="小规模",COUNTIFS($F$2:$F$84,"小规模",$X$2:$X$84,"&lt;"&amp;X59)+1,"")</f>
        <v>8</v>
      </c>
      <c r="X59" s="9">
        <f>'Sheet2-计算明细'!BJ74</f>
        <v>39</v>
      </c>
    </row>
    <row r="60" ht="25" customHeight="1" spans="1:24">
      <c r="A60" s="9" t="s">
        <v>388</v>
      </c>
      <c r="B60" s="9" t="s">
        <v>387</v>
      </c>
      <c r="C60" s="9" t="s">
        <v>1383</v>
      </c>
      <c r="D60" s="9" t="s">
        <v>1384</v>
      </c>
      <c r="E60" s="9" t="s">
        <v>542</v>
      </c>
      <c r="F60" s="9" t="str">
        <f>IF(E60="0-5亿元","小规模",IF(COUNTIF('Sheet1-指标体系'!$P$5:$P$10,E60)&gt;0,"大规模","规模待确认"))</f>
        <v>小规模</v>
      </c>
      <c r="G60" s="9" t="s">
        <v>1237</v>
      </c>
      <c r="H60" s="9" t="s">
        <v>1238</v>
      </c>
      <c r="I60" s="9" t="s">
        <v>1239</v>
      </c>
      <c r="J60" s="9" t="s">
        <v>1240</v>
      </c>
      <c r="K60" s="9" t="s">
        <v>1240</v>
      </c>
      <c r="L60" s="9" t="s">
        <v>1240</v>
      </c>
      <c r="M60" s="9" t="s">
        <v>1241</v>
      </c>
      <c r="N60" s="9" t="s">
        <v>1242</v>
      </c>
      <c r="O60" s="10">
        <v>46079</v>
      </c>
      <c r="P60" s="10">
        <v>46021</v>
      </c>
      <c r="Q60" s="10">
        <v>46276</v>
      </c>
      <c r="R60" s="9" t="s">
        <v>1385</v>
      </c>
      <c r="S60" s="9" t="s">
        <v>949</v>
      </c>
      <c r="T60" s="9" t="s">
        <v>785</v>
      </c>
      <c r="U60" s="9" t="s">
        <v>1244</v>
      </c>
      <c r="V60" s="9" t="str">
        <f>IF(F60="大规模",COUNTIFS($F$2:$F$84,"大规模",$X$2:$X$84,"&lt;"&amp;X60)+1,"")</f>
        <v/>
      </c>
      <c r="W60" s="9">
        <f>IF(F60="小规模",COUNTIFS($F$2:$F$84,"小规模",$X$2:$X$84,"&lt;"&amp;X60)+1,"")</f>
        <v>3</v>
      </c>
      <c r="X60" s="9">
        <f>'Sheet2-计算明细'!BJ75</f>
        <v>17</v>
      </c>
    </row>
    <row r="61" ht="25" customHeight="1" spans="1:24">
      <c r="A61" s="9" t="s">
        <v>392</v>
      </c>
      <c r="B61" s="9" t="s">
        <v>391</v>
      </c>
      <c r="C61" s="9" t="s">
        <v>1386</v>
      </c>
      <c r="D61" s="9" t="s">
        <v>1387</v>
      </c>
      <c r="E61" s="9" t="s">
        <v>551</v>
      </c>
      <c r="F61" s="9" t="str">
        <f>IF(E61="0-5亿元","小规模",IF(COUNTIF('Sheet1-指标体系'!$P$5:$P$10,E61)&gt;0,"大规模","规模待确认"))</f>
        <v>大规模</v>
      </c>
      <c r="G61" s="9" t="s">
        <v>1388</v>
      </c>
      <c r="H61" s="9" t="s">
        <v>1238</v>
      </c>
      <c r="I61" s="9" t="s">
        <v>1389</v>
      </c>
      <c r="J61" s="9" t="s">
        <v>1251</v>
      </c>
      <c r="K61" s="9" t="s">
        <v>1390</v>
      </c>
      <c r="L61" s="9" t="s">
        <v>1240</v>
      </c>
      <c r="M61" s="9" t="s">
        <v>1241</v>
      </c>
      <c r="N61" s="9" t="s">
        <v>1242</v>
      </c>
      <c r="O61" s="10">
        <v>46202</v>
      </c>
      <c r="P61" s="10">
        <v>45555</v>
      </c>
      <c r="Q61" s="10">
        <v>46276</v>
      </c>
      <c r="R61" s="9" t="s">
        <v>1391</v>
      </c>
      <c r="S61" s="9" t="s">
        <v>951</v>
      </c>
      <c r="T61" s="9" t="s">
        <v>1392</v>
      </c>
      <c r="U61" s="9" t="s">
        <v>1244</v>
      </c>
      <c r="V61" s="9">
        <f>IF(F61="大规模",COUNTIFS($F$2:$F$84,"大规模",$X$2:$X$84,"&lt;"&amp;X61)+1,"")</f>
        <v>43</v>
      </c>
      <c r="W61" s="9" t="str">
        <f>IF(F61="小规模",COUNTIFS($F$2:$F$84,"小规模",$X$2:$X$84,"&lt;"&amp;X61)+1,"")</f>
        <v/>
      </c>
      <c r="X61" s="9">
        <f>'Sheet2-计算明细'!BJ76</f>
        <v>56</v>
      </c>
    </row>
    <row r="62" ht="25" customHeight="1" spans="1:24">
      <c r="A62" s="9" t="s">
        <v>397</v>
      </c>
      <c r="B62" s="9" t="s">
        <v>396</v>
      </c>
      <c r="C62" s="9" t="s">
        <v>1386</v>
      </c>
      <c r="D62" s="9" t="s">
        <v>1387</v>
      </c>
      <c r="E62" s="9" t="s">
        <v>551</v>
      </c>
      <c r="F62" s="9" t="str">
        <f>IF(E62="0-5亿元","小规模",IF(COUNTIF('Sheet1-指标体系'!$P$5:$P$10,E62)&gt;0,"大规模","规模待确认"))</f>
        <v>大规模</v>
      </c>
      <c r="G62" s="9" t="s">
        <v>1388</v>
      </c>
      <c r="H62" s="9" t="s">
        <v>1238</v>
      </c>
      <c r="I62" s="9" t="s">
        <v>1389</v>
      </c>
      <c r="J62" s="9" t="s">
        <v>1251</v>
      </c>
      <c r="K62" s="9" t="s">
        <v>1390</v>
      </c>
      <c r="L62" s="9" t="s">
        <v>1240</v>
      </c>
      <c r="M62" s="9" t="s">
        <v>1241</v>
      </c>
      <c r="N62" s="9" t="s">
        <v>1242</v>
      </c>
      <c r="O62" s="10">
        <v>46202</v>
      </c>
      <c r="P62" s="10">
        <v>46031</v>
      </c>
      <c r="Q62" s="10">
        <v>46276</v>
      </c>
      <c r="R62" s="9" t="s">
        <v>1391</v>
      </c>
      <c r="S62" s="9" t="s">
        <v>953</v>
      </c>
      <c r="T62" s="9" t="s">
        <v>1392</v>
      </c>
      <c r="U62" s="9" t="s">
        <v>1244</v>
      </c>
      <c r="V62" s="9">
        <f>IF(F62="大规模",COUNTIFS($F$2:$F$84,"大规模",$X$2:$X$84,"&lt;"&amp;X62)+1,"")</f>
        <v>33</v>
      </c>
      <c r="W62" s="9" t="str">
        <f>IF(F62="小规模",COUNTIFS($F$2:$F$84,"小规模",$X$2:$X$84,"&lt;"&amp;X62)+1,"")</f>
        <v/>
      </c>
      <c r="X62" s="9">
        <f>'Sheet2-计算明细'!BJ77</f>
        <v>43</v>
      </c>
    </row>
    <row r="63" ht="25" customHeight="1" spans="1:24">
      <c r="A63" s="9" t="s">
        <v>401</v>
      </c>
      <c r="B63" s="9" t="s">
        <v>400</v>
      </c>
      <c r="C63" s="9" t="s">
        <v>1386</v>
      </c>
      <c r="D63" s="9" t="s">
        <v>1387</v>
      </c>
      <c r="E63" s="9" t="s">
        <v>551</v>
      </c>
      <c r="F63" s="9" t="str">
        <f>IF(E63="0-5亿元","小规模",IF(COUNTIF('Sheet1-指标体系'!$P$5:$P$10,E63)&gt;0,"大规模","规模待确认"))</f>
        <v>大规模</v>
      </c>
      <c r="G63" s="9" t="s">
        <v>1388</v>
      </c>
      <c r="H63" s="9" t="s">
        <v>1238</v>
      </c>
      <c r="I63" s="9" t="s">
        <v>1389</v>
      </c>
      <c r="J63" s="9" t="s">
        <v>1251</v>
      </c>
      <c r="K63" s="9" t="s">
        <v>1390</v>
      </c>
      <c r="L63" s="9" t="s">
        <v>1240</v>
      </c>
      <c r="M63" s="9" t="s">
        <v>1241</v>
      </c>
      <c r="N63" s="9" t="s">
        <v>1242</v>
      </c>
      <c r="O63" s="10">
        <v>46202</v>
      </c>
      <c r="P63" s="10">
        <v>45855</v>
      </c>
      <c r="Q63" s="10">
        <v>46276</v>
      </c>
      <c r="R63" s="9" t="s">
        <v>1391</v>
      </c>
      <c r="S63" s="9" t="s">
        <v>955</v>
      </c>
      <c r="T63" s="9" t="s">
        <v>1392</v>
      </c>
      <c r="U63" s="9" t="s">
        <v>1244</v>
      </c>
      <c r="V63" s="9">
        <f>IF(F63="大规模",COUNTIFS($F$2:$F$84,"大规模",$X$2:$X$84,"&lt;"&amp;X63)+1,"")</f>
        <v>26</v>
      </c>
      <c r="W63" s="9" t="str">
        <f>IF(F63="小规模",COUNTIFS($F$2:$F$84,"小规模",$X$2:$X$84,"&lt;"&amp;X63)+1,"")</f>
        <v/>
      </c>
      <c r="X63" s="9">
        <f>'Sheet2-计算明细'!BJ78</f>
        <v>31</v>
      </c>
    </row>
    <row r="64" ht="25" customHeight="1" spans="1:24">
      <c r="A64" s="9" t="s">
        <v>405</v>
      </c>
      <c r="B64" s="9" t="s">
        <v>404</v>
      </c>
      <c r="C64" s="9" t="s">
        <v>1393</v>
      </c>
      <c r="D64" s="9" t="s">
        <v>1394</v>
      </c>
      <c r="E64" s="9" t="s">
        <v>542</v>
      </c>
      <c r="F64" s="9" t="str">
        <f>IF(E64="0-5亿元","小规模",IF(COUNTIF('Sheet1-指标体系'!$P$5:$P$10,E64)&gt;0,"大规模","规模待确认"))</f>
        <v>小规模</v>
      </c>
      <c r="G64" s="9" t="s">
        <v>1250</v>
      </c>
      <c r="H64" s="9" t="s">
        <v>1238</v>
      </c>
      <c r="I64" s="9" t="s">
        <v>1239</v>
      </c>
      <c r="J64" s="9" t="s">
        <v>1240</v>
      </c>
      <c r="K64" s="9" t="s">
        <v>1240</v>
      </c>
      <c r="L64" s="9" t="s">
        <v>1345</v>
      </c>
      <c r="M64" s="9" t="s">
        <v>1241</v>
      </c>
      <c r="N64" s="9" t="s">
        <v>1242</v>
      </c>
      <c r="O64" s="10">
        <v>45869</v>
      </c>
      <c r="P64" s="10">
        <v>45845</v>
      </c>
      <c r="Q64" s="10">
        <v>46276</v>
      </c>
      <c r="R64" s="9" t="s">
        <v>1395</v>
      </c>
      <c r="S64" s="9" t="s">
        <v>957</v>
      </c>
      <c r="T64" s="9" t="s">
        <v>785</v>
      </c>
      <c r="U64" s="9" t="s">
        <v>1244</v>
      </c>
      <c r="V64" s="9" t="str">
        <f>IF(F64="大规模",COUNTIFS($F$2:$F$84,"大规模",$X$2:$X$84,"&lt;"&amp;X64)+1,"")</f>
        <v/>
      </c>
      <c r="W64" s="9">
        <f>IF(F64="小规模",COUNTIFS($F$2:$F$84,"小规模",$X$2:$X$84,"&lt;"&amp;X64)+1,"")</f>
        <v>20</v>
      </c>
      <c r="X64" s="9">
        <f>'Sheet2-计算明细'!BJ79</f>
        <v>78</v>
      </c>
    </row>
    <row r="65" ht="25" customHeight="1" spans="1:24">
      <c r="A65" s="9" t="s">
        <v>410</v>
      </c>
      <c r="B65" s="9" t="s">
        <v>409</v>
      </c>
      <c r="C65" s="9" t="s">
        <v>1396</v>
      </c>
      <c r="D65" s="9" t="s">
        <v>1397</v>
      </c>
      <c r="E65" s="9" t="s">
        <v>542</v>
      </c>
      <c r="F65" s="9" t="str">
        <f>IF(E65="0-5亿元","小规模",IF(COUNTIF('Sheet1-指标体系'!$P$5:$P$10,E65)&gt;0,"大规模","规模待确认"))</f>
        <v>小规模</v>
      </c>
      <c r="G65" s="9" t="s">
        <v>1250</v>
      </c>
      <c r="H65" s="9" t="s">
        <v>1238</v>
      </c>
      <c r="I65" s="9" t="s">
        <v>1239</v>
      </c>
      <c r="J65" s="9" t="s">
        <v>1240</v>
      </c>
      <c r="K65" s="9" t="s">
        <v>1240</v>
      </c>
      <c r="L65" s="9" t="s">
        <v>1345</v>
      </c>
      <c r="M65" s="9" t="s">
        <v>1241</v>
      </c>
      <c r="N65" s="9" t="s">
        <v>1242</v>
      </c>
      <c r="O65" s="10">
        <v>46063</v>
      </c>
      <c r="P65" s="10">
        <v>45616</v>
      </c>
      <c r="Q65" s="10">
        <v>46276</v>
      </c>
      <c r="R65" s="9" t="s">
        <v>1398</v>
      </c>
      <c r="S65" s="9" t="s">
        <v>959</v>
      </c>
      <c r="T65" s="9" t="s">
        <v>785</v>
      </c>
      <c r="U65" s="9" t="s">
        <v>1244</v>
      </c>
      <c r="V65" s="9" t="str">
        <f>IF(F65="大规模",COUNTIFS($F$2:$F$84,"大规模",$X$2:$X$84,"&lt;"&amp;X65)+1,"")</f>
        <v/>
      </c>
      <c r="W65" s="9">
        <f>IF(F65="小规模",COUNTIFS($F$2:$F$84,"小规模",$X$2:$X$84,"&lt;"&amp;X65)+1,"")</f>
        <v>14</v>
      </c>
      <c r="X65" s="9">
        <f>'Sheet2-计算明细'!BJ80</f>
        <v>59</v>
      </c>
    </row>
    <row r="66" ht="25" customHeight="1" spans="1:24">
      <c r="A66" s="9" t="s">
        <v>417</v>
      </c>
      <c r="B66" s="9" t="s">
        <v>415</v>
      </c>
      <c r="C66" s="9" t="s">
        <v>1399</v>
      </c>
      <c r="D66" s="9" t="s">
        <v>1400</v>
      </c>
      <c r="E66" s="9" t="s">
        <v>546</v>
      </c>
      <c r="F66" s="9" t="str">
        <f>IF(E66="0-5亿元","小规模",IF(COUNTIF('Sheet1-指标体系'!$P$5:$P$10,E66)&gt;0,"大规模","规模待确认"))</f>
        <v>大规模</v>
      </c>
      <c r="G66" s="9" t="s">
        <v>1237</v>
      </c>
      <c r="H66" s="9" t="s">
        <v>1238</v>
      </c>
      <c r="I66" s="9" t="s">
        <v>1239</v>
      </c>
      <c r="J66" s="9" t="s">
        <v>1240</v>
      </c>
      <c r="K66" s="9" t="s">
        <v>1240</v>
      </c>
      <c r="L66" s="9" t="s">
        <v>1240</v>
      </c>
      <c r="M66" s="9" t="s">
        <v>1241</v>
      </c>
      <c r="N66" s="9" t="s">
        <v>1242</v>
      </c>
      <c r="O66" s="10">
        <v>46112</v>
      </c>
      <c r="P66" s="10">
        <v>45259</v>
      </c>
      <c r="Q66" s="10">
        <v>46276</v>
      </c>
      <c r="R66" s="9" t="s">
        <v>1401</v>
      </c>
      <c r="S66" s="9" t="s">
        <v>961</v>
      </c>
      <c r="T66" s="9" t="s">
        <v>785</v>
      </c>
      <c r="U66" s="9" t="s">
        <v>1244</v>
      </c>
      <c r="V66" s="9">
        <f>IF(F66="大规模",COUNTIFS($F$2:$F$84,"大规模",$X$2:$X$84,"&lt;"&amp;X66)+1,"")</f>
        <v>56</v>
      </c>
      <c r="W66" s="9" t="str">
        <f>IF(F66="小规模",COUNTIFS($F$2:$F$84,"小规模",$X$2:$X$84,"&lt;"&amp;X66)+1,"")</f>
        <v/>
      </c>
      <c r="X66" s="9">
        <f>'Sheet2-计算明细'!BJ81</f>
        <v>75</v>
      </c>
    </row>
    <row r="67" ht="25" customHeight="1" spans="1:24">
      <c r="A67" s="9" t="s">
        <v>422</v>
      </c>
      <c r="B67" s="9" t="s">
        <v>421</v>
      </c>
      <c r="C67" s="9" t="s">
        <v>1402</v>
      </c>
      <c r="D67" s="9" t="s">
        <v>1403</v>
      </c>
      <c r="E67" s="9" t="s">
        <v>542</v>
      </c>
      <c r="F67" s="9" t="str">
        <f>IF(E67="0-5亿元","小规模",IF(COUNTIF('Sheet1-指标体系'!$P$5:$P$10,E67)&gt;0,"大规模","规模待确认"))</f>
        <v>小规模</v>
      </c>
      <c r="G67" s="9" t="s">
        <v>1237</v>
      </c>
      <c r="H67" s="9" t="s">
        <v>1238</v>
      </c>
      <c r="I67" s="9" t="s">
        <v>1239</v>
      </c>
      <c r="J67" s="9" t="s">
        <v>1240</v>
      </c>
      <c r="K67" s="9" t="s">
        <v>1240</v>
      </c>
      <c r="L67" s="9" t="s">
        <v>1240</v>
      </c>
      <c r="M67" s="9" t="s">
        <v>1241</v>
      </c>
      <c r="N67" s="9" t="s">
        <v>1242</v>
      </c>
      <c r="O67" s="10">
        <v>46237</v>
      </c>
      <c r="P67" s="10">
        <v>46189</v>
      </c>
      <c r="Q67" s="10">
        <v>46276</v>
      </c>
      <c r="R67" s="9" t="s">
        <v>1404</v>
      </c>
      <c r="S67" s="9" t="s">
        <v>963</v>
      </c>
      <c r="T67" s="9" t="s">
        <v>785</v>
      </c>
      <c r="U67" s="9" t="s">
        <v>1244</v>
      </c>
      <c r="V67" s="9" t="str">
        <f>IF(F67="大规模",COUNTIFS($F$2:$F$84,"大规模",$X$2:$X$84,"&lt;"&amp;X67)+1,"")</f>
        <v/>
      </c>
      <c r="W67" s="9">
        <f>IF(F67="小规模",COUNTIFS($F$2:$F$84,"小规模",$X$2:$X$84,"&lt;"&amp;X67)+1,"")</f>
        <v>18</v>
      </c>
      <c r="X67" s="9">
        <f>'Sheet2-计算明细'!BJ82</f>
        <v>70</v>
      </c>
    </row>
    <row r="68" ht="25" customHeight="1" spans="1:24">
      <c r="A68" s="9" t="s">
        <v>429</v>
      </c>
      <c r="B68" s="9" t="s">
        <v>427</v>
      </c>
      <c r="C68" s="9" t="s">
        <v>1405</v>
      </c>
      <c r="D68" s="9" t="s">
        <v>1406</v>
      </c>
      <c r="E68" s="9" t="s">
        <v>557</v>
      </c>
      <c r="F68" s="9" t="str">
        <f>IF(E68="0-5亿元","小规模",IF(COUNTIF('Sheet1-指标体系'!$P$5:$P$10,E68)&gt;0,"大规模","规模待确认"))</f>
        <v>大规模</v>
      </c>
      <c r="G68" s="9" t="s">
        <v>1237</v>
      </c>
      <c r="H68" s="9" t="s">
        <v>1238</v>
      </c>
      <c r="I68" s="9" t="s">
        <v>1239</v>
      </c>
      <c r="J68" s="9" t="s">
        <v>1240</v>
      </c>
      <c r="K68" s="9" t="s">
        <v>1240</v>
      </c>
      <c r="L68" s="9" t="s">
        <v>1240</v>
      </c>
      <c r="M68" s="9" t="s">
        <v>1241</v>
      </c>
      <c r="N68" s="9" t="s">
        <v>1242</v>
      </c>
      <c r="O68" s="10">
        <v>46216</v>
      </c>
      <c r="P68" s="10">
        <v>46224</v>
      </c>
      <c r="Q68" s="10">
        <v>46276</v>
      </c>
      <c r="R68" s="9" t="s">
        <v>1407</v>
      </c>
      <c r="S68" s="9" t="s">
        <v>965</v>
      </c>
      <c r="T68" s="9" t="s">
        <v>785</v>
      </c>
      <c r="U68" s="9" t="s">
        <v>1244</v>
      </c>
      <c r="V68" s="9">
        <f>IF(F68="大规模",COUNTIFS($F$2:$F$84,"大规模",$X$2:$X$84,"&lt;"&amp;X68)+1,"")</f>
        <v>48</v>
      </c>
      <c r="W68" s="9" t="str">
        <f>IF(F68="小规模",COUNTIFS($F$2:$F$84,"小规模",$X$2:$X$84,"&lt;"&amp;X68)+1,"")</f>
        <v/>
      </c>
      <c r="X68" s="9">
        <f>'Sheet2-计算明细'!BJ83</f>
        <v>64</v>
      </c>
    </row>
    <row r="69" ht="25" customHeight="1" spans="1:24">
      <c r="A69" s="9" t="s">
        <v>435</v>
      </c>
      <c r="B69" s="9" t="s">
        <v>434</v>
      </c>
      <c r="C69" s="9" t="s">
        <v>1408</v>
      </c>
      <c r="D69" s="9" t="s">
        <v>1409</v>
      </c>
      <c r="E69" s="9" t="s">
        <v>551</v>
      </c>
      <c r="F69" s="9" t="str">
        <f>IF(E69="0-5亿元","小规模",IF(COUNTIF('Sheet1-指标体系'!$P$5:$P$10,E69)&gt;0,"大规模","规模待确认"))</f>
        <v>大规模</v>
      </c>
      <c r="G69" s="9" t="s">
        <v>1237</v>
      </c>
      <c r="H69" s="9" t="s">
        <v>1238</v>
      </c>
      <c r="I69" s="9" t="s">
        <v>1239</v>
      </c>
      <c r="J69" s="9" t="s">
        <v>1240</v>
      </c>
      <c r="K69" s="9" t="s">
        <v>1240</v>
      </c>
      <c r="L69" s="9" t="s">
        <v>1296</v>
      </c>
      <c r="M69" s="9" t="s">
        <v>1297</v>
      </c>
      <c r="N69" s="9" t="s">
        <v>1242</v>
      </c>
      <c r="O69" s="10">
        <v>46028</v>
      </c>
      <c r="P69" s="10"/>
      <c r="Q69" s="10">
        <v>46276</v>
      </c>
      <c r="R69" s="9" t="s">
        <v>1410</v>
      </c>
      <c r="S69" s="9" t="s">
        <v>785</v>
      </c>
      <c r="T69" s="9" t="s">
        <v>785</v>
      </c>
      <c r="U69" s="9" t="s">
        <v>1244</v>
      </c>
      <c r="V69" s="9">
        <f>IF(F69="大规模",COUNTIFS($F$2:$F$84,"大规模",$X$2:$X$84,"&lt;"&amp;X69)+1,"")</f>
        <v>18</v>
      </c>
      <c r="W69" s="9" t="str">
        <f>IF(F69="小规模",COUNTIFS($F$2:$F$84,"小规模",$X$2:$X$84,"&lt;"&amp;X69)+1,"")</f>
        <v/>
      </c>
      <c r="X69" s="9">
        <f>'Sheet2-计算明细'!BJ84</f>
        <v>21</v>
      </c>
    </row>
    <row r="70" ht="25" customHeight="1" spans="1:24">
      <c r="A70" s="9" t="s">
        <v>441</v>
      </c>
      <c r="B70" s="9" t="s">
        <v>440</v>
      </c>
      <c r="C70" s="9" t="s">
        <v>1411</v>
      </c>
      <c r="D70" s="9" t="s">
        <v>1412</v>
      </c>
      <c r="E70" s="9" t="s">
        <v>542</v>
      </c>
      <c r="F70" s="9" t="str">
        <f>IF(E70="0-5亿元","小规模",IF(COUNTIF('Sheet1-指标体系'!$P$5:$P$10,E70)&gt;0,"大规模","规模待确认"))</f>
        <v>小规模</v>
      </c>
      <c r="G70" s="9" t="s">
        <v>1250</v>
      </c>
      <c r="H70" s="9" t="s">
        <v>1238</v>
      </c>
      <c r="I70" s="9" t="s">
        <v>1239</v>
      </c>
      <c r="J70" s="9" t="s">
        <v>1413</v>
      </c>
      <c r="K70" s="9" t="s">
        <v>1240</v>
      </c>
      <c r="L70" s="9" t="s">
        <v>1240</v>
      </c>
      <c r="M70" s="9" t="s">
        <v>1241</v>
      </c>
      <c r="N70" s="9" t="s">
        <v>1242</v>
      </c>
      <c r="O70" s="10">
        <v>46274</v>
      </c>
      <c r="P70" s="10">
        <v>46211</v>
      </c>
      <c r="Q70" s="10">
        <v>46276</v>
      </c>
      <c r="R70" s="9" t="s">
        <v>1414</v>
      </c>
      <c r="S70" s="9" t="s">
        <v>968</v>
      </c>
      <c r="T70" s="9" t="s">
        <v>785</v>
      </c>
      <c r="U70" s="9" t="s">
        <v>1244</v>
      </c>
      <c r="V70" s="9" t="str">
        <f>IF(F70="大规模",COUNTIFS($F$2:$F$84,"大规模",$X$2:$X$84,"&lt;"&amp;X70)+1,"")</f>
        <v/>
      </c>
      <c r="W70" s="9">
        <f>IF(F70="小规模",COUNTIFS($F$2:$F$84,"小规模",$X$2:$X$84,"&lt;"&amp;X70)+1,"")</f>
        <v>5</v>
      </c>
      <c r="X70" s="9">
        <f>'Sheet2-计算明细'!BJ85</f>
        <v>29</v>
      </c>
    </row>
    <row r="71" ht="25" customHeight="1" spans="1:24">
      <c r="A71" s="9" t="s">
        <v>446</v>
      </c>
      <c r="B71" s="9" t="s">
        <v>445</v>
      </c>
      <c r="C71" s="9" t="s">
        <v>1411</v>
      </c>
      <c r="D71" s="9" t="s">
        <v>1412</v>
      </c>
      <c r="E71" s="9" t="s">
        <v>542</v>
      </c>
      <c r="F71" s="9" t="str">
        <f>IF(E71="0-5亿元","小规模",IF(COUNTIF('Sheet1-指标体系'!$P$5:$P$10,E71)&gt;0,"大规模","规模待确认"))</f>
        <v>小规模</v>
      </c>
      <c r="G71" s="9" t="s">
        <v>1250</v>
      </c>
      <c r="H71" s="9" t="s">
        <v>1238</v>
      </c>
      <c r="I71" s="9" t="s">
        <v>1239</v>
      </c>
      <c r="J71" s="9" t="s">
        <v>1413</v>
      </c>
      <c r="K71" s="9" t="s">
        <v>1240</v>
      </c>
      <c r="L71" s="9" t="s">
        <v>1240</v>
      </c>
      <c r="M71" s="9" t="s">
        <v>1241</v>
      </c>
      <c r="N71" s="9" t="s">
        <v>1242</v>
      </c>
      <c r="O71" s="10">
        <v>46274</v>
      </c>
      <c r="P71" s="10">
        <v>45555</v>
      </c>
      <c r="Q71" s="10">
        <v>46276</v>
      </c>
      <c r="R71" s="9" t="s">
        <v>1414</v>
      </c>
      <c r="S71" s="9" t="s">
        <v>970</v>
      </c>
      <c r="T71" s="9" t="s">
        <v>785</v>
      </c>
      <c r="U71" s="9" t="s">
        <v>1244</v>
      </c>
      <c r="V71" s="9" t="str">
        <f>IF(F71="大规模",COUNTIFS($F$2:$F$84,"大规模",$X$2:$X$84,"&lt;"&amp;X71)+1,"")</f>
        <v/>
      </c>
      <c r="W71" s="9">
        <f>IF(F71="小规模",COUNTIFS($F$2:$F$84,"小规模",$X$2:$X$84,"&lt;"&amp;X71)+1,"")</f>
        <v>6</v>
      </c>
      <c r="X71" s="9">
        <f>'Sheet2-计算明细'!BJ86</f>
        <v>32</v>
      </c>
    </row>
    <row r="72" ht="25" customHeight="1" spans="1:24">
      <c r="A72" s="9" t="s">
        <v>450</v>
      </c>
      <c r="B72" s="9" t="s">
        <v>449</v>
      </c>
      <c r="C72" s="9" t="s">
        <v>1411</v>
      </c>
      <c r="D72" s="9" t="s">
        <v>1412</v>
      </c>
      <c r="E72" s="9" t="s">
        <v>542</v>
      </c>
      <c r="F72" s="9" t="str">
        <f>IF(E72="0-5亿元","小规模",IF(COUNTIF('Sheet1-指标体系'!$P$5:$P$10,E72)&gt;0,"大规模","规模待确认"))</f>
        <v>小规模</v>
      </c>
      <c r="G72" s="9" t="s">
        <v>1250</v>
      </c>
      <c r="H72" s="9" t="s">
        <v>1238</v>
      </c>
      <c r="I72" s="9" t="s">
        <v>1239</v>
      </c>
      <c r="J72" s="9" t="s">
        <v>1413</v>
      </c>
      <c r="K72" s="9" t="s">
        <v>1240</v>
      </c>
      <c r="L72" s="9" t="s">
        <v>1240</v>
      </c>
      <c r="M72" s="9" t="s">
        <v>1241</v>
      </c>
      <c r="N72" s="9" t="s">
        <v>1242</v>
      </c>
      <c r="O72" s="10">
        <v>46274</v>
      </c>
      <c r="P72" s="10">
        <v>45555</v>
      </c>
      <c r="Q72" s="10">
        <v>46276</v>
      </c>
      <c r="R72" s="9" t="s">
        <v>1414</v>
      </c>
      <c r="S72" s="9" t="s">
        <v>972</v>
      </c>
      <c r="T72" s="9" t="s">
        <v>785</v>
      </c>
      <c r="U72" s="9" t="s">
        <v>1244</v>
      </c>
      <c r="V72" s="9" t="str">
        <f>IF(F72="大规模",COUNTIFS($F$2:$F$84,"大规模",$X$2:$X$84,"&lt;"&amp;X72)+1,"")</f>
        <v/>
      </c>
      <c r="W72" s="9">
        <f>IF(F72="小规模",COUNTIFS($F$2:$F$84,"小规模",$X$2:$X$84,"&lt;"&amp;X72)+1,"")</f>
        <v>7</v>
      </c>
      <c r="X72" s="9">
        <f>'Sheet2-计算明细'!BJ87</f>
        <v>37</v>
      </c>
    </row>
    <row r="73" ht="25" customHeight="1" spans="1:24">
      <c r="A73" s="9" t="s">
        <v>454</v>
      </c>
      <c r="B73" s="9" t="s">
        <v>453</v>
      </c>
      <c r="C73" s="9" t="s">
        <v>1415</v>
      </c>
      <c r="D73" s="9" t="s">
        <v>1416</v>
      </c>
      <c r="E73" s="9" t="s">
        <v>551</v>
      </c>
      <c r="F73" s="9" t="str">
        <f>IF(E73="0-5亿元","小规模",IF(COUNTIF('Sheet1-指标体系'!$P$5:$P$10,E73)&gt;0,"大规模","规模待确认"))</f>
        <v>大规模</v>
      </c>
      <c r="G73" s="9" t="s">
        <v>1237</v>
      </c>
      <c r="H73" s="9" t="s">
        <v>1238</v>
      </c>
      <c r="I73" s="9" t="s">
        <v>1239</v>
      </c>
      <c r="J73" s="9" t="s">
        <v>1240</v>
      </c>
      <c r="K73" s="9" t="s">
        <v>1240</v>
      </c>
      <c r="L73" s="9" t="s">
        <v>1240</v>
      </c>
      <c r="M73" s="9" t="s">
        <v>1241</v>
      </c>
      <c r="N73" s="9" t="s">
        <v>1242</v>
      </c>
      <c r="O73" s="10">
        <v>46241</v>
      </c>
      <c r="P73" s="10">
        <v>46107</v>
      </c>
      <c r="Q73" s="10">
        <v>46276</v>
      </c>
      <c r="R73" s="9" t="s">
        <v>1417</v>
      </c>
      <c r="S73" s="9" t="s">
        <v>974</v>
      </c>
      <c r="T73" s="9" t="s">
        <v>785</v>
      </c>
      <c r="U73" s="9" t="s">
        <v>1244</v>
      </c>
      <c r="V73" s="9">
        <f>IF(F73="大规模",COUNTIFS($F$2:$F$84,"大规模",$X$2:$X$84,"&lt;"&amp;X73)+1,"")</f>
        <v>51</v>
      </c>
      <c r="W73" s="9" t="str">
        <f>IF(F73="小规模",COUNTIFS($F$2:$F$84,"小规模",$X$2:$X$84,"&lt;"&amp;X73)+1,"")</f>
        <v/>
      </c>
      <c r="X73" s="9">
        <f>'Sheet2-计算明细'!BJ88</f>
        <v>68</v>
      </c>
    </row>
    <row r="74" ht="25" customHeight="1" spans="1:24">
      <c r="A74" s="9" t="s">
        <v>460</v>
      </c>
      <c r="B74" s="9" t="s">
        <v>459</v>
      </c>
      <c r="C74" s="9" t="s">
        <v>1418</v>
      </c>
      <c r="D74" s="9" t="s">
        <v>1419</v>
      </c>
      <c r="E74" s="9" t="s">
        <v>551</v>
      </c>
      <c r="F74" s="9" t="str">
        <f>IF(E74="0-5亿元","小规模",IF(COUNTIF('Sheet1-指标体系'!$P$5:$P$10,E74)&gt;0,"大规模","规模待确认"))</f>
        <v>大规模</v>
      </c>
      <c r="G74" s="9" t="s">
        <v>1250</v>
      </c>
      <c r="H74" s="9" t="s">
        <v>1238</v>
      </c>
      <c r="I74" s="9" t="s">
        <v>1282</v>
      </c>
      <c r="J74" s="9" t="s">
        <v>1240</v>
      </c>
      <c r="K74" s="9" t="s">
        <v>1240</v>
      </c>
      <c r="L74" s="9" t="s">
        <v>1240</v>
      </c>
      <c r="M74" s="9" t="s">
        <v>1241</v>
      </c>
      <c r="N74" s="9" t="s">
        <v>1242</v>
      </c>
      <c r="O74" s="10">
        <v>45072</v>
      </c>
      <c r="P74" s="10">
        <v>46223</v>
      </c>
      <c r="Q74" s="10">
        <v>46276</v>
      </c>
      <c r="R74" s="9" t="s">
        <v>1420</v>
      </c>
      <c r="S74" s="9" t="s">
        <v>976</v>
      </c>
      <c r="T74" s="9" t="s">
        <v>785</v>
      </c>
      <c r="U74" s="9" t="s">
        <v>1244</v>
      </c>
      <c r="V74" s="9">
        <f>IF(F74="大规模",COUNTIFS($F$2:$F$84,"大规模",$X$2:$X$84,"&lt;"&amp;X74)+1,"")</f>
        <v>6</v>
      </c>
      <c r="W74" s="9" t="str">
        <f>IF(F74="小规模",COUNTIFS($F$2:$F$84,"小规模",$X$2:$X$84,"&lt;"&amp;X74)+1,"")</f>
        <v/>
      </c>
      <c r="X74" s="9">
        <f>'Sheet2-计算明细'!BJ89</f>
        <v>8</v>
      </c>
    </row>
    <row r="75" ht="25" customHeight="1" spans="1:24">
      <c r="A75" s="9" t="s">
        <v>466</v>
      </c>
      <c r="B75" s="9" t="s">
        <v>464</v>
      </c>
      <c r="C75" s="9" t="s">
        <v>1421</v>
      </c>
      <c r="D75" s="9" t="s">
        <v>1422</v>
      </c>
      <c r="E75" s="9" t="s">
        <v>546</v>
      </c>
      <c r="F75" s="9" t="str">
        <f>IF(E75="0-5亿元","小规模",IF(COUNTIF('Sheet1-指标体系'!$P$5:$P$10,E75)&gt;0,"大规模","规模待确认"))</f>
        <v>大规模</v>
      </c>
      <c r="G75" s="9" t="s">
        <v>1237</v>
      </c>
      <c r="H75" s="9" t="s">
        <v>1238</v>
      </c>
      <c r="I75" s="9" t="s">
        <v>1239</v>
      </c>
      <c r="J75" s="9" t="s">
        <v>1240</v>
      </c>
      <c r="K75" s="9" t="s">
        <v>1240</v>
      </c>
      <c r="L75" s="9" t="s">
        <v>1240</v>
      </c>
      <c r="M75" s="9" t="s">
        <v>1241</v>
      </c>
      <c r="N75" s="9" t="s">
        <v>1242</v>
      </c>
      <c r="O75" s="10">
        <v>46055</v>
      </c>
      <c r="P75" s="10">
        <v>45761</v>
      </c>
      <c r="Q75" s="10">
        <v>46276</v>
      </c>
      <c r="R75" s="9" t="s">
        <v>1423</v>
      </c>
      <c r="S75" s="9" t="s">
        <v>978</v>
      </c>
      <c r="T75" s="9" t="s">
        <v>785</v>
      </c>
      <c r="U75" s="9" t="s">
        <v>1244</v>
      </c>
      <c r="V75" s="9">
        <f>IF(F75="大规模",COUNTIFS($F$2:$F$84,"大规模",$X$2:$X$84,"&lt;"&amp;X75)+1,"")</f>
        <v>38</v>
      </c>
      <c r="W75" s="9" t="str">
        <f>IF(F75="小规模",COUNTIFS($F$2:$F$84,"小规模",$X$2:$X$84,"&lt;"&amp;X75)+1,"")</f>
        <v/>
      </c>
      <c r="X75" s="9">
        <f>'Sheet2-计算明细'!BJ90</f>
        <v>50</v>
      </c>
    </row>
    <row r="76" ht="25" customHeight="1" spans="1:24">
      <c r="A76" s="9" t="s">
        <v>472</v>
      </c>
      <c r="B76" s="9" t="s">
        <v>471</v>
      </c>
      <c r="C76" s="9" t="s">
        <v>1424</v>
      </c>
      <c r="D76" s="9" t="s">
        <v>1425</v>
      </c>
      <c r="E76" s="9" t="s">
        <v>551</v>
      </c>
      <c r="F76" s="9" t="str">
        <f>IF(E76="0-5亿元","小规模",IF(COUNTIF('Sheet1-指标体系'!$P$5:$P$10,E76)&gt;0,"大规模","规模待确认"))</f>
        <v>大规模</v>
      </c>
      <c r="G76" s="9" t="s">
        <v>1237</v>
      </c>
      <c r="H76" s="9" t="s">
        <v>1238</v>
      </c>
      <c r="I76" s="9" t="s">
        <v>1239</v>
      </c>
      <c r="J76" s="9" t="s">
        <v>1240</v>
      </c>
      <c r="K76" s="9" t="s">
        <v>1240</v>
      </c>
      <c r="L76" s="9" t="s">
        <v>1240</v>
      </c>
      <c r="M76" s="9" t="s">
        <v>1241</v>
      </c>
      <c r="N76" s="9" t="s">
        <v>1242</v>
      </c>
      <c r="O76" s="10">
        <v>45877</v>
      </c>
      <c r="P76" s="10">
        <v>45853</v>
      </c>
      <c r="Q76" s="10">
        <v>46276</v>
      </c>
      <c r="R76" s="9" t="s">
        <v>1426</v>
      </c>
      <c r="S76" s="9" t="s">
        <v>980</v>
      </c>
      <c r="T76" s="9" t="s">
        <v>785</v>
      </c>
      <c r="U76" s="9" t="s">
        <v>1244</v>
      </c>
      <c r="V76" s="9">
        <f>IF(F76="大规模",COUNTIFS($F$2:$F$84,"大规模",$X$2:$X$84,"&lt;"&amp;X76)+1,"")</f>
        <v>9</v>
      </c>
      <c r="W76" s="9" t="str">
        <f>IF(F76="小规模",COUNTIFS($F$2:$F$84,"小规模",$X$2:$X$84,"&lt;"&amp;X76)+1,"")</f>
        <v/>
      </c>
      <c r="X76" s="9">
        <f>'Sheet2-计算明细'!BJ91</f>
        <v>11</v>
      </c>
    </row>
    <row r="77" ht="25" customHeight="1" spans="1:24">
      <c r="A77" s="9" t="s">
        <v>477</v>
      </c>
      <c r="B77" s="9" t="s">
        <v>476</v>
      </c>
      <c r="C77" s="9" t="s">
        <v>1424</v>
      </c>
      <c r="D77" s="9" t="s">
        <v>1425</v>
      </c>
      <c r="E77" s="9" t="s">
        <v>551</v>
      </c>
      <c r="F77" s="9" t="str">
        <f>IF(E77="0-5亿元","小规模",IF(COUNTIF('Sheet1-指标体系'!$P$5:$P$10,E77)&gt;0,"大规模","规模待确认"))</f>
        <v>大规模</v>
      </c>
      <c r="G77" s="9" t="s">
        <v>1237</v>
      </c>
      <c r="H77" s="9" t="s">
        <v>1238</v>
      </c>
      <c r="I77" s="9" t="s">
        <v>1239</v>
      </c>
      <c r="J77" s="9" t="s">
        <v>1240</v>
      </c>
      <c r="K77" s="9" t="s">
        <v>1240</v>
      </c>
      <c r="L77" s="9" t="s">
        <v>1240</v>
      </c>
      <c r="M77" s="9" t="s">
        <v>1241</v>
      </c>
      <c r="N77" s="9" t="s">
        <v>1242</v>
      </c>
      <c r="O77" s="10">
        <v>45877</v>
      </c>
      <c r="P77" s="10">
        <v>45905</v>
      </c>
      <c r="Q77" s="10">
        <v>46276</v>
      </c>
      <c r="R77" s="9" t="s">
        <v>1426</v>
      </c>
      <c r="S77" s="9" t="s">
        <v>982</v>
      </c>
      <c r="T77" s="9" t="s">
        <v>785</v>
      </c>
      <c r="U77" s="9" t="s">
        <v>1244</v>
      </c>
      <c r="V77" s="9">
        <f>IF(F77="大规模",COUNTIFS($F$2:$F$84,"大规模",$X$2:$X$84,"&lt;"&amp;X77)+1,"")</f>
        <v>7</v>
      </c>
      <c r="W77" s="9" t="str">
        <f>IF(F77="小规模",COUNTIFS($F$2:$F$84,"小规模",$X$2:$X$84,"&lt;"&amp;X77)+1,"")</f>
        <v/>
      </c>
      <c r="X77" s="9">
        <f>'Sheet2-计算明细'!BJ92</f>
        <v>9</v>
      </c>
    </row>
    <row r="78" ht="25" customHeight="1" spans="1:24">
      <c r="A78" s="9" t="s">
        <v>481</v>
      </c>
      <c r="B78" s="9" t="s">
        <v>480</v>
      </c>
      <c r="C78" s="9" t="s">
        <v>1427</v>
      </c>
      <c r="D78" s="9" t="s">
        <v>1428</v>
      </c>
      <c r="E78" s="9" t="s">
        <v>551</v>
      </c>
      <c r="F78" s="9" t="str">
        <f>IF(E78="0-5亿元","小规模",IF(COUNTIF('Sheet1-指标体系'!$P$5:$P$10,E78)&gt;0,"大规模","规模待确认"))</f>
        <v>大规模</v>
      </c>
      <c r="G78" s="9" t="s">
        <v>1250</v>
      </c>
      <c r="H78" s="9" t="s">
        <v>1238</v>
      </c>
      <c r="I78" s="9" t="s">
        <v>1239</v>
      </c>
      <c r="J78" s="9" t="s">
        <v>1283</v>
      </c>
      <c r="K78" s="9" t="s">
        <v>1240</v>
      </c>
      <c r="L78" s="9" t="s">
        <v>1240</v>
      </c>
      <c r="M78" s="9" t="s">
        <v>1241</v>
      </c>
      <c r="N78" s="9" t="s">
        <v>1242</v>
      </c>
      <c r="O78" s="10">
        <v>46274</v>
      </c>
      <c r="P78" s="10">
        <v>45959</v>
      </c>
      <c r="Q78" s="10">
        <v>46276</v>
      </c>
      <c r="R78" s="9" t="s">
        <v>1429</v>
      </c>
      <c r="S78" s="9" t="s">
        <v>984</v>
      </c>
      <c r="T78" s="9" t="s">
        <v>785</v>
      </c>
      <c r="U78" s="9" t="s">
        <v>1244</v>
      </c>
      <c r="V78" s="9">
        <f>IF(F78="大规模",COUNTIFS($F$2:$F$84,"大规模",$X$2:$X$84,"&lt;"&amp;X78)+1,"")</f>
        <v>62</v>
      </c>
      <c r="W78" s="9" t="str">
        <f>IF(F78="小规模",COUNTIFS($F$2:$F$84,"小规模",$X$2:$X$84,"&lt;"&amp;X78)+1,"")</f>
        <v/>
      </c>
      <c r="X78" s="9">
        <f>'Sheet2-计算明细'!BJ93</f>
        <v>83</v>
      </c>
    </row>
    <row r="79" ht="25" customHeight="1" spans="1:24">
      <c r="A79" s="9" t="s">
        <v>488</v>
      </c>
      <c r="B79" s="9" t="s">
        <v>486</v>
      </c>
      <c r="C79" s="9" t="s">
        <v>1430</v>
      </c>
      <c r="D79" s="9" t="s">
        <v>1431</v>
      </c>
      <c r="E79" s="9" t="s">
        <v>557</v>
      </c>
      <c r="F79" s="9" t="str">
        <f>IF(E79="0-5亿元","小规模",IF(COUNTIF('Sheet1-指标体系'!$P$5:$P$10,E79)&gt;0,"大规模","规模待确认"))</f>
        <v>大规模</v>
      </c>
      <c r="G79" s="9" t="s">
        <v>1315</v>
      </c>
      <c r="H79" s="9" t="s">
        <v>1238</v>
      </c>
      <c r="I79" s="9" t="s">
        <v>1432</v>
      </c>
      <c r="J79" s="9" t="s">
        <v>1240</v>
      </c>
      <c r="K79" s="9" t="s">
        <v>1240</v>
      </c>
      <c r="L79" s="9" t="s">
        <v>1240</v>
      </c>
      <c r="M79" s="9" t="s">
        <v>1241</v>
      </c>
      <c r="N79" s="9" t="s">
        <v>1242</v>
      </c>
      <c r="O79" s="10">
        <v>46097</v>
      </c>
      <c r="P79" s="10">
        <v>46209</v>
      </c>
      <c r="Q79" s="10">
        <v>46276</v>
      </c>
      <c r="R79" s="9" t="s">
        <v>1433</v>
      </c>
      <c r="S79" s="9" t="s">
        <v>986</v>
      </c>
      <c r="T79" s="9" t="s">
        <v>1434</v>
      </c>
      <c r="U79" s="9" t="s">
        <v>1244</v>
      </c>
      <c r="V79" s="9">
        <f>IF(F79="大规模",COUNTIFS($F$2:$F$84,"大规模",$X$2:$X$84,"&lt;"&amp;X79)+1,"")</f>
        <v>37</v>
      </c>
      <c r="W79" s="9" t="str">
        <f>IF(F79="小规模",COUNTIFS($F$2:$F$84,"小规模",$X$2:$X$84,"&lt;"&amp;X79)+1,"")</f>
        <v/>
      </c>
      <c r="X79" s="9">
        <f>'Sheet2-计算明细'!BJ94</f>
        <v>49</v>
      </c>
    </row>
    <row r="80" ht="25" customHeight="1" spans="1:24">
      <c r="A80" s="9" t="s">
        <v>495</v>
      </c>
      <c r="B80" s="9" t="s">
        <v>493</v>
      </c>
      <c r="C80" s="9" t="s">
        <v>1435</v>
      </c>
      <c r="D80" s="9" t="s">
        <v>1436</v>
      </c>
      <c r="E80" s="9" t="s">
        <v>557</v>
      </c>
      <c r="F80" s="9" t="str">
        <f>IF(E80="0-5亿元","小规模",IF(COUNTIF('Sheet1-指标体系'!$P$5:$P$10,E80)&gt;0,"大规模","规模待确认"))</f>
        <v>大规模</v>
      </c>
      <c r="G80" s="9" t="s">
        <v>1237</v>
      </c>
      <c r="H80" s="9" t="s">
        <v>1238</v>
      </c>
      <c r="I80" s="9" t="s">
        <v>1239</v>
      </c>
      <c r="J80" s="9" t="s">
        <v>1240</v>
      </c>
      <c r="K80" s="9" t="s">
        <v>1240</v>
      </c>
      <c r="L80" s="9" t="s">
        <v>1240</v>
      </c>
      <c r="M80" s="9" t="s">
        <v>1241</v>
      </c>
      <c r="N80" s="9" t="s">
        <v>1242</v>
      </c>
      <c r="O80" s="10">
        <v>46224</v>
      </c>
      <c r="P80" s="10">
        <v>45818</v>
      </c>
      <c r="Q80" s="10">
        <v>46276</v>
      </c>
      <c r="R80" s="9" t="s">
        <v>1437</v>
      </c>
      <c r="S80" s="9" t="s">
        <v>988</v>
      </c>
      <c r="T80" s="9" t="s">
        <v>785</v>
      </c>
      <c r="U80" s="9" t="s">
        <v>1244</v>
      </c>
      <c r="V80" s="9">
        <f>IF(F80="大规模",COUNTIFS($F$2:$F$84,"大规模",$X$2:$X$84,"&lt;"&amp;X80)+1,"")</f>
        <v>54</v>
      </c>
      <c r="W80" s="9" t="str">
        <f>IF(F80="小规模",COUNTIFS($F$2:$F$84,"小规模",$X$2:$X$84,"&lt;"&amp;X80)+1,"")</f>
        <v/>
      </c>
      <c r="X80" s="9">
        <f>'Sheet2-计算明细'!BJ95</f>
        <v>73</v>
      </c>
    </row>
    <row r="81" ht="25" customHeight="1" spans="1:24">
      <c r="A81" s="9" t="s">
        <v>502</v>
      </c>
      <c r="B81" s="9" t="s">
        <v>499</v>
      </c>
      <c r="C81" s="9" t="s">
        <v>1438</v>
      </c>
      <c r="D81" s="9" t="s">
        <v>1439</v>
      </c>
      <c r="E81" s="9" t="s">
        <v>557</v>
      </c>
      <c r="F81" s="9" t="str">
        <f>IF(E81="0-5亿元","小规模",IF(COUNTIF('Sheet1-指标体系'!$P$5:$P$10,E81)&gt;0,"大规模","规模待确认"))</f>
        <v>大规模</v>
      </c>
      <c r="G81" s="9" t="s">
        <v>1250</v>
      </c>
      <c r="H81" s="9" t="s">
        <v>1238</v>
      </c>
      <c r="I81" s="9" t="s">
        <v>1239</v>
      </c>
      <c r="J81" s="9" t="s">
        <v>1251</v>
      </c>
      <c r="K81" s="9" t="s">
        <v>1240</v>
      </c>
      <c r="L81" s="9" t="s">
        <v>1240</v>
      </c>
      <c r="M81" s="9" t="s">
        <v>1241</v>
      </c>
      <c r="N81" s="9" t="s">
        <v>1242</v>
      </c>
      <c r="O81" s="10">
        <v>45854</v>
      </c>
      <c r="P81" s="10">
        <v>45807</v>
      </c>
      <c r="Q81" s="10">
        <v>46276</v>
      </c>
      <c r="R81" s="9" t="s">
        <v>1440</v>
      </c>
      <c r="S81" s="9" t="s">
        <v>990</v>
      </c>
      <c r="T81" s="9" t="s">
        <v>785</v>
      </c>
      <c r="U81" s="9" t="s">
        <v>1244</v>
      </c>
      <c r="V81" s="9">
        <f>IF(F81="大规模",COUNTIFS($F$2:$F$84,"大规模",$X$2:$X$84,"&lt;"&amp;X81)+1,"")</f>
        <v>11</v>
      </c>
      <c r="W81" s="9" t="str">
        <f>IF(F81="小规模",COUNTIFS($F$2:$F$84,"小规模",$X$2:$X$84,"&lt;"&amp;X81)+1,"")</f>
        <v/>
      </c>
      <c r="X81" s="9">
        <f>'Sheet2-计算明细'!BJ96</f>
        <v>13</v>
      </c>
    </row>
    <row r="82" ht="25" customHeight="1" spans="1:24">
      <c r="A82" s="9" t="s">
        <v>508</v>
      </c>
      <c r="B82" s="9" t="s">
        <v>507</v>
      </c>
      <c r="C82" s="9" t="s">
        <v>1441</v>
      </c>
      <c r="D82" s="9" t="s">
        <v>1442</v>
      </c>
      <c r="E82" s="9" t="s">
        <v>551</v>
      </c>
      <c r="F82" s="9" t="str">
        <f>IF(E82="0-5亿元","小规模",IF(COUNTIF('Sheet1-指标体系'!$P$5:$P$10,E82)&gt;0,"大规模","规模待确认"))</f>
        <v>大规模</v>
      </c>
      <c r="G82" s="9" t="s">
        <v>1250</v>
      </c>
      <c r="H82" s="9" t="s">
        <v>1238</v>
      </c>
      <c r="I82" s="9" t="s">
        <v>1239</v>
      </c>
      <c r="J82" s="9" t="s">
        <v>1240</v>
      </c>
      <c r="K82" s="9" t="s">
        <v>1240</v>
      </c>
      <c r="L82" s="9" t="s">
        <v>1345</v>
      </c>
      <c r="M82" s="9" t="s">
        <v>1241</v>
      </c>
      <c r="N82" s="9" t="s">
        <v>1242</v>
      </c>
      <c r="O82" s="10">
        <v>46030</v>
      </c>
      <c r="P82" s="10">
        <v>45831</v>
      </c>
      <c r="Q82" s="10">
        <v>46276</v>
      </c>
      <c r="R82" s="9" t="s">
        <v>1443</v>
      </c>
      <c r="S82" s="9" t="s">
        <v>992</v>
      </c>
      <c r="T82" s="9" t="s">
        <v>785</v>
      </c>
      <c r="U82" s="9" t="s">
        <v>1244</v>
      </c>
      <c r="V82" s="9">
        <f>IF(F82="大规模",COUNTIFS($F$2:$F$84,"大规模",$X$2:$X$84,"&lt;"&amp;X82)+1,"")</f>
        <v>45</v>
      </c>
      <c r="W82" s="9" t="str">
        <f>IF(F82="小规模",COUNTIFS($F$2:$F$84,"小规模",$X$2:$X$84,"&lt;"&amp;X82)+1,"")</f>
        <v/>
      </c>
      <c r="X82" s="9">
        <f>'Sheet2-计算明细'!BJ97</f>
        <v>58</v>
      </c>
    </row>
    <row r="83" ht="25" customHeight="1" spans="1:24">
      <c r="A83" s="9" t="s">
        <v>513</v>
      </c>
      <c r="B83" s="9" t="s">
        <v>512</v>
      </c>
      <c r="C83" s="9" t="s">
        <v>1444</v>
      </c>
      <c r="D83" s="9" t="s">
        <v>1445</v>
      </c>
      <c r="E83" s="9" t="s">
        <v>557</v>
      </c>
      <c r="F83" s="9" t="str">
        <f>IF(E83="0-5亿元","小规模",IF(COUNTIF('Sheet1-指标体系'!$P$5:$P$10,E83)&gt;0,"大规模","规模待确认"))</f>
        <v>大规模</v>
      </c>
      <c r="G83" s="9" t="s">
        <v>1237</v>
      </c>
      <c r="H83" s="9" t="s">
        <v>1238</v>
      </c>
      <c r="I83" s="9" t="s">
        <v>1239</v>
      </c>
      <c r="J83" s="9" t="s">
        <v>1240</v>
      </c>
      <c r="K83" s="9" t="s">
        <v>1240</v>
      </c>
      <c r="L83" s="9" t="s">
        <v>1240</v>
      </c>
      <c r="M83" s="9" t="s">
        <v>1241</v>
      </c>
      <c r="N83" s="9" t="s">
        <v>1242</v>
      </c>
      <c r="O83" s="10">
        <v>46244</v>
      </c>
      <c r="P83" s="10">
        <v>45587</v>
      </c>
      <c r="Q83" s="10">
        <v>46276</v>
      </c>
      <c r="R83" s="9" t="s">
        <v>1446</v>
      </c>
      <c r="S83" s="9" t="s">
        <v>994</v>
      </c>
      <c r="T83" s="9" t="s">
        <v>785</v>
      </c>
      <c r="U83" s="9" t="s">
        <v>1244</v>
      </c>
      <c r="V83" s="9">
        <f>IF(F83="大规模",COUNTIFS($F$2:$F$84,"大规模",$X$2:$X$84,"&lt;"&amp;X83)+1,"")</f>
        <v>46</v>
      </c>
      <c r="W83" s="9" t="str">
        <f>IF(F83="小规模",COUNTIFS($F$2:$F$84,"小规模",$X$2:$X$84,"&lt;"&amp;X83)+1,"")</f>
        <v/>
      </c>
      <c r="X83" s="9">
        <f>'Sheet2-计算明细'!BJ98</f>
        <v>60</v>
      </c>
    </row>
    <row r="84" ht="25" customHeight="1" spans="1:24">
      <c r="A84" s="9" t="s">
        <v>816</v>
      </c>
      <c r="B84" s="9" t="s">
        <v>518</v>
      </c>
      <c r="C84" s="9" t="s">
        <v>1447</v>
      </c>
      <c r="D84" s="9" t="s">
        <v>1448</v>
      </c>
      <c r="E84" s="9" t="s">
        <v>561</v>
      </c>
      <c r="F84" s="9" t="str">
        <f>IF(E84="0-5亿元","小规模",IF(COUNTIF('Sheet1-指标体系'!$P$5:$P$10,E84)&gt;0,"大规模","规模待确认"))</f>
        <v>大规模</v>
      </c>
      <c r="G84" s="9" t="s">
        <v>1237</v>
      </c>
      <c r="H84" s="9" t="s">
        <v>1238</v>
      </c>
      <c r="I84" s="9" t="s">
        <v>1239</v>
      </c>
      <c r="J84" s="9" t="s">
        <v>1240</v>
      </c>
      <c r="K84" s="9" t="s">
        <v>1240</v>
      </c>
      <c r="L84" s="9" t="s">
        <v>1240</v>
      </c>
      <c r="M84" s="9" t="s">
        <v>1241</v>
      </c>
      <c r="N84" s="9" t="s">
        <v>1242</v>
      </c>
      <c r="O84" s="10">
        <v>46231</v>
      </c>
      <c r="P84" s="10">
        <v>46227</v>
      </c>
      <c r="Q84" s="10">
        <v>46276</v>
      </c>
      <c r="R84" s="9" t="s">
        <v>1449</v>
      </c>
      <c r="S84" s="9" t="s">
        <v>996</v>
      </c>
      <c r="T84" s="9" t="s">
        <v>785</v>
      </c>
      <c r="U84" s="9" t="s">
        <v>1244</v>
      </c>
      <c r="V84" s="9">
        <f>IF(F84="大规模",COUNTIFS($F$2:$F$84,"大规模",$X$2:$X$84,"&lt;"&amp;X84)+1,"")</f>
        <v>16</v>
      </c>
      <c r="W84" s="9" t="str">
        <f>IF(F84="小规模",COUNTIFS($F$2:$F$84,"小规模",$X$2:$X$84,"&lt;"&amp;X84)+1,"")</f>
        <v/>
      </c>
      <c r="X84" s="9">
        <f>'Sheet2-计算明细'!BJ99</f>
        <v>19</v>
      </c>
    </row>
  </sheetData>
  <conditionalFormatting sqref="G2:G84">
    <cfRule type="containsText" dxfId="1" priority="1" operator="between" text="警示函">
      <formula>NOT(ISERROR(SEARCH("警示函",G2)))</formula>
    </cfRule>
  </conditionalFormatting>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7"/>
  <sheetViews>
    <sheetView showGridLines="0" workbookViewId="0">
      <pane xSplit="2" ySplit="5" topLeftCell="C6" activePane="bottomRight" state="frozen"/>
      <selection/>
      <selection pane="topRight"/>
      <selection pane="bottomLeft"/>
      <selection pane="bottomRight" activeCell="E8" sqref="E8"/>
    </sheetView>
  </sheetViews>
  <sheetFormatPr defaultColWidth="9" defaultRowHeight="16.8"/>
  <cols>
    <col min="1" max="1" width="15" customWidth="1"/>
    <col min="2" max="2" width="30" customWidth="1"/>
    <col min="3" max="3" width="15" customWidth="1"/>
    <col min="4" max="4" width="24" customWidth="1"/>
    <col min="5" max="8" width="15" customWidth="1"/>
    <col min="9" max="9" width="28" customWidth="1"/>
    <col min="10" max="10" width="50" customWidth="1"/>
    <col min="11" max="13" width="15" customWidth="1"/>
    <col min="14" max="14" width="50" customWidth="1"/>
  </cols>
  <sheetData>
    <row r="1" ht="25" customHeight="1" spans="1:14">
      <c r="A1" s="16" t="s">
        <v>1450</v>
      </c>
      <c r="B1" s="9"/>
      <c r="C1" s="9"/>
      <c r="D1" s="9"/>
      <c r="E1" s="9"/>
      <c r="F1" s="9"/>
      <c r="G1" s="9"/>
      <c r="H1" s="9"/>
      <c r="I1" s="9"/>
      <c r="J1" s="9"/>
      <c r="K1" s="9"/>
      <c r="L1" s="9"/>
      <c r="M1" s="9"/>
      <c r="N1" s="9"/>
    </row>
    <row r="2" ht="25" customHeight="1" spans="1:14">
      <c r="A2" s="9" t="s">
        <v>1451</v>
      </c>
      <c r="B2" s="9"/>
      <c r="C2" s="9"/>
      <c r="D2" s="9"/>
      <c r="E2" s="9"/>
      <c r="F2" s="9"/>
      <c r="G2" s="9"/>
      <c r="H2" s="9"/>
      <c r="I2" s="9"/>
      <c r="J2" s="9"/>
      <c r="K2" s="9"/>
      <c r="L2" s="9"/>
      <c r="M2" s="9"/>
      <c r="N2" s="9"/>
    </row>
    <row r="3" ht="25" customHeight="1" spans="1:14">
      <c r="A3" s="9" t="s">
        <v>1452</v>
      </c>
      <c r="B3" s="9"/>
      <c r="C3" s="9"/>
      <c r="D3" s="9"/>
      <c r="E3" s="9"/>
      <c r="F3" s="9"/>
      <c r="G3" s="9"/>
      <c r="H3" s="9"/>
      <c r="I3" s="9"/>
      <c r="J3" s="9"/>
      <c r="K3" s="9"/>
      <c r="L3" s="9"/>
      <c r="M3" s="9"/>
      <c r="N3" s="9"/>
    </row>
    <row r="4" ht="25" customHeight="1" spans="1:14">
      <c r="A4" s="9"/>
      <c r="B4" s="9"/>
      <c r="C4" s="9"/>
      <c r="D4" s="9"/>
      <c r="E4" s="9"/>
      <c r="F4" s="9"/>
      <c r="G4" s="9"/>
      <c r="H4" s="9"/>
      <c r="I4" s="9"/>
      <c r="J4" s="9"/>
      <c r="K4" s="9"/>
      <c r="L4" s="9"/>
      <c r="M4" s="9"/>
      <c r="N4" s="9"/>
    </row>
    <row r="5" ht="43" customHeight="1" spans="1:14">
      <c r="A5" s="7" t="s">
        <v>1453</v>
      </c>
      <c r="B5" s="8" t="s">
        <v>2</v>
      </c>
      <c r="C5" s="8" t="s">
        <v>673</v>
      </c>
      <c r="D5" s="8" t="s">
        <v>674</v>
      </c>
      <c r="E5" s="8" t="s">
        <v>1454</v>
      </c>
      <c r="F5" s="8" t="s">
        <v>718</v>
      </c>
      <c r="G5" s="8" t="s">
        <v>762</v>
      </c>
      <c r="H5" s="8" t="s">
        <v>761</v>
      </c>
      <c r="I5" s="8" t="s">
        <v>766</v>
      </c>
      <c r="J5" s="8" t="s">
        <v>717</v>
      </c>
      <c r="K5" s="8" t="s">
        <v>1455</v>
      </c>
      <c r="L5" s="8" t="s">
        <v>677</v>
      </c>
      <c r="M5" s="8" t="s">
        <v>1456</v>
      </c>
      <c r="N5" s="14" t="s">
        <v>1457</v>
      </c>
    </row>
    <row r="6" ht="25" hidden="1" customHeight="1" spans="1:14">
      <c r="A6" s="9">
        <v>1</v>
      </c>
      <c r="B6" s="9" t="str">
        <f>IF(ISNUMBER(INDEX('Sheet2-计算明细'!$B$17:$B$99,$M6)),INDEX('Sheet2-计算明细'!$B$17:$B$99,$M6),IF(INDEX('Sheet2-计算明细'!$B$17:$B$99,$M6)="","",INDEX('Sheet2-计算明细'!$B$17:$B$99,$M6)))</f>
        <v>锐耐复利倍增2号C类</v>
      </c>
      <c r="C6" s="9" t="str">
        <f>IF(ISNUMBER(INDEX('Sheet2-计算明细'!$C$17:$C$99,$M6)),INDEX('Sheet2-计算明细'!$C$17:$C$99,$M6),IF(INDEX('Sheet2-计算明细'!$C$17:$C$99,$M6)="","",INDEX('Sheet2-计算明细'!$C$17:$C$99,$M6)))</f>
        <v>XV513C</v>
      </c>
      <c r="D6" s="9" t="str">
        <f>IF(ISNUMBER(INDEX('Sheet2-计算明细'!$D$17:$D$99,$M6)),INDEX('Sheet2-计算明细'!$D$17:$D$99,$M6),IF(INDEX('Sheet2-计算明细'!$D$17:$D$99,$M6)="","",INDEX('Sheet2-计算明细'!$D$17:$D$99,$M6)))</f>
        <v>上海锐耐</v>
      </c>
      <c r="E6" s="9" t="str">
        <f>IF(ISNUMBER(INDEX('Sheet2-计算明细'!$H$17:$H$99,$M6)),INDEX('Sheet2-计算明细'!$H$17:$H$99,$M6),IF(INDEX('Sheet2-计算明细'!$H$17:$H$99,$M6)="","",INDEX('Sheet2-计算明细'!$H$17:$H$99,$M6)))</f>
        <v>20-50亿元</v>
      </c>
      <c r="F6" s="13" t="str">
        <f>IF(ISNUMBER(INDEX('Sheet2-计算明细'!$AV$17:$AV$99,$M6)),INDEX('Sheet2-计算明细'!$AV$17:$AV$99,$M6),IF(INDEX('Sheet2-计算明细'!$AV$17:$AV$99,$M6)="","",INDEX('Sheet2-计算明细'!$AV$17:$AV$99,$M6)))</f>
        <v/>
      </c>
      <c r="G6" s="13">
        <f>IF(ISNUMBER(INDEX('Sheet2-计算明细'!$AS$17:$AS$99,$M6)),INDEX('Sheet2-计算明细'!$AS$17:$AS$99,$M6),IF(INDEX('Sheet2-计算明细'!$AS$17:$AS$99,$M6)="","",INDEX('Sheet2-计算明细'!$AS$17:$AS$99,$M6)))</f>
        <v>94.29</v>
      </c>
      <c r="H6" s="12">
        <f>IF(ISNUMBER(INDEX('Sheet2-计算明细'!$AQ$17:$AQ$99,$M6)),INDEX('Sheet2-计算明细'!$AQ$17:$AQ$99,$M6),IF(INDEX('Sheet2-计算明细'!$AQ$17:$AQ$99,$M6)="","",INDEX('Sheet2-计算明细'!$AQ$17:$AQ$99,$M6)))</f>
        <v>0.105</v>
      </c>
      <c r="I6" s="9" t="str">
        <f>INDEX(协会公示!$G$2:$G$84,$M6)</f>
        <v>本次公示未见相关提示</v>
      </c>
      <c r="J6" s="9" t="str">
        <f>IF(ISNUMBER(INDEX('Sheet2-计算明细'!$AU$17:$AU$99,$M6)),INDEX('Sheet2-计算明细'!$AU$17:$AU$99,$M6),IF(INDEX('Sheet2-计算明细'!$AU$17:$AU$99,$M6)="","",INDEX('Sheet2-计算明细'!$AU$17:$AU$99,$M6)))</f>
        <v>产品规模标识；近一年收益；近一年胜率；近三年收益；近三年胜率；近三年回撤；近一年卡玛；</v>
      </c>
      <c r="K6" s="9">
        <f>IF(ISNUMBER(INDEX('Sheet2-计算明细'!$AT$17:$AT$99,$M6)),INDEX('Sheet2-计算明细'!$AT$17:$AT$99,$M6),IF(INDEX('Sheet2-计算明细'!$AT$17:$AT$99,$M6)="","",INDEX('Sheet2-计算明细'!$AT$17:$AT$99,$M6)))</f>
        <v>1</v>
      </c>
      <c r="L6" s="9" t="str">
        <f>IF(ISNUMBER(INDEX('Sheet2-计算明细'!$G$17:$G$99,$M6)),INDEX('Sheet2-计算明细'!$G$17:$G$99,$M6),IF(INDEX('Sheet2-计算明细'!$G$17:$G$99,$M6)="","",INDEX('Sheet2-计算明细'!$G$17:$G$99,$M6)))</f>
        <v>入池</v>
      </c>
      <c r="M6" s="9">
        <f>MATCH(A6,协会公示!$V$2:$V$84,0)</f>
        <v>51</v>
      </c>
      <c r="N6" s="9" t="str">
        <f>INDEX(协会公示!$R$2:$R$84,$M6)</f>
        <v>https://gs.amac.org.cn/amac-infodisc/res/pof/manager/2011201413105709.html</v>
      </c>
    </row>
    <row r="7" ht="25" hidden="1" customHeight="1" spans="1:14">
      <c r="A7" s="9">
        <v>2</v>
      </c>
      <c r="B7" s="9" t="str">
        <f>IF(ISNUMBER(INDEX('Sheet2-计算明细'!$B$17:$B$99,$M7)),INDEX('Sheet2-计算明细'!$B$17:$B$99,$M7),IF(INDEX('Sheet2-计算明细'!$B$17:$B$99,$M7)="","",INDEX('Sheet2-计算明细'!$B$17:$B$99,$M7)))</f>
        <v>惠隆金选套利1号</v>
      </c>
      <c r="C7" s="9" t="str">
        <f>IF(ISNUMBER(INDEX('Sheet2-计算明细'!$C$17:$C$99,$M7)),INDEX('Sheet2-计算明细'!$C$17:$C$99,$M7),IF(INDEX('Sheet2-计算明细'!$C$17:$C$99,$M7)="","",INDEX('Sheet2-计算明细'!$C$17:$C$99,$M7)))</f>
        <v>SQG026</v>
      </c>
      <c r="D7" s="9" t="str">
        <f>IF(ISNUMBER(INDEX('Sheet2-计算明细'!$D$17:$D$99,$M7)),INDEX('Sheet2-计算明细'!$D$17:$D$99,$M7),IF(INDEX('Sheet2-计算明细'!$D$17:$D$99,$M7)="","",INDEX('Sheet2-计算明细'!$D$17:$D$99,$M7)))</f>
        <v>北京惠隆资管</v>
      </c>
      <c r="E7" s="9" t="str">
        <f>IF(ISNUMBER(INDEX('Sheet2-计算明细'!$H$17:$H$99,$M7)),INDEX('Sheet2-计算明细'!$H$17:$H$99,$M7),IF(INDEX('Sheet2-计算明细'!$H$17:$H$99,$M7)="","",INDEX('Sheet2-计算明细'!$H$17:$H$99,$M7)))</f>
        <v>10-20亿元</v>
      </c>
      <c r="F7" s="13" t="str">
        <f>IF(ISNUMBER(INDEX('Sheet2-计算明细'!$AV$17:$AV$99,$M7)),INDEX('Sheet2-计算明细'!$AV$17:$AV$99,$M7),IF(INDEX('Sheet2-计算明细'!$AV$17:$AV$99,$M7)="","",INDEX('Sheet2-计算明细'!$AV$17:$AV$99,$M7)))</f>
        <v/>
      </c>
      <c r="G7" s="13">
        <f>IF(ISNUMBER(INDEX('Sheet2-计算明细'!$AS$17:$AS$99,$M7)),INDEX('Sheet2-计算明细'!$AS$17:$AS$99,$M7),IF(INDEX('Sheet2-计算明细'!$AS$17:$AS$99,$M7)="","",INDEX('Sheet2-计算明细'!$AS$17:$AS$99,$M7)))</f>
        <v>92.41</v>
      </c>
      <c r="H7" s="12">
        <f>IF(ISNUMBER(INDEX('Sheet2-计算明细'!$AQ$17:$AQ$99,$M7)),INDEX('Sheet2-计算明细'!$AQ$17:$AQ$99,$M7),IF(INDEX('Sheet2-计算明细'!$AQ$17:$AQ$99,$M7)="","",INDEX('Sheet2-计算明细'!$AQ$17:$AQ$99,$M7)))</f>
        <v>0.88</v>
      </c>
      <c r="I7" s="9" t="str">
        <f>INDEX(协会公示!$G$2:$G$84,$M7)</f>
        <v>协会提示／已整改异常</v>
      </c>
      <c r="J7" s="9" t="str">
        <f>IF(ISNUMBER(INDEX('Sheet2-计算明细'!$AU$17:$AU$99,$M7)),INDEX('Sheet2-计算明细'!$AU$17:$AU$99,$M7),IF(INDEX('Sheet2-计算明细'!$AU$17:$AU$99,$M7)="","",INDEX('Sheet2-计算明细'!$AU$17:$AU$99,$M7)))</f>
        <v>DD_long不可识别；</v>
      </c>
      <c r="K7" s="9">
        <f>IF(ISNUMBER(INDEX('Sheet2-计算明细'!$AT$17:$AT$99,$M7)),INDEX('Sheet2-计算明细'!$AT$17:$AT$99,$M7),IF(INDEX('Sheet2-计算明细'!$AT$17:$AT$99,$M7)="","",INDEX('Sheet2-计算明细'!$AT$17:$AT$99,$M7)))</f>
        <v>2</v>
      </c>
      <c r="L7" s="9" t="str">
        <f>IF(ISNUMBER(INDEX('Sheet2-计算明细'!$G$17:$G$99,$M7)),INDEX('Sheet2-计算明细'!$G$17:$G$99,$M7),IF(INDEX('Sheet2-计算明细'!$G$17:$G$99,$M7)="","",INDEX('Sheet2-计算明细'!$G$17:$G$99,$M7)))</f>
        <v>入池</v>
      </c>
      <c r="M7" s="9">
        <f>MATCH(A7,协会公示!$V$2:$V$84,0)</f>
        <v>21</v>
      </c>
      <c r="N7" s="9" t="str">
        <f>INDEX(协会公示!$R$2:$R$84,$M7)</f>
        <v>https://gs.amac.org.cn/amac-infodisc/res/pof/manager/1705031716108118.html</v>
      </c>
    </row>
    <row r="8" ht="25" customHeight="1" spans="1:14">
      <c r="A8" s="9">
        <v>3</v>
      </c>
      <c r="B8" s="9" t="str">
        <f>IF(ISNUMBER(INDEX('Sheet2-计算明细'!$B$17:$B$99,$M8)),INDEX('Sheet2-计算明细'!$B$17:$B$99,$M8),IF(INDEX('Sheet2-计算明细'!$B$17:$B$99,$M8)="","",INDEX('Sheet2-计算明细'!$B$17:$B$99,$M8)))</f>
        <v>龙壹盛善时1号</v>
      </c>
      <c r="C8" s="9" t="str">
        <f>IF(ISNUMBER(INDEX('Sheet2-计算明细'!$C$17:$C$99,$M8)),INDEX('Sheet2-计算明细'!$C$17:$C$99,$M8),IF(INDEX('Sheet2-计算明细'!$C$17:$C$99,$M8)="","",INDEX('Sheet2-计算明细'!$C$17:$C$99,$M8)))</f>
        <v>SB1261</v>
      </c>
      <c r="D8" s="9" t="str">
        <f>IF(ISNUMBER(INDEX('Sheet2-计算明细'!$D$17:$D$99,$M8)),INDEX('Sheet2-计算明细'!$D$17:$D$99,$M8),IF(INDEX('Sheet2-计算明细'!$D$17:$D$99,$M8)="","",INDEX('Sheet2-计算明细'!$D$17:$D$99,$M8)))</f>
        <v>杭州龙壹盛</v>
      </c>
      <c r="E8" s="9" t="str">
        <f>IF(ISNUMBER(INDEX('Sheet2-计算明细'!$H$17:$H$99,$M8)),INDEX('Sheet2-计算明细'!$H$17:$H$99,$M8),IF(INDEX('Sheet2-计算明细'!$H$17:$H$99,$M8)="","",INDEX('Sheet2-计算明细'!$H$17:$H$99,$M8)))</f>
        <v>10-20亿元</v>
      </c>
      <c r="F8" s="13" t="str">
        <f>IF(ISNUMBER(INDEX('Sheet2-计算明细'!$AV$17:$AV$99,$M8)),INDEX('Sheet2-计算明细'!$AV$17:$AV$99,$M8),IF(INDEX('Sheet2-计算明细'!$AV$17:$AV$99,$M8)="","",INDEX('Sheet2-计算明细'!$AV$17:$AV$99,$M8)))</f>
        <v/>
      </c>
      <c r="G8" s="13">
        <f>IF(ISNUMBER(INDEX('Sheet2-计算明细'!$AS$17:$AS$99,$M8)),INDEX('Sheet2-计算明细'!$AS$17:$AS$99,$M8),IF(INDEX('Sheet2-计算明细'!$AS$17:$AS$99,$M8)="","",INDEX('Sheet2-计算明细'!$AS$17:$AS$99,$M8)))</f>
        <v>92</v>
      </c>
      <c r="H8" s="12">
        <f>IF(ISNUMBER(INDEX('Sheet2-计算明细'!$AQ$17:$AQ$99,$M8)),INDEX('Sheet2-计算明细'!$AQ$17:$AQ$99,$M8),IF(INDEX('Sheet2-计算明细'!$AQ$17:$AQ$99,$M8)="","",INDEX('Sheet2-计算明细'!$AQ$17:$AQ$99,$M8)))</f>
        <v>0.15</v>
      </c>
      <c r="I8" s="9" t="str">
        <f>INDEX(协会公示!$G$2:$G$84,$M8)</f>
        <v>本次公示未见相关提示</v>
      </c>
      <c r="J8" s="9" t="str">
        <f>IF(ISNUMBER(INDEX('Sheet2-计算明细'!$AU$17:$AU$99,$M8)),INDEX('Sheet2-计算明细'!$AU$17:$AU$99,$M8),IF(INDEX('Sheet2-计算明细'!$AU$17:$AU$99,$M8)="","",INDEX('Sheet2-计算明细'!$AU$17:$AU$99,$M8)))</f>
        <v>近一年收益；近一年胜率；近三年收益；近三年胜率；近三年回撤；近一年卡玛；</v>
      </c>
      <c r="K8" s="9">
        <f>IF(ISNUMBER(INDEX('Sheet2-计算明细'!$AT$17:$AT$99,$M8)),INDEX('Sheet2-计算明细'!$AT$17:$AT$99,$M8),IF(INDEX('Sheet2-计算明细'!$AT$17:$AT$99,$M8)="","",INDEX('Sheet2-计算明细'!$AT$17:$AT$99,$M8)))</f>
        <v>3</v>
      </c>
      <c r="L8" s="9" t="str">
        <f>IF(ISNUMBER(INDEX('Sheet2-计算明细'!$G$17:$G$99,$M8)),INDEX('Sheet2-计算明细'!$G$17:$G$99,$M8),IF(INDEX('Sheet2-计算明细'!$G$17:$G$99,$M8)="","",INDEX('Sheet2-计算明细'!$G$17:$G$99,$M8)))</f>
        <v>入池</v>
      </c>
      <c r="M8" s="9">
        <f>MATCH(A8,协会公示!$V$2:$V$84,0)</f>
        <v>36</v>
      </c>
      <c r="N8" s="9" t="str">
        <f>INDEX(协会公示!$R$2:$R$84,$M8)</f>
        <v>https://gs.amac.org.cn/amac-infodisc/res/pof/manager/2303061547109927.html</v>
      </c>
    </row>
    <row r="9" ht="25" hidden="1" customHeight="1" spans="1:14">
      <c r="A9" s="9">
        <v>4</v>
      </c>
      <c r="B9" s="9" t="str">
        <f>IF(ISNUMBER(INDEX('Sheet2-计算明细'!$B$17:$B$99,$M9)),INDEX('Sheet2-计算明细'!$B$17:$B$99,$M9),IF(INDEX('Sheet2-计算明细'!$B$17:$B$99,$M9)="","",INDEX('Sheet2-计算明细'!$B$17:$B$99,$M9)))</f>
        <v>阶石稳健1号</v>
      </c>
      <c r="C9" s="9" t="str">
        <f>IF(ISNUMBER(INDEX('Sheet2-计算明细'!$C$17:$C$99,$M9)),INDEX('Sheet2-计算明细'!$C$17:$C$99,$M9),IF(INDEX('Sheet2-计算明细'!$C$17:$C$99,$M9)="","",INDEX('Sheet2-计算明细'!$C$17:$C$99,$M9)))</f>
        <v>SATE65</v>
      </c>
      <c r="D9" s="9" t="str">
        <f>IF(ISNUMBER(INDEX('Sheet2-计算明细'!$D$17:$D$99,$M9)),INDEX('Sheet2-计算明细'!$D$17:$D$99,$M9),IF(INDEX('Sheet2-计算明细'!$D$17:$D$99,$M9)="","",INDEX('Sheet2-计算明细'!$D$17:$D$99,$M9)))</f>
        <v>深圳阶石</v>
      </c>
      <c r="E9" s="9" t="str">
        <f>IF(ISNUMBER(INDEX('Sheet2-计算明细'!$H$17:$H$99,$M9)),INDEX('Sheet2-计算明细'!$H$17:$H$99,$M9),IF(INDEX('Sheet2-计算明细'!$H$17:$H$99,$M9)="","",INDEX('Sheet2-计算明细'!$H$17:$H$99,$M9)))</f>
        <v>10-20亿元</v>
      </c>
      <c r="F9" s="13" t="str">
        <f>IF(ISNUMBER(INDEX('Sheet2-计算明细'!$AV$17:$AV$99,$M9)),INDEX('Sheet2-计算明细'!$AV$17:$AV$99,$M9),IF(INDEX('Sheet2-计算明细'!$AV$17:$AV$99,$M9)="","",INDEX('Sheet2-计算明细'!$AV$17:$AV$99,$M9)))</f>
        <v/>
      </c>
      <c r="G9" s="13">
        <f>IF(ISNUMBER(INDEX('Sheet2-计算明细'!$AS$17:$AS$99,$M9)),INDEX('Sheet2-计算明细'!$AS$17:$AS$99,$M9),IF(INDEX('Sheet2-计算明细'!$AS$17:$AS$99,$M9)="","",INDEX('Sheet2-计算明细'!$AS$17:$AS$99,$M9)))</f>
        <v>87.9</v>
      </c>
      <c r="H9" s="12">
        <f>IF(ISNUMBER(INDEX('Sheet2-计算明细'!$AQ$17:$AQ$99,$M9)),INDEX('Sheet2-计算明细'!$AQ$17:$AQ$99,$M9),IF(INDEX('Sheet2-计算明细'!$AQ$17:$AQ$99,$M9)="","",INDEX('Sheet2-计算明细'!$AQ$17:$AQ$99,$M9)))</f>
        <v>0.82</v>
      </c>
      <c r="I9" s="9" t="str">
        <f>INDEX(协会公示!$G$2:$G$84,$M9)</f>
        <v>协会提示／已整改异常</v>
      </c>
      <c r="J9" s="9" t="str">
        <f>IF(ISNUMBER(INDEX('Sheet2-计算明细'!$AU$17:$AU$99,$M9)),INDEX('Sheet2-计算明细'!$AU$17:$AU$99,$M9),IF(INDEX('Sheet2-计算明细'!$AU$17:$AU$99,$M9)="","",INDEX('Sheet2-计算明细'!$AU$17:$AU$99,$M9)))</f>
        <v>近一年胜率；近三年收益；近三年胜率；近三年回撤；DD_long不可识别；</v>
      </c>
      <c r="K9" s="9">
        <f>IF(ISNUMBER(INDEX('Sheet2-计算明细'!$AT$17:$AT$99,$M9)),INDEX('Sheet2-计算明细'!$AT$17:$AT$99,$M9),IF(INDEX('Sheet2-计算明细'!$AT$17:$AT$99,$M9)="","",INDEX('Sheet2-计算明细'!$AT$17:$AT$99,$M9)))</f>
        <v>5</v>
      </c>
      <c r="L9" s="9" t="str">
        <f>IF(ISNUMBER(INDEX('Sheet2-计算明细'!$G$17:$G$99,$M9)),INDEX('Sheet2-计算明细'!$G$17:$G$99,$M9),IF(INDEX('Sheet2-计算明细'!$G$17:$G$99,$M9)="","",INDEX('Sheet2-计算明细'!$G$17:$G$99,$M9)))</f>
        <v>入池</v>
      </c>
      <c r="M9" s="9">
        <f>MATCH(A9,协会公示!$V$2:$V$84,0)</f>
        <v>24</v>
      </c>
      <c r="N9" s="9" t="str">
        <f>INDEX(协会公示!$R$2:$R$84,$M9)</f>
        <v>https://gs.amac.org.cn/amac-infodisc/res/pof/manager/1903261812109866.html</v>
      </c>
    </row>
    <row r="10" ht="25" hidden="1" customHeight="1" spans="1:14">
      <c r="A10" s="9">
        <v>5</v>
      </c>
      <c r="B10" s="9" t="str">
        <f>IF(ISNUMBER(INDEX('Sheet2-计算明细'!$B$17:$B$99,$M10)),INDEX('Sheet2-计算明细'!$B$17:$B$99,$M10),IF(INDEX('Sheet2-计算明细'!$B$17:$B$99,$M10)="","",INDEX('Sheet2-计算明细'!$B$17:$B$99,$M10)))</f>
        <v>量客投资金选套利1号</v>
      </c>
      <c r="C10" s="9" t="str">
        <f>IF(ISNUMBER(INDEX('Sheet2-计算明细'!$C$17:$C$99,$M10)),INDEX('Sheet2-计算明细'!$C$17:$C$99,$M10),IF(INDEX('Sheet2-计算明细'!$C$17:$C$99,$M10)="","",INDEX('Sheet2-计算明细'!$C$17:$C$99,$M10)))</f>
        <v>SNH457</v>
      </c>
      <c r="D10" s="9" t="str">
        <f>IF(ISNUMBER(INDEX('Sheet2-计算明细'!$D$17:$D$99,$M10)),INDEX('Sheet2-计算明细'!$D$17:$D$99,$M10),IF(INDEX('Sheet2-计算明细'!$D$17:$D$99,$M10)="","",INDEX('Sheet2-计算明细'!$D$17:$D$99,$M10)))</f>
        <v>上海量客</v>
      </c>
      <c r="E10" s="9" t="str">
        <f>IF(ISNUMBER(INDEX('Sheet2-计算明细'!$H$17:$H$99,$M10)),INDEX('Sheet2-计算明细'!$H$17:$H$99,$M10),IF(INDEX('Sheet2-计算明细'!$H$17:$H$99,$M10)="","",INDEX('Sheet2-计算明细'!$H$17:$H$99,$M10)))</f>
        <v>50-100亿元</v>
      </c>
      <c r="F10" s="13">
        <f>IF(ISNUMBER(INDEX('Sheet2-计算明细'!$AV$17:$AV$99,$M10)),INDEX('Sheet2-计算明细'!$AV$17:$AV$99,$M10),IF(INDEX('Sheet2-计算明细'!$AV$17:$AV$99,$M10)="","",INDEX('Sheet2-计算明细'!$AV$17:$AV$99,$M10)))</f>
        <v>86.7181</v>
      </c>
      <c r="G10" s="13">
        <f>IF(ISNUMBER(INDEX('Sheet2-计算明细'!$AS$17:$AS$99,$M10)),INDEX('Sheet2-计算明细'!$AS$17:$AS$99,$M10),IF(INDEX('Sheet2-计算明细'!$AS$17:$AS$99,$M10)="","",INDEX('Sheet2-计算明细'!$AS$17:$AS$99,$M10)))</f>
        <v>86.72</v>
      </c>
      <c r="H10" s="12">
        <f>IF(ISNUMBER(INDEX('Sheet2-计算明细'!$AQ$17:$AQ$99,$M10)),INDEX('Sheet2-计算明细'!$AQ$17:$AQ$99,$M10),IF(INDEX('Sheet2-计算明细'!$AQ$17:$AQ$99,$M10)="","",INDEX('Sheet2-计算明细'!$AQ$17:$AQ$99,$M10)))</f>
        <v>1</v>
      </c>
      <c r="I10" s="9" t="str">
        <f>INDEX(协会公示!$G$2:$G$84,$M10)</f>
        <v>本次公示未见相关提示</v>
      </c>
      <c r="J10" s="9" t="str">
        <f>IF(ISNUMBER(INDEX('Sheet2-计算明细'!$AU$17:$AU$99,$M10)),INDEX('Sheet2-计算明细'!$AU$17:$AU$99,$M10),IF(INDEX('Sheet2-计算明细'!$AU$17:$AU$99,$M10)="","",INDEX('Sheet2-计算明细'!$AU$17:$AU$99,$M10)))</f>
        <v/>
      </c>
      <c r="K10" s="9">
        <f>IF(ISNUMBER(INDEX('Sheet2-计算明细'!$AT$17:$AT$99,$M10)),INDEX('Sheet2-计算明细'!$AT$17:$AT$99,$M10),IF(INDEX('Sheet2-计算明细'!$AT$17:$AT$99,$M10)="","",INDEX('Sheet2-计算明细'!$AT$17:$AT$99,$M10)))</f>
        <v>6</v>
      </c>
      <c r="L10" s="9" t="str">
        <f>IF(ISNUMBER(INDEX('Sheet2-计算明细'!$G$17:$G$99,$M10)),INDEX('Sheet2-计算明细'!$G$17:$G$99,$M10),IF(INDEX('Sheet2-计算明细'!$G$17:$G$99,$M10)="","",INDEX('Sheet2-计算明细'!$G$17:$G$99,$M10)))</f>
        <v>入池</v>
      </c>
      <c r="M10" s="9">
        <f>MATCH(A10,协会公示!$V$2:$V$84,0)</f>
        <v>34</v>
      </c>
      <c r="N10" s="9" t="str">
        <f>INDEX(协会公示!$R$2:$R$84,$M10)</f>
        <v>https://gs.amac.org.cn/amac-infodisc/res/pof/manager/101000000790.html</v>
      </c>
    </row>
    <row r="11" ht="25" hidden="1" customHeight="1" spans="1:14">
      <c r="A11" s="9">
        <v>6</v>
      </c>
      <c r="B11" s="9" t="str">
        <f>IF(ISNUMBER(INDEX('Sheet2-计算明细'!$B$17:$B$99,$M11)),INDEX('Sheet2-计算明细'!$B$17:$B$99,$M11),IF(INDEX('Sheet2-计算明细'!$B$17:$B$99,$M11)="","",INDEX('Sheet2-计算明细'!$B$17:$B$99,$M11)))</f>
        <v>裕锦量化专享1号</v>
      </c>
      <c r="C11" s="9" t="str">
        <f>IF(ISNUMBER(INDEX('Sheet2-计算明细'!$C$17:$C$99,$M11)),INDEX('Sheet2-计算明细'!$C$17:$C$99,$M11),IF(INDEX('Sheet2-计算明细'!$C$17:$C$99,$M11)="","",INDEX('Sheet2-计算明细'!$C$17:$C$99,$M11)))</f>
        <v>SNE165</v>
      </c>
      <c r="D11" s="9" t="str">
        <f>IF(ISNUMBER(INDEX('Sheet2-计算明细'!$D$17:$D$99,$M11)),INDEX('Sheet2-计算明细'!$D$17:$D$99,$M11),IF(INDEX('Sheet2-计算明细'!$D$17:$D$99,$M11)="","",INDEX('Sheet2-计算明细'!$D$17:$D$99,$M11)))</f>
        <v>深圳裕锦</v>
      </c>
      <c r="E11" s="9" t="str">
        <f>IF(ISNUMBER(INDEX('Sheet2-计算明细'!$H$17:$H$99,$M11)),INDEX('Sheet2-计算明细'!$H$17:$H$99,$M11),IF(INDEX('Sheet2-计算明细'!$H$17:$H$99,$M11)="","",INDEX('Sheet2-计算明细'!$H$17:$H$99,$M11)))</f>
        <v>10-20亿元</v>
      </c>
      <c r="F11" s="13">
        <f>IF(ISNUMBER(INDEX('Sheet2-计算明细'!$AV$17:$AV$99,$M11)),INDEX('Sheet2-计算明细'!$AV$17:$AV$99,$M11),IF(INDEX('Sheet2-计算明细'!$AV$17:$AV$99,$M11)="","",INDEX('Sheet2-计算明细'!$AV$17:$AV$99,$M11)))</f>
        <v>86.1365</v>
      </c>
      <c r="G11" s="13">
        <f>IF(ISNUMBER(INDEX('Sheet2-计算明细'!$AS$17:$AS$99,$M11)),INDEX('Sheet2-计算明细'!$AS$17:$AS$99,$M11),IF(INDEX('Sheet2-计算明细'!$AS$17:$AS$99,$M11)="","",INDEX('Sheet2-计算明细'!$AS$17:$AS$99,$M11)))</f>
        <v>86.14</v>
      </c>
      <c r="H11" s="12">
        <f>IF(ISNUMBER(INDEX('Sheet2-计算明细'!$AQ$17:$AQ$99,$M11)),INDEX('Sheet2-计算明细'!$AQ$17:$AQ$99,$M11),IF(INDEX('Sheet2-计算明细'!$AQ$17:$AQ$99,$M11)="","",INDEX('Sheet2-计算明细'!$AQ$17:$AQ$99,$M11)))</f>
        <v>1</v>
      </c>
      <c r="I11" s="9" t="str">
        <f>INDEX(协会公示!$G$2:$G$84,$M11)</f>
        <v>协会提示／已整改异常</v>
      </c>
      <c r="J11" s="9" t="str">
        <f>IF(ISNUMBER(INDEX('Sheet2-计算明细'!$AU$17:$AU$99,$M11)),INDEX('Sheet2-计算明细'!$AU$17:$AU$99,$M11),IF(INDEX('Sheet2-计算明细'!$AU$17:$AU$99,$M11)="","",INDEX('Sheet2-计算明细'!$AU$17:$AU$99,$M11)))</f>
        <v/>
      </c>
      <c r="K11" s="9">
        <f>IF(ISNUMBER(INDEX('Sheet2-计算明细'!$AT$17:$AT$99,$M11)),INDEX('Sheet2-计算明细'!$AT$17:$AT$99,$M11),IF(INDEX('Sheet2-计算明细'!$AT$17:$AT$99,$M11)="","",INDEX('Sheet2-计算明细'!$AT$17:$AT$99,$M11)))</f>
        <v>8</v>
      </c>
      <c r="L11" s="9" t="str">
        <f>IF(ISNUMBER(INDEX('Sheet2-计算明细'!$G$17:$G$99,$M11)),INDEX('Sheet2-计算明细'!$G$17:$G$99,$M11),IF(INDEX('Sheet2-计算明细'!$G$17:$G$99,$M11)="","",INDEX('Sheet2-计算明细'!$G$17:$G$99,$M11)))</f>
        <v>入池</v>
      </c>
      <c r="M11" s="9">
        <f>MATCH(A11,协会公示!$V$2:$V$84,0)</f>
        <v>73</v>
      </c>
      <c r="N11" s="9" t="str">
        <f>INDEX(协会公示!$R$2:$R$84,$M11)</f>
        <v>https://gs.amac.org.cn/amac-infodisc/res/pof/manager/2003241828108999.html</v>
      </c>
    </row>
    <row r="12" ht="25" hidden="1" customHeight="1" spans="1:14">
      <c r="A12" s="9">
        <v>7</v>
      </c>
      <c r="B12" s="9" t="str">
        <f>IF(ISNUMBER(INDEX('Sheet2-计算明细'!$B$17:$B$99,$M12)),INDEX('Sheet2-计算明细'!$B$17:$B$99,$M12),IF(INDEX('Sheet2-计算明细'!$B$17:$B$99,$M12)="","",INDEX('Sheet2-计算明细'!$B$17:$B$99,$M12)))</f>
        <v>哲石君顺易安壹号</v>
      </c>
      <c r="C12" s="9" t="str">
        <f>IF(ISNUMBER(INDEX('Sheet2-计算明细'!$C$17:$C$99,$M12)),INDEX('Sheet2-计算明细'!$C$17:$C$99,$M12),IF(INDEX('Sheet2-计算明细'!$C$17:$C$99,$M12)="","",INDEX('Sheet2-计算明细'!$C$17:$C$99,$M12)))</f>
        <v>SAVN21</v>
      </c>
      <c r="D12" s="9" t="str">
        <f>IF(ISNUMBER(INDEX('Sheet2-计算明细'!$D$17:$D$99,$M12)),INDEX('Sheet2-计算明细'!$D$17:$D$99,$M12),IF(INDEX('Sheet2-计算明细'!$D$17:$D$99,$M12)="","",INDEX('Sheet2-计算明细'!$D$17:$D$99,$M12)))</f>
        <v>杭州哲石</v>
      </c>
      <c r="E12" s="9" t="str">
        <f>IF(ISNUMBER(INDEX('Sheet2-计算明细'!$H$17:$H$99,$M12)),INDEX('Sheet2-计算明细'!$H$17:$H$99,$M12),IF(INDEX('Sheet2-计算明细'!$H$17:$H$99,$M12)="","",INDEX('Sheet2-计算明细'!$H$17:$H$99,$M12)))</f>
        <v>10-20亿元</v>
      </c>
      <c r="F12" s="13" t="str">
        <f>IF(ISNUMBER(INDEX('Sheet2-计算明细'!$AV$17:$AV$99,$M12)),INDEX('Sheet2-计算明细'!$AV$17:$AV$99,$M12),IF(INDEX('Sheet2-计算明细'!$AV$17:$AV$99,$M12)="","",INDEX('Sheet2-计算明细'!$AV$17:$AV$99,$M12)))</f>
        <v/>
      </c>
      <c r="G12" s="13">
        <f>IF(ISNUMBER(INDEX('Sheet2-计算明细'!$AS$17:$AS$99,$M12)),INDEX('Sheet2-计算明细'!$AS$17:$AS$99,$M12),IF(INDEX('Sheet2-计算明细'!$AS$17:$AS$99,$M12)="","",INDEX('Sheet2-计算明细'!$AS$17:$AS$99,$M12)))</f>
        <v>85.34</v>
      </c>
      <c r="H12" s="12">
        <f>IF(ISNUMBER(INDEX('Sheet2-计算明细'!$AQ$17:$AQ$99,$M12)),INDEX('Sheet2-计算明细'!$AQ$17:$AQ$99,$M12),IF(INDEX('Sheet2-计算明细'!$AQ$17:$AQ$99,$M12)="","",INDEX('Sheet2-计算明细'!$AQ$17:$AQ$99,$M12)))</f>
        <v>0.174</v>
      </c>
      <c r="I12" s="9" t="str">
        <f>INDEX(协会公示!$G$2:$G$84,$M12)</f>
        <v>本次公示未见相关提示</v>
      </c>
      <c r="J12" s="9" t="str">
        <f>IF(ISNUMBER(INDEX('Sheet2-计算明细'!$AU$17:$AU$99,$M12)),INDEX('Sheet2-计算明细'!$AU$17:$AU$99,$M12),IF(INDEX('Sheet2-计算明细'!$AU$17:$AU$99,$M12)="","",INDEX('Sheet2-计算明细'!$AU$17:$AU$99,$M12)))</f>
        <v>近一年收益；近一年胜率；近三年收益；近三年胜率；近三年回撤；近一年卡玛；成立以来年化；</v>
      </c>
      <c r="K12" s="9">
        <f>IF(ISNUMBER(INDEX('Sheet2-计算明细'!$AT$17:$AT$99,$M12)),INDEX('Sheet2-计算明细'!$AT$17:$AT$99,$M12),IF(INDEX('Sheet2-计算明细'!$AT$17:$AT$99,$M12)="","",INDEX('Sheet2-计算明细'!$AT$17:$AT$99,$M12)))</f>
        <v>9</v>
      </c>
      <c r="L12" s="9" t="str">
        <f>IF(ISNUMBER(INDEX('Sheet2-计算明细'!$G$17:$G$99,$M12)),INDEX('Sheet2-计算明细'!$G$17:$G$99,$M12),IF(INDEX('Sheet2-计算明细'!$G$17:$G$99,$M12)="","",INDEX('Sheet2-计算明细'!$G$17:$G$99,$M12)))</f>
        <v>入池</v>
      </c>
      <c r="M12" s="9">
        <f>MATCH(A12,协会公示!$V$2:$V$84,0)</f>
        <v>76</v>
      </c>
      <c r="N12" s="9" t="str">
        <f>INDEX(协会公示!$R$2:$R$84,$M12)</f>
        <v>https://gs.amac.org.cn/amac-infodisc/res/pof/manager/101000047057.html</v>
      </c>
    </row>
    <row r="13" ht="25" hidden="1" customHeight="1" spans="1:14">
      <c r="A13" s="9">
        <v>8</v>
      </c>
      <c r="B13" s="9" t="str">
        <f>IF(ISNUMBER(INDEX('Sheet2-计算明细'!$B$17:$B$99,$M13)),INDEX('Sheet2-计算明细'!$B$17:$B$99,$M13),IF(INDEX('Sheet2-计算明细'!$B$17:$B$99,$M13)="","",INDEX('Sheet2-计算明细'!$B$17:$B$99,$M13)))</f>
        <v>阶石稳健7号</v>
      </c>
      <c r="C13" s="9" t="str">
        <f>IF(ISNUMBER(INDEX('Sheet2-计算明细'!$C$17:$C$99,$M13)),INDEX('Sheet2-计算明细'!$C$17:$C$99,$M13),IF(INDEX('Sheet2-计算明细'!$C$17:$C$99,$M13)="","",INDEX('Sheet2-计算明细'!$C$17:$C$99,$M13)))</f>
        <v>SAWS84</v>
      </c>
      <c r="D13" s="9" t="str">
        <f>IF(ISNUMBER(INDEX('Sheet2-计算明细'!$D$17:$D$99,$M13)),INDEX('Sheet2-计算明细'!$D$17:$D$99,$M13),IF(INDEX('Sheet2-计算明细'!$D$17:$D$99,$M13)="","",INDEX('Sheet2-计算明细'!$D$17:$D$99,$M13)))</f>
        <v>深圳阶石</v>
      </c>
      <c r="E13" s="9" t="str">
        <f>IF(ISNUMBER(INDEX('Sheet2-计算明细'!$H$17:$H$99,$M13)),INDEX('Sheet2-计算明细'!$H$17:$H$99,$M13),IF(INDEX('Sheet2-计算明细'!$H$17:$H$99,$M13)="","",INDEX('Sheet2-计算明细'!$H$17:$H$99,$M13)))</f>
        <v>10-20亿元</v>
      </c>
      <c r="F13" s="13" t="str">
        <f>IF(ISNUMBER(INDEX('Sheet2-计算明细'!$AV$17:$AV$99,$M13)),INDEX('Sheet2-计算明细'!$AV$17:$AV$99,$M13),IF(INDEX('Sheet2-计算明细'!$AV$17:$AV$99,$M13)="","",INDEX('Sheet2-计算明细'!$AV$17:$AV$99,$M13)))</f>
        <v/>
      </c>
      <c r="G13" s="13">
        <f>IF(ISNUMBER(INDEX('Sheet2-计算明细'!$AS$17:$AS$99,$M13)),INDEX('Sheet2-计算明细'!$AS$17:$AS$99,$M13),IF(INDEX('Sheet2-计算明细'!$AS$17:$AS$99,$M13)="","",INDEX('Sheet2-计算明细'!$AS$17:$AS$99,$M13)))</f>
        <v>84.89</v>
      </c>
      <c r="H13" s="12">
        <f>IF(ISNUMBER(INDEX('Sheet2-计算明细'!$AQ$17:$AQ$99,$M13)),INDEX('Sheet2-计算明细'!$AQ$17:$AQ$99,$M13),IF(INDEX('Sheet2-计算明细'!$AQ$17:$AQ$99,$M13)="","",INDEX('Sheet2-计算明细'!$AQ$17:$AQ$99,$M13)))</f>
        <v>0.724</v>
      </c>
      <c r="I13" s="9" t="str">
        <f>INDEX(协会公示!$G$2:$G$84,$M13)</f>
        <v>协会提示／已整改异常</v>
      </c>
      <c r="J13" s="9" t="str">
        <f>IF(ISNUMBER(INDEX('Sheet2-计算明细'!$AU$17:$AU$99,$M13)),INDEX('Sheet2-计算明细'!$AU$17:$AU$99,$M13),IF(INDEX('Sheet2-计算明细'!$AU$17:$AU$99,$M13)="","",INDEX('Sheet2-计算明细'!$AU$17:$AU$99,$M13)))</f>
        <v>近三年收益；近三年胜率；近三年回撤；成立以来年化；</v>
      </c>
      <c r="K13" s="9">
        <f>IF(ISNUMBER(INDEX('Sheet2-计算明细'!$AT$17:$AT$99,$M13)),INDEX('Sheet2-计算明细'!$AT$17:$AT$99,$M13),IF(INDEX('Sheet2-计算明细'!$AT$17:$AT$99,$M13)="","",INDEX('Sheet2-计算明细'!$AT$17:$AT$99,$M13)))</f>
        <v>10</v>
      </c>
      <c r="L13" s="9" t="str">
        <f>IF(ISNUMBER(INDEX('Sheet2-计算明细'!$G$17:$G$99,$M13)),INDEX('Sheet2-计算明细'!$G$17:$G$99,$M13),IF(INDEX('Sheet2-计算明细'!$G$17:$G$99,$M13)="","",INDEX('Sheet2-计算明细'!$G$17:$G$99,$M13)))</f>
        <v>入池</v>
      </c>
      <c r="M13" s="9">
        <f>MATCH(A13,协会公示!$V$2:$V$84,0)</f>
        <v>25</v>
      </c>
      <c r="N13" s="9" t="str">
        <f>INDEX(协会公示!$R$2:$R$84,$M13)</f>
        <v>https://gs.amac.org.cn/amac-infodisc/res/pof/manager/1903261812109866.html</v>
      </c>
    </row>
    <row r="14" ht="25" hidden="1" customHeight="1" spans="1:14">
      <c r="A14" s="9">
        <v>9</v>
      </c>
      <c r="B14" s="9" t="str">
        <f>IF(ISNUMBER(INDEX('Sheet2-计算明细'!$B$17:$B$99,$M14)),INDEX('Sheet2-计算明细'!$B$17:$B$99,$M14),IF(INDEX('Sheet2-计算明细'!$B$17:$B$99,$M14)="","",INDEX('Sheet2-计算明细'!$B$17:$B$99,$M14)))</f>
        <v>哲石君顺易安贰号</v>
      </c>
      <c r="C14" s="9" t="str">
        <f>IF(ISNUMBER(INDEX('Sheet2-计算明细'!$C$17:$C$99,$M14)),INDEX('Sheet2-计算明细'!$C$17:$C$99,$M14),IF(INDEX('Sheet2-计算明细'!$C$17:$C$99,$M14)="","",INDEX('Sheet2-计算明细'!$C$17:$C$99,$M14)))</f>
        <v>SBBC37</v>
      </c>
      <c r="D14" s="9" t="str">
        <f>IF(ISNUMBER(INDEX('Sheet2-计算明细'!$D$17:$D$99,$M14)),INDEX('Sheet2-计算明细'!$D$17:$D$99,$M14),IF(INDEX('Sheet2-计算明细'!$D$17:$D$99,$M14)="","",INDEX('Sheet2-计算明细'!$D$17:$D$99,$M14)))</f>
        <v>杭州哲石</v>
      </c>
      <c r="E14" s="9" t="str">
        <f>IF(ISNUMBER(INDEX('Sheet2-计算明细'!$H$17:$H$99,$M14)),INDEX('Sheet2-计算明细'!$H$17:$H$99,$M14),IF(INDEX('Sheet2-计算明细'!$H$17:$H$99,$M14)="","",INDEX('Sheet2-计算明细'!$H$17:$H$99,$M14)))</f>
        <v>10-20亿元</v>
      </c>
      <c r="F14" s="13" t="str">
        <f>IF(ISNUMBER(INDEX('Sheet2-计算明细'!$AV$17:$AV$99,$M14)),INDEX('Sheet2-计算明细'!$AV$17:$AV$99,$M14),IF(INDEX('Sheet2-计算明细'!$AV$17:$AV$99,$M14)="","",INDEX('Sheet2-计算明细'!$AV$17:$AV$99,$M14)))</f>
        <v/>
      </c>
      <c r="G14" s="13">
        <f>IF(ISNUMBER(INDEX('Sheet2-计算明细'!$AS$17:$AS$99,$M14)),INDEX('Sheet2-计算明细'!$AS$17:$AS$99,$M14),IF(INDEX('Sheet2-计算明细'!$AS$17:$AS$99,$M14)="","",INDEX('Sheet2-计算明细'!$AS$17:$AS$99,$M14)))</f>
        <v>83.17</v>
      </c>
      <c r="H14" s="12">
        <f>IF(ISNUMBER(INDEX('Sheet2-计算明细'!$AQ$17:$AQ$99,$M14)),INDEX('Sheet2-计算明细'!$AQ$17:$AQ$99,$M14),IF(INDEX('Sheet2-计算明细'!$AQ$17:$AQ$99,$M14)="","",INDEX('Sheet2-计算明细'!$AQ$17:$AQ$99,$M14)))</f>
        <v>0.88</v>
      </c>
      <c r="I14" s="9" t="str">
        <f>INDEX(协会公示!$G$2:$G$84,$M14)</f>
        <v>本次公示未见相关提示</v>
      </c>
      <c r="J14" s="9" t="str">
        <f>IF(ISNUMBER(INDEX('Sheet2-计算明细'!$AU$17:$AU$99,$M14)),INDEX('Sheet2-计算明细'!$AU$17:$AU$99,$M14),IF(INDEX('Sheet2-计算明细'!$AU$17:$AU$99,$M14)="","",INDEX('Sheet2-计算明细'!$AU$17:$AU$99,$M14)))</f>
        <v>近三年收益；近三年胜率；近三年回撤；DD_long不可识别；</v>
      </c>
      <c r="K14" s="9">
        <f>IF(ISNUMBER(INDEX('Sheet2-计算明细'!$AT$17:$AT$99,$M14)),INDEX('Sheet2-计算明细'!$AT$17:$AT$99,$M14),IF(INDEX('Sheet2-计算明细'!$AT$17:$AT$99,$M14)="","",INDEX('Sheet2-计算明细'!$AT$17:$AT$99,$M14)))</f>
        <v>11</v>
      </c>
      <c r="L14" s="9" t="str">
        <f>IF(ISNUMBER(INDEX('Sheet2-计算明细'!$G$17:$G$99,$M14)),INDEX('Sheet2-计算明细'!$G$17:$G$99,$M14),IF(INDEX('Sheet2-计算明细'!$G$17:$G$99,$M14)="","",INDEX('Sheet2-计算明细'!$G$17:$G$99,$M14)))</f>
        <v>入池</v>
      </c>
      <c r="M14" s="9">
        <f>MATCH(A14,协会公示!$V$2:$V$84,0)</f>
        <v>75</v>
      </c>
      <c r="N14" s="9" t="str">
        <f>INDEX(协会公示!$R$2:$R$84,$M14)</f>
        <v>https://gs.amac.org.cn/amac-infodisc/res/pof/manager/101000047057.html</v>
      </c>
    </row>
    <row r="15" ht="25" hidden="1" customHeight="1" spans="1:14">
      <c r="A15" s="9">
        <v>10</v>
      </c>
      <c r="B15" s="9" t="str">
        <f>IF(ISNUMBER(INDEX('Sheet2-计算明细'!$B$17:$B$99,$M15)),INDEX('Sheet2-计算明细'!$B$17:$B$99,$M15),IF(INDEX('Sheet2-计算明细'!$B$17:$B$99,$M15)="","",INDEX('Sheet2-计算明细'!$B$17:$B$99,$M15)))</f>
        <v>奶酪鑫鑫宝二号</v>
      </c>
      <c r="C15" s="9" t="str">
        <f>IF(ISNUMBER(INDEX('Sheet2-计算明细'!$C$17:$C$99,$M15)),INDEX('Sheet2-计算明细'!$C$17:$C$99,$M15),IF(INDEX('Sheet2-计算明细'!$C$17:$C$99,$M15)="","",INDEX('Sheet2-计算明细'!$C$17:$C$99,$M15)))</f>
        <v>SB2838</v>
      </c>
      <c r="D15" s="9" t="str">
        <f>IF(ISNUMBER(INDEX('Sheet2-计算明细'!$D$17:$D$99,$M15)),INDEX('Sheet2-计算明细'!$D$17:$D$99,$M15),IF(INDEX('Sheet2-计算明细'!$D$17:$D$99,$M15)="","",INDEX('Sheet2-计算明细'!$D$17:$D$99,$M15)))</f>
        <v>广东奶酪</v>
      </c>
      <c r="E15" s="9" t="str">
        <f>IF(ISNUMBER(INDEX('Sheet2-计算明细'!$H$17:$H$99,$M15)),INDEX('Sheet2-计算明细'!$H$17:$H$99,$M15),IF(INDEX('Sheet2-计算明细'!$H$17:$H$99,$M15)="","",INDEX('Sheet2-计算明细'!$H$17:$H$99,$M15)))</f>
        <v>10-20亿元</v>
      </c>
      <c r="F15" s="13" t="str">
        <f>IF(ISNUMBER(INDEX('Sheet2-计算明细'!$AV$17:$AV$99,$M15)),INDEX('Sheet2-计算明细'!$AV$17:$AV$99,$M15),IF(INDEX('Sheet2-计算明细'!$AV$17:$AV$99,$M15)="","",INDEX('Sheet2-计算明细'!$AV$17:$AV$99,$M15)))</f>
        <v/>
      </c>
      <c r="G15" s="13">
        <f>IF(ISNUMBER(INDEX('Sheet2-计算明细'!$AS$17:$AS$99,$M15)),INDEX('Sheet2-计算明细'!$AS$17:$AS$99,$M15),IF(INDEX('Sheet2-计算明细'!$AS$17:$AS$99,$M15)="","",INDEX('Sheet2-计算明细'!$AS$17:$AS$99,$M15)))</f>
        <v>82.51</v>
      </c>
      <c r="H15" s="12">
        <f>IF(ISNUMBER(INDEX('Sheet2-计算明细'!$AQ$17:$AQ$99,$M15)),INDEX('Sheet2-计算明细'!$AQ$17:$AQ$99,$M15),IF(INDEX('Sheet2-计算明细'!$AQ$17:$AQ$99,$M15)="","",INDEX('Sheet2-计算明细'!$AQ$17:$AQ$99,$M15)))</f>
        <v>0.7</v>
      </c>
      <c r="I15" s="9" t="str">
        <f>INDEX(协会公示!$G$2:$G$84,$M15)</f>
        <v>本次公示未见相关提示</v>
      </c>
      <c r="J15" s="9" t="str">
        <f>IF(ISNUMBER(INDEX('Sheet2-计算明细'!$AU$17:$AU$99,$M15)),INDEX('Sheet2-计算明细'!$AU$17:$AU$99,$M15),IF(INDEX('Sheet2-计算明细'!$AU$17:$AU$99,$M15)="","",INDEX('Sheet2-计算明细'!$AU$17:$AU$99,$M15)))</f>
        <v>近一年卡玛；DD_long不可识别；</v>
      </c>
      <c r="K15" s="9">
        <f>IF(ISNUMBER(INDEX('Sheet2-计算明细'!$AT$17:$AT$99,$M15)),INDEX('Sheet2-计算明细'!$AT$17:$AT$99,$M15),IF(INDEX('Sheet2-计算明细'!$AT$17:$AT$99,$M15)="","",INDEX('Sheet2-计算明细'!$AT$17:$AT$99,$M15)))</f>
        <v>12</v>
      </c>
      <c r="L15" s="9" t="str">
        <f>IF(ISNUMBER(INDEX('Sheet2-计算明细'!$G$17:$G$99,$M15)),INDEX('Sheet2-计算明细'!$G$17:$G$99,$M15),IF(INDEX('Sheet2-计算明细'!$G$17:$G$99,$M15)="","",INDEX('Sheet2-计算明细'!$G$17:$G$99,$M15)))</f>
        <v>入池</v>
      </c>
      <c r="M15" s="9">
        <f>MATCH(A15,协会公示!$V$2:$V$84,0)</f>
        <v>45</v>
      </c>
      <c r="N15" s="9" t="str">
        <f>INDEX(协会公示!$R$2:$R$84,$M15)</f>
        <v>https://gs.amac.org.cn/amac-infodisc/res/pof/manager/101000045017.html</v>
      </c>
    </row>
    <row r="16" ht="25" hidden="1" customHeight="1" spans="1:14">
      <c r="A16" s="9">
        <v>11</v>
      </c>
      <c r="B16" s="9" t="str">
        <f>IF(ISNUMBER(INDEX('Sheet2-计算明细'!$B$17:$B$99,$M16)),INDEX('Sheet2-计算明细'!$B$17:$B$99,$M16),IF(INDEX('Sheet2-计算明细'!$B$17:$B$99,$M16)="","",INDEX('Sheet2-计算明细'!$B$17:$B$99,$M16)))</f>
        <v>智领泽临套利六号</v>
      </c>
      <c r="C16" s="9" t="str">
        <f>IF(ISNUMBER(INDEX('Sheet2-计算明细'!$C$17:$C$99,$M16)),INDEX('Sheet2-计算明细'!$C$17:$C$99,$M16),IF(INDEX('Sheet2-计算明细'!$C$17:$C$99,$M16)="","",INDEX('Sheet2-计算明细'!$C$17:$C$99,$M16)))</f>
        <v>SAYU23</v>
      </c>
      <c r="D16" s="9" t="str">
        <f>IF(ISNUMBER(INDEX('Sheet2-计算明细'!$D$17:$D$99,$M16)),INDEX('Sheet2-计算明细'!$D$17:$D$99,$M16),IF(INDEX('Sheet2-计算明细'!$D$17:$D$99,$M16)="","",INDEX('Sheet2-计算明细'!$D$17:$D$99,$M16)))</f>
        <v>福州智领三联</v>
      </c>
      <c r="E16" s="9" t="str">
        <f>IF(ISNUMBER(INDEX('Sheet2-计算明细'!$H$17:$H$99,$M16)),INDEX('Sheet2-计算明细'!$H$17:$H$99,$M16),IF(INDEX('Sheet2-计算明细'!$H$17:$H$99,$M16)="","",INDEX('Sheet2-计算明细'!$H$17:$H$99,$M16)))</f>
        <v>20-50亿元</v>
      </c>
      <c r="F16" s="13" t="str">
        <f>IF(ISNUMBER(INDEX('Sheet2-计算明细'!$AV$17:$AV$99,$M16)),INDEX('Sheet2-计算明细'!$AV$17:$AV$99,$M16),IF(INDEX('Sheet2-计算明细'!$AV$17:$AV$99,$M16)="","",INDEX('Sheet2-计算明细'!$AV$17:$AV$99,$M16)))</f>
        <v/>
      </c>
      <c r="G16" s="13">
        <f>IF(ISNUMBER(INDEX('Sheet2-计算明细'!$AS$17:$AS$99,$M16)),INDEX('Sheet2-计算明细'!$AS$17:$AS$99,$M16),IF(INDEX('Sheet2-计算明细'!$AS$17:$AS$99,$M16)="","",INDEX('Sheet2-计算明细'!$AS$17:$AS$99,$M16)))</f>
        <v>82.43</v>
      </c>
      <c r="H16" s="12">
        <f>IF(ISNUMBER(INDEX('Sheet2-计算明细'!$AQ$17:$AQ$99,$M16)),INDEX('Sheet2-计算明细'!$AQ$17:$AQ$99,$M16),IF(INDEX('Sheet2-计算明细'!$AQ$17:$AQ$99,$M16)="","",INDEX('Sheet2-计算明细'!$AQ$17:$AQ$99,$M16)))</f>
        <v>0.88</v>
      </c>
      <c r="I16" s="9" t="str">
        <f>INDEX(协会公示!$G$2:$G$84,$M16)</f>
        <v>协会提示／已整改异常</v>
      </c>
      <c r="J16" s="9" t="str">
        <f>IF(ISNUMBER(INDEX('Sheet2-计算明细'!$AU$17:$AU$99,$M16)),INDEX('Sheet2-计算明细'!$AU$17:$AU$99,$M16),IF(INDEX('Sheet2-计算明细'!$AU$17:$AU$99,$M16)="","",INDEX('Sheet2-计算明细'!$AU$17:$AU$99,$M16)))</f>
        <v>近三年收益；近三年胜率；近三年回撤；DD_long不可识别；</v>
      </c>
      <c r="K16" s="9">
        <f>IF(ISNUMBER(INDEX('Sheet2-计算明细'!$AT$17:$AT$99,$M16)),INDEX('Sheet2-计算明细'!$AT$17:$AT$99,$M16),IF(INDEX('Sheet2-计算明细'!$AT$17:$AT$99,$M16)="","",INDEX('Sheet2-计算明细'!$AT$17:$AT$99,$M16)))</f>
        <v>13</v>
      </c>
      <c r="L16" s="9" t="str">
        <f>IF(ISNUMBER(INDEX('Sheet2-计算明细'!$G$17:$G$99,$M16)),INDEX('Sheet2-计算明细'!$G$17:$G$99,$M16),IF(INDEX('Sheet2-计算明细'!$G$17:$G$99,$M16)="","",INDEX('Sheet2-计算明细'!$G$17:$G$99,$M16)))</f>
        <v>入池</v>
      </c>
      <c r="M16" s="9">
        <f>MATCH(A16,协会公示!$V$2:$V$84,0)</f>
        <v>80</v>
      </c>
      <c r="N16" s="9" t="str">
        <f>INDEX(协会公示!$R$2:$R$84,$M16)</f>
        <v>https://gs.amac.org.cn/amac-infodisc/res/pof/manager/101000074295.html</v>
      </c>
    </row>
    <row r="17" ht="25" hidden="1" customHeight="1" spans="1:14">
      <c r="A17" s="9">
        <v>12</v>
      </c>
      <c r="B17" s="9" t="str">
        <f>IF(ISNUMBER(INDEX('Sheet2-计算明细'!$B$17:$B$99,$M17)),INDEX('Sheet2-计算明细'!$B$17:$B$99,$M17),IF(INDEX('Sheet2-计算明细'!$B$17:$B$99,$M17)="","",INDEX('Sheet2-计算明细'!$B$17:$B$99,$M17)))</f>
        <v>摩旗ETF套利1号</v>
      </c>
      <c r="C17" s="9" t="str">
        <f>IF(ISNUMBER(INDEX('Sheet2-计算明细'!$C$17:$C$99,$M17)),INDEX('Sheet2-计算明细'!$C$17:$C$99,$M17),IF(INDEX('Sheet2-计算明细'!$C$17:$C$99,$M17)="","",INDEX('Sheet2-计算明细'!$C$17:$C$99,$M17)))</f>
        <v>STR466</v>
      </c>
      <c r="D17" s="9" t="str">
        <f>IF(ISNUMBER(INDEX('Sheet2-计算明细'!$D$17:$D$99,$M17)),INDEX('Sheet2-计算明细'!$D$17:$D$99,$M17),IF(INDEX('Sheet2-计算明细'!$D$17:$D$99,$M17)="","",INDEX('Sheet2-计算明细'!$D$17:$D$99,$M17)))</f>
        <v>上海摩旗投资</v>
      </c>
      <c r="E17" s="9" t="str">
        <f>IF(ISNUMBER(INDEX('Sheet2-计算明细'!$H$17:$H$99,$M17)),INDEX('Sheet2-计算明细'!$H$17:$H$99,$M17),IF(INDEX('Sheet2-计算明细'!$H$17:$H$99,$M17)="","",INDEX('Sheet2-计算明细'!$H$17:$H$99,$M17)))</f>
        <v>10-20亿元</v>
      </c>
      <c r="F17" s="13" t="str">
        <f>IF(ISNUMBER(INDEX('Sheet2-计算明细'!$AV$17:$AV$99,$M17)),INDEX('Sheet2-计算明细'!$AV$17:$AV$99,$M17),IF(INDEX('Sheet2-计算明细'!$AV$17:$AV$99,$M17)="","",INDEX('Sheet2-计算明细'!$AV$17:$AV$99,$M17)))</f>
        <v/>
      </c>
      <c r="G17" s="13">
        <f>IF(ISNUMBER(INDEX('Sheet2-计算明细'!$AS$17:$AS$99,$M17)),INDEX('Sheet2-计算明细'!$AS$17:$AS$99,$M17),IF(INDEX('Sheet2-计算明细'!$AS$17:$AS$99,$M17)="","",INDEX('Sheet2-计算明细'!$AS$17:$AS$99,$M17)))</f>
        <v>81.87</v>
      </c>
      <c r="H17" s="12">
        <f>IF(ISNUMBER(INDEX('Sheet2-计算明细'!$AQ$17:$AQ$99,$M17)),INDEX('Sheet2-计算明细'!$AQ$17:$AQ$99,$M17),IF(INDEX('Sheet2-计算明细'!$AQ$17:$AQ$99,$M17)="","",INDEX('Sheet2-计算明细'!$AQ$17:$AQ$99,$M17)))</f>
        <v>0.88</v>
      </c>
      <c r="I17" s="9" t="str">
        <f>INDEX(协会公示!$G$2:$G$84,$M17)</f>
        <v>本次公示未见相关提示</v>
      </c>
      <c r="J17" s="9" t="str">
        <f>IF(ISNUMBER(INDEX('Sheet2-计算明细'!$AU$17:$AU$99,$M17)),INDEX('Sheet2-计算明细'!$AU$17:$AU$99,$M17),IF(INDEX('Sheet2-计算明细'!$AU$17:$AU$99,$M17)="","",INDEX('Sheet2-计算明细'!$AU$17:$AU$99,$M17)))</f>
        <v>DD_long不可识别；</v>
      </c>
      <c r="K17" s="9">
        <f>IF(ISNUMBER(INDEX('Sheet2-计算明细'!$AT$17:$AT$99,$M17)),INDEX('Sheet2-计算明细'!$AT$17:$AT$99,$M17),IF(INDEX('Sheet2-计算明细'!$AT$17:$AT$99,$M17)="","",INDEX('Sheet2-计算明细'!$AT$17:$AT$99,$M17)))</f>
        <v>14</v>
      </c>
      <c r="L17" s="9" t="str">
        <f>IF(ISNUMBER(INDEX('Sheet2-计算明细'!$G$17:$G$99,$M17)),INDEX('Sheet2-计算明细'!$G$17:$G$99,$M17),IF(INDEX('Sheet2-计算明细'!$G$17:$G$99,$M17)="","",INDEX('Sheet2-计算明细'!$G$17:$G$99,$M17)))</f>
        <v>入池</v>
      </c>
      <c r="M17" s="9">
        <f>MATCH(A17,协会公示!$V$2:$V$84,0)</f>
        <v>39</v>
      </c>
      <c r="N17" s="9" t="str">
        <f>INDEX(协会公示!$R$2:$R$84,$M17)</f>
        <v>https://gs.amac.org.cn/amac-infodisc/res/pof/manager/101000000297.html</v>
      </c>
    </row>
    <row r="18" ht="25" hidden="1" customHeight="1" spans="1:14">
      <c r="A18" s="9">
        <v>13</v>
      </c>
      <c r="B18" s="9" t="str">
        <f>IF(ISNUMBER(INDEX('Sheet2-计算明细'!$B$17:$B$99,$M18)),INDEX('Sheet2-计算明细'!$B$17:$B$99,$M18),IF(INDEX('Sheet2-计算明细'!$B$17:$B$99,$M18)="","",INDEX('Sheet2-计算明细'!$B$17:$B$99,$M18)))</f>
        <v>爱凡哲九号</v>
      </c>
      <c r="C18" s="9" t="str">
        <f>IF(ISNUMBER(INDEX('Sheet2-计算明细'!$C$17:$C$99,$M18)),INDEX('Sheet2-计算明细'!$C$17:$C$99,$M18),IF(INDEX('Sheet2-计算明细'!$C$17:$C$99,$M18)="","",INDEX('Sheet2-计算明细'!$C$17:$C$99,$M18)))</f>
        <v>SJA112</v>
      </c>
      <c r="D18" s="9" t="str">
        <f>IF(ISNUMBER(INDEX('Sheet2-计算明细'!$D$17:$D$99,$M18)),INDEX('Sheet2-计算明细'!$D$17:$D$99,$M18),IF(INDEX('Sheet2-计算明细'!$D$17:$D$99,$M18)="","",INDEX('Sheet2-计算明细'!$D$17:$D$99,$M18)))</f>
        <v>爱凡哲投资</v>
      </c>
      <c r="E18" s="9" t="str">
        <f>IF(ISNUMBER(INDEX('Sheet2-计算明细'!$H$17:$H$99,$M18)),INDEX('Sheet2-计算明细'!$H$17:$H$99,$M18),IF(INDEX('Sheet2-计算明细'!$H$17:$H$99,$M18)="","",INDEX('Sheet2-计算明细'!$H$17:$H$99,$M18)))</f>
        <v>20-50亿元</v>
      </c>
      <c r="F18" s="13">
        <f>IF(ISNUMBER(INDEX('Sheet2-计算明细'!$AV$17:$AV$99,$M18)),INDEX('Sheet2-计算明细'!$AV$17:$AV$99,$M18),IF(INDEX('Sheet2-计算明细'!$AV$17:$AV$99,$M18)="","",INDEX('Sheet2-计算明细'!$AV$17:$AV$99,$M18)))</f>
        <v>80.55129</v>
      </c>
      <c r="G18" s="13">
        <f>IF(ISNUMBER(INDEX('Sheet2-计算明细'!$AS$17:$AS$99,$M18)),INDEX('Sheet2-计算明细'!$AS$17:$AS$99,$M18),IF(INDEX('Sheet2-计算明细'!$AS$17:$AS$99,$M18)="","",INDEX('Sheet2-计算明细'!$AS$17:$AS$99,$M18)))</f>
        <v>80.55</v>
      </c>
      <c r="H18" s="12">
        <f>IF(ISNUMBER(INDEX('Sheet2-计算明细'!$AQ$17:$AQ$99,$M18)),INDEX('Sheet2-计算明细'!$AQ$17:$AQ$99,$M18),IF(INDEX('Sheet2-计算明细'!$AQ$17:$AQ$99,$M18)="","",INDEX('Sheet2-计算明细'!$AQ$17:$AQ$99,$M18)))</f>
        <v>1</v>
      </c>
      <c r="I18" s="9" t="str">
        <f>INDEX(协会公示!$G$2:$G$84,$M18)</f>
        <v>本次公示未见相关提示</v>
      </c>
      <c r="J18" s="9" t="str">
        <f>IF(ISNUMBER(INDEX('Sheet2-计算明细'!$AU$17:$AU$99,$M18)),INDEX('Sheet2-计算明细'!$AU$17:$AU$99,$M18),IF(INDEX('Sheet2-计算明细'!$AU$17:$AU$99,$M18)="","",INDEX('Sheet2-计算明细'!$AU$17:$AU$99,$M18)))</f>
        <v/>
      </c>
      <c r="K18" s="9">
        <f>IF(ISNUMBER(INDEX('Sheet2-计算明细'!$AT$17:$AT$99,$M18)),INDEX('Sheet2-计算明细'!$AT$17:$AT$99,$M18),IF(INDEX('Sheet2-计算明细'!$AT$17:$AT$99,$M18)="","",INDEX('Sheet2-计算明细'!$AT$17:$AT$99,$M18)))</f>
        <v>15</v>
      </c>
      <c r="L18" s="9" t="str">
        <f>IF(ISNUMBER(INDEX('Sheet2-计算明细'!$G$17:$G$99,$M18)),INDEX('Sheet2-计算明细'!$G$17:$G$99,$M18),IF(INDEX('Sheet2-计算明细'!$G$17:$G$99,$M18)="","",INDEX('Sheet2-计算明细'!$G$17:$G$99,$M18)))</f>
        <v>入池</v>
      </c>
      <c r="M18" s="9">
        <f>MATCH(A18,协会公示!$V$2:$V$84,0)</f>
        <v>1</v>
      </c>
      <c r="N18" s="9" t="str">
        <f>INDEX(协会公示!$R$2:$R$84,$M18)</f>
        <v>https://gs.amac.org.cn/amac-infodisc/res/pof/manager/1709181131101311.html</v>
      </c>
    </row>
    <row r="19" ht="25" hidden="1" customHeight="1" spans="1:14">
      <c r="A19" s="9">
        <v>14</v>
      </c>
      <c r="B19" s="9" t="str">
        <f>IF(ISNUMBER(INDEX('Sheet2-计算明细'!$B$17:$B$99,$M19)),INDEX('Sheet2-计算明细'!$B$17:$B$99,$M19),IF(INDEX('Sheet2-计算明细'!$B$17:$B$99,$M19)="","",INDEX('Sheet2-计算明细'!$B$17:$B$99,$M19)))</f>
        <v>阶石稳健9号</v>
      </c>
      <c r="C19" s="9" t="str">
        <f>IF(ISNUMBER(INDEX('Sheet2-计算明细'!$C$17:$C$99,$M19)),INDEX('Sheet2-计算明细'!$C$17:$C$99,$M19),IF(INDEX('Sheet2-计算明细'!$C$17:$C$99,$M19)="","",INDEX('Sheet2-计算明细'!$C$17:$C$99,$M19)))</f>
        <v>SAZW60</v>
      </c>
      <c r="D19" s="9" t="str">
        <f>IF(ISNUMBER(INDEX('Sheet2-计算明细'!$D$17:$D$99,$M19)),INDEX('Sheet2-计算明细'!$D$17:$D$99,$M19),IF(INDEX('Sheet2-计算明细'!$D$17:$D$99,$M19)="","",INDEX('Sheet2-计算明细'!$D$17:$D$99,$M19)))</f>
        <v>深圳阶石</v>
      </c>
      <c r="E19" s="9" t="str">
        <f>IF(ISNUMBER(INDEX('Sheet2-计算明细'!$H$17:$H$99,$M19)),INDEX('Sheet2-计算明细'!$H$17:$H$99,$M19),IF(INDEX('Sheet2-计算明细'!$H$17:$H$99,$M19)="","",INDEX('Sheet2-计算明细'!$H$17:$H$99,$M19)))</f>
        <v>10-20亿元</v>
      </c>
      <c r="F19" s="13" t="str">
        <f>IF(ISNUMBER(INDEX('Sheet2-计算明细'!$AV$17:$AV$99,$M19)),INDEX('Sheet2-计算明细'!$AV$17:$AV$99,$M19),IF(INDEX('Sheet2-计算明细'!$AV$17:$AV$99,$M19)="","",INDEX('Sheet2-计算明细'!$AV$17:$AV$99,$M19)))</f>
        <v/>
      </c>
      <c r="G19" s="13">
        <f>IF(ISNUMBER(INDEX('Sheet2-计算明细'!$AS$17:$AS$99,$M19)),INDEX('Sheet2-计算明细'!$AS$17:$AS$99,$M19),IF(INDEX('Sheet2-计算明细'!$AS$17:$AS$99,$M19)="","",INDEX('Sheet2-计算明细'!$AS$17:$AS$99,$M19)))</f>
        <v>79.88</v>
      </c>
      <c r="H19" s="12">
        <f>IF(ISNUMBER(INDEX('Sheet2-计算明细'!$AQ$17:$AQ$99,$M19)),INDEX('Sheet2-计算明细'!$AQ$17:$AQ$99,$M19),IF(INDEX('Sheet2-计算明细'!$AQ$17:$AQ$99,$M19)="","",INDEX('Sheet2-计算明细'!$AQ$17:$AQ$99,$M19)))</f>
        <v>0.688</v>
      </c>
      <c r="I19" s="9" t="str">
        <f>INDEX(协会公示!$G$2:$G$84,$M19)</f>
        <v>协会提示／已整改异常</v>
      </c>
      <c r="J19" s="9" t="str">
        <f>IF(ISNUMBER(INDEX('Sheet2-计算明细'!$AU$17:$AU$99,$M19)),INDEX('Sheet2-计算明细'!$AU$17:$AU$99,$M19),IF(INDEX('Sheet2-计算明细'!$AU$17:$AU$99,$M19)="","",INDEX('Sheet2-计算明细'!$AU$17:$AU$99,$M19)))</f>
        <v>近一年胜率；近三年收益；近三年胜率；近三年回撤；成立以来年化；</v>
      </c>
      <c r="K19" s="9">
        <f>IF(ISNUMBER(INDEX('Sheet2-计算明细'!$AT$17:$AT$99,$M19)),INDEX('Sheet2-计算明细'!$AT$17:$AT$99,$M19),IF(INDEX('Sheet2-计算明细'!$AT$17:$AT$99,$M19)="","",INDEX('Sheet2-计算明细'!$AT$17:$AT$99,$M19)))</f>
        <v>16</v>
      </c>
      <c r="L19" s="9" t="str">
        <f>IF(ISNUMBER(INDEX('Sheet2-计算明细'!$G$17:$G$99,$M19)),INDEX('Sheet2-计算明细'!$G$17:$G$99,$M19),IF(INDEX('Sheet2-计算明细'!$G$17:$G$99,$M19)="","",INDEX('Sheet2-计算明细'!$G$17:$G$99,$M19)))</f>
        <v>入池</v>
      </c>
      <c r="M19" s="9">
        <f>MATCH(A19,协会公示!$V$2:$V$84,0)</f>
        <v>26</v>
      </c>
      <c r="N19" s="9" t="str">
        <f>INDEX(协会公示!$R$2:$R$84,$M19)</f>
        <v>https://gs.amac.org.cn/amac-infodisc/res/pof/manager/1903261812109866.html</v>
      </c>
    </row>
    <row r="20" ht="25" hidden="1" customHeight="1" spans="1:14">
      <c r="A20" s="9">
        <v>15</v>
      </c>
      <c r="B20" s="9" t="str">
        <f>IF(ISNUMBER(INDEX('Sheet2-计算明细'!$B$17:$B$99,$M20)),INDEX('Sheet2-计算明细'!$B$17:$B$99,$M20),IF(INDEX('Sheet2-计算明细'!$B$17:$B$99,$M20)="","",INDEX('Sheet2-计算明细'!$B$17:$B$99,$M20)))</f>
        <v>平凡凡响二号</v>
      </c>
      <c r="C20" s="9" t="str">
        <f>IF(ISNUMBER(INDEX('Sheet2-计算明细'!$C$17:$C$99,$M20)),INDEX('Sheet2-计算明细'!$C$17:$C$99,$M20),IF(INDEX('Sheet2-计算明细'!$C$17:$C$99,$M20)="","",INDEX('Sheet2-计算明细'!$C$17:$C$99,$M20)))</f>
        <v>SZU727</v>
      </c>
      <c r="D20" s="9" t="str">
        <f>IF(ISNUMBER(INDEX('Sheet2-计算明细'!$D$17:$D$99,$M20)),INDEX('Sheet2-计算明细'!$D$17:$D$99,$M20),IF(INDEX('Sheet2-计算明细'!$D$17:$D$99,$M20)="","",INDEX('Sheet2-计算明细'!$D$17:$D$99,$M20)))</f>
        <v>北京平凡</v>
      </c>
      <c r="E20" s="9" t="str">
        <f>IF(ISNUMBER(INDEX('Sheet2-计算明细'!$H$17:$H$99,$M20)),INDEX('Sheet2-计算明细'!$H$17:$H$99,$M20),IF(INDEX('Sheet2-计算明细'!$H$17:$H$99,$M20)="","",INDEX('Sheet2-计算明细'!$H$17:$H$99,$M20)))</f>
        <v>50-100亿元</v>
      </c>
      <c r="F20" s="13">
        <f>IF(ISNUMBER(INDEX('Sheet2-计算明细'!$AV$17:$AV$99,$M20)),INDEX('Sheet2-计算明细'!$AV$17:$AV$99,$M20),IF(INDEX('Sheet2-计算明细'!$AV$17:$AV$99,$M20)="","",INDEX('Sheet2-计算明细'!$AV$17:$AV$99,$M20)))</f>
        <v>79.13391</v>
      </c>
      <c r="G20" s="13">
        <f>IF(ISNUMBER(INDEX('Sheet2-计算明细'!$AS$17:$AS$99,$M20)),INDEX('Sheet2-计算明细'!$AS$17:$AS$99,$M20),IF(INDEX('Sheet2-计算明细'!$AS$17:$AS$99,$M20)="","",INDEX('Sheet2-计算明细'!$AS$17:$AS$99,$M20)))</f>
        <v>79.13</v>
      </c>
      <c r="H20" s="12">
        <f>IF(ISNUMBER(INDEX('Sheet2-计算明细'!$AQ$17:$AQ$99,$M20)),INDEX('Sheet2-计算明细'!$AQ$17:$AQ$99,$M20),IF(INDEX('Sheet2-计算明细'!$AQ$17:$AQ$99,$M20)="","",INDEX('Sheet2-计算明细'!$AQ$17:$AQ$99,$M20)))</f>
        <v>1</v>
      </c>
      <c r="I20" s="9" t="str">
        <f>INDEX(协会公示!$G$2:$G$84,$M20)</f>
        <v>本次公示未见相关提示</v>
      </c>
      <c r="J20" s="9" t="str">
        <f>IF(ISNUMBER(INDEX('Sheet2-计算明细'!$AU$17:$AU$99,$M20)),INDEX('Sheet2-计算明细'!$AU$17:$AU$99,$M20),IF(INDEX('Sheet2-计算明细'!$AU$17:$AU$99,$M20)="","",INDEX('Sheet2-计算明细'!$AU$17:$AU$99,$M20)))</f>
        <v/>
      </c>
      <c r="K20" s="9">
        <f>IF(ISNUMBER(INDEX('Sheet2-计算明细'!$AT$17:$AT$99,$M20)),INDEX('Sheet2-计算明细'!$AT$17:$AT$99,$M20),IF(INDEX('Sheet2-计算明细'!$AT$17:$AT$99,$M20)="","",INDEX('Sheet2-计算明细'!$AT$17:$AT$99,$M20)))</f>
        <v>18</v>
      </c>
      <c r="L20" s="9" t="str">
        <f>IF(ISNUMBER(INDEX('Sheet2-计算明细'!$G$17:$G$99,$M20)),INDEX('Sheet2-计算明细'!$G$17:$G$99,$M20),IF(INDEX('Sheet2-计算明细'!$G$17:$G$99,$M20)="","",INDEX('Sheet2-计算明细'!$G$17:$G$99,$M20)))</f>
        <v>入池</v>
      </c>
      <c r="M20" s="9">
        <f>MATCH(A20,协会公示!$V$2:$V$84,0)</f>
        <v>46</v>
      </c>
      <c r="N20" s="9" t="str">
        <f>INDEX(协会公示!$R$2:$R$84,$M20)</f>
        <v>https://gs.amac.org.cn/amac-infodisc/res/pof/manager/101000030286.html</v>
      </c>
    </row>
    <row r="21" ht="25" hidden="1" customHeight="1" spans="1:14">
      <c r="A21" s="9">
        <v>16</v>
      </c>
      <c r="B21" s="9" t="str">
        <f>IF(ISNUMBER(INDEX('Sheet2-计算明细'!$B$17:$B$99,$M21)),INDEX('Sheet2-计算明细'!$B$17:$B$99,$M21),IF(INDEX('Sheet2-计算明细'!$B$17:$B$99,$M21)="","",INDEX('Sheet2-计算明细'!$B$17:$B$99,$M21)))</f>
        <v>合绎塑造者10号</v>
      </c>
      <c r="C21" s="9" t="str">
        <f>IF(ISNUMBER(INDEX('Sheet2-计算明细'!$C$17:$C$99,$M21)),INDEX('Sheet2-计算明细'!$C$17:$C$99,$M21),IF(INDEX('Sheet2-计算明细'!$C$17:$C$99,$M21)="","",INDEX('Sheet2-计算明细'!$C$17:$C$99,$M21)))</f>
        <v>SAHP82</v>
      </c>
      <c r="D21" s="9" t="str">
        <f>IF(ISNUMBER(INDEX('Sheet2-计算明细'!$D$17:$D$99,$M21)),INDEX('Sheet2-计算明细'!$D$17:$D$99,$M21),IF(INDEX('Sheet2-计算明细'!$D$17:$D$99,$M21)="","",INDEX('Sheet2-计算明细'!$D$17:$D$99,$M21)))</f>
        <v>上海合绎投资</v>
      </c>
      <c r="E21" s="9" t="str">
        <f>IF(ISNUMBER(INDEX('Sheet2-计算明细'!$H$17:$H$99,$M21)),INDEX('Sheet2-计算明细'!$H$17:$H$99,$M21),IF(INDEX('Sheet2-计算明细'!$H$17:$H$99,$M21)="","",INDEX('Sheet2-计算明细'!$H$17:$H$99,$M21)))</f>
        <v>50-100亿元</v>
      </c>
      <c r="F21" s="13" t="str">
        <f>IF(ISNUMBER(INDEX('Sheet2-计算明细'!$AV$17:$AV$99,$M21)),INDEX('Sheet2-计算明细'!$AV$17:$AV$99,$M21),IF(INDEX('Sheet2-计算明细'!$AV$17:$AV$99,$M21)="","",INDEX('Sheet2-计算明细'!$AV$17:$AV$99,$M21)))</f>
        <v/>
      </c>
      <c r="G21" s="13">
        <f>IF(ISNUMBER(INDEX('Sheet2-计算明细'!$AS$17:$AS$99,$M21)),INDEX('Sheet2-计算明细'!$AS$17:$AS$99,$M21),IF(INDEX('Sheet2-计算明细'!$AS$17:$AS$99,$M21)="","",INDEX('Sheet2-计算明细'!$AS$17:$AS$99,$M21)))</f>
        <v>78.88</v>
      </c>
      <c r="H21" s="12">
        <f>IF(ISNUMBER(INDEX('Sheet2-计算明细'!$AQ$17:$AQ$99,$M21)),INDEX('Sheet2-计算明细'!$AQ$17:$AQ$99,$M21),IF(INDEX('Sheet2-计算明细'!$AQ$17:$AQ$99,$M21)="","",INDEX('Sheet2-计算明细'!$AQ$17:$AQ$99,$M21)))</f>
        <v>0.7</v>
      </c>
      <c r="I21" s="9" t="str">
        <f>INDEX(协会公示!$G$2:$G$84,$M21)</f>
        <v>本次公示未见相关提示</v>
      </c>
      <c r="J21" s="9" t="str">
        <f>IF(ISNUMBER(INDEX('Sheet2-计算明细'!$AU$17:$AU$99,$M21)),INDEX('Sheet2-计算明细'!$AU$17:$AU$99,$M21),IF(INDEX('Sheet2-计算明细'!$AU$17:$AU$99,$M21)="","",INDEX('Sheet2-计算明细'!$AU$17:$AU$99,$M21)))</f>
        <v>近三年收益；近三年胜率；近三年回撤；成立以来年化；</v>
      </c>
      <c r="K21" s="9">
        <f>IF(ISNUMBER(INDEX('Sheet2-计算明细'!$AT$17:$AT$99,$M21)),INDEX('Sheet2-计算明细'!$AT$17:$AT$99,$M21),IF(INDEX('Sheet2-计算明细'!$AT$17:$AT$99,$M21)="","",INDEX('Sheet2-计算明细'!$AT$17:$AT$99,$M21)))</f>
        <v>19</v>
      </c>
      <c r="L21" s="9" t="str">
        <f>IF(ISNUMBER(INDEX('Sheet2-计算明细'!$G$17:$G$99,$M21)),INDEX('Sheet2-计算明细'!$G$17:$G$99,$M21),IF(INDEX('Sheet2-计算明细'!$G$17:$G$99,$M21)="","",INDEX('Sheet2-计算明细'!$G$17:$G$99,$M21)))</f>
        <v>入池</v>
      </c>
      <c r="M21" s="9">
        <f>MATCH(A21,协会公示!$V$2:$V$84,0)</f>
        <v>83</v>
      </c>
      <c r="N21" s="9" t="str">
        <f>INDEX(协会公示!$R$2:$R$84,$M21)</f>
        <v>https://gs.amac.org.cn/amac-infodisc/res/pof/manager/1703070917106985.html</v>
      </c>
    </row>
    <row r="22" ht="25" hidden="1" customHeight="1" spans="1:14">
      <c r="A22" s="9">
        <v>17</v>
      </c>
      <c r="B22" s="9" t="str">
        <f>IF(ISNUMBER(INDEX('Sheet2-计算明细'!$B$17:$B$99,$M22)),INDEX('Sheet2-计算明细'!$B$17:$B$99,$M22),IF(INDEX('Sheet2-计算明细'!$B$17:$B$99,$M22)="","",INDEX('Sheet2-计算明细'!$B$17:$B$99,$M22)))</f>
        <v>慕途稳健1号</v>
      </c>
      <c r="C22" s="9" t="str">
        <f>IF(ISNUMBER(INDEX('Sheet2-计算明细'!$C$17:$C$99,$M22)),INDEX('Sheet2-计算明细'!$C$17:$C$99,$M22),IF(INDEX('Sheet2-计算明细'!$C$17:$C$99,$M22)="","",INDEX('Sheet2-计算明细'!$C$17:$C$99,$M22)))</f>
        <v>SVM029</v>
      </c>
      <c r="D22" s="9" t="str">
        <f>IF(ISNUMBER(INDEX('Sheet2-计算明细'!$D$17:$D$99,$M22)),INDEX('Sheet2-计算明细'!$D$17:$D$99,$M22),IF(INDEX('Sheet2-计算明细'!$D$17:$D$99,$M22)="","",INDEX('Sheet2-计算明细'!$D$17:$D$99,$M22)))</f>
        <v>慕途基金</v>
      </c>
      <c r="E22" s="9" t="str">
        <f>IF(ISNUMBER(INDEX('Sheet2-计算明细'!$H$17:$H$99,$M22)),INDEX('Sheet2-计算明细'!$H$17:$H$99,$M22),IF(INDEX('Sheet2-计算明细'!$H$17:$H$99,$M22)="","",INDEX('Sheet2-计算明细'!$H$17:$H$99,$M22)))</f>
        <v>10-20亿元</v>
      </c>
      <c r="F22" s="13">
        <f>IF(ISNUMBER(INDEX('Sheet2-计算明细'!$AV$17:$AV$99,$M22)),INDEX('Sheet2-计算明细'!$AV$17:$AV$99,$M22),IF(INDEX('Sheet2-计算明细'!$AV$17:$AV$99,$M22)="","",INDEX('Sheet2-计算明细'!$AV$17:$AV$99,$M22)))</f>
        <v>78.81464</v>
      </c>
      <c r="G22" s="13">
        <f>IF(ISNUMBER(INDEX('Sheet2-计算明细'!$AS$17:$AS$99,$M22)),INDEX('Sheet2-计算明细'!$AS$17:$AS$99,$M22),IF(INDEX('Sheet2-计算明细'!$AS$17:$AS$99,$M22)="","",INDEX('Sheet2-计算明细'!$AS$17:$AS$99,$M22)))</f>
        <v>78.81</v>
      </c>
      <c r="H22" s="12">
        <f>IF(ISNUMBER(INDEX('Sheet2-计算明细'!$AQ$17:$AQ$99,$M22)),INDEX('Sheet2-计算明细'!$AQ$17:$AQ$99,$M22),IF(INDEX('Sheet2-计算明细'!$AQ$17:$AQ$99,$M22)="","",INDEX('Sheet2-计算明细'!$AQ$17:$AQ$99,$M22)))</f>
        <v>1</v>
      </c>
      <c r="I22" s="9" t="str">
        <f>INDEX(协会公示!$G$2:$G$84,$M22)</f>
        <v>本次公示未见相关提示</v>
      </c>
      <c r="J22" s="9" t="str">
        <f>IF(ISNUMBER(INDEX('Sheet2-计算明细'!$AU$17:$AU$99,$M22)),INDEX('Sheet2-计算明细'!$AU$17:$AU$99,$M22),IF(INDEX('Sheet2-计算明细'!$AU$17:$AU$99,$M22)="","",INDEX('Sheet2-计算明细'!$AU$17:$AU$99,$M22)))</f>
        <v/>
      </c>
      <c r="K22" s="9">
        <f>IF(ISNUMBER(INDEX('Sheet2-计算明细'!$AT$17:$AT$99,$M22)),INDEX('Sheet2-计算明细'!$AT$17:$AT$99,$M22),IF(INDEX('Sheet2-计算明细'!$AT$17:$AT$99,$M22)="","",INDEX('Sheet2-计算明细'!$AT$17:$AT$99,$M22)))</f>
        <v>20</v>
      </c>
      <c r="L22" s="9" t="str">
        <f>IF(ISNUMBER(INDEX('Sheet2-计算明细'!$G$17:$G$99,$M22)),INDEX('Sheet2-计算明细'!$G$17:$G$99,$M22),IF(INDEX('Sheet2-计算明细'!$G$17:$G$99,$M22)="","",INDEX('Sheet2-计算明细'!$G$17:$G$99,$M22)))</f>
        <v>入池</v>
      </c>
      <c r="M22" s="9">
        <f>MATCH(A22,协会公示!$V$2:$V$84,0)</f>
        <v>43</v>
      </c>
      <c r="N22" s="9" t="str">
        <f>INDEX(协会公示!$R$2:$R$84,$M22)</f>
        <v>https://gs.amac.org.cn/amac-infodisc/res/pof/manager/2106221238106983.html</v>
      </c>
    </row>
    <row r="23" ht="25" hidden="1" customHeight="1" spans="1:14">
      <c r="A23" s="9">
        <v>18</v>
      </c>
      <c r="B23" s="9" t="str">
        <f>IF(ISNUMBER(INDEX('Sheet2-计算明细'!$B$17:$B$99,$M23)),INDEX('Sheet2-计算明细'!$B$17:$B$99,$M23),IF(INDEX('Sheet2-计算明细'!$B$17:$B$99,$M23)="","",INDEX('Sheet2-计算明细'!$B$17:$B$99,$M23)))</f>
        <v>英旷专享2号A类</v>
      </c>
      <c r="C23" s="9" t="str">
        <f>IF(ISNUMBER(INDEX('Sheet2-计算明细'!$C$17:$C$99,$M23)),INDEX('Sheet2-计算明细'!$C$17:$C$99,$M23),IF(INDEX('Sheet2-计算明细'!$C$17:$C$99,$M23)="","",INDEX('Sheet2-计算明细'!$C$17:$C$99,$M23)))</f>
        <v>AKV28A</v>
      </c>
      <c r="D23" s="9" t="str">
        <f>IF(ISNUMBER(INDEX('Sheet2-计算明细'!$D$17:$D$99,$M23)),INDEX('Sheet2-计算明细'!$D$17:$D$99,$M23),IF(INDEX('Sheet2-计算明细'!$D$17:$D$99,$M23)="","",INDEX('Sheet2-计算明细'!$D$17:$D$99,$M23)))</f>
        <v>上海英旷资管</v>
      </c>
      <c r="E23" s="9" t="str">
        <f>IF(ISNUMBER(INDEX('Sheet2-计算明细'!$H$17:$H$99,$M23)),INDEX('Sheet2-计算明细'!$H$17:$H$99,$M23),IF(INDEX('Sheet2-计算明细'!$H$17:$H$99,$M23)="","",INDEX('Sheet2-计算明细'!$H$17:$H$99,$M23)))</f>
        <v>10-20亿元</v>
      </c>
      <c r="F23" s="13" t="str">
        <f>IF(ISNUMBER(INDEX('Sheet2-计算明细'!$AV$17:$AV$99,$M23)),INDEX('Sheet2-计算明细'!$AV$17:$AV$99,$M23),IF(INDEX('Sheet2-计算明细'!$AV$17:$AV$99,$M23)="","",INDEX('Sheet2-计算明细'!$AV$17:$AV$99,$M23)))</f>
        <v/>
      </c>
      <c r="G23" s="13">
        <f>IF(ISNUMBER(INDEX('Sheet2-计算明细'!$AS$17:$AS$99,$M23)),INDEX('Sheet2-计算明细'!$AS$17:$AS$99,$M23),IF(INDEX('Sheet2-计算明细'!$AS$17:$AS$99,$M23)="","",INDEX('Sheet2-计算明细'!$AS$17:$AS$99,$M23)))</f>
        <v>76.15</v>
      </c>
      <c r="H23" s="12">
        <f>IF(ISNUMBER(INDEX('Sheet2-计算明细'!$AQ$17:$AQ$99,$M23)),INDEX('Sheet2-计算明细'!$AQ$17:$AQ$99,$M23),IF(INDEX('Sheet2-计算明细'!$AQ$17:$AQ$99,$M23)="","",INDEX('Sheet2-计算明细'!$AQ$17:$AQ$99,$M23)))</f>
        <v>0.811</v>
      </c>
      <c r="I23" s="9" t="str">
        <f>INDEX(协会公示!$G$2:$G$84,$M23)</f>
        <v>本次公示未见相关提示</v>
      </c>
      <c r="J23" s="9" t="str">
        <f>IF(ISNUMBER(INDEX('Sheet2-计算明细'!$AU$17:$AU$99,$M23)),INDEX('Sheet2-计算明细'!$AU$17:$AU$99,$M23),IF(INDEX('Sheet2-计算明细'!$AU$17:$AU$99,$M23)="","",INDEX('Sheet2-计算明细'!$AU$17:$AU$99,$M23)))</f>
        <v>产品规模标识；近三年收益；近三年胜率；近三年回撤；DD_long不可识别；</v>
      </c>
      <c r="K23" s="9">
        <f>IF(ISNUMBER(INDEX('Sheet2-计算明细'!$AT$17:$AT$99,$M23)),INDEX('Sheet2-计算明细'!$AT$17:$AT$99,$M23),IF(INDEX('Sheet2-计算明细'!$AT$17:$AT$99,$M23)="","",INDEX('Sheet2-计算明细'!$AT$17:$AT$99,$M23)))</f>
        <v>21</v>
      </c>
      <c r="L23" s="9" t="str">
        <f>IF(ISNUMBER(INDEX('Sheet2-计算明细'!$G$17:$G$99,$M23)),INDEX('Sheet2-计算明细'!$G$17:$G$99,$M23),IF(INDEX('Sheet2-计算明细'!$G$17:$G$99,$M23)="","",INDEX('Sheet2-计算明细'!$G$17:$G$99,$M23)))</f>
        <v>入池</v>
      </c>
      <c r="M23" s="9">
        <f>MATCH(A23,协会公示!$V$2:$V$84,0)</f>
        <v>68</v>
      </c>
      <c r="N23" s="9" t="str">
        <f>INDEX(协会公示!$R$2:$R$84,$M23)</f>
        <v>https://gs.amac.org.cn/amac-infodisc/res/pof/manager/2009261701109105.html</v>
      </c>
    </row>
    <row r="24" ht="25" hidden="1" customHeight="1" spans="1:14">
      <c r="A24" s="9">
        <v>19</v>
      </c>
      <c r="B24" s="9" t="str">
        <f>IF(ISNUMBER(INDEX('Sheet2-计算明细'!$B$17:$B$99,$M24)),INDEX('Sheet2-计算明细'!$B$17:$B$99,$M24),IF(INDEX('Sheet2-计算明细'!$B$17:$B$99,$M24)="","",INDEX('Sheet2-计算明细'!$B$17:$B$99,$M24)))</f>
        <v>平凡浩睿</v>
      </c>
      <c r="C24" s="9" t="str">
        <f>IF(ISNUMBER(INDEX('Sheet2-计算明细'!$C$17:$C$99,$M24)),INDEX('Sheet2-计算明细'!$C$17:$C$99,$M24),IF(INDEX('Sheet2-计算明细'!$C$17:$C$99,$M24)="","",INDEX('Sheet2-计算明细'!$C$17:$C$99,$M24)))</f>
        <v>SJS890</v>
      </c>
      <c r="D24" s="9" t="str">
        <f>IF(ISNUMBER(INDEX('Sheet2-计算明细'!$D$17:$D$99,$M24)),INDEX('Sheet2-计算明细'!$D$17:$D$99,$M24),IF(INDEX('Sheet2-计算明细'!$D$17:$D$99,$M24)="","",INDEX('Sheet2-计算明细'!$D$17:$D$99,$M24)))</f>
        <v>北京平凡</v>
      </c>
      <c r="E24" s="9" t="str">
        <f>IF(ISNUMBER(INDEX('Sheet2-计算明细'!$H$17:$H$99,$M24)),INDEX('Sheet2-计算明细'!$H$17:$H$99,$M24),IF(INDEX('Sheet2-计算明细'!$H$17:$H$99,$M24)="","",INDEX('Sheet2-计算明细'!$H$17:$H$99,$M24)))</f>
        <v>50-100亿元</v>
      </c>
      <c r="F24" s="13">
        <f>IF(ISNUMBER(INDEX('Sheet2-计算明细'!$AV$17:$AV$99,$M24)),INDEX('Sheet2-计算明细'!$AV$17:$AV$99,$M24),IF(INDEX('Sheet2-计算明细'!$AV$17:$AV$99,$M24)="","",INDEX('Sheet2-计算明细'!$AV$17:$AV$99,$M24)))</f>
        <v>74.72652</v>
      </c>
      <c r="G24" s="13">
        <f>IF(ISNUMBER(INDEX('Sheet2-计算明细'!$AS$17:$AS$99,$M24)),INDEX('Sheet2-计算明细'!$AS$17:$AS$99,$M24),IF(INDEX('Sheet2-计算明细'!$AS$17:$AS$99,$M24)="","",INDEX('Sheet2-计算明细'!$AS$17:$AS$99,$M24)))</f>
        <v>74.73</v>
      </c>
      <c r="H24" s="12">
        <f>IF(ISNUMBER(INDEX('Sheet2-计算明细'!$AQ$17:$AQ$99,$M24)),INDEX('Sheet2-计算明细'!$AQ$17:$AQ$99,$M24),IF(INDEX('Sheet2-计算明细'!$AQ$17:$AQ$99,$M24)="","",INDEX('Sheet2-计算明细'!$AQ$17:$AQ$99,$M24)))</f>
        <v>1</v>
      </c>
      <c r="I24" s="9" t="str">
        <f>INDEX(协会公示!$G$2:$G$84,$M24)</f>
        <v>本次公示未见相关提示</v>
      </c>
      <c r="J24" s="9" t="str">
        <f>IF(ISNUMBER(INDEX('Sheet2-计算明细'!$AU$17:$AU$99,$M24)),INDEX('Sheet2-计算明细'!$AU$17:$AU$99,$M24),IF(INDEX('Sheet2-计算明细'!$AU$17:$AU$99,$M24)="","",INDEX('Sheet2-计算明细'!$AU$17:$AU$99,$M24)))</f>
        <v/>
      </c>
      <c r="K24" s="9">
        <f>IF(ISNUMBER(INDEX('Sheet2-计算明细'!$AT$17:$AT$99,$M24)),INDEX('Sheet2-计算明细'!$AT$17:$AT$99,$M24),IF(INDEX('Sheet2-计算明细'!$AT$17:$AT$99,$M24)="","",INDEX('Sheet2-计算明细'!$AT$17:$AT$99,$M24)))</f>
        <v>22</v>
      </c>
      <c r="L24" s="9" t="str">
        <f>IF(ISNUMBER(INDEX('Sheet2-计算明细'!$G$17:$G$99,$M24)),INDEX('Sheet2-计算明细'!$G$17:$G$99,$M24),IF(INDEX('Sheet2-计算明细'!$G$17:$G$99,$M24)="","",INDEX('Sheet2-计算明细'!$G$17:$G$99,$M24)))</f>
        <v>入池</v>
      </c>
      <c r="M24" s="9">
        <f>MATCH(A24,协会公示!$V$2:$V$84,0)</f>
        <v>47</v>
      </c>
      <c r="N24" s="9" t="str">
        <f>INDEX(协会公示!$R$2:$R$84,$M24)</f>
        <v>https://gs.amac.org.cn/amac-infodisc/res/pof/manager/101000030286.html</v>
      </c>
    </row>
    <row r="25" ht="25" hidden="1" customHeight="1" spans="1:14">
      <c r="A25" s="9">
        <v>20</v>
      </c>
      <c r="B25" s="9" t="str">
        <f>IF(ISNUMBER(INDEX('Sheet2-计算明细'!$B$17:$B$99,$M25)),INDEX('Sheet2-计算明细'!$B$17:$B$99,$M25),IF(INDEX('Sheet2-计算明细'!$B$17:$B$99,$M25)="","",INDEX('Sheet2-计算明细'!$B$17:$B$99,$M25)))</f>
        <v>九招真格量化套利一号</v>
      </c>
      <c r="C25" s="9" t="str">
        <f>IF(ISNUMBER(INDEX('Sheet2-计算明细'!$C$17:$C$99,$M25)),INDEX('Sheet2-计算明细'!$C$17:$C$99,$M25),IF(INDEX('Sheet2-计算明细'!$C$17:$C$99,$M25)="","",INDEX('Sheet2-计算明细'!$C$17:$C$99,$M25)))</f>
        <v>SQD546</v>
      </c>
      <c r="D25" s="9" t="str">
        <f>IF(ISNUMBER(INDEX('Sheet2-计算明细'!$D$17:$D$99,$M25)),INDEX('Sheet2-计算明细'!$D$17:$D$99,$M25),IF(INDEX('Sheet2-计算明细'!$D$17:$D$99,$M25)="","",INDEX('Sheet2-计算明细'!$D$17:$D$99,$M25)))</f>
        <v>武汉九招</v>
      </c>
      <c r="E25" s="9" t="str">
        <f>IF(ISNUMBER(INDEX('Sheet2-计算明细'!$H$17:$H$99,$M25)),INDEX('Sheet2-计算明细'!$H$17:$H$99,$M25),IF(INDEX('Sheet2-计算明细'!$H$17:$H$99,$M25)="","",INDEX('Sheet2-计算明细'!$H$17:$H$99,$M25)))</f>
        <v>5-10亿元</v>
      </c>
      <c r="F25" s="13">
        <f>IF(ISNUMBER(INDEX('Sheet2-计算明细'!$AV$17:$AV$99,$M25)),INDEX('Sheet2-计算明细'!$AV$17:$AV$99,$M25),IF(INDEX('Sheet2-计算明细'!$AV$17:$AV$99,$M25)="","",INDEX('Sheet2-计算明细'!$AV$17:$AV$99,$M25)))</f>
        <v>74.28057</v>
      </c>
      <c r="G25" s="13">
        <f>IF(ISNUMBER(INDEX('Sheet2-计算明细'!$AS$17:$AS$99,$M25)),INDEX('Sheet2-计算明细'!$AS$17:$AS$99,$M25),IF(INDEX('Sheet2-计算明细'!$AS$17:$AS$99,$M25)="","",INDEX('Sheet2-计算明细'!$AS$17:$AS$99,$M25)))</f>
        <v>74.28</v>
      </c>
      <c r="H25" s="12">
        <f>IF(ISNUMBER(INDEX('Sheet2-计算明细'!$AQ$17:$AQ$99,$M25)),INDEX('Sheet2-计算明细'!$AQ$17:$AQ$99,$M25),IF(INDEX('Sheet2-计算明细'!$AQ$17:$AQ$99,$M25)="","",INDEX('Sheet2-计算明细'!$AQ$17:$AQ$99,$M25)))</f>
        <v>1</v>
      </c>
      <c r="I25" s="9" t="str">
        <f>INDEX(协会公示!$G$2:$G$84,$M25)</f>
        <v>监管警示函</v>
      </c>
      <c r="J25" s="9" t="str">
        <f>IF(ISNUMBER(INDEX('Sheet2-计算明细'!$AU$17:$AU$99,$M25)),INDEX('Sheet2-计算明细'!$AU$17:$AU$99,$M25),IF(INDEX('Sheet2-计算明细'!$AU$17:$AU$99,$M25)="","",INDEX('Sheet2-计算明细'!$AU$17:$AU$99,$M25)))</f>
        <v/>
      </c>
      <c r="K25" s="9">
        <f>IF(ISNUMBER(INDEX('Sheet2-计算明细'!$AT$17:$AT$99,$M25)),INDEX('Sheet2-计算明细'!$AT$17:$AT$99,$M25),IF(INDEX('Sheet2-计算明细'!$AT$17:$AT$99,$M25)="","",INDEX('Sheet2-计算明细'!$AT$17:$AT$99,$M25)))</f>
        <v>24</v>
      </c>
      <c r="L25" s="9" t="str">
        <f>IF(ISNUMBER(INDEX('Sheet2-计算明细'!$G$17:$G$99,$M25)),INDEX('Sheet2-计算明细'!$G$17:$G$99,$M25),IF(INDEX('Sheet2-计算明细'!$G$17:$G$99,$M25)="","",INDEX('Sheet2-计算明细'!$G$17:$G$99,$M25)))</f>
        <v>入池</v>
      </c>
      <c r="M25" s="9">
        <f>MATCH(A25,协会公示!$V$2:$V$84,0)</f>
        <v>29</v>
      </c>
      <c r="N25" s="9" t="str">
        <f>INDEX(协会公示!$R$2:$R$84,$M25)</f>
        <v>https://gs.amac.org.cn/amac-infodisc/res/pof/manager/2301051740101642.html</v>
      </c>
    </row>
    <row r="26" ht="25" hidden="1" customHeight="1" spans="1:14">
      <c r="A26" s="9">
        <v>21</v>
      </c>
      <c r="B26" s="9" t="str">
        <f>IF(ISNUMBER(INDEX('Sheet2-计算明细'!$B$17:$B$99,$M26)),INDEX('Sheet2-计算明细'!$B$17:$B$99,$M26),IF(INDEX('Sheet2-计算明细'!$B$17:$B$99,$M26)="","",INDEX('Sheet2-计算明细'!$B$17:$B$99,$M26)))</f>
        <v>鸣熙资产-招享套利1号</v>
      </c>
      <c r="C26" s="9" t="str">
        <f>IF(ISNUMBER(INDEX('Sheet2-计算明细'!$C$17:$C$99,$M26)),INDEX('Sheet2-计算明细'!$C$17:$C$99,$M26),IF(INDEX('Sheet2-计算明细'!$C$17:$C$99,$M26)="","",INDEX('Sheet2-计算明细'!$C$17:$C$99,$M26)))</f>
        <v>SJZ381</v>
      </c>
      <c r="D26" s="9" t="str">
        <f>IF(ISNUMBER(INDEX('Sheet2-计算明细'!$D$17:$D$99,$M26)),INDEX('Sheet2-计算明细'!$D$17:$D$99,$M26),IF(INDEX('Sheet2-计算明细'!$D$17:$D$99,$M26)="","",INDEX('Sheet2-计算明细'!$D$17:$D$99,$M26)))</f>
        <v>鸣熙资本</v>
      </c>
      <c r="E26" s="9" t="str">
        <f>IF(ISNUMBER(INDEX('Sheet2-计算明细'!$H$17:$H$99,$M26)),INDEX('Sheet2-计算明细'!$H$17:$H$99,$M26),IF(INDEX('Sheet2-计算明细'!$H$17:$H$99,$M26)="","",INDEX('Sheet2-计算明细'!$H$17:$H$99,$M26)))</f>
        <v>100亿元以上</v>
      </c>
      <c r="F26" s="13" t="str">
        <f>IF(ISNUMBER(INDEX('Sheet2-计算明细'!$AV$17:$AV$99,$M26)),INDEX('Sheet2-计算明细'!$AV$17:$AV$99,$M26),IF(INDEX('Sheet2-计算明细'!$AV$17:$AV$99,$M26)="","",INDEX('Sheet2-计算明细'!$AV$17:$AV$99,$M26)))</f>
        <v/>
      </c>
      <c r="G26" s="13">
        <f>IF(ISNUMBER(INDEX('Sheet2-计算明细'!$AS$17:$AS$99,$M26)),INDEX('Sheet2-计算明细'!$AS$17:$AS$99,$M26),IF(INDEX('Sheet2-计算明细'!$AS$17:$AS$99,$M26)="","",INDEX('Sheet2-计算明细'!$AS$17:$AS$99,$M26)))</f>
        <v>73.38</v>
      </c>
      <c r="H26" s="12">
        <f>IF(ISNUMBER(INDEX('Sheet2-计算明细'!$AQ$17:$AQ$99,$M26)),INDEX('Sheet2-计算明细'!$AQ$17:$AQ$99,$M26),IF(INDEX('Sheet2-计算明细'!$AQ$17:$AQ$99,$M26)="","",INDEX('Sheet2-计算明细'!$AQ$17:$AQ$99,$M26)))</f>
        <v>0.88</v>
      </c>
      <c r="I26" s="9" t="str">
        <f>INDEX(协会公示!$G$2:$G$84,$M26)</f>
        <v>本次公示未见相关提示</v>
      </c>
      <c r="J26" s="9" t="str">
        <f>IF(ISNUMBER(INDEX('Sheet2-计算明细'!$AU$17:$AU$99,$M26)),INDEX('Sheet2-计算明细'!$AU$17:$AU$99,$M26),IF(INDEX('Sheet2-计算明细'!$AU$17:$AU$99,$M26)="","",INDEX('Sheet2-计算明细'!$AU$17:$AU$99,$M26)))</f>
        <v>DD_long不可识别；</v>
      </c>
      <c r="K26" s="9">
        <f>IF(ISNUMBER(INDEX('Sheet2-计算明细'!$AT$17:$AT$99,$M26)),INDEX('Sheet2-计算明细'!$AT$17:$AT$99,$M26),IF(INDEX('Sheet2-计算明细'!$AT$17:$AT$99,$M26)="","",INDEX('Sheet2-计算明细'!$AT$17:$AT$99,$M26)))</f>
        <v>25</v>
      </c>
      <c r="L26" s="9" t="str">
        <f>IF(ISNUMBER(INDEX('Sheet2-计算明细'!$G$17:$G$99,$M26)),INDEX('Sheet2-计算明细'!$G$17:$G$99,$M26),IF(INDEX('Sheet2-计算明细'!$G$17:$G$99,$M26)="","",INDEX('Sheet2-计算明细'!$G$17:$G$99,$M26)))</f>
        <v>入池</v>
      </c>
      <c r="M26" s="9">
        <f>MATCH(A26,协会公示!$V$2:$V$84,0)</f>
        <v>37</v>
      </c>
      <c r="N26" s="9" t="str">
        <f>INDEX(协会公示!$R$2:$R$84,$M26)</f>
        <v>https://gs.amac.org.cn/amac-infodisc/res/pof/manager/101000039347.html</v>
      </c>
    </row>
    <row r="27" ht="25" hidden="1" customHeight="1" spans="1:14">
      <c r="A27" s="9">
        <v>22</v>
      </c>
      <c r="B27" s="9" t="str">
        <f>IF(ISNUMBER(INDEX('Sheet2-计算明细'!$B$17:$B$99,$M27)),INDEX('Sheet2-计算明细'!$B$17:$B$99,$M27),IF(INDEX('Sheet2-计算明细'!$B$17:$B$99,$M27)="","",INDEX('Sheet2-计算明细'!$B$17:$B$99,$M27)))</f>
        <v>常行7号</v>
      </c>
      <c r="C27" s="9" t="str">
        <f>IF(ISNUMBER(INDEX('Sheet2-计算明细'!$C$17:$C$99,$M27)),INDEX('Sheet2-计算明细'!$C$17:$C$99,$M27),IF(INDEX('Sheet2-计算明细'!$C$17:$C$99,$M27)="","",INDEX('Sheet2-计算明细'!$C$17:$C$99,$M27)))</f>
        <v>SQH214</v>
      </c>
      <c r="D27" s="9" t="str">
        <f>IF(ISNUMBER(INDEX('Sheet2-计算明细'!$D$17:$D$99,$M27)),INDEX('Sheet2-计算明细'!$D$17:$D$99,$M27),IF(INDEX('Sheet2-计算明细'!$D$17:$D$99,$M27)="","",INDEX('Sheet2-计算明细'!$D$17:$D$99,$M27)))</f>
        <v>江苏常行投资</v>
      </c>
      <c r="E27" s="9" t="str">
        <f>IF(ISNUMBER(INDEX('Sheet2-计算明细'!$H$17:$H$99,$M27)),INDEX('Sheet2-计算明细'!$H$17:$H$99,$M27),IF(INDEX('Sheet2-计算明细'!$H$17:$H$99,$M27)="","",INDEX('Sheet2-计算明细'!$H$17:$H$99,$M27)))</f>
        <v>5-10亿元</v>
      </c>
      <c r="F27" s="13">
        <f>IF(ISNUMBER(INDEX('Sheet2-计算明细'!$AV$17:$AV$99,$M27)),INDEX('Sheet2-计算明细'!$AV$17:$AV$99,$M27),IF(INDEX('Sheet2-计算明细'!$AV$17:$AV$99,$M27)="","",INDEX('Sheet2-计算明细'!$AV$17:$AV$99,$M27)))</f>
        <v>73.23244</v>
      </c>
      <c r="G27" s="13">
        <f>IF(ISNUMBER(INDEX('Sheet2-计算明细'!$AS$17:$AS$99,$M27)),INDEX('Sheet2-计算明细'!$AS$17:$AS$99,$M27),IF(INDEX('Sheet2-计算明细'!$AS$17:$AS$99,$M27)="","",INDEX('Sheet2-计算明细'!$AS$17:$AS$99,$M27)))</f>
        <v>73.23</v>
      </c>
      <c r="H27" s="12">
        <f>IF(ISNUMBER(INDEX('Sheet2-计算明细'!$AQ$17:$AQ$99,$M27)),INDEX('Sheet2-计算明细'!$AQ$17:$AQ$99,$M27),IF(INDEX('Sheet2-计算明细'!$AQ$17:$AQ$99,$M27)="","",INDEX('Sheet2-计算明细'!$AQ$17:$AQ$99,$M27)))</f>
        <v>1</v>
      </c>
      <c r="I27" s="9" t="str">
        <f>INDEX(协会公示!$G$2:$G$84,$M27)</f>
        <v>本次公示未见相关提示</v>
      </c>
      <c r="J27" s="9" t="str">
        <f>IF(ISNUMBER(INDEX('Sheet2-计算明细'!$AU$17:$AU$99,$M27)),INDEX('Sheet2-计算明细'!$AU$17:$AU$99,$M27),IF(INDEX('Sheet2-计算明细'!$AU$17:$AU$99,$M27)="","",INDEX('Sheet2-计算明细'!$AU$17:$AU$99,$M27)))</f>
        <v/>
      </c>
      <c r="K27" s="9">
        <f>IF(ISNUMBER(INDEX('Sheet2-计算明细'!$AT$17:$AT$99,$M27)),INDEX('Sheet2-计算明细'!$AT$17:$AT$99,$M27),IF(INDEX('Sheet2-计算明细'!$AT$17:$AT$99,$M27)="","",INDEX('Sheet2-计算明细'!$AT$17:$AT$99,$M27)))</f>
        <v>26</v>
      </c>
      <c r="L27" s="9" t="str">
        <f>IF(ISNUMBER(INDEX('Sheet2-计算明细'!$G$17:$G$99,$M27)),INDEX('Sheet2-计算明细'!$G$17:$G$99,$M27),IF(INDEX('Sheet2-计算明细'!$G$17:$G$99,$M27)="","",INDEX('Sheet2-计算明细'!$G$17:$G$99,$M27)))</f>
        <v>入池</v>
      </c>
      <c r="M27" s="9">
        <f>MATCH(A27,协会公示!$V$2:$V$84,0)</f>
        <v>7</v>
      </c>
      <c r="N27" s="9" t="str">
        <f>INDEX(协会公示!$R$2:$R$84,$M27)</f>
        <v>https://gs.amac.org.cn/amac-infodisc/res/pof/manager/101000022360.html</v>
      </c>
    </row>
    <row r="28" ht="25" hidden="1" customHeight="1" spans="1:14">
      <c r="A28" s="9">
        <v>23</v>
      </c>
      <c r="B28" s="9" t="str">
        <f>IF(ISNUMBER(INDEX('Sheet2-计算明细'!$B$17:$B$99,$M28)),INDEX('Sheet2-计算明细'!$B$17:$B$99,$M28),IF(INDEX('Sheet2-计算明细'!$B$17:$B$99,$M28)="","",INDEX('Sheet2-计算明细'!$B$17:$B$99,$M28)))</f>
        <v>睿启鑫享1号</v>
      </c>
      <c r="C28" s="9" t="str">
        <f>IF(ISNUMBER(INDEX('Sheet2-计算明细'!$C$17:$C$99,$M28)),INDEX('Sheet2-计算明细'!$C$17:$C$99,$M28),IF(INDEX('Sheet2-计算明细'!$C$17:$C$99,$M28)="","",INDEX('Sheet2-计算明细'!$C$17:$C$99,$M28)))</f>
        <v>SAQD46</v>
      </c>
      <c r="D28" s="9" t="str">
        <f>IF(ISNUMBER(INDEX('Sheet2-计算明细'!$D$17:$D$99,$M28)),INDEX('Sheet2-计算明细'!$D$17:$D$99,$M28),IF(INDEX('Sheet2-计算明细'!$D$17:$D$99,$M28)="","",INDEX('Sheet2-计算明细'!$D$17:$D$99,$M28)))</f>
        <v>无锡睿启</v>
      </c>
      <c r="E28" s="9" t="str">
        <f>IF(ISNUMBER(INDEX('Sheet2-计算明细'!$H$17:$H$99,$M28)),INDEX('Sheet2-计算明细'!$H$17:$H$99,$M28),IF(INDEX('Sheet2-计算明细'!$H$17:$H$99,$M28)="","",INDEX('Sheet2-计算明细'!$H$17:$H$99,$M28)))</f>
        <v>5-10亿元</v>
      </c>
      <c r="F28" s="13" t="str">
        <f>IF(ISNUMBER(INDEX('Sheet2-计算明细'!$AV$17:$AV$99,$M28)),INDEX('Sheet2-计算明细'!$AV$17:$AV$99,$M28),IF(INDEX('Sheet2-计算明细'!$AV$17:$AV$99,$M28)="","",INDEX('Sheet2-计算明细'!$AV$17:$AV$99,$M28)))</f>
        <v/>
      </c>
      <c r="G28" s="13">
        <f>IF(ISNUMBER(INDEX('Sheet2-计算明细'!$AS$17:$AS$99,$M28)),INDEX('Sheet2-计算明细'!$AS$17:$AS$99,$M28),IF(INDEX('Sheet2-计算明细'!$AS$17:$AS$99,$M28)="","",INDEX('Sheet2-计算明细'!$AS$17:$AS$99,$M28)))</f>
        <v>72.35</v>
      </c>
      <c r="H28" s="12">
        <f>IF(ISNUMBER(INDEX('Sheet2-计算明细'!$AQ$17:$AQ$99,$M28)),INDEX('Sheet2-计算明细'!$AQ$17:$AQ$99,$M28),IF(INDEX('Sheet2-计算明细'!$AQ$17:$AQ$99,$M28)="","",INDEX('Sheet2-计算明细'!$AQ$17:$AQ$99,$M28)))</f>
        <v>0.856</v>
      </c>
      <c r="I28" s="9" t="str">
        <f>INDEX(协会公示!$G$2:$G$84,$M28)</f>
        <v>协会提示／已整改异常</v>
      </c>
      <c r="J28" s="9" t="str">
        <f>IF(ISNUMBER(INDEX('Sheet2-计算明细'!$AU$17:$AU$99,$M28)),INDEX('Sheet2-计算明细'!$AU$17:$AU$99,$M28),IF(INDEX('Sheet2-计算明细'!$AU$17:$AU$99,$M28)="","",INDEX('Sheet2-计算明细'!$AU$17:$AU$99,$M28)))</f>
        <v>近三年收益；近三年胜率；近三年回撤；DD_long不可识别；</v>
      </c>
      <c r="K28" s="9">
        <f>IF(ISNUMBER(INDEX('Sheet2-计算明细'!$AT$17:$AT$99,$M28)),INDEX('Sheet2-计算明细'!$AT$17:$AT$99,$M28),IF(INDEX('Sheet2-计算明细'!$AT$17:$AT$99,$M28)="","",INDEX('Sheet2-计算明细'!$AT$17:$AT$99,$M28)))</f>
        <v>27</v>
      </c>
      <c r="L28" s="9" t="str">
        <f>IF(ISNUMBER(INDEX('Sheet2-计算明细'!$G$17:$G$99,$M28)),INDEX('Sheet2-计算明细'!$G$17:$G$99,$M28),IF(INDEX('Sheet2-计算明细'!$G$17:$G$99,$M28)="","",INDEX('Sheet2-计算明细'!$G$17:$G$99,$M28)))</f>
        <v>入池</v>
      </c>
      <c r="M28" s="9">
        <f>MATCH(A28,协会公示!$V$2:$V$84,0)</f>
        <v>52</v>
      </c>
      <c r="N28" s="9" t="str">
        <f>INDEX(协会公示!$R$2:$R$84,$M28)</f>
        <v>https://gs.amac.org.cn/amac-infodisc/res/pof/manager/2302061359107599.html</v>
      </c>
    </row>
    <row r="29" ht="25" hidden="1" customHeight="1" spans="1:14">
      <c r="A29" s="9">
        <v>24</v>
      </c>
      <c r="B29" s="9" t="str">
        <f>IF(ISNUMBER(INDEX('Sheet2-计算明细'!$B$17:$B$99,$M29)),INDEX('Sheet2-计算明细'!$B$17:$B$99,$M29),IF(INDEX('Sheet2-计算明细'!$B$17:$B$99,$M29)="","",INDEX('Sheet2-计算明细'!$B$17:$B$99,$M29)))</f>
        <v>广联宏稳健2号</v>
      </c>
      <c r="C29" s="9" t="str">
        <f>IF(ISNUMBER(INDEX('Sheet2-计算明细'!$C$17:$C$99,$M29)),INDEX('Sheet2-计算明细'!$C$17:$C$99,$M29),IF(INDEX('Sheet2-计算明细'!$C$17:$C$99,$M29)="","",INDEX('Sheet2-计算明细'!$C$17:$C$99,$M29)))</f>
        <v>SATV20</v>
      </c>
      <c r="D29" s="9" t="str">
        <f>IF(ISNUMBER(INDEX('Sheet2-计算明细'!$D$17:$D$99,$M29)),INDEX('Sheet2-计算明细'!$D$17:$D$99,$M29),IF(INDEX('Sheet2-计算明细'!$D$17:$D$99,$M29)="","",INDEX('Sheet2-计算明细'!$D$17:$D$99,$M29)))</f>
        <v>海南广联宏</v>
      </c>
      <c r="E29" s="9" t="str">
        <f>IF(ISNUMBER(INDEX('Sheet2-计算明细'!$H$17:$H$99,$M29)),INDEX('Sheet2-计算明细'!$H$17:$H$99,$M29),IF(INDEX('Sheet2-计算明细'!$H$17:$H$99,$M29)="","",INDEX('Sheet2-计算明细'!$H$17:$H$99,$M29)))</f>
        <v>5-10亿元</v>
      </c>
      <c r="F29" s="13" t="str">
        <f>IF(ISNUMBER(INDEX('Sheet2-计算明细'!$AV$17:$AV$99,$M29)),INDEX('Sheet2-计算明细'!$AV$17:$AV$99,$M29),IF(INDEX('Sheet2-计算明细'!$AV$17:$AV$99,$M29)="","",INDEX('Sheet2-计算明细'!$AV$17:$AV$99,$M29)))</f>
        <v/>
      </c>
      <c r="G29" s="13">
        <f>IF(ISNUMBER(INDEX('Sheet2-计算明细'!$AS$17:$AS$99,$M29)),INDEX('Sheet2-计算明细'!$AS$17:$AS$99,$M29),IF(INDEX('Sheet2-计算明细'!$AS$17:$AS$99,$M29)="","",INDEX('Sheet2-计算明细'!$AS$17:$AS$99,$M29)))</f>
        <v>72.27</v>
      </c>
      <c r="H29" s="12">
        <f>IF(ISNUMBER(INDEX('Sheet2-计算明细'!$AQ$17:$AQ$99,$M29)),INDEX('Sheet2-计算明细'!$AQ$17:$AQ$99,$M29),IF(INDEX('Sheet2-计算明细'!$AQ$17:$AQ$99,$M29)="","",INDEX('Sheet2-计算明细'!$AQ$17:$AQ$99,$M29)))</f>
        <v>0.856</v>
      </c>
      <c r="I29" s="9" t="str">
        <f>INDEX(协会公示!$G$2:$G$84,$M29)</f>
        <v>协会提示／已整改异常</v>
      </c>
      <c r="J29" s="9" t="str">
        <f>IF(ISNUMBER(INDEX('Sheet2-计算明细'!$AU$17:$AU$99,$M29)),INDEX('Sheet2-计算明细'!$AU$17:$AU$99,$M29),IF(INDEX('Sheet2-计算明细'!$AU$17:$AU$99,$M29)="","",INDEX('Sheet2-计算明细'!$AU$17:$AU$99,$M29)))</f>
        <v>近三年收益；近三年胜率；近三年回撤；DD_long不可识别；</v>
      </c>
      <c r="K29" s="9">
        <f>IF(ISNUMBER(INDEX('Sheet2-计算明细'!$AT$17:$AT$99,$M29)),INDEX('Sheet2-计算明细'!$AT$17:$AT$99,$M29),IF(INDEX('Sheet2-计算明细'!$AT$17:$AT$99,$M29)="","",INDEX('Sheet2-计算明细'!$AT$17:$AT$99,$M29)))</f>
        <v>28</v>
      </c>
      <c r="L29" s="9" t="str">
        <f>IF(ISNUMBER(INDEX('Sheet2-计算明细'!$G$17:$G$99,$M29)),INDEX('Sheet2-计算明细'!$G$17:$G$99,$M29),IF(INDEX('Sheet2-计算明细'!$G$17:$G$99,$M29)="","",INDEX('Sheet2-计算明细'!$G$17:$G$99,$M29)))</f>
        <v>入池</v>
      </c>
      <c r="M29" s="9">
        <f>MATCH(A29,协会公示!$V$2:$V$84,0)</f>
        <v>18</v>
      </c>
      <c r="N29" s="9" t="str">
        <f>INDEX(协会公示!$R$2:$R$84,$M29)</f>
        <v>https://gs.amac.org.cn/amac-infodisc/res/pof/manager/2109061042100364.html</v>
      </c>
    </row>
    <row r="30" ht="25" hidden="1" customHeight="1" spans="1:14">
      <c r="A30" s="9">
        <v>25</v>
      </c>
      <c r="B30" s="9" t="str">
        <f>IF(ISNUMBER(INDEX('Sheet2-计算明细'!$B$17:$B$99,$M30)),INDEX('Sheet2-计算明细'!$B$17:$B$99,$M30),IF(INDEX('Sheet2-计算明细'!$B$17:$B$99,$M30)="","",INDEX('Sheet2-计算明细'!$B$17:$B$99,$M30)))</f>
        <v>辰元优选稳健</v>
      </c>
      <c r="C30" s="9" t="str">
        <f>IF(ISNUMBER(INDEX('Sheet2-计算明细'!$C$17:$C$99,$M30)),INDEX('Sheet2-计算明细'!$C$17:$C$99,$M30),IF(INDEX('Sheet2-计算明细'!$C$17:$C$99,$M30)="","",INDEX('Sheet2-计算明细'!$C$17:$C$99,$M30)))</f>
        <v>SZH690</v>
      </c>
      <c r="D30" s="9" t="str">
        <f>IF(ISNUMBER(INDEX('Sheet2-计算明细'!$D$17:$D$99,$M30)),INDEX('Sheet2-计算明细'!$D$17:$D$99,$M30),IF(INDEX('Sheet2-计算明细'!$D$17:$D$99,$M30)="","",INDEX('Sheet2-计算明细'!$D$17:$D$99,$M30)))</f>
        <v>广东辰元</v>
      </c>
      <c r="E30" s="9" t="str">
        <f>IF(ISNUMBER(INDEX('Sheet2-计算明细'!$H$17:$H$99,$M30)),INDEX('Sheet2-计算明细'!$H$17:$H$99,$M30),IF(INDEX('Sheet2-计算明细'!$H$17:$H$99,$M30)="","",INDEX('Sheet2-计算明细'!$H$17:$H$99,$M30)))</f>
        <v>20-50亿元</v>
      </c>
      <c r="F30" s="13" t="str">
        <f>IF(ISNUMBER(INDEX('Sheet2-计算明细'!$AV$17:$AV$99,$M30)),INDEX('Sheet2-计算明细'!$AV$17:$AV$99,$M30),IF(INDEX('Sheet2-计算明细'!$AV$17:$AV$99,$M30)="","",INDEX('Sheet2-计算明细'!$AV$17:$AV$99,$M30)))</f>
        <v/>
      </c>
      <c r="G30" s="13">
        <f>IF(ISNUMBER(INDEX('Sheet2-计算明细'!$AS$17:$AS$99,$M30)),INDEX('Sheet2-计算明细'!$AS$17:$AS$99,$M30),IF(INDEX('Sheet2-计算明细'!$AS$17:$AS$99,$M30)="","",INDEX('Sheet2-计算明细'!$AS$17:$AS$99,$M30)))</f>
        <v>70.19</v>
      </c>
      <c r="H30" s="12">
        <f>IF(ISNUMBER(INDEX('Sheet2-计算明细'!$AQ$17:$AQ$99,$M30)),INDEX('Sheet2-计算明细'!$AQ$17:$AQ$99,$M30),IF(INDEX('Sheet2-计算明细'!$AQ$17:$AQ$99,$M30)="","",INDEX('Sheet2-计算明细'!$AQ$17:$AQ$99,$M30)))</f>
        <v>0.88</v>
      </c>
      <c r="I30" s="9" t="str">
        <f>INDEX(协会公示!$G$2:$G$84,$M30)</f>
        <v>本次公示未见相关提示</v>
      </c>
      <c r="J30" s="9" t="str">
        <f>IF(ISNUMBER(INDEX('Sheet2-计算明细'!$AU$17:$AU$99,$M30)),INDEX('Sheet2-计算明细'!$AU$17:$AU$99,$M30),IF(INDEX('Sheet2-计算明细'!$AU$17:$AU$99,$M30)="","",INDEX('Sheet2-计算明细'!$AU$17:$AU$99,$M30)))</f>
        <v>DD_long不可识别；</v>
      </c>
      <c r="K30" s="9">
        <f>IF(ISNUMBER(INDEX('Sheet2-计算明细'!$AT$17:$AT$99,$M30)),INDEX('Sheet2-计算明细'!$AT$17:$AT$99,$M30),IF(INDEX('Sheet2-计算明细'!$AT$17:$AT$99,$M30)="","",INDEX('Sheet2-计算明细'!$AT$17:$AT$99,$M30)))</f>
        <v>30</v>
      </c>
      <c r="L30" s="9" t="str">
        <f>IF(ISNUMBER(INDEX('Sheet2-计算明细'!$G$17:$G$99,$M30)),INDEX('Sheet2-计算明细'!$G$17:$G$99,$M30),IF(INDEX('Sheet2-计算明细'!$G$17:$G$99,$M30)="","",INDEX('Sheet2-计算明细'!$G$17:$G$99,$M30)))</f>
        <v>入池</v>
      </c>
      <c r="M30" s="9">
        <f>MATCH(A30,协会公示!$V$2:$V$84,0)</f>
        <v>9</v>
      </c>
      <c r="N30" s="9" t="str">
        <f>INDEX(协会公示!$R$2:$R$84,$M30)</f>
        <v>https://gs.amac.org.cn/amac-infodisc/res/pof/manager/2209261520106658.html</v>
      </c>
    </row>
    <row r="31" ht="25" hidden="1" customHeight="1" spans="1:14">
      <c r="A31" s="9">
        <v>26</v>
      </c>
      <c r="B31" s="9" t="str">
        <f>IF(ISNUMBER(INDEX('Sheet2-计算明细'!$B$17:$B$99,$M31)),INDEX('Sheet2-计算明细'!$B$17:$B$99,$M31),IF(INDEX('Sheet2-计算明细'!$B$17:$B$99,$M31)="","",INDEX('Sheet2-计算明细'!$B$17:$B$99,$M31)))</f>
        <v>殊馥兴义7号</v>
      </c>
      <c r="C31" s="9" t="str">
        <f>IF(ISNUMBER(INDEX('Sheet2-计算明细'!$C$17:$C$99,$M31)),INDEX('Sheet2-计算明细'!$C$17:$C$99,$M31),IF(INDEX('Sheet2-计算明细'!$C$17:$C$99,$M31)="","",INDEX('Sheet2-计算明细'!$C$17:$C$99,$M31)))</f>
        <v>SXT610</v>
      </c>
      <c r="D31" s="9" t="str">
        <f>IF(ISNUMBER(INDEX('Sheet2-计算明细'!$D$17:$D$99,$M31)),INDEX('Sheet2-计算明细'!$D$17:$D$99,$M31),IF(INDEX('Sheet2-计算明细'!$D$17:$D$99,$M31)="","",INDEX('Sheet2-计算明细'!$D$17:$D$99,$M31)))</f>
        <v>上海殊馥投资</v>
      </c>
      <c r="E31" s="9" t="str">
        <f>IF(ISNUMBER(INDEX('Sheet2-计算明细'!$H$17:$H$99,$M31)),INDEX('Sheet2-计算明细'!$H$17:$H$99,$M31),IF(INDEX('Sheet2-计算明细'!$H$17:$H$99,$M31)="","",INDEX('Sheet2-计算明细'!$H$17:$H$99,$M31)))</f>
        <v>10-20亿元</v>
      </c>
      <c r="F31" s="13" t="str">
        <f>IF(ISNUMBER(INDEX('Sheet2-计算明细'!$AV$17:$AV$99,$M31)),INDEX('Sheet2-计算明细'!$AV$17:$AV$99,$M31),IF(INDEX('Sheet2-计算明细'!$AV$17:$AV$99,$M31)="","",INDEX('Sheet2-计算明细'!$AV$17:$AV$99,$M31)))</f>
        <v/>
      </c>
      <c r="G31" s="13">
        <f>IF(ISNUMBER(INDEX('Sheet2-计算明细'!$AS$17:$AS$99,$M31)),INDEX('Sheet2-计算明细'!$AS$17:$AS$99,$M31),IF(INDEX('Sheet2-计算明细'!$AS$17:$AS$99,$M31)="","",INDEX('Sheet2-计算明细'!$AS$17:$AS$99,$M31)))</f>
        <v>70.05</v>
      </c>
      <c r="H31" s="12">
        <f>IF(ISNUMBER(INDEX('Sheet2-计算明细'!$AQ$17:$AQ$99,$M31)),INDEX('Sheet2-计算明细'!$AQ$17:$AQ$99,$M31),IF(INDEX('Sheet2-计算明细'!$AQ$17:$AQ$99,$M31)="","",INDEX('Sheet2-计算明细'!$AQ$17:$AQ$99,$M31)))</f>
        <v>0.88</v>
      </c>
      <c r="I31" s="9" t="str">
        <f>INDEX(协会公示!$G$2:$G$84,$M31)</f>
        <v>历史监管责令改正</v>
      </c>
      <c r="J31" s="9" t="str">
        <f>IF(ISNUMBER(INDEX('Sheet2-计算明细'!$AU$17:$AU$99,$M31)),INDEX('Sheet2-计算明细'!$AU$17:$AU$99,$M31),IF(INDEX('Sheet2-计算明细'!$AU$17:$AU$99,$M31)="","",INDEX('Sheet2-计算明细'!$AU$17:$AU$99,$M31)))</f>
        <v>DD_long不可识别；</v>
      </c>
      <c r="K31" s="9">
        <f>IF(ISNUMBER(INDEX('Sheet2-计算明细'!$AT$17:$AT$99,$M31)),INDEX('Sheet2-计算明细'!$AT$17:$AT$99,$M31),IF(INDEX('Sheet2-计算明细'!$AT$17:$AT$99,$M31)="","",INDEX('Sheet2-计算明细'!$AT$17:$AT$99,$M31)))</f>
        <v>31</v>
      </c>
      <c r="L31" s="9" t="str">
        <f>IF(ISNUMBER(INDEX('Sheet2-计算明细'!$G$17:$G$99,$M31)),INDEX('Sheet2-计算明细'!$G$17:$G$99,$M31),IF(INDEX('Sheet2-计算明细'!$G$17:$G$99,$M31)="","",INDEX('Sheet2-计算明细'!$G$17:$G$99,$M31)))</f>
        <v>入池</v>
      </c>
      <c r="M31" s="9">
        <f>MATCH(A31,协会公示!$V$2:$V$84,0)</f>
        <v>62</v>
      </c>
      <c r="N31" s="9" t="str">
        <f>INDEX(协会公示!$R$2:$R$84,$M31)</f>
        <v>https://gs.amac.org.cn/amac-infodisc/res/pof/manager/101000042776.html</v>
      </c>
    </row>
    <row r="32" ht="25" hidden="1" customHeight="1" spans="1:14">
      <c r="A32" s="9">
        <v>27</v>
      </c>
      <c r="B32" s="9" t="str">
        <f>IF(ISNUMBER(INDEX('Sheet2-计算明细'!$B$17:$B$99,$M32)),INDEX('Sheet2-计算明细'!$B$17:$B$99,$M32),IF(INDEX('Sheet2-计算明细'!$B$17:$B$99,$M32)="","",INDEX('Sheet2-计算明细'!$B$17:$B$99,$M32)))</f>
        <v>平凡悟鑫</v>
      </c>
      <c r="C32" s="9" t="str">
        <f>IF(ISNUMBER(INDEX('Sheet2-计算明细'!$C$17:$C$99,$M32)),INDEX('Sheet2-计算明细'!$C$17:$C$99,$M32),IF(INDEX('Sheet2-计算明细'!$C$17:$C$99,$M32)="","",INDEX('Sheet2-计算明细'!$C$17:$C$99,$M32)))</f>
        <v>SJ2870</v>
      </c>
      <c r="D32" s="9" t="str">
        <f>IF(ISNUMBER(INDEX('Sheet2-计算明细'!$D$17:$D$99,$M32)),INDEX('Sheet2-计算明细'!$D$17:$D$99,$M32),IF(INDEX('Sheet2-计算明细'!$D$17:$D$99,$M32)="","",INDEX('Sheet2-计算明细'!$D$17:$D$99,$M32)))</f>
        <v>北京平凡</v>
      </c>
      <c r="E32" s="9" t="str">
        <f>IF(ISNUMBER(INDEX('Sheet2-计算明细'!$H$17:$H$99,$M32)),INDEX('Sheet2-计算明细'!$H$17:$H$99,$M32),IF(INDEX('Sheet2-计算明细'!$H$17:$H$99,$M32)="","",INDEX('Sheet2-计算明细'!$H$17:$H$99,$M32)))</f>
        <v>50-100亿元</v>
      </c>
      <c r="F32" s="13" t="str">
        <f>IF(ISNUMBER(INDEX('Sheet2-计算明细'!$AV$17:$AV$99,$M32)),INDEX('Sheet2-计算明细'!$AV$17:$AV$99,$M32),IF(INDEX('Sheet2-计算明细'!$AV$17:$AV$99,$M32)="","",INDEX('Sheet2-计算明细'!$AV$17:$AV$99,$M32)))</f>
        <v/>
      </c>
      <c r="G32" s="13">
        <f>IF(ISNUMBER(INDEX('Sheet2-计算明细'!$AS$17:$AS$99,$M32)),INDEX('Sheet2-计算明细'!$AS$17:$AS$99,$M32),IF(INDEX('Sheet2-计算明细'!$AS$17:$AS$99,$M32)="","",INDEX('Sheet2-计算明细'!$AS$17:$AS$99,$M32)))</f>
        <v>69.72</v>
      </c>
      <c r="H32" s="12">
        <f>IF(ISNUMBER(INDEX('Sheet2-计算明细'!$AQ$17:$AQ$99,$M32)),INDEX('Sheet2-计算明细'!$AQ$17:$AQ$99,$M32),IF(INDEX('Sheet2-计算明细'!$AQ$17:$AQ$99,$M32)="","",INDEX('Sheet2-计算明细'!$AQ$17:$AQ$99,$M32)))</f>
        <v>0.88</v>
      </c>
      <c r="I32" s="9" t="str">
        <f>INDEX(协会公示!$G$2:$G$84,$M32)</f>
        <v>本次公示未见相关提示</v>
      </c>
      <c r="J32" s="9" t="str">
        <f>IF(ISNUMBER(INDEX('Sheet2-计算明细'!$AU$17:$AU$99,$M32)),INDEX('Sheet2-计算明细'!$AU$17:$AU$99,$M32),IF(INDEX('Sheet2-计算明细'!$AU$17:$AU$99,$M32)="","",INDEX('Sheet2-计算明细'!$AU$17:$AU$99,$M32)))</f>
        <v>DD_long不可识别；</v>
      </c>
      <c r="K32" s="9">
        <f>IF(ISNUMBER(INDEX('Sheet2-计算明细'!$AT$17:$AT$99,$M32)),INDEX('Sheet2-计算明细'!$AT$17:$AT$99,$M32),IF(INDEX('Sheet2-计算明细'!$AT$17:$AT$99,$M32)="","",INDEX('Sheet2-计算明细'!$AT$17:$AT$99,$M32)))</f>
        <v>33</v>
      </c>
      <c r="L32" s="9" t="str">
        <f>IF(ISNUMBER(INDEX('Sheet2-计算明细'!$G$17:$G$99,$M32)),INDEX('Sheet2-计算明细'!$G$17:$G$99,$M32),IF(INDEX('Sheet2-计算明细'!$G$17:$G$99,$M32)="","",INDEX('Sheet2-计算明细'!$G$17:$G$99,$M32)))</f>
        <v>入池</v>
      </c>
      <c r="M32" s="9">
        <f>MATCH(A32,协会公示!$V$2:$V$84,0)</f>
        <v>48</v>
      </c>
      <c r="N32" s="9" t="str">
        <f>INDEX(协会公示!$R$2:$R$84,$M32)</f>
        <v>https://gs.amac.org.cn/amac-infodisc/res/pof/manager/101000030286.html</v>
      </c>
    </row>
    <row r="33" ht="25" hidden="1" customHeight="1" spans="1:14">
      <c r="A33" s="9">
        <v>28</v>
      </c>
      <c r="B33" s="9" t="str">
        <f>IF(ISNUMBER(INDEX('Sheet2-计算明细'!$B$17:$B$99,$M33)),INDEX('Sheet2-计算明细'!$B$17:$B$99,$M33),IF(INDEX('Sheet2-计算明细'!$B$17:$B$99,$M33)="","",INDEX('Sheet2-计算明细'!$B$17:$B$99,$M33)))</f>
        <v>博润小牛3号</v>
      </c>
      <c r="C33" s="9" t="str">
        <f>IF(ISNUMBER(INDEX('Sheet2-计算明细'!$C$17:$C$99,$M33)),INDEX('Sheet2-计算明细'!$C$17:$C$99,$M33),IF(INDEX('Sheet2-计算明细'!$C$17:$C$99,$M33)="","",INDEX('Sheet2-计算明细'!$C$17:$C$99,$M33)))</f>
        <v>STV728</v>
      </c>
      <c r="D33" s="9" t="str">
        <f>IF(ISNUMBER(INDEX('Sheet2-计算明细'!$D$17:$D$99,$M33)),INDEX('Sheet2-计算明细'!$D$17:$D$99,$M33),IF(INDEX('Sheet2-计算明细'!$D$17:$D$99,$M33)="","",INDEX('Sheet2-计算明细'!$D$17:$D$99,$M33)))</f>
        <v>北京博润银泰投资</v>
      </c>
      <c r="E33" s="9" t="str">
        <f>IF(ISNUMBER(INDEX('Sheet2-计算明细'!$H$17:$H$99,$M33)),INDEX('Sheet2-计算明细'!$H$17:$H$99,$M33),IF(INDEX('Sheet2-计算明细'!$H$17:$H$99,$M33)="","",INDEX('Sheet2-计算明细'!$H$17:$H$99,$M33)))</f>
        <v>100亿元以上</v>
      </c>
      <c r="F33" s="13">
        <f>IF(ISNUMBER(INDEX('Sheet2-计算明细'!$AV$17:$AV$99,$M33)),INDEX('Sheet2-计算明细'!$AV$17:$AV$99,$M33),IF(INDEX('Sheet2-计算明细'!$AV$17:$AV$99,$M33)="","",INDEX('Sheet2-计算明细'!$AV$17:$AV$99,$M33)))</f>
        <v>69.56538</v>
      </c>
      <c r="G33" s="13">
        <f>IF(ISNUMBER(INDEX('Sheet2-计算明细'!$AS$17:$AS$99,$M33)),INDEX('Sheet2-计算明细'!$AS$17:$AS$99,$M33),IF(INDEX('Sheet2-计算明细'!$AS$17:$AS$99,$M33)="","",INDEX('Sheet2-计算明细'!$AS$17:$AS$99,$M33)))</f>
        <v>69.57</v>
      </c>
      <c r="H33" s="12">
        <f>IF(ISNUMBER(INDEX('Sheet2-计算明细'!$AQ$17:$AQ$99,$M33)),INDEX('Sheet2-计算明细'!$AQ$17:$AQ$99,$M33),IF(INDEX('Sheet2-计算明细'!$AQ$17:$AQ$99,$M33)="","",INDEX('Sheet2-计算明细'!$AQ$17:$AQ$99,$M33)))</f>
        <v>1</v>
      </c>
      <c r="I33" s="9" t="str">
        <f>INDEX(协会公示!$G$2:$G$84,$M33)</f>
        <v>本次公示未见相关提示</v>
      </c>
      <c r="J33" s="9" t="str">
        <f>IF(ISNUMBER(INDEX('Sheet2-计算明细'!$AU$17:$AU$99,$M33)),INDEX('Sheet2-计算明细'!$AU$17:$AU$99,$M33),IF(INDEX('Sheet2-计算明细'!$AU$17:$AU$99,$M33)="","",INDEX('Sheet2-计算明细'!$AU$17:$AU$99,$M33)))</f>
        <v/>
      </c>
      <c r="K33" s="9">
        <f>IF(ISNUMBER(INDEX('Sheet2-计算明细'!$AT$17:$AT$99,$M33)),INDEX('Sheet2-计算明细'!$AT$17:$AT$99,$M33),IF(INDEX('Sheet2-计算明细'!$AT$17:$AT$99,$M33)="","",INDEX('Sheet2-计算明细'!$AT$17:$AT$99,$M33)))</f>
        <v>34</v>
      </c>
      <c r="L33" s="9" t="str">
        <f>IF(ISNUMBER(INDEX('Sheet2-计算明细'!$G$17:$G$99,$M33)),INDEX('Sheet2-计算明细'!$G$17:$G$99,$M33),IF(INDEX('Sheet2-计算明细'!$G$17:$G$99,$M33)="","",INDEX('Sheet2-计算明细'!$G$17:$G$99,$M33)))</f>
        <v>入池</v>
      </c>
      <c r="M33" s="9">
        <f>MATCH(A33,协会公示!$V$2:$V$84,0)</f>
        <v>4</v>
      </c>
      <c r="N33" s="9" t="str">
        <f>INDEX(协会公示!$R$2:$R$84,$M33)</f>
        <v>https://gs.amac.org.cn/amac-infodisc/res/pof/manager/101000005082.html</v>
      </c>
    </row>
    <row r="34" ht="25" hidden="1" customHeight="1" spans="1:14">
      <c r="A34" s="9">
        <v>29</v>
      </c>
      <c r="B34" s="9" t="str">
        <f>IF(ISNUMBER(INDEX('Sheet2-计算明细'!$B$17:$B$99,$M34)),INDEX('Sheet2-计算明细'!$B$17:$B$99,$M34),IF(INDEX('Sheet2-计算明细'!$B$17:$B$99,$M34)="","",INDEX('Sheet2-计算明细'!$B$17:$B$99,$M34)))</f>
        <v>慕途商品套利1号</v>
      </c>
      <c r="C34" s="9" t="str">
        <f>IF(ISNUMBER(INDEX('Sheet2-计算明细'!$C$17:$C$99,$M34)),INDEX('Sheet2-计算明细'!$C$17:$C$99,$M34),IF(INDEX('Sheet2-计算明细'!$C$17:$C$99,$M34)="","",INDEX('Sheet2-计算明细'!$C$17:$C$99,$M34)))</f>
        <v>SAHX36</v>
      </c>
      <c r="D34" s="9" t="str">
        <f>IF(ISNUMBER(INDEX('Sheet2-计算明细'!$D$17:$D$99,$M34)),INDEX('Sheet2-计算明细'!$D$17:$D$99,$M34),IF(INDEX('Sheet2-计算明细'!$D$17:$D$99,$M34)="","",INDEX('Sheet2-计算明细'!$D$17:$D$99,$M34)))</f>
        <v>慕途基金</v>
      </c>
      <c r="E34" s="9" t="str">
        <f>IF(ISNUMBER(INDEX('Sheet2-计算明细'!$H$17:$H$99,$M34)),INDEX('Sheet2-计算明细'!$H$17:$H$99,$M34),IF(INDEX('Sheet2-计算明细'!$H$17:$H$99,$M34)="","",INDEX('Sheet2-计算明细'!$H$17:$H$99,$M34)))</f>
        <v>10-20亿元</v>
      </c>
      <c r="F34" s="13" t="str">
        <f>IF(ISNUMBER(INDEX('Sheet2-计算明细'!$AV$17:$AV$99,$M34)),INDEX('Sheet2-计算明细'!$AV$17:$AV$99,$M34),IF(INDEX('Sheet2-计算明细'!$AV$17:$AV$99,$M34)="","",INDEX('Sheet2-计算明细'!$AV$17:$AV$99,$M34)))</f>
        <v/>
      </c>
      <c r="G34" s="13">
        <f>IF(ISNUMBER(INDEX('Sheet2-计算明细'!$AS$17:$AS$99,$M34)),INDEX('Sheet2-计算明细'!$AS$17:$AS$99,$M34),IF(INDEX('Sheet2-计算明细'!$AS$17:$AS$99,$M34)="","",INDEX('Sheet2-计算明细'!$AS$17:$AS$99,$M34)))</f>
        <v>69.19</v>
      </c>
      <c r="H34" s="12">
        <f>IF(ISNUMBER(INDEX('Sheet2-计算明细'!$AQ$17:$AQ$99,$M34)),INDEX('Sheet2-计算明细'!$AQ$17:$AQ$99,$M34),IF(INDEX('Sheet2-计算明细'!$AQ$17:$AQ$99,$M34)="","",INDEX('Sheet2-计算明细'!$AQ$17:$AQ$99,$M34)))</f>
        <v>0.856</v>
      </c>
      <c r="I34" s="9" t="str">
        <f>INDEX(协会公示!$G$2:$G$84,$M34)</f>
        <v>本次公示未见相关提示</v>
      </c>
      <c r="J34" s="9" t="str">
        <f>IF(ISNUMBER(INDEX('Sheet2-计算明细'!$AU$17:$AU$99,$M34)),INDEX('Sheet2-计算明细'!$AU$17:$AU$99,$M34),IF(INDEX('Sheet2-计算明细'!$AU$17:$AU$99,$M34)="","",INDEX('Sheet2-计算明细'!$AU$17:$AU$99,$M34)))</f>
        <v>近三年收益；近三年胜率；近三年回撤；DD_long不可识别；</v>
      </c>
      <c r="K34" s="9">
        <f>IF(ISNUMBER(INDEX('Sheet2-计算明细'!$AT$17:$AT$99,$M34)),INDEX('Sheet2-计算明细'!$AT$17:$AT$99,$M34),IF(INDEX('Sheet2-计算明细'!$AT$17:$AT$99,$M34)="","",INDEX('Sheet2-计算明细'!$AT$17:$AT$99,$M34)))</f>
        <v>35</v>
      </c>
      <c r="L34" s="9" t="str">
        <f>IF(ISNUMBER(INDEX('Sheet2-计算明细'!$G$17:$G$99,$M34)),INDEX('Sheet2-计算明细'!$G$17:$G$99,$M34),IF(INDEX('Sheet2-计算明细'!$G$17:$G$99,$M34)="","",INDEX('Sheet2-计算明细'!$G$17:$G$99,$M34)))</f>
        <v>入池</v>
      </c>
      <c r="M34" s="9">
        <f>MATCH(A34,协会公示!$V$2:$V$84,0)</f>
        <v>42</v>
      </c>
      <c r="N34" s="9" t="str">
        <f>INDEX(协会公示!$R$2:$R$84,$M34)</f>
        <v>https://gs.amac.org.cn/amac-infodisc/res/pof/manager/2106221238106983.html</v>
      </c>
    </row>
    <row r="35" ht="25" hidden="1" customHeight="1" spans="1:14">
      <c r="A35" s="9">
        <v>30</v>
      </c>
      <c r="B35" s="9" t="str">
        <f>IF(ISNUMBER(INDEX('Sheet2-计算明细'!$B$17:$B$99,$M35)),INDEX('Sheet2-计算明细'!$B$17:$B$99,$M35),IF(INDEX('Sheet2-计算明细'!$B$17:$B$99,$M35)="","",INDEX('Sheet2-计算明细'!$B$17:$B$99,$M35)))</f>
        <v>辰元稳健2号</v>
      </c>
      <c r="C35" s="9" t="str">
        <f>IF(ISNUMBER(INDEX('Sheet2-计算明细'!$C$17:$C$99,$M35)),INDEX('Sheet2-计算明细'!$C$17:$C$99,$M35),IF(INDEX('Sheet2-计算明细'!$C$17:$C$99,$M35)="","",INDEX('Sheet2-计算明细'!$C$17:$C$99,$M35)))</f>
        <v>SZJ724</v>
      </c>
      <c r="D35" s="9" t="str">
        <f>IF(ISNUMBER(INDEX('Sheet2-计算明细'!$D$17:$D$99,$M35)),INDEX('Sheet2-计算明细'!$D$17:$D$99,$M35),IF(INDEX('Sheet2-计算明细'!$D$17:$D$99,$M35)="","",INDEX('Sheet2-计算明细'!$D$17:$D$99,$M35)))</f>
        <v>广东辰元</v>
      </c>
      <c r="E35" s="9" t="str">
        <f>IF(ISNUMBER(INDEX('Sheet2-计算明细'!$H$17:$H$99,$M35)),INDEX('Sheet2-计算明细'!$H$17:$H$99,$M35),IF(INDEX('Sheet2-计算明细'!$H$17:$H$99,$M35)="","",INDEX('Sheet2-计算明细'!$H$17:$H$99,$M35)))</f>
        <v>20-50亿元</v>
      </c>
      <c r="F35" s="13">
        <f>IF(ISNUMBER(INDEX('Sheet2-计算明细'!$AV$17:$AV$99,$M35)),INDEX('Sheet2-计算明细'!$AV$17:$AV$99,$M35),IF(INDEX('Sheet2-计算明细'!$AV$17:$AV$99,$M35)="","",INDEX('Sheet2-计算明细'!$AV$17:$AV$99,$M35)))</f>
        <v>67.06428</v>
      </c>
      <c r="G35" s="13">
        <f>IF(ISNUMBER(INDEX('Sheet2-计算明细'!$AS$17:$AS$99,$M35)),INDEX('Sheet2-计算明细'!$AS$17:$AS$99,$M35),IF(INDEX('Sheet2-计算明细'!$AS$17:$AS$99,$M35)="","",INDEX('Sheet2-计算明细'!$AS$17:$AS$99,$M35)))</f>
        <v>67.06</v>
      </c>
      <c r="H35" s="12">
        <f>IF(ISNUMBER(INDEX('Sheet2-计算明细'!$AQ$17:$AQ$99,$M35)),INDEX('Sheet2-计算明细'!$AQ$17:$AQ$99,$M35),IF(INDEX('Sheet2-计算明细'!$AQ$17:$AQ$99,$M35)="","",INDEX('Sheet2-计算明细'!$AQ$17:$AQ$99,$M35)))</f>
        <v>1</v>
      </c>
      <c r="I35" s="9" t="str">
        <f>INDEX(协会公示!$G$2:$G$84,$M35)</f>
        <v>本次公示未见相关提示</v>
      </c>
      <c r="J35" s="9" t="str">
        <f>IF(ISNUMBER(INDEX('Sheet2-计算明细'!$AU$17:$AU$99,$M35)),INDEX('Sheet2-计算明细'!$AU$17:$AU$99,$M35),IF(INDEX('Sheet2-计算明细'!$AU$17:$AU$99,$M35)="","",INDEX('Sheet2-计算明细'!$AU$17:$AU$99,$M35)))</f>
        <v/>
      </c>
      <c r="K35" s="9">
        <f>IF(ISNUMBER(INDEX('Sheet2-计算明细'!$AT$17:$AT$99,$M35)),INDEX('Sheet2-计算明细'!$AT$17:$AT$99,$M35),IF(INDEX('Sheet2-计算明细'!$AT$17:$AT$99,$M35)="","",INDEX('Sheet2-计算明细'!$AT$17:$AT$99,$M35)))</f>
        <v>36</v>
      </c>
      <c r="L35" s="9" t="str">
        <f>IF(ISNUMBER(INDEX('Sheet2-计算明细'!$G$17:$G$99,$M35)),INDEX('Sheet2-计算明细'!$G$17:$G$99,$M35),IF(INDEX('Sheet2-计算明细'!$G$17:$G$99,$M35)="","",INDEX('Sheet2-计算明细'!$G$17:$G$99,$M35)))</f>
        <v>入池</v>
      </c>
      <c r="M35" s="9">
        <f>MATCH(A35,协会公示!$V$2:$V$84,0)</f>
        <v>8</v>
      </c>
      <c r="N35" s="9" t="str">
        <f>INDEX(协会公示!$R$2:$R$84,$M35)</f>
        <v>https://gs.amac.org.cn/amac-infodisc/res/pof/manager/2209261520106658.html</v>
      </c>
    </row>
    <row r="36" ht="25" hidden="1" customHeight="1" spans="1:14">
      <c r="A36" s="9">
        <v>31</v>
      </c>
      <c r="B36" s="9" t="str">
        <f>IF(ISNUMBER(INDEX('Sheet2-计算明细'!$B$17:$B$99,$M36)),INDEX('Sheet2-计算明细'!$B$17:$B$99,$M36),IF(INDEX('Sheet2-计算明细'!$B$17:$B$99,$M36)="","",INDEX('Sheet2-计算明细'!$B$17:$B$99,$M36)))</f>
        <v>龙帆恒盛稳固9号</v>
      </c>
      <c r="C36" s="9" t="str">
        <f>IF(ISNUMBER(INDEX('Sheet2-计算明细'!$C$17:$C$99,$M36)),INDEX('Sheet2-计算明细'!$C$17:$C$99,$M36),IF(INDEX('Sheet2-计算明细'!$C$17:$C$99,$M36)="","",INDEX('Sheet2-计算明细'!$C$17:$C$99,$M36)))</f>
        <v>SSX605</v>
      </c>
      <c r="D36" s="9" t="str">
        <f>IF(ISNUMBER(INDEX('Sheet2-计算明细'!$D$17:$D$99,$M36)),INDEX('Sheet2-计算明细'!$D$17:$D$99,$M36),IF(INDEX('Sheet2-计算明细'!$D$17:$D$99,$M36)="","",INDEX('Sheet2-计算明细'!$D$17:$D$99,$M36)))</f>
        <v>厦门龙帆资管</v>
      </c>
      <c r="E36" s="9" t="str">
        <f>IF(ISNUMBER(INDEX('Sheet2-计算明细'!$H$17:$H$99,$M36)),INDEX('Sheet2-计算明细'!$H$17:$H$99,$M36),IF(INDEX('Sheet2-计算明细'!$H$17:$H$99,$M36)="","",INDEX('Sheet2-计算明细'!$H$17:$H$99,$M36)))</f>
        <v>5-10亿元</v>
      </c>
      <c r="F36" s="13">
        <f>IF(ISNUMBER(INDEX('Sheet2-计算明细'!$AV$17:$AV$99,$M36)),INDEX('Sheet2-计算明细'!$AV$17:$AV$99,$M36),IF(INDEX('Sheet2-计算明细'!$AV$17:$AV$99,$M36)="","",INDEX('Sheet2-计算明细'!$AV$17:$AV$99,$M36)))</f>
        <v>65.23115</v>
      </c>
      <c r="G36" s="13">
        <f>IF(ISNUMBER(INDEX('Sheet2-计算明细'!$AS$17:$AS$99,$M36)),INDEX('Sheet2-计算明细'!$AS$17:$AS$99,$M36),IF(INDEX('Sheet2-计算明细'!$AS$17:$AS$99,$M36)="","",INDEX('Sheet2-计算明细'!$AS$17:$AS$99,$M36)))</f>
        <v>65.23</v>
      </c>
      <c r="H36" s="12">
        <f>IF(ISNUMBER(INDEX('Sheet2-计算明细'!$AQ$17:$AQ$99,$M36)),INDEX('Sheet2-计算明细'!$AQ$17:$AQ$99,$M36),IF(INDEX('Sheet2-计算明细'!$AQ$17:$AQ$99,$M36)="","",INDEX('Sheet2-计算明细'!$AQ$17:$AQ$99,$M36)))</f>
        <v>1</v>
      </c>
      <c r="I36" s="9" t="str">
        <f>INDEX(协会公示!$G$2:$G$84,$M36)</f>
        <v>本次公示未见相关提示</v>
      </c>
      <c r="J36" s="9" t="str">
        <f>IF(ISNUMBER(INDEX('Sheet2-计算明细'!$AU$17:$AU$99,$M36)),INDEX('Sheet2-计算明细'!$AU$17:$AU$99,$M36),IF(INDEX('Sheet2-计算明细'!$AU$17:$AU$99,$M36)="","",INDEX('Sheet2-计算明细'!$AU$17:$AU$99,$M36)))</f>
        <v/>
      </c>
      <c r="K36" s="9">
        <f>IF(ISNUMBER(INDEX('Sheet2-计算明细'!$AT$17:$AT$99,$M36)),INDEX('Sheet2-计算明细'!$AT$17:$AT$99,$M36),IF(INDEX('Sheet2-计算明细'!$AT$17:$AT$99,$M36)="","",INDEX('Sheet2-计算明细'!$AT$17:$AT$99,$M36)))</f>
        <v>38</v>
      </c>
      <c r="L36" s="9" t="str">
        <f>IF(ISNUMBER(INDEX('Sheet2-计算明细'!$G$17:$G$99,$M36)),INDEX('Sheet2-计算明细'!$G$17:$G$99,$M36),IF(INDEX('Sheet2-计算明细'!$G$17:$G$99,$M36)="","",INDEX('Sheet2-计算明细'!$G$17:$G$99,$M36)))</f>
        <v>入池</v>
      </c>
      <c r="M36" s="9">
        <f>MATCH(A36,协会公示!$V$2:$V$84,0)</f>
        <v>35</v>
      </c>
      <c r="N36" s="9" t="str">
        <f>INDEX(协会公示!$R$2:$R$84,$M36)</f>
        <v>https://gs.amac.org.cn/amac-infodisc/res/pof/manager/1611020850101525.html</v>
      </c>
    </row>
    <row r="37" ht="25" hidden="1" customHeight="1" spans="1:14">
      <c r="A37" s="9">
        <v>32</v>
      </c>
      <c r="B37" s="9" t="str">
        <f>IF(ISNUMBER(INDEX('Sheet2-计算明细'!$B$17:$B$99,$M37)),INDEX('Sheet2-计算明细'!$B$17:$B$99,$M37),IF(INDEX('Sheet2-计算明细'!$B$17:$B$99,$M37)="","",INDEX('Sheet2-计算明细'!$B$17:$B$99,$M37)))</f>
        <v>慕途盈川1号</v>
      </c>
      <c r="C37" s="9" t="str">
        <f>IF(ISNUMBER(INDEX('Sheet2-计算明细'!$C$17:$C$99,$M37)),INDEX('Sheet2-计算明细'!$C$17:$C$99,$M37),IF(INDEX('Sheet2-计算明细'!$C$17:$C$99,$M37)="","",INDEX('Sheet2-计算明细'!$C$17:$C$99,$M37)))</f>
        <v>SAQQ67</v>
      </c>
      <c r="D37" s="9" t="str">
        <f>IF(ISNUMBER(INDEX('Sheet2-计算明细'!$D$17:$D$99,$M37)),INDEX('Sheet2-计算明细'!$D$17:$D$99,$M37),IF(INDEX('Sheet2-计算明细'!$D$17:$D$99,$M37)="","",INDEX('Sheet2-计算明细'!$D$17:$D$99,$M37)))</f>
        <v>慕途基金</v>
      </c>
      <c r="E37" s="9" t="str">
        <f>IF(ISNUMBER(INDEX('Sheet2-计算明细'!$H$17:$H$99,$M37)),INDEX('Sheet2-计算明细'!$H$17:$H$99,$M37),IF(INDEX('Sheet2-计算明细'!$H$17:$H$99,$M37)="","",INDEX('Sheet2-计算明细'!$H$17:$H$99,$M37)))</f>
        <v>10-20亿元</v>
      </c>
      <c r="F37" s="13" t="str">
        <f>IF(ISNUMBER(INDEX('Sheet2-计算明细'!$AV$17:$AV$99,$M37)),INDEX('Sheet2-计算明细'!$AV$17:$AV$99,$M37),IF(INDEX('Sheet2-计算明细'!$AV$17:$AV$99,$M37)="","",INDEX('Sheet2-计算明细'!$AV$17:$AV$99,$M37)))</f>
        <v/>
      </c>
      <c r="G37" s="13">
        <f>IF(ISNUMBER(INDEX('Sheet2-计算明细'!$AS$17:$AS$99,$M37)),INDEX('Sheet2-计算明细'!$AS$17:$AS$99,$M37),IF(INDEX('Sheet2-计算明细'!$AS$17:$AS$99,$M37)="","",INDEX('Sheet2-计算明细'!$AS$17:$AS$99,$M37)))</f>
        <v>63.06</v>
      </c>
      <c r="H37" s="12">
        <f>IF(ISNUMBER(INDEX('Sheet2-计算明细'!$AQ$17:$AQ$99,$M37)),INDEX('Sheet2-计算明细'!$AQ$17:$AQ$99,$M37),IF(INDEX('Sheet2-计算明细'!$AQ$17:$AQ$99,$M37)="","",INDEX('Sheet2-计算明细'!$AQ$17:$AQ$99,$M37)))</f>
        <v>0.856</v>
      </c>
      <c r="I37" s="9" t="str">
        <f>INDEX(协会公示!$G$2:$G$84,$M37)</f>
        <v>本次公示未见相关提示</v>
      </c>
      <c r="J37" s="9" t="str">
        <f>IF(ISNUMBER(INDEX('Sheet2-计算明细'!$AU$17:$AU$99,$M37)),INDEX('Sheet2-计算明细'!$AU$17:$AU$99,$M37),IF(INDEX('Sheet2-计算明细'!$AU$17:$AU$99,$M37)="","",INDEX('Sheet2-计算明细'!$AU$17:$AU$99,$M37)))</f>
        <v>近三年收益；近三年胜率；近三年回撤；DD_long不可识别；</v>
      </c>
      <c r="K37" s="9">
        <f>IF(ISNUMBER(INDEX('Sheet2-计算明细'!$AT$17:$AT$99,$M37)),INDEX('Sheet2-计算明细'!$AT$17:$AT$99,$M37),IF(INDEX('Sheet2-计算明细'!$AT$17:$AT$99,$M37)="","",INDEX('Sheet2-计算明细'!$AT$17:$AT$99,$M37)))</f>
        <v>41</v>
      </c>
      <c r="L37" s="9" t="str">
        <f>IF(ISNUMBER(INDEX('Sheet2-计算明细'!$G$17:$G$99,$M37)),INDEX('Sheet2-计算明细'!$G$17:$G$99,$M37),IF(INDEX('Sheet2-计算明细'!$G$17:$G$99,$M37)="","",INDEX('Sheet2-计算明细'!$G$17:$G$99,$M37)))</f>
        <v>入池</v>
      </c>
      <c r="M37" s="9">
        <f>MATCH(A37,协会公示!$V$2:$V$84,0)</f>
        <v>44</v>
      </c>
      <c r="N37" s="9" t="str">
        <f>INDEX(协会公示!$R$2:$R$84,$M37)</f>
        <v>https://gs.amac.org.cn/amac-infodisc/res/pof/manager/2106221238106983.html</v>
      </c>
    </row>
    <row r="38" ht="25" hidden="1" customHeight="1" spans="1:14">
      <c r="A38" s="9">
        <v>33</v>
      </c>
      <c r="B38" s="9" t="str">
        <f>IF(ISNUMBER(INDEX('Sheet2-计算明细'!$B$17:$B$99,$M38)),INDEX('Sheet2-计算明细'!$B$17:$B$99,$M38),IF(INDEX('Sheet2-计算明细'!$B$17:$B$99,$M38)="","",INDEX('Sheet2-计算明细'!$B$17:$B$99,$M38)))</f>
        <v>殊馥兴义6号</v>
      </c>
      <c r="C38" s="9" t="str">
        <f>IF(ISNUMBER(INDEX('Sheet2-计算明细'!$C$17:$C$99,$M38)),INDEX('Sheet2-计算明细'!$C$17:$C$99,$M38),IF(INDEX('Sheet2-计算明细'!$C$17:$C$99,$M38)="","",INDEX('Sheet2-计算明细'!$C$17:$C$99,$M38)))</f>
        <v>SXQ267</v>
      </c>
      <c r="D38" s="9" t="str">
        <f>IF(ISNUMBER(INDEX('Sheet2-计算明细'!$D$17:$D$99,$M38)),INDEX('Sheet2-计算明细'!$D$17:$D$99,$M38),IF(INDEX('Sheet2-计算明细'!$D$17:$D$99,$M38)="","",INDEX('Sheet2-计算明细'!$D$17:$D$99,$M38)))</f>
        <v>上海殊馥投资</v>
      </c>
      <c r="E38" s="9" t="str">
        <f>IF(ISNUMBER(INDEX('Sheet2-计算明细'!$H$17:$H$99,$M38)),INDEX('Sheet2-计算明细'!$H$17:$H$99,$M38),IF(INDEX('Sheet2-计算明细'!$H$17:$H$99,$M38)="","",INDEX('Sheet2-计算明细'!$H$17:$H$99,$M38)))</f>
        <v>10-20亿元</v>
      </c>
      <c r="F38" s="13" t="str">
        <f>IF(ISNUMBER(INDEX('Sheet2-计算明细'!$AV$17:$AV$99,$M38)),INDEX('Sheet2-计算明细'!$AV$17:$AV$99,$M38),IF(INDEX('Sheet2-计算明细'!$AV$17:$AV$99,$M38)="","",INDEX('Sheet2-计算明细'!$AV$17:$AV$99,$M38)))</f>
        <v/>
      </c>
      <c r="G38" s="13">
        <f>IF(ISNUMBER(INDEX('Sheet2-计算明细'!$AS$17:$AS$99,$M38)),INDEX('Sheet2-计算明细'!$AS$17:$AS$99,$M38),IF(INDEX('Sheet2-计算明细'!$AS$17:$AS$99,$M38)="","",INDEX('Sheet2-计算明细'!$AS$17:$AS$99,$M38)))</f>
        <v>60.09</v>
      </c>
      <c r="H38" s="12">
        <f>IF(ISNUMBER(INDEX('Sheet2-计算明细'!$AQ$17:$AQ$99,$M38)),INDEX('Sheet2-计算明细'!$AQ$17:$AQ$99,$M38),IF(INDEX('Sheet2-计算明细'!$AQ$17:$AQ$99,$M38)="","",INDEX('Sheet2-计算明细'!$AQ$17:$AQ$99,$M38)))</f>
        <v>0.88</v>
      </c>
      <c r="I38" s="9" t="str">
        <f>INDEX(协会公示!$G$2:$G$84,$M38)</f>
        <v>历史监管责令改正</v>
      </c>
      <c r="J38" s="9" t="str">
        <f>IF(ISNUMBER(INDEX('Sheet2-计算明细'!$AU$17:$AU$99,$M38)),INDEX('Sheet2-计算明细'!$AU$17:$AU$99,$M38),IF(INDEX('Sheet2-计算明细'!$AU$17:$AU$99,$M38)="","",INDEX('Sheet2-计算明细'!$AU$17:$AU$99,$M38)))</f>
        <v>DD_long不可识别；</v>
      </c>
      <c r="K38" s="9">
        <f>IF(ISNUMBER(INDEX('Sheet2-计算明细'!$AT$17:$AT$99,$M38)),INDEX('Sheet2-计算明细'!$AT$17:$AT$99,$M38),IF(INDEX('Sheet2-计算明细'!$AT$17:$AT$99,$M38)="","",INDEX('Sheet2-计算明细'!$AT$17:$AT$99,$M38)))</f>
        <v>43</v>
      </c>
      <c r="L38" s="9" t="str">
        <f>IF(ISNUMBER(INDEX('Sheet2-计算明细'!$G$17:$G$99,$M38)),INDEX('Sheet2-计算明细'!$G$17:$G$99,$M38),IF(INDEX('Sheet2-计算明细'!$G$17:$G$99,$M38)="","",INDEX('Sheet2-计算明细'!$G$17:$G$99,$M38)))</f>
        <v>入池</v>
      </c>
      <c r="M38" s="9">
        <f>MATCH(A38,协会公示!$V$2:$V$84,0)</f>
        <v>61</v>
      </c>
      <c r="N38" s="9" t="str">
        <f>INDEX(协会公示!$R$2:$R$84,$M38)</f>
        <v>https://gs.amac.org.cn/amac-infodisc/res/pof/manager/101000042776.html</v>
      </c>
    </row>
    <row r="39" ht="25" hidden="1" customHeight="1" spans="1:14">
      <c r="A39" s="9">
        <v>34</v>
      </c>
      <c r="B39" s="9" t="str">
        <f>IF(ISNUMBER(INDEX('Sheet2-计算明细'!$B$17:$B$99,$M39)),INDEX('Sheet2-计算明细'!$B$17:$B$99,$M39),IF(INDEX('Sheet2-计算明细'!$B$17:$B$99,$M39)="","",INDEX('Sheet2-计算明细'!$B$17:$B$99,$M39)))</f>
        <v>广联宏丰利1号</v>
      </c>
      <c r="C39" s="9" t="str">
        <f>IF(ISNUMBER(INDEX('Sheet2-计算明细'!$C$17:$C$99,$M39)),INDEX('Sheet2-计算明细'!$C$17:$C$99,$M39),IF(INDEX('Sheet2-计算明细'!$C$17:$C$99,$M39)="","",INDEX('Sheet2-计算明细'!$C$17:$C$99,$M39)))</f>
        <v>SAGN89</v>
      </c>
      <c r="D39" s="9" t="str">
        <f>IF(ISNUMBER(INDEX('Sheet2-计算明细'!$D$17:$D$99,$M39)),INDEX('Sheet2-计算明细'!$D$17:$D$99,$M39),IF(INDEX('Sheet2-计算明细'!$D$17:$D$99,$M39)="","",INDEX('Sheet2-计算明细'!$D$17:$D$99,$M39)))</f>
        <v>海南广联宏</v>
      </c>
      <c r="E39" s="9" t="str">
        <f>IF(ISNUMBER(INDEX('Sheet2-计算明细'!$H$17:$H$99,$M39)),INDEX('Sheet2-计算明细'!$H$17:$H$99,$M39),IF(INDEX('Sheet2-计算明细'!$H$17:$H$99,$M39)="","",INDEX('Sheet2-计算明细'!$H$17:$H$99,$M39)))</f>
        <v>5-10亿元</v>
      </c>
      <c r="F39" s="13" t="str">
        <f>IF(ISNUMBER(INDEX('Sheet2-计算明细'!$AV$17:$AV$99,$M39)),INDEX('Sheet2-计算明细'!$AV$17:$AV$99,$M39),IF(INDEX('Sheet2-计算明细'!$AV$17:$AV$99,$M39)="","",INDEX('Sheet2-计算明细'!$AV$17:$AV$99,$M39)))</f>
        <v/>
      </c>
      <c r="G39" s="13">
        <f>IF(ISNUMBER(INDEX('Sheet2-计算明细'!$AS$17:$AS$99,$M39)),INDEX('Sheet2-计算明细'!$AS$17:$AS$99,$M39),IF(INDEX('Sheet2-计算明细'!$AS$17:$AS$99,$M39)="","",INDEX('Sheet2-计算明细'!$AS$17:$AS$99,$M39)))</f>
        <v>60.01</v>
      </c>
      <c r="H39" s="12">
        <f>IF(ISNUMBER(INDEX('Sheet2-计算明细'!$AQ$17:$AQ$99,$M39)),INDEX('Sheet2-计算明细'!$AQ$17:$AQ$99,$M39),IF(INDEX('Sheet2-计算明细'!$AQ$17:$AQ$99,$M39)="","",INDEX('Sheet2-计算明细'!$AQ$17:$AQ$99,$M39)))</f>
        <v>0.856</v>
      </c>
      <c r="I39" s="9" t="str">
        <f>INDEX(协会公示!$G$2:$G$84,$M39)</f>
        <v>协会提示／已整改异常</v>
      </c>
      <c r="J39" s="9" t="str">
        <f>IF(ISNUMBER(INDEX('Sheet2-计算明细'!$AU$17:$AU$99,$M39)),INDEX('Sheet2-计算明细'!$AU$17:$AU$99,$M39),IF(INDEX('Sheet2-计算明细'!$AU$17:$AU$99,$M39)="","",INDEX('Sheet2-计算明细'!$AU$17:$AU$99,$M39)))</f>
        <v>近三年收益；近三年胜率；近三年回撤；DD_long不可识别；</v>
      </c>
      <c r="K39" s="9">
        <f>IF(ISNUMBER(INDEX('Sheet2-计算明细'!$AT$17:$AT$99,$M39)),INDEX('Sheet2-计算明细'!$AT$17:$AT$99,$M39),IF(INDEX('Sheet2-计算明细'!$AT$17:$AT$99,$M39)="","",INDEX('Sheet2-计算明细'!$AT$17:$AT$99,$M39)))</f>
        <v>44</v>
      </c>
      <c r="L39" s="9" t="str">
        <f>IF(ISNUMBER(INDEX('Sheet2-计算明细'!$G$17:$G$99,$M39)),INDEX('Sheet2-计算明细'!$G$17:$G$99,$M39),IF(INDEX('Sheet2-计算明细'!$G$17:$G$99,$M39)="","",INDEX('Sheet2-计算明细'!$G$17:$G$99,$M39)))</f>
        <v>入池</v>
      </c>
      <c r="M39" s="9">
        <f>MATCH(A39,协会公示!$V$2:$V$84,0)</f>
        <v>17</v>
      </c>
      <c r="N39" s="9" t="str">
        <f>INDEX(协会公示!$R$2:$R$84,$M39)</f>
        <v>https://gs.amac.org.cn/amac-infodisc/res/pof/manager/2109061042100364.html</v>
      </c>
    </row>
    <row r="40" ht="25" hidden="1" customHeight="1" spans="1:14">
      <c r="A40" s="9">
        <v>35</v>
      </c>
      <c r="B40" s="9" t="str">
        <f>IF(ISNUMBER(INDEX('Sheet2-计算明细'!$B$17:$B$99,$M40)),INDEX('Sheet2-计算明细'!$B$17:$B$99,$M40),IF(INDEX('Sheet2-计算明细'!$B$17:$B$99,$M40)="","",INDEX('Sheet2-计算明细'!$B$17:$B$99,$M40)))</f>
        <v>融昊青松CTA套利一号</v>
      </c>
      <c r="C40" s="9" t="str">
        <f>IF(ISNUMBER(INDEX('Sheet2-计算明细'!$C$17:$C$99,$M40)),INDEX('Sheet2-计算明细'!$C$17:$C$99,$M40),IF(INDEX('Sheet2-计算明细'!$C$17:$C$99,$M40)="","",INDEX('Sheet2-计算明细'!$C$17:$C$99,$M40)))</f>
        <v>S09735</v>
      </c>
      <c r="D40" s="9" t="str">
        <f>IF(ISNUMBER(INDEX('Sheet2-计算明细'!$D$17:$D$99,$M40)),INDEX('Sheet2-计算明细'!$D$17:$D$99,$M40),IF(INDEX('Sheet2-计算明细'!$D$17:$D$99,$M40)="","",INDEX('Sheet2-计算明细'!$D$17:$D$99,$M40)))</f>
        <v>上海融昊投资</v>
      </c>
      <c r="E40" s="9" t="str">
        <f>IF(ISNUMBER(INDEX('Sheet2-计算明细'!$H$17:$H$99,$M40)),INDEX('Sheet2-计算明细'!$H$17:$H$99,$M40),IF(INDEX('Sheet2-计算明细'!$H$17:$H$99,$M40)="","",INDEX('Sheet2-计算明细'!$H$17:$H$99,$M40)))</f>
        <v>10-20亿元</v>
      </c>
      <c r="F40" s="13">
        <f>IF(ISNUMBER(INDEX('Sheet2-计算明细'!$AV$17:$AV$99,$M40)),INDEX('Sheet2-计算明细'!$AV$17:$AV$99,$M40),IF(INDEX('Sheet2-计算明细'!$AV$17:$AV$99,$M40)="","",INDEX('Sheet2-计算明细'!$AV$17:$AV$99,$M40)))</f>
        <v>56.77228</v>
      </c>
      <c r="G40" s="13">
        <f>IF(ISNUMBER(INDEX('Sheet2-计算明细'!$AS$17:$AS$99,$M40)),INDEX('Sheet2-计算明细'!$AS$17:$AS$99,$M40),IF(INDEX('Sheet2-计算明细'!$AS$17:$AS$99,$M40)="","",INDEX('Sheet2-计算明细'!$AS$17:$AS$99,$M40)))</f>
        <v>56.77</v>
      </c>
      <c r="H40" s="12">
        <f>IF(ISNUMBER(INDEX('Sheet2-计算明细'!$AQ$17:$AQ$99,$M40)),INDEX('Sheet2-计算明细'!$AQ$17:$AQ$99,$M40),IF(INDEX('Sheet2-计算明细'!$AQ$17:$AQ$99,$M40)="","",INDEX('Sheet2-计算明细'!$AQ$17:$AQ$99,$M40)))</f>
        <v>1</v>
      </c>
      <c r="I40" s="9" t="str">
        <f>INDEX(协会公示!$G$2:$G$84,$M40)</f>
        <v>本次公示未见相关提示</v>
      </c>
      <c r="J40" s="9" t="str">
        <f>IF(ISNUMBER(INDEX('Sheet2-计算明细'!$AU$17:$AU$99,$M40)),INDEX('Sheet2-计算明细'!$AU$17:$AU$99,$M40),IF(INDEX('Sheet2-计算明细'!$AU$17:$AU$99,$M40)="","",INDEX('Sheet2-计算明细'!$AU$17:$AU$99,$M40)))</f>
        <v/>
      </c>
      <c r="K40" s="9">
        <f>IF(ISNUMBER(INDEX('Sheet2-计算明细'!$AT$17:$AT$99,$M40)),INDEX('Sheet2-计算明细'!$AT$17:$AT$99,$M40),IF(INDEX('Sheet2-计算明细'!$AT$17:$AT$99,$M40)="","",INDEX('Sheet2-计算明细'!$AT$17:$AT$99,$M40)))</f>
        <v>47</v>
      </c>
      <c r="L40" s="9" t="str">
        <f>IF(ISNUMBER(INDEX('Sheet2-计算明细'!$G$17:$G$99,$M40)),INDEX('Sheet2-计算明细'!$G$17:$G$99,$M40),IF(INDEX('Sheet2-计算明细'!$G$17:$G$99,$M40)="","",INDEX('Sheet2-计算明细'!$G$17:$G$99,$M40)))</f>
        <v>入池</v>
      </c>
      <c r="M40" s="9">
        <f>MATCH(A40,协会公示!$V$2:$V$84,0)</f>
        <v>50</v>
      </c>
      <c r="N40" s="9" t="str">
        <f>INDEX(协会公示!$R$2:$R$84,$M40)</f>
        <v>https://gs.amac.org.cn/amac-infodisc/res/pof/manager/101000008109.html</v>
      </c>
    </row>
    <row r="41" ht="25" hidden="1" customHeight="1" spans="1:14">
      <c r="A41" s="9">
        <v>36</v>
      </c>
      <c r="B41" s="9" t="str">
        <f>IF(ISNUMBER(INDEX('Sheet2-计算明细'!$B$17:$B$99,$M41)),INDEX('Sheet2-计算明细'!$B$17:$B$99,$M41),IF(INDEX('Sheet2-计算明细'!$B$17:$B$99,$M41)="","",INDEX('Sheet2-计算明细'!$B$17:$B$99,$M41)))</f>
        <v>慕途基本面量化2号</v>
      </c>
      <c r="C41" s="9" t="str">
        <f>IF(ISNUMBER(INDEX('Sheet2-计算明细'!$C$17:$C$99,$M41)),INDEX('Sheet2-计算明细'!$C$17:$C$99,$M41),IF(INDEX('Sheet2-计算明细'!$C$17:$C$99,$M41)="","",INDEX('Sheet2-计算明细'!$C$17:$C$99,$M41)))</f>
        <v>SB9576</v>
      </c>
      <c r="D41" s="9" t="str">
        <f>IF(ISNUMBER(INDEX('Sheet2-计算明细'!$D$17:$D$99,$M41)),INDEX('Sheet2-计算明细'!$D$17:$D$99,$M41),IF(INDEX('Sheet2-计算明细'!$D$17:$D$99,$M41)="","",INDEX('Sheet2-计算明细'!$D$17:$D$99,$M41)))</f>
        <v>慕途基金</v>
      </c>
      <c r="E41" s="9" t="str">
        <f>IF(ISNUMBER(INDEX('Sheet2-计算明细'!$H$17:$H$99,$M41)),INDEX('Sheet2-计算明细'!$H$17:$H$99,$M41),IF(INDEX('Sheet2-计算明细'!$H$17:$H$99,$M41)="","",INDEX('Sheet2-计算明细'!$H$17:$H$99,$M41)))</f>
        <v>10-20亿元</v>
      </c>
      <c r="F41" s="13" t="str">
        <f>IF(ISNUMBER(INDEX('Sheet2-计算明细'!$AV$17:$AV$99,$M41)),INDEX('Sheet2-计算明细'!$AV$17:$AV$99,$M41),IF(INDEX('Sheet2-计算明细'!$AV$17:$AV$99,$M41)="","",INDEX('Sheet2-计算明细'!$AV$17:$AV$99,$M41)))</f>
        <v/>
      </c>
      <c r="G41" s="13">
        <f>IF(ISNUMBER(INDEX('Sheet2-计算明细'!$AS$17:$AS$99,$M41)),INDEX('Sheet2-计算明细'!$AS$17:$AS$99,$M41),IF(INDEX('Sheet2-计算明细'!$AS$17:$AS$99,$M41)="","",INDEX('Sheet2-计算明细'!$AS$17:$AS$99,$M41)))</f>
        <v>56.39</v>
      </c>
      <c r="H41" s="12">
        <f>IF(ISNUMBER(INDEX('Sheet2-计算明细'!$AQ$17:$AQ$99,$M41)),INDEX('Sheet2-计算明细'!$AQ$17:$AQ$99,$M41),IF(INDEX('Sheet2-计算明细'!$AQ$17:$AQ$99,$M41)="","",INDEX('Sheet2-计算明细'!$AQ$17:$AQ$99,$M41)))</f>
        <v>0.88</v>
      </c>
      <c r="I41" s="9" t="str">
        <f>INDEX(协会公示!$G$2:$G$84,$M41)</f>
        <v>本次公示未见相关提示</v>
      </c>
      <c r="J41" s="9" t="str">
        <f>IF(ISNUMBER(INDEX('Sheet2-计算明细'!$AU$17:$AU$99,$M41)),INDEX('Sheet2-计算明细'!$AU$17:$AU$99,$M41),IF(INDEX('Sheet2-计算明细'!$AU$17:$AU$99,$M41)="","",INDEX('Sheet2-计算明细'!$AU$17:$AU$99,$M41)))</f>
        <v>DD_long不可识别；</v>
      </c>
      <c r="K41" s="9">
        <f>IF(ISNUMBER(INDEX('Sheet2-计算明细'!$AT$17:$AT$99,$M41)),INDEX('Sheet2-计算明细'!$AT$17:$AT$99,$M41),IF(INDEX('Sheet2-计算明细'!$AT$17:$AT$99,$M41)="","",INDEX('Sheet2-计算明细'!$AT$17:$AT$99,$M41)))</f>
        <v>48</v>
      </c>
      <c r="L41" s="9" t="str">
        <f>IF(ISNUMBER(INDEX('Sheet2-计算明细'!$G$17:$G$99,$M41)),INDEX('Sheet2-计算明细'!$G$17:$G$99,$M41),IF(INDEX('Sheet2-计算明细'!$G$17:$G$99,$M41)="","",INDEX('Sheet2-计算明细'!$G$17:$G$99,$M41)))</f>
        <v>入池</v>
      </c>
      <c r="M41" s="9">
        <f>MATCH(A41,协会公示!$V$2:$V$84,0)</f>
        <v>41</v>
      </c>
      <c r="N41" s="9" t="str">
        <f>INDEX(协会公示!$R$2:$R$84,$M41)</f>
        <v>https://gs.amac.org.cn/amac-infodisc/res/pof/manager/2106221238106983.html</v>
      </c>
    </row>
    <row r="42" ht="25" hidden="1" customHeight="1" spans="1:14">
      <c r="A42" s="9">
        <v>37</v>
      </c>
      <c r="B42" s="9" t="str">
        <f>IF(ISNUMBER(INDEX('Sheet2-计算明细'!$B$17:$B$99,$M42)),INDEX('Sheet2-计算明细'!$B$17:$B$99,$M42),IF(INDEX('Sheet2-计算明细'!$B$17:$B$99,$M42)="","",INDEX('Sheet2-计算明细'!$B$17:$B$99,$M42)))</f>
        <v>致同稳盈对冲</v>
      </c>
      <c r="C42" s="9" t="str">
        <f>IF(ISNUMBER(INDEX('Sheet2-计算明细'!$C$17:$C$99,$M42)),INDEX('Sheet2-计算明细'!$C$17:$C$99,$M42),IF(INDEX('Sheet2-计算明细'!$C$17:$C$99,$M42)="","",INDEX('Sheet2-计算明细'!$C$17:$C$99,$M42)))</f>
        <v>SS8645</v>
      </c>
      <c r="D42" s="9" t="str">
        <f>IF(ISNUMBER(INDEX('Sheet2-计算明细'!$D$17:$D$99,$M42)),INDEX('Sheet2-计算明细'!$D$17:$D$99,$M42),IF(INDEX('Sheet2-计算明细'!$D$17:$D$99,$M42)="","",INDEX('Sheet2-计算明细'!$D$17:$D$99,$M42)))</f>
        <v>上海致同投资</v>
      </c>
      <c r="E42" s="9" t="str">
        <f>IF(ISNUMBER(INDEX('Sheet2-计算明细'!$H$17:$H$99,$M42)),INDEX('Sheet2-计算明细'!$H$17:$H$99,$M42),IF(INDEX('Sheet2-计算明细'!$H$17:$H$99,$M42)="","",INDEX('Sheet2-计算明细'!$H$17:$H$99,$M42)))</f>
        <v>20-50亿元</v>
      </c>
      <c r="F42" s="13" t="str">
        <f>IF(ISNUMBER(INDEX('Sheet2-计算明细'!$AV$17:$AV$99,$M42)),INDEX('Sheet2-计算明细'!$AV$17:$AV$99,$M42),IF(INDEX('Sheet2-计算明细'!$AV$17:$AV$99,$M42)="","",INDEX('Sheet2-计算明细'!$AV$17:$AV$99,$M42)))</f>
        <v/>
      </c>
      <c r="G42" s="13">
        <f>IF(ISNUMBER(INDEX('Sheet2-计算明细'!$AS$17:$AS$99,$M42)),INDEX('Sheet2-计算明细'!$AS$17:$AS$99,$M42),IF(INDEX('Sheet2-计算明细'!$AS$17:$AS$99,$M42)="","",INDEX('Sheet2-计算明细'!$AS$17:$AS$99,$M42)))</f>
        <v>55.58</v>
      </c>
      <c r="H42" s="12">
        <f>IF(ISNUMBER(INDEX('Sheet2-计算明细'!$AQ$17:$AQ$99,$M42)),INDEX('Sheet2-计算明细'!$AQ$17:$AQ$99,$M42),IF(INDEX('Sheet2-计算明细'!$AQ$17:$AQ$99,$M42)="","",INDEX('Sheet2-计算明细'!$AQ$17:$AQ$99,$M42)))</f>
        <v>0.88</v>
      </c>
      <c r="I42" s="9" t="str">
        <f>INDEX(协会公示!$G$2:$G$84,$M42)</f>
        <v>监管警示函</v>
      </c>
      <c r="J42" s="9" t="str">
        <f>IF(ISNUMBER(INDEX('Sheet2-计算明细'!$AU$17:$AU$99,$M42)),INDEX('Sheet2-计算明细'!$AU$17:$AU$99,$M42),IF(INDEX('Sheet2-计算明细'!$AU$17:$AU$99,$M42)="","",INDEX('Sheet2-计算明细'!$AU$17:$AU$99,$M42)))</f>
        <v>DD_long不可识别；</v>
      </c>
      <c r="K42" s="9">
        <f>IF(ISNUMBER(INDEX('Sheet2-计算明细'!$AT$17:$AT$99,$M42)),INDEX('Sheet2-计算明细'!$AT$17:$AT$99,$M42),IF(INDEX('Sheet2-计算明细'!$AT$17:$AT$99,$M42)="","",INDEX('Sheet2-计算明细'!$AT$17:$AT$99,$M42)))</f>
        <v>49</v>
      </c>
      <c r="L42" s="9" t="str">
        <f>IF(ISNUMBER(INDEX('Sheet2-计算明细'!$G$17:$G$99,$M42)),INDEX('Sheet2-计算明细'!$G$17:$G$99,$M42),IF(INDEX('Sheet2-计算明细'!$G$17:$G$99,$M42)="","",INDEX('Sheet2-计算明细'!$G$17:$G$99,$M42)))</f>
        <v>入池</v>
      </c>
      <c r="M42" s="9">
        <f>MATCH(A42,协会公示!$V$2:$V$84,0)</f>
        <v>78</v>
      </c>
      <c r="N42" s="9" t="str">
        <f>INDEX(协会公示!$R$2:$R$84,$M42)</f>
        <v>https://gs.amac.org.cn/amac-infodisc/res/pof/manager/101000004339.html</v>
      </c>
    </row>
    <row r="43" ht="25" hidden="1" customHeight="1" spans="1:14">
      <c r="A43" s="9">
        <v>38</v>
      </c>
      <c r="B43" s="9" t="str">
        <f>IF(ISNUMBER(INDEX('Sheet2-计算明细'!$B$17:$B$99,$M43)),INDEX('Sheet2-计算明细'!$B$17:$B$99,$M43),IF(INDEX('Sheet2-计算明细'!$B$17:$B$99,$M43)="","",INDEX('Sheet2-计算明细'!$B$17:$B$99,$M43)))</f>
        <v>在赢套利一号</v>
      </c>
      <c r="C43" s="9" t="str">
        <f>IF(ISNUMBER(INDEX('Sheet2-计算明细'!$C$17:$C$99,$M43)),INDEX('Sheet2-计算明细'!$C$17:$C$99,$M43),IF(INDEX('Sheet2-计算明细'!$C$17:$C$99,$M43)="","",INDEX('Sheet2-计算明细'!$C$17:$C$99,$M43)))</f>
        <v>SGW281</v>
      </c>
      <c r="D43" s="9" t="str">
        <f>IF(ISNUMBER(INDEX('Sheet2-计算明细'!$D$17:$D$99,$M43)),INDEX('Sheet2-计算明细'!$D$17:$D$99,$M43),IF(INDEX('Sheet2-计算明细'!$D$17:$D$99,$M43)="","",INDEX('Sheet2-计算明细'!$D$17:$D$99,$M43)))</f>
        <v>浙江在赢</v>
      </c>
      <c r="E43" s="9" t="str">
        <f>IF(ISNUMBER(INDEX('Sheet2-计算明细'!$H$17:$H$99,$M43)),INDEX('Sheet2-计算明细'!$H$17:$H$99,$M43),IF(INDEX('Sheet2-计算明细'!$H$17:$H$99,$M43)="","",INDEX('Sheet2-计算明细'!$H$17:$H$99,$M43)))</f>
        <v>5-10亿元</v>
      </c>
      <c r="F43" s="13">
        <f>IF(ISNUMBER(INDEX('Sheet2-计算明细'!$AV$17:$AV$99,$M43)),INDEX('Sheet2-计算明细'!$AV$17:$AV$99,$M43),IF(INDEX('Sheet2-计算明细'!$AV$17:$AV$99,$M43)="","",INDEX('Sheet2-计算明细'!$AV$17:$AV$99,$M43)))</f>
        <v>55.04391</v>
      </c>
      <c r="G43" s="13">
        <f>IF(ISNUMBER(INDEX('Sheet2-计算明细'!$AS$17:$AS$99,$M43)),INDEX('Sheet2-计算明细'!$AS$17:$AS$99,$M43),IF(INDEX('Sheet2-计算明细'!$AS$17:$AS$99,$M43)="","",INDEX('Sheet2-计算明细'!$AS$17:$AS$99,$M43)))</f>
        <v>55.04</v>
      </c>
      <c r="H43" s="12">
        <f>IF(ISNUMBER(INDEX('Sheet2-计算明细'!$AQ$17:$AQ$99,$M43)),INDEX('Sheet2-计算明细'!$AQ$17:$AQ$99,$M43),IF(INDEX('Sheet2-计算明细'!$AQ$17:$AQ$99,$M43)="","",INDEX('Sheet2-计算明细'!$AQ$17:$AQ$99,$M43)))</f>
        <v>1</v>
      </c>
      <c r="I43" s="9" t="str">
        <f>INDEX(协会公示!$G$2:$G$84,$M43)</f>
        <v>本次公示未见相关提示</v>
      </c>
      <c r="J43" s="9" t="str">
        <f>IF(ISNUMBER(INDEX('Sheet2-计算明细'!$AU$17:$AU$99,$M43)),INDEX('Sheet2-计算明细'!$AU$17:$AU$99,$M43),IF(INDEX('Sheet2-计算明细'!$AU$17:$AU$99,$M43)="","",INDEX('Sheet2-计算明细'!$AU$17:$AU$99,$M43)))</f>
        <v/>
      </c>
      <c r="K43" s="9">
        <f>IF(ISNUMBER(INDEX('Sheet2-计算明细'!$AT$17:$AT$99,$M43)),INDEX('Sheet2-计算明细'!$AT$17:$AT$99,$M43),IF(INDEX('Sheet2-计算明细'!$AT$17:$AT$99,$M43)="","",INDEX('Sheet2-计算明细'!$AT$17:$AT$99,$M43)))</f>
        <v>50</v>
      </c>
      <c r="L43" s="9" t="str">
        <f>IF(ISNUMBER(INDEX('Sheet2-计算明细'!$G$17:$G$99,$M43)),INDEX('Sheet2-计算明细'!$G$17:$G$99,$M43),IF(INDEX('Sheet2-计算明细'!$G$17:$G$99,$M43)="","",INDEX('Sheet2-计算明细'!$G$17:$G$99,$M43)))</f>
        <v>入池</v>
      </c>
      <c r="M43" s="9">
        <f>MATCH(A43,协会公示!$V$2:$V$84,0)</f>
        <v>74</v>
      </c>
      <c r="N43" s="9" t="str">
        <f>INDEX(协会公示!$R$2:$R$84,$M43)</f>
        <v>https://gs.amac.org.cn/amac-infodisc/res/pof/manager/101000009803.html</v>
      </c>
    </row>
    <row r="44" ht="25" hidden="1" customHeight="1" spans="1:14">
      <c r="A44" s="9">
        <v>39</v>
      </c>
      <c r="B44" s="9" t="str">
        <f>IF(ISNUMBER(INDEX('Sheet2-计算明细'!$B$17:$B$99,$M44)),INDEX('Sheet2-计算明细'!$B$17:$B$99,$M44),IF(INDEX('Sheet2-计算明细'!$B$17:$B$99,$M44)="","",INDEX('Sheet2-计算明细'!$B$17:$B$99,$M44)))</f>
        <v>慕途基本面量化1号</v>
      </c>
      <c r="C44" s="9" t="str">
        <f>IF(ISNUMBER(INDEX('Sheet2-计算明细'!$C$17:$C$99,$M44)),INDEX('Sheet2-计算明细'!$C$17:$C$99,$M44),IF(INDEX('Sheet2-计算明细'!$C$17:$C$99,$M44)="","",INDEX('Sheet2-计算明细'!$C$17:$C$99,$M44)))</f>
        <v>SVW787</v>
      </c>
      <c r="D44" s="9" t="str">
        <f>IF(ISNUMBER(INDEX('Sheet2-计算明细'!$D$17:$D$99,$M44)),INDEX('Sheet2-计算明细'!$D$17:$D$99,$M44),IF(INDEX('Sheet2-计算明细'!$D$17:$D$99,$M44)="","",INDEX('Sheet2-计算明细'!$D$17:$D$99,$M44)))</f>
        <v>慕途基金</v>
      </c>
      <c r="E44" s="9" t="str">
        <f>IF(ISNUMBER(INDEX('Sheet2-计算明细'!$H$17:$H$99,$M44)),INDEX('Sheet2-计算明细'!$H$17:$H$99,$M44),IF(INDEX('Sheet2-计算明细'!$H$17:$H$99,$M44)="","",INDEX('Sheet2-计算明细'!$H$17:$H$99,$M44)))</f>
        <v>10-20亿元</v>
      </c>
      <c r="F44" s="13" t="str">
        <f>IF(ISNUMBER(INDEX('Sheet2-计算明细'!$AV$17:$AV$99,$M44)),INDEX('Sheet2-计算明细'!$AV$17:$AV$99,$M44),IF(INDEX('Sheet2-计算明细'!$AV$17:$AV$99,$M44)="","",INDEX('Sheet2-计算明细'!$AV$17:$AV$99,$M44)))</f>
        <v/>
      </c>
      <c r="G44" s="13">
        <f>IF(ISNUMBER(INDEX('Sheet2-计算明细'!$AS$17:$AS$99,$M44)),INDEX('Sheet2-计算明细'!$AS$17:$AS$99,$M44),IF(INDEX('Sheet2-计算明细'!$AS$17:$AS$99,$M44)="","",INDEX('Sheet2-计算明细'!$AS$17:$AS$99,$M44)))</f>
        <v>54.11</v>
      </c>
      <c r="H44" s="12">
        <f>IF(ISNUMBER(INDEX('Sheet2-计算明细'!$AQ$17:$AQ$99,$M44)),INDEX('Sheet2-计算明细'!$AQ$17:$AQ$99,$M44),IF(INDEX('Sheet2-计算明细'!$AQ$17:$AQ$99,$M44)="","",INDEX('Sheet2-计算明细'!$AQ$17:$AQ$99,$M44)))</f>
        <v>0.88</v>
      </c>
      <c r="I44" s="9" t="str">
        <f>INDEX(协会公示!$G$2:$G$84,$M44)</f>
        <v>本次公示未见相关提示</v>
      </c>
      <c r="J44" s="9" t="str">
        <f>IF(ISNUMBER(INDEX('Sheet2-计算明细'!$AU$17:$AU$99,$M44)),INDEX('Sheet2-计算明细'!$AU$17:$AU$99,$M44),IF(INDEX('Sheet2-计算明细'!$AU$17:$AU$99,$M44)="","",INDEX('Sheet2-计算明细'!$AU$17:$AU$99,$M44)))</f>
        <v>DD_long不可识别；</v>
      </c>
      <c r="K44" s="9">
        <f>IF(ISNUMBER(INDEX('Sheet2-计算明细'!$AT$17:$AT$99,$M44)),INDEX('Sheet2-计算明细'!$AT$17:$AT$99,$M44),IF(INDEX('Sheet2-计算明细'!$AT$17:$AT$99,$M44)="","",INDEX('Sheet2-计算明细'!$AT$17:$AT$99,$M44)))</f>
        <v>51</v>
      </c>
      <c r="L44" s="9" t="str">
        <f>IF(ISNUMBER(INDEX('Sheet2-计算明细'!$G$17:$G$99,$M44)),INDEX('Sheet2-计算明细'!$G$17:$G$99,$M44),IF(INDEX('Sheet2-计算明细'!$G$17:$G$99,$M44)="","",INDEX('Sheet2-计算明细'!$G$17:$G$99,$M44)))</f>
        <v>入池</v>
      </c>
      <c r="M44" s="9">
        <f>MATCH(A44,协会公示!$V$2:$V$84,0)</f>
        <v>40</v>
      </c>
      <c r="N44" s="9" t="str">
        <f>INDEX(协会公示!$R$2:$R$84,$M44)</f>
        <v>https://gs.amac.org.cn/amac-infodisc/res/pof/manager/2106221238106983.html</v>
      </c>
    </row>
    <row r="45" ht="25" hidden="1" customHeight="1" spans="1:14">
      <c r="A45" s="9">
        <v>40</v>
      </c>
      <c r="B45" s="9" t="str">
        <f>IF(ISNUMBER(INDEX('Sheet2-计算明细'!$B$17:$B$99,$M45)),INDEX('Sheet2-计算明细'!$B$17:$B$99,$M45),IF(INDEX('Sheet2-计算明细'!$B$17:$B$99,$M45)="","",INDEX('Sheet2-计算明细'!$B$17:$B$99,$M45)))</f>
        <v>滨风风云瑞丰1号</v>
      </c>
      <c r="C45" s="9" t="str">
        <f>IF(ISNUMBER(INDEX('Sheet2-计算明细'!$C$17:$C$99,$M45)),INDEX('Sheet2-计算明细'!$C$17:$C$99,$M45),IF(INDEX('Sheet2-计算明细'!$C$17:$C$99,$M45)="","",INDEX('Sheet2-计算明细'!$C$17:$C$99,$M45)))</f>
        <v>SXL267</v>
      </c>
      <c r="D45" s="9" t="str">
        <f>IF(ISNUMBER(INDEX('Sheet2-计算明细'!$D$17:$D$99,$M45)),INDEX('Sheet2-计算明细'!$D$17:$D$99,$M45),IF(INDEX('Sheet2-计算明细'!$D$17:$D$99,$M45)="","",INDEX('Sheet2-计算明细'!$D$17:$D$99,$M45)))</f>
        <v>鹰潭滨风投资</v>
      </c>
      <c r="E45" s="9" t="str">
        <f>IF(ISNUMBER(INDEX('Sheet2-计算明细'!$H$17:$H$99,$M45)),INDEX('Sheet2-计算明细'!$H$17:$H$99,$M45),IF(INDEX('Sheet2-计算明细'!$H$17:$H$99,$M45)="","",INDEX('Sheet2-计算明细'!$H$17:$H$99,$M45)))</f>
        <v>5-10亿元</v>
      </c>
      <c r="F45" s="13" t="str">
        <f>IF(ISNUMBER(INDEX('Sheet2-计算明细'!$AV$17:$AV$99,$M45)),INDEX('Sheet2-计算明细'!$AV$17:$AV$99,$M45),IF(INDEX('Sheet2-计算明细'!$AV$17:$AV$99,$M45)="","",INDEX('Sheet2-计算明细'!$AV$17:$AV$99,$M45)))</f>
        <v/>
      </c>
      <c r="G45" s="13">
        <f>IF(ISNUMBER(INDEX('Sheet2-计算明细'!$AS$17:$AS$99,$M45)),INDEX('Sheet2-计算明细'!$AS$17:$AS$99,$M45),IF(INDEX('Sheet2-计算明细'!$AS$17:$AS$99,$M45)="","",INDEX('Sheet2-计算明细'!$AS$17:$AS$99,$M45)))</f>
        <v>53.24</v>
      </c>
      <c r="H45" s="12">
        <f>IF(ISNUMBER(INDEX('Sheet2-计算明细'!$AQ$17:$AQ$99,$M45)),INDEX('Sheet2-计算明细'!$AQ$17:$AQ$99,$M45),IF(INDEX('Sheet2-计算明细'!$AQ$17:$AQ$99,$M45)="","",INDEX('Sheet2-计算明细'!$AQ$17:$AQ$99,$M45)))</f>
        <v>0.88</v>
      </c>
      <c r="I45" s="9" t="str">
        <f>INDEX(协会公示!$G$2:$G$84,$M45)</f>
        <v>本次公示未见相关提示</v>
      </c>
      <c r="J45" s="9" t="str">
        <f>IF(ISNUMBER(INDEX('Sheet2-计算明细'!$AU$17:$AU$99,$M45)),INDEX('Sheet2-计算明细'!$AU$17:$AU$99,$M45),IF(INDEX('Sheet2-计算明细'!$AU$17:$AU$99,$M45)="","",INDEX('Sheet2-计算明细'!$AU$17:$AU$99,$M45)))</f>
        <v>DD_long不可识别；</v>
      </c>
      <c r="K45" s="9">
        <f>IF(ISNUMBER(INDEX('Sheet2-计算明细'!$AT$17:$AT$99,$M45)),INDEX('Sheet2-计算明细'!$AT$17:$AT$99,$M45),IF(INDEX('Sheet2-计算明细'!$AT$17:$AT$99,$M45)="","",INDEX('Sheet2-计算明细'!$AT$17:$AT$99,$M45)))</f>
        <v>53</v>
      </c>
      <c r="L45" s="9" t="str">
        <f>IF(ISNUMBER(INDEX('Sheet2-计算明细'!$G$17:$G$99,$M45)),INDEX('Sheet2-计算明细'!$G$17:$G$99,$M45),IF(INDEX('Sheet2-计算明细'!$G$17:$G$99,$M45)="","",INDEX('Sheet2-计算明细'!$G$17:$G$99,$M45)))</f>
        <v>入池</v>
      </c>
      <c r="M45" s="9">
        <f>MATCH(A45,协会公示!$V$2:$V$84,0)</f>
        <v>2</v>
      </c>
      <c r="N45" s="9" t="str">
        <f>INDEX(协会公示!$R$2:$R$84,$M45)</f>
        <v>https://gs.amac.org.cn/amac-infodisc/res/pof/manager/1801301704109241.html</v>
      </c>
    </row>
    <row r="46" ht="25" hidden="1" customHeight="1" spans="1:14">
      <c r="A46" s="9">
        <v>41</v>
      </c>
      <c r="B46" s="9" t="str">
        <f>IF(ISNUMBER(INDEX('Sheet2-计算明细'!$B$17:$B$99,$M46)),INDEX('Sheet2-计算明细'!$B$17:$B$99,$M46),IF(INDEX('Sheet2-计算明细'!$B$17:$B$99,$M46)="","",INDEX('Sheet2-计算明细'!$B$17:$B$99,$M46)))</f>
        <v>深度梦扬量化套利0号</v>
      </c>
      <c r="C46" s="9" t="str">
        <f>IF(ISNUMBER(INDEX('Sheet2-计算明细'!$C$17:$C$99,$M46)),INDEX('Sheet2-计算明细'!$C$17:$C$99,$M46),IF(INDEX('Sheet2-计算明细'!$C$17:$C$99,$M46)="","",INDEX('Sheet2-计算明细'!$C$17:$C$99,$M46)))</f>
        <v>SQD620</v>
      </c>
      <c r="D46" s="9" t="str">
        <f>IF(ISNUMBER(INDEX('Sheet2-计算明细'!$D$17:$D$99,$M46)),INDEX('Sheet2-计算明细'!$D$17:$D$99,$M46),IF(INDEX('Sheet2-计算明细'!$D$17:$D$99,$M46)="","",INDEX('Sheet2-计算明细'!$D$17:$D$99,$M46)))</f>
        <v>杭州深度资管</v>
      </c>
      <c r="E46" s="9" t="str">
        <f>IF(ISNUMBER(INDEX('Sheet2-计算明细'!$H$17:$H$99,$M46)),INDEX('Sheet2-计算明细'!$H$17:$H$99,$M46),IF(INDEX('Sheet2-计算明细'!$H$17:$H$99,$M46)="","",INDEX('Sheet2-计算明细'!$H$17:$H$99,$M46)))</f>
        <v>10-20亿元</v>
      </c>
      <c r="F46" s="13" t="str">
        <f>IF(ISNUMBER(INDEX('Sheet2-计算明细'!$AV$17:$AV$99,$M46)),INDEX('Sheet2-计算明细'!$AV$17:$AV$99,$M46),IF(INDEX('Sheet2-计算明细'!$AV$17:$AV$99,$M46)="","",INDEX('Sheet2-计算明细'!$AV$17:$AV$99,$M46)))</f>
        <v/>
      </c>
      <c r="G46" s="13">
        <f>IF(ISNUMBER(INDEX('Sheet2-计算明细'!$AS$17:$AS$99,$M46)),INDEX('Sheet2-计算明细'!$AS$17:$AS$99,$M46),IF(INDEX('Sheet2-计算明细'!$AS$17:$AS$99,$M46)="","",INDEX('Sheet2-计算明细'!$AS$17:$AS$99,$M46)))</f>
        <v>52.57</v>
      </c>
      <c r="H46" s="12">
        <f>IF(ISNUMBER(INDEX('Sheet2-计算明细'!$AQ$17:$AQ$99,$M46)),INDEX('Sheet2-计算明细'!$AQ$17:$AQ$99,$M46),IF(INDEX('Sheet2-计算明细'!$AQ$17:$AQ$99,$M46)="","",INDEX('Sheet2-计算明细'!$AQ$17:$AQ$99,$M46)))</f>
        <v>0.88</v>
      </c>
      <c r="I46" s="9" t="str">
        <f>INDEX(协会公示!$G$2:$G$84,$M46)</f>
        <v>本次公示未见相关提示</v>
      </c>
      <c r="J46" s="9" t="str">
        <f>IF(ISNUMBER(INDEX('Sheet2-计算明细'!$AU$17:$AU$99,$M46)),INDEX('Sheet2-计算明细'!$AU$17:$AU$99,$M46),IF(INDEX('Sheet2-计算明细'!$AU$17:$AU$99,$M46)="","",INDEX('Sheet2-计算明细'!$AU$17:$AU$99,$M46)))</f>
        <v>DD_long不可识别；</v>
      </c>
      <c r="K46" s="9">
        <f>IF(ISNUMBER(INDEX('Sheet2-计算明细'!$AT$17:$AT$99,$M46)),INDEX('Sheet2-计算明细'!$AT$17:$AT$99,$M46),IF(INDEX('Sheet2-计算明细'!$AT$17:$AT$99,$M46)="","",INDEX('Sheet2-计算明细'!$AT$17:$AT$99,$M46)))</f>
        <v>54</v>
      </c>
      <c r="L46" s="9" t="str">
        <f>IF(ISNUMBER(INDEX('Sheet2-计算明细'!$G$17:$G$99,$M46)),INDEX('Sheet2-计算明细'!$G$17:$G$99,$M46),IF(INDEX('Sheet2-计算明细'!$G$17:$G$99,$M46)="","",INDEX('Sheet2-计算明细'!$G$17:$G$99,$M46)))</f>
        <v>入池</v>
      </c>
      <c r="M46" s="9">
        <f>MATCH(A46,协会公示!$V$2:$V$84,0)</f>
        <v>56</v>
      </c>
      <c r="N46" s="9" t="str">
        <f>INDEX(协会公示!$R$2:$R$84,$M46)</f>
        <v>https://gs.amac.org.cn/amac-infodisc/res/pof/manager/1703210938100205.html</v>
      </c>
    </row>
    <row r="47" ht="25" hidden="1" customHeight="1" spans="1:14">
      <c r="A47" s="9">
        <v>42</v>
      </c>
      <c r="B47" s="9" t="str">
        <f>IF(ISNUMBER(INDEX('Sheet2-计算明细'!$B$17:$B$99,$M47)),INDEX('Sheet2-计算明细'!$B$17:$B$99,$M47),IF(INDEX('Sheet2-计算明细'!$B$17:$B$99,$M47)="","",INDEX('Sheet2-计算明细'!$B$17:$B$99,$M47)))</f>
        <v>深度梦扬量化1号</v>
      </c>
      <c r="C47" s="9" t="str">
        <f>IF(ISNUMBER(INDEX('Sheet2-计算明细'!$C$17:$C$99,$M47)),INDEX('Sheet2-计算明细'!$C$17:$C$99,$M47),IF(INDEX('Sheet2-计算明细'!$C$17:$C$99,$M47)="","",INDEX('Sheet2-计算明细'!$C$17:$C$99,$M47)))</f>
        <v>SZM348</v>
      </c>
      <c r="D47" s="9" t="str">
        <f>IF(ISNUMBER(INDEX('Sheet2-计算明细'!$D$17:$D$99,$M47)),INDEX('Sheet2-计算明细'!$D$17:$D$99,$M47),IF(INDEX('Sheet2-计算明细'!$D$17:$D$99,$M47)="","",INDEX('Sheet2-计算明细'!$D$17:$D$99,$M47)))</f>
        <v>杭州深度资管</v>
      </c>
      <c r="E47" s="9" t="str">
        <f>IF(ISNUMBER(INDEX('Sheet2-计算明细'!$H$17:$H$99,$M47)),INDEX('Sheet2-计算明细'!$H$17:$H$99,$M47),IF(INDEX('Sheet2-计算明细'!$H$17:$H$99,$M47)="","",INDEX('Sheet2-计算明细'!$H$17:$H$99,$M47)))</f>
        <v>10-20亿元</v>
      </c>
      <c r="F47" s="13" t="str">
        <f>IF(ISNUMBER(INDEX('Sheet2-计算明细'!$AV$17:$AV$99,$M47)),INDEX('Sheet2-计算明细'!$AV$17:$AV$99,$M47),IF(INDEX('Sheet2-计算明细'!$AV$17:$AV$99,$M47)="","",INDEX('Sheet2-计算明细'!$AV$17:$AV$99,$M47)))</f>
        <v/>
      </c>
      <c r="G47" s="13">
        <f>IF(ISNUMBER(INDEX('Sheet2-计算明细'!$AS$17:$AS$99,$M47)),INDEX('Sheet2-计算明细'!$AS$17:$AS$99,$M47),IF(INDEX('Sheet2-计算明细'!$AS$17:$AS$99,$M47)="","",INDEX('Sheet2-计算明细'!$AS$17:$AS$99,$M47)))</f>
        <v>52.03</v>
      </c>
      <c r="H47" s="12">
        <f>IF(ISNUMBER(INDEX('Sheet2-计算明细'!$AQ$17:$AQ$99,$M47)),INDEX('Sheet2-计算明细'!$AQ$17:$AQ$99,$M47),IF(INDEX('Sheet2-计算明细'!$AQ$17:$AQ$99,$M47)="","",INDEX('Sheet2-计算明细'!$AQ$17:$AQ$99,$M47)))</f>
        <v>0.88</v>
      </c>
      <c r="I47" s="9" t="str">
        <f>INDEX(协会公示!$G$2:$G$84,$M47)</f>
        <v>本次公示未见相关提示</v>
      </c>
      <c r="J47" s="9" t="str">
        <f>IF(ISNUMBER(INDEX('Sheet2-计算明细'!$AU$17:$AU$99,$M47)),INDEX('Sheet2-计算明细'!$AU$17:$AU$99,$M47),IF(INDEX('Sheet2-计算明细'!$AU$17:$AU$99,$M47)="","",INDEX('Sheet2-计算明细'!$AU$17:$AU$99,$M47)))</f>
        <v>DD_long不可识别；</v>
      </c>
      <c r="K47" s="9">
        <f>IF(ISNUMBER(INDEX('Sheet2-计算明细'!$AT$17:$AT$99,$M47)),INDEX('Sheet2-计算明细'!$AT$17:$AT$99,$M47),IF(INDEX('Sheet2-计算明细'!$AT$17:$AT$99,$M47)="","",INDEX('Sheet2-计算明细'!$AT$17:$AT$99,$M47)))</f>
        <v>55</v>
      </c>
      <c r="L47" s="9" t="str">
        <f>IF(ISNUMBER(INDEX('Sheet2-计算明细'!$G$17:$G$99,$M47)),INDEX('Sheet2-计算明细'!$G$17:$G$99,$M47),IF(INDEX('Sheet2-计算明细'!$G$17:$G$99,$M47)="","",INDEX('Sheet2-计算明细'!$G$17:$G$99,$M47)))</f>
        <v>入池</v>
      </c>
      <c r="M47" s="9">
        <f>MATCH(A47,协会公示!$V$2:$V$84,0)</f>
        <v>55</v>
      </c>
      <c r="N47" s="9" t="str">
        <f>INDEX(协会公示!$R$2:$R$84,$M47)</f>
        <v>https://gs.amac.org.cn/amac-infodisc/res/pof/manager/1703210938100205.html</v>
      </c>
    </row>
    <row r="48" ht="25" hidden="1" customHeight="1" spans="1:14">
      <c r="A48" s="9">
        <v>43</v>
      </c>
      <c r="B48" s="9" t="str">
        <f>IF(ISNUMBER(INDEX('Sheet2-计算明细'!$B$17:$B$99,$M48)),INDEX('Sheet2-计算明细'!$B$17:$B$99,$M48),IF(INDEX('Sheet2-计算明细'!$B$17:$B$99,$M48)="","",INDEX('Sheet2-计算明细'!$B$17:$B$99,$M48)))</f>
        <v>殊馥馥源套利1号</v>
      </c>
      <c r="C48" s="9" t="str">
        <f>IF(ISNUMBER(INDEX('Sheet2-计算明细'!$C$17:$C$99,$M48)),INDEX('Sheet2-计算明细'!$C$17:$C$99,$M48),IF(INDEX('Sheet2-计算明细'!$C$17:$C$99,$M48)="","",INDEX('Sheet2-计算明细'!$C$17:$C$99,$M48)))</f>
        <v>SGM512</v>
      </c>
      <c r="D48" s="9" t="str">
        <f>IF(ISNUMBER(INDEX('Sheet2-计算明细'!$D$17:$D$99,$M48)),INDEX('Sheet2-计算明细'!$D$17:$D$99,$M48),IF(INDEX('Sheet2-计算明细'!$D$17:$D$99,$M48)="","",INDEX('Sheet2-计算明细'!$D$17:$D$99,$M48)))</f>
        <v>上海殊馥投资</v>
      </c>
      <c r="E48" s="9" t="str">
        <f>IF(ISNUMBER(INDEX('Sheet2-计算明细'!$H$17:$H$99,$M48)),INDEX('Sheet2-计算明细'!$H$17:$H$99,$M48),IF(INDEX('Sheet2-计算明细'!$H$17:$H$99,$M48)="","",INDEX('Sheet2-计算明细'!$H$17:$H$99,$M48)))</f>
        <v>10-20亿元</v>
      </c>
      <c r="F48" s="13">
        <f>IF(ISNUMBER(INDEX('Sheet2-计算明细'!$AV$17:$AV$99,$M48)),INDEX('Sheet2-计算明细'!$AV$17:$AV$99,$M48),IF(INDEX('Sheet2-计算明细'!$AV$17:$AV$99,$M48)="","",INDEX('Sheet2-计算明细'!$AV$17:$AV$99,$M48)))</f>
        <v>50.8739</v>
      </c>
      <c r="G48" s="13">
        <f>IF(ISNUMBER(INDEX('Sheet2-计算明细'!$AS$17:$AS$99,$M48)),INDEX('Sheet2-计算明细'!$AS$17:$AS$99,$M48),IF(INDEX('Sheet2-计算明细'!$AS$17:$AS$99,$M48)="","",INDEX('Sheet2-计算明细'!$AS$17:$AS$99,$M48)))</f>
        <v>50.87</v>
      </c>
      <c r="H48" s="12">
        <f>IF(ISNUMBER(INDEX('Sheet2-计算明细'!$AQ$17:$AQ$99,$M48)),INDEX('Sheet2-计算明细'!$AQ$17:$AQ$99,$M48),IF(INDEX('Sheet2-计算明细'!$AQ$17:$AQ$99,$M48)="","",INDEX('Sheet2-计算明细'!$AQ$17:$AQ$99,$M48)))</f>
        <v>1</v>
      </c>
      <c r="I48" s="9" t="str">
        <f>INDEX(协会公示!$G$2:$G$84,$M48)</f>
        <v>历史监管责令改正</v>
      </c>
      <c r="J48" s="9" t="str">
        <f>IF(ISNUMBER(INDEX('Sheet2-计算明细'!$AU$17:$AU$99,$M48)),INDEX('Sheet2-计算明细'!$AU$17:$AU$99,$M48),IF(INDEX('Sheet2-计算明细'!$AU$17:$AU$99,$M48)="","",INDEX('Sheet2-计算明细'!$AU$17:$AU$99,$M48)))</f>
        <v/>
      </c>
      <c r="K48" s="9">
        <f>IF(ISNUMBER(INDEX('Sheet2-计算明细'!$AT$17:$AT$99,$M48)),INDEX('Sheet2-计算明细'!$AT$17:$AT$99,$M48),IF(INDEX('Sheet2-计算明细'!$AT$17:$AT$99,$M48)="","",INDEX('Sheet2-计算明细'!$AT$17:$AT$99,$M48)))</f>
        <v>56</v>
      </c>
      <c r="L48" s="9" t="str">
        <f>IF(ISNUMBER(INDEX('Sheet2-计算明细'!$G$17:$G$99,$M48)),INDEX('Sheet2-计算明细'!$G$17:$G$99,$M48),IF(INDEX('Sheet2-计算明细'!$G$17:$G$99,$M48)="","",INDEX('Sheet2-计算明细'!$G$17:$G$99,$M48)))</f>
        <v>入池</v>
      </c>
      <c r="M48" s="9">
        <f>MATCH(A48,协会公示!$V$2:$V$84,0)</f>
        <v>60</v>
      </c>
      <c r="N48" s="9" t="str">
        <f>INDEX(协会公示!$R$2:$R$84,$M48)</f>
        <v>https://gs.amac.org.cn/amac-infodisc/res/pof/manager/101000042776.html</v>
      </c>
    </row>
    <row r="49" ht="25" hidden="1" customHeight="1" spans="1:14">
      <c r="A49" s="9">
        <v>44</v>
      </c>
      <c r="B49" s="9" t="str">
        <f>IF(ISNUMBER(INDEX('Sheet2-计算明细'!$B$17:$B$99,$M49)),INDEX('Sheet2-计算明细'!$B$17:$B$99,$M49),IF(INDEX('Sheet2-计算明细'!$B$17:$B$99,$M49)="","",INDEX('Sheet2-计算明细'!$B$17:$B$99,$M49)))</f>
        <v>博润易量稳健1号</v>
      </c>
      <c r="C49" s="9" t="str">
        <f>IF(ISNUMBER(INDEX('Sheet2-计算明细'!$C$17:$C$99,$M49)),INDEX('Sheet2-计算明细'!$C$17:$C$99,$M49),IF(INDEX('Sheet2-计算明细'!$C$17:$C$99,$M49)="","",INDEX('Sheet2-计算明细'!$C$17:$C$99,$M49)))</f>
        <v>SXL913</v>
      </c>
      <c r="D49" s="9" t="str">
        <f>IF(ISNUMBER(INDEX('Sheet2-计算明细'!$D$17:$D$99,$M49)),INDEX('Sheet2-计算明细'!$D$17:$D$99,$M49),IF(INDEX('Sheet2-计算明细'!$D$17:$D$99,$M49)="","",INDEX('Sheet2-计算明细'!$D$17:$D$99,$M49)))</f>
        <v>北京博润银泰投资</v>
      </c>
      <c r="E49" s="9" t="str">
        <f>IF(ISNUMBER(INDEX('Sheet2-计算明细'!$H$17:$H$99,$M49)),INDEX('Sheet2-计算明细'!$H$17:$H$99,$M49),IF(INDEX('Sheet2-计算明细'!$H$17:$H$99,$M49)="","",INDEX('Sheet2-计算明细'!$H$17:$H$99,$M49)))</f>
        <v>100亿元以上</v>
      </c>
      <c r="F49" s="13" t="str">
        <f>IF(ISNUMBER(INDEX('Sheet2-计算明细'!$AV$17:$AV$99,$M49)),INDEX('Sheet2-计算明细'!$AV$17:$AV$99,$M49),IF(INDEX('Sheet2-计算明细'!$AV$17:$AV$99,$M49)="","",INDEX('Sheet2-计算明细'!$AV$17:$AV$99,$M49)))</f>
        <v/>
      </c>
      <c r="G49" s="13">
        <f>IF(ISNUMBER(INDEX('Sheet2-计算明细'!$AS$17:$AS$99,$M49)),INDEX('Sheet2-计算明细'!$AS$17:$AS$99,$M49),IF(INDEX('Sheet2-计算明细'!$AS$17:$AS$99,$M49)="","",INDEX('Sheet2-计算明细'!$AS$17:$AS$99,$M49)))</f>
        <v>49.18</v>
      </c>
      <c r="H49" s="12">
        <f>IF(ISNUMBER(INDEX('Sheet2-计算明细'!$AQ$17:$AQ$99,$M49)),INDEX('Sheet2-计算明细'!$AQ$17:$AQ$99,$M49),IF(INDEX('Sheet2-计算明细'!$AQ$17:$AQ$99,$M49)="","",INDEX('Sheet2-计算明细'!$AQ$17:$AQ$99,$M49)))</f>
        <v>0.88</v>
      </c>
      <c r="I49" s="9" t="str">
        <f>INDEX(协会公示!$G$2:$G$84,$M49)</f>
        <v>本次公示未见相关提示</v>
      </c>
      <c r="J49" s="9" t="str">
        <f>IF(ISNUMBER(INDEX('Sheet2-计算明细'!$AU$17:$AU$99,$M49)),INDEX('Sheet2-计算明细'!$AU$17:$AU$99,$M49),IF(INDEX('Sheet2-计算明细'!$AU$17:$AU$99,$M49)="","",INDEX('Sheet2-计算明细'!$AU$17:$AU$99,$M49)))</f>
        <v>DD_long不可识别；</v>
      </c>
      <c r="K49" s="9">
        <f>IF(ISNUMBER(INDEX('Sheet2-计算明细'!$AT$17:$AT$99,$M49)),INDEX('Sheet2-计算明细'!$AT$17:$AT$99,$M49),IF(INDEX('Sheet2-计算明细'!$AT$17:$AT$99,$M49)="","",INDEX('Sheet2-计算明细'!$AT$17:$AT$99,$M49)))</f>
        <v>57</v>
      </c>
      <c r="L49" s="9" t="str">
        <f>IF(ISNUMBER(INDEX('Sheet2-计算明细'!$G$17:$G$99,$M49)),INDEX('Sheet2-计算明细'!$G$17:$G$99,$M49),IF(INDEX('Sheet2-计算明细'!$G$17:$G$99,$M49)="","",INDEX('Sheet2-计算明细'!$G$17:$G$99,$M49)))</f>
        <v>入池</v>
      </c>
      <c r="M49" s="9">
        <f>MATCH(A49,协会公示!$V$2:$V$84,0)</f>
        <v>5</v>
      </c>
      <c r="N49" s="9" t="str">
        <f>INDEX(协会公示!$R$2:$R$84,$M49)</f>
        <v>https://gs.amac.org.cn/amac-infodisc/res/pof/manager/101000005082.html</v>
      </c>
    </row>
    <row r="50" ht="25" hidden="1" customHeight="1" spans="1:14">
      <c r="A50" s="9">
        <v>45</v>
      </c>
      <c r="B50" s="9" t="str">
        <f>IF(ISNUMBER(INDEX('Sheet2-计算明细'!$B$17:$B$99,$M50)),INDEX('Sheet2-计算明细'!$B$17:$B$99,$M50),IF(INDEX('Sheet2-计算明细'!$B$17:$B$99,$M50)="","",INDEX('Sheet2-计算明细'!$B$17:$B$99,$M50)))</f>
        <v>中益仁梅香千寒</v>
      </c>
      <c r="C50" s="9" t="str">
        <f>IF(ISNUMBER(INDEX('Sheet2-计算明细'!$C$17:$C$99,$M50)),INDEX('Sheet2-计算明细'!$C$17:$C$99,$M50),IF(INDEX('Sheet2-计算明细'!$C$17:$C$99,$M50)="","",INDEX('Sheet2-计算明细'!$C$17:$C$99,$M50)))</f>
        <v>SBAF26</v>
      </c>
      <c r="D50" s="9" t="str">
        <f>IF(ISNUMBER(INDEX('Sheet2-计算明细'!$D$17:$D$99,$M50)),INDEX('Sheet2-计算明细'!$D$17:$D$99,$M50),IF(INDEX('Sheet2-计算明细'!$D$17:$D$99,$M50)="","",INDEX('Sheet2-计算明细'!$D$17:$D$99,$M50)))</f>
        <v>日照中益仁</v>
      </c>
      <c r="E50" s="9" t="str">
        <f>IF(ISNUMBER(INDEX('Sheet2-计算明细'!$H$17:$H$99,$M50)),INDEX('Sheet2-计算明细'!$H$17:$H$99,$M50),IF(INDEX('Sheet2-计算明细'!$H$17:$H$99,$M50)="","",INDEX('Sheet2-计算明细'!$H$17:$H$99,$M50)))</f>
        <v>10-20亿元</v>
      </c>
      <c r="F50" s="13" t="str">
        <f>IF(ISNUMBER(INDEX('Sheet2-计算明细'!$AV$17:$AV$99,$M50)),INDEX('Sheet2-计算明细'!$AV$17:$AV$99,$M50),IF(INDEX('Sheet2-计算明细'!$AV$17:$AV$99,$M50)="","",INDEX('Sheet2-计算明细'!$AV$17:$AV$99,$M50)))</f>
        <v/>
      </c>
      <c r="G50" s="13">
        <f>IF(ISNUMBER(INDEX('Sheet2-计算明细'!$AS$17:$AS$99,$M50)),INDEX('Sheet2-计算明细'!$AS$17:$AS$99,$M50),IF(INDEX('Sheet2-计算明细'!$AS$17:$AS$99,$M50)="","",INDEX('Sheet2-计算明细'!$AS$17:$AS$99,$M50)))</f>
        <v>48.77</v>
      </c>
      <c r="H50" s="12">
        <f>IF(ISNUMBER(INDEX('Sheet2-计算明细'!$AQ$17:$AQ$99,$M50)),INDEX('Sheet2-计算明细'!$AQ$17:$AQ$99,$M50),IF(INDEX('Sheet2-计算明细'!$AQ$17:$AQ$99,$M50)="","",INDEX('Sheet2-计算明细'!$AQ$17:$AQ$99,$M50)))</f>
        <v>0.88</v>
      </c>
      <c r="I50" s="9" t="str">
        <f>INDEX(协会公示!$G$2:$G$84,$M50)</f>
        <v>协会提示／已整改异常</v>
      </c>
      <c r="J50" s="9" t="str">
        <f>IF(ISNUMBER(INDEX('Sheet2-计算明细'!$AU$17:$AU$99,$M50)),INDEX('Sheet2-计算明细'!$AU$17:$AU$99,$M50),IF(INDEX('Sheet2-计算明细'!$AU$17:$AU$99,$M50)="","",INDEX('Sheet2-计算明细'!$AU$17:$AU$99,$M50)))</f>
        <v>近三年收益；近三年胜率；近三年回撤；DD_long不可识别；</v>
      </c>
      <c r="K50" s="9">
        <f>IF(ISNUMBER(INDEX('Sheet2-计算明细'!$AT$17:$AT$99,$M50)),INDEX('Sheet2-计算明细'!$AT$17:$AT$99,$M50),IF(INDEX('Sheet2-计算明细'!$AT$17:$AT$99,$M50)="","",INDEX('Sheet2-计算明细'!$AT$17:$AT$99,$M50)))</f>
        <v>58</v>
      </c>
      <c r="L50" s="9" t="str">
        <f>IF(ISNUMBER(INDEX('Sheet2-计算明细'!$G$17:$G$99,$M50)),INDEX('Sheet2-计算明细'!$G$17:$G$99,$M50),IF(INDEX('Sheet2-计算明细'!$G$17:$G$99,$M50)="","",INDEX('Sheet2-计算明细'!$G$17:$G$99,$M50)))</f>
        <v>入池</v>
      </c>
      <c r="M50" s="9">
        <f>MATCH(A50,协会公示!$V$2:$V$84,0)</f>
        <v>81</v>
      </c>
      <c r="N50" s="9" t="str">
        <f>INDEX(协会公示!$R$2:$R$84,$M50)</f>
        <v>https://gs.amac.org.cn/amac-infodisc/res/pof/manager/1708291806108811.html</v>
      </c>
    </row>
    <row r="51" ht="25" hidden="1" customHeight="1" spans="1:14">
      <c r="A51" s="9">
        <v>46</v>
      </c>
      <c r="B51" s="9" t="str">
        <f>IF(ISNUMBER(INDEX('Sheet2-计算明细'!$B$17:$B$99,$M51)),INDEX('Sheet2-计算明细'!$B$17:$B$99,$M51),IF(INDEX('Sheet2-计算明细'!$B$17:$B$99,$M51)="","",INDEX('Sheet2-计算明细'!$B$17:$B$99,$M51)))</f>
        <v>庄贤对冲3号</v>
      </c>
      <c r="C51" s="9" t="str">
        <f>IF(ISNUMBER(INDEX('Sheet2-计算明细'!$C$17:$C$99,$M51)),INDEX('Sheet2-计算明细'!$C$17:$C$99,$M51),IF(INDEX('Sheet2-计算明细'!$C$17:$C$99,$M51)="","",INDEX('Sheet2-计算明细'!$C$17:$C$99,$M51)))</f>
        <v>SGW091</v>
      </c>
      <c r="D51" s="9" t="str">
        <f>IF(ISNUMBER(INDEX('Sheet2-计算明细'!$D$17:$D$99,$M51)),INDEX('Sheet2-计算明细'!$D$17:$D$99,$M51),IF(INDEX('Sheet2-计算明细'!$D$17:$D$99,$M51)="","",INDEX('Sheet2-计算明细'!$D$17:$D$99,$M51)))</f>
        <v>杭州庄贤投资</v>
      </c>
      <c r="E51" s="9" t="str">
        <f>IF(ISNUMBER(INDEX('Sheet2-计算明细'!$H$17:$H$99,$M51)),INDEX('Sheet2-计算明细'!$H$17:$H$99,$M51),IF(INDEX('Sheet2-计算明细'!$H$17:$H$99,$M51)="","",INDEX('Sheet2-计算明细'!$H$17:$H$99,$M51)))</f>
        <v>20-50亿元</v>
      </c>
      <c r="F51" s="13">
        <f>IF(ISNUMBER(INDEX('Sheet2-计算明细'!$AV$17:$AV$99,$M51)),INDEX('Sheet2-计算明细'!$AV$17:$AV$99,$M51),IF(INDEX('Sheet2-计算明细'!$AV$17:$AV$99,$M51)="","",INDEX('Sheet2-计算明细'!$AV$17:$AV$99,$M51)))</f>
        <v>48.44721</v>
      </c>
      <c r="G51" s="13">
        <f>IF(ISNUMBER(INDEX('Sheet2-计算明细'!$AS$17:$AS$99,$M51)),INDEX('Sheet2-计算明细'!$AS$17:$AS$99,$M51),IF(INDEX('Sheet2-计算明细'!$AS$17:$AS$99,$M51)="","",INDEX('Sheet2-计算明细'!$AS$17:$AS$99,$M51)))</f>
        <v>48.45</v>
      </c>
      <c r="H51" s="12">
        <f>IF(ISNUMBER(INDEX('Sheet2-计算明细'!$AQ$17:$AQ$99,$M51)),INDEX('Sheet2-计算明细'!$AQ$17:$AQ$99,$M51),IF(INDEX('Sheet2-计算明细'!$AQ$17:$AQ$99,$M51)="","",INDEX('Sheet2-计算明细'!$AQ$17:$AQ$99,$M51)))</f>
        <v>1</v>
      </c>
      <c r="I51" s="9" t="str">
        <f>INDEX(协会公示!$G$2:$G$84,$M51)</f>
        <v>本次公示未见相关提示</v>
      </c>
      <c r="J51" s="9" t="str">
        <f>IF(ISNUMBER(INDEX('Sheet2-计算明细'!$AU$17:$AU$99,$M51)),INDEX('Sheet2-计算明细'!$AU$17:$AU$99,$M51),IF(INDEX('Sheet2-计算明细'!$AU$17:$AU$99,$M51)="","",INDEX('Sheet2-计算明细'!$AU$17:$AU$99,$M51)))</f>
        <v/>
      </c>
      <c r="K51" s="9">
        <f>IF(ISNUMBER(INDEX('Sheet2-计算明细'!$AT$17:$AT$99,$M51)),INDEX('Sheet2-计算明细'!$AT$17:$AT$99,$M51),IF(INDEX('Sheet2-计算明细'!$AT$17:$AT$99,$M51)="","",INDEX('Sheet2-计算明细'!$AT$17:$AT$99,$M51)))</f>
        <v>60</v>
      </c>
      <c r="L51" s="9" t="str">
        <f>IF(ISNUMBER(INDEX('Sheet2-计算明细'!$G$17:$G$99,$M51)),INDEX('Sheet2-计算明细'!$G$17:$G$99,$M51),IF(INDEX('Sheet2-计算明细'!$G$17:$G$99,$M51)="","",INDEX('Sheet2-计算明细'!$G$17:$G$99,$M51)))</f>
        <v>入池</v>
      </c>
      <c r="M51" s="9">
        <f>MATCH(A51,协会公示!$V$2:$V$84,0)</f>
        <v>82</v>
      </c>
      <c r="N51" s="9" t="str">
        <f>INDEX(协会公示!$R$2:$R$84,$M51)</f>
        <v>https://gs.amac.org.cn/amac-infodisc/res/pof/manager/1703280912100590.html</v>
      </c>
    </row>
    <row r="52" ht="25" hidden="1" customHeight="1" spans="1:14">
      <c r="A52" s="9">
        <v>47</v>
      </c>
      <c r="B52" s="9" t="str">
        <f>IF(ISNUMBER(INDEX('Sheet2-计算明细'!$B$17:$B$99,$M52)),INDEX('Sheet2-计算明细'!$B$17:$B$99,$M52),IF(INDEX('Sheet2-计算明细'!$B$17:$B$99,$M52)="","",INDEX('Sheet2-计算明细'!$B$17:$B$99,$M52)))</f>
        <v>晨翰11号</v>
      </c>
      <c r="C52" s="9" t="str">
        <f>IF(ISNUMBER(INDEX('Sheet2-计算明细'!$C$17:$C$99,$M52)),INDEX('Sheet2-计算明细'!$C$17:$C$99,$M52),IF(INDEX('Sheet2-计算明细'!$C$17:$C$99,$M52)="","",INDEX('Sheet2-计算明细'!$C$17:$C$99,$M52)))</f>
        <v>SVT598</v>
      </c>
      <c r="D52" s="9" t="str">
        <f>IF(ISNUMBER(INDEX('Sheet2-计算明细'!$D$17:$D$99,$M52)),INDEX('Sheet2-计算明细'!$D$17:$D$99,$M52),IF(INDEX('Sheet2-计算明细'!$D$17:$D$99,$M52)="","",INDEX('Sheet2-计算明细'!$D$17:$D$99,$M52)))</f>
        <v>晋江晨翰</v>
      </c>
      <c r="E52" s="9" t="str">
        <f>IF(ISNUMBER(INDEX('Sheet2-计算明细'!$H$17:$H$99,$M52)),INDEX('Sheet2-计算明细'!$H$17:$H$99,$M52),IF(INDEX('Sheet2-计算明细'!$H$17:$H$99,$M52)="","",INDEX('Sheet2-计算明细'!$H$17:$H$99,$M52)))</f>
        <v>5-10亿元</v>
      </c>
      <c r="F52" s="13">
        <f>IF(ISNUMBER(INDEX('Sheet2-计算明细'!$AV$17:$AV$99,$M52)),INDEX('Sheet2-计算明细'!$AV$17:$AV$99,$M52),IF(INDEX('Sheet2-计算明细'!$AV$17:$AV$99,$M52)="","",INDEX('Sheet2-计算明细'!$AV$17:$AV$99,$M52)))</f>
        <v>45.18907</v>
      </c>
      <c r="G52" s="13">
        <f>IF(ISNUMBER(INDEX('Sheet2-计算明细'!$AS$17:$AS$99,$M52)),INDEX('Sheet2-计算明细'!$AS$17:$AS$99,$M52),IF(INDEX('Sheet2-计算明细'!$AS$17:$AS$99,$M52)="","",INDEX('Sheet2-计算明细'!$AS$17:$AS$99,$M52)))</f>
        <v>45.19</v>
      </c>
      <c r="H52" s="12">
        <f>IF(ISNUMBER(INDEX('Sheet2-计算明细'!$AQ$17:$AQ$99,$M52)),INDEX('Sheet2-计算明细'!$AQ$17:$AQ$99,$M52),IF(INDEX('Sheet2-计算明细'!$AQ$17:$AQ$99,$M52)="","",INDEX('Sheet2-计算明细'!$AQ$17:$AQ$99,$M52)))</f>
        <v>1</v>
      </c>
      <c r="I52" s="9" t="str">
        <f>INDEX(协会公示!$G$2:$G$84,$M52)</f>
        <v>本次公示未见相关提示</v>
      </c>
      <c r="J52" s="9" t="str">
        <f>IF(ISNUMBER(INDEX('Sheet2-计算明细'!$AU$17:$AU$99,$M52)),INDEX('Sheet2-计算明细'!$AU$17:$AU$99,$M52),IF(INDEX('Sheet2-计算明细'!$AU$17:$AU$99,$M52)="","",INDEX('Sheet2-计算明细'!$AU$17:$AU$99,$M52)))</f>
        <v/>
      </c>
      <c r="K52" s="9">
        <f>IF(ISNUMBER(INDEX('Sheet2-计算明细'!$AT$17:$AT$99,$M52)),INDEX('Sheet2-计算明细'!$AT$17:$AT$99,$M52),IF(INDEX('Sheet2-计算明细'!$AT$17:$AT$99,$M52)="","",INDEX('Sheet2-计算明细'!$AT$17:$AT$99,$M52)))</f>
        <v>62</v>
      </c>
      <c r="L52" s="9" t="str">
        <f>IF(ISNUMBER(INDEX('Sheet2-计算明细'!$G$17:$G$99,$M52)),INDEX('Sheet2-计算明细'!$G$17:$G$99,$M52),IF(INDEX('Sheet2-计算明细'!$G$17:$G$99,$M52)="","",INDEX('Sheet2-计算明细'!$G$17:$G$99,$M52)))</f>
        <v>入池</v>
      </c>
      <c r="M52" s="9">
        <f>MATCH(A52,协会公示!$V$2:$V$84,0)</f>
        <v>10</v>
      </c>
      <c r="N52" s="9" t="str">
        <f>INDEX(协会公示!$R$2:$R$84,$M52)</f>
        <v>https://gs.amac.org.cn/amac-infodisc/res/pof/manager/2002211754119480.html</v>
      </c>
    </row>
    <row r="53" ht="25" hidden="1" customHeight="1" spans="1:14">
      <c r="A53" s="9">
        <v>48</v>
      </c>
      <c r="B53" s="9" t="str">
        <f>IF(ISNUMBER(INDEX('Sheet2-计算明细'!$B$17:$B$99,$M53)),INDEX('Sheet2-计算明细'!$B$17:$B$99,$M53),IF(INDEX('Sheet2-计算明细'!$B$17:$B$99,$M53)="","",INDEX('Sheet2-计算明细'!$B$17:$B$99,$M53)))</f>
        <v>悬铃C号</v>
      </c>
      <c r="C53" s="9" t="str">
        <f>IF(ISNUMBER(INDEX('Sheet2-计算明细'!$C$17:$C$99,$M53)),INDEX('Sheet2-计算明细'!$C$17:$C$99,$M53),IF(INDEX('Sheet2-计算明细'!$C$17:$C$99,$M53)="","",INDEX('Sheet2-计算明细'!$C$17:$C$99,$M53)))</f>
        <v>SEK201</v>
      </c>
      <c r="D53" s="9" t="str">
        <f>IF(ISNUMBER(INDEX('Sheet2-计算明细'!$D$17:$D$99,$M53)),INDEX('Sheet2-计算明细'!$D$17:$D$99,$M53),IF(INDEX('Sheet2-计算明细'!$D$17:$D$99,$M53)="","",INDEX('Sheet2-计算明细'!$D$17:$D$99,$M53)))</f>
        <v>上海悬铃</v>
      </c>
      <c r="E53" s="9" t="str">
        <f>IF(ISNUMBER(INDEX('Sheet2-计算明细'!$H$17:$H$99,$M53)),INDEX('Sheet2-计算明细'!$H$17:$H$99,$M53),IF(INDEX('Sheet2-计算明细'!$H$17:$H$99,$M53)="","",INDEX('Sheet2-计算明细'!$H$17:$H$99,$M53)))</f>
        <v>20-50亿元</v>
      </c>
      <c r="F53" s="13" t="str">
        <f>IF(ISNUMBER(INDEX('Sheet2-计算明细'!$AV$17:$AV$99,$M53)),INDEX('Sheet2-计算明细'!$AV$17:$AV$99,$M53),IF(INDEX('Sheet2-计算明细'!$AV$17:$AV$99,$M53)="","",INDEX('Sheet2-计算明细'!$AV$17:$AV$99,$M53)))</f>
        <v/>
      </c>
      <c r="G53" s="13">
        <f>IF(ISNUMBER(INDEX('Sheet2-计算明细'!$AS$17:$AS$99,$M53)),INDEX('Sheet2-计算明细'!$AS$17:$AS$99,$M53),IF(INDEX('Sheet2-计算明细'!$AS$17:$AS$99,$M53)="","",INDEX('Sheet2-计算明细'!$AS$17:$AS$99,$M53)))</f>
        <v>44.44</v>
      </c>
      <c r="H53" s="12">
        <f>IF(ISNUMBER(INDEX('Sheet2-计算明细'!$AQ$17:$AQ$99,$M53)),INDEX('Sheet2-计算明细'!$AQ$17:$AQ$99,$M53),IF(INDEX('Sheet2-计算明细'!$AQ$17:$AQ$99,$M53)="","",INDEX('Sheet2-计算明细'!$AQ$17:$AQ$99,$M53)))</f>
        <v>0.4</v>
      </c>
      <c r="I53" s="9" t="str">
        <f>INDEX(协会公示!$G$2:$G$84,$M53)</f>
        <v>本次公示未见相关提示</v>
      </c>
      <c r="J53" s="9" t="str">
        <f>IF(ISNUMBER(INDEX('Sheet2-计算明细'!$AU$17:$AU$99,$M53)),INDEX('Sheet2-计算明细'!$AU$17:$AU$99,$M53),IF(INDEX('Sheet2-计算明细'!$AU$17:$AU$99,$M53)="","",INDEX('Sheet2-计算明细'!$AU$17:$AU$99,$M53)))</f>
        <v>近一年收益；近一年胜率；近一年卡玛；</v>
      </c>
      <c r="K53" s="9">
        <f>IF(ISNUMBER(INDEX('Sheet2-计算明细'!$AT$17:$AT$99,$M53)),INDEX('Sheet2-计算明细'!$AT$17:$AT$99,$M53),IF(INDEX('Sheet2-计算明细'!$AT$17:$AT$99,$M53)="","",INDEX('Sheet2-计算明细'!$AT$17:$AT$99,$M53)))</f>
        <v>64</v>
      </c>
      <c r="L53" s="9" t="str">
        <f>IF(ISNUMBER(INDEX('Sheet2-计算明细'!$G$17:$G$99,$M53)),INDEX('Sheet2-计算明细'!$G$17:$G$99,$M53),IF(INDEX('Sheet2-计算明细'!$G$17:$G$99,$M53)="","",INDEX('Sheet2-计算明细'!$G$17:$G$99,$M53)))</f>
        <v>入池</v>
      </c>
      <c r="M53" s="9">
        <f>MATCH(A53,协会公示!$V$2:$V$84,0)</f>
        <v>67</v>
      </c>
      <c r="N53" s="9" t="str">
        <f>INDEX(协会公示!$R$2:$R$84,$M53)</f>
        <v>https://gs.amac.org.cn/amac-infodisc/res/pof/manager/1701161209103763.html</v>
      </c>
    </row>
    <row r="54" ht="25" hidden="1" customHeight="1" spans="1:14">
      <c r="A54" s="9">
        <v>49</v>
      </c>
      <c r="B54" s="9" t="str">
        <f>IF(ISNUMBER(INDEX('Sheet2-计算明细'!$B$17:$B$99,$M54)),INDEX('Sheet2-计算明细'!$B$17:$B$99,$M54),IF(INDEX('Sheet2-计算明细'!$B$17:$B$99,$M54)="","",INDEX('Sheet2-计算明细'!$B$17:$B$99,$M54)))</f>
        <v>晨翰6号</v>
      </c>
      <c r="C54" s="9" t="str">
        <f>IF(ISNUMBER(INDEX('Sheet2-计算明细'!$C$17:$C$99,$M54)),INDEX('Sheet2-计算明细'!$C$17:$C$99,$M54),IF(INDEX('Sheet2-计算明细'!$C$17:$C$99,$M54)="","",INDEX('Sheet2-计算明细'!$C$17:$C$99,$M54)))</f>
        <v>STS460</v>
      </c>
      <c r="D54" s="9" t="str">
        <f>IF(ISNUMBER(INDEX('Sheet2-计算明细'!$D$17:$D$99,$M54)),INDEX('Sheet2-计算明细'!$D$17:$D$99,$M54),IF(INDEX('Sheet2-计算明细'!$D$17:$D$99,$M54)="","",INDEX('Sheet2-计算明细'!$D$17:$D$99,$M54)))</f>
        <v>晋江晨翰</v>
      </c>
      <c r="E54" s="9" t="str">
        <f>IF(ISNUMBER(INDEX('Sheet2-计算明细'!$H$17:$H$99,$M54)),INDEX('Sheet2-计算明细'!$H$17:$H$99,$M54),IF(INDEX('Sheet2-计算明细'!$H$17:$H$99,$M54)="","",INDEX('Sheet2-计算明细'!$H$17:$H$99,$M54)))</f>
        <v>5-10亿元</v>
      </c>
      <c r="F54" s="13" t="str">
        <f>IF(ISNUMBER(INDEX('Sheet2-计算明细'!$AV$17:$AV$99,$M54)),INDEX('Sheet2-计算明细'!$AV$17:$AV$99,$M54),IF(INDEX('Sheet2-计算明细'!$AV$17:$AV$99,$M54)="","",INDEX('Sheet2-计算明细'!$AV$17:$AV$99,$M54)))</f>
        <v/>
      </c>
      <c r="G54" s="13">
        <f>IF(ISNUMBER(INDEX('Sheet2-计算明细'!$AS$17:$AS$99,$M54)),INDEX('Sheet2-计算明细'!$AS$17:$AS$99,$M54),IF(INDEX('Sheet2-计算明细'!$AS$17:$AS$99,$M54)="","",INDEX('Sheet2-计算明细'!$AS$17:$AS$99,$M54)))</f>
        <v>42.23</v>
      </c>
      <c r="H54" s="12">
        <f>IF(ISNUMBER(INDEX('Sheet2-计算明细'!$AQ$17:$AQ$99,$M54)),INDEX('Sheet2-计算明细'!$AQ$17:$AQ$99,$M54),IF(INDEX('Sheet2-计算明细'!$AQ$17:$AQ$99,$M54)="","",INDEX('Sheet2-计算明细'!$AQ$17:$AQ$99,$M54)))</f>
        <v>0.88</v>
      </c>
      <c r="I54" s="9" t="str">
        <f>INDEX(协会公示!$G$2:$G$84,$M54)</f>
        <v>本次公示未见相关提示</v>
      </c>
      <c r="J54" s="9" t="str">
        <f>IF(ISNUMBER(INDEX('Sheet2-计算明细'!$AU$17:$AU$99,$M54)),INDEX('Sheet2-计算明细'!$AU$17:$AU$99,$M54),IF(INDEX('Sheet2-计算明细'!$AU$17:$AU$99,$M54)="","",INDEX('Sheet2-计算明细'!$AU$17:$AU$99,$M54)))</f>
        <v>DD_long不可识别；</v>
      </c>
      <c r="K54" s="9">
        <f>IF(ISNUMBER(INDEX('Sheet2-计算明细'!$AT$17:$AT$99,$M54)),INDEX('Sheet2-计算明细'!$AT$17:$AT$99,$M54),IF(INDEX('Sheet2-计算明细'!$AT$17:$AT$99,$M54)="","",INDEX('Sheet2-计算明细'!$AT$17:$AT$99,$M54)))</f>
        <v>66</v>
      </c>
      <c r="L54" s="9" t="str">
        <f>IF(ISNUMBER(INDEX('Sheet2-计算明细'!$G$17:$G$99,$M54)),INDEX('Sheet2-计算明细'!$G$17:$G$99,$M54),IF(INDEX('Sheet2-计算明细'!$G$17:$G$99,$M54)="","",INDEX('Sheet2-计算明细'!$G$17:$G$99,$M54)))</f>
        <v>入池</v>
      </c>
      <c r="M54" s="9">
        <f>MATCH(A54,协会公示!$V$2:$V$84,0)</f>
        <v>11</v>
      </c>
      <c r="N54" s="9" t="str">
        <f>INDEX(协会公示!$R$2:$R$84,$M54)</f>
        <v>https://gs.amac.org.cn/amac-infodisc/res/pof/manager/2002211754119480.html</v>
      </c>
    </row>
    <row r="55" ht="25" hidden="1" customHeight="1" spans="1:14">
      <c r="A55" s="9">
        <v>50</v>
      </c>
      <c r="B55" s="9" t="str">
        <f>IF(ISNUMBER(INDEX('Sheet2-计算明细'!$B$17:$B$99,$M55)),INDEX('Sheet2-计算明细'!$B$17:$B$99,$M55),IF(INDEX('Sheet2-计算明细'!$B$17:$B$99,$M55)="","",INDEX('Sheet2-计算明细'!$B$17:$B$99,$M55)))</f>
        <v>嘉和传承精研二期</v>
      </c>
      <c r="C55" s="9" t="str">
        <f>IF(ISNUMBER(INDEX('Sheet2-计算明细'!$C$17:$C$99,$M55)),INDEX('Sheet2-计算明细'!$C$17:$C$99,$M55),IF(INDEX('Sheet2-计算明细'!$C$17:$C$99,$M55)="","",INDEX('Sheet2-计算明细'!$C$17:$C$99,$M55)))</f>
        <v>STD929</v>
      </c>
      <c r="D55" s="9" t="str">
        <f>IF(ISNUMBER(INDEX('Sheet2-计算明细'!$D$17:$D$99,$M55)),INDEX('Sheet2-计算明细'!$D$17:$D$99,$M55),IF(INDEX('Sheet2-计算明细'!$D$17:$D$99,$M55)="","",INDEX('Sheet2-计算明细'!$D$17:$D$99,$M55)))</f>
        <v>上海嘉和传承</v>
      </c>
      <c r="E55" s="9" t="str">
        <f>IF(ISNUMBER(INDEX('Sheet2-计算明细'!$H$17:$H$99,$M55)),INDEX('Sheet2-计算明细'!$H$17:$H$99,$M55),IF(INDEX('Sheet2-计算明细'!$H$17:$H$99,$M55)="","",INDEX('Sheet2-计算明细'!$H$17:$H$99,$M55)))</f>
        <v>5-10亿元</v>
      </c>
      <c r="F55" s="13" t="str">
        <f>IF(ISNUMBER(INDEX('Sheet2-计算明细'!$AV$17:$AV$99,$M55)),INDEX('Sheet2-计算明细'!$AV$17:$AV$99,$M55),IF(INDEX('Sheet2-计算明细'!$AV$17:$AV$99,$M55)="","",INDEX('Sheet2-计算明细'!$AV$17:$AV$99,$M55)))</f>
        <v/>
      </c>
      <c r="G55" s="13">
        <f>IF(ISNUMBER(INDEX('Sheet2-计算明细'!$AS$17:$AS$99,$M55)),INDEX('Sheet2-计算明细'!$AS$17:$AS$99,$M55),IF(INDEX('Sheet2-计算明细'!$AS$17:$AS$99,$M55)="","",INDEX('Sheet2-计算明细'!$AS$17:$AS$99,$M55)))</f>
        <v>41.95</v>
      </c>
      <c r="H55" s="12">
        <f>IF(ISNUMBER(INDEX('Sheet2-计算明细'!$AQ$17:$AQ$99,$M55)),INDEX('Sheet2-计算明细'!$AQ$17:$AQ$99,$M55),IF(INDEX('Sheet2-计算明细'!$AQ$17:$AQ$99,$M55)="","",INDEX('Sheet2-计算明细'!$AQ$17:$AQ$99,$M55)))</f>
        <v>0.88</v>
      </c>
      <c r="I55" s="9" t="str">
        <f>INDEX(协会公示!$G$2:$G$84,$M55)</f>
        <v>本次公示未见相关提示</v>
      </c>
      <c r="J55" s="9" t="str">
        <f>IF(ISNUMBER(INDEX('Sheet2-计算明细'!$AU$17:$AU$99,$M55)),INDEX('Sheet2-计算明细'!$AU$17:$AU$99,$M55),IF(INDEX('Sheet2-计算明细'!$AU$17:$AU$99,$M55)="","",INDEX('Sheet2-计算明细'!$AU$17:$AU$99,$M55)))</f>
        <v>DD_long不可识别；</v>
      </c>
      <c r="K55" s="9">
        <f>IF(ISNUMBER(INDEX('Sheet2-计算明细'!$AT$17:$AT$99,$M55)),INDEX('Sheet2-计算明细'!$AT$17:$AT$99,$M55),IF(INDEX('Sheet2-计算明细'!$AT$17:$AT$99,$M55)="","",INDEX('Sheet2-计算明细'!$AT$17:$AT$99,$M55)))</f>
        <v>67</v>
      </c>
      <c r="L55" s="9" t="str">
        <f>IF(ISNUMBER(INDEX('Sheet2-计算明细'!$G$17:$G$99,$M55)),INDEX('Sheet2-计算明细'!$G$17:$G$99,$M55),IF(INDEX('Sheet2-计算明细'!$G$17:$G$99,$M55)="","",INDEX('Sheet2-计算明细'!$G$17:$G$99,$M55)))</f>
        <v>入池</v>
      </c>
      <c r="M55" s="9">
        <f>MATCH(A55,协会公示!$V$2:$V$84,0)</f>
        <v>23</v>
      </c>
      <c r="N55" s="9" t="str">
        <f>INDEX(协会公示!$R$2:$R$84,$M55)</f>
        <v>https://gs.amac.org.cn/amac-infodisc/res/pof/manager/2203031405108672.html</v>
      </c>
    </row>
    <row r="56" ht="25" hidden="1" customHeight="1" spans="1:14">
      <c r="A56" s="9">
        <v>51</v>
      </c>
      <c r="B56" s="9" t="str">
        <f>IF(ISNUMBER(INDEX('Sheet2-计算明细'!$B$17:$B$99,$M56)),INDEX('Sheet2-计算明细'!$B$17:$B$99,$M56),IF(INDEX('Sheet2-计算明细'!$B$17:$B$99,$M56)="","",INDEX('Sheet2-计算明细'!$B$17:$B$99,$M56)))</f>
        <v>涌涵农本一号</v>
      </c>
      <c r="C56" s="9" t="str">
        <f>IF(ISNUMBER(INDEX('Sheet2-计算明细'!$C$17:$C$99,$M56)),INDEX('Sheet2-计算明细'!$C$17:$C$99,$M56),IF(INDEX('Sheet2-计算明细'!$C$17:$C$99,$M56)="","",INDEX('Sheet2-计算明细'!$C$17:$C$99,$M56)))</f>
        <v>SAWA30</v>
      </c>
      <c r="D56" s="9" t="str">
        <f>IF(ISNUMBER(INDEX('Sheet2-计算明细'!$D$17:$D$99,$M56)),INDEX('Sheet2-计算明细'!$D$17:$D$99,$M56),IF(INDEX('Sheet2-计算明细'!$D$17:$D$99,$M56)="","",INDEX('Sheet2-计算明细'!$D$17:$D$99,$M56)))</f>
        <v>上海涌涵</v>
      </c>
      <c r="E56" s="9" t="str">
        <f>IF(ISNUMBER(INDEX('Sheet2-计算明细'!$H$17:$H$99,$M56)),INDEX('Sheet2-计算明细'!$H$17:$H$99,$M56),IF(INDEX('Sheet2-计算明细'!$H$17:$H$99,$M56)="","",INDEX('Sheet2-计算明细'!$H$17:$H$99,$M56)))</f>
        <v>10-20亿元</v>
      </c>
      <c r="F56" s="13" t="str">
        <f>IF(ISNUMBER(INDEX('Sheet2-计算明细'!$AV$17:$AV$99,$M56)),INDEX('Sheet2-计算明细'!$AV$17:$AV$99,$M56),IF(INDEX('Sheet2-计算明细'!$AV$17:$AV$99,$M56)="","",INDEX('Sheet2-计算明细'!$AV$17:$AV$99,$M56)))</f>
        <v/>
      </c>
      <c r="G56" s="13">
        <f>IF(ISNUMBER(INDEX('Sheet2-计算明细'!$AS$17:$AS$99,$M56)),INDEX('Sheet2-计算明细'!$AS$17:$AS$99,$M56),IF(INDEX('Sheet2-计算明细'!$AS$17:$AS$99,$M56)="","",INDEX('Sheet2-计算明细'!$AS$17:$AS$99,$M56)))</f>
        <v>40.86</v>
      </c>
      <c r="H56" s="12">
        <f>IF(ISNUMBER(INDEX('Sheet2-计算明细'!$AQ$17:$AQ$99,$M56)),INDEX('Sheet2-计算明细'!$AQ$17:$AQ$99,$M56),IF(INDEX('Sheet2-计算明细'!$AQ$17:$AQ$99,$M56)="","",INDEX('Sheet2-计算明细'!$AQ$17:$AQ$99,$M56)))</f>
        <v>0.88</v>
      </c>
      <c r="I56" s="9" t="str">
        <f>INDEX(协会公示!$G$2:$G$84,$M56)</f>
        <v>本次公示未见相关提示</v>
      </c>
      <c r="J56" s="9" t="str">
        <f>IF(ISNUMBER(INDEX('Sheet2-计算明细'!$AU$17:$AU$99,$M56)),INDEX('Sheet2-计算明细'!$AU$17:$AU$99,$M56),IF(INDEX('Sheet2-计算明细'!$AU$17:$AU$99,$M56)="","",INDEX('Sheet2-计算明细'!$AU$17:$AU$99,$M56)))</f>
        <v>近三年收益；近三年胜率；近三年回撤；DD_long不可识别；</v>
      </c>
      <c r="K56" s="9">
        <f>IF(ISNUMBER(INDEX('Sheet2-计算明细'!$AT$17:$AT$99,$M56)),INDEX('Sheet2-计算明细'!$AT$17:$AT$99,$M56),IF(INDEX('Sheet2-计算明细'!$AT$17:$AT$99,$M56)="","",INDEX('Sheet2-计算明细'!$AT$17:$AT$99,$M56)))</f>
        <v>68</v>
      </c>
      <c r="L56" s="9" t="str">
        <f>IF(ISNUMBER(INDEX('Sheet2-计算明细'!$G$17:$G$99,$M56)),INDEX('Sheet2-计算明细'!$G$17:$G$99,$M56),IF(INDEX('Sheet2-计算明细'!$G$17:$G$99,$M56)="","",INDEX('Sheet2-计算明细'!$G$17:$G$99,$M56)))</f>
        <v>入池</v>
      </c>
      <c r="M56" s="9">
        <f>MATCH(A56,协会公示!$V$2:$V$84,0)</f>
        <v>72</v>
      </c>
      <c r="N56" s="9" t="str">
        <f>INDEX(协会公示!$R$2:$R$84,$M56)</f>
        <v>https://gs.amac.org.cn/amac-infodisc/res/pof/manager/2108301436104889.html</v>
      </c>
    </row>
    <row r="57" ht="25" hidden="1" customHeight="1" spans="1:14">
      <c r="A57" s="9">
        <v>52</v>
      </c>
      <c r="B57" s="9" t="str">
        <f>IF(ISNUMBER(INDEX('Sheet2-计算明细'!$B$17:$B$99,$M57)),INDEX('Sheet2-计算明细'!$B$17:$B$99,$M57),IF(INDEX('Sheet2-计算明细'!$B$17:$B$99,$M57)="","",INDEX('Sheet2-计算明细'!$B$17:$B$99,$M57)))</f>
        <v>盛冠达试金石3号</v>
      </c>
      <c r="C57" s="9" t="str">
        <f>IF(ISNUMBER(INDEX('Sheet2-计算明细'!$C$17:$C$99,$M57)),INDEX('Sheet2-计算明细'!$C$17:$C$99,$M57),IF(INDEX('Sheet2-计算明细'!$C$17:$C$99,$M57)="","",INDEX('Sheet2-计算明细'!$C$17:$C$99,$M57)))</f>
        <v>SW1709</v>
      </c>
      <c r="D57" s="9" t="str">
        <f>IF(ISNUMBER(INDEX('Sheet2-计算明细'!$D$17:$D$99,$M57)),INDEX('Sheet2-计算明细'!$D$17:$D$99,$M57),IF(INDEX('Sheet2-计算明细'!$D$17:$D$99,$M57)="","",INDEX('Sheet2-计算明细'!$D$17:$D$99,$M57)))</f>
        <v>海南盛冠达</v>
      </c>
      <c r="E57" s="9" t="str">
        <f>IF(ISNUMBER(INDEX('Sheet2-计算明细'!$H$17:$H$99,$M57)),INDEX('Sheet2-计算明细'!$H$17:$H$99,$M57),IF(INDEX('Sheet2-计算明细'!$H$17:$H$99,$M57)="","",INDEX('Sheet2-计算明细'!$H$17:$H$99,$M57)))</f>
        <v>20-50亿元</v>
      </c>
      <c r="F57" s="13">
        <f>IF(ISNUMBER(INDEX('Sheet2-计算明细'!$AV$17:$AV$99,$M57)),INDEX('Sheet2-计算明细'!$AV$17:$AV$99,$M57),IF(INDEX('Sheet2-计算明细'!$AV$17:$AV$99,$M57)="","",INDEX('Sheet2-计算明细'!$AV$17:$AV$99,$M57)))</f>
        <v>40.75586</v>
      </c>
      <c r="G57" s="13">
        <f>IF(ISNUMBER(INDEX('Sheet2-计算明细'!$AS$17:$AS$99,$M57)),INDEX('Sheet2-计算明细'!$AS$17:$AS$99,$M57),IF(INDEX('Sheet2-计算明细'!$AS$17:$AS$99,$M57)="","",INDEX('Sheet2-计算明细'!$AS$17:$AS$99,$M57)))</f>
        <v>40.76</v>
      </c>
      <c r="H57" s="12">
        <f>IF(ISNUMBER(INDEX('Sheet2-计算明细'!$AQ$17:$AQ$99,$M57)),INDEX('Sheet2-计算明细'!$AQ$17:$AQ$99,$M57),IF(INDEX('Sheet2-计算明细'!$AQ$17:$AQ$99,$M57)="","",INDEX('Sheet2-计算明细'!$AQ$17:$AQ$99,$M57)))</f>
        <v>1</v>
      </c>
      <c r="I57" s="9" t="str">
        <f>INDEX(协会公示!$G$2:$G$84,$M57)</f>
        <v>本次公示未见相关提示</v>
      </c>
      <c r="J57" s="9" t="str">
        <f>IF(ISNUMBER(INDEX('Sheet2-计算明细'!$AU$17:$AU$99,$M57)),INDEX('Sheet2-计算明细'!$AU$17:$AU$99,$M57),IF(INDEX('Sheet2-计算明细'!$AU$17:$AU$99,$M57)="","",INDEX('Sheet2-计算明细'!$AU$17:$AU$99,$M57)))</f>
        <v/>
      </c>
      <c r="K57" s="9">
        <f>IF(ISNUMBER(INDEX('Sheet2-计算明细'!$AT$17:$AT$99,$M57)),INDEX('Sheet2-计算明细'!$AT$17:$AT$99,$M57),IF(INDEX('Sheet2-计算明细'!$AT$17:$AT$99,$M57)="","",INDEX('Sheet2-计算明细'!$AT$17:$AT$99,$M57)))</f>
        <v>69</v>
      </c>
      <c r="L57" s="9" t="str">
        <f>IF(ISNUMBER(INDEX('Sheet2-计算明细'!$G$17:$G$99,$M57)),INDEX('Sheet2-计算明细'!$G$17:$G$99,$M57),IF(INDEX('Sheet2-计算明细'!$G$17:$G$99,$M57)="","",INDEX('Sheet2-计算明细'!$G$17:$G$99,$M57)))</f>
        <v>入池</v>
      </c>
      <c r="M57" s="9">
        <f>MATCH(A57,协会公示!$V$2:$V$84,0)</f>
        <v>57</v>
      </c>
      <c r="N57" s="9" t="str">
        <f>INDEX(协会公示!$R$2:$R$84,$M57)</f>
        <v>https://gs.amac.org.cn/amac-infodisc/res/pof/manager/101000001663.html</v>
      </c>
    </row>
    <row r="58" ht="25" hidden="1" customHeight="1" spans="1:14">
      <c r="A58" s="9">
        <v>53</v>
      </c>
      <c r="B58" s="9" t="str">
        <f>IF(ISNUMBER(INDEX('Sheet2-计算明细'!$B$17:$B$99,$M58)),INDEX('Sheet2-计算明细'!$B$17:$B$99,$M58),IF(INDEX('Sheet2-计算明细'!$B$17:$B$99,$M58)="","",INDEX('Sheet2-计算明细'!$B$17:$B$99,$M58)))</f>
        <v>尚湖期权套利安享1号</v>
      </c>
      <c r="C58" s="9" t="str">
        <f>IF(ISNUMBER(INDEX('Sheet2-计算明细'!$C$17:$C$99,$M58)),INDEX('Sheet2-计算明细'!$C$17:$C$99,$M58),IF(INDEX('Sheet2-计算明细'!$C$17:$C$99,$M58)="","",INDEX('Sheet2-计算明细'!$C$17:$C$99,$M58)))</f>
        <v>SXZ850</v>
      </c>
      <c r="D58" s="9" t="str">
        <f>IF(ISNUMBER(INDEX('Sheet2-计算明细'!$D$17:$D$99,$M58)),INDEX('Sheet2-计算明细'!$D$17:$D$99,$M58),IF(INDEX('Sheet2-计算明细'!$D$17:$D$99,$M58)="","",INDEX('Sheet2-计算明细'!$D$17:$D$99,$M58)))</f>
        <v>上海尚湖</v>
      </c>
      <c r="E58" s="9" t="str">
        <f>IF(ISNUMBER(INDEX('Sheet2-计算明细'!$H$17:$H$99,$M58)),INDEX('Sheet2-计算明细'!$H$17:$H$99,$M58),IF(INDEX('Sheet2-计算明细'!$H$17:$H$99,$M58)="","",INDEX('Sheet2-计算明细'!$H$17:$H$99,$M58)))</f>
        <v>5-10亿元</v>
      </c>
      <c r="F58" s="13">
        <f>IF(ISNUMBER(INDEX('Sheet2-计算明细'!$AV$17:$AV$99,$M58)),INDEX('Sheet2-计算明细'!$AV$17:$AV$99,$M58),IF(INDEX('Sheet2-计算明细'!$AV$17:$AV$99,$M58)="","",INDEX('Sheet2-计算明细'!$AV$17:$AV$99,$M58)))</f>
        <v>38.90314</v>
      </c>
      <c r="G58" s="13">
        <f>IF(ISNUMBER(INDEX('Sheet2-计算明细'!$AS$17:$AS$99,$M58)),INDEX('Sheet2-计算明细'!$AS$17:$AS$99,$M58),IF(INDEX('Sheet2-计算明细'!$AS$17:$AS$99,$M58)="","",INDEX('Sheet2-计算明细'!$AS$17:$AS$99,$M58)))</f>
        <v>38.9</v>
      </c>
      <c r="H58" s="12">
        <f>IF(ISNUMBER(INDEX('Sheet2-计算明细'!$AQ$17:$AQ$99,$M58)),INDEX('Sheet2-计算明细'!$AQ$17:$AQ$99,$M58),IF(INDEX('Sheet2-计算明细'!$AQ$17:$AQ$99,$M58)="","",INDEX('Sheet2-计算明细'!$AQ$17:$AQ$99,$M58)))</f>
        <v>1</v>
      </c>
      <c r="I58" s="9" t="str">
        <f>INDEX(协会公示!$G$2:$G$84,$M58)</f>
        <v>本次公示未见相关提示</v>
      </c>
      <c r="J58" s="9" t="str">
        <f>IF(ISNUMBER(INDEX('Sheet2-计算明细'!$AU$17:$AU$99,$M58)),INDEX('Sheet2-计算明细'!$AU$17:$AU$99,$M58),IF(INDEX('Sheet2-计算明细'!$AU$17:$AU$99,$M58)="","",INDEX('Sheet2-计算明细'!$AU$17:$AU$99,$M58)))</f>
        <v/>
      </c>
      <c r="K58" s="9">
        <f>IF(ISNUMBER(INDEX('Sheet2-计算明细'!$AT$17:$AT$99,$M58)),INDEX('Sheet2-计算明细'!$AT$17:$AT$99,$M58),IF(INDEX('Sheet2-计算明细'!$AT$17:$AT$99,$M58)="","",INDEX('Sheet2-计算明细'!$AT$17:$AT$99,$M58)))</f>
        <v>72</v>
      </c>
      <c r="L58" s="9" t="str">
        <f>IF(ISNUMBER(INDEX('Sheet2-计算明细'!$G$17:$G$99,$M58)),INDEX('Sheet2-计算明细'!$G$17:$G$99,$M58),IF(INDEX('Sheet2-计算明细'!$G$17:$G$99,$M58)="","",INDEX('Sheet2-计算明细'!$G$17:$G$99,$M58)))</f>
        <v>入池</v>
      </c>
      <c r="M58" s="9">
        <f>MATCH(A58,协会公示!$V$2:$V$84,0)</f>
        <v>54</v>
      </c>
      <c r="N58" s="9" t="str">
        <f>INDEX(协会公示!$R$2:$R$84,$M58)</f>
        <v>https://gs.amac.org.cn/amac-infodisc/res/pof/manager/101000036458.html</v>
      </c>
    </row>
    <row r="59" ht="25" hidden="1" customHeight="1" spans="1:14">
      <c r="A59" s="9">
        <v>54</v>
      </c>
      <c r="B59" s="9" t="str">
        <f>IF(ISNUMBER(INDEX('Sheet2-计算明细'!$B$17:$B$99,$M59)),INDEX('Sheet2-计算明细'!$B$17:$B$99,$M59),IF(INDEX('Sheet2-计算明细'!$B$17:$B$99,$M59)="","",INDEX('Sheet2-计算明细'!$B$17:$B$99,$M59)))</f>
        <v>致远投资昆仑1号</v>
      </c>
      <c r="C59" s="9" t="str">
        <f>IF(ISNUMBER(INDEX('Sheet2-计算明细'!$C$17:$C$99,$M59)),INDEX('Sheet2-计算明细'!$C$17:$C$99,$M59),IF(INDEX('Sheet2-计算明细'!$C$17:$C$99,$M59)="","",INDEX('Sheet2-计算明细'!$C$17:$C$99,$M59)))</f>
        <v>SSD863</v>
      </c>
      <c r="D59" s="9" t="str">
        <f>IF(ISNUMBER(INDEX('Sheet2-计算明细'!$D$17:$D$99,$M59)),INDEX('Sheet2-计算明细'!$D$17:$D$99,$M59),IF(INDEX('Sheet2-计算明细'!$D$17:$D$99,$M59)="","",INDEX('Sheet2-计算明细'!$D$17:$D$99,$M59)))</f>
        <v>广州致远</v>
      </c>
      <c r="E59" s="9" t="str">
        <f>IF(ISNUMBER(INDEX('Sheet2-计算明细'!$H$17:$H$99,$M59)),INDEX('Sheet2-计算明细'!$H$17:$H$99,$M59),IF(INDEX('Sheet2-计算明细'!$H$17:$H$99,$M59)="","",INDEX('Sheet2-计算明细'!$H$17:$H$99,$M59)))</f>
        <v>20-50亿元</v>
      </c>
      <c r="F59" s="13">
        <f>IF(ISNUMBER(INDEX('Sheet2-计算明细'!$AV$17:$AV$99,$M59)),INDEX('Sheet2-计算明细'!$AV$17:$AV$99,$M59),IF(INDEX('Sheet2-计算明细'!$AV$17:$AV$99,$M59)="","",INDEX('Sheet2-计算明细'!$AV$17:$AV$99,$M59)))</f>
        <v>38.81385</v>
      </c>
      <c r="G59" s="13">
        <f>IF(ISNUMBER(INDEX('Sheet2-计算明细'!$AS$17:$AS$99,$M59)),INDEX('Sheet2-计算明细'!$AS$17:$AS$99,$M59),IF(INDEX('Sheet2-计算明细'!$AS$17:$AS$99,$M59)="","",INDEX('Sheet2-计算明细'!$AS$17:$AS$99,$M59)))</f>
        <v>38.81</v>
      </c>
      <c r="H59" s="12">
        <f>IF(ISNUMBER(INDEX('Sheet2-计算明细'!$AQ$17:$AQ$99,$M59)),INDEX('Sheet2-计算明细'!$AQ$17:$AQ$99,$M59),IF(INDEX('Sheet2-计算明细'!$AQ$17:$AQ$99,$M59)="","",INDEX('Sheet2-计算明细'!$AQ$17:$AQ$99,$M59)))</f>
        <v>1</v>
      </c>
      <c r="I59" s="9" t="str">
        <f>INDEX(协会公示!$G$2:$G$84,$M59)</f>
        <v>本次公示未见相关提示</v>
      </c>
      <c r="J59" s="9" t="str">
        <f>IF(ISNUMBER(INDEX('Sheet2-计算明细'!$AU$17:$AU$99,$M59)),INDEX('Sheet2-计算明细'!$AU$17:$AU$99,$M59),IF(INDEX('Sheet2-计算明细'!$AU$17:$AU$99,$M59)="","",INDEX('Sheet2-计算明细'!$AU$17:$AU$99,$M59)))</f>
        <v/>
      </c>
      <c r="K59" s="9">
        <f>IF(ISNUMBER(INDEX('Sheet2-计算明细'!$AT$17:$AT$99,$M59)),INDEX('Sheet2-计算明细'!$AT$17:$AT$99,$M59),IF(INDEX('Sheet2-计算明细'!$AT$17:$AT$99,$M59)="","",INDEX('Sheet2-计算明细'!$AT$17:$AT$99,$M59)))</f>
        <v>73</v>
      </c>
      <c r="L59" s="9" t="str">
        <f>IF(ISNUMBER(INDEX('Sheet2-计算明细'!$G$17:$G$99,$M59)),INDEX('Sheet2-计算明细'!$G$17:$G$99,$M59),IF(INDEX('Sheet2-计算明细'!$G$17:$G$99,$M59)="","",INDEX('Sheet2-计算明细'!$G$17:$G$99,$M59)))</f>
        <v>入池</v>
      </c>
      <c r="M59" s="9">
        <f>MATCH(A59,协会公示!$V$2:$V$84,0)</f>
        <v>79</v>
      </c>
      <c r="N59" s="9" t="str">
        <f>INDEX(协会公示!$R$2:$R$84,$M59)</f>
        <v>https://gs.amac.org.cn/amac-infodisc/res/pof/manager/2011301812106408.html</v>
      </c>
    </row>
    <row r="60" ht="25" hidden="1" customHeight="1" spans="1:14">
      <c r="A60" s="9">
        <v>55</v>
      </c>
      <c r="B60" s="9" t="str">
        <f>IF(ISNUMBER(INDEX('Sheet2-计算明细'!$B$17:$B$99,$M60)),INDEX('Sheet2-计算明细'!$B$17:$B$99,$M60),IF(INDEX('Sheet2-计算明细'!$B$17:$B$99,$M60)="","",INDEX('Sheet2-计算明细'!$B$17:$B$99,$M60)))</f>
        <v>博牛转债策略2号</v>
      </c>
      <c r="C60" s="9" t="str">
        <f>IF(ISNUMBER(INDEX('Sheet2-计算明细'!$C$17:$C$99,$M60)),INDEX('Sheet2-计算明细'!$C$17:$C$99,$M60),IF(INDEX('Sheet2-计算明细'!$C$17:$C$99,$M60)="","",INDEX('Sheet2-计算明细'!$C$17:$C$99,$M60)))</f>
        <v>SVY871</v>
      </c>
      <c r="D60" s="9" t="str">
        <f>IF(ISNUMBER(INDEX('Sheet2-计算明细'!$D$17:$D$99,$M60)),INDEX('Sheet2-计算明细'!$D$17:$D$99,$M60),IF(INDEX('Sheet2-计算明细'!$D$17:$D$99,$M60)="","",INDEX('Sheet2-计算明细'!$D$17:$D$99,$M60)))</f>
        <v>广州博牛</v>
      </c>
      <c r="E60" s="9" t="str">
        <f>IF(ISNUMBER(INDEX('Sheet2-计算明细'!$H$17:$H$99,$M60)),INDEX('Sheet2-计算明细'!$H$17:$H$99,$M60),IF(INDEX('Sheet2-计算明细'!$H$17:$H$99,$M60)="","",INDEX('Sheet2-计算明细'!$H$17:$H$99,$M60)))</f>
        <v>5-10亿元</v>
      </c>
      <c r="F60" s="13">
        <f>IF(ISNUMBER(INDEX('Sheet2-计算明细'!$AV$17:$AV$99,$M60)),INDEX('Sheet2-计算明细'!$AV$17:$AV$99,$M60),IF(INDEX('Sheet2-计算明细'!$AV$17:$AV$99,$M60)="","",INDEX('Sheet2-计算明细'!$AV$17:$AV$99,$M60)))</f>
        <v>35.00643</v>
      </c>
      <c r="G60" s="13">
        <f>IF(ISNUMBER(INDEX('Sheet2-计算明细'!$AS$17:$AS$99,$M60)),INDEX('Sheet2-计算明细'!$AS$17:$AS$99,$M60),IF(INDEX('Sheet2-计算明细'!$AS$17:$AS$99,$M60)="","",INDEX('Sheet2-计算明细'!$AS$17:$AS$99,$M60)))</f>
        <v>35.01</v>
      </c>
      <c r="H60" s="12">
        <f>IF(ISNUMBER(INDEX('Sheet2-计算明细'!$AQ$17:$AQ$99,$M60)),INDEX('Sheet2-计算明细'!$AQ$17:$AQ$99,$M60),IF(INDEX('Sheet2-计算明细'!$AQ$17:$AQ$99,$M60)="","",INDEX('Sheet2-计算明细'!$AQ$17:$AQ$99,$M60)))</f>
        <v>1</v>
      </c>
      <c r="I60" s="9" t="str">
        <f>INDEX(协会公示!$G$2:$G$84,$M60)</f>
        <v>协会提示／已整改异常</v>
      </c>
      <c r="J60" s="9" t="str">
        <f>IF(ISNUMBER(INDEX('Sheet2-计算明细'!$AU$17:$AU$99,$M60)),INDEX('Sheet2-计算明细'!$AU$17:$AU$99,$M60),IF(INDEX('Sheet2-计算明细'!$AU$17:$AU$99,$M60)="","",INDEX('Sheet2-计算明细'!$AU$17:$AU$99,$M60)))</f>
        <v/>
      </c>
      <c r="K60" s="9">
        <f>IF(ISNUMBER(INDEX('Sheet2-计算明细'!$AT$17:$AT$99,$M60)),INDEX('Sheet2-计算明细'!$AT$17:$AT$99,$M60),IF(INDEX('Sheet2-计算明细'!$AT$17:$AT$99,$M60)="","",INDEX('Sheet2-计算明细'!$AT$17:$AT$99,$M60)))</f>
        <v>74</v>
      </c>
      <c r="L60" s="9" t="str">
        <f>IF(ISNUMBER(INDEX('Sheet2-计算明细'!$G$17:$G$99,$M60)),INDEX('Sheet2-计算明细'!$G$17:$G$99,$M60),IF(INDEX('Sheet2-计算明细'!$G$17:$G$99,$M60)="","",INDEX('Sheet2-计算明细'!$G$17:$G$99,$M60)))</f>
        <v>入池</v>
      </c>
      <c r="M60" s="9">
        <f>MATCH(A60,协会公示!$V$2:$V$84,0)</f>
        <v>3</v>
      </c>
      <c r="N60" s="9" t="str">
        <f>INDEX(协会公示!$R$2:$R$84,$M60)</f>
        <v>https://gs.amac.org.cn/amac-infodisc/res/pof/manager/1801020956105866.html</v>
      </c>
    </row>
    <row r="61" ht="25" hidden="1" customHeight="1" spans="1:14">
      <c r="A61" s="9">
        <v>56</v>
      </c>
      <c r="B61" s="9" t="str">
        <f>IF(ISNUMBER(INDEX('Sheet2-计算明细'!$B$17:$B$99,$M61)),INDEX('Sheet2-计算明细'!$B$17:$B$99,$M61),IF(INDEX('Sheet2-计算明细'!$B$17:$B$99,$M61)="","",INDEX('Sheet2-计算明细'!$B$17:$B$99,$M61)))</f>
        <v>唐龙量化对冲99号</v>
      </c>
      <c r="C61" s="9" t="str">
        <f>IF(ISNUMBER(INDEX('Sheet2-计算明细'!$C$17:$C$99,$M61)),INDEX('Sheet2-计算明细'!$C$17:$C$99,$M61),IF(INDEX('Sheet2-计算明细'!$C$17:$C$99,$M61)="","",INDEX('Sheet2-计算明细'!$C$17:$C$99,$M61)))</f>
        <v>SJQ683</v>
      </c>
      <c r="D61" s="9" t="str">
        <f>IF(ISNUMBER(INDEX('Sheet2-计算明细'!$D$17:$D$99,$M61)),INDEX('Sheet2-计算明细'!$D$17:$D$99,$M61),IF(INDEX('Sheet2-计算明细'!$D$17:$D$99,$M61)="","",INDEX('Sheet2-计算明细'!$D$17:$D$99,$M61)))</f>
        <v>福建平潭唐龙资管</v>
      </c>
      <c r="E61" s="9" t="str">
        <f>IF(ISNUMBER(INDEX('Sheet2-计算明细'!$H$17:$H$99,$M61)),INDEX('Sheet2-计算明细'!$H$17:$H$99,$M61),IF(INDEX('Sheet2-计算明细'!$H$17:$H$99,$M61)="","",INDEX('Sheet2-计算明细'!$H$17:$H$99,$M61)))</f>
        <v>5-10亿元</v>
      </c>
      <c r="F61" s="13">
        <f>IF(ISNUMBER(INDEX('Sheet2-计算明细'!$AV$17:$AV$99,$M61)),INDEX('Sheet2-计算明细'!$AV$17:$AV$99,$M61),IF(INDEX('Sheet2-计算明细'!$AV$17:$AV$99,$M61)="","",INDEX('Sheet2-计算明细'!$AV$17:$AV$99,$M61)))</f>
        <v>34.2218</v>
      </c>
      <c r="G61" s="13">
        <f>IF(ISNUMBER(INDEX('Sheet2-计算明细'!$AS$17:$AS$99,$M61)),INDEX('Sheet2-计算明细'!$AS$17:$AS$99,$M61),IF(INDEX('Sheet2-计算明细'!$AS$17:$AS$99,$M61)="","",INDEX('Sheet2-计算明细'!$AS$17:$AS$99,$M61)))</f>
        <v>34.22</v>
      </c>
      <c r="H61" s="12">
        <f>IF(ISNUMBER(INDEX('Sheet2-计算明细'!$AQ$17:$AQ$99,$M61)),INDEX('Sheet2-计算明细'!$AQ$17:$AQ$99,$M61),IF(INDEX('Sheet2-计算明细'!$AQ$17:$AQ$99,$M61)="","",INDEX('Sheet2-计算明细'!$AQ$17:$AQ$99,$M61)))</f>
        <v>1</v>
      </c>
      <c r="I61" s="9" t="str">
        <f>INDEX(协会公示!$G$2:$G$84,$M61)</f>
        <v>本次公示未见相关提示</v>
      </c>
      <c r="J61" s="9" t="str">
        <f>IF(ISNUMBER(INDEX('Sheet2-计算明细'!$AU$17:$AU$99,$M61)),INDEX('Sheet2-计算明细'!$AU$17:$AU$99,$M61),IF(INDEX('Sheet2-计算明细'!$AU$17:$AU$99,$M61)="","",INDEX('Sheet2-计算明细'!$AU$17:$AU$99,$M61)))</f>
        <v/>
      </c>
      <c r="K61" s="9">
        <f>IF(ISNUMBER(INDEX('Sheet2-计算明细'!$AT$17:$AT$99,$M61)),INDEX('Sheet2-计算明细'!$AT$17:$AT$99,$M61),IF(INDEX('Sheet2-计算明细'!$AT$17:$AT$99,$M61)="","",INDEX('Sheet2-计算明细'!$AT$17:$AT$99,$M61)))</f>
        <v>75</v>
      </c>
      <c r="L61" s="9" t="str">
        <f>IF(ISNUMBER(INDEX('Sheet2-计算明细'!$G$17:$G$99,$M61)),INDEX('Sheet2-计算明细'!$G$17:$G$99,$M61),IF(INDEX('Sheet2-计算明细'!$G$17:$G$99,$M61)="","",INDEX('Sheet2-计算明细'!$G$17:$G$99,$M61)))</f>
        <v>入池</v>
      </c>
      <c r="M61" s="9">
        <f>MATCH(A61,协会公示!$V$2:$V$84,0)</f>
        <v>65</v>
      </c>
      <c r="N61" s="9" t="str">
        <f>INDEX(协会公示!$R$2:$R$84,$M61)</f>
        <v>https://gs.amac.org.cn/amac-infodisc/res/pof/manager/1708091719102142.html</v>
      </c>
    </row>
    <row r="62" ht="25" hidden="1" customHeight="1" spans="1:14">
      <c r="A62" s="9">
        <v>57</v>
      </c>
      <c r="B62" s="9" t="str">
        <f>IF(ISNUMBER(INDEX('Sheet2-计算明细'!$B$17:$B$99,$M62)),INDEX('Sheet2-计算明细'!$B$17:$B$99,$M62),IF(INDEX('Sheet2-计算明细'!$B$17:$B$99,$M62)="","",INDEX('Sheet2-计算明细'!$B$17:$B$99,$M62)))</f>
        <v>金锝牵星1号C类</v>
      </c>
      <c r="C62" s="9" t="str">
        <f>IF(ISNUMBER(INDEX('Sheet2-计算明细'!$C$17:$C$99,$M62)),INDEX('Sheet2-计算明细'!$C$17:$C$99,$M62),IF(INDEX('Sheet2-计算明细'!$C$17:$C$99,$M62)="","",INDEX('Sheet2-计算明细'!$C$17:$C$99,$M62)))</f>
        <v>ASB89C</v>
      </c>
      <c r="D62" s="9" t="str">
        <f>IF(ISNUMBER(INDEX('Sheet2-计算明细'!$D$17:$D$99,$M62)),INDEX('Sheet2-计算明细'!$D$17:$D$99,$M62),IF(INDEX('Sheet2-计算明细'!$D$17:$D$99,$M62)="","",INDEX('Sheet2-计算明细'!$D$17:$D$99,$M62)))</f>
        <v>上海金锝资管</v>
      </c>
      <c r="E62" s="9" t="str">
        <f>IF(ISNUMBER(INDEX('Sheet2-计算明细'!$H$17:$H$99,$M62)),INDEX('Sheet2-计算明细'!$H$17:$H$99,$M62),IF(INDEX('Sheet2-计算明细'!$H$17:$H$99,$M62)="","",INDEX('Sheet2-计算明细'!$H$17:$H$99,$M62)))</f>
        <v>100亿元以上</v>
      </c>
      <c r="F62" s="13" t="str">
        <f>IF(ISNUMBER(INDEX('Sheet2-计算明细'!$AV$17:$AV$99,$M62)),INDEX('Sheet2-计算明细'!$AV$17:$AV$99,$M62),IF(INDEX('Sheet2-计算明细'!$AV$17:$AV$99,$M62)="","",INDEX('Sheet2-计算明细'!$AV$17:$AV$99,$M62)))</f>
        <v/>
      </c>
      <c r="G62" s="13">
        <f>IF(ISNUMBER(INDEX('Sheet2-计算明细'!$AS$17:$AS$99,$M62)),INDEX('Sheet2-计算明细'!$AS$17:$AS$99,$M62),IF(INDEX('Sheet2-计算明细'!$AS$17:$AS$99,$M62)="","",INDEX('Sheet2-计算明细'!$AS$17:$AS$99,$M62)))</f>
        <v>29.12</v>
      </c>
      <c r="H62" s="12">
        <f>IF(ISNUMBER(INDEX('Sheet2-计算明细'!$AQ$17:$AQ$99,$M62)),INDEX('Sheet2-计算明细'!$AQ$17:$AQ$99,$M62),IF(INDEX('Sheet2-计算明细'!$AQ$17:$AQ$99,$M62)="","",INDEX('Sheet2-计算明细'!$AQ$17:$AQ$99,$M62)))</f>
        <v>0.811</v>
      </c>
      <c r="I62" s="9" t="str">
        <f>INDEX(协会公示!$G$2:$G$84,$M62)</f>
        <v>本次公示未见相关提示</v>
      </c>
      <c r="J62" s="9" t="str">
        <f>IF(ISNUMBER(INDEX('Sheet2-计算明细'!$AU$17:$AU$99,$M62)),INDEX('Sheet2-计算明细'!$AU$17:$AU$99,$M62),IF(INDEX('Sheet2-计算明细'!$AU$17:$AU$99,$M62)="","",INDEX('Sheet2-计算明细'!$AU$17:$AU$99,$M62)))</f>
        <v>产品规模标识；近三年收益；近三年胜率；近三年回撤；DD_long不可识别；</v>
      </c>
      <c r="K62" s="9">
        <f>IF(ISNUMBER(INDEX('Sheet2-计算明细'!$AT$17:$AT$99,$M62)),INDEX('Sheet2-计算明细'!$AT$17:$AT$99,$M62),IF(INDEX('Sheet2-计算明细'!$AT$17:$AT$99,$M62)="","",INDEX('Sheet2-计算明细'!$AT$17:$AT$99,$M62)))</f>
        <v>76</v>
      </c>
      <c r="L62" s="9" t="str">
        <f>IF(ISNUMBER(INDEX('Sheet2-计算明细'!$G$17:$G$99,$M62)),INDEX('Sheet2-计算明细'!$G$17:$G$99,$M62),IF(INDEX('Sheet2-计算明细'!$G$17:$G$99,$M62)="","",INDEX('Sheet2-计算明细'!$G$17:$G$99,$M62)))</f>
        <v>入池</v>
      </c>
      <c r="M62" s="9">
        <f>MATCH(A62,协会公示!$V$2:$V$84,0)</f>
        <v>27</v>
      </c>
      <c r="N62" s="9" t="str">
        <f>INDEX(协会公示!$R$2:$R$84,$M62)</f>
        <v>https://gs.amac.org.cn/amac-infodisc/res/pof/manager/101000003739.html</v>
      </c>
    </row>
    <row r="63" ht="25" hidden="1" customHeight="1" spans="1:14">
      <c r="A63" s="9">
        <v>58</v>
      </c>
      <c r="B63" s="9" t="str">
        <f>IF(ISNUMBER(INDEX('Sheet2-计算明细'!$B$17:$B$99,$M63)),INDEX('Sheet2-计算明细'!$B$17:$B$99,$M63),IF(INDEX('Sheet2-计算明细'!$B$17:$B$99,$M63)="","",INDEX('Sheet2-计算明细'!$B$17:$B$99,$M63)))</f>
        <v>量金灵瑞1号</v>
      </c>
      <c r="C63" s="9" t="str">
        <f>IF(ISNUMBER(INDEX('Sheet2-计算明细'!$C$17:$C$99,$M63)),INDEX('Sheet2-计算明细'!$C$17:$C$99,$M63),IF(INDEX('Sheet2-计算明细'!$C$17:$C$99,$M63)="","",INDEX('Sheet2-计算明细'!$C$17:$C$99,$M63)))</f>
        <v>SAPV10</v>
      </c>
      <c r="D63" s="9" t="str">
        <f>IF(ISNUMBER(INDEX('Sheet2-计算明细'!$D$17:$D$99,$M63)),INDEX('Sheet2-计算明细'!$D$17:$D$99,$M63),IF(INDEX('Sheet2-计算明细'!$D$17:$D$99,$M63)="","",INDEX('Sheet2-计算明细'!$D$17:$D$99,$M63)))</f>
        <v>上海坤灵</v>
      </c>
      <c r="E63" s="9" t="str">
        <f>IF(ISNUMBER(INDEX('Sheet2-计算明细'!$H$17:$H$99,$M63)),INDEX('Sheet2-计算明细'!$H$17:$H$99,$M63),IF(INDEX('Sheet2-计算明细'!$H$17:$H$99,$M63)="","",INDEX('Sheet2-计算明细'!$H$17:$H$99,$M63)))</f>
        <v>20-50亿元</v>
      </c>
      <c r="F63" s="13" t="str">
        <f>IF(ISNUMBER(INDEX('Sheet2-计算明细'!$AV$17:$AV$99,$M63)),INDEX('Sheet2-计算明细'!$AV$17:$AV$99,$M63),IF(INDEX('Sheet2-计算明细'!$AV$17:$AV$99,$M63)="","",INDEX('Sheet2-计算明细'!$AV$17:$AV$99,$M63)))</f>
        <v/>
      </c>
      <c r="G63" s="13">
        <f>IF(ISNUMBER(INDEX('Sheet2-计算明细'!$AS$17:$AS$99,$M63)),INDEX('Sheet2-计算明细'!$AS$17:$AS$99,$M63),IF(INDEX('Sheet2-计算明细'!$AS$17:$AS$99,$M63)="","",INDEX('Sheet2-计算明细'!$AS$17:$AS$99,$M63)))</f>
        <v>23.34</v>
      </c>
      <c r="H63" s="12">
        <f>IF(ISNUMBER(INDEX('Sheet2-计算明细'!$AQ$17:$AQ$99,$M63)),INDEX('Sheet2-计算明细'!$AQ$17:$AQ$99,$M63),IF(INDEX('Sheet2-计算明细'!$AQ$17:$AQ$99,$M63)="","",INDEX('Sheet2-计算明细'!$AQ$17:$AQ$99,$M63)))</f>
        <v>0.7</v>
      </c>
      <c r="I63" s="9" t="str">
        <f>INDEX(协会公示!$G$2:$G$84,$M63)</f>
        <v>本次公示未见相关提示</v>
      </c>
      <c r="J63" s="9" t="str">
        <f>IF(ISNUMBER(INDEX('Sheet2-计算明细'!$AU$17:$AU$99,$M63)),INDEX('Sheet2-计算明细'!$AU$17:$AU$99,$M63),IF(INDEX('Sheet2-计算明细'!$AU$17:$AU$99,$M63)="","",INDEX('Sheet2-计算明细'!$AU$17:$AU$99,$M63)))</f>
        <v>近三年收益；近三年胜率；近三年回撤；成立以来年化；</v>
      </c>
      <c r="K63" s="9">
        <f>IF(ISNUMBER(INDEX('Sheet2-计算明细'!$AT$17:$AT$99,$M63)),INDEX('Sheet2-计算明细'!$AT$17:$AT$99,$M63),IF(INDEX('Sheet2-计算明细'!$AT$17:$AT$99,$M63)="","",INDEX('Sheet2-计算明细'!$AT$17:$AT$99,$M63)))</f>
        <v>77</v>
      </c>
      <c r="L63" s="9" t="str">
        <f>IF(ISNUMBER(INDEX('Sheet2-计算明细'!$G$17:$G$99,$M63)),INDEX('Sheet2-计算明细'!$G$17:$G$99,$M63),IF(INDEX('Sheet2-计算明细'!$G$17:$G$99,$M63)="","",INDEX('Sheet2-计算明细'!$G$17:$G$99,$M63)))</f>
        <v>入池</v>
      </c>
      <c r="M63" s="9">
        <f>MATCH(A63,协会公示!$V$2:$V$84,0)</f>
        <v>33</v>
      </c>
      <c r="N63" s="9" t="str">
        <f>INDEX(协会公示!$R$2:$R$84,$M63)</f>
        <v>https://gs.amac.org.cn/amac-infodisc/res/pof/manager/101000023324.html</v>
      </c>
    </row>
    <row r="64" ht="25" hidden="1" customHeight="1" spans="1:14">
      <c r="A64" s="9">
        <v>59</v>
      </c>
      <c r="B64" s="9" t="str">
        <f>IF(ISNUMBER(INDEX('Sheet2-计算明细'!$B$17:$B$99,$M64)),INDEX('Sheet2-计算明细'!$B$17:$B$99,$M64),IF(INDEX('Sheet2-计算明细'!$B$17:$B$99,$M64)="","",INDEX('Sheet2-计算明细'!$B$17:$B$99,$M64)))</f>
        <v>东源投资丰源5号</v>
      </c>
      <c r="C64" s="9" t="str">
        <f>IF(ISNUMBER(INDEX('Sheet2-计算明细'!$C$17:$C$99,$M64)),INDEX('Sheet2-计算明细'!$C$17:$C$99,$M64),IF(INDEX('Sheet2-计算明细'!$C$17:$C$99,$M64)="","",INDEX('Sheet2-计算明细'!$C$17:$C$99,$M64)))</f>
        <v>SBMG09</v>
      </c>
      <c r="D64" s="9" t="str">
        <f>IF(ISNUMBER(INDEX('Sheet2-计算明细'!$D$17:$D$99,$M64)),INDEX('Sheet2-计算明细'!$D$17:$D$99,$M64),IF(INDEX('Sheet2-计算明细'!$D$17:$D$99,$M64)="","",INDEX('Sheet2-计算明细'!$D$17:$D$99,$M64)))</f>
        <v>天津东源投资</v>
      </c>
      <c r="E64" s="9" t="str">
        <f>IF(ISNUMBER(INDEX('Sheet2-计算明细'!$H$17:$H$99,$M64)),INDEX('Sheet2-计算明细'!$H$17:$H$99,$M64),IF(INDEX('Sheet2-计算明细'!$H$17:$H$99,$M64)="","",INDEX('Sheet2-计算明细'!$H$17:$H$99,$M64)))</f>
        <v>20-50亿元</v>
      </c>
      <c r="F64" s="13" t="str">
        <f>IF(ISNUMBER(INDEX('Sheet2-计算明细'!$AV$17:$AV$99,$M64)),INDEX('Sheet2-计算明细'!$AV$17:$AV$99,$M64),IF(INDEX('Sheet2-计算明细'!$AV$17:$AV$99,$M64)="","",INDEX('Sheet2-计算明细'!$AV$17:$AV$99,$M64)))</f>
        <v/>
      </c>
      <c r="G64" s="13" t="str">
        <f>IF(ISNUMBER(INDEX('Sheet2-计算明细'!$AS$17:$AS$99,$M64)),INDEX('Sheet2-计算明细'!$AS$17:$AS$99,$M64),IF(INDEX('Sheet2-计算明细'!$AS$17:$AS$99,$M64)="","",INDEX('Sheet2-计算明细'!$AS$17:$AS$99,$M64)))</f>
        <v/>
      </c>
      <c r="H64" s="12">
        <f>IF(ISNUMBER(INDEX('Sheet2-计算明细'!$AQ$17:$AQ$99,$M64)),INDEX('Sheet2-计算明细'!$AQ$17:$AQ$99,$M64),IF(INDEX('Sheet2-计算明细'!$AQ$17:$AQ$99,$M64)="","",INDEX('Sheet2-计算明细'!$AQ$17:$AQ$99,$M64)))</f>
        <v>0</v>
      </c>
      <c r="I64" s="9" t="str">
        <f>INDEX(协会公示!$G$2:$G$84,$M64)</f>
        <v>协会提示／已整改异常</v>
      </c>
      <c r="J64" s="9" t="str">
        <f>IF(ISNUMBER(INDEX('Sheet2-计算明细'!$AU$17:$AU$99,$M64)),INDEX('Sheet2-计算明细'!$AU$17:$AU$99,$M64),IF(INDEX('Sheet2-计算明细'!$AU$17:$AU$99,$M64)="","",INDEX('Sheet2-计算明细'!$AU$17:$AU$99,$M64)))</f>
        <v>近一年收益；近一年胜率；近三年收益；近三年胜率；近三年回撤；近一年卡玛；成立以来年化；</v>
      </c>
      <c r="K64" s="9" t="str">
        <f>IF(ISNUMBER(INDEX('Sheet2-计算明细'!$AT$17:$AT$99,$M64)),INDEX('Sheet2-计算明细'!$AT$17:$AT$99,$M64),IF(INDEX('Sheet2-计算明细'!$AT$17:$AT$99,$M64)="","",INDEX('Sheet2-计算明细'!$AT$17:$AT$99,$M64)))</f>
        <v/>
      </c>
      <c r="L64" s="9" t="str">
        <f>IF(ISNUMBER(INDEX('Sheet2-计算明细'!$G$17:$G$99,$M64)),INDEX('Sheet2-计算明细'!$G$17:$G$99,$M64),IF(INDEX('Sheet2-计算明细'!$G$17:$G$99,$M64)="","",INDEX('Sheet2-计算明细'!$G$17:$G$99,$M64)))</f>
        <v>不入池</v>
      </c>
      <c r="M64" s="9">
        <f>MATCH(A64,协会公示!$V$2:$V$84,0)</f>
        <v>14</v>
      </c>
      <c r="N64" s="9" t="str">
        <f>INDEX(协会公示!$R$2:$R$84,$M64)</f>
        <v>https://gs.amac.org.cn/amac-infodisc/res/pof/manager/101000000235.html</v>
      </c>
    </row>
    <row r="65" ht="25" hidden="1" customHeight="1" spans="1:14">
      <c r="A65" s="9">
        <v>60</v>
      </c>
      <c r="B65" s="9" t="str">
        <f>IF(ISNUMBER(INDEX('Sheet2-计算明细'!$B$17:$B$99,$M65)),INDEX('Sheet2-计算明细'!$B$17:$B$99,$M65),IF(INDEX('Sheet2-计算明细'!$B$17:$B$99,$M65)="","",INDEX('Sheet2-计算明细'!$B$17:$B$99,$M65)))</f>
        <v>东源投资乐源1号</v>
      </c>
      <c r="C65" s="9" t="str">
        <f>IF(ISNUMBER(INDEX('Sheet2-计算明细'!$C$17:$C$99,$M65)),INDEX('Sheet2-计算明细'!$C$17:$C$99,$M65),IF(INDEX('Sheet2-计算明细'!$C$17:$C$99,$M65)="","",INDEX('Sheet2-计算明细'!$C$17:$C$99,$M65)))</f>
        <v>SBRX68</v>
      </c>
      <c r="D65" s="9" t="str">
        <f>IF(ISNUMBER(INDEX('Sheet2-计算明细'!$D$17:$D$99,$M65)),INDEX('Sheet2-计算明细'!$D$17:$D$99,$M65),IF(INDEX('Sheet2-计算明细'!$D$17:$D$99,$M65)="","",INDEX('Sheet2-计算明细'!$D$17:$D$99,$M65)))</f>
        <v>天津东源投资</v>
      </c>
      <c r="E65" s="9" t="str">
        <f>IF(ISNUMBER(INDEX('Sheet2-计算明细'!$H$17:$H$99,$M65)),INDEX('Sheet2-计算明细'!$H$17:$H$99,$M65),IF(INDEX('Sheet2-计算明细'!$H$17:$H$99,$M65)="","",INDEX('Sheet2-计算明细'!$H$17:$H$99,$M65)))</f>
        <v>20-50亿元</v>
      </c>
      <c r="F65" s="13" t="str">
        <f>IF(ISNUMBER(INDEX('Sheet2-计算明细'!$AV$17:$AV$99,$M65)),INDEX('Sheet2-计算明细'!$AV$17:$AV$99,$M65),IF(INDEX('Sheet2-计算明细'!$AV$17:$AV$99,$M65)="","",INDEX('Sheet2-计算明细'!$AV$17:$AV$99,$M65)))</f>
        <v/>
      </c>
      <c r="G65" s="13" t="str">
        <f>IF(ISNUMBER(INDEX('Sheet2-计算明细'!$AS$17:$AS$99,$M65)),INDEX('Sheet2-计算明细'!$AS$17:$AS$99,$M65),IF(INDEX('Sheet2-计算明细'!$AS$17:$AS$99,$M65)="","",INDEX('Sheet2-计算明细'!$AS$17:$AS$99,$M65)))</f>
        <v/>
      </c>
      <c r="H65" s="12">
        <f>IF(ISNUMBER(INDEX('Sheet2-计算明细'!$AQ$17:$AQ$99,$M65)),INDEX('Sheet2-计算明细'!$AQ$17:$AQ$99,$M65),IF(INDEX('Sheet2-计算明细'!$AQ$17:$AQ$99,$M65)="","",INDEX('Sheet2-计算明细'!$AQ$17:$AQ$99,$M65)))</f>
        <v>0</v>
      </c>
      <c r="I65" s="9" t="str">
        <f>INDEX(协会公示!$G$2:$G$84,$M65)</f>
        <v>协会提示／已整改异常</v>
      </c>
      <c r="J65" s="9" t="str">
        <f>IF(ISNUMBER(INDEX('Sheet2-计算明细'!$AU$17:$AU$99,$M65)),INDEX('Sheet2-计算明细'!$AU$17:$AU$99,$M65),IF(INDEX('Sheet2-计算明细'!$AU$17:$AU$99,$M65)="","",INDEX('Sheet2-计算明细'!$AU$17:$AU$99,$M65)))</f>
        <v>近一年收益；近一年胜率；近三年收益；近三年胜率；近三年回撤；近一年卡玛；</v>
      </c>
      <c r="K65" s="9" t="str">
        <f>IF(ISNUMBER(INDEX('Sheet2-计算明细'!$AT$17:$AT$99,$M65)),INDEX('Sheet2-计算明细'!$AT$17:$AT$99,$M65),IF(INDEX('Sheet2-计算明细'!$AT$17:$AT$99,$M65)="","",INDEX('Sheet2-计算明细'!$AT$17:$AT$99,$M65)))</f>
        <v/>
      </c>
      <c r="L65" s="9" t="str">
        <f>IF(ISNUMBER(INDEX('Sheet2-计算明细'!$G$17:$G$99,$M65)),INDEX('Sheet2-计算明细'!$G$17:$G$99,$M65),IF(INDEX('Sheet2-计算明细'!$G$17:$G$99,$M65)="","",INDEX('Sheet2-计算明细'!$G$17:$G$99,$M65)))</f>
        <v>不入池</v>
      </c>
      <c r="M65" s="9">
        <f>MATCH(A65,协会公示!$V$2:$V$84,0)</f>
        <v>15</v>
      </c>
      <c r="N65" s="9" t="str">
        <f>INDEX(协会公示!$R$2:$R$84,$M65)</f>
        <v>https://gs.amac.org.cn/amac-infodisc/res/pof/manager/101000000235.html</v>
      </c>
    </row>
    <row r="66" ht="25" hidden="1" customHeight="1" spans="1:14">
      <c r="A66" s="9">
        <v>61</v>
      </c>
      <c r="B66" s="9" t="str">
        <f>IF(ISNUMBER(INDEX('Sheet2-计算明细'!$B$17:$B$99,$M66)),INDEX('Sheet2-计算明细'!$B$17:$B$99,$M66),IF(INDEX('Sheet2-计算明细'!$B$17:$B$99,$M66)="","",INDEX('Sheet2-计算明细'!$B$17:$B$99,$M66)))</f>
        <v>九木套利9号A类</v>
      </c>
      <c r="C66" s="9" t="str">
        <f>IF(ISNUMBER(INDEX('Sheet2-计算明细'!$C$17:$C$99,$M66)),INDEX('Sheet2-计算明细'!$C$17:$C$99,$M66),IF(INDEX('Sheet2-计算明细'!$C$17:$C$99,$M66)="","",INDEX('Sheet2-计算明细'!$C$17:$C$99,$M66)))</f>
        <v>BSA32A</v>
      </c>
      <c r="D66" s="9" t="str">
        <f>IF(ISNUMBER(INDEX('Sheet2-计算明细'!$D$17:$D$99,$M66)),INDEX('Sheet2-计算明细'!$D$17:$D$99,$M66),IF(INDEX('Sheet2-计算明细'!$D$17:$D$99,$M66)="","",INDEX('Sheet2-计算明细'!$D$17:$D$99,$M66)))</f>
        <v>深圳九木</v>
      </c>
      <c r="E66" s="9" t="str">
        <f>IF(ISNUMBER(INDEX('Sheet2-计算明细'!$H$17:$H$99,$M66)),INDEX('Sheet2-计算明细'!$H$17:$H$99,$M66),IF(INDEX('Sheet2-计算明细'!$H$17:$H$99,$M66)="","",INDEX('Sheet2-计算明细'!$H$17:$H$99,$M66)))</f>
        <v>10-20亿元</v>
      </c>
      <c r="F66" s="13" t="str">
        <f>IF(ISNUMBER(INDEX('Sheet2-计算明细'!$AV$17:$AV$99,$M66)),INDEX('Sheet2-计算明细'!$AV$17:$AV$99,$M66),IF(INDEX('Sheet2-计算明细'!$AV$17:$AV$99,$M66)="","",INDEX('Sheet2-计算明细'!$AV$17:$AV$99,$M66)))</f>
        <v/>
      </c>
      <c r="G66" s="13" t="str">
        <f>IF(ISNUMBER(INDEX('Sheet2-计算明细'!$AS$17:$AS$99,$M66)),INDEX('Sheet2-计算明细'!$AS$17:$AS$99,$M66),IF(INDEX('Sheet2-计算明细'!$AS$17:$AS$99,$M66)="","",INDEX('Sheet2-计算明细'!$AS$17:$AS$99,$M66)))</f>
        <v/>
      </c>
      <c r="H66" s="12">
        <f>IF(ISNUMBER(INDEX('Sheet2-计算明细'!$AQ$17:$AQ$99,$M66)),INDEX('Sheet2-计算明细'!$AQ$17:$AQ$99,$M66),IF(INDEX('Sheet2-计算明细'!$AQ$17:$AQ$99,$M66)="","",INDEX('Sheet2-计算明细'!$AQ$17:$AQ$99,$M66)))</f>
        <v>0</v>
      </c>
      <c r="I66" s="9" t="str">
        <f>INDEX(协会公示!$G$2:$G$84,$M66)</f>
        <v>本次公示未见相关提示</v>
      </c>
      <c r="J66" s="9" t="str">
        <f>IF(ISNUMBER(INDEX('Sheet2-计算明细'!$AU$17:$AU$99,$M66)),INDEX('Sheet2-计算明细'!$AU$17:$AU$99,$M66),IF(INDEX('Sheet2-计算明细'!$AU$17:$AU$99,$M66)="","",INDEX('Sheet2-计算明细'!$AU$17:$AU$99,$M66)))</f>
        <v>产品规模标识；近一年收益；近一年胜率；近三年收益；近三年胜率；近三年回撤；近一年卡玛；</v>
      </c>
      <c r="K66" s="9" t="str">
        <f>IF(ISNUMBER(INDEX('Sheet2-计算明细'!$AT$17:$AT$99,$M66)),INDEX('Sheet2-计算明细'!$AT$17:$AT$99,$M66),IF(INDEX('Sheet2-计算明细'!$AT$17:$AT$99,$M66)="","",INDEX('Sheet2-计算明细'!$AT$17:$AT$99,$M66)))</f>
        <v/>
      </c>
      <c r="L66" s="9" t="str">
        <f>IF(ISNUMBER(INDEX('Sheet2-计算明细'!$G$17:$G$99,$M66)),INDEX('Sheet2-计算明细'!$G$17:$G$99,$M66),IF(INDEX('Sheet2-计算明细'!$G$17:$G$99,$M66)="","",INDEX('Sheet2-计算明细'!$G$17:$G$99,$M66)))</f>
        <v>不入池</v>
      </c>
      <c r="M66" s="9">
        <f>MATCH(A66,协会公示!$V$2:$V$84,0)</f>
        <v>28</v>
      </c>
      <c r="N66" s="9" t="str">
        <f>INDEX(协会公示!$R$2:$R$84,$M66)</f>
        <v>https://gs.amac.org.cn/amac-infodisc/res/pof/manager/2502261446106414.html</v>
      </c>
    </row>
    <row r="67" ht="25" hidden="1" customHeight="1" spans="1:14">
      <c r="A67" s="9">
        <v>62</v>
      </c>
      <c r="B67" s="9" t="str">
        <f>IF(ISNUMBER(INDEX('Sheet2-计算明细'!$B$17:$B$99,$M67)),INDEX('Sheet2-计算明细'!$B$17:$B$99,$M67),IF(INDEX('Sheet2-计算明细'!$B$17:$B$99,$M67)="","",INDEX('Sheet2-计算明细'!$B$17:$B$99,$M67)))</f>
        <v>臻选期权套利一号</v>
      </c>
      <c r="C67" s="9" t="str">
        <f>IF(ISNUMBER(INDEX('Sheet2-计算明细'!$C$17:$C$99,$M67)),INDEX('Sheet2-计算明细'!$C$17:$C$99,$M67),IF(INDEX('Sheet2-计算明细'!$C$17:$C$99,$M67)="","",INDEX('Sheet2-计算明细'!$C$17:$C$99,$M67)))</f>
        <v>SBEM86</v>
      </c>
      <c r="D67" s="9" t="str">
        <f>IF(ISNUMBER(INDEX('Sheet2-计算明细'!$D$17:$D$99,$M67)),INDEX('Sheet2-计算明细'!$D$17:$D$99,$M67),IF(INDEX('Sheet2-计算明细'!$D$17:$D$99,$M67)="","",INDEX('Sheet2-计算明细'!$D$17:$D$99,$M67)))</f>
        <v>海南臻选</v>
      </c>
      <c r="E67" s="9" t="str">
        <f>IF(ISNUMBER(INDEX('Sheet2-计算明细'!$H$17:$H$99,$M67)),INDEX('Sheet2-计算明细'!$H$17:$H$99,$M67),IF(INDEX('Sheet2-计算明细'!$H$17:$H$99,$M67)="","",INDEX('Sheet2-计算明细'!$H$17:$H$99,$M67)))</f>
        <v>10-20亿元</v>
      </c>
      <c r="F67" s="13" t="str">
        <f>IF(ISNUMBER(INDEX('Sheet2-计算明细'!$AV$17:$AV$99,$M67)),INDEX('Sheet2-计算明细'!$AV$17:$AV$99,$M67),IF(INDEX('Sheet2-计算明细'!$AV$17:$AV$99,$M67)="","",INDEX('Sheet2-计算明细'!$AV$17:$AV$99,$M67)))</f>
        <v/>
      </c>
      <c r="G67" s="13" t="str">
        <f>IF(ISNUMBER(INDEX('Sheet2-计算明细'!$AS$17:$AS$99,$M67)),INDEX('Sheet2-计算明细'!$AS$17:$AS$99,$M67),IF(INDEX('Sheet2-计算明细'!$AS$17:$AS$99,$M67)="","",INDEX('Sheet2-计算明细'!$AS$17:$AS$99,$M67)))</f>
        <v/>
      </c>
      <c r="H67" s="12">
        <f>IF(ISNUMBER(INDEX('Sheet2-计算明细'!$AQ$17:$AQ$99,$M67)),INDEX('Sheet2-计算明细'!$AQ$17:$AQ$99,$M67),IF(INDEX('Sheet2-计算明细'!$AQ$17:$AQ$99,$M67)="","",INDEX('Sheet2-计算明细'!$AQ$17:$AQ$99,$M67)))</f>
        <v>0</v>
      </c>
      <c r="I67" s="9" t="str">
        <f>INDEX(协会公示!$G$2:$G$84,$M67)</f>
        <v>协会提示／已整改异常</v>
      </c>
      <c r="J67" s="9" t="str">
        <f>IF(ISNUMBER(INDEX('Sheet2-计算明细'!$AU$17:$AU$99,$M67)),INDEX('Sheet2-计算明细'!$AU$17:$AU$99,$M67),IF(INDEX('Sheet2-计算明细'!$AU$17:$AU$99,$M67)="","",INDEX('Sheet2-计算明细'!$AU$17:$AU$99,$M67)))</f>
        <v>近一年收益；近一年胜率；近三年收益；近三年胜率；近三年回撤；近一年卡玛；</v>
      </c>
      <c r="K67" s="9" t="str">
        <f>IF(ISNUMBER(INDEX('Sheet2-计算明细'!$AT$17:$AT$99,$M67)),INDEX('Sheet2-计算明细'!$AT$17:$AT$99,$M67),IF(INDEX('Sheet2-计算明细'!$AT$17:$AT$99,$M67)="","",INDEX('Sheet2-计算明细'!$AT$17:$AT$99,$M67)))</f>
        <v/>
      </c>
      <c r="L67" s="9" t="str">
        <f>IF(ISNUMBER(INDEX('Sheet2-计算明细'!$G$17:$G$99,$M67)),INDEX('Sheet2-计算明细'!$G$17:$G$99,$M67),IF(INDEX('Sheet2-计算明细'!$G$17:$G$99,$M67)="","",INDEX('Sheet2-计算明细'!$G$17:$G$99,$M67)))</f>
        <v>不入池</v>
      </c>
      <c r="M67" s="9">
        <f>MATCH(A67,协会公示!$V$2:$V$84,0)</f>
        <v>77</v>
      </c>
      <c r="N67" s="9" t="str">
        <f>INDEX(协会公示!$R$2:$R$84,$M67)</f>
        <v>https://gs.amac.org.cn/amac-infodisc/res/pof/manager/2108111018103387.html</v>
      </c>
    </row>
  </sheetData>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showGridLines="0" tabSelected="1" workbookViewId="0">
      <pane xSplit="2" ySplit="5" topLeftCell="C6" activePane="bottomRight" state="frozen"/>
      <selection/>
      <selection pane="topRight"/>
      <selection pane="bottomLeft"/>
      <selection pane="bottomRight" activeCell="J24" sqref="J24"/>
    </sheetView>
  </sheetViews>
  <sheetFormatPr defaultColWidth="9" defaultRowHeight="16.8"/>
  <cols>
    <col min="1" max="1" width="15" customWidth="1"/>
    <col min="2" max="2" width="30" customWidth="1"/>
    <col min="3" max="3" width="15" customWidth="1"/>
    <col min="4" max="4" width="24" customWidth="1"/>
    <col min="5" max="8" width="15" customWidth="1"/>
    <col min="9" max="9" width="28" customWidth="1"/>
    <col min="10" max="10" width="50" customWidth="1"/>
    <col min="11" max="13" width="15" customWidth="1"/>
    <col min="14" max="14" width="50" customWidth="1"/>
  </cols>
  <sheetData>
    <row r="1" ht="25" customHeight="1" spans="1:14">
      <c r="A1" s="16" t="s">
        <v>1458</v>
      </c>
      <c r="B1" s="9"/>
      <c r="C1" s="9"/>
      <c r="D1" s="9"/>
      <c r="E1" s="9"/>
      <c r="F1" s="9"/>
      <c r="G1" s="9"/>
      <c r="H1" s="9"/>
      <c r="I1" s="9"/>
      <c r="J1" s="9"/>
      <c r="K1" s="9"/>
      <c r="L1" s="9"/>
      <c r="M1" s="9"/>
      <c r="N1" s="9"/>
    </row>
    <row r="2" ht="25" customHeight="1" spans="1:14">
      <c r="A2" s="9" t="s">
        <v>1459</v>
      </c>
      <c r="B2" s="9"/>
      <c r="C2" s="9"/>
      <c r="D2" s="9"/>
      <c r="E2" s="9"/>
      <c r="F2" s="9"/>
      <c r="G2" s="9"/>
      <c r="H2" s="9"/>
      <c r="I2" s="9"/>
      <c r="J2" s="9"/>
      <c r="K2" s="9"/>
      <c r="L2" s="9"/>
      <c r="M2" s="9"/>
      <c r="N2" s="9"/>
    </row>
    <row r="3" ht="25" customHeight="1" spans="1:14">
      <c r="A3" s="9" t="s">
        <v>1452</v>
      </c>
      <c r="B3" s="9"/>
      <c r="C3" s="9"/>
      <c r="D3" s="9"/>
      <c r="E3" s="9"/>
      <c r="F3" s="9"/>
      <c r="G3" s="9"/>
      <c r="H3" s="9"/>
      <c r="I3" s="9"/>
      <c r="J3" s="9"/>
      <c r="K3" s="9"/>
      <c r="L3" s="9"/>
      <c r="M3" s="9"/>
      <c r="N3" s="9"/>
    </row>
    <row r="4" ht="25" customHeight="1" spans="1:14">
      <c r="A4" s="9"/>
      <c r="B4" s="9"/>
      <c r="C4" s="9"/>
      <c r="D4" s="9"/>
      <c r="E4" s="9"/>
      <c r="F4" s="9"/>
      <c r="G4" s="9"/>
      <c r="H4" s="9"/>
      <c r="I4" s="9"/>
      <c r="J4" s="9"/>
      <c r="K4" s="9"/>
      <c r="L4" s="9"/>
      <c r="M4" s="9"/>
      <c r="N4" s="9"/>
    </row>
    <row r="5" ht="43" customHeight="1" spans="1:14">
      <c r="A5" s="7" t="s">
        <v>1453</v>
      </c>
      <c r="B5" s="8" t="s">
        <v>2</v>
      </c>
      <c r="C5" s="8" t="s">
        <v>673</v>
      </c>
      <c r="D5" s="8" t="s">
        <v>674</v>
      </c>
      <c r="E5" s="8" t="s">
        <v>1454</v>
      </c>
      <c r="F5" s="8" t="s">
        <v>718</v>
      </c>
      <c r="G5" s="8" t="s">
        <v>762</v>
      </c>
      <c r="H5" s="8" t="s">
        <v>761</v>
      </c>
      <c r="I5" s="8" t="s">
        <v>766</v>
      </c>
      <c r="J5" s="8" t="s">
        <v>717</v>
      </c>
      <c r="K5" s="8" t="s">
        <v>1455</v>
      </c>
      <c r="L5" s="8" t="s">
        <v>677</v>
      </c>
      <c r="M5" s="8" t="s">
        <v>1456</v>
      </c>
      <c r="N5" s="14" t="s">
        <v>1457</v>
      </c>
    </row>
    <row r="6" ht="25" customHeight="1" spans="1:14">
      <c r="A6" s="9">
        <v>1</v>
      </c>
      <c r="B6" s="9" t="str">
        <f>IF(ISNUMBER(INDEX('Sheet2-计算明细'!$B$17:$B$99,$M6)),INDEX('Sheet2-计算明细'!$B$17:$B$99,$M6),IF(INDEX('Sheet2-计算明细'!$B$17:$B$99,$M6)="","",INDEX('Sheet2-计算明细'!$B$17:$B$99,$M6)))</f>
        <v>放牛人5号</v>
      </c>
      <c r="C6" s="9" t="str">
        <f>IF(ISNUMBER(INDEX('Sheet2-计算明细'!$C$17:$C$99,$M6)),INDEX('Sheet2-计算明细'!$C$17:$C$99,$M6),IF(INDEX('Sheet2-计算明细'!$C$17:$C$99,$M6)="","",INDEX('Sheet2-计算明细'!$C$17:$C$99,$M6)))</f>
        <v>SVH487</v>
      </c>
      <c r="D6" s="9" t="str">
        <f>IF(ISNUMBER(INDEX('Sheet2-计算明细'!$D$17:$D$99,$M6)),INDEX('Sheet2-计算明细'!$D$17:$D$99,$M6),IF(INDEX('Sheet2-计算明细'!$D$17:$D$99,$M6)="","",INDEX('Sheet2-计算明细'!$D$17:$D$99,$M6)))</f>
        <v>上海放牛人</v>
      </c>
      <c r="E6" s="9" t="str">
        <f>IF(ISNUMBER(INDEX('Sheet2-计算明细'!$H$17:$H$99,$M6)),INDEX('Sheet2-计算明细'!$H$17:$H$99,$M6),IF(INDEX('Sheet2-计算明细'!$H$17:$H$99,$M6)="","",INDEX('Sheet2-计算明细'!$H$17:$H$99,$M6)))</f>
        <v>0-5亿元</v>
      </c>
      <c r="F6" s="13">
        <f>IF(ISNUMBER(INDEX('Sheet2-计算明细'!$AV$17:$AV$99,$M6)),INDEX('Sheet2-计算明细'!$AV$17:$AV$99,$M6),IF(INDEX('Sheet2-计算明细'!$AV$17:$AV$99,$M6)="","",INDEX('Sheet2-计算明细'!$AV$17:$AV$99,$M6)))</f>
        <v>89.82251</v>
      </c>
      <c r="G6" s="13">
        <f>IF(ISNUMBER(INDEX('Sheet2-计算明细'!$AS$17:$AS$99,$M6)),INDEX('Sheet2-计算明细'!$AS$17:$AS$99,$M6),IF(INDEX('Sheet2-计算明细'!$AS$17:$AS$99,$M6)="","",INDEX('Sheet2-计算明细'!$AS$17:$AS$99,$M6)))</f>
        <v>89.82</v>
      </c>
      <c r="H6" s="12">
        <f>IF(ISNUMBER(INDEX('Sheet2-计算明细'!$AQ$17:$AQ$99,$M6)),INDEX('Sheet2-计算明细'!$AQ$17:$AQ$99,$M6),IF(INDEX('Sheet2-计算明细'!$AQ$17:$AQ$99,$M6)="","",INDEX('Sheet2-计算明细'!$AQ$17:$AQ$99,$M6)))</f>
        <v>1</v>
      </c>
      <c r="I6" s="9" t="str">
        <f>INDEX(协会公示!$G$2:$G$84,$M6)</f>
        <v>本次公示未见相关提示</v>
      </c>
      <c r="J6" s="9" t="str">
        <f>IF(ISNUMBER(INDEX('Sheet2-计算明细'!$AU$17:$AU$99,$M6)),INDEX('Sheet2-计算明细'!$AU$17:$AU$99,$M6),IF(INDEX('Sheet2-计算明细'!$AU$17:$AU$99,$M6)="","",INDEX('Sheet2-计算明细'!$AU$17:$AU$99,$M6)))</f>
        <v/>
      </c>
      <c r="K6" s="9">
        <f>IF(ISNUMBER(INDEX('Sheet2-计算明细'!$AT$17:$AT$99,$M6)),INDEX('Sheet2-计算明细'!$AT$17:$AT$99,$M6),IF(INDEX('Sheet2-计算明细'!$AT$17:$AT$99,$M6)="","",INDEX('Sheet2-计算明细'!$AT$17:$AT$99,$M6)))</f>
        <v>4</v>
      </c>
      <c r="L6" s="9" t="str">
        <f>IF(ISNUMBER(INDEX('Sheet2-计算明细'!$G$17:$G$99,$M6)),INDEX('Sheet2-计算明细'!$G$17:$G$99,$M6),IF(INDEX('Sheet2-计算明细'!$G$17:$G$99,$M6)="","",INDEX('Sheet2-计算明细'!$G$17:$G$99,$M6)))</f>
        <v>入池</v>
      </c>
      <c r="M6" s="9">
        <f>MATCH(A6,协会公示!$W$2:$W$84,0)</f>
        <v>16</v>
      </c>
      <c r="N6" s="9" t="str">
        <f>INDEX(协会公示!$R$2:$R$84,$M6)</f>
        <v>https://gs.amac.org.cn/amac-infodisc/res/pof/manager/2104292125100136.html</v>
      </c>
    </row>
    <row r="7" ht="25" customHeight="1" spans="1:14">
      <c r="A7" s="9">
        <v>2</v>
      </c>
      <c r="B7" s="9" t="str">
        <f>IF(ISNUMBER(INDEX('Sheet2-计算明细'!$B$17:$B$99,$M7)),INDEX('Sheet2-计算明细'!$B$17:$B$99,$M7),IF(INDEX('Sheet2-计算明细'!$B$17:$B$99,$M7)="","",INDEX('Sheet2-计算明细'!$B$17:$B$99,$M7)))</f>
        <v>祁腾蜂赢1号</v>
      </c>
      <c r="C7" s="9" t="str">
        <f>IF(ISNUMBER(INDEX('Sheet2-计算明细'!$C$17:$C$99,$M7)),INDEX('Sheet2-计算明细'!$C$17:$C$99,$M7),IF(INDEX('Sheet2-计算明细'!$C$17:$C$99,$M7)="","",INDEX('Sheet2-计算明细'!$C$17:$C$99,$M7)))</f>
        <v>SEV580</v>
      </c>
      <c r="D7" s="9" t="str">
        <f>IF(ISNUMBER(INDEX('Sheet2-计算明细'!$D$17:$D$99,$M7)),INDEX('Sheet2-计算明细'!$D$17:$D$99,$M7),IF(INDEX('Sheet2-计算明细'!$D$17:$D$99,$M7)="","",INDEX('Sheet2-计算明细'!$D$17:$D$99,$M7)))</f>
        <v>宁波祁腾投资</v>
      </c>
      <c r="E7" s="9" t="str">
        <f>IF(ISNUMBER(INDEX('Sheet2-计算明细'!$H$17:$H$99,$M7)),INDEX('Sheet2-计算明细'!$H$17:$H$99,$M7),IF(INDEX('Sheet2-计算明细'!$H$17:$H$99,$M7)="","",INDEX('Sheet2-计算明细'!$H$17:$H$99,$M7)))</f>
        <v>0-5亿元</v>
      </c>
      <c r="F7" s="13">
        <f>IF(ISNUMBER(INDEX('Sheet2-计算明细'!$AV$17:$AV$99,$M7)),INDEX('Sheet2-计算明细'!$AV$17:$AV$99,$M7),IF(INDEX('Sheet2-计算明细'!$AV$17:$AV$99,$M7)="","",INDEX('Sheet2-计算明细'!$AV$17:$AV$99,$M7)))</f>
        <v>86.5001707692308</v>
      </c>
      <c r="G7" s="13">
        <f>IF(ISNUMBER(INDEX('Sheet2-计算明细'!$AS$17:$AS$99,$M7)),INDEX('Sheet2-计算明细'!$AS$17:$AS$99,$M7),IF(INDEX('Sheet2-计算明细'!$AS$17:$AS$99,$M7)="","",INDEX('Sheet2-计算明细'!$AS$17:$AS$99,$M7)))</f>
        <v>86.5</v>
      </c>
      <c r="H7" s="12">
        <f>IF(ISNUMBER(INDEX('Sheet2-计算明细'!$AQ$17:$AQ$99,$M7)),INDEX('Sheet2-计算明细'!$AQ$17:$AQ$99,$M7),IF(INDEX('Sheet2-计算明细'!$AQ$17:$AQ$99,$M7)="","",INDEX('Sheet2-计算明细'!$AQ$17:$AQ$99,$M7)))</f>
        <v>1</v>
      </c>
      <c r="I7" s="9" t="str">
        <f>INDEX(协会公示!$G$2:$G$84,$M7)</f>
        <v>协会提示／已整改异常</v>
      </c>
      <c r="J7" s="9" t="str">
        <f>IF(ISNUMBER(INDEX('Sheet2-计算明细'!$AU$17:$AU$99,$M7)),INDEX('Sheet2-计算明细'!$AU$17:$AU$99,$M7),IF(INDEX('Sheet2-计算明细'!$AU$17:$AU$99,$M7)="","",INDEX('Sheet2-计算明细'!$AU$17:$AU$99,$M7)))</f>
        <v/>
      </c>
      <c r="K7" s="9">
        <f>IF(ISNUMBER(INDEX('Sheet2-计算明细'!$AT$17:$AT$99,$M7)),INDEX('Sheet2-计算明细'!$AT$17:$AT$99,$M7),IF(INDEX('Sheet2-计算明细'!$AT$17:$AT$99,$M7)="","",INDEX('Sheet2-计算明细'!$AT$17:$AT$99,$M7)))</f>
        <v>7</v>
      </c>
      <c r="L7" s="9" t="str">
        <f>IF(ISNUMBER(INDEX('Sheet2-计算明细'!$G$17:$G$99,$M7)),INDEX('Sheet2-计算明细'!$G$17:$G$99,$M7),IF(INDEX('Sheet2-计算明细'!$G$17:$G$99,$M7)="","",INDEX('Sheet2-计算明细'!$G$17:$G$99,$M7)))</f>
        <v>入池</v>
      </c>
      <c r="M7" s="9">
        <f>MATCH(A7,协会公示!$W$2:$W$84,0)</f>
        <v>49</v>
      </c>
      <c r="N7" s="9" t="str">
        <f>INDEX(协会公示!$R$2:$R$84,$M7)</f>
        <v>https://gs.amac.org.cn/amac-infodisc/res/pof/manager/1809041559102185.html</v>
      </c>
    </row>
    <row r="8" ht="25" customHeight="1" spans="1:14">
      <c r="A8" s="9">
        <v>3</v>
      </c>
      <c r="B8" s="9" t="str">
        <f>IF(ISNUMBER(INDEX('Sheet2-计算明细'!$B$17:$B$99,$M8)),INDEX('Sheet2-计算明细'!$B$17:$B$99,$M8),IF(INDEX('Sheet2-计算明细'!$B$17:$B$99,$M8)="","",INDEX('Sheet2-计算明细'!$B$17:$B$99,$M8)))</f>
        <v>世宽若水尘心3号</v>
      </c>
      <c r="C8" s="9" t="str">
        <f>IF(ISNUMBER(INDEX('Sheet2-计算明细'!$C$17:$C$99,$M8)),INDEX('Sheet2-计算明细'!$C$17:$C$99,$M8),IF(INDEX('Sheet2-计算明细'!$C$17:$C$99,$M8)="","",INDEX('Sheet2-计算明细'!$C$17:$C$99,$M8)))</f>
        <v>SXT730</v>
      </c>
      <c r="D8" s="9" t="str">
        <f>IF(ISNUMBER(INDEX('Sheet2-计算明细'!$D$17:$D$99,$M8)),INDEX('Sheet2-计算明细'!$D$17:$D$99,$M8),IF(INDEX('Sheet2-计算明细'!$D$17:$D$99,$M8)="","",INDEX('Sheet2-计算明细'!$D$17:$D$99,$M8)))</f>
        <v>厦门世宽</v>
      </c>
      <c r="E8" s="9" t="str">
        <f>IF(ISNUMBER(INDEX('Sheet2-计算明细'!$H$17:$H$99,$M8)),INDEX('Sheet2-计算明细'!$H$17:$H$99,$M8),IF(INDEX('Sheet2-计算明细'!$H$17:$H$99,$M8)="","",INDEX('Sheet2-计算明细'!$H$17:$H$99,$M8)))</f>
        <v>0-5亿元</v>
      </c>
      <c r="F8" s="13" t="str">
        <f>IF(ISNUMBER(INDEX('Sheet2-计算明细'!$AV$17:$AV$99,$M8)),INDEX('Sheet2-计算明细'!$AV$17:$AV$99,$M8),IF(INDEX('Sheet2-计算明细'!$AV$17:$AV$99,$M8)="","",INDEX('Sheet2-计算明细'!$AV$17:$AV$99,$M8)))</f>
        <v/>
      </c>
      <c r="G8" s="13">
        <f>IF(ISNUMBER(INDEX('Sheet2-计算明细'!$AS$17:$AS$99,$M8)),INDEX('Sheet2-计算明细'!$AS$17:$AS$99,$M8),IF(INDEX('Sheet2-计算明细'!$AS$17:$AS$99,$M8)="","",INDEX('Sheet2-计算明细'!$AS$17:$AS$99,$M8)))</f>
        <v>79.7</v>
      </c>
      <c r="H8" s="12">
        <f>IF(ISNUMBER(INDEX('Sheet2-计算明细'!$AQ$17:$AQ$99,$M8)),INDEX('Sheet2-计算明细'!$AQ$17:$AQ$99,$M8),IF(INDEX('Sheet2-计算明细'!$AQ$17:$AQ$99,$M8)="","",INDEX('Sheet2-计算明细'!$AQ$17:$AQ$99,$M8)))</f>
        <v>0.94</v>
      </c>
      <c r="I8" s="9" t="str">
        <f>INDEX(协会公示!$G$2:$G$84,$M8)</f>
        <v>本次公示未见相关提示</v>
      </c>
      <c r="J8" s="9" t="str">
        <f>IF(ISNUMBER(INDEX('Sheet2-计算明细'!$AU$17:$AU$99,$M8)),INDEX('Sheet2-计算明细'!$AU$17:$AU$99,$M8),IF(INDEX('Sheet2-计算明细'!$AU$17:$AU$99,$M8)="","",INDEX('Sheet2-计算明细'!$AU$17:$AU$99,$M8)))</f>
        <v>近一年胜率；近三年胜率；</v>
      </c>
      <c r="K8" s="9">
        <f>IF(ISNUMBER(INDEX('Sheet2-计算明细'!$AT$17:$AT$99,$M8)),INDEX('Sheet2-计算明细'!$AT$17:$AT$99,$M8),IF(INDEX('Sheet2-计算明细'!$AT$17:$AT$99,$M8)="","",INDEX('Sheet2-计算明细'!$AT$17:$AT$99,$M8)))</f>
        <v>17</v>
      </c>
      <c r="L8" s="9" t="str">
        <f>IF(ISNUMBER(INDEX('Sheet2-计算明细'!$G$17:$G$99,$M8)),INDEX('Sheet2-计算明细'!$G$17:$G$99,$M8),IF(INDEX('Sheet2-计算明细'!$G$17:$G$99,$M8)="","",INDEX('Sheet2-计算明细'!$G$17:$G$99,$M8)))</f>
        <v>入池</v>
      </c>
      <c r="M8" s="9">
        <f>MATCH(A8,协会公示!$W$2:$W$84,0)</f>
        <v>59</v>
      </c>
      <c r="N8" s="9" t="str">
        <f>INDEX(协会公示!$R$2:$R$84,$M8)</f>
        <v>https://gs.amac.org.cn/amac-infodisc/res/pof/manager/101000026000.html</v>
      </c>
    </row>
    <row r="9" ht="25" customHeight="1" spans="1:14">
      <c r="A9" s="9">
        <v>4</v>
      </c>
      <c r="B9" s="9" t="str">
        <f>IF(ISNUMBER(INDEX('Sheet2-计算明细'!$B$17:$B$99,$M9)),INDEX('Sheet2-计算明细'!$B$17:$B$99,$M9),IF(INDEX('Sheet2-计算明细'!$B$17:$B$99,$M9)="","",INDEX('Sheet2-计算明细'!$B$17:$B$99,$M9)))</f>
        <v>钧誉厚德量化对冲11号</v>
      </c>
      <c r="C9" s="9" t="str">
        <f>IF(ISNUMBER(INDEX('Sheet2-计算明细'!$C$17:$C$99,$M9)),INDEX('Sheet2-计算明细'!$C$17:$C$99,$M9),IF(INDEX('Sheet2-计算明细'!$C$17:$C$99,$M9)="","",INDEX('Sheet2-计算明细'!$C$17:$C$99,$M9)))</f>
        <v>SQN453</v>
      </c>
      <c r="D9" s="9" t="str">
        <f>IF(ISNUMBER(INDEX('Sheet2-计算明细'!$D$17:$D$99,$M9)),INDEX('Sheet2-计算明细'!$D$17:$D$99,$M9),IF(INDEX('Sheet2-计算明细'!$D$17:$D$99,$M9)="","",INDEX('Sheet2-计算明细'!$D$17:$D$99,$M9)))</f>
        <v>珠海钧誉资管</v>
      </c>
      <c r="E9" s="9" t="str">
        <f>IF(ISNUMBER(INDEX('Sheet2-计算明细'!$H$17:$H$99,$M9)),INDEX('Sheet2-计算明细'!$H$17:$H$99,$M9),IF(INDEX('Sheet2-计算明细'!$H$17:$H$99,$M9)="","",INDEX('Sheet2-计算明细'!$H$17:$H$99,$M9)))</f>
        <v>0-5亿元</v>
      </c>
      <c r="F9" s="13" t="str">
        <f>IF(ISNUMBER(INDEX('Sheet2-计算明细'!$AV$17:$AV$99,$M9)),INDEX('Sheet2-计算明细'!$AV$17:$AV$99,$M9),IF(INDEX('Sheet2-计算明细'!$AV$17:$AV$99,$M9)="","",INDEX('Sheet2-计算明细'!$AV$17:$AV$99,$M9)))</f>
        <v/>
      </c>
      <c r="G9" s="13">
        <f>IF(ISNUMBER(INDEX('Sheet2-计算明细'!$AS$17:$AS$99,$M9)),INDEX('Sheet2-计算明细'!$AS$17:$AS$99,$M9),IF(INDEX('Sheet2-计算明细'!$AS$17:$AS$99,$M9)="","",INDEX('Sheet2-计算明细'!$AS$17:$AS$99,$M9)))</f>
        <v>74.3</v>
      </c>
      <c r="H9" s="12">
        <f>IF(ISNUMBER(INDEX('Sheet2-计算明细'!$AQ$17:$AQ$99,$M9)),INDEX('Sheet2-计算明细'!$AQ$17:$AQ$99,$M9),IF(INDEX('Sheet2-计算明细'!$AQ$17:$AQ$99,$M9)="","",INDEX('Sheet2-计算明细'!$AQ$17:$AQ$99,$M9)))</f>
        <v>0.82</v>
      </c>
      <c r="I9" s="9" t="str">
        <f>INDEX(协会公示!$G$2:$G$84,$M9)</f>
        <v>本次公示未见相关提示</v>
      </c>
      <c r="J9" s="9" t="str">
        <f>IF(ISNUMBER(INDEX('Sheet2-计算明细'!$AU$17:$AU$99,$M9)),INDEX('Sheet2-计算明细'!$AU$17:$AU$99,$M9),IF(INDEX('Sheet2-计算明细'!$AU$17:$AU$99,$M9)="","",INDEX('Sheet2-计算明细'!$AU$17:$AU$99,$M9)))</f>
        <v>近一年胜率；近三年胜率；DD_long不可识别；</v>
      </c>
      <c r="K9" s="9">
        <f>IF(ISNUMBER(INDEX('Sheet2-计算明细'!$AT$17:$AT$99,$M9)),INDEX('Sheet2-计算明细'!$AT$17:$AT$99,$M9),IF(INDEX('Sheet2-计算明细'!$AT$17:$AT$99,$M9)="","",INDEX('Sheet2-计算明细'!$AT$17:$AT$99,$M9)))</f>
        <v>23</v>
      </c>
      <c r="L9" s="9" t="str">
        <f>IF(ISNUMBER(INDEX('Sheet2-计算明细'!$G$17:$G$99,$M9)),INDEX('Sheet2-计算明细'!$G$17:$G$99,$M9),IF(INDEX('Sheet2-计算明细'!$G$17:$G$99,$M9)="","",INDEX('Sheet2-计算明细'!$G$17:$G$99,$M9)))</f>
        <v>入池</v>
      </c>
      <c r="M9" s="9">
        <f>MATCH(A9,协会公示!$W$2:$W$84,0)</f>
        <v>31</v>
      </c>
      <c r="N9" s="9" t="str">
        <f>INDEX(协会公示!$R$2:$R$84,$M9)</f>
        <v>https://gs.amac.org.cn/amac-infodisc/res/pof/manager/1801241613109731.html</v>
      </c>
    </row>
    <row r="10" ht="25" customHeight="1" spans="1:14">
      <c r="A10" s="9">
        <v>5</v>
      </c>
      <c r="B10" s="9" t="str">
        <f>IF(ISNUMBER(INDEX('Sheet2-计算明细'!$B$17:$B$99,$M10)),INDEX('Sheet2-计算明细'!$B$17:$B$99,$M10),IF(INDEX('Sheet2-计算明细'!$B$17:$B$99,$M10)="","",INDEX('Sheet2-计算明细'!$B$17:$B$99,$M10)))</f>
        <v>永泉奇点17号混合投资</v>
      </c>
      <c r="C10" s="9" t="str">
        <f>IF(ISNUMBER(INDEX('Sheet2-计算明细'!$C$17:$C$99,$M10)),INDEX('Sheet2-计算明细'!$C$17:$C$99,$M10),IF(INDEX('Sheet2-计算明细'!$C$17:$C$99,$M10)="","",INDEX('Sheet2-计算明细'!$C$17:$C$99,$M10)))</f>
        <v>SNG016</v>
      </c>
      <c r="D10" s="9" t="str">
        <f>IF(ISNUMBER(INDEX('Sheet2-计算明细'!$D$17:$D$99,$M10)),INDEX('Sheet2-计算明细'!$D$17:$D$99,$M10),IF(INDEX('Sheet2-计算明细'!$D$17:$D$99,$M10)="","",INDEX('Sheet2-计算明细'!$D$17:$D$99,$M10)))</f>
        <v>宁波永泉</v>
      </c>
      <c r="E10" s="9" t="str">
        <f>IF(ISNUMBER(INDEX('Sheet2-计算明细'!$H$17:$H$99,$M10)),INDEX('Sheet2-计算明细'!$H$17:$H$99,$M10),IF(INDEX('Sheet2-计算明细'!$H$17:$H$99,$M10)="","",INDEX('Sheet2-计算明细'!$H$17:$H$99,$M10)))</f>
        <v>0-5亿元</v>
      </c>
      <c r="F10" s="13">
        <f>IF(ISNUMBER(INDEX('Sheet2-计算明细'!$AV$17:$AV$99,$M10)),INDEX('Sheet2-计算明细'!$AV$17:$AV$99,$M10),IF(INDEX('Sheet2-计算明细'!$AV$17:$AV$99,$M10)="","",INDEX('Sheet2-计算明细'!$AV$17:$AV$99,$M10)))</f>
        <v>72.06454</v>
      </c>
      <c r="G10" s="13">
        <f>IF(ISNUMBER(INDEX('Sheet2-计算明细'!$AS$17:$AS$99,$M10)),INDEX('Sheet2-计算明细'!$AS$17:$AS$99,$M10),IF(INDEX('Sheet2-计算明细'!$AS$17:$AS$99,$M10)="","",INDEX('Sheet2-计算明细'!$AS$17:$AS$99,$M10)))</f>
        <v>72.06</v>
      </c>
      <c r="H10" s="12">
        <f>IF(ISNUMBER(INDEX('Sheet2-计算明细'!$AQ$17:$AQ$99,$M10)),INDEX('Sheet2-计算明细'!$AQ$17:$AQ$99,$M10),IF(INDEX('Sheet2-计算明细'!$AQ$17:$AQ$99,$M10)="","",INDEX('Sheet2-计算明细'!$AQ$17:$AQ$99,$M10)))</f>
        <v>1</v>
      </c>
      <c r="I10" s="9" t="str">
        <f>INDEX(协会公示!$G$2:$G$84,$M10)</f>
        <v>协会提示／已整改异常</v>
      </c>
      <c r="J10" s="9" t="str">
        <f>IF(ISNUMBER(INDEX('Sheet2-计算明细'!$AU$17:$AU$99,$M10)),INDEX('Sheet2-计算明细'!$AU$17:$AU$99,$M10),IF(INDEX('Sheet2-计算明细'!$AU$17:$AU$99,$M10)="","",INDEX('Sheet2-计算明细'!$AU$17:$AU$99,$M10)))</f>
        <v/>
      </c>
      <c r="K10" s="9">
        <f>IF(ISNUMBER(INDEX('Sheet2-计算明细'!$AT$17:$AT$99,$M10)),INDEX('Sheet2-计算明细'!$AT$17:$AT$99,$M10),IF(INDEX('Sheet2-计算明细'!$AT$17:$AT$99,$M10)="","",INDEX('Sheet2-计算明细'!$AT$17:$AT$99,$M10)))</f>
        <v>29</v>
      </c>
      <c r="L10" s="9" t="str">
        <f>IF(ISNUMBER(INDEX('Sheet2-计算明细'!$G$17:$G$99,$M10)),INDEX('Sheet2-计算明细'!$G$17:$G$99,$M10),IF(INDEX('Sheet2-计算明细'!$G$17:$G$99,$M10)="","",INDEX('Sheet2-计算明细'!$G$17:$G$99,$M10)))</f>
        <v>入池</v>
      </c>
      <c r="M10" s="9">
        <f>MATCH(A10,协会公示!$W$2:$W$84,0)</f>
        <v>69</v>
      </c>
      <c r="N10" s="9" t="str">
        <f>INDEX(协会公示!$R$2:$R$84,$M10)</f>
        <v>https://gs.amac.org.cn/amac-infodisc/res/pof/manager/101000016974.html</v>
      </c>
    </row>
    <row r="11" ht="25" customHeight="1" spans="1:14">
      <c r="A11" s="9">
        <v>6</v>
      </c>
      <c r="B11" s="9" t="str">
        <f>IF(ISNUMBER(INDEX('Sheet2-计算明细'!$B$17:$B$99,$M11)),INDEX('Sheet2-计算明细'!$B$17:$B$99,$M11),IF(INDEX('Sheet2-计算明细'!$B$17:$B$99,$M11)="","",INDEX('Sheet2-计算明细'!$B$17:$B$99,$M11)))</f>
        <v>永泉奇点1号混合投资</v>
      </c>
      <c r="C11" s="9" t="str">
        <f>IF(ISNUMBER(INDEX('Sheet2-计算明细'!$C$17:$C$99,$M11)),INDEX('Sheet2-计算明细'!$C$17:$C$99,$M11),IF(INDEX('Sheet2-计算明细'!$C$17:$C$99,$M11)="","",INDEX('Sheet2-计算明细'!$C$17:$C$99,$M11)))</f>
        <v>SGM299</v>
      </c>
      <c r="D11" s="9" t="str">
        <f>IF(ISNUMBER(INDEX('Sheet2-计算明细'!$D$17:$D$99,$M11)),INDEX('Sheet2-计算明细'!$D$17:$D$99,$M11),IF(INDEX('Sheet2-计算明细'!$D$17:$D$99,$M11)="","",INDEX('Sheet2-计算明细'!$D$17:$D$99,$M11)))</f>
        <v>宁波永泉</v>
      </c>
      <c r="E11" s="9" t="str">
        <f>IF(ISNUMBER(INDEX('Sheet2-计算明细'!$H$17:$H$99,$M11)),INDEX('Sheet2-计算明细'!$H$17:$H$99,$M11),IF(INDEX('Sheet2-计算明细'!$H$17:$H$99,$M11)="","",INDEX('Sheet2-计算明细'!$H$17:$H$99,$M11)))</f>
        <v>0-5亿元</v>
      </c>
      <c r="F11" s="13">
        <f>IF(ISNUMBER(INDEX('Sheet2-计算明细'!$AV$17:$AV$99,$M11)),INDEX('Sheet2-计算明细'!$AV$17:$AV$99,$M11),IF(INDEX('Sheet2-计算明细'!$AV$17:$AV$99,$M11)="","",INDEX('Sheet2-计算明细'!$AV$17:$AV$99,$M11)))</f>
        <v>69.77916</v>
      </c>
      <c r="G11" s="13">
        <f>IF(ISNUMBER(INDEX('Sheet2-计算明细'!$AS$17:$AS$99,$M11)),INDEX('Sheet2-计算明细'!$AS$17:$AS$99,$M11),IF(INDEX('Sheet2-计算明细'!$AS$17:$AS$99,$M11)="","",INDEX('Sheet2-计算明细'!$AS$17:$AS$99,$M11)))</f>
        <v>69.78</v>
      </c>
      <c r="H11" s="12">
        <f>IF(ISNUMBER(INDEX('Sheet2-计算明细'!$AQ$17:$AQ$99,$M11)),INDEX('Sheet2-计算明细'!$AQ$17:$AQ$99,$M11),IF(INDEX('Sheet2-计算明细'!$AQ$17:$AQ$99,$M11)="","",INDEX('Sheet2-计算明细'!$AQ$17:$AQ$99,$M11)))</f>
        <v>1</v>
      </c>
      <c r="I11" s="9" t="str">
        <f>INDEX(协会公示!$G$2:$G$84,$M11)</f>
        <v>协会提示／已整改异常</v>
      </c>
      <c r="J11" s="9" t="str">
        <f>IF(ISNUMBER(INDEX('Sheet2-计算明细'!$AU$17:$AU$99,$M11)),INDEX('Sheet2-计算明细'!$AU$17:$AU$99,$M11),IF(INDEX('Sheet2-计算明细'!$AU$17:$AU$99,$M11)="","",INDEX('Sheet2-计算明细'!$AU$17:$AU$99,$M11)))</f>
        <v/>
      </c>
      <c r="K11" s="9">
        <f>IF(ISNUMBER(INDEX('Sheet2-计算明细'!$AT$17:$AT$99,$M11)),INDEX('Sheet2-计算明细'!$AT$17:$AT$99,$M11),IF(INDEX('Sheet2-计算明细'!$AT$17:$AT$99,$M11)="","",INDEX('Sheet2-计算明细'!$AT$17:$AT$99,$M11)))</f>
        <v>32</v>
      </c>
      <c r="L11" s="9" t="str">
        <f>IF(ISNUMBER(INDEX('Sheet2-计算明细'!$G$17:$G$99,$M11)),INDEX('Sheet2-计算明细'!$G$17:$G$99,$M11),IF(INDEX('Sheet2-计算明细'!$G$17:$G$99,$M11)="","",INDEX('Sheet2-计算明细'!$G$17:$G$99,$M11)))</f>
        <v>入池</v>
      </c>
      <c r="M11" s="9">
        <f>MATCH(A11,协会公示!$W$2:$W$84,0)</f>
        <v>70</v>
      </c>
      <c r="N11" s="9" t="str">
        <f>INDEX(协会公示!$R$2:$R$84,$M11)</f>
        <v>https://gs.amac.org.cn/amac-infodisc/res/pof/manager/101000016974.html</v>
      </c>
    </row>
    <row r="12" ht="25" customHeight="1" spans="1:14">
      <c r="A12" s="9">
        <v>7</v>
      </c>
      <c r="B12" s="9" t="str">
        <f>IF(ISNUMBER(INDEX('Sheet2-计算明细'!$B$17:$B$99,$M12)),INDEX('Sheet2-计算明细'!$B$17:$B$99,$M12),IF(INDEX('Sheet2-计算明细'!$B$17:$B$99,$M12)="","",INDEX('Sheet2-计算明细'!$B$17:$B$99,$M12)))</f>
        <v>永泉奇点2号混合投资</v>
      </c>
      <c r="C12" s="9" t="str">
        <f>IF(ISNUMBER(INDEX('Sheet2-计算明细'!$C$17:$C$99,$M12)),INDEX('Sheet2-计算明细'!$C$17:$C$99,$M12),IF(INDEX('Sheet2-计算明细'!$C$17:$C$99,$M12)="","",INDEX('Sheet2-计算明细'!$C$17:$C$99,$M12)))</f>
        <v>SJB356</v>
      </c>
      <c r="D12" s="9" t="str">
        <f>IF(ISNUMBER(INDEX('Sheet2-计算明细'!$D$17:$D$99,$M12)),INDEX('Sheet2-计算明细'!$D$17:$D$99,$M12),IF(INDEX('Sheet2-计算明细'!$D$17:$D$99,$M12)="","",INDEX('Sheet2-计算明细'!$D$17:$D$99,$M12)))</f>
        <v>宁波永泉</v>
      </c>
      <c r="E12" s="9" t="str">
        <f>IF(ISNUMBER(INDEX('Sheet2-计算明细'!$H$17:$H$99,$M12)),INDEX('Sheet2-计算明细'!$H$17:$H$99,$M12),IF(INDEX('Sheet2-计算明细'!$H$17:$H$99,$M12)="","",INDEX('Sheet2-计算明细'!$H$17:$H$99,$M12)))</f>
        <v>0-5亿元</v>
      </c>
      <c r="F12" s="13">
        <f>IF(ISNUMBER(INDEX('Sheet2-计算明细'!$AV$17:$AV$99,$M12)),INDEX('Sheet2-计算明细'!$AV$17:$AV$99,$M12),IF(INDEX('Sheet2-计算明细'!$AV$17:$AV$99,$M12)="","",INDEX('Sheet2-计算明细'!$AV$17:$AV$99,$M12)))</f>
        <v>65.71879</v>
      </c>
      <c r="G12" s="13">
        <f>IF(ISNUMBER(INDEX('Sheet2-计算明细'!$AS$17:$AS$99,$M12)),INDEX('Sheet2-计算明细'!$AS$17:$AS$99,$M12),IF(INDEX('Sheet2-计算明细'!$AS$17:$AS$99,$M12)="","",INDEX('Sheet2-计算明细'!$AS$17:$AS$99,$M12)))</f>
        <v>65.72</v>
      </c>
      <c r="H12" s="12">
        <f>IF(ISNUMBER(INDEX('Sheet2-计算明细'!$AQ$17:$AQ$99,$M12)),INDEX('Sheet2-计算明细'!$AQ$17:$AQ$99,$M12),IF(INDEX('Sheet2-计算明细'!$AQ$17:$AQ$99,$M12)="","",INDEX('Sheet2-计算明细'!$AQ$17:$AQ$99,$M12)))</f>
        <v>1</v>
      </c>
      <c r="I12" s="9" t="str">
        <f>INDEX(协会公示!$G$2:$G$84,$M12)</f>
        <v>协会提示／已整改异常</v>
      </c>
      <c r="J12" s="9" t="str">
        <f>IF(ISNUMBER(INDEX('Sheet2-计算明细'!$AU$17:$AU$99,$M12)),INDEX('Sheet2-计算明细'!$AU$17:$AU$99,$M12),IF(INDEX('Sheet2-计算明细'!$AU$17:$AU$99,$M12)="","",INDEX('Sheet2-计算明细'!$AU$17:$AU$99,$M12)))</f>
        <v/>
      </c>
      <c r="K12" s="9">
        <f>IF(ISNUMBER(INDEX('Sheet2-计算明细'!$AT$17:$AT$99,$M12)),INDEX('Sheet2-计算明细'!$AT$17:$AT$99,$M12),IF(INDEX('Sheet2-计算明细'!$AT$17:$AT$99,$M12)="","",INDEX('Sheet2-计算明细'!$AT$17:$AT$99,$M12)))</f>
        <v>37</v>
      </c>
      <c r="L12" s="9" t="str">
        <f>IF(ISNUMBER(INDEX('Sheet2-计算明细'!$G$17:$G$99,$M12)),INDEX('Sheet2-计算明细'!$G$17:$G$99,$M12),IF(INDEX('Sheet2-计算明细'!$G$17:$G$99,$M12)="","",INDEX('Sheet2-计算明细'!$G$17:$G$99,$M12)))</f>
        <v>入池</v>
      </c>
      <c r="M12" s="9">
        <f>MATCH(A12,协会公示!$W$2:$W$84,0)</f>
        <v>71</v>
      </c>
      <c r="N12" s="9" t="str">
        <f>INDEX(协会公示!$R$2:$R$84,$M12)</f>
        <v>https://gs.amac.org.cn/amac-infodisc/res/pof/manager/101000016974.html</v>
      </c>
    </row>
    <row r="13" ht="25" customHeight="1" spans="1:14">
      <c r="A13" s="9">
        <v>8</v>
      </c>
      <c r="B13" s="9" t="str">
        <f>IF(ISNUMBER(INDEX('Sheet2-计算明细'!$B$17:$B$99,$M13)),INDEX('Sheet2-计算明细'!$B$17:$B$99,$M13),IF(INDEX('Sheet2-计算明细'!$B$17:$B$99,$M13)="","",INDEX('Sheet2-计算明细'!$B$17:$B$99,$M13)))</f>
        <v>世宽若水尘心2号B类</v>
      </c>
      <c r="C13" s="9" t="str">
        <f>IF(ISNUMBER(INDEX('Sheet2-计算明细'!$C$17:$C$99,$M13)),INDEX('Sheet2-计算明细'!$C$17:$C$99,$M13),IF(INDEX('Sheet2-计算明细'!$C$17:$C$99,$M13)="","",INDEX('Sheet2-计算明细'!$C$17:$C$99,$M13)))</f>
        <v>XX769B</v>
      </c>
      <c r="D13" s="9" t="str">
        <f>IF(ISNUMBER(INDEX('Sheet2-计算明细'!$D$17:$D$99,$M13)),INDEX('Sheet2-计算明细'!$D$17:$D$99,$M13),IF(INDEX('Sheet2-计算明细'!$D$17:$D$99,$M13)="","",INDEX('Sheet2-计算明细'!$D$17:$D$99,$M13)))</f>
        <v>厦门世宽</v>
      </c>
      <c r="E13" s="9" t="str">
        <f>IF(ISNUMBER(INDEX('Sheet2-计算明细'!$H$17:$H$99,$M13)),INDEX('Sheet2-计算明细'!$H$17:$H$99,$M13),IF(INDEX('Sheet2-计算明细'!$H$17:$H$99,$M13)="","",INDEX('Sheet2-计算明细'!$H$17:$H$99,$M13)))</f>
        <v>0-5亿元</v>
      </c>
      <c r="F13" s="13" t="str">
        <f>IF(ISNUMBER(INDEX('Sheet2-计算明细'!$AV$17:$AV$99,$M13)),INDEX('Sheet2-计算明细'!$AV$17:$AV$99,$M13),IF(INDEX('Sheet2-计算明细'!$AV$17:$AV$99,$M13)="","",INDEX('Sheet2-计算明细'!$AV$17:$AV$99,$M13)))</f>
        <v/>
      </c>
      <c r="G13" s="13">
        <f>IF(ISNUMBER(INDEX('Sheet2-计算明细'!$AS$17:$AS$99,$M13)),INDEX('Sheet2-计算明细'!$AS$17:$AS$99,$M13),IF(INDEX('Sheet2-计算明细'!$AS$17:$AS$99,$M13)="","",INDEX('Sheet2-计算明细'!$AS$17:$AS$99,$M13)))</f>
        <v>64.6</v>
      </c>
      <c r="H13" s="12">
        <f>IF(ISNUMBER(INDEX('Sheet2-计算明细'!$AQ$17:$AQ$99,$M13)),INDEX('Sheet2-计算明细'!$AQ$17:$AQ$99,$M13),IF(INDEX('Sheet2-计算明细'!$AQ$17:$AQ$99,$M13)="","",INDEX('Sheet2-计算明细'!$AQ$17:$AQ$99,$M13)))</f>
        <v>0.655</v>
      </c>
      <c r="I13" s="9" t="str">
        <f>INDEX(协会公示!$G$2:$G$84,$M13)</f>
        <v>本次公示未见相关提示</v>
      </c>
      <c r="J13" s="9" t="str">
        <f>IF(ISNUMBER(INDEX('Sheet2-计算明细'!$AU$17:$AU$99,$M13)),INDEX('Sheet2-计算明细'!$AU$17:$AU$99,$M13),IF(INDEX('Sheet2-计算明细'!$AU$17:$AU$99,$M13)="","",INDEX('Sheet2-计算明细'!$AU$17:$AU$99,$M13)))</f>
        <v>产品规模标识；近三年收益；近三年胜率；近三年回撤；</v>
      </c>
      <c r="K13" s="9">
        <f>IF(ISNUMBER(INDEX('Sheet2-计算明细'!$AT$17:$AT$99,$M13)),INDEX('Sheet2-计算明细'!$AT$17:$AT$99,$M13),IF(INDEX('Sheet2-计算明细'!$AT$17:$AT$99,$M13)="","",INDEX('Sheet2-计算明细'!$AT$17:$AT$99,$M13)))</f>
        <v>39</v>
      </c>
      <c r="L13" s="9" t="str">
        <f>IF(ISNUMBER(INDEX('Sheet2-计算明细'!$G$17:$G$99,$M13)),INDEX('Sheet2-计算明细'!$G$17:$G$99,$M13),IF(INDEX('Sheet2-计算明细'!$G$17:$G$99,$M13)="","",INDEX('Sheet2-计算明细'!$G$17:$G$99,$M13)))</f>
        <v>入池</v>
      </c>
      <c r="M13" s="9">
        <f>MATCH(A13,协会公示!$W$2:$W$84,0)</f>
        <v>58</v>
      </c>
      <c r="N13" s="9" t="str">
        <f>INDEX(协会公示!$R$2:$R$84,$M13)</f>
        <v>https://gs.amac.org.cn/amac-infodisc/res/pof/manager/101000026000.html</v>
      </c>
    </row>
    <row r="14" ht="25" customHeight="1" spans="1:14">
      <c r="A14" s="9">
        <v>9</v>
      </c>
      <c r="B14" s="9" t="str">
        <f>IF(ISNUMBER(INDEX('Sheet2-计算明细'!$B$17:$B$99,$M14)),INDEX('Sheet2-计算明细'!$B$17:$B$99,$M14),IF(INDEX('Sheet2-计算明细'!$B$17:$B$99,$M14)="","",INDEX('Sheet2-计算明细'!$B$17:$B$99,$M14)))</f>
        <v>汇艾稳健3号</v>
      </c>
      <c r="C14" s="9" t="str">
        <f>IF(ISNUMBER(INDEX('Sheet2-计算明细'!$C$17:$C$99,$M14)),INDEX('Sheet2-计算明细'!$C$17:$C$99,$M14),IF(INDEX('Sheet2-计算明细'!$C$17:$C$99,$M14)="","",INDEX('Sheet2-计算明细'!$C$17:$C$99,$M14)))</f>
        <v>SR8584</v>
      </c>
      <c r="D14" s="9" t="str">
        <f>IF(ISNUMBER(INDEX('Sheet2-计算明细'!$D$17:$D$99,$M14)),INDEX('Sheet2-计算明细'!$D$17:$D$99,$M14),IF(INDEX('Sheet2-计算明细'!$D$17:$D$99,$M14)="","",INDEX('Sheet2-计算明细'!$D$17:$D$99,$M14)))</f>
        <v>上海汇艾资管</v>
      </c>
      <c r="E14" s="9" t="str">
        <f>IF(ISNUMBER(INDEX('Sheet2-计算明细'!$H$17:$H$99,$M14)),INDEX('Sheet2-计算明细'!$H$17:$H$99,$M14),IF(INDEX('Sheet2-计算明细'!$H$17:$H$99,$M14)="","",INDEX('Sheet2-计算明细'!$H$17:$H$99,$M14)))</f>
        <v>0-5亿元</v>
      </c>
      <c r="F14" s="13">
        <f>IF(ISNUMBER(INDEX('Sheet2-计算明细'!$AV$17:$AV$99,$M14)),INDEX('Sheet2-计算明细'!$AV$17:$AV$99,$M14),IF(INDEX('Sheet2-计算明细'!$AV$17:$AV$99,$M14)="","",INDEX('Sheet2-计算明细'!$AV$17:$AV$99,$M14)))</f>
        <v>63.29634</v>
      </c>
      <c r="G14" s="13">
        <f>IF(ISNUMBER(INDEX('Sheet2-计算明细'!$AS$17:$AS$99,$M14)),INDEX('Sheet2-计算明细'!$AS$17:$AS$99,$M14),IF(INDEX('Sheet2-计算明细'!$AS$17:$AS$99,$M14)="","",INDEX('Sheet2-计算明细'!$AS$17:$AS$99,$M14)))</f>
        <v>63.3</v>
      </c>
      <c r="H14" s="12">
        <f>IF(ISNUMBER(INDEX('Sheet2-计算明细'!$AQ$17:$AQ$99,$M14)),INDEX('Sheet2-计算明细'!$AQ$17:$AQ$99,$M14),IF(INDEX('Sheet2-计算明细'!$AQ$17:$AQ$99,$M14)="","",INDEX('Sheet2-计算明细'!$AQ$17:$AQ$99,$M14)))</f>
        <v>1</v>
      </c>
      <c r="I14" s="9" t="str">
        <f>INDEX(协会公示!$G$2:$G$84,$M14)</f>
        <v>本次公示未见相关提示</v>
      </c>
      <c r="J14" s="9" t="str">
        <f>IF(ISNUMBER(INDEX('Sheet2-计算明细'!$AU$17:$AU$99,$M14)),INDEX('Sheet2-计算明细'!$AU$17:$AU$99,$M14),IF(INDEX('Sheet2-计算明细'!$AU$17:$AU$99,$M14)="","",INDEX('Sheet2-计算明细'!$AU$17:$AU$99,$M14)))</f>
        <v/>
      </c>
      <c r="K14" s="9">
        <f>IF(ISNUMBER(INDEX('Sheet2-计算明细'!$AT$17:$AT$99,$M14)),INDEX('Sheet2-计算明细'!$AT$17:$AT$99,$M14),IF(INDEX('Sheet2-计算明细'!$AT$17:$AT$99,$M14)="","",INDEX('Sheet2-计算明细'!$AT$17:$AT$99,$M14)))</f>
        <v>40</v>
      </c>
      <c r="L14" s="9" t="str">
        <f>IF(ISNUMBER(INDEX('Sheet2-计算明细'!$G$17:$G$99,$M14)),INDEX('Sheet2-计算明细'!$G$17:$G$99,$M14),IF(INDEX('Sheet2-计算明细'!$G$17:$G$99,$M14)="","",INDEX('Sheet2-计算明细'!$G$17:$G$99,$M14)))</f>
        <v>入池</v>
      </c>
      <c r="M14" s="9">
        <f>MATCH(A14,协会公示!$W$2:$W$84,0)</f>
        <v>20</v>
      </c>
      <c r="N14" s="9" t="str">
        <f>INDEX(协会公示!$R$2:$R$84,$M14)</f>
        <v>https://gs.amac.org.cn/amac-infodisc/res/pof/manager/101000016385.html</v>
      </c>
    </row>
    <row r="15" ht="25" customHeight="1" spans="1:14">
      <c r="A15" s="9">
        <v>10</v>
      </c>
      <c r="B15" s="9" t="str">
        <f>IF(ISNUMBER(INDEX('Sheet2-计算明细'!$B$17:$B$99,$M15)),INDEX('Sheet2-计算明细'!$B$17:$B$99,$M15),IF(INDEX('Sheet2-计算明细'!$B$17:$B$99,$M15)="","",INDEX('Sheet2-计算明细'!$B$17:$B$99,$M15)))</f>
        <v>聚亿具臻B类</v>
      </c>
      <c r="C15" s="9" t="str">
        <f>IF(ISNUMBER(INDEX('Sheet2-计算明细'!$C$17:$C$99,$M15)),INDEX('Sheet2-计算明细'!$C$17:$C$99,$M15),IF(INDEX('Sheet2-计算明细'!$C$17:$C$99,$M15)="","",INDEX('Sheet2-计算明细'!$C$17:$C$99,$M15)))</f>
        <v>LM995B</v>
      </c>
      <c r="D15" s="9" t="str">
        <f>IF(ISNUMBER(INDEX('Sheet2-计算明细'!$D$17:$D$99,$M15)),INDEX('Sheet2-计算明细'!$D$17:$D$99,$M15),IF(INDEX('Sheet2-计算明细'!$D$17:$D$99,$M15)="","",INDEX('Sheet2-计算明细'!$D$17:$D$99,$M15)))</f>
        <v>珠海聚亿基金</v>
      </c>
      <c r="E15" s="9" t="str">
        <f>IF(ISNUMBER(INDEX('Sheet2-计算明细'!$H$17:$H$99,$M15)),INDEX('Sheet2-计算明细'!$H$17:$H$99,$M15),IF(INDEX('Sheet2-计算明细'!$H$17:$H$99,$M15)="","",INDEX('Sheet2-计算明细'!$H$17:$H$99,$M15)))</f>
        <v>0-5亿元</v>
      </c>
      <c r="F15" s="13" t="str">
        <f>IF(ISNUMBER(INDEX('Sheet2-计算明细'!$AV$17:$AV$99,$M15)),INDEX('Sheet2-计算明细'!$AV$17:$AV$99,$M15),IF(INDEX('Sheet2-计算明细'!$AV$17:$AV$99,$M15)="","",INDEX('Sheet2-计算明细'!$AV$17:$AV$99,$M15)))</f>
        <v/>
      </c>
      <c r="G15" s="13">
        <f>IF(ISNUMBER(INDEX('Sheet2-计算明细'!$AS$17:$AS$99,$M15)),INDEX('Sheet2-计算明细'!$AS$17:$AS$99,$M15),IF(INDEX('Sheet2-计算明细'!$AS$17:$AS$99,$M15)="","",INDEX('Sheet2-计算明细'!$AS$17:$AS$99,$M15)))</f>
        <v>62.34</v>
      </c>
      <c r="H15" s="12">
        <f>IF(ISNUMBER(INDEX('Sheet2-计算明细'!$AQ$17:$AQ$99,$M15)),INDEX('Sheet2-计算明细'!$AQ$17:$AQ$99,$M15),IF(INDEX('Sheet2-计算明细'!$AQ$17:$AQ$99,$M15)="","",INDEX('Sheet2-计算明细'!$AQ$17:$AQ$99,$M15)))</f>
        <v>0.655</v>
      </c>
      <c r="I15" s="9" t="str">
        <f>INDEX(协会公示!$G$2:$G$84,$M15)</f>
        <v>本次公示未见相关提示</v>
      </c>
      <c r="J15" s="9" t="str">
        <f>IF(ISNUMBER(INDEX('Sheet2-计算明细'!$AU$17:$AU$99,$M15)),INDEX('Sheet2-计算明细'!$AU$17:$AU$99,$M15),IF(INDEX('Sheet2-计算明细'!$AU$17:$AU$99,$M15)="","",INDEX('Sheet2-计算明细'!$AU$17:$AU$99,$M15)))</f>
        <v>产品规模标识；近三年收益；近三年胜率；近三年回撤；</v>
      </c>
      <c r="K15" s="9">
        <f>IF(ISNUMBER(INDEX('Sheet2-计算明细'!$AT$17:$AT$99,$M15)),INDEX('Sheet2-计算明细'!$AT$17:$AT$99,$M15),IF(INDEX('Sheet2-计算明细'!$AT$17:$AT$99,$M15)="","",INDEX('Sheet2-计算明细'!$AT$17:$AT$99,$M15)))</f>
        <v>42</v>
      </c>
      <c r="L15" s="9" t="str">
        <f>IF(ISNUMBER(INDEX('Sheet2-计算明细'!$G$17:$G$99,$M15)),INDEX('Sheet2-计算明细'!$G$17:$G$99,$M15),IF(INDEX('Sheet2-计算明细'!$G$17:$G$99,$M15)="","",INDEX('Sheet2-计算明细'!$G$17:$G$99,$M15)))</f>
        <v>入池</v>
      </c>
      <c r="M15" s="9">
        <f>MATCH(A15,协会公示!$W$2:$W$84,0)</f>
        <v>30</v>
      </c>
      <c r="N15" s="9" t="str">
        <f>INDEX(协会公示!$R$2:$R$84,$M15)</f>
        <v>https://gs.amac.org.cn/amac-infodisc/res/pof/manager/1706231108101144.html</v>
      </c>
    </row>
    <row r="16" ht="25" customHeight="1" spans="1:14">
      <c r="A16" s="9">
        <v>11</v>
      </c>
      <c r="B16" s="9" t="str">
        <f>IF(ISNUMBER(INDEX('Sheet2-计算明细'!$B$17:$B$99,$M16)),INDEX('Sheet2-计算明细'!$B$17:$B$99,$M16),IF(INDEX('Sheet2-计算明细'!$B$17:$B$99,$M16)="","",INDEX('Sheet2-计算明细'!$B$17:$B$99,$M16)))</f>
        <v>佳泽信享5号A类</v>
      </c>
      <c r="C16" s="9" t="str">
        <f>IF(ISNUMBER(INDEX('Sheet2-计算明细'!$C$17:$C$99,$M16)),INDEX('Sheet2-计算明细'!$C$17:$C$99,$M16),IF(INDEX('Sheet2-计算明细'!$C$17:$C$99,$M16)="","",INDEX('Sheet2-计算明细'!$C$17:$C$99,$M16)))</f>
        <v>ZC395A</v>
      </c>
      <c r="D16" s="9" t="str">
        <f>IF(ISNUMBER(INDEX('Sheet2-计算明细'!$D$17:$D$99,$M16)),INDEX('Sheet2-计算明细'!$D$17:$D$99,$M16),IF(INDEX('Sheet2-计算明细'!$D$17:$D$99,$M16)="","",INDEX('Sheet2-计算明细'!$D$17:$D$99,$M16)))</f>
        <v>海南佳泽</v>
      </c>
      <c r="E16" s="9" t="str">
        <f>IF(ISNUMBER(INDEX('Sheet2-计算明细'!$H$17:$H$99,$M16)),INDEX('Sheet2-计算明细'!$H$17:$H$99,$M16),IF(INDEX('Sheet2-计算明细'!$H$17:$H$99,$M16)="","",INDEX('Sheet2-计算明细'!$H$17:$H$99,$M16)))</f>
        <v>0-5亿元</v>
      </c>
      <c r="F16" s="13" t="str">
        <f>IF(ISNUMBER(INDEX('Sheet2-计算明细'!$AV$17:$AV$99,$M16)),INDEX('Sheet2-计算明细'!$AV$17:$AV$99,$M16),IF(INDEX('Sheet2-计算明细'!$AV$17:$AV$99,$M16)="","",INDEX('Sheet2-计算明细'!$AV$17:$AV$99,$M16)))</f>
        <v/>
      </c>
      <c r="G16" s="13">
        <f>IF(ISNUMBER(INDEX('Sheet2-计算明细'!$AS$17:$AS$99,$M16)),INDEX('Sheet2-计算明细'!$AS$17:$AS$99,$M16),IF(INDEX('Sheet2-计算明细'!$AS$17:$AS$99,$M16)="","",INDEX('Sheet2-计算明细'!$AS$17:$AS$99,$M16)))</f>
        <v>57.26</v>
      </c>
      <c r="H16" s="12">
        <f>IF(ISNUMBER(INDEX('Sheet2-计算明细'!$AQ$17:$AQ$99,$M16)),INDEX('Sheet2-计算明细'!$AQ$17:$AQ$99,$M16),IF(INDEX('Sheet2-计算明细'!$AQ$17:$AQ$99,$M16)="","",INDEX('Sheet2-计算明细'!$AQ$17:$AQ$99,$M16)))</f>
        <v>0.955</v>
      </c>
      <c r="I16" s="9" t="str">
        <f>INDEX(协会公示!$G$2:$G$84,$M16)</f>
        <v>协会提示／已整改异常</v>
      </c>
      <c r="J16" s="9" t="str">
        <f>IF(ISNUMBER(INDEX('Sheet2-计算明细'!$AU$17:$AU$99,$M16)),INDEX('Sheet2-计算明细'!$AU$17:$AU$99,$M16),IF(INDEX('Sheet2-计算明细'!$AU$17:$AU$99,$M16)="","",INDEX('Sheet2-计算明细'!$AU$17:$AU$99,$M16)))</f>
        <v>产品规模标识；</v>
      </c>
      <c r="K16" s="9">
        <f>IF(ISNUMBER(INDEX('Sheet2-计算明细'!$AT$17:$AT$99,$M16)),INDEX('Sheet2-计算明细'!$AT$17:$AT$99,$M16),IF(INDEX('Sheet2-计算明细'!$AT$17:$AT$99,$M16)="","",INDEX('Sheet2-计算明细'!$AT$17:$AT$99,$M16)))</f>
        <v>45</v>
      </c>
      <c r="L16" s="9" t="str">
        <f>IF(ISNUMBER(INDEX('Sheet2-计算明细'!$G$17:$G$99,$M16)),INDEX('Sheet2-计算明细'!$G$17:$G$99,$M16),IF(INDEX('Sheet2-计算明细'!$G$17:$G$99,$M16)="","",INDEX('Sheet2-计算明细'!$G$17:$G$99,$M16)))</f>
        <v>入池</v>
      </c>
      <c r="M16" s="9">
        <f>MATCH(A16,协会公示!$W$2:$W$84,0)</f>
        <v>22</v>
      </c>
      <c r="N16" s="9" t="str">
        <f>INDEX(协会公示!$R$2:$R$84,$M16)</f>
        <v>https://gs.amac.org.cn/amac-infodisc/res/pof/manager/2202171443109430.html</v>
      </c>
    </row>
    <row r="17" ht="25" customHeight="1" spans="1:14">
      <c r="A17" s="9">
        <v>12</v>
      </c>
      <c r="B17" s="9" t="str">
        <f>IF(ISNUMBER(INDEX('Sheet2-计算明细'!$B$17:$B$99,$M17)),INDEX('Sheet2-计算明细'!$B$17:$B$99,$M17),IF(INDEX('Sheet2-计算明细'!$B$17:$B$99,$M17)="","",INDEX('Sheet2-计算明细'!$B$17:$B$99,$M17)))</f>
        <v>博弈树金选套利2号</v>
      </c>
      <c r="C17" s="9" t="str">
        <f>IF(ISNUMBER(INDEX('Sheet2-计算明细'!$C$17:$C$99,$M17)),INDEX('Sheet2-计算明细'!$C$17:$C$99,$M17),IF(INDEX('Sheet2-计算明细'!$C$17:$C$99,$M17)="","",INDEX('Sheet2-计算明细'!$C$17:$C$99,$M17)))</f>
        <v>SXR086</v>
      </c>
      <c r="D17" s="9" t="str">
        <f>IF(ISNUMBER(INDEX('Sheet2-计算明细'!$D$17:$D$99,$M17)),INDEX('Sheet2-计算明细'!$D$17:$D$99,$M17),IF(INDEX('Sheet2-计算明细'!$D$17:$D$99,$M17)="","",INDEX('Sheet2-计算明细'!$D$17:$D$99,$M17)))</f>
        <v>广东丰煜</v>
      </c>
      <c r="E17" s="9" t="str">
        <f>IF(ISNUMBER(INDEX('Sheet2-计算明细'!$H$17:$H$99,$M17)),INDEX('Sheet2-计算明细'!$H$17:$H$99,$M17),IF(INDEX('Sheet2-计算明细'!$H$17:$H$99,$M17)="","",INDEX('Sheet2-计算明细'!$H$17:$H$99,$M17)))</f>
        <v>0-5亿元</v>
      </c>
      <c r="F17" s="13" t="str">
        <f>IF(ISNUMBER(INDEX('Sheet2-计算明细'!$AV$17:$AV$99,$M17)),INDEX('Sheet2-计算明细'!$AV$17:$AV$99,$M17),IF(INDEX('Sheet2-计算明细'!$AV$17:$AV$99,$M17)="","",INDEX('Sheet2-计算明细'!$AV$17:$AV$99,$M17)))</f>
        <v/>
      </c>
      <c r="G17" s="13">
        <f>IF(ISNUMBER(INDEX('Sheet2-计算明细'!$AS$17:$AS$99,$M17)),INDEX('Sheet2-计算明细'!$AS$17:$AS$99,$M17),IF(INDEX('Sheet2-计算明细'!$AS$17:$AS$99,$M17)="","",INDEX('Sheet2-计算明细'!$AS$17:$AS$99,$M17)))</f>
        <v>57.09</v>
      </c>
      <c r="H17" s="12">
        <f>IF(ISNUMBER(INDEX('Sheet2-计算明细'!$AQ$17:$AQ$99,$M17)),INDEX('Sheet2-计算明细'!$AQ$17:$AQ$99,$M17),IF(INDEX('Sheet2-计算明细'!$AQ$17:$AQ$99,$M17)="","",INDEX('Sheet2-计算明细'!$AQ$17:$AQ$99,$M17)))</f>
        <v>0.88</v>
      </c>
      <c r="I17" s="9" t="str">
        <f>INDEX(协会公示!$G$2:$G$84,$M17)</f>
        <v>本次公示未见相关提示</v>
      </c>
      <c r="J17" s="9" t="str">
        <f>IF(ISNUMBER(INDEX('Sheet2-计算明细'!$AU$17:$AU$99,$M17)),INDEX('Sheet2-计算明细'!$AU$17:$AU$99,$M17),IF(INDEX('Sheet2-计算明细'!$AU$17:$AU$99,$M17)="","",INDEX('Sheet2-计算明细'!$AU$17:$AU$99,$M17)))</f>
        <v>DD_long不可识别；</v>
      </c>
      <c r="K17" s="9">
        <f>IF(ISNUMBER(INDEX('Sheet2-计算明细'!$AT$17:$AT$99,$M17)),INDEX('Sheet2-计算明细'!$AT$17:$AT$99,$M17),IF(INDEX('Sheet2-计算明细'!$AT$17:$AT$99,$M17)="","",INDEX('Sheet2-计算明细'!$AT$17:$AT$99,$M17)))</f>
        <v>46</v>
      </c>
      <c r="L17" s="9" t="str">
        <f>IF(ISNUMBER(INDEX('Sheet2-计算明细'!$G$17:$G$99,$M17)),INDEX('Sheet2-计算明细'!$G$17:$G$99,$M17),IF(INDEX('Sheet2-计算明细'!$G$17:$G$99,$M17)="","",INDEX('Sheet2-计算明细'!$G$17:$G$99,$M17)))</f>
        <v>入池</v>
      </c>
      <c r="M17" s="9">
        <f>MATCH(A17,协会公示!$W$2:$W$84,0)</f>
        <v>6</v>
      </c>
      <c r="N17" s="9" t="str">
        <f>INDEX(协会公示!$R$2:$R$84,$M17)</f>
        <v>https://gs.amac.org.cn/amac-infodisc/res/pof/manager/101000015767.html</v>
      </c>
    </row>
    <row r="18" ht="25" customHeight="1" spans="1:14">
      <c r="A18" s="9">
        <v>13</v>
      </c>
      <c r="B18" s="9" t="str">
        <f>IF(ISNUMBER(INDEX('Sheet2-计算明细'!$B$17:$B$99,$M18)),INDEX('Sheet2-计算明细'!$B$17:$B$99,$M18),IF(INDEX('Sheet2-计算明细'!$B$17:$B$99,$M18)="","",INDEX('Sheet2-计算明细'!$B$17:$B$99,$M18)))</f>
        <v>东方富银命运1号</v>
      </c>
      <c r="C18" s="9" t="str">
        <f>IF(ISNUMBER(INDEX('Sheet2-计算明细'!$C$17:$C$99,$M18)),INDEX('Sheet2-计算明细'!$C$17:$C$99,$M18),IF(INDEX('Sheet2-计算明细'!$C$17:$C$99,$M18)="","",INDEX('Sheet2-计算明细'!$C$17:$C$99,$M18)))</f>
        <v>SEG244</v>
      </c>
      <c r="D18" s="9" t="str">
        <f>IF(ISNUMBER(INDEX('Sheet2-计算明细'!$D$17:$D$99,$M18)),INDEX('Sheet2-计算明细'!$D$17:$D$99,$M18),IF(INDEX('Sheet2-计算明细'!$D$17:$D$99,$M18)="","",INDEX('Sheet2-计算明细'!$D$17:$D$99,$M18)))</f>
        <v>深圳东方富银投资</v>
      </c>
      <c r="E18" s="9" t="str">
        <f>IF(ISNUMBER(INDEX('Sheet2-计算明细'!$H$17:$H$99,$M18)),INDEX('Sheet2-计算明细'!$H$17:$H$99,$M18),IF(INDEX('Sheet2-计算明细'!$H$17:$H$99,$M18)="","",INDEX('Sheet2-计算明细'!$H$17:$H$99,$M18)))</f>
        <v>0-5亿元</v>
      </c>
      <c r="F18" s="13">
        <f>IF(ISNUMBER(INDEX('Sheet2-计算明细'!$AV$17:$AV$99,$M18)),INDEX('Sheet2-计算明细'!$AV$17:$AV$99,$M18),IF(INDEX('Sheet2-计算明细'!$AV$17:$AV$99,$M18)="","",INDEX('Sheet2-计算明细'!$AV$17:$AV$99,$M18)))</f>
        <v>53.49622</v>
      </c>
      <c r="G18" s="13">
        <f>IF(ISNUMBER(INDEX('Sheet2-计算明细'!$AS$17:$AS$99,$M18)),INDEX('Sheet2-计算明细'!$AS$17:$AS$99,$M18),IF(INDEX('Sheet2-计算明细'!$AS$17:$AS$99,$M18)="","",INDEX('Sheet2-计算明细'!$AS$17:$AS$99,$M18)))</f>
        <v>53.5</v>
      </c>
      <c r="H18" s="12">
        <f>IF(ISNUMBER(INDEX('Sheet2-计算明细'!$AQ$17:$AQ$99,$M18)),INDEX('Sheet2-计算明细'!$AQ$17:$AQ$99,$M18),IF(INDEX('Sheet2-计算明细'!$AQ$17:$AQ$99,$M18)="","",INDEX('Sheet2-计算明细'!$AQ$17:$AQ$99,$M18)))</f>
        <v>1</v>
      </c>
      <c r="I18" s="9" t="str">
        <f>INDEX(协会公示!$G$2:$G$84,$M18)</f>
        <v>本次公示未见相关提示</v>
      </c>
      <c r="J18" s="9" t="str">
        <f>IF(ISNUMBER(INDEX('Sheet2-计算明细'!$AU$17:$AU$99,$M18)),INDEX('Sheet2-计算明细'!$AU$17:$AU$99,$M18),IF(INDEX('Sheet2-计算明细'!$AU$17:$AU$99,$M18)="","",INDEX('Sheet2-计算明细'!$AU$17:$AU$99,$M18)))</f>
        <v/>
      </c>
      <c r="K18" s="9">
        <f>IF(ISNUMBER(INDEX('Sheet2-计算明细'!$AT$17:$AT$99,$M18)),INDEX('Sheet2-计算明细'!$AT$17:$AT$99,$M18),IF(INDEX('Sheet2-计算明细'!$AT$17:$AT$99,$M18)="","",INDEX('Sheet2-计算明细'!$AT$17:$AT$99,$M18)))</f>
        <v>52</v>
      </c>
      <c r="L18" s="9" t="str">
        <f>IF(ISNUMBER(INDEX('Sheet2-计算明细'!$G$17:$G$99,$M18)),INDEX('Sheet2-计算明细'!$G$17:$G$99,$M18),IF(INDEX('Sheet2-计算明细'!$G$17:$G$99,$M18)="","",INDEX('Sheet2-计算明细'!$G$17:$G$99,$M18)))</f>
        <v>入池</v>
      </c>
      <c r="M18" s="9">
        <f>MATCH(A18,协会公示!$W$2:$W$84,0)</f>
        <v>13</v>
      </c>
      <c r="N18" s="9" t="str">
        <f>INDEX(协会公示!$R$2:$R$84,$M18)</f>
        <v>https://gs.amac.org.cn/amac-infodisc/res/pof/manager/1803121751101388.html</v>
      </c>
    </row>
    <row r="19" ht="25" customHeight="1" spans="1:14">
      <c r="A19" s="9">
        <v>14</v>
      </c>
      <c r="B19" s="9" t="str">
        <f>IF(ISNUMBER(INDEX('Sheet2-计算明细'!$B$17:$B$99,$M19)),INDEX('Sheet2-计算明细'!$B$17:$B$99,$M19),IF(INDEX('Sheet2-计算明细'!$B$17:$B$99,$M19)="","",INDEX('Sheet2-计算明细'!$B$17:$B$99,$M19)))</f>
        <v>唐德幽兰量化套利一号</v>
      </c>
      <c r="C19" s="9" t="str">
        <f>IF(ISNUMBER(INDEX('Sheet2-计算明细'!$C$17:$C$99,$M19)),INDEX('Sheet2-计算明细'!$C$17:$C$99,$M19),IF(INDEX('Sheet2-计算明细'!$C$17:$C$99,$M19)="","",INDEX('Sheet2-计算明细'!$C$17:$C$99,$M19)))</f>
        <v>SAHM04</v>
      </c>
      <c r="D19" s="9" t="str">
        <f>IF(ISNUMBER(INDEX('Sheet2-计算明细'!$D$17:$D$99,$M19)),INDEX('Sheet2-计算明细'!$D$17:$D$99,$M19),IF(INDEX('Sheet2-计算明细'!$D$17:$D$99,$M19)="","",INDEX('Sheet2-计算明细'!$D$17:$D$99,$M19)))</f>
        <v>深圳唐德</v>
      </c>
      <c r="E19" s="9" t="str">
        <f>IF(ISNUMBER(INDEX('Sheet2-计算明细'!$H$17:$H$99,$M19)),INDEX('Sheet2-计算明细'!$H$17:$H$99,$M19),IF(INDEX('Sheet2-计算明细'!$H$17:$H$99,$M19)="","",INDEX('Sheet2-计算明细'!$H$17:$H$99,$M19)))</f>
        <v>0-5亿元</v>
      </c>
      <c r="F19" s="13" t="str">
        <f>IF(ISNUMBER(INDEX('Sheet2-计算明细'!$AV$17:$AV$99,$M19)),INDEX('Sheet2-计算明细'!$AV$17:$AV$99,$M19),IF(INDEX('Sheet2-计算明细'!$AV$17:$AV$99,$M19)="","",INDEX('Sheet2-计算明细'!$AV$17:$AV$99,$M19)))</f>
        <v/>
      </c>
      <c r="G19" s="13">
        <f>IF(ISNUMBER(INDEX('Sheet2-计算明细'!$AS$17:$AS$99,$M19)),INDEX('Sheet2-计算明细'!$AS$17:$AS$99,$M19),IF(INDEX('Sheet2-计算明细'!$AS$17:$AS$99,$M19)="","",INDEX('Sheet2-计算明细'!$AS$17:$AS$99,$M19)))</f>
        <v>48.76</v>
      </c>
      <c r="H19" s="12">
        <f>IF(ISNUMBER(INDEX('Sheet2-计算明细'!$AQ$17:$AQ$99,$M19)),INDEX('Sheet2-计算明细'!$AQ$17:$AQ$99,$M19),IF(INDEX('Sheet2-计算明细'!$AQ$17:$AQ$99,$M19)="","",INDEX('Sheet2-计算明细'!$AQ$17:$AQ$99,$M19)))</f>
        <v>0.856</v>
      </c>
      <c r="I19" s="9" t="str">
        <f>INDEX(协会公示!$G$2:$G$84,$M19)</f>
        <v>协会提示／已整改异常</v>
      </c>
      <c r="J19" s="9" t="str">
        <f>IF(ISNUMBER(INDEX('Sheet2-计算明细'!$AU$17:$AU$99,$M19)),INDEX('Sheet2-计算明细'!$AU$17:$AU$99,$M19),IF(INDEX('Sheet2-计算明细'!$AU$17:$AU$99,$M19)="","",INDEX('Sheet2-计算明细'!$AU$17:$AU$99,$M19)))</f>
        <v>近三年收益；近三年胜率；近三年回撤；DD_long不可识别；</v>
      </c>
      <c r="K19" s="9">
        <f>IF(ISNUMBER(INDEX('Sheet2-计算明细'!$AT$17:$AT$99,$M19)),INDEX('Sheet2-计算明细'!$AT$17:$AT$99,$M19),IF(INDEX('Sheet2-计算明细'!$AT$17:$AT$99,$M19)="","",INDEX('Sheet2-计算明细'!$AT$17:$AT$99,$M19)))</f>
        <v>59</v>
      </c>
      <c r="L19" s="9" t="str">
        <f>IF(ISNUMBER(INDEX('Sheet2-计算明细'!$G$17:$G$99,$M19)),INDEX('Sheet2-计算明细'!$G$17:$G$99,$M19),IF(INDEX('Sheet2-计算明细'!$G$17:$G$99,$M19)="","",INDEX('Sheet2-计算明细'!$G$17:$G$99,$M19)))</f>
        <v>入池</v>
      </c>
      <c r="M19" s="9">
        <f>MATCH(A19,协会公示!$W$2:$W$84,0)</f>
        <v>64</v>
      </c>
      <c r="N19" s="9" t="str">
        <f>INDEX(协会公示!$R$2:$R$84,$M19)</f>
        <v>https://gs.amac.org.cn/amac-infodisc/res/pof/manager/101000038100.html</v>
      </c>
    </row>
    <row r="20" ht="25" customHeight="1" spans="1:14">
      <c r="A20" s="9">
        <v>15</v>
      </c>
      <c r="B20" s="9" t="str">
        <f>IF(ISNUMBER(INDEX('Sheet2-计算明细'!$B$17:$B$99,$M20)),INDEX('Sheet2-计算明细'!$B$17:$B$99,$M20),IF(INDEX('Sheet2-计算明细'!$B$17:$B$99,$M20)="","",INDEX('Sheet2-计算明细'!$B$17:$B$99,$M20)))</f>
        <v>杉阳云杉混合1号A类</v>
      </c>
      <c r="C20" s="9" t="str">
        <f>IF(ISNUMBER(INDEX('Sheet2-计算明细'!$C$17:$C$99,$M20)),INDEX('Sheet2-计算明细'!$C$17:$C$99,$M20),IF(INDEX('Sheet2-计算明细'!$C$17:$C$99,$M20)="","",INDEX('Sheet2-计算明细'!$C$17:$C$99,$M20)))</f>
        <v>LA063A</v>
      </c>
      <c r="D20" s="9" t="str">
        <f>IF(ISNUMBER(INDEX('Sheet2-计算明细'!$D$17:$D$99,$M20)),INDEX('Sheet2-计算明细'!$D$17:$D$99,$M20),IF(INDEX('Sheet2-计算明细'!$D$17:$D$99,$M20)="","",INDEX('Sheet2-计算明细'!$D$17:$D$99,$M20)))</f>
        <v>上海杉阳</v>
      </c>
      <c r="E20" s="9" t="str">
        <f>IF(ISNUMBER(INDEX('Sheet2-计算明细'!$H$17:$H$99,$M20)),INDEX('Sheet2-计算明细'!$H$17:$H$99,$M20),IF(INDEX('Sheet2-计算明细'!$H$17:$H$99,$M20)="","",INDEX('Sheet2-计算明细'!$H$17:$H$99,$M20)))</f>
        <v>0-5亿元</v>
      </c>
      <c r="F20" s="13" t="str">
        <f>IF(ISNUMBER(INDEX('Sheet2-计算明细'!$AV$17:$AV$99,$M20)),INDEX('Sheet2-计算明细'!$AV$17:$AV$99,$M20),IF(INDEX('Sheet2-计算明细'!$AV$17:$AV$99,$M20)="","",INDEX('Sheet2-计算明细'!$AV$17:$AV$99,$M20)))</f>
        <v/>
      </c>
      <c r="G20" s="13">
        <f>IF(ISNUMBER(INDEX('Sheet2-计算明细'!$AS$17:$AS$99,$M20)),INDEX('Sheet2-计算明细'!$AS$17:$AS$99,$M20),IF(INDEX('Sheet2-计算明细'!$AS$17:$AS$99,$M20)="","",INDEX('Sheet2-计算明细'!$AS$17:$AS$99,$M20)))</f>
        <v>47.83</v>
      </c>
      <c r="H20" s="12">
        <f>IF(ISNUMBER(INDEX('Sheet2-计算明细'!$AQ$17:$AQ$99,$M20)),INDEX('Sheet2-计算明细'!$AQ$17:$AQ$99,$M20),IF(INDEX('Sheet2-计算明细'!$AQ$17:$AQ$99,$M20)="","",INDEX('Sheet2-计算明细'!$AQ$17:$AQ$99,$M20)))</f>
        <v>0.955</v>
      </c>
      <c r="I20" s="9" t="str">
        <f>INDEX(协会公示!$G$2:$G$84,$M20)</f>
        <v>本次公示未见相关提示</v>
      </c>
      <c r="J20" s="9" t="str">
        <f>IF(ISNUMBER(INDEX('Sheet2-计算明细'!$AU$17:$AU$99,$M20)),INDEX('Sheet2-计算明细'!$AU$17:$AU$99,$M20),IF(INDEX('Sheet2-计算明细'!$AU$17:$AU$99,$M20)="","",INDEX('Sheet2-计算明细'!$AU$17:$AU$99,$M20)))</f>
        <v>产品规模标识；</v>
      </c>
      <c r="K20" s="9">
        <f>IF(ISNUMBER(INDEX('Sheet2-计算明细'!$AT$17:$AT$99,$M20)),INDEX('Sheet2-计算明细'!$AT$17:$AT$99,$M20),IF(INDEX('Sheet2-计算明细'!$AT$17:$AT$99,$M20)="","",INDEX('Sheet2-计算明细'!$AT$17:$AT$99,$M20)))</f>
        <v>61</v>
      </c>
      <c r="L20" s="9" t="str">
        <f>IF(ISNUMBER(INDEX('Sheet2-计算明细'!$G$17:$G$99,$M20)),INDEX('Sheet2-计算明细'!$G$17:$G$99,$M20),IF(INDEX('Sheet2-计算明细'!$G$17:$G$99,$M20)="","",INDEX('Sheet2-计算明细'!$G$17:$G$99,$M20)))</f>
        <v>入池</v>
      </c>
      <c r="M20" s="9">
        <f>MATCH(A20,协会公示!$W$2:$W$84,0)</f>
        <v>53</v>
      </c>
      <c r="N20" s="9" t="str">
        <f>INDEX(协会公示!$R$2:$R$84,$M20)</f>
        <v>https://gs.amac.org.cn/amac-infodisc/res/pof/manager/2001061547104837.html</v>
      </c>
    </row>
    <row r="21" ht="25" customHeight="1" spans="1:14">
      <c r="A21" s="9">
        <v>16</v>
      </c>
      <c r="B21" s="9" t="str">
        <f>IF(ISNUMBER(INDEX('Sheet2-计算明细'!$B$17:$B$99,$M21)),INDEX('Sheet2-计算明细'!$B$17:$B$99,$M21),IF(INDEX('Sheet2-计算明细'!$B$17:$B$99,$M21)="","",INDEX('Sheet2-计算明细'!$B$17:$B$99,$M21)))</f>
        <v>杭州探融-锦鲤智能量化3号</v>
      </c>
      <c r="C21" s="9" t="str">
        <f>IF(ISNUMBER(INDEX('Sheet2-计算明细'!$C$17:$C$99,$M21)),INDEX('Sheet2-计算明细'!$C$17:$C$99,$M21),IF(INDEX('Sheet2-计算明细'!$C$17:$C$99,$M21)="","",INDEX('Sheet2-计算明细'!$C$17:$C$99,$M21)))</f>
        <v>SQC001</v>
      </c>
      <c r="D21" s="9" t="str">
        <f>IF(ISNUMBER(INDEX('Sheet2-计算明细'!$D$17:$D$99,$M21)),INDEX('Sheet2-计算明细'!$D$17:$D$99,$M21),IF(INDEX('Sheet2-计算明细'!$D$17:$D$99,$M21)="","",INDEX('Sheet2-计算明细'!$D$17:$D$99,$M21)))</f>
        <v>杭州探融投资</v>
      </c>
      <c r="E21" s="9" t="str">
        <f>IF(ISNUMBER(INDEX('Sheet2-计算明细'!$H$17:$H$99,$M21)),INDEX('Sheet2-计算明细'!$H$17:$H$99,$M21),IF(INDEX('Sheet2-计算明细'!$H$17:$H$99,$M21)="","",INDEX('Sheet2-计算明细'!$H$17:$H$99,$M21)))</f>
        <v>0-5亿元</v>
      </c>
      <c r="F21" s="13">
        <f>IF(ISNUMBER(INDEX('Sheet2-计算明细'!$AV$17:$AV$99,$M21)),INDEX('Sheet2-计算明细'!$AV$17:$AV$99,$M21),IF(INDEX('Sheet2-计算明细'!$AV$17:$AV$99,$M21)="","",INDEX('Sheet2-计算明细'!$AV$17:$AV$99,$M21)))</f>
        <v>45.08956</v>
      </c>
      <c r="G21" s="13">
        <f>IF(ISNUMBER(INDEX('Sheet2-计算明细'!$AS$17:$AS$99,$M21)),INDEX('Sheet2-计算明细'!$AS$17:$AS$99,$M21),IF(INDEX('Sheet2-计算明细'!$AS$17:$AS$99,$M21)="","",INDEX('Sheet2-计算明细'!$AS$17:$AS$99,$M21)))</f>
        <v>45.09</v>
      </c>
      <c r="H21" s="12">
        <f>IF(ISNUMBER(INDEX('Sheet2-计算明细'!$AQ$17:$AQ$99,$M21)),INDEX('Sheet2-计算明细'!$AQ$17:$AQ$99,$M21),IF(INDEX('Sheet2-计算明细'!$AQ$17:$AQ$99,$M21)="","",INDEX('Sheet2-计算明细'!$AQ$17:$AQ$99,$M21)))</f>
        <v>1</v>
      </c>
      <c r="I21" s="9" t="str">
        <f>INDEX(协会公示!$G$2:$G$84,$M21)</f>
        <v>本次公示未见相关提示</v>
      </c>
      <c r="J21" s="9" t="str">
        <f>IF(ISNUMBER(INDEX('Sheet2-计算明细'!$AU$17:$AU$99,$M21)),INDEX('Sheet2-计算明细'!$AU$17:$AU$99,$M21),IF(INDEX('Sheet2-计算明细'!$AU$17:$AU$99,$M21)="","",INDEX('Sheet2-计算明细'!$AU$17:$AU$99,$M21)))</f>
        <v/>
      </c>
      <c r="K21" s="9">
        <f>IF(ISNUMBER(INDEX('Sheet2-计算明细'!$AT$17:$AT$99,$M21)),INDEX('Sheet2-计算明细'!$AT$17:$AT$99,$M21),IF(INDEX('Sheet2-计算明细'!$AT$17:$AT$99,$M21)="","",INDEX('Sheet2-计算明细'!$AT$17:$AT$99,$M21)))</f>
        <v>63</v>
      </c>
      <c r="L21" s="9" t="str">
        <f>IF(ISNUMBER(INDEX('Sheet2-计算明细'!$G$17:$G$99,$M21)),INDEX('Sheet2-计算明细'!$G$17:$G$99,$M21),IF(INDEX('Sheet2-计算明细'!$G$17:$G$99,$M21)="","",INDEX('Sheet2-计算明细'!$G$17:$G$99,$M21)))</f>
        <v>入池</v>
      </c>
      <c r="M21" s="9">
        <f>MATCH(A21,协会公示!$W$2:$W$84,0)</f>
        <v>19</v>
      </c>
      <c r="N21" s="9" t="str">
        <f>INDEX(协会公示!$R$2:$R$84,$M21)</f>
        <v>https://gs.amac.org.cn/amac-infodisc/res/pof/manager/101000049159.html</v>
      </c>
    </row>
    <row r="22" ht="25" customHeight="1" spans="1:14">
      <c r="A22" s="9">
        <v>17</v>
      </c>
      <c r="B22" s="9" t="str">
        <f>IF(ISNUMBER(INDEX('Sheet2-计算明细'!$B$17:$B$99,$M22)),INDEX('Sheet2-计算明细'!$B$17:$B$99,$M22),IF(INDEX('Sheet2-计算明细'!$B$17:$B$99,$M22)="","",INDEX('Sheet2-计算明细'!$B$17:$B$99,$M22)))</f>
        <v>铭杉量化稳健5号</v>
      </c>
      <c r="C22" s="9" t="str">
        <f>IF(ISNUMBER(INDEX('Sheet2-计算明细'!$C$17:$C$99,$M22)),INDEX('Sheet2-计算明细'!$C$17:$C$99,$M22),IF(INDEX('Sheet2-计算明细'!$C$17:$C$99,$M22)="","",INDEX('Sheet2-计算明细'!$C$17:$C$99,$M22)))</f>
        <v>SLT573</v>
      </c>
      <c r="D22" s="9" t="str">
        <f>IF(ISNUMBER(INDEX('Sheet2-计算明细'!$D$17:$D$99,$M22)),INDEX('Sheet2-计算明细'!$D$17:$D$99,$M22),IF(INDEX('Sheet2-计算明细'!$D$17:$D$99,$M22)="","",INDEX('Sheet2-计算明细'!$D$17:$D$99,$M22)))</f>
        <v>上海铭杉投资</v>
      </c>
      <c r="E22" s="9" t="str">
        <f>IF(ISNUMBER(INDEX('Sheet2-计算明细'!$H$17:$H$99,$M22)),INDEX('Sheet2-计算明细'!$H$17:$H$99,$M22),IF(INDEX('Sheet2-计算明细'!$H$17:$H$99,$M22)="","",INDEX('Sheet2-计算明细'!$H$17:$H$99,$M22)))</f>
        <v>0-5亿元</v>
      </c>
      <c r="F22" s="13" t="str">
        <f>IF(ISNUMBER(INDEX('Sheet2-计算明细'!$AV$17:$AV$99,$M22)),INDEX('Sheet2-计算明细'!$AV$17:$AV$99,$M22),IF(INDEX('Sheet2-计算明细'!$AV$17:$AV$99,$M22)="","",INDEX('Sheet2-计算明细'!$AV$17:$AV$99,$M22)))</f>
        <v/>
      </c>
      <c r="G22" s="13">
        <f>IF(ISNUMBER(INDEX('Sheet2-计算明细'!$AS$17:$AS$99,$M22)),INDEX('Sheet2-计算明细'!$AS$17:$AS$99,$M22),IF(INDEX('Sheet2-计算明细'!$AS$17:$AS$99,$M22)="","",INDEX('Sheet2-计算明细'!$AS$17:$AS$99,$M22)))</f>
        <v>43.22</v>
      </c>
      <c r="H22" s="12">
        <f>IF(ISNUMBER(INDEX('Sheet2-计算明细'!$AQ$17:$AQ$99,$M22)),INDEX('Sheet2-计算明细'!$AQ$17:$AQ$99,$M22),IF(INDEX('Sheet2-计算明细'!$AQ$17:$AQ$99,$M22)="","",INDEX('Sheet2-计算明细'!$AQ$17:$AQ$99,$M22)))</f>
        <v>0.88</v>
      </c>
      <c r="I22" s="9" t="str">
        <f>INDEX(协会公示!$G$2:$G$84,$M22)</f>
        <v>协会提示／已整改异常</v>
      </c>
      <c r="J22" s="9" t="str">
        <f>IF(ISNUMBER(INDEX('Sheet2-计算明细'!$AU$17:$AU$99,$M22)),INDEX('Sheet2-计算明细'!$AU$17:$AU$99,$M22),IF(INDEX('Sheet2-计算明细'!$AU$17:$AU$99,$M22)="","",INDEX('Sheet2-计算明细'!$AU$17:$AU$99,$M22)))</f>
        <v>DD_long不可识别；</v>
      </c>
      <c r="K22" s="9">
        <f>IF(ISNUMBER(INDEX('Sheet2-计算明细'!$AT$17:$AT$99,$M22)),INDEX('Sheet2-计算明细'!$AT$17:$AT$99,$M22),IF(INDEX('Sheet2-计算明细'!$AT$17:$AT$99,$M22)="","",INDEX('Sheet2-计算明细'!$AT$17:$AT$99,$M22)))</f>
        <v>65</v>
      </c>
      <c r="L22" s="9" t="str">
        <f>IF(ISNUMBER(INDEX('Sheet2-计算明细'!$G$17:$G$99,$M22)),INDEX('Sheet2-计算明细'!$G$17:$G$99,$M22),IF(INDEX('Sheet2-计算明细'!$G$17:$G$99,$M22)="","",INDEX('Sheet2-计算明细'!$G$17:$G$99,$M22)))</f>
        <v>入池</v>
      </c>
      <c r="M22" s="9">
        <f>MATCH(A22,协会公示!$W$2:$W$84,0)</f>
        <v>38</v>
      </c>
      <c r="N22" s="9" t="str">
        <f>INDEX(协会公示!$R$2:$R$84,$M22)</f>
        <v>https://gs.amac.org.cn/amac-infodisc/res/pof/manager/1708301158107602.html</v>
      </c>
    </row>
    <row r="23" ht="25" customHeight="1" spans="1:14">
      <c r="A23" s="9">
        <v>18</v>
      </c>
      <c r="B23" s="9" t="str">
        <f>IF(ISNUMBER(INDEX('Sheet2-计算明细'!$B$17:$B$99,$M23)),INDEX('Sheet2-计算明细'!$B$17:$B$99,$M23),IF(INDEX('Sheet2-计算明细'!$B$17:$B$99,$M23)="","",INDEX('Sheet2-计算明细'!$B$17:$B$99,$M23)))</f>
        <v>系数CTA套利五号</v>
      </c>
      <c r="C23" s="9" t="str">
        <f>IF(ISNUMBER(INDEX('Sheet2-计算明细'!$C$17:$C$99,$M23)),INDEX('Sheet2-计算明细'!$C$17:$C$99,$M23),IF(INDEX('Sheet2-计算明细'!$C$17:$C$99,$M23)="","",INDEX('Sheet2-计算明细'!$C$17:$C$99,$M23)))</f>
        <v>SXT086</v>
      </c>
      <c r="D23" s="9" t="str">
        <f>IF(ISNUMBER(INDEX('Sheet2-计算明细'!$D$17:$D$99,$M23)),INDEX('Sheet2-计算明细'!$D$17:$D$99,$M23),IF(INDEX('Sheet2-计算明细'!$D$17:$D$99,$M23)="","",INDEX('Sheet2-计算明细'!$D$17:$D$99,$M23)))</f>
        <v>上海系数投资</v>
      </c>
      <c r="E23" s="9" t="str">
        <f>IF(ISNUMBER(INDEX('Sheet2-计算明细'!$H$17:$H$99,$M23)),INDEX('Sheet2-计算明细'!$H$17:$H$99,$M23),IF(INDEX('Sheet2-计算明细'!$H$17:$H$99,$M23)="","",INDEX('Sheet2-计算明细'!$H$17:$H$99,$M23)))</f>
        <v>0-5亿元</v>
      </c>
      <c r="F23" s="13" t="str">
        <f>IF(ISNUMBER(INDEX('Sheet2-计算明细'!$AV$17:$AV$99,$M23)),INDEX('Sheet2-计算明细'!$AV$17:$AV$99,$M23),IF(INDEX('Sheet2-计算明细'!$AV$17:$AV$99,$M23)="","",INDEX('Sheet2-计算明细'!$AV$17:$AV$99,$M23)))</f>
        <v/>
      </c>
      <c r="G23" s="13">
        <f>IF(ISNUMBER(INDEX('Sheet2-计算明细'!$AS$17:$AS$99,$M23)),INDEX('Sheet2-计算明细'!$AS$17:$AS$99,$M23),IF(INDEX('Sheet2-计算明细'!$AS$17:$AS$99,$M23)="","",INDEX('Sheet2-计算明细'!$AS$17:$AS$99,$M23)))</f>
        <v>39.86</v>
      </c>
      <c r="H23" s="12">
        <f>IF(ISNUMBER(INDEX('Sheet2-计算明细'!$AQ$17:$AQ$99,$M23)),INDEX('Sheet2-计算明细'!$AQ$17:$AQ$99,$M23),IF(INDEX('Sheet2-计算明细'!$AQ$17:$AQ$99,$M23)="","",INDEX('Sheet2-计算明细'!$AQ$17:$AQ$99,$M23)))</f>
        <v>0.88</v>
      </c>
      <c r="I23" s="9" t="str">
        <f>INDEX(协会公示!$G$2:$G$84,$M23)</f>
        <v>本次公示未见相关提示</v>
      </c>
      <c r="J23" s="9" t="str">
        <f>IF(ISNUMBER(INDEX('Sheet2-计算明细'!$AU$17:$AU$99,$M23)),INDEX('Sheet2-计算明细'!$AU$17:$AU$99,$M23),IF(INDEX('Sheet2-计算明细'!$AU$17:$AU$99,$M23)="","",INDEX('Sheet2-计算明细'!$AU$17:$AU$99,$M23)))</f>
        <v>DD_long不可识别；</v>
      </c>
      <c r="K23" s="9">
        <f>IF(ISNUMBER(INDEX('Sheet2-计算明细'!$AT$17:$AT$99,$M23)),INDEX('Sheet2-计算明细'!$AT$17:$AT$99,$M23),IF(INDEX('Sheet2-计算明细'!$AT$17:$AT$99,$M23)="","",INDEX('Sheet2-计算明细'!$AT$17:$AT$99,$M23)))</f>
        <v>70</v>
      </c>
      <c r="L23" s="9" t="str">
        <f>IF(ISNUMBER(INDEX('Sheet2-计算明细'!$G$17:$G$99,$M23)),INDEX('Sheet2-计算明细'!$G$17:$G$99,$M23),IF(INDEX('Sheet2-计算明细'!$G$17:$G$99,$M23)="","",INDEX('Sheet2-计算明细'!$G$17:$G$99,$M23)))</f>
        <v>入池</v>
      </c>
      <c r="M23" s="9">
        <f>MATCH(A23,协会公示!$W$2:$W$84,0)</f>
        <v>66</v>
      </c>
      <c r="N23" s="9" t="str">
        <f>INDEX(协会公示!$R$2:$R$84,$M23)</f>
        <v>https://gs.amac.org.cn/amac-infodisc/res/pof/manager/101000000497.html</v>
      </c>
    </row>
    <row r="24" ht="25" customHeight="1" spans="1:14">
      <c r="A24" s="9">
        <v>19</v>
      </c>
      <c r="B24" s="9" t="str">
        <f>IF(ISNUMBER(INDEX('Sheet2-计算明细'!$B$17:$B$99,$M24)),INDEX('Sheet2-计算明细'!$B$17:$B$99,$M24),IF(INDEX('Sheet2-计算明细'!$B$17:$B$99,$M24)="","",INDEX('Sheet2-计算明细'!$B$17:$B$99,$M24)))</f>
        <v>刀锋期权套利</v>
      </c>
      <c r="C24" s="9" t="str">
        <f>IF(ISNUMBER(INDEX('Sheet2-计算明细'!$C$17:$C$99,$M24)),INDEX('Sheet2-计算明细'!$C$17:$C$99,$M24),IF(INDEX('Sheet2-计算明细'!$C$17:$C$99,$M24)="","",INDEX('Sheet2-计算明细'!$C$17:$C$99,$M24)))</f>
        <v>SGR366</v>
      </c>
      <c r="D24" s="9" t="str">
        <f>IF(ISNUMBER(INDEX('Sheet2-计算明细'!$D$17:$D$99,$M24)),INDEX('Sheet2-计算明细'!$D$17:$D$99,$M24),IF(INDEX('Sheet2-计算明细'!$D$17:$D$99,$M24)="","",INDEX('Sheet2-计算明细'!$D$17:$D$99,$M24)))</f>
        <v>深圳刀锋</v>
      </c>
      <c r="E24" s="9" t="str">
        <f>IF(ISNUMBER(INDEX('Sheet2-计算明细'!$H$17:$H$99,$M24)),INDEX('Sheet2-计算明细'!$H$17:$H$99,$M24),IF(INDEX('Sheet2-计算明细'!$H$17:$H$99,$M24)="","",INDEX('Sheet2-计算明细'!$H$17:$H$99,$M24)))</f>
        <v>0-5亿元</v>
      </c>
      <c r="F24" s="13">
        <f>IF(ISNUMBER(INDEX('Sheet2-计算明细'!$AV$17:$AV$99,$M24)),INDEX('Sheet2-计算明细'!$AV$17:$AV$99,$M24),IF(INDEX('Sheet2-计算明细'!$AV$17:$AV$99,$M24)="","",INDEX('Sheet2-计算明细'!$AV$17:$AV$99,$M24)))</f>
        <v>38.91818</v>
      </c>
      <c r="G24" s="13">
        <f>IF(ISNUMBER(INDEX('Sheet2-计算明细'!$AS$17:$AS$99,$M24)),INDEX('Sheet2-计算明细'!$AS$17:$AS$99,$M24),IF(INDEX('Sheet2-计算明细'!$AS$17:$AS$99,$M24)="","",INDEX('Sheet2-计算明细'!$AS$17:$AS$99,$M24)))</f>
        <v>38.92</v>
      </c>
      <c r="H24" s="12">
        <f>IF(ISNUMBER(INDEX('Sheet2-计算明细'!$AQ$17:$AQ$99,$M24)),INDEX('Sheet2-计算明细'!$AQ$17:$AQ$99,$M24),IF(INDEX('Sheet2-计算明细'!$AQ$17:$AQ$99,$M24)="","",INDEX('Sheet2-计算明细'!$AQ$17:$AQ$99,$M24)))</f>
        <v>1</v>
      </c>
      <c r="I24" s="9" t="str">
        <f>INDEX(协会公示!$G$2:$G$84,$M24)</f>
        <v>本次公示未见相关提示</v>
      </c>
      <c r="J24" s="9" t="str">
        <f>IF(ISNUMBER(INDEX('Sheet2-计算明细'!$AU$17:$AU$99,$M24)),INDEX('Sheet2-计算明细'!$AU$17:$AU$99,$M24),IF(INDEX('Sheet2-计算明细'!$AU$17:$AU$99,$M24)="","",INDEX('Sheet2-计算明细'!$AU$17:$AU$99,$M24)))</f>
        <v/>
      </c>
      <c r="K24" s="9">
        <f>IF(ISNUMBER(INDEX('Sheet2-计算明细'!$AT$17:$AT$99,$M24)),INDEX('Sheet2-计算明细'!$AT$17:$AT$99,$M24),IF(INDEX('Sheet2-计算明细'!$AT$17:$AT$99,$M24)="","",INDEX('Sheet2-计算明细'!$AT$17:$AT$99,$M24)))</f>
        <v>71</v>
      </c>
      <c r="L24" s="9" t="str">
        <f>IF(ISNUMBER(INDEX('Sheet2-计算明细'!$G$17:$G$99,$M24)),INDEX('Sheet2-计算明细'!$G$17:$G$99,$M24),IF(INDEX('Sheet2-计算明细'!$G$17:$G$99,$M24)="","",INDEX('Sheet2-计算明细'!$G$17:$G$99,$M24)))</f>
        <v>入池</v>
      </c>
      <c r="M24" s="9">
        <f>MATCH(A24,协会公示!$W$2:$W$84,0)</f>
        <v>12</v>
      </c>
      <c r="N24" s="9" t="str">
        <f>INDEX(协会公示!$R$2:$R$84,$M24)</f>
        <v>https://gs.amac.org.cn/amac-infodisc/res/pof/manager/101000037574.html</v>
      </c>
    </row>
    <row r="25" ht="25" customHeight="1" spans="1:14">
      <c r="A25" s="9">
        <v>20</v>
      </c>
      <c r="B25" s="9" t="str">
        <f>IF(ISNUMBER(INDEX('Sheet2-计算明细'!$B$17:$B$99,$M25)),INDEX('Sheet2-计算明细'!$B$17:$B$99,$M25),IF(INDEX('Sheet2-计算明细'!$B$17:$B$99,$M25)="","",INDEX('Sheet2-计算明细'!$B$17:$B$99,$M25)))</f>
        <v>数为道策套利一号</v>
      </c>
      <c r="C25" s="9" t="str">
        <f>IF(ISNUMBER(INDEX('Sheet2-计算明细'!$C$17:$C$99,$M25)),INDEX('Sheet2-计算明细'!$C$17:$C$99,$M25),IF(INDEX('Sheet2-计算明细'!$C$17:$C$99,$M25)="","",INDEX('Sheet2-计算明细'!$C$17:$C$99,$M25)))</f>
        <v>SNA956</v>
      </c>
      <c r="D25" s="9" t="str">
        <f>IF(ISNUMBER(INDEX('Sheet2-计算明细'!$D$17:$D$99,$M25)),INDEX('Sheet2-计算明细'!$D$17:$D$99,$M25),IF(INDEX('Sheet2-计算明细'!$D$17:$D$99,$M25)="","",INDEX('Sheet2-计算明细'!$D$17:$D$99,$M25)))</f>
        <v>福州数为</v>
      </c>
      <c r="E25" s="9" t="str">
        <f>IF(ISNUMBER(INDEX('Sheet2-计算明细'!$H$17:$H$99,$M25)),INDEX('Sheet2-计算明细'!$H$17:$H$99,$M25),IF(INDEX('Sheet2-计算明细'!$H$17:$H$99,$M25)="","",INDEX('Sheet2-计算明细'!$H$17:$H$99,$M25)))</f>
        <v>0-5亿元</v>
      </c>
      <c r="F25" s="13" t="str">
        <f>IF(ISNUMBER(INDEX('Sheet2-计算明细'!$AV$17:$AV$99,$M25)),INDEX('Sheet2-计算明细'!$AV$17:$AV$99,$M25),IF(INDEX('Sheet2-计算明细'!$AV$17:$AV$99,$M25)="","",INDEX('Sheet2-计算明细'!$AV$17:$AV$99,$M25)))</f>
        <v/>
      </c>
      <c r="G25" s="13">
        <f>IF(ISNUMBER(INDEX('Sheet2-计算明细'!$AS$17:$AS$99,$M25)),INDEX('Sheet2-计算明细'!$AS$17:$AS$99,$M25),IF(INDEX('Sheet2-计算明细'!$AS$17:$AS$99,$M25)="","",INDEX('Sheet2-计算明细'!$AS$17:$AS$99,$M25)))</f>
        <v>20.25</v>
      </c>
      <c r="H25" s="12">
        <f>IF(ISNUMBER(INDEX('Sheet2-计算明细'!$AQ$17:$AQ$99,$M25)),INDEX('Sheet2-计算明细'!$AQ$17:$AQ$99,$M25),IF(INDEX('Sheet2-计算明细'!$AQ$17:$AQ$99,$M25)="","",INDEX('Sheet2-计算明细'!$AQ$17:$AQ$99,$M25)))</f>
        <v>0.4</v>
      </c>
      <c r="I25" s="9" t="str">
        <f>INDEX(协会公示!$G$2:$G$84,$M25)</f>
        <v>协会提示／已整改异常</v>
      </c>
      <c r="J25" s="9" t="str">
        <f>IF(ISNUMBER(INDEX('Sheet2-计算明细'!$AU$17:$AU$99,$M25)),INDEX('Sheet2-计算明细'!$AU$17:$AU$99,$M25),IF(INDEX('Sheet2-计算明细'!$AU$17:$AU$99,$M25)="","",INDEX('Sheet2-计算明细'!$AU$17:$AU$99,$M25)))</f>
        <v>近一年收益；近一年胜率；近一年卡玛；</v>
      </c>
      <c r="K25" s="9">
        <f>IF(ISNUMBER(INDEX('Sheet2-计算明细'!$AT$17:$AT$99,$M25)),INDEX('Sheet2-计算明细'!$AT$17:$AT$99,$M25),IF(INDEX('Sheet2-计算明细'!$AT$17:$AT$99,$M25)="","",INDEX('Sheet2-计算明细'!$AT$17:$AT$99,$M25)))</f>
        <v>78</v>
      </c>
      <c r="L25" s="9" t="str">
        <f>IF(ISNUMBER(INDEX('Sheet2-计算明细'!$G$17:$G$99,$M25)),INDEX('Sheet2-计算明细'!$G$17:$G$99,$M25),IF(INDEX('Sheet2-计算明细'!$G$17:$G$99,$M25)="","",INDEX('Sheet2-计算明细'!$G$17:$G$99,$M25)))</f>
        <v>入池</v>
      </c>
      <c r="M25" s="9">
        <f>MATCH(A25,协会公示!$W$2:$W$84,0)</f>
        <v>63</v>
      </c>
      <c r="N25" s="9" t="str">
        <f>INDEX(协会公示!$R$2:$R$84,$M25)</f>
        <v>https://gs.amac.org.cn/amac-infodisc/res/pof/manager/1705081548107725.html</v>
      </c>
    </row>
    <row r="26" ht="25" customHeight="1" spans="1:14">
      <c r="A26" s="9">
        <v>21</v>
      </c>
      <c r="B26" s="9" t="str">
        <f>IF(ISNUMBER(INDEX('Sheet2-计算明细'!$B$17:$B$99,$M26)),INDEX('Sheet2-计算明细'!$B$17:$B$99,$M26),IF(INDEX('Sheet2-计算明细'!$B$17:$B$99,$M26)="","",INDEX('Sheet2-计算明细'!$B$17:$B$99,$M26)))</f>
        <v>澜胜稳赋套利1号</v>
      </c>
      <c r="C26" s="9" t="str">
        <f>IF(ISNUMBER(INDEX('Sheet2-计算明细'!$C$17:$C$99,$M26)),INDEX('Sheet2-计算明细'!$C$17:$C$99,$M26),IF(INDEX('Sheet2-计算明细'!$C$17:$C$99,$M26)="","",INDEX('Sheet2-计算明细'!$C$17:$C$99,$M26)))</f>
        <v>SBPY84</v>
      </c>
      <c r="D26" s="9" t="str">
        <f>IF(ISNUMBER(INDEX('Sheet2-计算明细'!$D$17:$D$99,$M26)),INDEX('Sheet2-计算明细'!$D$17:$D$99,$M26),IF(INDEX('Sheet2-计算明细'!$D$17:$D$99,$M26)="","",INDEX('Sheet2-计算明细'!$D$17:$D$99,$M26)))</f>
        <v>上海澜胜</v>
      </c>
      <c r="E26" s="9" t="str">
        <f>IF(ISNUMBER(INDEX('Sheet2-计算明细'!$H$17:$H$99,$M26)),INDEX('Sheet2-计算明细'!$H$17:$H$99,$M26),IF(INDEX('Sheet2-计算明细'!$H$17:$H$99,$M26)="","",INDEX('Sheet2-计算明细'!$H$17:$H$99,$M26)))</f>
        <v>0-5亿元</v>
      </c>
      <c r="F26" s="13" t="str">
        <f>IF(ISNUMBER(INDEX('Sheet2-计算明细'!$AV$17:$AV$99,$M26)),INDEX('Sheet2-计算明细'!$AV$17:$AV$99,$M26),IF(INDEX('Sheet2-计算明细'!$AV$17:$AV$99,$M26)="","",INDEX('Sheet2-计算明细'!$AV$17:$AV$99,$M26)))</f>
        <v/>
      </c>
      <c r="G26" s="13" t="str">
        <f>IF(ISNUMBER(INDEX('Sheet2-计算明细'!$AS$17:$AS$99,$M26)),INDEX('Sheet2-计算明细'!$AS$17:$AS$99,$M26),IF(INDEX('Sheet2-计算明细'!$AS$17:$AS$99,$M26)="","",INDEX('Sheet2-计算明细'!$AS$17:$AS$99,$M26)))</f>
        <v/>
      </c>
      <c r="H26" s="12">
        <f>IF(ISNUMBER(INDEX('Sheet2-计算明细'!$AQ$17:$AQ$99,$M26)),INDEX('Sheet2-计算明细'!$AQ$17:$AQ$99,$M26),IF(INDEX('Sheet2-计算明细'!$AQ$17:$AQ$99,$M26)="","",INDEX('Sheet2-计算明细'!$AQ$17:$AQ$99,$M26)))</f>
        <v>0</v>
      </c>
      <c r="I26" s="9" t="str">
        <f>INDEX(协会公示!$G$2:$G$84,$M26)</f>
        <v>本次公示未见相关提示</v>
      </c>
      <c r="J26" s="9" t="str">
        <f>IF(ISNUMBER(INDEX('Sheet2-计算明细'!$AU$17:$AU$99,$M26)),INDEX('Sheet2-计算明细'!$AU$17:$AU$99,$M26),IF(INDEX('Sheet2-计算明细'!$AU$17:$AU$99,$M26)="","",INDEX('Sheet2-计算明细'!$AU$17:$AU$99,$M26)))</f>
        <v>近一年收益；近一年胜率；近三年收益；近三年胜率；近三年回撤；近一年卡玛；</v>
      </c>
      <c r="K26" s="9" t="str">
        <f>IF(ISNUMBER(INDEX('Sheet2-计算明细'!$AT$17:$AT$99,$M26)),INDEX('Sheet2-计算明细'!$AT$17:$AT$99,$M26),IF(INDEX('Sheet2-计算明细'!$AT$17:$AT$99,$M26)="","",INDEX('Sheet2-计算明细'!$AT$17:$AT$99,$M26)))</f>
        <v/>
      </c>
      <c r="L26" s="9" t="str">
        <f>IF(ISNUMBER(INDEX('Sheet2-计算明细'!$G$17:$G$99,$M26)),INDEX('Sheet2-计算明细'!$G$17:$G$99,$M26),IF(INDEX('Sheet2-计算明细'!$G$17:$G$99,$M26)="","",INDEX('Sheet2-计算明细'!$G$17:$G$99,$M26)))</f>
        <v>不入池</v>
      </c>
      <c r="M26" s="9">
        <f>MATCH(A26,协会公示!$W$2:$W$84,0)</f>
        <v>32</v>
      </c>
      <c r="N26" s="9" t="str">
        <f>INDEX(协会公示!$R$2:$R$84,$M26)</f>
        <v>https://gs.amac.org.cn/amac-infodisc/res/pof/manager/101000031933.html</v>
      </c>
    </row>
  </sheetData>
  <pageMargins left="0.7" right="0.7" top="0.75" bottom="0.75" header="0.3" footer="0.3"/>
  <headerFooter/>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88"/>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6.8"/>
  <cols>
    <col min="1" max="1" width="15" customWidth="1"/>
    <col min="2" max="2" width="30" customWidth="1"/>
    <col min="3" max="9" width="15" customWidth="1"/>
    <col min="10" max="10" width="23" customWidth="1"/>
    <col min="11" max="18" width="15" customWidth="1"/>
    <col min="19" max="19" width="40" customWidth="1"/>
    <col min="20" max="20" width="100" customWidth="1"/>
    <col min="21" max="21" width="32" customWidth="1"/>
    <col min="22" max="27" width="15" customWidth="1"/>
  </cols>
  <sheetData>
    <row r="1" ht="25" customHeight="1" spans="1:27">
      <c r="A1" s="16" t="s">
        <v>1460</v>
      </c>
      <c r="B1" s="9"/>
      <c r="C1" s="9"/>
      <c r="D1" s="9"/>
      <c r="E1" s="9"/>
      <c r="F1" s="9"/>
      <c r="G1" s="9"/>
      <c r="H1" s="9"/>
      <c r="I1" s="9"/>
      <c r="J1" s="9"/>
      <c r="K1" s="9"/>
      <c r="L1" s="9"/>
      <c r="M1" s="9"/>
      <c r="N1" s="9"/>
      <c r="O1" s="9"/>
      <c r="P1" s="9"/>
      <c r="Q1" s="9"/>
      <c r="R1" s="9"/>
      <c r="S1" s="9"/>
      <c r="T1" s="9"/>
      <c r="U1" s="9"/>
      <c r="V1" s="9"/>
      <c r="W1" s="9"/>
      <c r="X1" s="9"/>
      <c r="Y1" s="9"/>
      <c r="Z1" s="9"/>
      <c r="AA1" s="9"/>
    </row>
    <row r="2" ht="25" customHeight="1" spans="1:27">
      <c r="A2" s="9" t="s">
        <v>1461</v>
      </c>
      <c r="B2" s="9"/>
      <c r="C2" s="9"/>
      <c r="D2" s="9"/>
      <c r="E2" s="9"/>
      <c r="F2" s="9"/>
      <c r="G2" s="9"/>
      <c r="H2" s="9"/>
      <c r="I2" s="9"/>
      <c r="J2" s="9"/>
      <c r="K2" s="9"/>
      <c r="L2" s="9"/>
      <c r="M2" s="9"/>
      <c r="N2" s="9"/>
      <c r="O2" s="9"/>
      <c r="P2" s="9"/>
      <c r="Q2" s="9"/>
      <c r="R2" s="9"/>
      <c r="S2" s="9"/>
      <c r="T2" s="9"/>
      <c r="U2" s="9"/>
      <c r="V2" s="9"/>
      <c r="W2" s="9"/>
      <c r="X2" s="9"/>
      <c r="Y2" s="9"/>
      <c r="Z2" s="9"/>
      <c r="AA2" s="9"/>
    </row>
    <row r="3" ht="25" customHeight="1" spans="1:27">
      <c r="A3" s="9" t="s">
        <v>1462</v>
      </c>
      <c r="B3" s="9"/>
      <c r="C3" s="9"/>
      <c r="D3" s="9"/>
      <c r="E3" s="9"/>
      <c r="F3" s="9"/>
      <c r="G3" s="9"/>
      <c r="H3" s="9"/>
      <c r="I3" s="9"/>
      <c r="J3" s="9"/>
      <c r="K3" s="9"/>
      <c r="L3" s="9"/>
      <c r="M3" s="9"/>
      <c r="N3" s="9"/>
      <c r="O3" s="9"/>
      <c r="P3" s="9"/>
      <c r="Q3" s="9"/>
      <c r="R3" s="9"/>
      <c r="S3" s="9"/>
      <c r="T3" s="9"/>
      <c r="U3" s="9"/>
      <c r="V3" s="9"/>
      <c r="W3" s="9"/>
      <c r="X3" s="9"/>
      <c r="Y3" s="9"/>
      <c r="Z3" s="9"/>
      <c r="AA3" s="9"/>
    </row>
    <row r="4" ht="25" customHeight="1" spans="1:27">
      <c r="A4" s="9"/>
      <c r="B4" s="9"/>
      <c r="C4" s="9"/>
      <c r="D4" s="9"/>
      <c r="E4" s="9"/>
      <c r="F4" s="9"/>
      <c r="G4" s="9"/>
      <c r="H4" s="9"/>
      <c r="I4" s="9"/>
      <c r="J4" s="9"/>
      <c r="K4" s="9"/>
      <c r="L4" s="9"/>
      <c r="M4" s="9"/>
      <c r="N4" s="9"/>
      <c r="O4" s="9"/>
      <c r="P4" s="9"/>
      <c r="Q4" s="9"/>
      <c r="R4" s="9"/>
      <c r="S4" s="9"/>
      <c r="T4" s="9"/>
      <c r="U4" s="9"/>
      <c r="V4" s="9"/>
      <c r="W4" s="9"/>
      <c r="X4" s="9"/>
      <c r="Y4" s="9"/>
      <c r="Z4" s="9"/>
      <c r="AA4" s="9"/>
    </row>
    <row r="5" ht="43" customHeight="1" spans="1:27">
      <c r="A5" s="7" t="s">
        <v>673</v>
      </c>
      <c r="B5" s="8" t="s">
        <v>2</v>
      </c>
      <c r="C5" s="8" t="s">
        <v>1463</v>
      </c>
      <c r="D5" s="8" t="s">
        <v>1464</v>
      </c>
      <c r="E5" s="8" t="s">
        <v>1465</v>
      </c>
      <c r="F5" s="8" t="s">
        <v>1466</v>
      </c>
      <c r="G5" s="8" t="s">
        <v>1467</v>
      </c>
      <c r="H5" s="8" t="s">
        <v>1468</v>
      </c>
      <c r="I5" s="8" t="s">
        <v>1469</v>
      </c>
      <c r="J5" s="8" t="s">
        <v>1470</v>
      </c>
      <c r="K5" s="8" t="s">
        <v>1471</v>
      </c>
      <c r="L5" s="8" t="s">
        <v>1472</v>
      </c>
      <c r="M5" s="8" t="s">
        <v>1473</v>
      </c>
      <c r="N5" s="8" t="s">
        <v>1474</v>
      </c>
      <c r="O5" s="8" t="s">
        <v>1475</v>
      </c>
      <c r="P5" s="8" t="s">
        <v>1476</v>
      </c>
      <c r="Q5" s="8" t="s">
        <v>1477</v>
      </c>
      <c r="R5" s="8" t="s">
        <v>1478</v>
      </c>
      <c r="S5" s="8" t="s">
        <v>1479</v>
      </c>
      <c r="T5" s="8" t="s">
        <v>1480</v>
      </c>
      <c r="U5" s="8" t="s">
        <v>1481</v>
      </c>
      <c r="V5" s="8" t="s">
        <v>1482</v>
      </c>
      <c r="W5" s="8" t="s">
        <v>1483</v>
      </c>
      <c r="X5" s="8" t="s">
        <v>1484</v>
      </c>
      <c r="Y5" s="8" t="s">
        <v>1485</v>
      </c>
      <c r="Z5" s="8" t="s">
        <v>1486</v>
      </c>
      <c r="AA5" s="14" t="s">
        <v>1487</v>
      </c>
    </row>
    <row r="6" ht="62" customHeight="1" spans="1:27">
      <c r="A6" s="9" t="s">
        <v>40</v>
      </c>
      <c r="B6" s="9" t="s">
        <v>33</v>
      </c>
      <c r="C6" s="9" t="s">
        <v>1241</v>
      </c>
      <c r="D6" s="13">
        <f>IF(ISNUMBER('Sheet2-计算明细'!AV17),'Sheet2-计算明细'!AV17,"")</f>
        <v>80.55129</v>
      </c>
      <c r="E6" s="13">
        <f>IF(ISNUMBER(对照快照!BE12),对照快照!BE12,"")</f>
        <v>88.88114</v>
      </c>
      <c r="F6" s="13">
        <f>IF(COUNT(D6:E6)=2,D6-E6,"")</f>
        <v>-8.32985000000001</v>
      </c>
      <c r="G6" s="13">
        <f>IF(ISNUMBER('Sheet2-计算明细'!AS17),'Sheet2-计算明细'!AS17,"")</f>
        <v>80.55</v>
      </c>
      <c r="H6" s="13">
        <f>IF(ISNUMBER(对照快照!BF12),对照快照!BF12,"")</f>
        <v>88.88</v>
      </c>
      <c r="I6" s="13">
        <f>IF(COUNT(G6:H6)=2,G6-H6,"")</f>
        <v>-8.33</v>
      </c>
      <c r="J6" s="9" t="str">
        <f>IF(COUNT(F6,I6)=0,"不可直接比较",IF(OR(IF(ISNUMBER(F6),ABS(F6)&gt;='Sheet1-指标体系'!$J$32,FALSE),IF(ISNUMBER(I6),ABS(I6)&gt;='Sheet1-指标体系'!$J$32,FALSE)),"重点排查","差异小于阈值"))</f>
        <v>重点排查</v>
      </c>
      <c r="K6" s="12">
        <f>IF(ISNUMBER('Sheet2-计算明细'!AQ17),'Sheet2-计算明细'!AQ17,"")</f>
        <v>1</v>
      </c>
      <c r="L6" s="12">
        <f>IF(ISNUMBER(对照快照!BG12),对照快照!BG12,"")</f>
        <v>1</v>
      </c>
      <c r="M6" s="12">
        <f>K6-L6</f>
        <v>0</v>
      </c>
      <c r="N6" s="17">
        <f>IF(COUNT(V6:W6)=2,V6-W6,"")</f>
        <v>-8.32985000000001</v>
      </c>
      <c r="O6" s="17">
        <f>IF(AND(COUNT(N6,K6)=2,K6&gt;0),N6/K6,"")</f>
        <v>-8.32985000000001</v>
      </c>
      <c r="P6" s="17">
        <f>IF(AND(COUNT(K6:L6,W6)=3,K6&gt;0,L6&gt;0),W6*(1/K6-1/L6),"")</f>
        <v>0</v>
      </c>
      <c r="Q6" s="17">
        <f>IF(COUNT(I6,O6:P6)=3,I6-O6-P6,"")</f>
        <v>-0.000149999999990769</v>
      </c>
      <c r="R6" s="17">
        <f>IF(COUNT(I6,O6:Q6)=4,I6-SUM(O6:Q6),"")</f>
        <v>0</v>
      </c>
      <c r="S6" s="9" t="str">
        <f>IF(NOT(ISNUMBER(I6)),"一侧缺总分，保留缺失原因",IF(AND(ABS(R6)&lt;0.00000001,ABS(AA6)&lt;0.05),"差异已分解，独立复算相符","存在未解释差异"))</f>
        <v>差异已分解，独立复算相符</v>
      </c>
      <c r="T6" s="18" t="s">
        <v>1488</v>
      </c>
      <c r="U6" s="9" t="s">
        <v>33</v>
      </c>
      <c r="V6" s="17">
        <f>IF(ISNUMBER('Sheet2-计算明细'!AR17),'Sheet2-计算明细'!AR17,"")</f>
        <v>80.55129</v>
      </c>
      <c r="W6" s="17">
        <f>IF(ISNUMBER(对照快照!BH12),对照快照!BH12,"")</f>
        <v>88.88114</v>
      </c>
      <c r="X6" s="9">
        <v>12</v>
      </c>
      <c r="Y6" s="13">
        <v>84.04</v>
      </c>
      <c r="Z6" s="13">
        <f t="shared" ref="Z6:Z69" si="0">IF(COUNT(G6,Y6)=2,G6-Y6,"")</f>
        <v>-3.49000000000001</v>
      </c>
      <c r="AA6" s="13">
        <v>0</v>
      </c>
    </row>
    <row r="7" ht="62" customHeight="1" spans="1:27">
      <c r="A7" s="9" t="s">
        <v>53</v>
      </c>
      <c r="B7" s="9" t="s">
        <v>49</v>
      </c>
      <c r="C7" s="9" t="s">
        <v>1489</v>
      </c>
      <c r="D7" s="13" t="str">
        <f>IF(ISNUMBER('Sheet2-计算明细'!AV18),'Sheet2-计算明细'!AV18,"")</f>
        <v/>
      </c>
      <c r="E7" s="13"/>
      <c r="F7" s="13"/>
      <c r="G7" s="13">
        <f>IF(ISNUMBER('Sheet2-计算明细'!AS18),'Sheet2-计算明细'!AS18,"")</f>
        <v>53.24</v>
      </c>
      <c r="H7" s="13"/>
      <c r="I7" s="13"/>
      <c r="J7" s="9" t="s">
        <v>1490</v>
      </c>
      <c r="K7" s="12">
        <f>IF(ISNUMBER('Sheet2-计算明细'!AQ18),'Sheet2-计算明细'!AQ18,"")</f>
        <v>0.88</v>
      </c>
      <c r="L7" s="12"/>
      <c r="M7" s="12"/>
      <c r="N7" s="17"/>
      <c r="O7" s="17"/>
      <c r="P7" s="17"/>
      <c r="Q7" s="17"/>
      <c r="R7" s="17"/>
      <c r="S7" s="9" t="s">
        <v>1491</v>
      </c>
      <c r="T7" s="18" t="s">
        <v>1492</v>
      </c>
      <c r="U7" s="9"/>
      <c r="V7" s="17">
        <f>IF(ISNUMBER('Sheet2-计算明细'!AR18),'Sheet2-计算明细'!AR18,"")</f>
        <v>46.8504876923077</v>
      </c>
      <c r="W7" s="17"/>
      <c r="X7" s="9"/>
      <c r="Y7" s="13">
        <v>88</v>
      </c>
      <c r="Z7" s="13">
        <f t="shared" si="0"/>
        <v>-34.76</v>
      </c>
      <c r="AA7" s="13"/>
    </row>
    <row r="8" ht="62" customHeight="1" spans="1:27">
      <c r="A8" s="9" t="s">
        <v>63</v>
      </c>
      <c r="B8" s="9" t="s">
        <v>60</v>
      </c>
      <c r="C8" s="9" t="s">
        <v>1241</v>
      </c>
      <c r="D8" s="13">
        <f>IF(ISNUMBER('Sheet2-计算明细'!AV19),'Sheet2-计算明细'!AV19,"")</f>
        <v>35.00643</v>
      </c>
      <c r="E8" s="13">
        <f>IF(ISNUMBER(对照快照!BE53),对照快照!BE53,"")</f>
        <v>49.29866</v>
      </c>
      <c r="F8" s="13">
        <f>IF(COUNT(D8:E8)=2,D8-E8,"")</f>
        <v>-14.29223</v>
      </c>
      <c r="G8" s="13">
        <f>IF(ISNUMBER('Sheet2-计算明细'!AS19),'Sheet2-计算明细'!AS19,"")</f>
        <v>35.01</v>
      </c>
      <c r="H8" s="13">
        <f>IF(ISNUMBER(对照快照!BF53),对照快照!BF53,"")</f>
        <v>49.3</v>
      </c>
      <c r="I8" s="13">
        <f>IF(COUNT(G8:H8)=2,G8-H8,"")</f>
        <v>-14.29</v>
      </c>
      <c r="J8" s="9" t="str">
        <f>IF(COUNT(F8,I8)=0,"不可直接比较",IF(OR(IF(ISNUMBER(F8),ABS(F8)&gt;='Sheet1-指标体系'!$J$32,FALSE),IF(ISNUMBER(I8),ABS(I8)&gt;='Sheet1-指标体系'!$J$32,FALSE)),"重点排查","差异小于阈值"))</f>
        <v>重点排查</v>
      </c>
      <c r="K8" s="12">
        <f>IF(ISNUMBER('Sheet2-计算明细'!AQ19),'Sheet2-计算明细'!AQ19,"")</f>
        <v>1</v>
      </c>
      <c r="L8" s="12">
        <f>IF(ISNUMBER(对照快照!BG53),对照快照!BG53,"")</f>
        <v>1</v>
      </c>
      <c r="M8" s="12">
        <f>K8-L8</f>
        <v>0</v>
      </c>
      <c r="N8" s="17">
        <f>IF(COUNT(V8:W8)=2,V8-W8,"")</f>
        <v>-14.29223</v>
      </c>
      <c r="O8" s="17">
        <f>IF(AND(COUNT(N8,K8)=2,K8&gt;0),N8/K8,"")</f>
        <v>-14.29223</v>
      </c>
      <c r="P8" s="17">
        <f>IF(AND(COUNT(K8:L8,W8)=3,K8&gt;0,L8&gt;0),W8*(1/K8-1/L8),"")</f>
        <v>0</v>
      </c>
      <c r="Q8" s="17">
        <f>IF(COUNT(I8,O8:P8)=3,I8-O8-P8,"")</f>
        <v>0.0022300000000044</v>
      </c>
      <c r="R8" s="17">
        <f>IF(COUNT(I8,O8:Q8)=4,I8-SUM(O8:Q8),"")</f>
        <v>0</v>
      </c>
      <c r="S8" s="9" t="str">
        <f>IF(NOT(ISNUMBER(I8)),"一侧缺总分，保留缺失原因",IF(AND(ABS(R8)&lt;0.00000001,ABS(AA8)&lt;0.05),"差异已分解，独立复算相符","存在未解释差异"))</f>
        <v>差异已分解，独立复算相符</v>
      </c>
      <c r="T8" s="18" t="s">
        <v>1493</v>
      </c>
      <c r="U8" s="9" t="s">
        <v>60</v>
      </c>
      <c r="V8" s="17">
        <f>IF(ISNUMBER('Sheet2-计算明细'!AR19),'Sheet2-计算明细'!AR19,"")</f>
        <v>35.00643</v>
      </c>
      <c r="W8" s="17">
        <f>IF(ISNUMBER(对照快照!BH53),对照快照!BH53,"")</f>
        <v>49.29866</v>
      </c>
      <c r="X8" s="9">
        <v>53</v>
      </c>
      <c r="Y8" s="13">
        <v>35.3</v>
      </c>
      <c r="Z8" s="13">
        <f t="shared" si="0"/>
        <v>-0.289999999999999</v>
      </c>
      <c r="AA8" s="13">
        <v>0</v>
      </c>
    </row>
    <row r="9" ht="62" customHeight="1" spans="1:27">
      <c r="A9" s="9" t="s">
        <v>72</v>
      </c>
      <c r="B9" s="9" t="s">
        <v>69</v>
      </c>
      <c r="C9" s="9" t="s">
        <v>1241</v>
      </c>
      <c r="D9" s="13">
        <f>IF(ISNUMBER('Sheet2-计算明细'!AV20),'Sheet2-计算明细'!AV20,"")</f>
        <v>69.56538</v>
      </c>
      <c r="E9" s="13">
        <f>IF(ISNUMBER(对照快照!BE44),对照快照!BE44,"")</f>
        <v>81.13965</v>
      </c>
      <c r="F9" s="13">
        <f>IF(COUNT(D9:E9)=2,D9-E9,"")</f>
        <v>-11.57427</v>
      </c>
      <c r="G9" s="13">
        <f>IF(ISNUMBER('Sheet2-计算明细'!AS20),'Sheet2-计算明细'!AS20,"")</f>
        <v>69.57</v>
      </c>
      <c r="H9" s="13">
        <f>IF(ISNUMBER(对照快照!BF44),对照快照!BF44,"")</f>
        <v>81.14</v>
      </c>
      <c r="I9" s="13">
        <f>IF(COUNT(G9:H9)=2,G9-H9,"")</f>
        <v>-11.57</v>
      </c>
      <c r="J9" s="9" t="str">
        <f>IF(COUNT(F9,I9)=0,"不可直接比较",IF(OR(IF(ISNUMBER(F9),ABS(F9)&gt;='Sheet1-指标体系'!$J$32,FALSE),IF(ISNUMBER(I9),ABS(I9)&gt;='Sheet1-指标体系'!$J$32,FALSE)),"重点排查","差异小于阈值"))</f>
        <v>重点排查</v>
      </c>
      <c r="K9" s="12">
        <f>IF(ISNUMBER('Sheet2-计算明细'!AQ20),'Sheet2-计算明细'!AQ20,"")</f>
        <v>1</v>
      </c>
      <c r="L9" s="12">
        <f>IF(ISNUMBER(对照快照!BG44),对照快照!BG44,"")</f>
        <v>1</v>
      </c>
      <c r="M9" s="12">
        <f>K9-L9</f>
        <v>0</v>
      </c>
      <c r="N9" s="17">
        <f>IF(COUNT(V9:W9)=2,V9-W9,"")</f>
        <v>-11.57427</v>
      </c>
      <c r="O9" s="17">
        <f>IF(AND(COUNT(N9,K9)=2,K9&gt;0),N9/K9,"")</f>
        <v>-11.57427</v>
      </c>
      <c r="P9" s="17">
        <f>IF(AND(COUNT(K9:L9,W9)=3,K9&gt;0,L9&gt;0),W9*(1/K9-1/L9),"")</f>
        <v>0</v>
      </c>
      <c r="Q9" s="17">
        <f>IF(COUNT(I9,O9:P9)=3,I9-O9-P9,"")</f>
        <v>0.00426999999999111</v>
      </c>
      <c r="R9" s="17">
        <f>IF(COUNT(I9,O9:Q9)=4,I9-SUM(O9:Q9),"")</f>
        <v>0</v>
      </c>
      <c r="S9" s="9" t="str">
        <f>IF(NOT(ISNUMBER(I9)),"一侧缺总分，保留缺失原因",IF(AND(ABS(R9)&lt;0.00000001,ABS(AA9)&lt;0.05),"差异已分解，独立复算相符","存在未解释差异"))</f>
        <v>差异已分解，独立复算相符</v>
      </c>
      <c r="T9" s="18" t="s">
        <v>1494</v>
      </c>
      <c r="U9" s="9" t="s">
        <v>69</v>
      </c>
      <c r="V9" s="17">
        <f>IF(ISNUMBER('Sheet2-计算明细'!AR20),'Sheet2-计算明细'!AR20,"")</f>
        <v>69.56538</v>
      </c>
      <c r="W9" s="17">
        <f>IF(ISNUMBER(对照快照!BH44),对照快照!BH44,"")</f>
        <v>81.13965</v>
      </c>
      <c r="X9" s="9">
        <v>44</v>
      </c>
      <c r="Y9" s="13">
        <v>72.5</v>
      </c>
      <c r="Z9" s="13">
        <f t="shared" si="0"/>
        <v>-2.93000000000001</v>
      </c>
      <c r="AA9" s="13">
        <v>0</v>
      </c>
    </row>
    <row r="10" ht="62" customHeight="1" spans="1:27">
      <c r="A10" s="9" t="s">
        <v>78</v>
      </c>
      <c r="B10" s="9" t="s">
        <v>77</v>
      </c>
      <c r="C10" s="9" t="s">
        <v>1241</v>
      </c>
      <c r="D10" s="13" t="str">
        <f>IF(ISNUMBER('Sheet2-计算明细'!AV21),'Sheet2-计算明细'!AV21,"")</f>
        <v/>
      </c>
      <c r="E10" s="13" t="str">
        <f>IF(ISNUMBER(对照快照!BE59),对照快照!BE59,"")</f>
        <v/>
      </c>
      <c r="F10" s="13" t="str">
        <f>IF(COUNT(D10:E10)=2,D10-E10,"")</f>
        <v/>
      </c>
      <c r="G10" s="13">
        <f>IF(ISNUMBER('Sheet2-计算明细'!AS21),'Sheet2-计算明细'!AS21,"")</f>
        <v>49.18</v>
      </c>
      <c r="H10" s="13">
        <f>IF(ISNUMBER(对照快照!BF59),对照快照!BF59,"")</f>
        <v>65.32</v>
      </c>
      <c r="I10" s="13">
        <f>IF(COUNT(G10:H10)=2,G10-H10,"")</f>
        <v>-16.14</v>
      </c>
      <c r="J10" s="9" t="str">
        <f>IF(COUNT(F10,I10)=0,"不可直接比较",IF(OR(IF(ISNUMBER(F10),ABS(F10)&gt;='Sheet1-指标体系'!$J$32,FALSE),IF(ISNUMBER(I10),ABS(I10)&gt;='Sheet1-指标体系'!$J$32,FALSE)),"重点排查","差异小于阈值"))</f>
        <v>重点排查</v>
      </c>
      <c r="K10" s="12">
        <f>IF(ISNUMBER('Sheet2-计算明细'!AQ21),'Sheet2-计算明细'!AQ21,"")</f>
        <v>0.88</v>
      </c>
      <c r="L10" s="12">
        <f>IF(ISNUMBER(对照快照!BG59),对照快照!BG59,"")</f>
        <v>0.88</v>
      </c>
      <c r="M10" s="12">
        <f>K10-L10</f>
        <v>0</v>
      </c>
      <c r="N10" s="17">
        <f>IF(COUNT(V10:W10)=2,V10-W10,"")</f>
        <v>-14.20156</v>
      </c>
      <c r="O10" s="17">
        <f>IF(AND(COUNT(N10,K10)=2,K10&gt;0),N10/K10,"")</f>
        <v>-16.1381363636364</v>
      </c>
      <c r="P10" s="17">
        <f>IF(AND(COUNT(K10:L10,W10)=3,K10&gt;0,L10&gt;0),W10*(1/K10-1/L10),"")</f>
        <v>0</v>
      </c>
      <c r="Q10" s="17">
        <f>IF(COUNT(I10,O10:P10)=3,I10-O10-P10,"")</f>
        <v>-0.00186363636363041</v>
      </c>
      <c r="R10" s="17">
        <f>IF(COUNT(I10,O10:Q10)=4,I10-SUM(O10:Q10),"")</f>
        <v>0</v>
      </c>
      <c r="S10" s="9" t="str">
        <f>IF(NOT(ISNUMBER(I10)),"一侧缺总分，保留缺失原因",IF(AND(ABS(R10)&lt;0.00000001,ABS(AA10)&lt;0.05),"差异已分解，独立复算相符","存在未解释差异"))</f>
        <v>差异已分解，独立复算相符</v>
      </c>
      <c r="T10" s="18" t="s">
        <v>1495</v>
      </c>
      <c r="U10" s="9" t="s">
        <v>77</v>
      </c>
      <c r="V10" s="17">
        <f>IF(ISNUMBER('Sheet2-计算明细'!AR21),'Sheet2-计算明细'!AR21,"")</f>
        <v>43.27567</v>
      </c>
      <c r="W10" s="17">
        <f>IF(ISNUMBER(对照快照!BH59),对照快照!BH59,"")</f>
        <v>57.47723</v>
      </c>
      <c r="X10" s="9">
        <v>59</v>
      </c>
      <c r="Y10" s="13">
        <v>49.43</v>
      </c>
      <c r="Z10" s="13">
        <f t="shared" si="0"/>
        <v>-0.25</v>
      </c>
      <c r="AA10" s="13">
        <v>0</v>
      </c>
    </row>
    <row r="11" ht="62" customHeight="1" spans="1:27">
      <c r="A11" s="9" t="s">
        <v>84</v>
      </c>
      <c r="B11" s="9" t="s">
        <v>83</v>
      </c>
      <c r="C11" s="9" t="s">
        <v>1241</v>
      </c>
      <c r="D11" s="13" t="str">
        <f>IF(ISNUMBER('Sheet2-计算明细'!AV22),'Sheet2-计算明细'!AV22,"")</f>
        <v/>
      </c>
      <c r="E11" s="13" t="str">
        <f>IF(ISNUMBER(对照快照!BE230),对照快照!BE230,"")</f>
        <v/>
      </c>
      <c r="F11" s="13" t="str">
        <f>IF(COUNT(D11:E11)=2,D11-E11,"")</f>
        <v/>
      </c>
      <c r="G11" s="13">
        <f>IF(ISNUMBER('Sheet2-计算明细'!AS22),'Sheet2-计算明细'!AS22,"")</f>
        <v>57.09</v>
      </c>
      <c r="H11" s="13">
        <f>IF(ISNUMBER(对照快照!BF230),对照快照!BF230,"")</f>
        <v>71.49</v>
      </c>
      <c r="I11" s="13">
        <f>IF(COUNT(G11:H11)=2,G11-H11,"")</f>
        <v>-14.4</v>
      </c>
      <c r="J11" s="9" t="str">
        <f>IF(COUNT(F11,I11)=0,"不可直接比较",IF(OR(IF(ISNUMBER(F11),ABS(F11)&gt;='Sheet1-指标体系'!$J$32,FALSE),IF(ISNUMBER(I11),ABS(I11)&gt;='Sheet1-指标体系'!$J$32,FALSE)),"重点排查","差异小于阈值"))</f>
        <v>重点排查</v>
      </c>
      <c r="K11" s="12">
        <f>IF(ISNUMBER('Sheet2-计算明细'!AQ22),'Sheet2-计算明细'!AQ22,"")</f>
        <v>0.88</v>
      </c>
      <c r="L11" s="12">
        <f>IF(ISNUMBER(对照快照!BG230),对照快照!BG230,"")</f>
        <v>0.88</v>
      </c>
      <c r="M11" s="12">
        <f>K11-L11</f>
        <v>0</v>
      </c>
      <c r="N11" s="17">
        <f>IF(COUNT(V11:W11)=2,V11-W11,"")</f>
        <v>-12.66842</v>
      </c>
      <c r="O11" s="17">
        <f>IF(AND(COUNT(N11,K11)=2,K11&gt;0),N11/K11,"")</f>
        <v>-14.3959318181818</v>
      </c>
      <c r="P11" s="17">
        <f>IF(AND(COUNT(K11:L11,W11)=3,K11&gt;0,L11&gt;0),W11*(1/K11-1/L11),"")</f>
        <v>0</v>
      </c>
      <c r="Q11" s="17">
        <f>IF(COUNT(I11,O11:P11)=3,I11-O11-P11,"")</f>
        <v>-0.0040681818181767</v>
      </c>
      <c r="R11" s="17">
        <f>IF(COUNT(I11,O11:Q11)=4,I11-SUM(O11:Q11),"")</f>
        <v>0</v>
      </c>
      <c r="S11" s="9" t="str">
        <f>IF(NOT(ISNUMBER(I11)),"一侧缺总分，保留缺失原因",IF(AND(ABS(R11)&lt;0.00000001,ABS(AA11)&lt;0.05),"差异已分解，独立复算相符","存在未解释差异"))</f>
        <v>差异已分解，独立复算相符</v>
      </c>
      <c r="T11" s="18" t="s">
        <v>1496</v>
      </c>
      <c r="U11" s="9" t="s">
        <v>83</v>
      </c>
      <c r="V11" s="17">
        <f>IF(ISNUMBER('Sheet2-计算明细'!AR22),'Sheet2-计算明细'!AR22,"")</f>
        <v>50.24035</v>
      </c>
      <c r="W11" s="17">
        <f>IF(ISNUMBER(对照快照!BH230),对照快照!BH230,"")</f>
        <v>62.90877</v>
      </c>
      <c r="X11" s="9">
        <v>230</v>
      </c>
      <c r="Y11" s="13">
        <v>57.91</v>
      </c>
      <c r="Z11" s="13">
        <f t="shared" si="0"/>
        <v>-0.819999999999993</v>
      </c>
      <c r="AA11" s="13">
        <v>0</v>
      </c>
    </row>
    <row r="12" ht="62" customHeight="1" spans="1:27">
      <c r="A12" s="9" t="s">
        <v>90</v>
      </c>
      <c r="B12" s="9" t="s">
        <v>88</v>
      </c>
      <c r="C12" s="9" t="s">
        <v>1489</v>
      </c>
      <c r="D12" s="13">
        <f>IF(ISNUMBER('Sheet2-计算明细'!AV23),'Sheet2-计算明细'!AV23,"")</f>
        <v>73.23244</v>
      </c>
      <c r="E12" s="13"/>
      <c r="F12" s="13"/>
      <c r="G12" s="13">
        <f>IF(ISNUMBER('Sheet2-计算明细'!AS23),'Sheet2-计算明细'!AS23,"")</f>
        <v>73.23</v>
      </c>
      <c r="H12" s="13"/>
      <c r="I12" s="13"/>
      <c r="J12" s="9" t="s">
        <v>1490</v>
      </c>
      <c r="K12" s="12">
        <f>IF(ISNUMBER('Sheet2-计算明细'!AQ23),'Sheet2-计算明细'!AQ23,"")</f>
        <v>1</v>
      </c>
      <c r="L12" s="12"/>
      <c r="M12" s="12"/>
      <c r="N12" s="17"/>
      <c r="O12" s="17"/>
      <c r="P12" s="17"/>
      <c r="Q12" s="17"/>
      <c r="R12" s="17"/>
      <c r="S12" s="9" t="s">
        <v>1491</v>
      </c>
      <c r="T12" s="18" t="s">
        <v>1492</v>
      </c>
      <c r="U12" s="9"/>
      <c r="V12" s="17">
        <f>IF(ISNUMBER('Sheet2-计算明细'!AR23),'Sheet2-计算明细'!AR23,"")</f>
        <v>73.23244</v>
      </c>
      <c r="W12" s="17"/>
      <c r="X12" s="9"/>
      <c r="Y12" s="13">
        <v>88</v>
      </c>
      <c r="Z12" s="13">
        <f t="shared" si="0"/>
        <v>-14.77</v>
      </c>
      <c r="AA12" s="13"/>
    </row>
    <row r="13" ht="62" customHeight="1" spans="1:27">
      <c r="A13" s="9" t="s">
        <v>98</v>
      </c>
      <c r="B13" s="9" t="s">
        <v>95</v>
      </c>
      <c r="C13" s="9" t="s">
        <v>1241</v>
      </c>
      <c r="D13" s="13">
        <f>IF(ISNUMBER('Sheet2-计算明细'!AV24),'Sheet2-计算明细'!AV24,"")</f>
        <v>67.06428</v>
      </c>
      <c r="E13" s="13">
        <f>IF(ISNUMBER(对照快照!BE247),对照快照!BE247,"")</f>
        <v>78.78226</v>
      </c>
      <c r="F13" s="13">
        <f>IF(COUNT(D13:E13)=2,D13-E13,"")</f>
        <v>-11.71798</v>
      </c>
      <c r="G13" s="13">
        <f>IF(ISNUMBER('Sheet2-计算明细'!AS24),'Sheet2-计算明细'!AS24,"")</f>
        <v>67.06</v>
      </c>
      <c r="H13" s="13">
        <f>IF(ISNUMBER(对照快照!BF247),对照快照!BF247,"")</f>
        <v>78.78</v>
      </c>
      <c r="I13" s="13">
        <f>IF(COUNT(G13:H13)=2,G13-H13,"")</f>
        <v>-11.72</v>
      </c>
      <c r="J13" s="9" t="str">
        <f>IF(COUNT(F13,I13)=0,"不可直接比较",IF(OR(IF(ISNUMBER(F13),ABS(F13)&gt;='Sheet1-指标体系'!$J$32,FALSE),IF(ISNUMBER(I13),ABS(I13)&gt;='Sheet1-指标体系'!$J$32,FALSE)),"重点排查","差异小于阈值"))</f>
        <v>重点排查</v>
      </c>
      <c r="K13" s="12">
        <f>IF(ISNUMBER('Sheet2-计算明细'!AQ24),'Sheet2-计算明细'!AQ24,"")</f>
        <v>1</v>
      </c>
      <c r="L13" s="12">
        <f>IF(ISNUMBER(对照快照!BG247),对照快照!BG247,"")</f>
        <v>1</v>
      </c>
      <c r="M13" s="12">
        <f>K13-L13</f>
        <v>0</v>
      </c>
      <c r="N13" s="17">
        <f>IF(COUNT(V13:W13)=2,V13-W13,"")</f>
        <v>-11.71798</v>
      </c>
      <c r="O13" s="17">
        <f>IF(AND(COUNT(N13,K13)=2,K13&gt;0),N13/K13,"")</f>
        <v>-11.71798</v>
      </c>
      <c r="P13" s="17">
        <f>IF(AND(COUNT(K13:L13,W13)=3,K13&gt;0,L13&gt;0),W13*(1/K13-1/L13),"")</f>
        <v>0</v>
      </c>
      <c r="Q13" s="17">
        <f>IF(COUNT(I13,O13:P13)=3,I13-O13-P13,"")</f>
        <v>-0.00202000000000169</v>
      </c>
      <c r="R13" s="17">
        <f>IF(COUNT(I13,O13:Q13)=4,I13-SUM(O13:Q13),"")</f>
        <v>0</v>
      </c>
      <c r="S13" s="9" t="str">
        <f>IF(NOT(ISNUMBER(I13)),"一侧缺总分，保留缺失原因",IF(AND(ABS(R13)&lt;0.00000001,ABS(AA13)&lt;0.05),"差异已分解，独立复算相符","存在未解释差异"))</f>
        <v>差异已分解，独立复算相符</v>
      </c>
      <c r="T13" s="18" t="s">
        <v>1493</v>
      </c>
      <c r="U13" s="9" t="s">
        <v>95</v>
      </c>
      <c r="V13" s="17">
        <f>IF(ISNUMBER('Sheet2-计算明细'!AR24),'Sheet2-计算明细'!AR24,"")</f>
        <v>67.06428</v>
      </c>
      <c r="W13" s="17">
        <f>IF(ISNUMBER(对照快照!BH247),对照快照!BH247,"")</f>
        <v>78.78226</v>
      </c>
      <c r="X13" s="9">
        <v>247</v>
      </c>
      <c r="Y13" s="13">
        <v>68.96</v>
      </c>
      <c r="Z13" s="13">
        <f t="shared" si="0"/>
        <v>-1.89999999999999</v>
      </c>
      <c r="AA13" s="13">
        <v>0</v>
      </c>
    </row>
    <row r="14" ht="62" customHeight="1" spans="1:27">
      <c r="A14" s="9" t="s">
        <v>105</v>
      </c>
      <c r="B14" s="9" t="s">
        <v>104</v>
      </c>
      <c r="C14" s="9" t="s">
        <v>1241</v>
      </c>
      <c r="D14" s="13" t="str">
        <f>IF(ISNUMBER('Sheet2-计算明细'!AV25),'Sheet2-计算明细'!AV25,"")</f>
        <v/>
      </c>
      <c r="E14" s="13" t="str">
        <f>IF(ISNUMBER(对照快照!BE246),对照快照!BE246,"")</f>
        <v/>
      </c>
      <c r="F14" s="13" t="str">
        <f>IF(COUNT(D14:E14)=2,D14-E14,"")</f>
        <v/>
      </c>
      <c r="G14" s="13">
        <f>IF(ISNUMBER('Sheet2-计算明细'!AS25),'Sheet2-计算明细'!AS25,"")</f>
        <v>70.19</v>
      </c>
      <c r="H14" s="13">
        <f>IF(ISNUMBER(对照快照!BF246),对照快照!BF246,"")</f>
        <v>79.7</v>
      </c>
      <c r="I14" s="13">
        <f>IF(COUNT(G14:H14)=2,G14-H14,"")</f>
        <v>-9.51000000000001</v>
      </c>
      <c r="J14" s="9" t="str">
        <f>IF(COUNT(F14,I14)=0,"不可直接比较",IF(OR(IF(ISNUMBER(F14),ABS(F14)&gt;='Sheet1-指标体系'!$J$32,FALSE),IF(ISNUMBER(I14),ABS(I14)&gt;='Sheet1-指标体系'!$J$32,FALSE)),"重点排查","差异小于阈值"))</f>
        <v>重点排查</v>
      </c>
      <c r="K14" s="12">
        <f>IF(ISNUMBER('Sheet2-计算明细'!AQ25),'Sheet2-计算明细'!AQ25,"")</f>
        <v>0.88</v>
      </c>
      <c r="L14" s="12">
        <f>IF(ISNUMBER(对照快照!BG246),对照快照!BG246,"")</f>
        <v>0.88</v>
      </c>
      <c r="M14" s="12">
        <f>K14-L14</f>
        <v>0</v>
      </c>
      <c r="N14" s="17">
        <f>IF(COUNT(V14:W14)=2,V14-W14,"")</f>
        <v>-8.36635999999999</v>
      </c>
      <c r="O14" s="17">
        <f>IF(AND(COUNT(N14,K14)=2,K14&gt;0),N14/K14,"")</f>
        <v>-9.50722727272727</v>
      </c>
      <c r="P14" s="17">
        <f>IF(AND(COUNT(K14:L14,W14)=3,K14&gt;0,L14&gt;0),W14*(1/K14-1/L14),"")</f>
        <v>0</v>
      </c>
      <c r="Q14" s="17">
        <f>IF(COUNT(I14,O14:P14)=3,I14-O14-P14,"")</f>
        <v>-0.00277272727274003</v>
      </c>
      <c r="R14" s="17">
        <f>IF(COUNT(I14,O14:Q14)=4,I14-SUM(O14:Q14),"")</f>
        <v>0</v>
      </c>
      <c r="S14" s="9" t="str">
        <f>IF(NOT(ISNUMBER(I14)),"一侧缺总分，保留缺失原因",IF(AND(ABS(R14)&lt;0.00000001,ABS(AA14)&lt;0.05),"差异已分解，独立复算相符","存在未解释差异"))</f>
        <v>差异已分解，独立复算相符</v>
      </c>
      <c r="T14" s="18" t="s">
        <v>1497</v>
      </c>
      <c r="U14" s="9" t="s">
        <v>104</v>
      </c>
      <c r="V14" s="17">
        <f>IF(ISNUMBER('Sheet2-计算明细'!AR25),'Sheet2-计算明细'!AR25,"")</f>
        <v>61.76726</v>
      </c>
      <c r="W14" s="17">
        <f>IF(ISNUMBER(对照快照!BH246),对照快照!BH246,"")</f>
        <v>70.13362</v>
      </c>
      <c r="X14" s="9">
        <v>246</v>
      </c>
      <c r="Y14" s="13">
        <v>71.73</v>
      </c>
      <c r="Z14" s="13">
        <f t="shared" si="0"/>
        <v>-1.54000000000001</v>
      </c>
      <c r="AA14" s="13">
        <v>0</v>
      </c>
    </row>
    <row r="15" ht="62" customHeight="1" spans="1:27">
      <c r="A15" s="9" t="s">
        <v>112</v>
      </c>
      <c r="B15" s="9" t="s">
        <v>110</v>
      </c>
      <c r="C15" s="9" t="s">
        <v>1241</v>
      </c>
      <c r="D15" s="13">
        <f>IF(ISNUMBER('Sheet2-计算明细'!AV26),'Sheet2-计算明细'!AV26,"")</f>
        <v>45.18907</v>
      </c>
      <c r="E15" s="13">
        <f>IF(ISNUMBER(对照快照!BE51),对照快照!BE51,"")</f>
        <v>60.36139</v>
      </c>
      <c r="F15" s="13">
        <f>IF(COUNT(D15:E15)=2,D15-E15,"")</f>
        <v>-15.17232</v>
      </c>
      <c r="G15" s="13">
        <f>IF(ISNUMBER('Sheet2-计算明细'!AS26),'Sheet2-计算明细'!AS26,"")</f>
        <v>45.19</v>
      </c>
      <c r="H15" s="13">
        <f>IF(ISNUMBER(对照快照!BF51),对照快照!BF51,"")</f>
        <v>60.36</v>
      </c>
      <c r="I15" s="13">
        <f>IF(COUNT(G15:H15)=2,G15-H15,"")</f>
        <v>-15.17</v>
      </c>
      <c r="J15" s="9" t="str">
        <f>IF(COUNT(F15,I15)=0,"不可直接比较",IF(OR(IF(ISNUMBER(F15),ABS(F15)&gt;='Sheet1-指标体系'!$J$32,FALSE),IF(ISNUMBER(I15),ABS(I15)&gt;='Sheet1-指标体系'!$J$32,FALSE)),"重点排查","差异小于阈值"))</f>
        <v>重点排查</v>
      </c>
      <c r="K15" s="12">
        <f>IF(ISNUMBER('Sheet2-计算明细'!AQ26),'Sheet2-计算明细'!AQ26,"")</f>
        <v>1</v>
      </c>
      <c r="L15" s="12">
        <f>IF(ISNUMBER(对照快照!BG51),对照快照!BG51,"")</f>
        <v>1</v>
      </c>
      <c r="M15" s="12">
        <f>K15-L15</f>
        <v>0</v>
      </c>
      <c r="N15" s="17">
        <f>IF(COUNT(V15:W15)=2,V15-W15,"")</f>
        <v>-15.17232</v>
      </c>
      <c r="O15" s="17">
        <f>IF(AND(COUNT(N15,K15)=2,K15&gt;0),N15/K15,"")</f>
        <v>-15.17232</v>
      </c>
      <c r="P15" s="17">
        <f>IF(AND(COUNT(K15:L15,W15)=3,K15&gt;0,L15&gt;0),W15*(1/K15-1/L15),"")</f>
        <v>0</v>
      </c>
      <c r="Q15" s="17">
        <f>IF(COUNT(I15,O15:P15)=3,I15-O15-P15,"")</f>
        <v>0.00232000000000454</v>
      </c>
      <c r="R15" s="17">
        <f>IF(COUNT(I15,O15:Q15)=4,I15-SUM(O15:Q15),"")</f>
        <v>0</v>
      </c>
      <c r="S15" s="9" t="str">
        <f>IF(NOT(ISNUMBER(I15)),"一侧缺总分，保留缺失原因",IF(AND(ABS(R15)&lt;0.00000001,ABS(AA15)&lt;0.05),"差异已分解，独立复算相符","存在未解释差异"))</f>
        <v>差异已分解，独立复算相符</v>
      </c>
      <c r="T15" s="18" t="s">
        <v>1498</v>
      </c>
      <c r="U15" s="9" t="s">
        <v>110</v>
      </c>
      <c r="V15" s="17">
        <f>IF(ISNUMBER('Sheet2-计算明细'!AR26),'Sheet2-计算明细'!AR26,"")</f>
        <v>45.18907</v>
      </c>
      <c r="W15" s="17">
        <f>IF(ISNUMBER(对照快照!BH51),对照快照!BH51,"")</f>
        <v>60.36139</v>
      </c>
      <c r="X15" s="9">
        <v>51</v>
      </c>
      <c r="Y15" s="13">
        <v>46.48</v>
      </c>
      <c r="Z15" s="13">
        <f t="shared" si="0"/>
        <v>-1.29</v>
      </c>
      <c r="AA15" s="13">
        <v>0</v>
      </c>
    </row>
    <row r="16" ht="62" customHeight="1" spans="1:27">
      <c r="A16" s="9" t="s">
        <v>118</v>
      </c>
      <c r="B16" s="9" t="s">
        <v>117</v>
      </c>
      <c r="C16" s="9" t="s">
        <v>1241</v>
      </c>
      <c r="D16" s="13" t="str">
        <f>IF(ISNUMBER('Sheet2-计算明细'!AV27),'Sheet2-计算明细'!AV27,"")</f>
        <v/>
      </c>
      <c r="E16" s="13" t="str">
        <f>IF(ISNUMBER(对照快照!BE149),对照快照!BE149,"")</f>
        <v/>
      </c>
      <c r="F16" s="13" t="str">
        <f>IF(COUNT(D16:E16)=2,D16-E16,"")</f>
        <v/>
      </c>
      <c r="G16" s="13">
        <f>IF(ISNUMBER('Sheet2-计算明细'!AS27),'Sheet2-计算明细'!AS27,"")</f>
        <v>42.23</v>
      </c>
      <c r="H16" s="13">
        <f>IF(ISNUMBER(对照快照!BF149),对照快照!BF149,"")</f>
        <v>58.94</v>
      </c>
      <c r="I16" s="13">
        <f>IF(COUNT(G16:H16)=2,G16-H16,"")</f>
        <v>-16.71</v>
      </c>
      <c r="J16" s="9" t="str">
        <f>IF(COUNT(F16,I16)=0,"不可直接比较",IF(OR(IF(ISNUMBER(F16),ABS(F16)&gt;='Sheet1-指标体系'!$J$32,FALSE),IF(ISNUMBER(I16),ABS(I16)&gt;='Sheet1-指标体系'!$J$32,FALSE)),"重点排查","差异小于阈值"))</f>
        <v>重点排查</v>
      </c>
      <c r="K16" s="12">
        <f>IF(ISNUMBER('Sheet2-计算明细'!AQ27),'Sheet2-计算明细'!AQ27,"")</f>
        <v>0.88</v>
      </c>
      <c r="L16" s="12">
        <f>IF(ISNUMBER(对照快照!BG149),对照快照!BG149,"")</f>
        <v>0.88</v>
      </c>
      <c r="M16" s="12">
        <f>K16-L16</f>
        <v>0</v>
      </c>
      <c r="N16" s="17">
        <f>IF(COUNT(V16:W16)=2,V16-W16,"")</f>
        <v>-14.70805</v>
      </c>
      <c r="O16" s="17">
        <f>IF(AND(COUNT(N16,K16)=2,K16&gt;0),N16/K16,"")</f>
        <v>-16.7136931818182</v>
      </c>
      <c r="P16" s="17">
        <f>IF(AND(COUNT(K16:L16,W16)=3,K16&gt;0,L16&gt;0),W16*(1/K16-1/L16),"")</f>
        <v>0</v>
      </c>
      <c r="Q16" s="17">
        <f>IF(COUNT(I16,O16:P16)=3,I16-O16-P16,"")</f>
        <v>0.00369318181818201</v>
      </c>
      <c r="R16" s="17">
        <f>IF(COUNT(I16,O16:Q16)=4,I16-SUM(O16:Q16),"")</f>
        <v>0</v>
      </c>
      <c r="S16" s="9" t="str">
        <f>IF(NOT(ISNUMBER(I16)),"一侧缺总分，保留缺失原因",IF(AND(ABS(R16)&lt;0.00000001,ABS(AA16)&lt;0.05),"差异已分解，独立复算相符","存在未解释差异"))</f>
        <v>差异已分解，独立复算相符</v>
      </c>
      <c r="T16" s="18" t="s">
        <v>1499</v>
      </c>
      <c r="U16" s="9" t="s">
        <v>117</v>
      </c>
      <c r="V16" s="17">
        <f>IF(ISNUMBER('Sheet2-计算明细'!AR27),'Sheet2-计算明细'!AR27,"")</f>
        <v>37.15934</v>
      </c>
      <c r="W16" s="17">
        <f>IF(ISNUMBER(对照快照!BH149),对照快照!BH149,"")</f>
        <v>51.86739</v>
      </c>
      <c r="X16" s="9">
        <v>149</v>
      </c>
      <c r="Y16" s="13">
        <v>42.08</v>
      </c>
      <c r="Z16" s="13">
        <f t="shared" si="0"/>
        <v>0.149999999999999</v>
      </c>
      <c r="AA16" s="13">
        <v>0</v>
      </c>
    </row>
    <row r="17" ht="62" customHeight="1" spans="1:27">
      <c r="A17" s="9" t="s">
        <v>124</v>
      </c>
      <c r="B17" s="9" t="s">
        <v>121</v>
      </c>
      <c r="C17" s="9" t="s">
        <v>1489</v>
      </c>
      <c r="D17" s="13">
        <f>IF(ISNUMBER('Sheet2-计算明细'!AV28),'Sheet2-计算明细'!AV28,"")</f>
        <v>38.91818</v>
      </c>
      <c r="E17" s="13"/>
      <c r="F17" s="13"/>
      <c r="G17" s="13">
        <f>IF(ISNUMBER('Sheet2-计算明细'!AS28),'Sheet2-计算明细'!AS28,"")</f>
        <v>38.92</v>
      </c>
      <c r="H17" s="13"/>
      <c r="I17" s="13"/>
      <c r="J17" s="9" t="s">
        <v>1490</v>
      </c>
      <c r="K17" s="12">
        <f>IF(ISNUMBER('Sheet2-计算明细'!AQ28),'Sheet2-计算明细'!AQ28,"")</f>
        <v>1</v>
      </c>
      <c r="L17" s="12"/>
      <c r="M17" s="12"/>
      <c r="N17" s="17"/>
      <c r="O17" s="17"/>
      <c r="P17" s="17"/>
      <c r="Q17" s="17"/>
      <c r="R17" s="17"/>
      <c r="S17" s="9" t="s">
        <v>1491</v>
      </c>
      <c r="T17" s="18" t="s">
        <v>1492</v>
      </c>
      <c r="U17" s="9"/>
      <c r="V17" s="17">
        <f>IF(ISNUMBER('Sheet2-计算明细'!AR28),'Sheet2-计算明细'!AR28,"")</f>
        <v>38.91818</v>
      </c>
      <c r="W17" s="17"/>
      <c r="X17" s="9"/>
      <c r="Y17" s="13">
        <v>38.81</v>
      </c>
      <c r="Z17" s="13">
        <f t="shared" si="0"/>
        <v>0.109999999999999</v>
      </c>
      <c r="AA17" s="13"/>
    </row>
    <row r="18" ht="62" customHeight="1" spans="1:27">
      <c r="A18" s="9" t="s">
        <v>130</v>
      </c>
      <c r="B18" s="9" t="s">
        <v>129</v>
      </c>
      <c r="C18" s="9" t="s">
        <v>1241</v>
      </c>
      <c r="D18" s="13">
        <f>IF(ISNUMBER('Sheet2-计算明细'!AV29),'Sheet2-计算明细'!AV29,"")</f>
        <v>53.49622</v>
      </c>
      <c r="E18" s="13">
        <f>IF(ISNUMBER(对照快照!BE180),对照快照!BE180,"")</f>
        <v>70.26641</v>
      </c>
      <c r="F18" s="13">
        <f>IF(COUNT(D18:E18)=2,D18-E18,"")</f>
        <v>-16.77019</v>
      </c>
      <c r="G18" s="13">
        <f>IF(ISNUMBER('Sheet2-计算明细'!AS29),'Sheet2-计算明细'!AS29,"")</f>
        <v>53.5</v>
      </c>
      <c r="H18" s="13">
        <f>IF(ISNUMBER(对照快照!BF180),对照快照!BF180,"")</f>
        <v>70.27</v>
      </c>
      <c r="I18" s="13">
        <f>IF(COUNT(G18:H18)=2,G18-H18,"")</f>
        <v>-16.77</v>
      </c>
      <c r="J18" s="9" t="str">
        <f>IF(COUNT(F18,I18)=0,"不可直接比较",IF(OR(IF(ISNUMBER(F18),ABS(F18)&gt;='Sheet1-指标体系'!$J$32,FALSE),IF(ISNUMBER(I18),ABS(I18)&gt;='Sheet1-指标体系'!$J$32,FALSE)),"重点排查","差异小于阈值"))</f>
        <v>重点排查</v>
      </c>
      <c r="K18" s="12">
        <f>IF(ISNUMBER('Sheet2-计算明细'!AQ29),'Sheet2-计算明细'!AQ29,"")</f>
        <v>1</v>
      </c>
      <c r="L18" s="12">
        <f>IF(ISNUMBER(对照快照!BG180),对照快照!BG180,"")</f>
        <v>1</v>
      </c>
      <c r="M18" s="12">
        <f>K18-L18</f>
        <v>0</v>
      </c>
      <c r="N18" s="17">
        <f>IF(COUNT(V18:W18)=2,V18-W18,"")</f>
        <v>-16.77019</v>
      </c>
      <c r="O18" s="17">
        <f>IF(AND(COUNT(N18,K18)=2,K18&gt;0),N18/K18,"")</f>
        <v>-16.77019</v>
      </c>
      <c r="P18" s="17">
        <f>IF(AND(COUNT(K18:L18,W18)=3,K18&gt;0,L18&gt;0),W18*(1/K18-1/L18),"")</f>
        <v>0</v>
      </c>
      <c r="Q18" s="17">
        <f>IF(COUNT(I18,O18:P18)=3,I18-O18-P18,"")</f>
        <v>0.000190000000003465</v>
      </c>
      <c r="R18" s="17">
        <f>IF(COUNT(I18,O18:Q18)=4,I18-SUM(O18:Q18),"")</f>
        <v>0</v>
      </c>
      <c r="S18" s="9" t="str">
        <f>IF(NOT(ISNUMBER(I18)),"一侧缺总分，保留缺失原因",IF(AND(ABS(R18)&lt;0.00000001,ABS(AA18)&lt;0.05),"差异已分解，独立复算相符","存在未解释差异"))</f>
        <v>差异已分解，独立复算相符</v>
      </c>
      <c r="T18" s="18" t="s">
        <v>1488</v>
      </c>
      <c r="U18" s="9" t="s">
        <v>129</v>
      </c>
      <c r="V18" s="17">
        <f>IF(ISNUMBER('Sheet2-计算明细'!AR29),'Sheet2-计算明细'!AR29,"")</f>
        <v>53.49622</v>
      </c>
      <c r="W18" s="17">
        <f>IF(ISNUMBER(对照快照!BH180),对照快照!BH180,"")</f>
        <v>70.26641</v>
      </c>
      <c r="X18" s="9">
        <v>180</v>
      </c>
      <c r="Y18" s="13">
        <v>55.65</v>
      </c>
      <c r="Z18" s="13">
        <f t="shared" si="0"/>
        <v>-2.15</v>
      </c>
      <c r="AA18" s="13">
        <v>0</v>
      </c>
    </row>
    <row r="19" ht="62" customHeight="1" spans="1:27">
      <c r="A19" s="9" t="s">
        <v>139</v>
      </c>
      <c r="B19" s="9" t="s">
        <v>135</v>
      </c>
      <c r="C19" s="9" t="s">
        <v>1489</v>
      </c>
      <c r="D19" s="13" t="str">
        <f>IF(ISNUMBER('Sheet2-计算明细'!AV30),'Sheet2-计算明细'!AV30,"")</f>
        <v/>
      </c>
      <c r="E19" s="13"/>
      <c r="F19" s="13"/>
      <c r="G19" s="13" t="str">
        <f>IF(ISNUMBER('Sheet2-计算明细'!AS30),'Sheet2-计算明细'!AS30,"")</f>
        <v/>
      </c>
      <c r="H19" s="13"/>
      <c r="I19" s="13"/>
      <c r="J19" s="9" t="s">
        <v>1490</v>
      </c>
      <c r="K19" s="12">
        <f>IF(ISNUMBER('Sheet2-计算明细'!AQ30),'Sheet2-计算明细'!AQ30,"")</f>
        <v>0</v>
      </c>
      <c r="L19" s="12"/>
      <c r="M19" s="12"/>
      <c r="N19" s="17"/>
      <c r="O19" s="17"/>
      <c r="P19" s="17"/>
      <c r="Q19" s="17"/>
      <c r="R19" s="17"/>
      <c r="S19" s="9" t="s">
        <v>1491</v>
      </c>
      <c r="T19" s="18" t="s">
        <v>1492</v>
      </c>
      <c r="U19" s="9"/>
      <c r="V19" s="17" t="str">
        <f>IF(ISNUMBER('Sheet2-计算明细'!AR30),'Sheet2-计算明细'!AR30,"")</f>
        <v/>
      </c>
      <c r="W19" s="17"/>
      <c r="X19" s="9"/>
      <c r="Y19" s="13"/>
      <c r="Z19" s="13" t="str">
        <f t="shared" si="0"/>
        <v/>
      </c>
      <c r="AA19" s="13"/>
    </row>
    <row r="20" ht="62" customHeight="1" spans="1:27">
      <c r="A20" s="9" t="s">
        <v>145</v>
      </c>
      <c r="B20" s="9" t="s">
        <v>144</v>
      </c>
      <c r="C20" s="9" t="s">
        <v>1489</v>
      </c>
      <c r="D20" s="13" t="str">
        <f>IF(ISNUMBER('Sheet2-计算明细'!AV31),'Sheet2-计算明细'!AV31,"")</f>
        <v/>
      </c>
      <c r="E20" s="13"/>
      <c r="F20" s="13"/>
      <c r="G20" s="13" t="str">
        <f>IF(ISNUMBER('Sheet2-计算明细'!AS31),'Sheet2-计算明细'!AS31,"")</f>
        <v/>
      </c>
      <c r="H20" s="13"/>
      <c r="I20" s="13"/>
      <c r="J20" s="9" t="s">
        <v>1490</v>
      </c>
      <c r="K20" s="12">
        <f>IF(ISNUMBER('Sheet2-计算明细'!AQ31),'Sheet2-计算明细'!AQ31,"")</f>
        <v>0</v>
      </c>
      <c r="L20" s="12"/>
      <c r="M20" s="12"/>
      <c r="N20" s="17"/>
      <c r="O20" s="17"/>
      <c r="P20" s="17"/>
      <c r="Q20" s="17"/>
      <c r="R20" s="17"/>
      <c r="S20" s="9" t="s">
        <v>1491</v>
      </c>
      <c r="T20" s="18" t="s">
        <v>1492</v>
      </c>
      <c r="U20" s="9"/>
      <c r="V20" s="17" t="str">
        <f>IF(ISNUMBER('Sheet2-计算明细'!AR31),'Sheet2-计算明细'!AR31,"")</f>
        <v/>
      </c>
      <c r="W20" s="17"/>
      <c r="X20" s="9"/>
      <c r="Y20" s="13"/>
      <c r="Z20" s="13" t="str">
        <f t="shared" si="0"/>
        <v/>
      </c>
      <c r="AA20" s="13"/>
    </row>
    <row r="21" ht="62" customHeight="1" spans="1:27">
      <c r="A21" s="9" t="s">
        <v>151</v>
      </c>
      <c r="B21" s="9" t="s">
        <v>150</v>
      </c>
      <c r="C21" s="9" t="s">
        <v>1241</v>
      </c>
      <c r="D21" s="13">
        <f>IF(ISNUMBER('Sheet2-计算明细'!AV32),'Sheet2-计算明细'!AV32,"")</f>
        <v>89.82251</v>
      </c>
      <c r="E21" s="13">
        <f>IF(ISNUMBER(对照快照!BE216),对照快照!BE216,"")</f>
        <v>91.34555</v>
      </c>
      <c r="F21" s="13">
        <f t="shared" ref="F21:F29" si="1">IF(COUNT(D21:E21)=2,D21-E21,"")</f>
        <v>-1.52304000000001</v>
      </c>
      <c r="G21" s="13">
        <f>IF(ISNUMBER('Sheet2-计算明细'!AS32),'Sheet2-计算明细'!AS32,"")</f>
        <v>89.82</v>
      </c>
      <c r="H21" s="13">
        <f>IF(ISNUMBER(对照快照!BF216),对照快照!BF216,"")</f>
        <v>91.35</v>
      </c>
      <c r="I21" s="13">
        <f t="shared" ref="I21:I29" si="2">IF(COUNT(G21:H21)=2,G21-H21,"")</f>
        <v>-1.53</v>
      </c>
      <c r="J21" s="9" t="str">
        <f>IF(COUNT(F21,I21)=0,"不可直接比较",IF(OR(IF(ISNUMBER(F21),ABS(F21)&gt;='Sheet1-指标体系'!$J$32,FALSE),IF(ISNUMBER(I21),ABS(I21)&gt;='Sheet1-指标体系'!$J$32,FALSE)),"重点排查","差异小于阈值"))</f>
        <v>差异小于阈值</v>
      </c>
      <c r="K21" s="12">
        <f>IF(ISNUMBER('Sheet2-计算明细'!AQ32),'Sheet2-计算明细'!AQ32,"")</f>
        <v>1</v>
      </c>
      <c r="L21" s="12">
        <f>IF(ISNUMBER(对照快照!BG216),对照快照!BG216,"")</f>
        <v>1</v>
      </c>
      <c r="M21" s="12">
        <f t="shared" ref="M21:M29" si="3">K21-L21</f>
        <v>0</v>
      </c>
      <c r="N21" s="17">
        <f t="shared" ref="N21:N29" si="4">IF(COUNT(V21:W21)=2,V21-W21,"")</f>
        <v>-1.52304000000001</v>
      </c>
      <c r="O21" s="17">
        <f t="shared" ref="O21:O29" si="5">IF(AND(COUNT(N21,K21)=2,K21&gt;0),N21/K21,"")</f>
        <v>-1.52304000000001</v>
      </c>
      <c r="P21" s="17">
        <f t="shared" ref="P21:P29" si="6">IF(AND(COUNT(K21:L21,W21)=3,K21&gt;0,L21&gt;0),W21*(1/K21-1/L21),"")</f>
        <v>0</v>
      </c>
      <c r="Q21" s="17">
        <f t="shared" ref="Q21:Q29" si="7">IF(COUNT(I21,O21:P21)=3,I21-O21-P21,"")</f>
        <v>-0.00695999999999231</v>
      </c>
      <c r="R21" s="17">
        <f t="shared" ref="R21:R29" si="8">IF(COUNT(I21,O21:Q21)=4,I21-SUM(O21:Q21),"")</f>
        <v>0</v>
      </c>
      <c r="S21" s="9" t="str">
        <f t="shared" ref="S21:S29" si="9">IF(NOT(ISNUMBER(I21)),"一侧缺总分，保留缺失原因",IF(AND(ABS(R21)&lt;0.00000001,ABS(AA21)&lt;0.05),"差异已分解，独立复算相符","存在未解释差异"))</f>
        <v>差异已分解，独立复算相符</v>
      </c>
      <c r="T21" s="18" t="s">
        <v>1500</v>
      </c>
      <c r="U21" s="9" t="s">
        <v>150</v>
      </c>
      <c r="V21" s="17">
        <f>IF(ISNUMBER('Sheet2-计算明细'!AR32),'Sheet2-计算明细'!AR32,"")</f>
        <v>89.82251</v>
      </c>
      <c r="W21" s="17">
        <f>IF(ISNUMBER(对照快照!BH216),对照快照!BH216,"")</f>
        <v>91.34555</v>
      </c>
      <c r="X21" s="9">
        <v>216</v>
      </c>
      <c r="Y21" s="13">
        <v>90.51</v>
      </c>
      <c r="Z21" s="13">
        <f t="shared" si="0"/>
        <v>-0.690000000000012</v>
      </c>
      <c r="AA21" s="13">
        <v>0</v>
      </c>
    </row>
    <row r="22" ht="62" customHeight="1" spans="1:27">
      <c r="A22" s="9" t="s">
        <v>157</v>
      </c>
      <c r="B22" s="9" t="s">
        <v>155</v>
      </c>
      <c r="C22" s="9" t="s">
        <v>1241</v>
      </c>
      <c r="D22" s="13" t="str">
        <f>IF(ISNUMBER('Sheet2-计算明细'!AV33),'Sheet2-计算明细'!AV33,"")</f>
        <v/>
      </c>
      <c r="E22" s="13" t="str">
        <f>IF(ISNUMBER(对照快照!BE83),对照快照!BE83,"")</f>
        <v/>
      </c>
      <c r="F22" s="13" t="str">
        <f t="shared" si="1"/>
        <v/>
      </c>
      <c r="G22" s="13">
        <f>IF(ISNUMBER('Sheet2-计算明细'!AS33),'Sheet2-计算明细'!AS33,"")</f>
        <v>60.01</v>
      </c>
      <c r="H22" s="13">
        <f>IF(ISNUMBER(对照快照!BF83),对照快照!BF83,"")</f>
        <v>66.91</v>
      </c>
      <c r="I22" s="13">
        <f t="shared" si="2"/>
        <v>-6.9</v>
      </c>
      <c r="J22" s="9" t="str">
        <f>IF(COUNT(F22,I22)=0,"不可直接比较",IF(OR(IF(ISNUMBER(F22),ABS(F22)&gt;='Sheet1-指标体系'!$J$32,FALSE),IF(ISNUMBER(I22),ABS(I22)&gt;='Sheet1-指标体系'!$J$32,FALSE)),"重点排查","差异小于阈值"))</f>
        <v>重点排查</v>
      </c>
      <c r="K22" s="12">
        <f>IF(ISNUMBER('Sheet2-计算明细'!AQ33),'Sheet2-计算明细'!AQ33,"")</f>
        <v>0.856</v>
      </c>
      <c r="L22" s="12">
        <f>IF(ISNUMBER(对照快照!BG83),对照快照!BG83,"")</f>
        <v>0.7</v>
      </c>
      <c r="M22" s="12">
        <f t="shared" si="3"/>
        <v>0.156</v>
      </c>
      <c r="N22" s="17">
        <f t="shared" si="4"/>
        <v>4.52878</v>
      </c>
      <c r="O22" s="17">
        <f t="shared" si="5"/>
        <v>5.2906308411215</v>
      </c>
      <c r="P22" s="17">
        <f t="shared" si="6"/>
        <v>-12.1946022696929</v>
      </c>
      <c r="Q22" s="17">
        <f t="shared" si="7"/>
        <v>0.00397142857142363</v>
      </c>
      <c r="R22" s="17">
        <f t="shared" si="8"/>
        <v>0</v>
      </c>
      <c r="S22" s="9" t="str">
        <f t="shared" si="9"/>
        <v>差异已分解，独立复算相符</v>
      </c>
      <c r="T22" s="18" t="s">
        <v>1501</v>
      </c>
      <c r="U22" s="9" t="s">
        <v>155</v>
      </c>
      <c r="V22" s="17">
        <f>IF(ISNUMBER('Sheet2-计算明细'!AR33),'Sheet2-计算明细'!AR33,"")</f>
        <v>51.36856</v>
      </c>
      <c r="W22" s="17">
        <f>IF(ISNUMBER(对照快照!BH83),对照快照!BH83,"")</f>
        <v>46.83978</v>
      </c>
      <c r="X22" s="9">
        <v>83</v>
      </c>
      <c r="Y22" s="13">
        <v>60.94</v>
      </c>
      <c r="Z22" s="13">
        <f t="shared" si="0"/>
        <v>-0.93</v>
      </c>
      <c r="AA22" s="13">
        <v>0</v>
      </c>
    </row>
    <row r="23" ht="62" customHeight="1" spans="1:27">
      <c r="A23" s="9" t="s">
        <v>162</v>
      </c>
      <c r="B23" s="9" t="s">
        <v>161</v>
      </c>
      <c r="C23" s="9" t="s">
        <v>1241</v>
      </c>
      <c r="D23" s="13" t="str">
        <f>IF(ISNUMBER('Sheet2-计算明细'!AV34),'Sheet2-计算明细'!AV34,"")</f>
        <v/>
      </c>
      <c r="E23" s="13" t="str">
        <f>IF(ISNUMBER(对照快照!BE104),对照快照!BE104,"")</f>
        <v/>
      </c>
      <c r="F23" s="13" t="str">
        <f t="shared" si="1"/>
        <v/>
      </c>
      <c r="G23" s="13">
        <f>IF(ISNUMBER('Sheet2-计算明细'!AS34),'Sheet2-计算明细'!AS34,"")</f>
        <v>72.27</v>
      </c>
      <c r="H23" s="13">
        <f>IF(ISNUMBER(对照快照!BF104),对照快照!BF104,"")</f>
        <v>77.99</v>
      </c>
      <c r="I23" s="13">
        <f t="shared" si="2"/>
        <v>-5.72</v>
      </c>
      <c r="J23" s="9" t="str">
        <f>IF(COUNT(F23,I23)=0,"不可直接比较",IF(OR(IF(ISNUMBER(F23),ABS(F23)&gt;='Sheet1-指标体系'!$J$32,FALSE),IF(ISNUMBER(I23),ABS(I23)&gt;='Sheet1-指标体系'!$J$32,FALSE)),"重点排查","差异小于阈值"))</f>
        <v>重点排查</v>
      </c>
      <c r="K23" s="12">
        <f>IF(ISNUMBER('Sheet2-计算明细'!AQ34),'Sheet2-计算明细'!AQ34,"")</f>
        <v>0.856</v>
      </c>
      <c r="L23" s="12">
        <f>IF(ISNUMBER(对照快照!BG104),对照快照!BG104,"")</f>
        <v>0.7</v>
      </c>
      <c r="M23" s="12">
        <f t="shared" si="3"/>
        <v>0.156</v>
      </c>
      <c r="N23" s="17">
        <f t="shared" si="4"/>
        <v>7.27748</v>
      </c>
      <c r="O23" s="17">
        <f t="shared" si="5"/>
        <v>8.50172897196261</v>
      </c>
      <c r="P23" s="17">
        <f t="shared" si="6"/>
        <v>-14.2123133511348</v>
      </c>
      <c r="Q23" s="17">
        <f t="shared" si="7"/>
        <v>-0.00941562082776493</v>
      </c>
      <c r="R23" s="17">
        <f t="shared" si="8"/>
        <v>0</v>
      </c>
      <c r="S23" s="9" t="str">
        <f t="shared" si="9"/>
        <v>差异已分解，独立复算相符</v>
      </c>
      <c r="T23" s="18" t="s">
        <v>1501</v>
      </c>
      <c r="U23" s="9" t="s">
        <v>161</v>
      </c>
      <c r="V23" s="17">
        <f>IF(ISNUMBER('Sheet2-计算明细'!AR34),'Sheet2-计算明细'!AR34,"")</f>
        <v>61.86734</v>
      </c>
      <c r="W23" s="17">
        <f>IF(ISNUMBER(对照快照!BH104),对照快照!BH104,"")</f>
        <v>54.58986</v>
      </c>
      <c r="X23" s="9">
        <v>104</v>
      </c>
      <c r="Y23" s="13">
        <v>75.6</v>
      </c>
      <c r="Z23" s="13">
        <f t="shared" si="0"/>
        <v>-3.33</v>
      </c>
      <c r="AA23" s="13">
        <v>0</v>
      </c>
    </row>
    <row r="24" ht="62" customHeight="1" spans="1:27">
      <c r="A24" s="9" t="s">
        <v>166</v>
      </c>
      <c r="B24" s="9" t="s">
        <v>165</v>
      </c>
      <c r="C24" s="9" t="s">
        <v>1241</v>
      </c>
      <c r="D24" s="13">
        <f>IF(ISNUMBER('Sheet2-计算明细'!AV35),'Sheet2-计算明细'!AV35,"")</f>
        <v>45.08956</v>
      </c>
      <c r="E24" s="13" t="str">
        <f>IF(ISNUMBER(对照快照!BE30),对照快照!BE30,"")</f>
        <v/>
      </c>
      <c r="F24" s="13" t="str">
        <f t="shared" si="1"/>
        <v/>
      </c>
      <c r="G24" s="13">
        <f>IF(ISNUMBER('Sheet2-计算明细'!AS35),'Sheet2-计算明细'!AS35,"")</f>
        <v>45.09</v>
      </c>
      <c r="H24" s="13">
        <f>IF(ISNUMBER(对照快照!BF30),对照快照!BF30,"")</f>
        <v>54.91</v>
      </c>
      <c r="I24" s="13">
        <f t="shared" si="2"/>
        <v>-9.81999999999999</v>
      </c>
      <c r="J24" s="9" t="str">
        <f>IF(COUNT(F24,I24)=0,"不可直接比较",IF(OR(IF(ISNUMBER(F24),ABS(F24)&gt;='Sheet1-指标体系'!$J$32,FALSE),IF(ISNUMBER(I24),ABS(I24)&gt;='Sheet1-指标体系'!$J$32,FALSE)),"重点排查","差异小于阈值"))</f>
        <v>重点排查</v>
      </c>
      <c r="K24" s="12">
        <f>IF(ISNUMBER('Sheet2-计算明细'!AQ35),'Sheet2-计算明细'!AQ35,"")</f>
        <v>1</v>
      </c>
      <c r="L24" s="12">
        <f>IF(ISNUMBER(对照快照!BG30),对照快照!BG30,"")</f>
        <v>0.88</v>
      </c>
      <c r="M24" s="12">
        <f t="shared" si="3"/>
        <v>0.12</v>
      </c>
      <c r="N24" s="17">
        <f t="shared" si="4"/>
        <v>-3.22803999999999</v>
      </c>
      <c r="O24" s="17">
        <f t="shared" si="5"/>
        <v>-3.22803999999999</v>
      </c>
      <c r="P24" s="17">
        <f t="shared" si="6"/>
        <v>-6.58876363636364</v>
      </c>
      <c r="Q24" s="17">
        <f t="shared" si="7"/>
        <v>-0.00319636363635922</v>
      </c>
      <c r="R24" s="17">
        <f t="shared" si="8"/>
        <v>0</v>
      </c>
      <c r="S24" s="9" t="str">
        <f t="shared" si="9"/>
        <v>差异已分解，独立复算相符</v>
      </c>
      <c r="T24" s="18" t="s">
        <v>1502</v>
      </c>
      <c r="U24" s="9" t="s">
        <v>165</v>
      </c>
      <c r="V24" s="17">
        <f>IF(ISNUMBER('Sheet2-计算明细'!AR35),'Sheet2-计算明细'!AR35,"")</f>
        <v>45.08956</v>
      </c>
      <c r="W24" s="17">
        <f>IF(ISNUMBER(对照快照!BH30),对照快照!BH30,"")</f>
        <v>48.3176</v>
      </c>
      <c r="X24" s="9">
        <v>30</v>
      </c>
      <c r="Y24" s="13">
        <v>46.8</v>
      </c>
      <c r="Z24" s="13">
        <f t="shared" si="0"/>
        <v>-1.70999999999999</v>
      </c>
      <c r="AA24" s="13">
        <v>0</v>
      </c>
    </row>
    <row r="25" ht="62" customHeight="1" spans="1:27">
      <c r="A25" s="9" t="s">
        <v>171</v>
      </c>
      <c r="B25" s="9" t="s">
        <v>170</v>
      </c>
      <c r="C25" s="9" t="s">
        <v>1241</v>
      </c>
      <c r="D25" s="13">
        <f>IF(ISNUMBER('Sheet2-计算明细'!AV36),'Sheet2-计算明细'!AV36,"")</f>
        <v>63.29634</v>
      </c>
      <c r="E25" s="13">
        <f>IF(ISNUMBER(对照快照!BE176),对照快照!BE176,"")</f>
        <v>76.82454</v>
      </c>
      <c r="F25" s="13">
        <f t="shared" si="1"/>
        <v>-13.5282</v>
      </c>
      <c r="G25" s="13">
        <f>IF(ISNUMBER('Sheet2-计算明细'!AS36),'Sheet2-计算明细'!AS36,"")</f>
        <v>63.3</v>
      </c>
      <c r="H25" s="13">
        <f>IF(ISNUMBER(对照快照!BF176),对照快照!BF176,"")</f>
        <v>76.82</v>
      </c>
      <c r="I25" s="13">
        <f t="shared" si="2"/>
        <v>-13.52</v>
      </c>
      <c r="J25" s="9" t="str">
        <f>IF(COUNT(F25,I25)=0,"不可直接比较",IF(OR(IF(ISNUMBER(F25),ABS(F25)&gt;='Sheet1-指标体系'!$J$32,FALSE),IF(ISNUMBER(I25),ABS(I25)&gt;='Sheet1-指标体系'!$J$32,FALSE)),"重点排查","差异小于阈值"))</f>
        <v>重点排查</v>
      </c>
      <c r="K25" s="12">
        <f>IF(ISNUMBER('Sheet2-计算明细'!AQ36),'Sheet2-计算明细'!AQ36,"")</f>
        <v>1</v>
      </c>
      <c r="L25" s="12">
        <f>IF(ISNUMBER(对照快照!BG176),对照快照!BG176,"")</f>
        <v>1</v>
      </c>
      <c r="M25" s="12">
        <f t="shared" si="3"/>
        <v>0</v>
      </c>
      <c r="N25" s="17">
        <f t="shared" si="4"/>
        <v>-13.5282</v>
      </c>
      <c r="O25" s="17">
        <f t="shared" si="5"/>
        <v>-13.5282</v>
      </c>
      <c r="P25" s="17">
        <f t="shared" si="6"/>
        <v>0</v>
      </c>
      <c r="Q25" s="17">
        <f t="shared" si="7"/>
        <v>0.00820000000000221</v>
      </c>
      <c r="R25" s="17">
        <f t="shared" si="8"/>
        <v>0</v>
      </c>
      <c r="S25" s="9" t="str">
        <f t="shared" si="9"/>
        <v>差异已分解，独立复算相符</v>
      </c>
      <c r="T25" s="18" t="s">
        <v>1498</v>
      </c>
      <c r="U25" s="9" t="s">
        <v>170</v>
      </c>
      <c r="V25" s="17">
        <f>IF(ISNUMBER('Sheet2-计算明细'!AR36),'Sheet2-计算明细'!AR36,"")</f>
        <v>63.29634</v>
      </c>
      <c r="W25" s="17">
        <f>IF(ISNUMBER(对照快照!BH176),对照快照!BH176,"")</f>
        <v>76.82454</v>
      </c>
      <c r="X25" s="9">
        <v>176</v>
      </c>
      <c r="Y25" s="13">
        <v>66.74</v>
      </c>
      <c r="Z25" s="13">
        <f t="shared" si="0"/>
        <v>-3.44</v>
      </c>
      <c r="AA25" s="13">
        <v>0</v>
      </c>
    </row>
    <row r="26" ht="62" customHeight="1" spans="1:27">
      <c r="A26" s="9" t="s">
        <v>176</v>
      </c>
      <c r="B26" s="9" t="s">
        <v>175</v>
      </c>
      <c r="C26" s="9" t="s">
        <v>1241</v>
      </c>
      <c r="D26" s="13" t="str">
        <f>IF(ISNUMBER('Sheet2-计算明细'!AV37),'Sheet2-计算明细'!AV37,"")</f>
        <v/>
      </c>
      <c r="E26" s="13" t="str">
        <f>IF(ISNUMBER(对照快照!BE206),对照快照!BE206,"")</f>
        <v/>
      </c>
      <c r="F26" s="13" t="str">
        <f t="shared" si="1"/>
        <v/>
      </c>
      <c r="G26" s="13">
        <f>IF(ISNUMBER('Sheet2-计算明细'!AS37),'Sheet2-计算明细'!AS37,"")</f>
        <v>92.41</v>
      </c>
      <c r="H26" s="13">
        <f>IF(ISNUMBER(对照快照!BF206),对照快照!BF206,"")</f>
        <v>93.15</v>
      </c>
      <c r="I26" s="13">
        <f t="shared" si="2"/>
        <v>-0.740000000000009</v>
      </c>
      <c r="J26" s="9" t="str">
        <f>IF(COUNT(F26,I26)=0,"不可直接比较",IF(OR(IF(ISNUMBER(F26),ABS(F26)&gt;='Sheet1-指标体系'!$J$32,FALSE),IF(ISNUMBER(I26),ABS(I26)&gt;='Sheet1-指标体系'!$J$32,FALSE)),"重点排查","差异小于阈值"))</f>
        <v>差异小于阈值</v>
      </c>
      <c r="K26" s="12">
        <f>IF(ISNUMBER('Sheet2-计算明细'!AQ37),'Sheet2-计算明细'!AQ37,"")</f>
        <v>0.88</v>
      </c>
      <c r="L26" s="12">
        <f>IF(ISNUMBER(对照快照!BG206),对照快照!BG206,"")</f>
        <v>0.88</v>
      </c>
      <c r="M26" s="12">
        <f t="shared" si="3"/>
        <v>0</v>
      </c>
      <c r="N26" s="17">
        <f t="shared" si="4"/>
        <v>-0.649020000000007</v>
      </c>
      <c r="O26" s="17">
        <f t="shared" si="5"/>
        <v>-0.737522727272735</v>
      </c>
      <c r="P26" s="17">
        <f t="shared" si="6"/>
        <v>0</v>
      </c>
      <c r="Q26" s="17">
        <f t="shared" si="7"/>
        <v>-0.00247727272727361</v>
      </c>
      <c r="R26" s="17">
        <f t="shared" si="8"/>
        <v>0</v>
      </c>
      <c r="S26" s="9" t="str">
        <f t="shared" si="9"/>
        <v>差异已分解，独立复算相符</v>
      </c>
      <c r="T26" s="18" t="s">
        <v>1500</v>
      </c>
      <c r="U26" s="9" t="s">
        <v>175</v>
      </c>
      <c r="V26" s="17">
        <f>IF(ISNUMBER('Sheet2-计算明细'!AR37),'Sheet2-计算明细'!AR37,"")</f>
        <v>81.32194</v>
      </c>
      <c r="W26" s="17">
        <f>IF(ISNUMBER(对照快照!BH206),对照快照!BH206,"")</f>
        <v>81.97096</v>
      </c>
      <c r="X26" s="9">
        <v>206</v>
      </c>
      <c r="Y26" s="13">
        <v>92.51</v>
      </c>
      <c r="Z26" s="13">
        <f t="shared" si="0"/>
        <v>-0.100000000000009</v>
      </c>
      <c r="AA26" s="13">
        <v>0</v>
      </c>
    </row>
    <row r="27" ht="62" customHeight="1" spans="1:27">
      <c r="A27" s="9" t="s">
        <v>182</v>
      </c>
      <c r="B27" s="9" t="s">
        <v>180</v>
      </c>
      <c r="C27" s="9" t="s">
        <v>1241</v>
      </c>
      <c r="D27" s="13" t="str">
        <f>IF(ISNUMBER('Sheet2-计算明细'!AV38),'Sheet2-计算明细'!AV38,"")</f>
        <v/>
      </c>
      <c r="E27" s="13">
        <f>IF(ISNUMBER(对照快照!BE78),对照快照!BE78,"")</f>
        <v>74.57336</v>
      </c>
      <c r="F27" s="13" t="str">
        <f t="shared" si="1"/>
        <v/>
      </c>
      <c r="G27" s="13">
        <f>IF(ISNUMBER('Sheet2-计算明细'!AS38),'Sheet2-计算明细'!AS38,"")</f>
        <v>57.26</v>
      </c>
      <c r="H27" s="13">
        <f>IF(ISNUMBER(对照快照!BF78),对照快照!BF78,"")</f>
        <v>74.57</v>
      </c>
      <c r="I27" s="13">
        <f t="shared" si="2"/>
        <v>-17.31</v>
      </c>
      <c r="J27" s="9" t="str">
        <f>IF(COUNT(F27,I27)=0,"不可直接比较",IF(OR(IF(ISNUMBER(F27),ABS(F27)&gt;='Sheet1-指标体系'!$J$32,FALSE),IF(ISNUMBER(I27),ABS(I27)&gt;='Sheet1-指标体系'!$J$32,FALSE)),"重点排查","差异小于阈值"))</f>
        <v>重点排查</v>
      </c>
      <c r="K27" s="12">
        <f>IF(ISNUMBER('Sheet2-计算明细'!AQ38),'Sheet2-计算明细'!AQ38,"")</f>
        <v>0.955</v>
      </c>
      <c r="L27" s="12">
        <f>IF(ISNUMBER(对照快照!BG78),对照快照!BG78,"")</f>
        <v>1</v>
      </c>
      <c r="M27" s="12">
        <f t="shared" si="3"/>
        <v>-0.0450000000000002</v>
      </c>
      <c r="N27" s="17">
        <f t="shared" si="4"/>
        <v>-19.89165</v>
      </c>
      <c r="O27" s="17">
        <f t="shared" si="5"/>
        <v>-20.8289528795812</v>
      </c>
      <c r="P27" s="17">
        <f t="shared" si="6"/>
        <v>3.5139279581152</v>
      </c>
      <c r="Q27" s="17">
        <f t="shared" si="7"/>
        <v>0.0050249214659579</v>
      </c>
      <c r="R27" s="17">
        <f t="shared" si="8"/>
        <v>0</v>
      </c>
      <c r="S27" s="9" t="str">
        <f t="shared" si="9"/>
        <v>差异已分解，独立复算相符</v>
      </c>
      <c r="T27" s="18" t="s">
        <v>1503</v>
      </c>
      <c r="U27" s="9" t="s">
        <v>180</v>
      </c>
      <c r="V27" s="17">
        <f>IF(ISNUMBER('Sheet2-计算明细'!AR38),'Sheet2-计算明细'!AR38,"")</f>
        <v>54.68171</v>
      </c>
      <c r="W27" s="17">
        <f>IF(ISNUMBER(对照快照!BH78),对照快照!BH78,"")</f>
        <v>74.57336</v>
      </c>
      <c r="X27" s="9">
        <v>78</v>
      </c>
      <c r="Y27" s="13">
        <v>60.44</v>
      </c>
      <c r="Z27" s="13">
        <f t="shared" si="0"/>
        <v>-3.18</v>
      </c>
      <c r="AA27" s="13">
        <v>0</v>
      </c>
    </row>
    <row r="28" ht="62" customHeight="1" spans="1:27">
      <c r="A28" s="9" t="s">
        <v>188</v>
      </c>
      <c r="B28" s="9" t="s">
        <v>186</v>
      </c>
      <c r="C28" s="9" t="s">
        <v>1241</v>
      </c>
      <c r="D28" s="13" t="str">
        <f>IF(ISNUMBER('Sheet2-计算明细'!AV39),'Sheet2-计算明细'!AV39,"")</f>
        <v/>
      </c>
      <c r="E28" s="13" t="str">
        <f>IF(ISNUMBER(对照快照!BE147),对照快照!BE147,"")</f>
        <v/>
      </c>
      <c r="F28" s="13" t="str">
        <f t="shared" si="1"/>
        <v/>
      </c>
      <c r="G28" s="13">
        <f>IF(ISNUMBER('Sheet2-计算明细'!AS39),'Sheet2-计算明细'!AS39,"")</f>
        <v>41.95</v>
      </c>
      <c r="H28" s="13">
        <f>IF(ISNUMBER(对照快照!BF147),对照快照!BF147,"")</f>
        <v>51.82</v>
      </c>
      <c r="I28" s="13">
        <f t="shared" si="2"/>
        <v>-9.87</v>
      </c>
      <c r="J28" s="9" t="str">
        <f>IF(COUNT(F28,I28)=0,"不可直接比较",IF(OR(IF(ISNUMBER(F28),ABS(F28)&gt;='Sheet1-指标体系'!$J$32,FALSE),IF(ISNUMBER(I28),ABS(I28)&gt;='Sheet1-指标体系'!$J$32,FALSE)),"重点排查","差异小于阈值"))</f>
        <v>重点排查</v>
      </c>
      <c r="K28" s="12">
        <f>IF(ISNUMBER('Sheet2-计算明细'!AQ39),'Sheet2-计算明细'!AQ39,"")</f>
        <v>0.88</v>
      </c>
      <c r="L28" s="12">
        <f>IF(ISNUMBER(对照快照!BG147),对照快照!BG147,"")</f>
        <v>0.88</v>
      </c>
      <c r="M28" s="12">
        <f t="shared" si="3"/>
        <v>0</v>
      </c>
      <c r="N28" s="17">
        <f t="shared" si="4"/>
        <v>-8.68244</v>
      </c>
      <c r="O28" s="17">
        <f t="shared" si="5"/>
        <v>-9.86640909090909</v>
      </c>
      <c r="P28" s="17">
        <f t="shared" si="6"/>
        <v>0</v>
      </c>
      <c r="Q28" s="17">
        <f t="shared" si="7"/>
        <v>-0.00359090909090654</v>
      </c>
      <c r="R28" s="17">
        <f t="shared" si="8"/>
        <v>0</v>
      </c>
      <c r="S28" s="9" t="str">
        <f t="shared" si="9"/>
        <v>差异已分解，独立复算相符</v>
      </c>
      <c r="T28" s="18" t="s">
        <v>1504</v>
      </c>
      <c r="U28" s="9" t="s">
        <v>186</v>
      </c>
      <c r="V28" s="17">
        <f>IF(ISNUMBER('Sheet2-计算明细'!AR39),'Sheet2-计算明细'!AR39,"")</f>
        <v>36.91651</v>
      </c>
      <c r="W28" s="17">
        <f>IF(ISNUMBER(对照快照!BH147),对照快照!BH147,"")</f>
        <v>45.59895</v>
      </c>
      <c r="X28" s="9">
        <v>147</v>
      </c>
      <c r="Y28" s="13">
        <v>41.29</v>
      </c>
      <c r="Z28" s="13">
        <f t="shared" si="0"/>
        <v>0.660000000000004</v>
      </c>
      <c r="AA28" s="13">
        <v>0</v>
      </c>
    </row>
    <row r="29" ht="62" customHeight="1" spans="1:27">
      <c r="A29" s="9" t="s">
        <v>194</v>
      </c>
      <c r="B29" s="9" t="s">
        <v>193</v>
      </c>
      <c r="C29" s="9" t="s">
        <v>1241</v>
      </c>
      <c r="D29" s="13" t="str">
        <f>IF(ISNUMBER('Sheet2-计算明细'!AV40),'Sheet2-计算明细'!AV40,"")</f>
        <v/>
      </c>
      <c r="E29" s="13" t="str">
        <f>IF(ISNUMBER(对照快照!BE164),对照快照!BE164,"")</f>
        <v/>
      </c>
      <c r="F29" s="13" t="str">
        <f t="shared" si="1"/>
        <v/>
      </c>
      <c r="G29" s="13">
        <f>IF(ISNUMBER('Sheet2-计算明细'!AS40),'Sheet2-计算明细'!AS40,"")</f>
        <v>87.9</v>
      </c>
      <c r="H29" s="13">
        <f>IF(ISNUMBER(对照快照!BF164),对照快照!BF164,"")</f>
        <v>93.08</v>
      </c>
      <c r="I29" s="13">
        <f t="shared" si="2"/>
        <v>-5.17999999999999</v>
      </c>
      <c r="J29" s="9" t="str">
        <f>IF(COUNT(F29,I29)=0,"不可直接比较",IF(OR(IF(ISNUMBER(F29),ABS(F29)&gt;='Sheet1-指标体系'!$J$32,FALSE),IF(ISNUMBER(I29),ABS(I29)&gt;='Sheet1-指标体系'!$J$32,FALSE)),"重点排查","差异小于阈值"))</f>
        <v>重点排查</v>
      </c>
      <c r="K29" s="12">
        <f>IF(ISNUMBER('Sheet2-计算明细'!AQ40),'Sheet2-计算明细'!AQ40,"")</f>
        <v>0.82</v>
      </c>
      <c r="L29" s="12">
        <f>IF(ISNUMBER(对照快照!BG164),对照快照!BG164,"")</f>
        <v>0.7</v>
      </c>
      <c r="M29" s="12">
        <f t="shared" si="3"/>
        <v>0.12</v>
      </c>
      <c r="N29" s="17">
        <f t="shared" si="4"/>
        <v>6.92636</v>
      </c>
      <c r="O29" s="17">
        <f t="shared" si="5"/>
        <v>8.44678048780488</v>
      </c>
      <c r="P29" s="17">
        <f t="shared" si="6"/>
        <v>-13.6208320557491</v>
      </c>
      <c r="Q29" s="17">
        <f t="shared" si="7"/>
        <v>-0.00594843205574058</v>
      </c>
      <c r="R29" s="17">
        <f t="shared" si="8"/>
        <v>0</v>
      </c>
      <c r="S29" s="9" t="str">
        <f t="shared" si="9"/>
        <v>差异已分解，独立复算相符</v>
      </c>
      <c r="T29" s="18" t="s">
        <v>1505</v>
      </c>
      <c r="U29" s="9" t="s">
        <v>193</v>
      </c>
      <c r="V29" s="17">
        <f>IF(ISNUMBER('Sheet2-计算明细'!AR40),'Sheet2-计算明细'!AR40,"")</f>
        <v>72.07934</v>
      </c>
      <c r="W29" s="17">
        <f>IF(ISNUMBER(对照快照!BH164),对照快照!BH164,"")</f>
        <v>65.15298</v>
      </c>
      <c r="X29" s="9">
        <v>164</v>
      </c>
      <c r="Y29" s="13">
        <v>79</v>
      </c>
      <c r="Z29" s="13">
        <f t="shared" si="0"/>
        <v>8.90000000000001</v>
      </c>
      <c r="AA29" s="13">
        <v>0</v>
      </c>
    </row>
    <row r="30" ht="62" customHeight="1" spans="1:27">
      <c r="A30" s="9" t="s">
        <v>199</v>
      </c>
      <c r="B30" s="9" t="s">
        <v>198</v>
      </c>
      <c r="C30" s="9" t="s">
        <v>1489</v>
      </c>
      <c r="D30" s="13" t="str">
        <f>IF(ISNUMBER('Sheet2-计算明细'!AV41),'Sheet2-计算明细'!AV41,"")</f>
        <v/>
      </c>
      <c r="E30" s="13"/>
      <c r="F30" s="13"/>
      <c r="G30" s="13">
        <f>IF(ISNUMBER('Sheet2-计算明细'!AS41),'Sheet2-计算明细'!AS41,"")</f>
        <v>84.89</v>
      </c>
      <c r="H30" s="13"/>
      <c r="I30" s="13"/>
      <c r="J30" s="9" t="s">
        <v>1490</v>
      </c>
      <c r="K30" s="12">
        <f>IF(ISNUMBER('Sheet2-计算明细'!AQ41),'Sheet2-计算明细'!AQ41,"")</f>
        <v>0.724</v>
      </c>
      <c r="L30" s="12"/>
      <c r="M30" s="12"/>
      <c r="N30" s="17"/>
      <c r="O30" s="17"/>
      <c r="P30" s="17"/>
      <c r="Q30" s="17"/>
      <c r="R30" s="17"/>
      <c r="S30" s="9" t="s">
        <v>1491</v>
      </c>
      <c r="T30" s="18" t="s">
        <v>1492</v>
      </c>
      <c r="U30" s="9"/>
      <c r="V30" s="17">
        <f>IF(ISNUMBER('Sheet2-计算明细'!AR41),'Sheet2-计算明细'!AR41,"")</f>
        <v>61.4599938461538</v>
      </c>
      <c r="W30" s="17"/>
      <c r="X30" s="9"/>
      <c r="Y30" s="13">
        <v>81.9</v>
      </c>
      <c r="Z30" s="13">
        <f t="shared" si="0"/>
        <v>2.98999999999999</v>
      </c>
      <c r="AA30" s="13"/>
    </row>
    <row r="31" ht="62" customHeight="1" spans="1:27">
      <c r="A31" s="9" t="s">
        <v>203</v>
      </c>
      <c r="B31" s="9" t="s">
        <v>202</v>
      </c>
      <c r="C31" s="9" t="s">
        <v>1241</v>
      </c>
      <c r="D31" s="13" t="str">
        <f>IF(ISNUMBER('Sheet2-计算明细'!AV42),'Sheet2-计算明细'!AV42,"")</f>
        <v/>
      </c>
      <c r="E31" s="13" t="str">
        <f>IF(ISNUMBER(对照快照!BE167),对照快照!BE167,"")</f>
        <v/>
      </c>
      <c r="F31" s="13" t="str">
        <f>IF(COUNT(D31:E31)=2,D31-E31,"")</f>
        <v/>
      </c>
      <c r="G31" s="13">
        <f>IF(ISNUMBER('Sheet2-计算明细'!AS42),'Sheet2-计算明细'!AS42,"")</f>
        <v>79.88</v>
      </c>
      <c r="H31" s="13">
        <f>IF(ISNUMBER(对照快照!BF167),对照快照!BF167,"")</f>
        <v>88.46</v>
      </c>
      <c r="I31" s="13">
        <f>IF(COUNT(G31:H31)=2,G31-H31,"")</f>
        <v>-8.58</v>
      </c>
      <c r="J31" s="9" t="str">
        <f>IF(COUNT(F31,I31)=0,"不可直接比较",IF(OR(IF(ISNUMBER(F31),ABS(F31)&gt;='Sheet1-指标体系'!$J$32,FALSE),IF(ISNUMBER(I31),ABS(I31)&gt;='Sheet1-指标体系'!$J$32,FALSE)),"重点排查","差异小于阈值"))</f>
        <v>重点排查</v>
      </c>
      <c r="K31" s="12">
        <f>IF(ISNUMBER('Sheet2-计算明细'!AQ42),'Sheet2-计算明细'!AQ42,"")</f>
        <v>0.688</v>
      </c>
      <c r="L31" s="12">
        <f>IF(ISNUMBER(对照快照!BG167),对照快照!BG167,"")</f>
        <v>0.724</v>
      </c>
      <c r="M31" s="12">
        <f>K31-L31</f>
        <v>-0.036</v>
      </c>
      <c r="N31" s="17">
        <f>IF(COUNT(V31:W31)=2,V31-W31,"")</f>
        <v>-9.0817</v>
      </c>
      <c r="O31" s="17">
        <f>IF(AND(COUNT(N31,K31)=2,K31&gt;0),N31/K31,"")</f>
        <v>-13.2001453488372</v>
      </c>
      <c r="P31" s="17">
        <f>IF(AND(COUNT(K31:L31,W31)=3,K31&gt;0,L31&gt;0),W31*(1/K31-1/L31),"")</f>
        <v>4.62849688423488</v>
      </c>
      <c r="Q31" s="17">
        <f>IF(COUNT(I31,O31:P31)=3,I31-O31-P31,"")</f>
        <v>-0.00835153539766864</v>
      </c>
      <c r="R31" s="17">
        <f>IF(COUNT(I31,O31:Q31)=4,I31-SUM(O31:Q31),"")</f>
        <v>0</v>
      </c>
      <c r="S31" s="9" t="str">
        <f>IF(NOT(ISNUMBER(I31)),"一侧缺总分，保留缺失原因",IF(AND(ABS(R31)&lt;0.00000001,ABS(AA31)&lt;0.05),"差异已分解，独立复算相符","存在未解释差异"))</f>
        <v>差异已分解，独立复算相符</v>
      </c>
      <c r="T31" s="18" t="s">
        <v>1506</v>
      </c>
      <c r="U31" s="9" t="s">
        <v>202</v>
      </c>
      <c r="V31" s="17">
        <f>IF(ISNUMBER('Sheet2-计算明细'!AR42),'Sheet2-计算明细'!AR42,"")</f>
        <v>54.96024</v>
      </c>
      <c r="W31" s="17">
        <f>IF(ISNUMBER(对照快照!BH167),对照快照!BH167,"")</f>
        <v>64.04194</v>
      </c>
      <c r="X31" s="9">
        <v>167</v>
      </c>
      <c r="Y31" s="13">
        <v>81.9</v>
      </c>
      <c r="Z31" s="13">
        <f t="shared" si="0"/>
        <v>-2.02000000000001</v>
      </c>
      <c r="AA31" s="13">
        <v>0</v>
      </c>
    </row>
    <row r="32" ht="62" customHeight="1" spans="1:27">
      <c r="A32" s="9" t="s">
        <v>207</v>
      </c>
      <c r="B32" s="9" t="s">
        <v>206</v>
      </c>
      <c r="C32" s="9" t="s">
        <v>1489</v>
      </c>
      <c r="D32" s="13" t="str">
        <f>IF(ISNUMBER('Sheet2-计算明细'!AV43),'Sheet2-计算明细'!AV43,"")</f>
        <v/>
      </c>
      <c r="E32" s="13"/>
      <c r="F32" s="13"/>
      <c r="G32" s="13">
        <f>IF(ISNUMBER('Sheet2-计算明细'!AS43),'Sheet2-计算明细'!AS43,"")</f>
        <v>29.12</v>
      </c>
      <c r="H32" s="13"/>
      <c r="I32" s="13"/>
      <c r="J32" s="9" t="s">
        <v>1490</v>
      </c>
      <c r="K32" s="12">
        <f>IF(ISNUMBER('Sheet2-计算明细'!AQ43),'Sheet2-计算明细'!AQ43,"")</f>
        <v>0.811</v>
      </c>
      <c r="L32" s="12"/>
      <c r="M32" s="12"/>
      <c r="N32" s="17"/>
      <c r="O32" s="17"/>
      <c r="P32" s="17"/>
      <c r="Q32" s="17"/>
      <c r="R32" s="17"/>
      <c r="S32" s="9" t="s">
        <v>1491</v>
      </c>
      <c r="T32" s="18" t="s">
        <v>1492</v>
      </c>
      <c r="U32" s="9"/>
      <c r="V32" s="17">
        <f>IF(ISNUMBER('Sheet2-计算明细'!AR43),'Sheet2-计算明细'!AR43,"")</f>
        <v>23.6154215384615</v>
      </c>
      <c r="W32" s="17"/>
      <c r="X32" s="9"/>
      <c r="Y32" s="13">
        <v>87.14</v>
      </c>
      <c r="Z32" s="13">
        <f t="shared" si="0"/>
        <v>-58.02</v>
      </c>
      <c r="AA32" s="13"/>
    </row>
    <row r="33" ht="62" customHeight="1" spans="1:27">
      <c r="A33" s="9" t="s">
        <v>213</v>
      </c>
      <c r="B33" s="9" t="s">
        <v>211</v>
      </c>
      <c r="C33" s="9" t="s">
        <v>1489</v>
      </c>
      <c r="D33" s="13" t="str">
        <f>IF(ISNUMBER('Sheet2-计算明细'!AV44),'Sheet2-计算明细'!AV44,"")</f>
        <v/>
      </c>
      <c r="E33" s="13"/>
      <c r="F33" s="13"/>
      <c r="G33" s="13" t="str">
        <f>IF(ISNUMBER('Sheet2-计算明细'!AS44),'Sheet2-计算明细'!AS44,"")</f>
        <v/>
      </c>
      <c r="H33" s="13"/>
      <c r="I33" s="13"/>
      <c r="J33" s="9" t="s">
        <v>1490</v>
      </c>
      <c r="K33" s="12">
        <f>IF(ISNUMBER('Sheet2-计算明细'!AQ44),'Sheet2-计算明细'!AQ44,"")</f>
        <v>0</v>
      </c>
      <c r="L33" s="12"/>
      <c r="M33" s="12"/>
      <c r="N33" s="17"/>
      <c r="O33" s="17"/>
      <c r="P33" s="17"/>
      <c r="Q33" s="17"/>
      <c r="R33" s="17"/>
      <c r="S33" s="9" t="s">
        <v>1491</v>
      </c>
      <c r="T33" s="18" t="s">
        <v>1492</v>
      </c>
      <c r="U33" s="9"/>
      <c r="V33" s="17" t="str">
        <f>IF(ISNUMBER('Sheet2-计算明细'!AR44),'Sheet2-计算明细'!AR44,"")</f>
        <v/>
      </c>
      <c r="W33" s="17"/>
      <c r="X33" s="9"/>
      <c r="Y33" s="13"/>
      <c r="Z33" s="13" t="str">
        <f t="shared" si="0"/>
        <v/>
      </c>
      <c r="AA33" s="13"/>
    </row>
    <row r="34" ht="62" customHeight="1" spans="1:27">
      <c r="A34" s="9" t="s">
        <v>218</v>
      </c>
      <c r="B34" s="9" t="s">
        <v>217</v>
      </c>
      <c r="C34" s="9" t="s">
        <v>1241</v>
      </c>
      <c r="D34" s="13">
        <f>IF(ISNUMBER('Sheet2-计算明细'!AV45),'Sheet2-计算明细'!AV45,"")</f>
        <v>74.28057</v>
      </c>
      <c r="E34" s="13">
        <f>IF(ISNUMBER(对照快照!BE142),对照快照!BE142,"")</f>
        <v>84.22061</v>
      </c>
      <c r="F34" s="13">
        <f>IF(COUNT(D34:E34)=2,D34-E34,"")</f>
        <v>-9.94004000000001</v>
      </c>
      <c r="G34" s="13">
        <f>IF(ISNUMBER('Sheet2-计算明细'!AS45),'Sheet2-计算明细'!AS45,"")</f>
        <v>74.28</v>
      </c>
      <c r="H34" s="13">
        <f>IF(ISNUMBER(对照快照!BF142),对照快照!BF142,"")</f>
        <v>84.22</v>
      </c>
      <c r="I34" s="13">
        <f>IF(COUNT(G34:H34)=2,G34-H34,"")</f>
        <v>-9.94</v>
      </c>
      <c r="J34" s="9" t="str">
        <f>IF(COUNT(F34,I34)=0,"不可直接比较",IF(OR(IF(ISNUMBER(F34),ABS(F34)&gt;='Sheet1-指标体系'!$J$32,FALSE),IF(ISNUMBER(I34),ABS(I34)&gt;='Sheet1-指标体系'!$J$32,FALSE)),"重点排查","差异小于阈值"))</f>
        <v>重点排查</v>
      </c>
      <c r="K34" s="12">
        <f>IF(ISNUMBER('Sheet2-计算明细'!AQ45),'Sheet2-计算明细'!AQ45,"")</f>
        <v>1</v>
      </c>
      <c r="L34" s="12">
        <f>IF(ISNUMBER(对照快照!BG142),对照快照!BG142,"")</f>
        <v>1</v>
      </c>
      <c r="M34" s="12">
        <f>K34-L34</f>
        <v>0</v>
      </c>
      <c r="N34" s="17">
        <f>IF(COUNT(V34:W34)=2,V34-W34,"")</f>
        <v>-9.94004000000001</v>
      </c>
      <c r="O34" s="17">
        <f>IF(AND(COUNT(N34,K34)=2,K34&gt;0),N34/K34,"")</f>
        <v>-9.94004000000001</v>
      </c>
      <c r="P34" s="17">
        <f>IF(AND(COUNT(K34:L34,W34)=3,K34&gt;0,L34&gt;0),W34*(1/K34-1/L34),"")</f>
        <v>0</v>
      </c>
      <c r="Q34" s="17">
        <f>IF(COUNT(I34,O34:P34)=3,I34-O34-P34,"")</f>
        <v>4.00000000126965e-5</v>
      </c>
      <c r="R34" s="17">
        <f>IF(COUNT(I34,O34:Q34)=4,I34-SUM(O34:Q34),"")</f>
        <v>0</v>
      </c>
      <c r="S34" s="9" t="str">
        <f>IF(NOT(ISNUMBER(I34)),"一侧缺总分，保留缺失原因",IF(AND(ABS(R34)&lt;0.00000001,ABS(AA34)&lt;0.05),"差异已分解，独立复算相符","存在未解释差异"))</f>
        <v>差异已分解，独立复算相符</v>
      </c>
      <c r="T34" s="18" t="s">
        <v>1507</v>
      </c>
      <c r="U34" s="9" t="s">
        <v>217</v>
      </c>
      <c r="V34" s="17">
        <f>IF(ISNUMBER('Sheet2-计算明细'!AR45),'Sheet2-计算明细'!AR45,"")</f>
        <v>74.28057</v>
      </c>
      <c r="W34" s="17">
        <f>IF(ISNUMBER(对照快照!BH142),对照快照!BH142,"")</f>
        <v>84.22061</v>
      </c>
      <c r="X34" s="9">
        <v>142</v>
      </c>
      <c r="Y34" s="13">
        <v>76.36</v>
      </c>
      <c r="Z34" s="13">
        <f t="shared" si="0"/>
        <v>-2.08</v>
      </c>
      <c r="AA34" s="13">
        <v>0</v>
      </c>
    </row>
    <row r="35" ht="62" customHeight="1" spans="1:27">
      <c r="A35" s="9" t="s">
        <v>225</v>
      </c>
      <c r="B35" s="9" t="s">
        <v>224</v>
      </c>
      <c r="C35" s="9" t="s">
        <v>1241</v>
      </c>
      <c r="D35" s="13" t="str">
        <f>IF(ISNUMBER('Sheet2-计算明细'!AV46),'Sheet2-计算明细'!AV46,"")</f>
        <v/>
      </c>
      <c r="E35" s="13" t="str">
        <f>IF(ISNUMBER(对照快照!BE308),对照快照!BE308,"")</f>
        <v/>
      </c>
      <c r="F35" s="13" t="str">
        <f>IF(COUNT(D35:E35)=2,D35-E35,"")</f>
        <v/>
      </c>
      <c r="G35" s="13">
        <f>IF(ISNUMBER('Sheet2-计算明细'!AS46),'Sheet2-计算明细'!AS46,"")</f>
        <v>62.34</v>
      </c>
      <c r="H35" s="13">
        <f>IF(ISNUMBER(对照快照!BF308),对照快照!BF308,"")</f>
        <v>78.58</v>
      </c>
      <c r="I35" s="13">
        <f>IF(COUNT(G35:H35)=2,G35-H35,"")</f>
        <v>-16.24</v>
      </c>
      <c r="J35" s="9" t="str">
        <f>IF(COUNT(F35,I35)=0,"不可直接比较",IF(OR(IF(ISNUMBER(F35),ABS(F35)&gt;='Sheet1-指标体系'!$J$32,FALSE),IF(ISNUMBER(I35),ABS(I35)&gt;='Sheet1-指标体系'!$J$32,FALSE)),"重点排查","差异小于阈值"))</f>
        <v>重点排查</v>
      </c>
      <c r="K35" s="12">
        <f>IF(ISNUMBER('Sheet2-计算明细'!AQ46),'Sheet2-计算明细'!AQ46,"")</f>
        <v>0.655</v>
      </c>
      <c r="L35" s="12">
        <f>IF(ISNUMBER(对照快照!BG308),对照快照!BG308,"")</f>
        <v>0.7</v>
      </c>
      <c r="M35" s="12">
        <f>K35-L35</f>
        <v>-0.0449999999999999</v>
      </c>
      <c r="N35" s="17">
        <f>IF(COUNT(V35:W35)=2,V35-W35,"")</f>
        <v>-14.1724</v>
      </c>
      <c r="O35" s="17">
        <f>IF(AND(COUNT(N35,K35)=2,K35&gt;0),N35/K35,"")</f>
        <v>-21.637251908397</v>
      </c>
      <c r="P35" s="17">
        <f>IF(AND(COUNT(K35:L35,W35)=3,K35&gt;0,L35&gt;0),W35*(1/K35-1/L35),"")</f>
        <v>5.39854743729552</v>
      </c>
      <c r="Q35" s="17">
        <f>IF(COUNT(I35,O35:P35)=3,I35-O35-P35,"")</f>
        <v>-0.00129552889856388</v>
      </c>
      <c r="R35" s="17">
        <f>IF(COUNT(I35,O35:Q35)=4,I35-SUM(O35:Q35),"")</f>
        <v>0</v>
      </c>
      <c r="S35" s="9" t="str">
        <f>IF(NOT(ISNUMBER(I35)),"一侧缺总分，保留缺失原因",IF(AND(ABS(R35)&lt;0.00000001,ABS(AA35)&lt;0.05),"差异已分解，独立复算相符","存在未解释差异"))</f>
        <v>差异已分解，独立复算相符</v>
      </c>
      <c r="T35" s="18" t="s">
        <v>1508</v>
      </c>
      <c r="U35" s="9" t="s">
        <v>224</v>
      </c>
      <c r="V35" s="17">
        <f>IF(ISNUMBER('Sheet2-计算明细'!AR46),'Sheet2-计算明细'!AR46,"")</f>
        <v>40.8328</v>
      </c>
      <c r="W35" s="17">
        <f>IF(ISNUMBER(对照快照!BH308),对照快照!BH308,"")</f>
        <v>55.0052</v>
      </c>
      <c r="X35" s="9">
        <v>308</v>
      </c>
      <c r="Y35" s="13">
        <v>65.13</v>
      </c>
      <c r="Z35" s="13">
        <f t="shared" si="0"/>
        <v>-2.78999999999999</v>
      </c>
      <c r="AA35" s="13">
        <v>0</v>
      </c>
    </row>
    <row r="36" ht="62" customHeight="1" spans="1:27">
      <c r="A36" s="9" t="s">
        <v>231</v>
      </c>
      <c r="B36" s="9" t="s">
        <v>229</v>
      </c>
      <c r="C36" s="9" t="s">
        <v>1241</v>
      </c>
      <c r="D36" s="13" t="str">
        <f>IF(ISNUMBER('Sheet2-计算明细'!AV47),'Sheet2-计算明细'!AV47,"")</f>
        <v/>
      </c>
      <c r="E36" s="13" t="str">
        <f>IF(ISNUMBER(对照快照!BE144),对照快照!BE144,"")</f>
        <v/>
      </c>
      <c r="F36" s="13" t="str">
        <f>IF(COUNT(D36:E36)=2,D36-E36,"")</f>
        <v/>
      </c>
      <c r="G36" s="13">
        <f>IF(ISNUMBER('Sheet2-计算明细'!AS47),'Sheet2-计算明细'!AS47,"")</f>
        <v>74.3</v>
      </c>
      <c r="H36" s="13">
        <f>IF(ISNUMBER(对照快照!BF144),对照快照!BF144,"")</f>
        <v>84.81</v>
      </c>
      <c r="I36" s="13">
        <f>IF(COUNT(G36:H36)=2,G36-H36,"")</f>
        <v>-10.51</v>
      </c>
      <c r="J36" s="9" t="str">
        <f>IF(COUNT(F36,I36)=0,"不可直接比较",IF(OR(IF(ISNUMBER(F36),ABS(F36)&gt;='Sheet1-指标体系'!$J$32,FALSE),IF(ISNUMBER(I36),ABS(I36)&gt;='Sheet1-指标体系'!$J$32,FALSE)),"重点排查","差异小于阈值"))</f>
        <v>重点排查</v>
      </c>
      <c r="K36" s="12">
        <f>IF(ISNUMBER('Sheet2-计算明细'!AQ47),'Sheet2-计算明细'!AQ47,"")</f>
        <v>0.82</v>
      </c>
      <c r="L36" s="12">
        <f>IF(ISNUMBER(对照快照!BG144),对照快照!BG144,"")</f>
        <v>0.88</v>
      </c>
      <c r="M36" s="12">
        <f>K36-L36</f>
        <v>-0.0600000000000001</v>
      </c>
      <c r="N36" s="17">
        <f>IF(COUNT(V36:W36)=2,V36-W36,"")</f>
        <v>-13.70912</v>
      </c>
      <c r="O36" s="17">
        <f>IF(AND(COUNT(N36,K36)=2,K36&gt;0),N36/K36,"")</f>
        <v>-16.7184390243902</v>
      </c>
      <c r="P36" s="17">
        <f>IF(AND(COUNT(K36:L36,W36)=3,K36&gt;0,L36&gt;0),W36*(1/K36-1/L36),"")</f>
        <v>6.20560476718403</v>
      </c>
      <c r="Q36" s="17">
        <f>IF(COUNT(I36,O36:P36)=3,I36-O36-P36,"")</f>
        <v>0.00283425720621189</v>
      </c>
      <c r="R36" s="17">
        <f>IF(COUNT(I36,O36:Q36)=4,I36-SUM(O36:Q36),"")</f>
        <v>0</v>
      </c>
      <c r="S36" s="9" t="str">
        <f>IF(NOT(ISNUMBER(I36)),"一侧缺总分，保留缺失原因",IF(AND(ABS(R36)&lt;0.00000001,ABS(AA36)&lt;0.05),"差异已分解，独立复算相符","存在未解释差异"))</f>
        <v>差异已分解，独立复算相符</v>
      </c>
      <c r="T36" s="18" t="s">
        <v>1509</v>
      </c>
      <c r="U36" s="9" t="s">
        <v>229</v>
      </c>
      <c r="V36" s="17">
        <f>IF(ISNUMBER('Sheet2-计算明细'!AR47),'Sheet2-计算明细'!AR47,"")</f>
        <v>60.92362</v>
      </c>
      <c r="W36" s="17">
        <f>IF(ISNUMBER(对照快照!BH144),对照快照!BH144,"")</f>
        <v>74.63274</v>
      </c>
      <c r="X36" s="9">
        <v>144</v>
      </c>
      <c r="Y36" s="13">
        <v>84</v>
      </c>
      <c r="Z36" s="13">
        <f t="shared" si="0"/>
        <v>-9.7</v>
      </c>
      <c r="AA36" s="13">
        <v>0</v>
      </c>
    </row>
    <row r="37" ht="62" customHeight="1" spans="1:27">
      <c r="A37" s="9" t="s">
        <v>238</v>
      </c>
      <c r="B37" s="9" t="s">
        <v>235</v>
      </c>
      <c r="C37" s="9" t="s">
        <v>1489</v>
      </c>
      <c r="D37" s="13" t="str">
        <f>IF(ISNUMBER('Sheet2-计算明细'!AV48),'Sheet2-计算明细'!AV48,"")</f>
        <v/>
      </c>
      <c r="E37" s="13"/>
      <c r="F37" s="13"/>
      <c r="G37" s="13" t="str">
        <f>IF(ISNUMBER('Sheet2-计算明细'!AS48),'Sheet2-计算明细'!AS48,"")</f>
        <v/>
      </c>
      <c r="H37" s="13"/>
      <c r="I37" s="13"/>
      <c r="J37" s="9" t="s">
        <v>1490</v>
      </c>
      <c r="K37" s="12">
        <f>IF(ISNUMBER('Sheet2-计算明细'!AQ48),'Sheet2-计算明细'!AQ48,"")</f>
        <v>0</v>
      </c>
      <c r="L37" s="12"/>
      <c r="M37" s="12"/>
      <c r="N37" s="17"/>
      <c r="O37" s="17"/>
      <c r="P37" s="17"/>
      <c r="Q37" s="17"/>
      <c r="R37" s="17"/>
      <c r="S37" s="9" t="s">
        <v>1491</v>
      </c>
      <c r="T37" s="18" t="s">
        <v>1492</v>
      </c>
      <c r="U37" s="9"/>
      <c r="V37" s="17" t="str">
        <f>IF(ISNUMBER('Sheet2-计算明细'!AR48),'Sheet2-计算明细'!AR48,"")</f>
        <v/>
      </c>
      <c r="W37" s="17"/>
      <c r="X37" s="9"/>
      <c r="Y37" s="13"/>
      <c r="Z37" s="13" t="str">
        <f t="shared" si="0"/>
        <v/>
      </c>
      <c r="AA37" s="13"/>
    </row>
    <row r="38" ht="62" customHeight="1" spans="1:27">
      <c r="A38" s="9" t="s">
        <v>244</v>
      </c>
      <c r="B38" s="9" t="s">
        <v>243</v>
      </c>
      <c r="C38" s="9" t="s">
        <v>1489</v>
      </c>
      <c r="D38" s="13" t="str">
        <f>IF(ISNUMBER('Sheet2-计算明细'!AV49),'Sheet2-计算明细'!AV49,"")</f>
        <v/>
      </c>
      <c r="E38" s="13"/>
      <c r="F38" s="13"/>
      <c r="G38" s="13">
        <f>IF(ISNUMBER('Sheet2-计算明细'!AS49),'Sheet2-计算明细'!AS49,"")</f>
        <v>23.34</v>
      </c>
      <c r="H38" s="13"/>
      <c r="I38" s="13"/>
      <c r="J38" s="9" t="s">
        <v>1490</v>
      </c>
      <c r="K38" s="12">
        <f>IF(ISNUMBER('Sheet2-计算明细'!AQ49),'Sheet2-计算明细'!AQ49,"")</f>
        <v>0.7</v>
      </c>
      <c r="L38" s="12"/>
      <c r="M38" s="12"/>
      <c r="N38" s="17"/>
      <c r="O38" s="17"/>
      <c r="P38" s="17"/>
      <c r="Q38" s="17"/>
      <c r="R38" s="17"/>
      <c r="S38" s="9" t="s">
        <v>1491</v>
      </c>
      <c r="T38" s="18" t="s">
        <v>1492</v>
      </c>
      <c r="U38" s="9"/>
      <c r="V38" s="17">
        <f>IF(ISNUMBER('Sheet2-计算明细'!AR49),'Sheet2-计算明细'!AR49,"")</f>
        <v>16.3409615384615</v>
      </c>
      <c r="W38" s="17"/>
      <c r="X38" s="9"/>
      <c r="Y38" s="13">
        <v>87</v>
      </c>
      <c r="Z38" s="13">
        <f t="shared" si="0"/>
        <v>-63.66</v>
      </c>
      <c r="AA38" s="13"/>
    </row>
    <row r="39" ht="62" customHeight="1" spans="1:27">
      <c r="A39" s="9" t="s">
        <v>249</v>
      </c>
      <c r="B39" s="9" t="s">
        <v>248</v>
      </c>
      <c r="C39" s="9" t="s">
        <v>1241</v>
      </c>
      <c r="D39" s="13">
        <f>IF(ISNUMBER('Sheet2-计算明细'!AV50),'Sheet2-计算明细'!AV50,"")</f>
        <v>86.7181</v>
      </c>
      <c r="E39" s="13">
        <f>IF(ISNUMBER(对照快照!BE114),对照快照!BE114,"")</f>
        <v>89.84425</v>
      </c>
      <c r="F39" s="13">
        <f>IF(COUNT(D39:E39)=2,D39-E39,"")</f>
        <v>-3.12615</v>
      </c>
      <c r="G39" s="13">
        <f>IF(ISNUMBER('Sheet2-计算明细'!AS50),'Sheet2-计算明细'!AS50,"")</f>
        <v>86.72</v>
      </c>
      <c r="H39" s="13">
        <f>IF(ISNUMBER(对照快照!BF114),对照快照!BF114,"")</f>
        <v>89.84</v>
      </c>
      <c r="I39" s="13">
        <f>IF(COUNT(G39:H39)=2,G39-H39,"")</f>
        <v>-3.12</v>
      </c>
      <c r="J39" s="9" t="str">
        <f>IF(COUNT(F39,I39)=0,"不可直接比较",IF(OR(IF(ISNUMBER(F39),ABS(F39)&gt;='Sheet1-指标体系'!$J$32,FALSE),IF(ISNUMBER(I39),ABS(I39)&gt;='Sheet1-指标体系'!$J$32,FALSE)),"重点排查","差异小于阈值"))</f>
        <v>差异小于阈值</v>
      </c>
      <c r="K39" s="12">
        <f>IF(ISNUMBER('Sheet2-计算明细'!AQ50),'Sheet2-计算明细'!AQ50,"")</f>
        <v>1</v>
      </c>
      <c r="L39" s="12">
        <f>IF(ISNUMBER(对照快照!BG114),对照快照!BG114,"")</f>
        <v>1</v>
      </c>
      <c r="M39" s="12">
        <f>K39-L39</f>
        <v>0</v>
      </c>
      <c r="N39" s="17">
        <f>IF(COUNT(V39:W39)=2,V39-W39,"")</f>
        <v>-3.12615</v>
      </c>
      <c r="O39" s="17">
        <f>IF(AND(COUNT(N39,K39)=2,K39&gt;0),N39/K39,"")</f>
        <v>-3.12615</v>
      </c>
      <c r="P39" s="17">
        <f>IF(AND(COUNT(K39:L39,W39)=3,K39&gt;0,L39&gt;0),W39*(1/K39-1/L39),"")</f>
        <v>0</v>
      </c>
      <c r="Q39" s="17">
        <f>IF(COUNT(I39,O39:P39)=3,I39-O39-P39,"")</f>
        <v>0.006149999999991</v>
      </c>
      <c r="R39" s="17">
        <f>IF(COUNT(I39,O39:Q39)=4,I39-SUM(O39:Q39),"")</f>
        <v>0</v>
      </c>
      <c r="S39" s="9" t="str">
        <f>IF(NOT(ISNUMBER(I39)),"一侧缺总分，保留缺失原因",IF(AND(ABS(R39)&lt;0.00000001,ABS(AA39)&lt;0.05),"差异已分解，独立复算相符","存在未解释差异"))</f>
        <v>差异已分解，独立复算相符</v>
      </c>
      <c r="T39" s="18" t="s">
        <v>1510</v>
      </c>
      <c r="U39" s="9" t="s">
        <v>248</v>
      </c>
      <c r="V39" s="17">
        <f>IF(ISNUMBER('Sheet2-计算明细'!AR50),'Sheet2-计算明细'!AR50,"")</f>
        <v>86.7181</v>
      </c>
      <c r="W39" s="17">
        <f>IF(ISNUMBER(对照快照!BH114),对照快照!BH114,"")</f>
        <v>89.84425</v>
      </c>
      <c r="X39" s="9">
        <v>114</v>
      </c>
      <c r="Y39" s="13">
        <v>96</v>
      </c>
      <c r="Z39" s="13">
        <f t="shared" si="0"/>
        <v>-9.28</v>
      </c>
      <c r="AA39" s="13">
        <v>0</v>
      </c>
    </row>
    <row r="40" ht="62" customHeight="1" spans="1:27">
      <c r="A40" s="9" t="s">
        <v>255</v>
      </c>
      <c r="B40" s="9" t="s">
        <v>254</v>
      </c>
      <c r="C40" s="9" t="s">
        <v>1241</v>
      </c>
      <c r="D40" s="13">
        <f>IF(ISNUMBER('Sheet2-计算明细'!AV51),'Sheet2-计算明细'!AV51,"")</f>
        <v>65.23115</v>
      </c>
      <c r="E40" s="13">
        <f>IF(ISNUMBER(对照快照!BE41),对照快照!BE41,"")</f>
        <v>78.88682</v>
      </c>
      <c r="F40" s="13">
        <f>IF(COUNT(D40:E40)=2,D40-E40,"")</f>
        <v>-13.65567</v>
      </c>
      <c r="G40" s="13">
        <f>IF(ISNUMBER('Sheet2-计算明细'!AS51),'Sheet2-计算明细'!AS51,"")</f>
        <v>65.23</v>
      </c>
      <c r="H40" s="13">
        <f>IF(ISNUMBER(对照快照!BF41),对照快照!BF41,"")</f>
        <v>78.89</v>
      </c>
      <c r="I40" s="13">
        <f>IF(COUNT(G40:H40)=2,G40-H40,"")</f>
        <v>-13.66</v>
      </c>
      <c r="J40" s="9" t="str">
        <f>IF(COUNT(F40,I40)=0,"不可直接比较",IF(OR(IF(ISNUMBER(F40),ABS(F40)&gt;='Sheet1-指标体系'!$J$32,FALSE),IF(ISNUMBER(I40),ABS(I40)&gt;='Sheet1-指标体系'!$J$32,FALSE)),"重点排查","差异小于阈值"))</f>
        <v>重点排查</v>
      </c>
      <c r="K40" s="12">
        <f>IF(ISNUMBER('Sheet2-计算明细'!AQ51),'Sheet2-计算明细'!AQ51,"")</f>
        <v>1</v>
      </c>
      <c r="L40" s="12">
        <f>IF(ISNUMBER(对照快照!BG41),对照快照!BG41,"")</f>
        <v>1</v>
      </c>
      <c r="M40" s="12">
        <f>K40-L40</f>
        <v>0</v>
      </c>
      <c r="N40" s="17">
        <f>IF(COUNT(V40:W40)=2,V40-W40,"")</f>
        <v>-13.65567</v>
      </c>
      <c r="O40" s="17">
        <f>IF(AND(COUNT(N40,K40)=2,K40&gt;0),N40/K40,"")</f>
        <v>-13.65567</v>
      </c>
      <c r="P40" s="17">
        <f>IF(AND(COUNT(K40:L40,W40)=3,K40&gt;0,L40&gt;0),W40*(1/K40-1/L40),"")</f>
        <v>0</v>
      </c>
      <c r="Q40" s="17">
        <f>IF(COUNT(I40,O40:P40)=3,I40-O40-P40,"")</f>
        <v>-0.00432999999999595</v>
      </c>
      <c r="R40" s="17">
        <f>IF(COUNT(I40,O40:Q40)=4,I40-SUM(O40:Q40),"")</f>
        <v>0</v>
      </c>
      <c r="S40" s="9" t="str">
        <f>IF(NOT(ISNUMBER(I40)),"一侧缺总分，保留缺失原因",IF(AND(ABS(R40)&lt;0.00000001,ABS(AA40)&lt;0.05),"差异已分解，独立复算相符","存在未解释差异"))</f>
        <v>差异已分解，独立复算相符</v>
      </c>
      <c r="T40" s="18" t="s">
        <v>1498</v>
      </c>
      <c r="U40" s="9" t="s">
        <v>254</v>
      </c>
      <c r="V40" s="17">
        <f>IF(ISNUMBER('Sheet2-计算明细'!AR51),'Sheet2-计算明细'!AR51,"")</f>
        <v>65.23115</v>
      </c>
      <c r="W40" s="17">
        <f>IF(ISNUMBER(对照快照!BH41),对照快照!BH41,"")</f>
        <v>78.88682</v>
      </c>
      <c r="X40" s="9">
        <v>41</v>
      </c>
      <c r="Y40" s="13">
        <v>69.55</v>
      </c>
      <c r="Z40" s="13">
        <f t="shared" si="0"/>
        <v>-4.31999999999999</v>
      </c>
      <c r="AA40" s="13">
        <v>0</v>
      </c>
    </row>
    <row r="41" ht="62" customHeight="1" spans="1:27">
      <c r="A41" s="9" t="s">
        <v>260</v>
      </c>
      <c r="B41" s="9" t="s">
        <v>259</v>
      </c>
      <c r="C41" s="9" t="s">
        <v>1489</v>
      </c>
      <c r="D41" s="13" t="str">
        <f>IF(ISNUMBER('Sheet2-计算明细'!AV52),'Sheet2-计算明细'!AV52,"")</f>
        <v/>
      </c>
      <c r="E41" s="13"/>
      <c r="F41" s="13"/>
      <c r="G41" s="13">
        <f>IF(ISNUMBER('Sheet2-计算明细'!AS52),'Sheet2-计算明细'!AS52,"")</f>
        <v>92</v>
      </c>
      <c r="H41" s="13"/>
      <c r="I41" s="13"/>
      <c r="J41" s="9" t="s">
        <v>1490</v>
      </c>
      <c r="K41" s="12">
        <f>IF(ISNUMBER('Sheet2-计算明细'!AQ52),'Sheet2-计算明细'!AQ52,"")</f>
        <v>0.15</v>
      </c>
      <c r="L41" s="12"/>
      <c r="M41" s="12"/>
      <c r="N41" s="17"/>
      <c r="O41" s="17"/>
      <c r="P41" s="17"/>
      <c r="Q41" s="17"/>
      <c r="R41" s="17"/>
      <c r="S41" s="9" t="s">
        <v>1491</v>
      </c>
      <c r="T41" s="18" t="s">
        <v>1492</v>
      </c>
      <c r="U41" s="9"/>
      <c r="V41" s="17">
        <f>IF(ISNUMBER('Sheet2-计算明细'!AR52),'Sheet2-计算明细'!AR52,"")</f>
        <v>13.8</v>
      </c>
      <c r="W41" s="17"/>
      <c r="X41" s="9"/>
      <c r="Y41" s="13">
        <v>92</v>
      </c>
      <c r="Z41" s="13">
        <f t="shared" si="0"/>
        <v>0</v>
      </c>
      <c r="AA41" s="13"/>
    </row>
    <row r="42" ht="62" customHeight="1" spans="1:27">
      <c r="A42" s="9" t="s">
        <v>265</v>
      </c>
      <c r="B42" s="9" t="s">
        <v>264</v>
      </c>
      <c r="C42" s="9" t="s">
        <v>1241</v>
      </c>
      <c r="D42" s="13" t="str">
        <f>IF(ISNUMBER('Sheet2-计算明细'!AV53),'Sheet2-计算明细'!AV53,"")</f>
        <v/>
      </c>
      <c r="E42" s="13" t="str">
        <f>IF(ISNUMBER(对照快照!BE193),对照快照!BE193,"")</f>
        <v/>
      </c>
      <c r="F42" s="13" t="str">
        <f t="shared" ref="F42:F47" si="10">IF(COUNT(D42:E42)=2,D42-E42,"")</f>
        <v/>
      </c>
      <c r="G42" s="13">
        <f>IF(ISNUMBER('Sheet2-计算明细'!AS53),'Sheet2-计算明细'!AS53,"")</f>
        <v>73.38</v>
      </c>
      <c r="H42" s="13">
        <f>IF(ISNUMBER(对照快照!BF193),对照快照!BF193,"")</f>
        <v>82.02</v>
      </c>
      <c r="I42" s="13">
        <f t="shared" ref="I42:I47" si="11">IF(COUNT(G42:H42)=2,G42-H42,"")</f>
        <v>-8.64</v>
      </c>
      <c r="J42" s="9" t="str">
        <f>IF(COUNT(F42,I42)=0,"不可直接比较",IF(OR(IF(ISNUMBER(F42),ABS(F42)&gt;='Sheet1-指标体系'!$J$32,FALSE),IF(ISNUMBER(I42),ABS(I42)&gt;='Sheet1-指标体系'!$J$32,FALSE)),"重点排查","差异小于阈值"))</f>
        <v>重点排查</v>
      </c>
      <c r="K42" s="12">
        <f>IF(ISNUMBER('Sheet2-计算明细'!AQ53),'Sheet2-计算明细'!AQ53,"")</f>
        <v>0.88</v>
      </c>
      <c r="L42" s="12">
        <f>IF(ISNUMBER(对照快照!BG193),对照快照!BG193,"")</f>
        <v>0.88</v>
      </c>
      <c r="M42" s="12">
        <f t="shared" ref="M42:M47" si="12">K42-L42</f>
        <v>0</v>
      </c>
      <c r="N42" s="17">
        <f t="shared" ref="N42:N47" si="13">IF(COUNT(V42:W42)=2,V42-W42,"")</f>
        <v>-7.60094000000001</v>
      </c>
      <c r="O42" s="17">
        <f t="shared" ref="O42:O47" si="14">IF(AND(COUNT(N42,K42)=2,K42&gt;0),N42/K42,"")</f>
        <v>-8.63743181818183</v>
      </c>
      <c r="P42" s="17">
        <f t="shared" ref="P42:P47" si="15">IF(AND(COUNT(K42:L42,W42)=3,K42&gt;0,L42&gt;0),W42*(1/K42-1/L42),"")</f>
        <v>0</v>
      </c>
      <c r="Q42" s="17">
        <f t="shared" ref="Q42:Q47" si="16">IF(COUNT(I42,O42:P42)=3,I42-O42-P42,"")</f>
        <v>-0.00256818181817309</v>
      </c>
      <c r="R42" s="17">
        <f t="shared" ref="R42:R47" si="17">IF(COUNT(I42,O42:Q42)=4,I42-SUM(O42:Q42),"")</f>
        <v>0</v>
      </c>
      <c r="S42" s="9" t="str">
        <f t="shared" ref="S42:S47" si="18">IF(NOT(ISNUMBER(I42)),"一侧缺总分，保留缺失原因",IF(AND(ABS(R42)&lt;0.00000001,ABS(AA42)&lt;0.05),"差异已分解，独立复算相符","存在未解释差异"))</f>
        <v>差异已分解，独立复算相符</v>
      </c>
      <c r="T42" s="18" t="s">
        <v>1511</v>
      </c>
      <c r="U42" s="9" t="s">
        <v>264</v>
      </c>
      <c r="V42" s="17">
        <f>IF(ISNUMBER('Sheet2-计算明细'!AR53),'Sheet2-计算明细'!AR53,"")</f>
        <v>64.57357</v>
      </c>
      <c r="W42" s="17">
        <f>IF(ISNUMBER(对照快照!BH193),对照快照!BH193,"")</f>
        <v>72.17451</v>
      </c>
      <c r="X42" s="9">
        <v>193</v>
      </c>
      <c r="Y42" s="13">
        <v>75.82</v>
      </c>
      <c r="Z42" s="13">
        <f t="shared" si="0"/>
        <v>-2.44</v>
      </c>
      <c r="AA42" s="13">
        <v>0</v>
      </c>
    </row>
    <row r="43" ht="62" customHeight="1" spans="1:27">
      <c r="A43" s="9" t="s">
        <v>271</v>
      </c>
      <c r="B43" s="9" t="s">
        <v>269</v>
      </c>
      <c r="C43" s="9" t="s">
        <v>1241</v>
      </c>
      <c r="D43" s="13" t="str">
        <f>IF(ISNUMBER('Sheet2-计算明细'!AV54),'Sheet2-计算明细'!AV54,"")</f>
        <v/>
      </c>
      <c r="E43" s="13" t="str">
        <f>IF(ISNUMBER(对照快照!BE24),对照快照!BE24,"")</f>
        <v/>
      </c>
      <c r="F43" s="13" t="str">
        <f t="shared" si="10"/>
        <v/>
      </c>
      <c r="G43" s="13">
        <f>IF(ISNUMBER('Sheet2-计算明细'!AS54),'Sheet2-计算明细'!AS54,"")</f>
        <v>43.22</v>
      </c>
      <c r="H43" s="13">
        <f>IF(ISNUMBER(对照快照!BF24),对照快照!BF24,"")</f>
        <v>59.08</v>
      </c>
      <c r="I43" s="13">
        <f t="shared" si="11"/>
        <v>-15.86</v>
      </c>
      <c r="J43" s="9" t="str">
        <f>IF(COUNT(F43,I43)=0,"不可直接比较",IF(OR(IF(ISNUMBER(F43),ABS(F43)&gt;='Sheet1-指标体系'!$J$32,FALSE),IF(ISNUMBER(I43),ABS(I43)&gt;='Sheet1-指标体系'!$J$32,FALSE)),"重点排查","差异小于阈值"))</f>
        <v>重点排查</v>
      </c>
      <c r="K43" s="12">
        <f>IF(ISNUMBER('Sheet2-计算明细'!AQ54),'Sheet2-计算明细'!AQ54,"")</f>
        <v>0.88</v>
      </c>
      <c r="L43" s="12">
        <f>IF(ISNUMBER(对照快照!BG24),对照快照!BG24,"")</f>
        <v>0.88</v>
      </c>
      <c r="M43" s="12">
        <f t="shared" si="12"/>
        <v>0</v>
      </c>
      <c r="N43" s="17">
        <f t="shared" si="13"/>
        <v>-13.96158</v>
      </c>
      <c r="O43" s="17">
        <f t="shared" si="14"/>
        <v>-15.8654318181818</v>
      </c>
      <c r="P43" s="17">
        <f t="shared" si="15"/>
        <v>0</v>
      </c>
      <c r="Q43" s="17">
        <f t="shared" si="16"/>
        <v>0.00543181818182426</v>
      </c>
      <c r="R43" s="17">
        <f t="shared" si="17"/>
        <v>0</v>
      </c>
      <c r="S43" s="9" t="str">
        <f t="shared" si="18"/>
        <v>差异已分解，独立复算相符</v>
      </c>
      <c r="T43" s="18" t="s">
        <v>1512</v>
      </c>
      <c r="U43" s="9" t="s">
        <v>269</v>
      </c>
      <c r="V43" s="17">
        <f>IF(ISNUMBER('Sheet2-计算明细'!AR54),'Sheet2-计算明细'!AR54,"")</f>
        <v>38.02989</v>
      </c>
      <c r="W43" s="17">
        <f>IF(ISNUMBER(对照快照!BH24),对照快照!BH24,"")</f>
        <v>51.99147</v>
      </c>
      <c r="X43" s="9">
        <v>24</v>
      </c>
      <c r="Y43" s="13">
        <v>49.17</v>
      </c>
      <c r="Z43" s="13">
        <f t="shared" si="0"/>
        <v>-5.95</v>
      </c>
      <c r="AA43" s="13">
        <v>0</v>
      </c>
    </row>
    <row r="44" ht="62" customHeight="1" spans="1:27">
      <c r="A44" s="9" t="s">
        <v>276</v>
      </c>
      <c r="B44" s="9" t="s">
        <v>275</v>
      </c>
      <c r="C44" s="9" t="s">
        <v>1241</v>
      </c>
      <c r="D44" s="13" t="str">
        <f>IF(ISNUMBER('Sheet2-计算明细'!AV55),'Sheet2-计算明细'!AV55,"")</f>
        <v/>
      </c>
      <c r="E44" s="13" t="str">
        <f>IF(ISNUMBER(对照快照!BE209),对照快照!BE209,"")</f>
        <v/>
      </c>
      <c r="F44" s="13" t="str">
        <f t="shared" si="10"/>
        <v/>
      </c>
      <c r="G44" s="13">
        <f>IF(ISNUMBER('Sheet2-计算明细'!AS55),'Sheet2-计算明细'!AS55,"")</f>
        <v>81.87</v>
      </c>
      <c r="H44" s="13">
        <f>IF(ISNUMBER(对照快照!BF209),对照快照!BF209,"")</f>
        <v>89.18</v>
      </c>
      <c r="I44" s="13">
        <f t="shared" si="11"/>
        <v>-7.31</v>
      </c>
      <c r="J44" s="9" t="str">
        <f>IF(COUNT(F44,I44)=0,"不可直接比较",IF(OR(IF(ISNUMBER(F44),ABS(F44)&gt;='Sheet1-指标体系'!$J$32,FALSE),IF(ISNUMBER(I44),ABS(I44)&gt;='Sheet1-指标体系'!$J$32,FALSE)),"重点排查","差异小于阈值"))</f>
        <v>重点排查</v>
      </c>
      <c r="K44" s="12">
        <f>IF(ISNUMBER('Sheet2-计算明细'!AQ55),'Sheet2-计算明细'!AQ55,"")</f>
        <v>0.88</v>
      </c>
      <c r="L44" s="12">
        <f>IF(ISNUMBER(对照快照!BG209),对照快照!BG209,"")</f>
        <v>0.88</v>
      </c>
      <c r="M44" s="12">
        <f t="shared" si="12"/>
        <v>0</v>
      </c>
      <c r="N44" s="17">
        <f t="shared" si="13"/>
        <v>-6.43364</v>
      </c>
      <c r="O44" s="17">
        <f t="shared" si="14"/>
        <v>-7.31095454545454</v>
      </c>
      <c r="P44" s="17">
        <f t="shared" si="15"/>
        <v>0</v>
      </c>
      <c r="Q44" s="17">
        <f t="shared" si="16"/>
        <v>0.000954545454539435</v>
      </c>
      <c r="R44" s="17">
        <f t="shared" si="17"/>
        <v>0</v>
      </c>
      <c r="S44" s="9" t="str">
        <f t="shared" si="18"/>
        <v>差异已分解，独立复算相符</v>
      </c>
      <c r="T44" s="18" t="s">
        <v>1513</v>
      </c>
      <c r="U44" s="9" t="s">
        <v>275</v>
      </c>
      <c r="V44" s="17">
        <f>IF(ISNUMBER('Sheet2-计算明细'!AR55),'Sheet2-计算明细'!AR55,"")</f>
        <v>72.04152</v>
      </c>
      <c r="W44" s="17">
        <f>IF(ISNUMBER(对照快照!BH209),对照快照!BH209,"")</f>
        <v>78.47516</v>
      </c>
      <c r="X44" s="9">
        <v>209</v>
      </c>
      <c r="Y44" s="13">
        <v>84.88</v>
      </c>
      <c r="Z44" s="13">
        <f t="shared" si="0"/>
        <v>-3.00999999999999</v>
      </c>
      <c r="AA44" s="13">
        <v>0</v>
      </c>
    </row>
    <row r="45" ht="62" customHeight="1" spans="1:27">
      <c r="A45" s="9" t="s">
        <v>283</v>
      </c>
      <c r="B45" s="9" t="s">
        <v>281</v>
      </c>
      <c r="C45" s="9" t="s">
        <v>1241</v>
      </c>
      <c r="D45" s="13" t="str">
        <f>IF(ISNUMBER('Sheet2-计算明细'!AV56),'Sheet2-计算明细'!AV56,"")</f>
        <v/>
      </c>
      <c r="E45" s="13" t="str">
        <f>IF(ISNUMBER(对照快照!BE218),对照快照!BE218,"")</f>
        <v/>
      </c>
      <c r="F45" s="13" t="str">
        <f t="shared" si="10"/>
        <v/>
      </c>
      <c r="G45" s="13">
        <f>IF(ISNUMBER('Sheet2-计算明细'!AS56),'Sheet2-计算明细'!AS56,"")</f>
        <v>54.11</v>
      </c>
      <c r="H45" s="13">
        <f>IF(ISNUMBER(对照快照!BF218),对照快照!BF218,"")</f>
        <v>68.81</v>
      </c>
      <c r="I45" s="13">
        <f t="shared" si="11"/>
        <v>-14.7</v>
      </c>
      <c r="J45" s="9" t="str">
        <f>IF(COUNT(F45,I45)=0,"不可直接比较",IF(OR(IF(ISNUMBER(F45),ABS(F45)&gt;='Sheet1-指标体系'!$J$32,FALSE),IF(ISNUMBER(I45),ABS(I45)&gt;='Sheet1-指标体系'!$J$32,FALSE)),"重点排查","差异小于阈值"))</f>
        <v>重点排查</v>
      </c>
      <c r="K45" s="12">
        <f>IF(ISNUMBER('Sheet2-计算明细'!AQ56),'Sheet2-计算明细'!AQ56,"")</f>
        <v>0.88</v>
      </c>
      <c r="L45" s="12">
        <f>IF(ISNUMBER(对照快照!BG218),对照快照!BG218,"")</f>
        <v>0.88</v>
      </c>
      <c r="M45" s="12">
        <f t="shared" si="12"/>
        <v>0</v>
      </c>
      <c r="N45" s="17">
        <f t="shared" si="13"/>
        <v>-12.93723</v>
      </c>
      <c r="O45" s="17">
        <f t="shared" si="14"/>
        <v>-14.7013977272727</v>
      </c>
      <c r="P45" s="17">
        <f t="shared" si="15"/>
        <v>0</v>
      </c>
      <c r="Q45" s="17">
        <f t="shared" si="16"/>
        <v>0.00139772727273169</v>
      </c>
      <c r="R45" s="17">
        <f t="shared" si="17"/>
        <v>0</v>
      </c>
      <c r="S45" s="9" t="str">
        <f t="shared" si="18"/>
        <v>差异已分解，独立复算相符</v>
      </c>
      <c r="T45" s="18" t="s">
        <v>1514</v>
      </c>
      <c r="U45" s="9" t="s">
        <v>281</v>
      </c>
      <c r="V45" s="17">
        <f>IF(ISNUMBER('Sheet2-计算明细'!AR56),'Sheet2-计算明细'!AR56,"")</f>
        <v>47.61802</v>
      </c>
      <c r="W45" s="17">
        <f>IF(ISNUMBER(对照快照!BH218),对照快照!BH218,"")</f>
        <v>60.55525</v>
      </c>
      <c r="X45" s="9">
        <v>218</v>
      </c>
      <c r="Y45" s="13">
        <v>54.3</v>
      </c>
      <c r="Z45" s="13">
        <f t="shared" si="0"/>
        <v>-0.189999999999998</v>
      </c>
      <c r="AA45" s="13">
        <v>0</v>
      </c>
    </row>
    <row r="46" ht="62" customHeight="1" spans="1:27">
      <c r="A46" s="9" t="s">
        <v>289</v>
      </c>
      <c r="B46" s="9" t="s">
        <v>288</v>
      </c>
      <c r="C46" s="9" t="s">
        <v>1241</v>
      </c>
      <c r="D46" s="13" t="str">
        <f>IF(ISNUMBER('Sheet2-计算明细'!AV57),'Sheet2-计算明细'!AV57,"")</f>
        <v/>
      </c>
      <c r="E46" s="13" t="str">
        <f>IF(ISNUMBER(对照快照!BE261),对照快照!BE261,"")</f>
        <v/>
      </c>
      <c r="F46" s="13" t="str">
        <f t="shared" si="10"/>
        <v/>
      </c>
      <c r="G46" s="13">
        <f>IF(ISNUMBER('Sheet2-计算明细'!AS57),'Sheet2-计算明细'!AS57,"")</f>
        <v>56.39</v>
      </c>
      <c r="H46" s="13">
        <f>IF(ISNUMBER(对照快照!BF261),对照快照!BF261,"")</f>
        <v>70.47</v>
      </c>
      <c r="I46" s="13">
        <f t="shared" si="11"/>
        <v>-14.08</v>
      </c>
      <c r="J46" s="9" t="str">
        <f>IF(COUNT(F46,I46)=0,"不可直接比较",IF(OR(IF(ISNUMBER(F46),ABS(F46)&gt;='Sheet1-指标体系'!$J$32,FALSE),IF(ISNUMBER(I46),ABS(I46)&gt;='Sheet1-指标体系'!$J$32,FALSE)),"重点排查","差异小于阈值"))</f>
        <v>重点排查</v>
      </c>
      <c r="K46" s="12">
        <f>IF(ISNUMBER('Sheet2-计算明细'!AQ57),'Sheet2-计算明细'!AQ57,"")</f>
        <v>0.88</v>
      </c>
      <c r="L46" s="12">
        <f>IF(ISNUMBER(对照快照!BG261),对照快照!BG261,"")</f>
        <v>0.88</v>
      </c>
      <c r="M46" s="12">
        <f t="shared" si="12"/>
        <v>0</v>
      </c>
      <c r="N46" s="17">
        <f t="shared" si="13"/>
        <v>-12.39317</v>
      </c>
      <c r="O46" s="17">
        <f t="shared" si="14"/>
        <v>-14.0831477272727</v>
      </c>
      <c r="P46" s="17">
        <f t="shared" si="15"/>
        <v>0</v>
      </c>
      <c r="Q46" s="17">
        <f t="shared" si="16"/>
        <v>0.00314772727272583</v>
      </c>
      <c r="R46" s="17">
        <f t="shared" si="17"/>
        <v>0</v>
      </c>
      <c r="S46" s="9" t="str">
        <f t="shared" si="18"/>
        <v>差异已分解，独立复算相符</v>
      </c>
      <c r="T46" s="18" t="s">
        <v>1514</v>
      </c>
      <c r="U46" s="9" t="s">
        <v>288</v>
      </c>
      <c r="V46" s="17">
        <f>IF(ISNUMBER('Sheet2-计算明细'!AR57),'Sheet2-计算明细'!AR57,"")</f>
        <v>49.62065</v>
      </c>
      <c r="W46" s="17">
        <f>IF(ISNUMBER(对照快照!BH261),对照快照!BH261,"")</f>
        <v>62.01382</v>
      </c>
      <c r="X46" s="9">
        <v>261</v>
      </c>
      <c r="Y46" s="13">
        <v>56.83</v>
      </c>
      <c r="Z46" s="13">
        <f t="shared" si="0"/>
        <v>-0.439999999999998</v>
      </c>
      <c r="AA46" s="13">
        <v>0</v>
      </c>
    </row>
    <row r="47" ht="62" customHeight="1" spans="1:27">
      <c r="A47" s="9" t="s">
        <v>293</v>
      </c>
      <c r="B47" s="9" t="s">
        <v>292</v>
      </c>
      <c r="C47" s="9" t="s">
        <v>1241</v>
      </c>
      <c r="D47" s="13" t="str">
        <f>IF(ISNUMBER('Sheet2-计算明细'!AV58),'Sheet2-计算明细'!AV58,"")</f>
        <v/>
      </c>
      <c r="E47" s="13" t="str">
        <f>IF(ISNUMBER(对照快照!BE86),对照快照!BE86,"")</f>
        <v/>
      </c>
      <c r="F47" s="13" t="str">
        <f t="shared" si="10"/>
        <v/>
      </c>
      <c r="G47" s="13">
        <f>IF(ISNUMBER('Sheet2-计算明细'!AS58),'Sheet2-计算明细'!AS58,"")</f>
        <v>69.19</v>
      </c>
      <c r="H47" s="13">
        <f>IF(ISNUMBER(对照快照!BF86),对照快照!BF86,"")</f>
        <v>83.15</v>
      </c>
      <c r="I47" s="13">
        <f t="shared" si="11"/>
        <v>-13.96</v>
      </c>
      <c r="J47" s="9" t="str">
        <f>IF(COUNT(F47,I47)=0,"不可直接比较",IF(OR(IF(ISNUMBER(F47),ABS(F47)&gt;='Sheet1-指标体系'!$J$32,FALSE),IF(ISNUMBER(I47),ABS(I47)&gt;='Sheet1-指标体系'!$J$32,FALSE)),"重点排查","差异小于阈值"))</f>
        <v>重点排查</v>
      </c>
      <c r="K47" s="12">
        <f>IF(ISNUMBER('Sheet2-计算明细'!AQ58),'Sheet2-计算明细'!AQ58,"")</f>
        <v>0.856</v>
      </c>
      <c r="L47" s="12">
        <f>IF(ISNUMBER(对照快照!BG86),对照快照!BG86,"")</f>
        <v>0.7</v>
      </c>
      <c r="M47" s="12">
        <f t="shared" si="12"/>
        <v>0.156</v>
      </c>
      <c r="N47" s="17">
        <f t="shared" si="13"/>
        <v>1.02108</v>
      </c>
      <c r="O47" s="17">
        <f t="shared" si="14"/>
        <v>1.19285046728972</v>
      </c>
      <c r="P47" s="17">
        <f t="shared" si="15"/>
        <v>-15.153582777036</v>
      </c>
      <c r="Q47" s="17">
        <f t="shared" si="16"/>
        <v>0.000732309746325654</v>
      </c>
      <c r="R47" s="17">
        <f t="shared" si="17"/>
        <v>0</v>
      </c>
      <c r="S47" s="9" t="str">
        <f t="shared" si="18"/>
        <v>差异已分解，独立复算相符</v>
      </c>
      <c r="T47" s="18" t="s">
        <v>1515</v>
      </c>
      <c r="U47" s="9" t="s">
        <v>292</v>
      </c>
      <c r="V47" s="17">
        <f>IF(ISNUMBER('Sheet2-计算明细'!AR58),'Sheet2-计算明细'!AR58,"")</f>
        <v>59.22638</v>
      </c>
      <c r="W47" s="17">
        <f>IF(ISNUMBER(对照快照!BH86),对照快照!BH86,"")</f>
        <v>58.2053</v>
      </c>
      <c r="X47" s="9">
        <v>86</v>
      </c>
      <c r="Y47" s="13">
        <v>73.47</v>
      </c>
      <c r="Z47" s="13">
        <f t="shared" si="0"/>
        <v>-4.28</v>
      </c>
      <c r="AA47" s="13">
        <v>0</v>
      </c>
    </row>
    <row r="48" ht="62" customHeight="1" spans="1:27">
      <c r="A48" s="9" t="s">
        <v>298</v>
      </c>
      <c r="B48" s="9" t="s">
        <v>296</v>
      </c>
      <c r="C48" s="9" t="s">
        <v>1489</v>
      </c>
      <c r="D48" s="13">
        <f>IF(ISNUMBER('Sheet2-计算明细'!AV59),'Sheet2-计算明细'!AV59,"")</f>
        <v>78.81464</v>
      </c>
      <c r="E48" s="13"/>
      <c r="F48" s="13"/>
      <c r="G48" s="13">
        <f>IF(ISNUMBER('Sheet2-计算明细'!AS59),'Sheet2-计算明细'!AS59,"")</f>
        <v>78.81</v>
      </c>
      <c r="H48" s="13"/>
      <c r="I48" s="13"/>
      <c r="J48" s="9" t="s">
        <v>1490</v>
      </c>
      <c r="K48" s="12">
        <f>IF(ISNUMBER('Sheet2-计算明细'!AQ59),'Sheet2-计算明细'!AQ59,"")</f>
        <v>1</v>
      </c>
      <c r="L48" s="12"/>
      <c r="M48" s="12"/>
      <c r="N48" s="17"/>
      <c r="O48" s="17"/>
      <c r="P48" s="17"/>
      <c r="Q48" s="17"/>
      <c r="R48" s="17"/>
      <c r="S48" s="9" t="s">
        <v>1491</v>
      </c>
      <c r="T48" s="18" t="s">
        <v>1492</v>
      </c>
      <c r="U48" s="9"/>
      <c r="V48" s="17">
        <f>IF(ISNUMBER('Sheet2-计算明细'!AR59),'Sheet2-计算明细'!AR59,"")</f>
        <v>78.81464</v>
      </c>
      <c r="W48" s="17"/>
      <c r="X48" s="9"/>
      <c r="Y48" s="13">
        <v>82.33</v>
      </c>
      <c r="Z48" s="13">
        <f t="shared" si="0"/>
        <v>-3.52</v>
      </c>
      <c r="AA48" s="13"/>
    </row>
    <row r="49" ht="62" customHeight="1" spans="1:27">
      <c r="A49" s="9" t="s">
        <v>303</v>
      </c>
      <c r="B49" s="9" t="s">
        <v>302</v>
      </c>
      <c r="C49" s="9" t="s">
        <v>1241</v>
      </c>
      <c r="D49" s="13" t="str">
        <f>IF(ISNUMBER('Sheet2-计算明细'!AV60),'Sheet2-计算明细'!AV60,"")</f>
        <v/>
      </c>
      <c r="E49" s="13" t="str">
        <f>IF(ISNUMBER(对照快照!BE97),对照快照!BE97,"")</f>
        <v/>
      </c>
      <c r="F49" s="13" t="str">
        <f t="shared" ref="F49:F54" si="19">IF(COUNT(D49:E49)=2,D49-E49,"")</f>
        <v/>
      </c>
      <c r="G49" s="13">
        <f>IF(ISNUMBER('Sheet2-计算明细'!AS60),'Sheet2-计算明细'!AS60,"")</f>
        <v>63.06</v>
      </c>
      <c r="H49" s="13">
        <f>IF(ISNUMBER(对照快照!BF97),对照快照!BF97,"")</f>
        <v>74.93</v>
      </c>
      <c r="I49" s="13">
        <f t="shared" ref="I49:I54" si="20">IF(COUNT(G49:H49)=2,G49-H49,"")</f>
        <v>-11.87</v>
      </c>
      <c r="J49" s="9" t="str">
        <f>IF(COUNT(F49,I49)=0,"不可直接比较",IF(OR(IF(ISNUMBER(F49),ABS(F49)&gt;='Sheet1-指标体系'!$J$32,FALSE),IF(ISNUMBER(I49),ABS(I49)&gt;='Sheet1-指标体系'!$J$32,FALSE)),"重点排查","差异小于阈值"))</f>
        <v>重点排查</v>
      </c>
      <c r="K49" s="12">
        <f>IF(ISNUMBER('Sheet2-计算明细'!AQ60),'Sheet2-计算明细'!AQ60,"")</f>
        <v>0.856</v>
      </c>
      <c r="L49" s="12">
        <f>IF(ISNUMBER(对照快照!BG97),对照快照!BG97,"")</f>
        <v>0.7</v>
      </c>
      <c r="M49" s="12">
        <f t="shared" ref="M49:M54" si="21">K49-L49</f>
        <v>0.156</v>
      </c>
      <c r="N49" s="17">
        <f t="shared" ref="N49:N54" si="22">IF(COUNT(V49:W49)=2,V49-W49,"")</f>
        <v>1.52846</v>
      </c>
      <c r="O49" s="17">
        <f t="shared" ref="O49:O54" si="23">IF(AND(COUNT(N49,K49)=2,K49&gt;0),N49/K49,"")</f>
        <v>1.78558411214954</v>
      </c>
      <c r="P49" s="17">
        <f t="shared" ref="P49:P54" si="24">IF(AND(COUNT(K49:L49,W49)=3,K49&gt;0,L49&gt;0),W49*(1/K49-1/L49),"")</f>
        <v>-13.6546393858478</v>
      </c>
      <c r="Q49" s="17">
        <f t="shared" ref="Q49:Q54" si="25">IF(COUNT(I49,O49:P49)=3,I49-O49-P49,"")</f>
        <v>-0.000944726301742804</v>
      </c>
      <c r="R49" s="17">
        <f t="shared" ref="R49:R54" si="26">IF(COUNT(I49,O49:Q49)=4,I49-SUM(O49:Q49),"")</f>
        <v>0</v>
      </c>
      <c r="S49" s="9" t="str">
        <f t="shared" ref="S49:S54" si="27">IF(NOT(ISNUMBER(I49)),"一侧缺总分，保留缺失原因",IF(AND(ABS(R49)&lt;0.00000001,ABS(AA49)&lt;0.05),"差异已分解，独立复算相符","存在未解释差异"))</f>
        <v>差异已分解，独立复算相符</v>
      </c>
      <c r="T49" s="18" t="s">
        <v>1515</v>
      </c>
      <c r="U49" s="9" t="s">
        <v>302</v>
      </c>
      <c r="V49" s="17">
        <f>IF(ISNUMBER('Sheet2-计算明细'!AR60),'Sheet2-计算明细'!AR60,"")</f>
        <v>53.97628</v>
      </c>
      <c r="W49" s="17">
        <f>IF(ISNUMBER(对照快照!BH97),对照快照!BH97,"")</f>
        <v>52.44782</v>
      </c>
      <c r="X49" s="9">
        <v>97</v>
      </c>
      <c r="Y49" s="13">
        <v>65.38</v>
      </c>
      <c r="Z49" s="13">
        <f t="shared" si="0"/>
        <v>-2.31999999999999</v>
      </c>
      <c r="AA49" s="13">
        <v>0</v>
      </c>
    </row>
    <row r="50" ht="62" customHeight="1" spans="1:27">
      <c r="A50" s="9" t="s">
        <v>308</v>
      </c>
      <c r="B50" s="9" t="s">
        <v>306</v>
      </c>
      <c r="C50" s="9" t="s">
        <v>1241</v>
      </c>
      <c r="D50" s="13" t="str">
        <f>IF(ISNUMBER('Sheet2-计算明细'!AV61),'Sheet2-计算明细'!AV61,"")</f>
        <v/>
      </c>
      <c r="E50" s="13" t="str">
        <f>IF(ISNUMBER(对照快照!BE72),对照快照!BE72,"")</f>
        <v/>
      </c>
      <c r="F50" s="13" t="str">
        <f t="shared" si="19"/>
        <v/>
      </c>
      <c r="G50" s="13">
        <f>IF(ISNUMBER('Sheet2-计算明细'!AS61),'Sheet2-计算明细'!AS61,"")</f>
        <v>82.51</v>
      </c>
      <c r="H50" s="13">
        <f>IF(ISNUMBER(对照快照!BF72),对照快照!BF72,"")</f>
        <v>86.19</v>
      </c>
      <c r="I50" s="13">
        <f t="shared" si="20"/>
        <v>-3.67999999999999</v>
      </c>
      <c r="J50" s="9" t="str">
        <f>IF(COUNT(F50,I50)=0,"不可直接比较",IF(OR(IF(ISNUMBER(F50),ABS(F50)&gt;='Sheet1-指标体系'!$J$32,FALSE),IF(ISNUMBER(I50),ABS(I50)&gt;='Sheet1-指标体系'!$J$32,FALSE)),"重点排查","差异小于阈值"))</f>
        <v>差异小于阈值</v>
      </c>
      <c r="K50" s="12">
        <f>IF(ISNUMBER('Sheet2-计算明细'!AQ61),'Sheet2-计算明细'!AQ61,"")</f>
        <v>0.7</v>
      </c>
      <c r="L50" s="12">
        <f>IF(ISNUMBER(对照快照!BG72),对照快照!BG72,"")</f>
        <v>0.7</v>
      </c>
      <c r="M50" s="12">
        <f t="shared" si="21"/>
        <v>0</v>
      </c>
      <c r="N50" s="17">
        <f t="shared" si="22"/>
        <v>-2.57604000000001</v>
      </c>
      <c r="O50" s="17">
        <f t="shared" si="23"/>
        <v>-3.68005714285715</v>
      </c>
      <c r="P50" s="17">
        <f t="shared" si="24"/>
        <v>0</v>
      </c>
      <c r="Q50" s="17">
        <f t="shared" si="25"/>
        <v>5.7142857159409e-5</v>
      </c>
      <c r="R50" s="17">
        <f t="shared" si="26"/>
        <v>0</v>
      </c>
      <c r="S50" s="9" t="str">
        <f t="shared" si="27"/>
        <v>差异已分解，独立复算相符</v>
      </c>
      <c r="T50" s="18" t="s">
        <v>1516</v>
      </c>
      <c r="U50" s="9" t="s">
        <v>306</v>
      </c>
      <c r="V50" s="17">
        <f>IF(ISNUMBER('Sheet2-计算明细'!AR61),'Sheet2-计算明细'!AR61,"")</f>
        <v>57.75932</v>
      </c>
      <c r="W50" s="17">
        <f>IF(ISNUMBER(对照快照!BH72),对照快照!BH72,"")</f>
        <v>60.33536</v>
      </c>
      <c r="X50" s="9">
        <v>72</v>
      </c>
      <c r="Y50" s="13">
        <v>82.82</v>
      </c>
      <c r="Z50" s="13">
        <f t="shared" si="0"/>
        <v>-0.309999999999988</v>
      </c>
      <c r="AA50" s="13">
        <v>0</v>
      </c>
    </row>
    <row r="51" ht="62" customHeight="1" spans="1:27">
      <c r="A51" s="9" t="s">
        <v>313</v>
      </c>
      <c r="B51" s="9" t="s">
        <v>312</v>
      </c>
      <c r="C51" s="9" t="s">
        <v>1241</v>
      </c>
      <c r="D51" s="13">
        <f>IF(ISNUMBER('Sheet2-计算明细'!AV62),'Sheet2-计算明细'!AV62,"")</f>
        <v>79.13391</v>
      </c>
      <c r="E51" s="13">
        <f>IF(ISNUMBER(对照快照!BE67),对照快照!BE67,"")</f>
        <v>86.47915</v>
      </c>
      <c r="F51" s="13">
        <f t="shared" si="19"/>
        <v>-7.34524</v>
      </c>
      <c r="G51" s="13">
        <f>IF(ISNUMBER('Sheet2-计算明细'!AS62),'Sheet2-计算明细'!AS62,"")</f>
        <v>79.13</v>
      </c>
      <c r="H51" s="13">
        <f>IF(ISNUMBER(对照快照!BF67),对照快照!BF67,"")</f>
        <v>86.48</v>
      </c>
      <c r="I51" s="13">
        <f t="shared" si="20"/>
        <v>-7.35000000000001</v>
      </c>
      <c r="J51" s="9" t="str">
        <f>IF(COUNT(F51,I51)=0,"不可直接比较",IF(OR(IF(ISNUMBER(F51),ABS(F51)&gt;='Sheet1-指标体系'!$J$32,FALSE),IF(ISNUMBER(I51),ABS(I51)&gt;='Sheet1-指标体系'!$J$32,FALSE)),"重点排查","差异小于阈值"))</f>
        <v>重点排查</v>
      </c>
      <c r="K51" s="12">
        <f>IF(ISNUMBER('Sheet2-计算明细'!AQ62),'Sheet2-计算明细'!AQ62,"")</f>
        <v>1</v>
      </c>
      <c r="L51" s="12">
        <f>IF(ISNUMBER(对照快照!BG67),对照快照!BG67,"")</f>
        <v>1</v>
      </c>
      <c r="M51" s="12">
        <f t="shared" si="21"/>
        <v>0</v>
      </c>
      <c r="N51" s="17">
        <f t="shared" si="22"/>
        <v>-7.34524</v>
      </c>
      <c r="O51" s="17">
        <f t="shared" si="23"/>
        <v>-7.34524</v>
      </c>
      <c r="P51" s="17">
        <f t="shared" si="24"/>
        <v>0</v>
      </c>
      <c r="Q51" s="17">
        <f t="shared" si="25"/>
        <v>-0.00476000000000454</v>
      </c>
      <c r="R51" s="17">
        <f t="shared" si="26"/>
        <v>0</v>
      </c>
      <c r="S51" s="9" t="str">
        <f t="shared" si="27"/>
        <v>差异已分解，独立复算相符</v>
      </c>
      <c r="T51" s="18" t="s">
        <v>1517</v>
      </c>
      <c r="U51" s="9" t="s">
        <v>312</v>
      </c>
      <c r="V51" s="17">
        <f>IF(ISNUMBER('Sheet2-计算明细'!AR62),'Sheet2-计算明细'!AR62,"")</f>
        <v>79.13391</v>
      </c>
      <c r="W51" s="17">
        <f>IF(ISNUMBER(对照快照!BH67),对照快照!BH67,"")</f>
        <v>86.47915</v>
      </c>
      <c r="X51" s="9">
        <v>67</v>
      </c>
      <c r="Y51" s="13">
        <v>81.52</v>
      </c>
      <c r="Z51" s="13">
        <f t="shared" si="0"/>
        <v>-2.39</v>
      </c>
      <c r="AA51" s="13">
        <v>0</v>
      </c>
    </row>
    <row r="52" ht="62" customHeight="1" spans="1:27">
      <c r="A52" s="9" t="s">
        <v>318</v>
      </c>
      <c r="B52" s="9" t="s">
        <v>317</v>
      </c>
      <c r="C52" s="9" t="s">
        <v>1241</v>
      </c>
      <c r="D52" s="13">
        <f>IF(ISNUMBER('Sheet2-计算明细'!AV63),'Sheet2-计算明细'!AV63,"")</f>
        <v>74.72652</v>
      </c>
      <c r="E52" s="13">
        <f>IF(ISNUMBER(对照快照!BE191),对照快照!BE191,"")</f>
        <v>84.94677</v>
      </c>
      <c r="F52" s="13">
        <f t="shared" si="19"/>
        <v>-10.22025</v>
      </c>
      <c r="G52" s="13">
        <f>IF(ISNUMBER('Sheet2-计算明细'!AS63),'Sheet2-计算明细'!AS63,"")</f>
        <v>74.73</v>
      </c>
      <c r="H52" s="13">
        <f>IF(ISNUMBER(对照快照!BF191),对照快照!BF191,"")</f>
        <v>84.95</v>
      </c>
      <c r="I52" s="13">
        <f t="shared" si="20"/>
        <v>-10.22</v>
      </c>
      <c r="J52" s="9" t="str">
        <f>IF(COUNT(F52,I52)=0,"不可直接比较",IF(OR(IF(ISNUMBER(F52),ABS(F52)&gt;='Sheet1-指标体系'!$J$32,FALSE),IF(ISNUMBER(I52),ABS(I52)&gt;='Sheet1-指标体系'!$J$32,FALSE)),"重点排查","差异小于阈值"))</f>
        <v>重点排查</v>
      </c>
      <c r="K52" s="12">
        <f>IF(ISNUMBER('Sheet2-计算明细'!AQ63),'Sheet2-计算明细'!AQ63,"")</f>
        <v>1</v>
      </c>
      <c r="L52" s="12">
        <f>IF(ISNUMBER(对照快照!BG191),对照快照!BG191,"")</f>
        <v>1</v>
      </c>
      <c r="M52" s="12">
        <f t="shared" si="21"/>
        <v>0</v>
      </c>
      <c r="N52" s="17">
        <f t="shared" si="22"/>
        <v>-10.22025</v>
      </c>
      <c r="O52" s="17">
        <f t="shared" si="23"/>
        <v>-10.22025</v>
      </c>
      <c r="P52" s="17">
        <f t="shared" si="24"/>
        <v>0</v>
      </c>
      <c r="Q52" s="17">
        <f t="shared" si="25"/>
        <v>0.000249999999994088</v>
      </c>
      <c r="R52" s="17">
        <f t="shared" si="26"/>
        <v>0</v>
      </c>
      <c r="S52" s="9" t="str">
        <f t="shared" si="27"/>
        <v>差异已分解，独立复算相符</v>
      </c>
      <c r="T52" s="18" t="s">
        <v>1518</v>
      </c>
      <c r="U52" s="9" t="s">
        <v>317</v>
      </c>
      <c r="V52" s="17">
        <f>IF(ISNUMBER('Sheet2-计算明细'!AR63),'Sheet2-计算明细'!AR63,"")</f>
        <v>74.72652</v>
      </c>
      <c r="W52" s="17">
        <f>IF(ISNUMBER(对照快照!BH191),对照快照!BH191,"")</f>
        <v>84.94677</v>
      </c>
      <c r="X52" s="9">
        <v>191</v>
      </c>
      <c r="Y52" s="13">
        <v>76.24</v>
      </c>
      <c r="Z52" s="13">
        <f t="shared" si="0"/>
        <v>-1.50999999999999</v>
      </c>
      <c r="AA52" s="13">
        <v>0</v>
      </c>
    </row>
    <row r="53" ht="62" customHeight="1" spans="1:27">
      <c r="A53" s="9" t="s">
        <v>322</v>
      </c>
      <c r="B53" s="9" t="s">
        <v>321</v>
      </c>
      <c r="C53" s="9" t="s">
        <v>1241</v>
      </c>
      <c r="D53" s="13" t="str">
        <f>IF(ISNUMBER('Sheet2-计算明细'!AV64),'Sheet2-计算明细'!AV64,"")</f>
        <v/>
      </c>
      <c r="E53" s="13" t="str">
        <f>IF(ISNUMBER(对照快照!BE5),对照快照!BE5,"")</f>
        <v/>
      </c>
      <c r="F53" s="13" t="str">
        <f t="shared" si="19"/>
        <v/>
      </c>
      <c r="G53" s="13">
        <f>IF(ISNUMBER('Sheet2-计算明细'!AS64),'Sheet2-计算明细'!AS64,"")</f>
        <v>69.72</v>
      </c>
      <c r="H53" s="13">
        <f>IF(ISNUMBER(对照快照!BF5),对照快照!BF5,"")</f>
        <v>81.05</v>
      </c>
      <c r="I53" s="13">
        <f t="shared" si="20"/>
        <v>-11.33</v>
      </c>
      <c r="J53" s="9" t="str">
        <f>IF(COUNT(F53,I53)=0,"不可直接比较",IF(OR(IF(ISNUMBER(F53),ABS(F53)&gt;='Sheet1-指标体系'!$J$32,FALSE),IF(ISNUMBER(I53),ABS(I53)&gt;='Sheet1-指标体系'!$J$32,FALSE)),"重点排查","差异小于阈值"))</f>
        <v>重点排查</v>
      </c>
      <c r="K53" s="12">
        <f>IF(ISNUMBER('Sheet2-计算明细'!AQ64),'Sheet2-计算明细'!AQ64,"")</f>
        <v>0.88</v>
      </c>
      <c r="L53" s="12">
        <f>IF(ISNUMBER(对照快照!BG5),对照快照!BG5,"")</f>
        <v>0.88</v>
      </c>
      <c r="M53" s="12">
        <f t="shared" si="21"/>
        <v>0</v>
      </c>
      <c r="N53" s="17">
        <f t="shared" si="22"/>
        <v>-9.97078</v>
      </c>
      <c r="O53" s="17">
        <f t="shared" si="23"/>
        <v>-11.3304318181818</v>
      </c>
      <c r="P53" s="17">
        <f t="shared" si="24"/>
        <v>0</v>
      </c>
      <c r="Q53" s="17">
        <f t="shared" si="25"/>
        <v>0.000431818181818144</v>
      </c>
      <c r="R53" s="17">
        <f t="shared" si="26"/>
        <v>0</v>
      </c>
      <c r="S53" s="9" t="str">
        <f t="shared" si="27"/>
        <v>差异已分解，独立复算相符</v>
      </c>
      <c r="T53" s="18" t="s">
        <v>1499</v>
      </c>
      <c r="U53" s="9" t="s">
        <v>321</v>
      </c>
      <c r="V53" s="17">
        <f>IF(ISNUMBER('Sheet2-计算明细'!AR64),'Sheet2-计算明细'!AR64,"")</f>
        <v>61.35164</v>
      </c>
      <c r="W53" s="17">
        <f>IF(ISNUMBER(对照快照!BH5),对照快照!BH5,"")</f>
        <v>71.32242</v>
      </c>
      <c r="X53" s="9">
        <v>5</v>
      </c>
      <c r="Y53" s="13">
        <v>72.35</v>
      </c>
      <c r="Z53" s="13">
        <f t="shared" si="0"/>
        <v>-2.63</v>
      </c>
      <c r="AA53" s="13">
        <v>0</v>
      </c>
    </row>
    <row r="54" ht="62" customHeight="1" spans="1:27">
      <c r="A54" s="9" t="s">
        <v>327</v>
      </c>
      <c r="B54" s="9" t="s">
        <v>326</v>
      </c>
      <c r="C54" s="9" t="s">
        <v>1241</v>
      </c>
      <c r="D54" s="13">
        <f>IF(ISNUMBER('Sheet2-计算明细'!AV65),'Sheet2-计算明细'!AV65,"")</f>
        <v>86.5001707692308</v>
      </c>
      <c r="E54" s="13">
        <f>IF(ISNUMBER(对照快照!BE136),对照快照!BE136,"")</f>
        <v>91.48597</v>
      </c>
      <c r="F54" s="13">
        <f t="shared" si="19"/>
        <v>-4.98579923076923</v>
      </c>
      <c r="G54" s="13">
        <f>IF(ISNUMBER('Sheet2-计算明细'!AS65),'Sheet2-计算明细'!AS65,"")</f>
        <v>86.5</v>
      </c>
      <c r="H54" s="13">
        <f>IF(ISNUMBER(对照快照!BF136),对照快照!BF136,"")</f>
        <v>91.49</v>
      </c>
      <c r="I54" s="13">
        <f t="shared" si="20"/>
        <v>-4.98999999999999</v>
      </c>
      <c r="J54" s="9" t="str">
        <f>IF(COUNT(F54,I54)=0,"不可直接比较",IF(OR(IF(ISNUMBER(F54),ABS(F54)&gt;='Sheet1-指标体系'!$J$32,FALSE),IF(ISNUMBER(I54),ABS(I54)&gt;='Sheet1-指标体系'!$J$32,FALSE)),"重点排查","差异小于阈值"))</f>
        <v>差异小于阈值</v>
      </c>
      <c r="K54" s="12">
        <f>IF(ISNUMBER('Sheet2-计算明细'!AQ65),'Sheet2-计算明细'!AQ65,"")</f>
        <v>1</v>
      </c>
      <c r="L54" s="12">
        <f>IF(ISNUMBER(对照快照!BG136),对照快照!BG136,"")</f>
        <v>1</v>
      </c>
      <c r="M54" s="12">
        <f t="shared" si="21"/>
        <v>0</v>
      </c>
      <c r="N54" s="17">
        <f t="shared" si="22"/>
        <v>-4.98579923076923</v>
      </c>
      <c r="O54" s="17">
        <f t="shared" si="23"/>
        <v>-4.98579923076923</v>
      </c>
      <c r="P54" s="17">
        <f t="shared" si="24"/>
        <v>0</v>
      </c>
      <c r="Q54" s="17">
        <f t="shared" si="25"/>
        <v>-0.00420076923076351</v>
      </c>
      <c r="R54" s="17">
        <f t="shared" si="26"/>
        <v>0</v>
      </c>
      <c r="S54" s="9" t="str">
        <f t="shared" si="27"/>
        <v>差异已分解，独立复算相符</v>
      </c>
      <c r="T54" s="18" t="s">
        <v>1519</v>
      </c>
      <c r="U54" s="9" t="s">
        <v>326</v>
      </c>
      <c r="V54" s="17">
        <f>IF(ISNUMBER('Sheet2-计算明细'!AR65),'Sheet2-计算明细'!AR65,"")</f>
        <v>86.5001707692308</v>
      </c>
      <c r="W54" s="17">
        <f>IF(ISNUMBER(对照快照!BH136),对照快照!BH136,"")</f>
        <v>91.48597</v>
      </c>
      <c r="X54" s="9">
        <v>136</v>
      </c>
      <c r="Y54" s="13">
        <v>84</v>
      </c>
      <c r="Z54" s="13">
        <f t="shared" si="0"/>
        <v>2.5</v>
      </c>
      <c r="AA54" s="13">
        <v>0</v>
      </c>
    </row>
    <row r="55" ht="62" customHeight="1" spans="1:27">
      <c r="A55" s="9" t="s">
        <v>336</v>
      </c>
      <c r="B55" s="9" t="s">
        <v>333</v>
      </c>
      <c r="C55" s="9" t="s">
        <v>1489</v>
      </c>
      <c r="D55" s="13">
        <f>IF(ISNUMBER('Sheet2-计算明细'!AV66),'Sheet2-计算明细'!AV66,"")</f>
        <v>56.77228</v>
      </c>
      <c r="E55" s="13"/>
      <c r="F55" s="13"/>
      <c r="G55" s="13">
        <f>IF(ISNUMBER('Sheet2-计算明细'!AS66),'Sheet2-计算明细'!AS66,"")</f>
        <v>56.77</v>
      </c>
      <c r="H55" s="13"/>
      <c r="I55" s="13"/>
      <c r="J55" s="9" t="s">
        <v>1490</v>
      </c>
      <c r="K55" s="12">
        <f>IF(ISNUMBER('Sheet2-计算明细'!AQ66),'Sheet2-计算明细'!AQ66,"")</f>
        <v>1</v>
      </c>
      <c r="L55" s="12"/>
      <c r="M55" s="12"/>
      <c r="N55" s="17"/>
      <c r="O55" s="17"/>
      <c r="P55" s="17"/>
      <c r="Q55" s="17"/>
      <c r="R55" s="17"/>
      <c r="S55" s="9" t="s">
        <v>1491</v>
      </c>
      <c r="T55" s="18" t="s">
        <v>1492</v>
      </c>
      <c r="U55" s="9"/>
      <c r="V55" s="17">
        <f>IF(ISNUMBER('Sheet2-计算明细'!AR66),'Sheet2-计算明细'!AR66,"")</f>
        <v>56.77228</v>
      </c>
      <c r="W55" s="17"/>
      <c r="X55" s="9"/>
      <c r="Y55" s="13">
        <v>58.54</v>
      </c>
      <c r="Z55" s="13">
        <f t="shared" si="0"/>
        <v>-1.77</v>
      </c>
      <c r="AA55" s="13"/>
    </row>
    <row r="56" ht="62" customHeight="1" spans="1:27">
      <c r="A56" s="9" t="s">
        <v>343</v>
      </c>
      <c r="B56" s="9" t="s">
        <v>342</v>
      </c>
      <c r="C56" s="9" t="s">
        <v>1489</v>
      </c>
      <c r="D56" s="13" t="str">
        <f>IF(ISNUMBER('Sheet2-计算明细'!AV67),'Sheet2-计算明细'!AV67,"")</f>
        <v/>
      </c>
      <c r="E56" s="13"/>
      <c r="F56" s="13"/>
      <c r="G56" s="13">
        <f>IF(ISNUMBER('Sheet2-计算明细'!AS67),'Sheet2-计算明细'!AS67,"")</f>
        <v>94.29</v>
      </c>
      <c r="H56" s="13"/>
      <c r="I56" s="13"/>
      <c r="J56" s="9" t="s">
        <v>1490</v>
      </c>
      <c r="K56" s="12">
        <f>IF(ISNUMBER('Sheet2-计算明细'!AQ67),'Sheet2-计算明细'!AQ67,"")</f>
        <v>0.105</v>
      </c>
      <c r="L56" s="12"/>
      <c r="M56" s="12"/>
      <c r="N56" s="17"/>
      <c r="O56" s="17"/>
      <c r="P56" s="17"/>
      <c r="Q56" s="17"/>
      <c r="R56" s="17"/>
      <c r="S56" s="9" t="s">
        <v>1491</v>
      </c>
      <c r="T56" s="18" t="s">
        <v>1492</v>
      </c>
      <c r="U56" s="9"/>
      <c r="V56" s="17">
        <f>IF(ISNUMBER('Sheet2-计算明细'!AR67),'Sheet2-计算明细'!AR67,"")</f>
        <v>9.9</v>
      </c>
      <c r="W56" s="17"/>
      <c r="X56" s="9"/>
      <c r="Y56" s="13">
        <v>94.29</v>
      </c>
      <c r="Z56" s="13">
        <f t="shared" si="0"/>
        <v>0</v>
      </c>
      <c r="AA56" s="13"/>
    </row>
    <row r="57" ht="62" customHeight="1" spans="1:27">
      <c r="A57" s="9" t="s">
        <v>348</v>
      </c>
      <c r="B57" s="9" t="s">
        <v>347</v>
      </c>
      <c r="C57" s="9" t="s">
        <v>1489</v>
      </c>
      <c r="D57" s="13" t="str">
        <f>IF(ISNUMBER('Sheet2-计算明细'!AV68),'Sheet2-计算明细'!AV68,"")</f>
        <v/>
      </c>
      <c r="E57" s="13"/>
      <c r="F57" s="13"/>
      <c r="G57" s="13">
        <f>IF(ISNUMBER('Sheet2-计算明细'!AS68),'Sheet2-计算明细'!AS68,"")</f>
        <v>72.35</v>
      </c>
      <c r="H57" s="13"/>
      <c r="I57" s="13"/>
      <c r="J57" s="9" t="s">
        <v>1490</v>
      </c>
      <c r="K57" s="12">
        <f>IF(ISNUMBER('Sheet2-计算明细'!AQ68),'Sheet2-计算明细'!AQ68,"")</f>
        <v>0.856</v>
      </c>
      <c r="L57" s="12"/>
      <c r="M57" s="12"/>
      <c r="N57" s="17"/>
      <c r="O57" s="17"/>
      <c r="P57" s="17"/>
      <c r="Q57" s="17"/>
      <c r="R57" s="17"/>
      <c r="S57" s="9" t="s">
        <v>1491</v>
      </c>
      <c r="T57" s="18" t="s">
        <v>1492</v>
      </c>
      <c r="U57" s="9"/>
      <c r="V57" s="17">
        <f>IF(ISNUMBER('Sheet2-计算明细'!AR68),'Sheet2-计算明细'!AR68,"")</f>
        <v>61.9300046153846</v>
      </c>
      <c r="W57" s="17"/>
      <c r="X57" s="9"/>
      <c r="Y57" s="13">
        <v>79</v>
      </c>
      <c r="Z57" s="13">
        <f t="shared" si="0"/>
        <v>-6.65000000000001</v>
      </c>
      <c r="AA57" s="13"/>
    </row>
    <row r="58" ht="62" customHeight="1" spans="1:27">
      <c r="A58" s="9" t="s">
        <v>354</v>
      </c>
      <c r="B58" s="9" t="s">
        <v>353</v>
      </c>
      <c r="C58" s="9" t="s">
        <v>1241</v>
      </c>
      <c r="D58" s="13" t="str">
        <f>IF(ISNUMBER('Sheet2-计算明细'!AV69),'Sheet2-计算明细'!AV69,"")</f>
        <v/>
      </c>
      <c r="E58" s="13">
        <f>IF(ISNUMBER(对照快照!BE146),对照快照!BE146,"")</f>
        <v>66.33427</v>
      </c>
      <c r="F58" s="13" t="str">
        <f>IF(COUNT(D58:E58)=2,D58-E58,"")</f>
        <v/>
      </c>
      <c r="G58" s="13">
        <f>IF(ISNUMBER('Sheet2-计算明细'!AS69),'Sheet2-计算明细'!AS69,"")</f>
        <v>47.83</v>
      </c>
      <c r="H58" s="13">
        <f>IF(ISNUMBER(对照快照!BF146),对照快照!BF146,"")</f>
        <v>66.33</v>
      </c>
      <c r="I58" s="13">
        <f>IF(COUNT(G58:H58)=2,G58-H58,"")</f>
        <v>-18.5</v>
      </c>
      <c r="J58" s="9" t="str">
        <f>IF(COUNT(F58,I58)=0,"不可直接比较",IF(OR(IF(ISNUMBER(F58),ABS(F58)&gt;='Sheet1-指标体系'!$J$32,FALSE),IF(ISNUMBER(I58),ABS(I58)&gt;='Sheet1-指标体系'!$J$32,FALSE)),"重点排查","差异小于阈值"))</f>
        <v>重点排查</v>
      </c>
      <c r="K58" s="12">
        <f>IF(ISNUMBER('Sheet2-计算明细'!AQ69),'Sheet2-计算明细'!AQ69,"")</f>
        <v>0.955</v>
      </c>
      <c r="L58" s="12">
        <f>IF(ISNUMBER(对照快照!BG146),对照快照!BG146,"")</f>
        <v>1</v>
      </c>
      <c r="M58" s="12">
        <f>K58-L58</f>
        <v>-0.0450000000000002</v>
      </c>
      <c r="N58" s="17">
        <f>IF(COUNT(V58:W58)=2,V58-W58,"")</f>
        <v>-20.66016</v>
      </c>
      <c r="O58" s="17">
        <f>IF(AND(COUNT(N58,K58)=2,K58&gt;0),N58/K58,"")</f>
        <v>-21.6336753926702</v>
      </c>
      <c r="P58" s="17">
        <f>IF(AND(COUNT(K58:L58,W58)=3,K58&gt;0,L58&gt;0),W58*(1/K58-1/L58),"")</f>
        <v>3.12569858638745</v>
      </c>
      <c r="Q58" s="17">
        <f>IF(COUNT(I58,O58:P58)=3,I58-O58-P58,"")</f>
        <v>0.00797680628271769</v>
      </c>
      <c r="R58" s="17">
        <f>IF(COUNT(I58,O58:Q58)=4,I58-SUM(O58:Q58),"")</f>
        <v>0</v>
      </c>
      <c r="S58" s="9" t="str">
        <f>IF(NOT(ISNUMBER(I58)),"一侧缺总分，保留缺失原因",IF(AND(ABS(R58)&lt;0.00000001,ABS(AA58)&lt;0.05),"差异已分解，独立复算相符","存在未解释差异"))</f>
        <v>差异已分解，独立复算相符</v>
      </c>
      <c r="T58" s="18" t="s">
        <v>1520</v>
      </c>
      <c r="U58" s="9" t="s">
        <v>353</v>
      </c>
      <c r="V58" s="17">
        <f>IF(ISNUMBER('Sheet2-计算明细'!AR69),'Sheet2-计算明细'!AR69,"")</f>
        <v>45.67411</v>
      </c>
      <c r="W58" s="17">
        <f>IF(ISNUMBER(对照快照!BH146),对照快照!BH146,"")</f>
        <v>66.33427</v>
      </c>
      <c r="X58" s="9">
        <v>146</v>
      </c>
      <c r="Y58" s="13">
        <v>49.76</v>
      </c>
      <c r="Z58" s="13">
        <f t="shared" si="0"/>
        <v>-1.93</v>
      </c>
      <c r="AA58" s="13">
        <v>0</v>
      </c>
    </row>
    <row r="59" ht="62" customHeight="1" spans="1:27">
      <c r="A59" s="9" t="s">
        <v>360</v>
      </c>
      <c r="B59" s="9" t="s">
        <v>359</v>
      </c>
      <c r="C59" s="9" t="s">
        <v>1489</v>
      </c>
      <c r="D59" s="13">
        <f>IF(ISNUMBER('Sheet2-计算明细'!AV70),'Sheet2-计算明细'!AV70,"")</f>
        <v>38.90314</v>
      </c>
      <c r="E59" s="13"/>
      <c r="F59" s="13"/>
      <c r="G59" s="13">
        <f>IF(ISNUMBER('Sheet2-计算明细'!AS70),'Sheet2-计算明细'!AS70,"")</f>
        <v>38.9</v>
      </c>
      <c r="H59" s="13"/>
      <c r="I59" s="13"/>
      <c r="J59" s="9" t="s">
        <v>1490</v>
      </c>
      <c r="K59" s="12">
        <f>IF(ISNUMBER('Sheet2-计算明细'!AQ70),'Sheet2-计算明细'!AQ70,"")</f>
        <v>1</v>
      </c>
      <c r="L59" s="12"/>
      <c r="M59" s="12"/>
      <c r="N59" s="17"/>
      <c r="O59" s="17"/>
      <c r="P59" s="17"/>
      <c r="Q59" s="17"/>
      <c r="R59" s="17"/>
      <c r="S59" s="9" t="s">
        <v>1491</v>
      </c>
      <c r="T59" s="18" t="s">
        <v>1492</v>
      </c>
      <c r="U59" s="9"/>
      <c r="V59" s="17">
        <f>IF(ISNUMBER('Sheet2-计算明细'!AR70),'Sheet2-计算明细'!AR70,"")</f>
        <v>38.90314</v>
      </c>
      <c r="W59" s="17"/>
      <c r="X59" s="9"/>
      <c r="Y59" s="13">
        <v>39.16</v>
      </c>
      <c r="Z59" s="13">
        <f t="shared" si="0"/>
        <v>-0.259999999999998</v>
      </c>
      <c r="AA59" s="13"/>
    </row>
    <row r="60" ht="62" customHeight="1" spans="1:27">
      <c r="A60" s="9" t="s">
        <v>366</v>
      </c>
      <c r="B60" s="9" t="s">
        <v>365</v>
      </c>
      <c r="C60" s="9" t="s">
        <v>1489</v>
      </c>
      <c r="D60" s="13" t="str">
        <f>IF(ISNUMBER('Sheet2-计算明细'!AV71),'Sheet2-计算明细'!AV71,"")</f>
        <v/>
      </c>
      <c r="E60" s="13"/>
      <c r="F60" s="13"/>
      <c r="G60" s="13">
        <f>IF(ISNUMBER('Sheet2-计算明细'!AS71),'Sheet2-计算明细'!AS71,"")</f>
        <v>52.03</v>
      </c>
      <c r="H60" s="13"/>
      <c r="I60" s="13"/>
      <c r="J60" s="9" t="s">
        <v>1490</v>
      </c>
      <c r="K60" s="12">
        <f>IF(ISNUMBER('Sheet2-计算明细'!AQ71),'Sheet2-计算明细'!AQ71,"")</f>
        <v>0.88</v>
      </c>
      <c r="L60" s="12"/>
      <c r="M60" s="12"/>
      <c r="N60" s="17"/>
      <c r="O60" s="17"/>
      <c r="P60" s="17"/>
      <c r="Q60" s="17"/>
      <c r="R60" s="17"/>
      <c r="S60" s="9" t="s">
        <v>1491</v>
      </c>
      <c r="T60" s="18" t="s">
        <v>1492</v>
      </c>
      <c r="U60" s="9"/>
      <c r="V60" s="17">
        <f>IF(ISNUMBER('Sheet2-计算明细'!AR71),'Sheet2-计算明细'!AR71,"")</f>
        <v>45.78803</v>
      </c>
      <c r="W60" s="17"/>
      <c r="X60" s="9"/>
      <c r="Y60" s="13">
        <v>52.49</v>
      </c>
      <c r="Z60" s="13">
        <f t="shared" si="0"/>
        <v>-0.460000000000001</v>
      </c>
      <c r="AA60" s="13"/>
    </row>
    <row r="61" ht="62" customHeight="1" spans="1:27">
      <c r="A61" s="9" t="s">
        <v>371</v>
      </c>
      <c r="B61" s="9" t="s">
        <v>370</v>
      </c>
      <c r="C61" s="9" t="s">
        <v>1489</v>
      </c>
      <c r="D61" s="13" t="str">
        <f>IF(ISNUMBER('Sheet2-计算明细'!AV72),'Sheet2-计算明细'!AV72,"")</f>
        <v/>
      </c>
      <c r="E61" s="13"/>
      <c r="F61" s="13"/>
      <c r="G61" s="13">
        <f>IF(ISNUMBER('Sheet2-计算明细'!AS72),'Sheet2-计算明细'!AS72,"")</f>
        <v>52.57</v>
      </c>
      <c r="H61" s="13"/>
      <c r="I61" s="13"/>
      <c r="J61" s="9" t="s">
        <v>1490</v>
      </c>
      <c r="K61" s="12">
        <f>IF(ISNUMBER('Sheet2-计算明细'!AQ72),'Sheet2-计算明细'!AQ72,"")</f>
        <v>0.88</v>
      </c>
      <c r="L61" s="12"/>
      <c r="M61" s="12"/>
      <c r="N61" s="17"/>
      <c r="O61" s="17"/>
      <c r="P61" s="17"/>
      <c r="Q61" s="17"/>
      <c r="R61" s="17"/>
      <c r="S61" s="9" t="s">
        <v>1491</v>
      </c>
      <c r="T61" s="18" t="s">
        <v>1492</v>
      </c>
      <c r="U61" s="9"/>
      <c r="V61" s="17">
        <f>IF(ISNUMBER('Sheet2-计算明细'!AR72),'Sheet2-计算明细'!AR72,"")</f>
        <v>46.2638276923077</v>
      </c>
      <c r="W61" s="17"/>
      <c r="X61" s="9"/>
      <c r="Y61" s="13">
        <v>92</v>
      </c>
      <c r="Z61" s="13">
        <f t="shared" si="0"/>
        <v>-39.43</v>
      </c>
      <c r="AA61" s="13"/>
    </row>
    <row r="62" ht="62" customHeight="1" spans="1:27">
      <c r="A62" s="9" t="s">
        <v>376</v>
      </c>
      <c r="B62" s="9" t="s">
        <v>375</v>
      </c>
      <c r="C62" s="9" t="s">
        <v>1241</v>
      </c>
      <c r="D62" s="13">
        <f>IF(ISNUMBER('Sheet2-计算明细'!AV73),'Sheet2-计算明细'!AV73,"")</f>
        <v>40.75586</v>
      </c>
      <c r="E62" s="13">
        <f>IF(ISNUMBER(对照快照!BE178),对照快照!BE178,"")</f>
        <v>54.4022</v>
      </c>
      <c r="F62" s="13">
        <f t="shared" ref="F62:F71" si="28">IF(COUNT(D62:E62)=2,D62-E62,"")</f>
        <v>-13.64634</v>
      </c>
      <c r="G62" s="13">
        <f>IF(ISNUMBER('Sheet2-计算明细'!AS73),'Sheet2-计算明细'!AS73,"")</f>
        <v>40.76</v>
      </c>
      <c r="H62" s="13">
        <f>IF(ISNUMBER(对照快照!BF178),对照快照!BF178,"")</f>
        <v>54.4</v>
      </c>
      <c r="I62" s="13">
        <f t="shared" ref="I62:I71" si="29">IF(COUNT(G62:H62)=2,G62-H62,"")</f>
        <v>-13.64</v>
      </c>
      <c r="J62" s="9" t="str">
        <f>IF(COUNT(F62,I62)=0,"不可直接比较",IF(OR(IF(ISNUMBER(F62),ABS(F62)&gt;='Sheet1-指标体系'!$J$32,FALSE),IF(ISNUMBER(I62),ABS(I62)&gt;='Sheet1-指标体系'!$J$32,FALSE)),"重点排查","差异小于阈值"))</f>
        <v>重点排查</v>
      </c>
      <c r="K62" s="12">
        <f>IF(ISNUMBER('Sheet2-计算明细'!AQ73),'Sheet2-计算明细'!AQ73,"")</f>
        <v>1</v>
      </c>
      <c r="L62" s="12">
        <f>IF(ISNUMBER(对照快照!BG178),对照快照!BG178,"")</f>
        <v>1</v>
      </c>
      <c r="M62" s="12">
        <f t="shared" ref="M62:M71" si="30">K62-L62</f>
        <v>0</v>
      </c>
      <c r="N62" s="17">
        <f t="shared" ref="N62:N71" si="31">IF(COUNT(V62:W62)=2,V62-W62,"")</f>
        <v>-13.64634</v>
      </c>
      <c r="O62" s="17">
        <f t="shared" ref="O62:O71" si="32">IF(AND(COUNT(N62,K62)=2,K62&gt;0),N62/K62,"")</f>
        <v>-13.64634</v>
      </c>
      <c r="P62" s="17">
        <f t="shared" ref="P62:P71" si="33">IF(AND(COUNT(K62:L62,W62)=3,K62&gt;0,L62&gt;0),W62*(1/K62-1/L62),"")</f>
        <v>0</v>
      </c>
      <c r="Q62" s="17">
        <f t="shared" ref="Q62:Q71" si="34">IF(COUNT(I62,O62:P62)=3,I62-O62-P62,"")</f>
        <v>0.00634000000000157</v>
      </c>
      <c r="R62" s="17">
        <f t="shared" ref="R62:R71" si="35">IF(COUNT(I62,O62:Q62)=4,I62-SUM(O62:Q62),"")</f>
        <v>0</v>
      </c>
      <c r="S62" s="9" t="str">
        <f t="shared" ref="S62:S71" si="36">IF(NOT(ISNUMBER(I62)),"一侧缺总分，保留缺失原因",IF(AND(ABS(R62)&lt;0.00000001,ABS(AA62)&lt;0.05),"差异已分解，独立复算相符","存在未解释差异"))</f>
        <v>差异已分解，独立复算相符</v>
      </c>
      <c r="T62" s="18" t="s">
        <v>1498</v>
      </c>
      <c r="U62" s="9" t="s">
        <v>375</v>
      </c>
      <c r="V62" s="17">
        <f>IF(ISNUMBER('Sheet2-计算明细'!AR73),'Sheet2-计算明细'!AR73,"")</f>
        <v>40.75586</v>
      </c>
      <c r="W62" s="17">
        <f>IF(ISNUMBER(对照快照!BH178),对照快照!BH178,"")</f>
        <v>54.4022</v>
      </c>
      <c r="X62" s="9">
        <v>178</v>
      </c>
      <c r="Y62" s="13">
        <v>40.37</v>
      </c>
      <c r="Z62" s="13">
        <f t="shared" si="0"/>
        <v>0.390000000000001</v>
      </c>
      <c r="AA62" s="13">
        <v>0</v>
      </c>
    </row>
    <row r="63" ht="62" customHeight="1" spans="1:27">
      <c r="A63" s="9" t="s">
        <v>383</v>
      </c>
      <c r="B63" s="9" t="s">
        <v>381</v>
      </c>
      <c r="C63" s="9" t="s">
        <v>1241</v>
      </c>
      <c r="D63" s="13" t="str">
        <f>IF(ISNUMBER('Sheet2-计算明细'!AV74),'Sheet2-计算明细'!AV74,"")</f>
        <v/>
      </c>
      <c r="E63" s="13" t="str">
        <f>IF(ISNUMBER(对照快照!BE253),对照快照!BE253,"")</f>
        <v/>
      </c>
      <c r="F63" s="13" t="str">
        <f t="shared" si="28"/>
        <v/>
      </c>
      <c r="G63" s="13">
        <f>IF(ISNUMBER('Sheet2-计算明细'!AS74),'Sheet2-计算明细'!AS74,"")</f>
        <v>64.6</v>
      </c>
      <c r="H63" s="13">
        <f>IF(ISNUMBER(对照快照!BF253),对照快照!BF253,"")</f>
        <v>81.5</v>
      </c>
      <c r="I63" s="13">
        <f t="shared" si="29"/>
        <v>-16.9</v>
      </c>
      <c r="J63" s="9" t="str">
        <f>IF(COUNT(F63,I63)=0,"不可直接比较",IF(OR(IF(ISNUMBER(F63),ABS(F63)&gt;='Sheet1-指标体系'!$J$32,FALSE),IF(ISNUMBER(I63),ABS(I63)&gt;='Sheet1-指标体系'!$J$32,FALSE)),"重点排查","差异小于阈值"))</f>
        <v>重点排查</v>
      </c>
      <c r="K63" s="12">
        <f>IF(ISNUMBER('Sheet2-计算明细'!AQ74),'Sheet2-计算明细'!AQ74,"")</f>
        <v>0.655</v>
      </c>
      <c r="L63" s="12">
        <f>IF(ISNUMBER(对照快照!BG253),对照快照!BG253,"")</f>
        <v>0.7</v>
      </c>
      <c r="M63" s="12">
        <f t="shared" si="30"/>
        <v>-0.0449999999999999</v>
      </c>
      <c r="N63" s="17">
        <f t="shared" si="31"/>
        <v>-14.73624</v>
      </c>
      <c r="O63" s="17">
        <f t="shared" si="32"/>
        <v>-22.4980763358779</v>
      </c>
      <c r="P63" s="17">
        <f t="shared" si="33"/>
        <v>5.59908745910577</v>
      </c>
      <c r="Q63" s="17">
        <f t="shared" si="34"/>
        <v>-0.00101112322791153</v>
      </c>
      <c r="R63" s="17">
        <f t="shared" si="35"/>
        <v>0</v>
      </c>
      <c r="S63" s="9" t="str">
        <f t="shared" si="36"/>
        <v>差异已分解，独立复算相符</v>
      </c>
      <c r="T63" s="18" t="s">
        <v>1521</v>
      </c>
      <c r="U63" s="9" t="s">
        <v>381</v>
      </c>
      <c r="V63" s="17">
        <f>IF(ISNUMBER('Sheet2-计算明细'!AR74),'Sheet2-计算明细'!AR74,"")</f>
        <v>42.31224</v>
      </c>
      <c r="W63" s="17">
        <f>IF(ISNUMBER(对照快照!BH253),对照快照!BH253,"")</f>
        <v>57.04848</v>
      </c>
      <c r="X63" s="9">
        <v>253</v>
      </c>
      <c r="Y63" s="13">
        <v>69.27</v>
      </c>
      <c r="Z63" s="13">
        <f t="shared" si="0"/>
        <v>-4.67</v>
      </c>
      <c r="AA63" s="13">
        <v>0</v>
      </c>
    </row>
    <row r="64" ht="62" customHeight="1" spans="1:27">
      <c r="A64" s="9" t="s">
        <v>388</v>
      </c>
      <c r="B64" s="9" t="s">
        <v>387</v>
      </c>
      <c r="C64" s="9" t="s">
        <v>1241</v>
      </c>
      <c r="D64" s="13" t="str">
        <f>IF(ISNUMBER('Sheet2-计算明细'!AV75),'Sheet2-计算明细'!AV75,"")</f>
        <v/>
      </c>
      <c r="E64" s="13">
        <f>IF(ISNUMBER(对照快照!BE156),对照快照!BE156,"")</f>
        <v>87.61369</v>
      </c>
      <c r="F64" s="13" t="str">
        <f t="shared" si="28"/>
        <v/>
      </c>
      <c r="G64" s="13">
        <f>IF(ISNUMBER('Sheet2-计算明细'!AS75),'Sheet2-计算明细'!AS75,"")</f>
        <v>79.7</v>
      </c>
      <c r="H64" s="13">
        <f>IF(ISNUMBER(对照快照!BF156),对照快照!BF156,"")</f>
        <v>87.61</v>
      </c>
      <c r="I64" s="13">
        <f t="shared" si="29"/>
        <v>-7.91</v>
      </c>
      <c r="J64" s="9" t="str">
        <f>IF(COUNT(F64,I64)=0,"不可直接比较",IF(OR(IF(ISNUMBER(F64),ABS(F64)&gt;='Sheet1-指标体系'!$J$32,FALSE),IF(ISNUMBER(I64),ABS(I64)&gt;='Sheet1-指标体系'!$J$32,FALSE)),"重点排查","差异小于阈值"))</f>
        <v>重点排查</v>
      </c>
      <c r="K64" s="12">
        <f>IF(ISNUMBER('Sheet2-计算明细'!AQ75),'Sheet2-计算明细'!AQ75,"")</f>
        <v>0.94</v>
      </c>
      <c r="L64" s="12">
        <f>IF(ISNUMBER(对照快照!BG156),对照快照!BG156,"")</f>
        <v>1</v>
      </c>
      <c r="M64" s="12">
        <f t="shared" si="30"/>
        <v>-0.0600000000000001</v>
      </c>
      <c r="N64" s="17">
        <f t="shared" si="31"/>
        <v>-12.69835</v>
      </c>
      <c r="O64" s="17">
        <f t="shared" si="32"/>
        <v>-13.5088829787234</v>
      </c>
      <c r="P64" s="17">
        <f t="shared" si="33"/>
        <v>5.59236319148936</v>
      </c>
      <c r="Q64" s="17">
        <f t="shared" si="34"/>
        <v>0.00651978723406899</v>
      </c>
      <c r="R64" s="17">
        <f t="shared" si="35"/>
        <v>0</v>
      </c>
      <c r="S64" s="9" t="str">
        <f t="shared" si="36"/>
        <v>差异已分解，独立复算相符</v>
      </c>
      <c r="T64" s="18" t="s">
        <v>1522</v>
      </c>
      <c r="U64" s="9" t="s">
        <v>387</v>
      </c>
      <c r="V64" s="17">
        <f>IF(ISNUMBER('Sheet2-计算明细'!AR75),'Sheet2-计算明细'!AR75,"")</f>
        <v>74.91534</v>
      </c>
      <c r="W64" s="17">
        <f>IF(ISNUMBER(对照快照!BH156),对照快照!BH156,"")</f>
        <v>87.61369</v>
      </c>
      <c r="X64" s="9">
        <v>156</v>
      </c>
      <c r="Y64" s="13">
        <v>84</v>
      </c>
      <c r="Z64" s="13">
        <f t="shared" si="0"/>
        <v>-4.3</v>
      </c>
      <c r="AA64" s="13">
        <v>0</v>
      </c>
    </row>
    <row r="65" ht="62" customHeight="1" spans="1:27">
      <c r="A65" s="9" t="s">
        <v>392</v>
      </c>
      <c r="B65" s="9" t="s">
        <v>391</v>
      </c>
      <c r="C65" s="9" t="s">
        <v>1241</v>
      </c>
      <c r="D65" s="13">
        <f>IF(ISNUMBER('Sheet2-计算明细'!AV76),'Sheet2-计算明细'!AV76,"")</f>
        <v>50.8739</v>
      </c>
      <c r="E65" s="13">
        <f>IF(ISNUMBER(对照快照!BE137),对照快照!BE137,"")</f>
        <v>67.91982</v>
      </c>
      <c r="F65" s="13">
        <f t="shared" si="28"/>
        <v>-17.04592</v>
      </c>
      <c r="G65" s="13">
        <f>IF(ISNUMBER('Sheet2-计算明细'!AS76),'Sheet2-计算明细'!AS76,"")</f>
        <v>50.87</v>
      </c>
      <c r="H65" s="13">
        <f>IF(ISNUMBER(对照快照!BF137),对照快照!BF137,"")</f>
        <v>67.92</v>
      </c>
      <c r="I65" s="13">
        <f t="shared" si="29"/>
        <v>-17.05</v>
      </c>
      <c r="J65" s="9" t="str">
        <f>IF(COUNT(F65,I65)=0,"不可直接比较",IF(OR(IF(ISNUMBER(F65),ABS(F65)&gt;='Sheet1-指标体系'!$J$32,FALSE),IF(ISNUMBER(I65),ABS(I65)&gt;='Sheet1-指标体系'!$J$32,FALSE)),"重点排查","差异小于阈值"))</f>
        <v>重点排查</v>
      </c>
      <c r="K65" s="12">
        <f>IF(ISNUMBER('Sheet2-计算明细'!AQ76),'Sheet2-计算明细'!AQ76,"")</f>
        <v>1</v>
      </c>
      <c r="L65" s="12">
        <f>IF(ISNUMBER(对照快照!BG137),对照快照!BG137,"")</f>
        <v>1</v>
      </c>
      <c r="M65" s="12">
        <f t="shared" si="30"/>
        <v>0</v>
      </c>
      <c r="N65" s="17">
        <f t="shared" si="31"/>
        <v>-17.04592</v>
      </c>
      <c r="O65" s="17">
        <f t="shared" si="32"/>
        <v>-17.04592</v>
      </c>
      <c r="P65" s="17">
        <f t="shared" si="33"/>
        <v>0</v>
      </c>
      <c r="Q65" s="17">
        <f t="shared" si="34"/>
        <v>-0.00408000000000186</v>
      </c>
      <c r="R65" s="17">
        <f t="shared" si="35"/>
        <v>0</v>
      </c>
      <c r="S65" s="9" t="str">
        <f t="shared" si="36"/>
        <v>差异已分解，独立复算相符</v>
      </c>
      <c r="T65" s="18" t="s">
        <v>1498</v>
      </c>
      <c r="U65" s="9" t="s">
        <v>391</v>
      </c>
      <c r="V65" s="17">
        <f>IF(ISNUMBER('Sheet2-计算明细'!AR76),'Sheet2-计算明细'!AR76,"")</f>
        <v>50.8739</v>
      </c>
      <c r="W65" s="17">
        <f>IF(ISNUMBER(对照快照!BH137),对照快照!BH137,"")</f>
        <v>67.91982</v>
      </c>
      <c r="X65" s="9">
        <v>137</v>
      </c>
      <c r="Y65" s="13">
        <v>52.78</v>
      </c>
      <c r="Z65" s="13">
        <f t="shared" si="0"/>
        <v>-1.91</v>
      </c>
      <c r="AA65" s="13">
        <v>0</v>
      </c>
    </row>
    <row r="66" ht="62" customHeight="1" spans="1:27">
      <c r="A66" s="9" t="s">
        <v>397</v>
      </c>
      <c r="B66" s="9" t="s">
        <v>396</v>
      </c>
      <c r="C66" s="9" t="s">
        <v>1241</v>
      </c>
      <c r="D66" s="13" t="str">
        <f>IF(ISNUMBER('Sheet2-计算明细'!AV77),'Sheet2-计算明细'!AV77,"")</f>
        <v/>
      </c>
      <c r="E66" s="13" t="str">
        <f>IF(ISNUMBER(对照快照!BE229),对照快照!BE229,"")</f>
        <v/>
      </c>
      <c r="F66" s="13" t="str">
        <f t="shared" si="28"/>
        <v/>
      </c>
      <c r="G66" s="13">
        <f>IF(ISNUMBER('Sheet2-计算明细'!AS77),'Sheet2-计算明细'!AS77,"")</f>
        <v>60.09</v>
      </c>
      <c r="H66" s="13">
        <f>IF(ISNUMBER(对照快照!BF229),对照快照!BF229,"")</f>
        <v>75.39</v>
      </c>
      <c r="I66" s="13">
        <f t="shared" si="29"/>
        <v>-15.3</v>
      </c>
      <c r="J66" s="9" t="str">
        <f>IF(COUNT(F66,I66)=0,"不可直接比较",IF(OR(IF(ISNUMBER(F66),ABS(F66)&gt;='Sheet1-指标体系'!$J$32,FALSE),IF(ISNUMBER(I66),ABS(I66)&gt;='Sheet1-指标体系'!$J$32,FALSE)),"重点排查","差异小于阈值"))</f>
        <v>重点排查</v>
      </c>
      <c r="K66" s="12">
        <f>IF(ISNUMBER('Sheet2-计算明细'!AQ77),'Sheet2-计算明细'!AQ77,"")</f>
        <v>0.88</v>
      </c>
      <c r="L66" s="12">
        <f>IF(ISNUMBER(对照快照!BG229),对照快照!BG229,"")</f>
        <v>0.88</v>
      </c>
      <c r="M66" s="12">
        <f t="shared" si="30"/>
        <v>0</v>
      </c>
      <c r="N66" s="17">
        <f t="shared" si="31"/>
        <v>-13.46706</v>
      </c>
      <c r="O66" s="17">
        <f t="shared" si="32"/>
        <v>-15.3034772727273</v>
      </c>
      <c r="P66" s="17">
        <f t="shared" si="33"/>
        <v>0</v>
      </c>
      <c r="Q66" s="17">
        <f t="shared" si="34"/>
        <v>0.00347727272726317</v>
      </c>
      <c r="R66" s="17">
        <f t="shared" si="35"/>
        <v>0</v>
      </c>
      <c r="S66" s="9" t="str">
        <f t="shared" si="36"/>
        <v>差异已分解，独立复算相符</v>
      </c>
      <c r="T66" s="18" t="s">
        <v>1499</v>
      </c>
      <c r="U66" s="9" t="s">
        <v>396</v>
      </c>
      <c r="V66" s="17">
        <f>IF(ISNUMBER('Sheet2-计算明细'!AR77),'Sheet2-计算明细'!AR77,"")</f>
        <v>52.87882</v>
      </c>
      <c r="W66" s="17">
        <f>IF(ISNUMBER(对照快照!BH229),对照快照!BH229,"")</f>
        <v>66.34588</v>
      </c>
      <c r="X66" s="9">
        <v>229</v>
      </c>
      <c r="Y66" s="13">
        <v>62.34</v>
      </c>
      <c r="Z66" s="13">
        <f t="shared" si="0"/>
        <v>-2.25</v>
      </c>
      <c r="AA66" s="13">
        <v>0</v>
      </c>
    </row>
    <row r="67" ht="62" customHeight="1" spans="1:27">
      <c r="A67" s="9" t="s">
        <v>401</v>
      </c>
      <c r="B67" s="9" t="s">
        <v>400</v>
      </c>
      <c r="C67" s="9" t="s">
        <v>1241</v>
      </c>
      <c r="D67" s="13" t="str">
        <f>IF(ISNUMBER('Sheet2-计算明细'!AV78),'Sheet2-计算明细'!AV78,"")</f>
        <v/>
      </c>
      <c r="E67" s="13" t="str">
        <f>IF(ISNUMBER(对照快照!BE234),对照快照!BE234,"")</f>
        <v/>
      </c>
      <c r="F67" s="13" t="str">
        <f t="shared" si="28"/>
        <v/>
      </c>
      <c r="G67" s="13">
        <f>IF(ISNUMBER('Sheet2-计算明细'!AS78),'Sheet2-计算明细'!AS78,"")</f>
        <v>70.05</v>
      </c>
      <c r="H67" s="13">
        <f>IF(ISNUMBER(对照快照!BF234),对照快照!BF234,"")</f>
        <v>80.82</v>
      </c>
      <c r="I67" s="13">
        <f t="shared" si="29"/>
        <v>-10.77</v>
      </c>
      <c r="J67" s="9" t="str">
        <f>IF(COUNT(F67,I67)=0,"不可直接比较",IF(OR(IF(ISNUMBER(F67),ABS(F67)&gt;='Sheet1-指标体系'!$J$32,FALSE),IF(ISNUMBER(I67),ABS(I67)&gt;='Sheet1-指标体系'!$J$32,FALSE)),"重点排查","差异小于阈值"))</f>
        <v>重点排查</v>
      </c>
      <c r="K67" s="12">
        <f>IF(ISNUMBER('Sheet2-计算明细'!AQ78),'Sheet2-计算明细'!AQ78,"")</f>
        <v>0.88</v>
      </c>
      <c r="L67" s="12">
        <f>IF(ISNUMBER(对照快照!BG234),对照快照!BG234,"")</f>
        <v>0.88</v>
      </c>
      <c r="M67" s="12">
        <f t="shared" si="30"/>
        <v>0</v>
      </c>
      <c r="N67" s="17">
        <f t="shared" si="31"/>
        <v>-9.47638999999999</v>
      </c>
      <c r="O67" s="17">
        <f t="shared" si="32"/>
        <v>-10.768625</v>
      </c>
      <c r="P67" s="17">
        <f t="shared" si="33"/>
        <v>0</v>
      </c>
      <c r="Q67" s="17">
        <f t="shared" si="34"/>
        <v>-0.00137500000000124</v>
      </c>
      <c r="R67" s="17">
        <f t="shared" si="35"/>
        <v>0</v>
      </c>
      <c r="S67" s="9" t="str">
        <f t="shared" si="36"/>
        <v>差异已分解，独立复算相符</v>
      </c>
      <c r="T67" s="18" t="s">
        <v>1499</v>
      </c>
      <c r="U67" s="9" t="s">
        <v>400</v>
      </c>
      <c r="V67" s="17">
        <f>IF(ISNUMBER('Sheet2-计算明细'!AR78),'Sheet2-计算明细'!AR78,"")</f>
        <v>61.64324</v>
      </c>
      <c r="W67" s="17">
        <f>IF(ISNUMBER(对照快照!BH234),对照快照!BH234,"")</f>
        <v>71.11963</v>
      </c>
      <c r="X67" s="9">
        <v>234</v>
      </c>
      <c r="Y67" s="13">
        <v>72.93</v>
      </c>
      <c r="Z67" s="13">
        <f t="shared" si="0"/>
        <v>-2.88000000000001</v>
      </c>
      <c r="AA67" s="13">
        <v>0</v>
      </c>
    </row>
    <row r="68" ht="62" customHeight="1" spans="1:27">
      <c r="A68" s="9" t="s">
        <v>405</v>
      </c>
      <c r="B68" s="9" t="s">
        <v>404</v>
      </c>
      <c r="C68" s="9" t="s">
        <v>1241</v>
      </c>
      <c r="D68" s="13" t="str">
        <f>IF(ISNUMBER('Sheet2-计算明细'!AV79),'Sheet2-计算明细'!AV79,"")</f>
        <v/>
      </c>
      <c r="E68" s="13" t="str">
        <f>IF(ISNUMBER(对照快照!BE25),对照快照!BE25,"")</f>
        <v/>
      </c>
      <c r="F68" s="13" t="str">
        <f t="shared" si="28"/>
        <v/>
      </c>
      <c r="G68" s="13">
        <f>IF(ISNUMBER('Sheet2-计算明细'!AS79),'Sheet2-计算明细'!AS79,"")</f>
        <v>20.25</v>
      </c>
      <c r="H68" s="13">
        <f>IF(ISNUMBER(对照快照!BF25),对照快照!BF25,"")</f>
        <v>19.68</v>
      </c>
      <c r="I68" s="13">
        <f t="shared" si="29"/>
        <v>0.57</v>
      </c>
      <c r="J68" s="9" t="str">
        <f>IF(COUNT(F68,I68)=0,"不可直接比较",IF(OR(IF(ISNUMBER(F68),ABS(F68)&gt;='Sheet1-指标体系'!$J$32,FALSE),IF(ISNUMBER(I68),ABS(I68)&gt;='Sheet1-指标体系'!$J$32,FALSE)),"重点排查","差异小于阈值"))</f>
        <v>差异小于阈值</v>
      </c>
      <c r="K68" s="12">
        <f>IF(ISNUMBER('Sheet2-计算明细'!AQ79),'Sheet2-计算明细'!AQ79,"")</f>
        <v>0.4</v>
      </c>
      <c r="L68" s="12">
        <f>IF(ISNUMBER(对照快照!BG25),对照快照!BG25,"")</f>
        <v>0.88</v>
      </c>
      <c r="M68" s="12">
        <f t="shared" si="30"/>
        <v>-0.48</v>
      </c>
      <c r="N68" s="17">
        <f t="shared" si="31"/>
        <v>-9.21857</v>
      </c>
      <c r="O68" s="17">
        <f t="shared" si="32"/>
        <v>-23.046425</v>
      </c>
      <c r="P68" s="17">
        <f t="shared" si="33"/>
        <v>23.6162318181818</v>
      </c>
      <c r="Q68" s="17">
        <f t="shared" si="34"/>
        <v>0.000193181818186616</v>
      </c>
      <c r="R68" s="17">
        <f t="shared" si="35"/>
        <v>0</v>
      </c>
      <c r="S68" s="9" t="str">
        <f t="shared" si="36"/>
        <v>差异已分解，独立复算相符</v>
      </c>
      <c r="T68" s="18" t="s">
        <v>1523</v>
      </c>
      <c r="U68" s="9" t="s">
        <v>404</v>
      </c>
      <c r="V68" s="17">
        <f>IF(ISNUMBER('Sheet2-计算明细'!AR79),'Sheet2-计算明细'!AR79,"")</f>
        <v>8.1</v>
      </c>
      <c r="W68" s="17">
        <f>IF(ISNUMBER(对照快照!BH25),对照快照!BH25,"")</f>
        <v>17.31857</v>
      </c>
      <c r="X68" s="9">
        <v>25</v>
      </c>
      <c r="Y68" s="13">
        <v>31.5</v>
      </c>
      <c r="Z68" s="13">
        <f t="shared" si="0"/>
        <v>-11.25</v>
      </c>
      <c r="AA68" s="13">
        <v>0</v>
      </c>
    </row>
    <row r="69" ht="62" customHeight="1" spans="1:27">
      <c r="A69" s="9" t="s">
        <v>410</v>
      </c>
      <c r="B69" s="9" t="s">
        <v>409</v>
      </c>
      <c r="C69" s="9" t="s">
        <v>1241</v>
      </c>
      <c r="D69" s="13" t="str">
        <f>IF(ISNUMBER('Sheet2-计算明细'!AV80),'Sheet2-计算明细'!AV80,"")</f>
        <v/>
      </c>
      <c r="E69" s="13" t="str">
        <f>IF(ISNUMBER(对照快照!BE88),对照快照!BE88,"")</f>
        <v/>
      </c>
      <c r="F69" s="13" t="str">
        <f t="shared" si="28"/>
        <v/>
      </c>
      <c r="G69" s="13">
        <f>IF(ISNUMBER('Sheet2-计算明细'!AS80),'Sheet2-计算明细'!AS80,"")</f>
        <v>48.76</v>
      </c>
      <c r="H69" s="13">
        <f>IF(ISNUMBER(对照快照!BF88),对照快照!BF88,"")</f>
        <v>60.53</v>
      </c>
      <c r="I69" s="13">
        <f t="shared" si="29"/>
        <v>-11.77</v>
      </c>
      <c r="J69" s="9" t="str">
        <f>IF(COUNT(F69,I69)=0,"不可直接比较",IF(OR(IF(ISNUMBER(F69),ABS(F69)&gt;='Sheet1-指标体系'!$J$32,FALSE),IF(ISNUMBER(I69),ABS(I69)&gt;='Sheet1-指标体系'!$J$32,FALSE)),"重点排查","差异小于阈值"))</f>
        <v>重点排查</v>
      </c>
      <c r="K69" s="12">
        <f>IF(ISNUMBER('Sheet2-计算明细'!AQ80),'Sheet2-计算明细'!AQ80,"")</f>
        <v>0.856</v>
      </c>
      <c r="L69" s="12">
        <f>IF(ISNUMBER(对照快照!BG88),对照快照!BG88,"")</f>
        <v>0.7</v>
      </c>
      <c r="M69" s="12">
        <f t="shared" si="30"/>
        <v>0.156</v>
      </c>
      <c r="N69" s="17">
        <f t="shared" si="31"/>
        <v>-0.639860000000006</v>
      </c>
      <c r="O69" s="17">
        <f t="shared" si="32"/>
        <v>-0.747500000000007</v>
      </c>
      <c r="P69" s="17">
        <f t="shared" si="33"/>
        <v>-11.0320013351135</v>
      </c>
      <c r="Q69" s="17">
        <f t="shared" si="34"/>
        <v>0.00950133511349094</v>
      </c>
      <c r="R69" s="17">
        <f t="shared" si="35"/>
        <v>0</v>
      </c>
      <c r="S69" s="9" t="str">
        <f t="shared" si="36"/>
        <v>差异已分解，独立复算相符</v>
      </c>
      <c r="T69" s="18" t="s">
        <v>1515</v>
      </c>
      <c r="U69" s="9" t="s">
        <v>409</v>
      </c>
      <c r="V69" s="17">
        <f>IF(ISNUMBER('Sheet2-计算明细'!AR80),'Sheet2-计算明细'!AR80,"")</f>
        <v>41.73434</v>
      </c>
      <c r="W69" s="17">
        <f>IF(ISNUMBER(对照快照!BH88),对照快照!BH88,"")</f>
        <v>42.3742</v>
      </c>
      <c r="X69" s="9">
        <v>88</v>
      </c>
      <c r="Y69" s="13">
        <v>55.47</v>
      </c>
      <c r="Z69" s="13">
        <f t="shared" si="0"/>
        <v>-6.71</v>
      </c>
      <c r="AA69" s="13">
        <v>0</v>
      </c>
    </row>
    <row r="70" ht="62" customHeight="1" spans="1:27">
      <c r="A70" s="9" t="s">
        <v>417</v>
      </c>
      <c r="B70" s="9" t="s">
        <v>415</v>
      </c>
      <c r="C70" s="9" t="s">
        <v>1241</v>
      </c>
      <c r="D70" s="13">
        <f>IF(ISNUMBER('Sheet2-计算明细'!AV81),'Sheet2-计算明细'!AV81,"")</f>
        <v>34.2218</v>
      </c>
      <c r="E70" s="13">
        <f>IF(ISNUMBER(对照快照!BE18),对照快照!BE18,"")</f>
        <v>47.87143</v>
      </c>
      <c r="F70" s="13">
        <f t="shared" si="28"/>
        <v>-13.64963</v>
      </c>
      <c r="G70" s="13">
        <f>IF(ISNUMBER('Sheet2-计算明细'!AS81),'Sheet2-计算明细'!AS81,"")</f>
        <v>34.22</v>
      </c>
      <c r="H70" s="13">
        <f>IF(ISNUMBER(对照快照!BF18),对照快照!BF18,"")</f>
        <v>47.87</v>
      </c>
      <c r="I70" s="13">
        <f t="shared" si="29"/>
        <v>-13.65</v>
      </c>
      <c r="J70" s="9" t="str">
        <f>IF(COUNT(F70,I70)=0,"不可直接比较",IF(OR(IF(ISNUMBER(F70),ABS(F70)&gt;='Sheet1-指标体系'!$J$32,FALSE),IF(ISNUMBER(I70),ABS(I70)&gt;='Sheet1-指标体系'!$J$32,FALSE)),"重点排查","差异小于阈值"))</f>
        <v>重点排查</v>
      </c>
      <c r="K70" s="12">
        <f>IF(ISNUMBER('Sheet2-计算明细'!AQ81),'Sheet2-计算明细'!AQ81,"")</f>
        <v>1</v>
      </c>
      <c r="L70" s="12">
        <f>IF(ISNUMBER(对照快照!BG18),对照快照!BG18,"")</f>
        <v>1</v>
      </c>
      <c r="M70" s="12">
        <f t="shared" si="30"/>
        <v>0</v>
      </c>
      <c r="N70" s="17">
        <f t="shared" si="31"/>
        <v>-13.64963</v>
      </c>
      <c r="O70" s="17">
        <f t="shared" si="32"/>
        <v>-13.64963</v>
      </c>
      <c r="P70" s="17">
        <f t="shared" si="33"/>
        <v>0</v>
      </c>
      <c r="Q70" s="17">
        <f t="shared" si="34"/>
        <v>-0.000369999999996651</v>
      </c>
      <c r="R70" s="17">
        <f t="shared" si="35"/>
        <v>0</v>
      </c>
      <c r="S70" s="9" t="str">
        <f t="shared" si="36"/>
        <v>差异已分解，独立复算相符</v>
      </c>
      <c r="T70" s="18" t="s">
        <v>1498</v>
      </c>
      <c r="U70" s="9" t="s">
        <v>415</v>
      </c>
      <c r="V70" s="17">
        <f>IF(ISNUMBER('Sheet2-计算明细'!AR81),'Sheet2-计算明细'!AR81,"")</f>
        <v>34.2218</v>
      </c>
      <c r="W70" s="17">
        <f>IF(ISNUMBER(对照快照!BH18),对照快照!BH18,"")</f>
        <v>47.87143</v>
      </c>
      <c r="X70" s="9">
        <v>18</v>
      </c>
      <c r="Y70" s="13">
        <v>34.62</v>
      </c>
      <c r="Z70" s="13">
        <f t="shared" ref="Z70:Z88" si="37">IF(COUNT(G70,Y70)=2,G70-Y70,"")</f>
        <v>-0.399999999999999</v>
      </c>
      <c r="AA70" s="13">
        <v>0</v>
      </c>
    </row>
    <row r="71" ht="62" customHeight="1" spans="1:27">
      <c r="A71" s="9" t="s">
        <v>422</v>
      </c>
      <c r="B71" s="9" t="s">
        <v>421</v>
      </c>
      <c r="C71" s="9" t="s">
        <v>1241</v>
      </c>
      <c r="D71" s="13" t="str">
        <f>IF(ISNUMBER('Sheet2-计算明细'!AV82),'Sheet2-计算明细'!AV82,"")</f>
        <v/>
      </c>
      <c r="E71" s="13">
        <f>IF(ISNUMBER(对照快照!BE154),对照快照!BE154,"")</f>
        <v>54.45951</v>
      </c>
      <c r="F71" s="13" t="str">
        <f t="shared" si="28"/>
        <v/>
      </c>
      <c r="G71" s="13">
        <f>IF(ISNUMBER('Sheet2-计算明细'!AS82),'Sheet2-计算明细'!AS82,"")</f>
        <v>39.86</v>
      </c>
      <c r="H71" s="13">
        <f>IF(ISNUMBER(对照快照!BF154),对照快照!BF154,"")</f>
        <v>54.46</v>
      </c>
      <c r="I71" s="13">
        <f t="shared" si="29"/>
        <v>-14.6</v>
      </c>
      <c r="J71" s="9" t="str">
        <f>IF(COUNT(F71,I71)=0,"不可直接比较",IF(OR(IF(ISNUMBER(F71),ABS(F71)&gt;='Sheet1-指标体系'!$J$32,FALSE),IF(ISNUMBER(I71),ABS(I71)&gt;='Sheet1-指标体系'!$J$32,FALSE)),"重点排查","差异小于阈值"))</f>
        <v>重点排查</v>
      </c>
      <c r="K71" s="12">
        <f>IF(ISNUMBER('Sheet2-计算明细'!AQ82),'Sheet2-计算明细'!AQ82,"")</f>
        <v>0.88</v>
      </c>
      <c r="L71" s="12">
        <f>IF(ISNUMBER(对照快照!BG154),对照快照!BG154,"")</f>
        <v>1</v>
      </c>
      <c r="M71" s="12">
        <f t="shared" si="30"/>
        <v>-0.12</v>
      </c>
      <c r="N71" s="17">
        <f t="shared" si="31"/>
        <v>-19.3834915384615</v>
      </c>
      <c r="O71" s="17">
        <f t="shared" si="32"/>
        <v>-22.0266949300699</v>
      </c>
      <c r="P71" s="17">
        <f t="shared" si="33"/>
        <v>7.42629681818182</v>
      </c>
      <c r="Q71" s="17">
        <f t="shared" si="34"/>
        <v>0.000398111888100239</v>
      </c>
      <c r="R71" s="17">
        <f t="shared" si="35"/>
        <v>0</v>
      </c>
      <c r="S71" s="9" t="str">
        <f t="shared" si="36"/>
        <v>差异已分解，独立复算相符</v>
      </c>
      <c r="T71" s="18" t="s">
        <v>1524</v>
      </c>
      <c r="U71" s="9" t="s">
        <v>421</v>
      </c>
      <c r="V71" s="17">
        <f>IF(ISNUMBER('Sheet2-计算明细'!AR82),'Sheet2-计算明细'!AR82,"")</f>
        <v>35.0760184615385</v>
      </c>
      <c r="W71" s="17">
        <f>IF(ISNUMBER(对照快照!BH154),对照快照!BH154,"")</f>
        <v>54.45951</v>
      </c>
      <c r="X71" s="9">
        <v>154</v>
      </c>
      <c r="Y71" s="13">
        <v>84</v>
      </c>
      <c r="Z71" s="13">
        <f t="shared" si="37"/>
        <v>-44.14</v>
      </c>
      <c r="AA71" s="13">
        <v>0</v>
      </c>
    </row>
    <row r="72" ht="62" customHeight="1" spans="1:27">
      <c r="A72" s="9" t="s">
        <v>429</v>
      </c>
      <c r="B72" s="9" t="s">
        <v>427</v>
      </c>
      <c r="C72" s="9" t="s">
        <v>1489</v>
      </c>
      <c r="D72" s="13" t="str">
        <f>IF(ISNUMBER('Sheet2-计算明细'!AV83),'Sheet2-计算明细'!AV83,"")</f>
        <v/>
      </c>
      <c r="E72" s="13"/>
      <c r="F72" s="13"/>
      <c r="G72" s="13">
        <f>IF(ISNUMBER('Sheet2-计算明细'!AS83),'Sheet2-计算明细'!AS83,"")</f>
        <v>44.44</v>
      </c>
      <c r="H72" s="13"/>
      <c r="I72" s="13"/>
      <c r="J72" s="9" t="s">
        <v>1490</v>
      </c>
      <c r="K72" s="12">
        <f>IF(ISNUMBER('Sheet2-计算明细'!AQ83),'Sheet2-计算明细'!AQ83,"")</f>
        <v>0.4</v>
      </c>
      <c r="L72" s="12"/>
      <c r="M72" s="12"/>
      <c r="N72" s="17"/>
      <c r="O72" s="17"/>
      <c r="P72" s="17"/>
      <c r="Q72" s="17"/>
      <c r="R72" s="17"/>
      <c r="S72" s="9" t="s">
        <v>1491</v>
      </c>
      <c r="T72" s="18" t="s">
        <v>1492</v>
      </c>
      <c r="U72" s="9"/>
      <c r="V72" s="17">
        <f>IF(ISNUMBER('Sheet2-计算明细'!AR83),'Sheet2-计算明细'!AR83,"")</f>
        <v>17.7775</v>
      </c>
      <c r="W72" s="17"/>
      <c r="X72" s="9"/>
      <c r="Y72" s="13">
        <v>43.54</v>
      </c>
      <c r="Z72" s="13">
        <f t="shared" si="37"/>
        <v>0.899999999999999</v>
      </c>
      <c r="AA72" s="13"/>
    </row>
    <row r="73" ht="62" customHeight="1" spans="1:27">
      <c r="A73" s="9" t="s">
        <v>435</v>
      </c>
      <c r="B73" s="9" t="s">
        <v>434</v>
      </c>
      <c r="C73" s="9" t="s">
        <v>1241</v>
      </c>
      <c r="D73" s="13" t="str">
        <f>IF(ISNUMBER('Sheet2-计算明细'!AV84),'Sheet2-计算明细'!AV84,"")</f>
        <v/>
      </c>
      <c r="E73" s="13" t="str">
        <f>IF(ISNUMBER(对照快照!BE271),对照快照!BE271,"")</f>
        <v/>
      </c>
      <c r="F73" s="13" t="str">
        <f t="shared" ref="F73:F78" si="38">IF(COUNT(D73:E73)=2,D73-E73,"")</f>
        <v/>
      </c>
      <c r="G73" s="13">
        <f>IF(ISNUMBER('Sheet2-计算明细'!AS84),'Sheet2-计算明细'!AS84,"")</f>
        <v>76.15</v>
      </c>
      <c r="H73" s="13">
        <f>IF(ISNUMBER(对照快照!BF271),对照快照!BF271,"")</f>
        <v>86.57</v>
      </c>
      <c r="I73" s="13">
        <f t="shared" ref="I73:I78" si="39">IF(COUNT(G73:H73)=2,G73-H73,"")</f>
        <v>-10.42</v>
      </c>
      <c r="J73" s="9" t="str">
        <f>IF(COUNT(F73,I73)=0,"不可直接比较",IF(OR(IF(ISNUMBER(F73),ABS(F73)&gt;='Sheet1-指标体系'!$J$32,FALSE),IF(ISNUMBER(I73),ABS(I73)&gt;='Sheet1-指标体系'!$J$32,FALSE)),"重点排查","差异小于阈值"))</f>
        <v>重点排查</v>
      </c>
      <c r="K73" s="12">
        <f>IF(ISNUMBER('Sheet2-计算明细'!AQ84),'Sheet2-计算明细'!AQ84,"")</f>
        <v>0.811</v>
      </c>
      <c r="L73" s="12">
        <f>IF(ISNUMBER(对照快照!BG271),对照快照!BG271,"")</f>
        <v>0.7</v>
      </c>
      <c r="M73" s="12">
        <f t="shared" ref="M73:M78" si="40">K73-L73</f>
        <v>0.111</v>
      </c>
      <c r="N73" s="17">
        <f t="shared" ref="N73:N78" si="41">IF(COUNT(V73:W73)=2,V73-W73,"")</f>
        <v>1.15826</v>
      </c>
      <c r="O73" s="17">
        <f t="shared" ref="O73:O78" si="42">IF(AND(COUNT(N73,K73)=2,K73&gt;0),N73/K73,"")</f>
        <v>1.42818742293465</v>
      </c>
      <c r="P73" s="17">
        <f t="shared" ref="P73:P78" si="43">IF(AND(COUNT(K73:L73,W73)=3,K73&gt;0,L73&gt;0),W73*(1/K73-1/L73),"")</f>
        <v>-11.8493135458869</v>
      </c>
      <c r="Q73" s="17">
        <f t="shared" ref="Q73:Q78" si="44">IF(COUNT(I73,O73:P73)=3,I73-O73-P73,"")</f>
        <v>0.00112612295226278</v>
      </c>
      <c r="R73" s="17">
        <f t="shared" ref="R73:R78" si="45">IF(COUNT(I73,O73:Q73)=4,I73-SUM(O73:Q73),"")</f>
        <v>0</v>
      </c>
      <c r="S73" s="9" t="str">
        <f t="shared" ref="S73:S78" si="46">IF(NOT(ISNUMBER(I73)),"一侧缺总分，保留缺失原因",IF(AND(ABS(R73)&lt;0.00000001,ABS(AA73)&lt;0.05),"差异已分解，独立复算相符","存在未解释差异"))</f>
        <v>差异已分解，独立复算相符</v>
      </c>
      <c r="T73" s="18" t="s">
        <v>1515</v>
      </c>
      <c r="U73" s="9" t="s">
        <v>434</v>
      </c>
      <c r="V73" s="17">
        <f>IF(ISNUMBER('Sheet2-计算明细'!AR84),'Sheet2-计算明细'!AR84,"")</f>
        <v>61.76056</v>
      </c>
      <c r="W73" s="17">
        <f>IF(ISNUMBER(对照快照!BH271),对照快照!BH271,"")</f>
        <v>60.6023</v>
      </c>
      <c r="X73" s="9">
        <v>271</v>
      </c>
      <c r="Y73" s="13">
        <v>79.56</v>
      </c>
      <c r="Z73" s="13">
        <f t="shared" si="37"/>
        <v>-3.41</v>
      </c>
      <c r="AA73" s="13">
        <v>0</v>
      </c>
    </row>
    <row r="74" ht="62" customHeight="1" spans="1:27">
      <c r="A74" s="9" t="s">
        <v>441</v>
      </c>
      <c r="B74" s="9" t="s">
        <v>440</v>
      </c>
      <c r="C74" s="9" t="s">
        <v>1241</v>
      </c>
      <c r="D74" s="13">
        <f>IF(ISNUMBER('Sheet2-计算明细'!AV85),'Sheet2-计算明细'!AV85,"")</f>
        <v>72.06454</v>
      </c>
      <c r="E74" s="13">
        <f>IF(ISNUMBER(对照快照!BE200),对照快照!BE200,"")</f>
        <v>82.21546</v>
      </c>
      <c r="F74" s="13">
        <f t="shared" si="38"/>
        <v>-10.15092</v>
      </c>
      <c r="G74" s="13">
        <f>IF(ISNUMBER('Sheet2-计算明细'!AS85),'Sheet2-计算明细'!AS85,"")</f>
        <v>72.06</v>
      </c>
      <c r="H74" s="13">
        <f>IF(ISNUMBER(对照快照!BF200),对照快照!BF200,"")</f>
        <v>82.22</v>
      </c>
      <c r="I74" s="13">
        <f t="shared" si="39"/>
        <v>-10.16</v>
      </c>
      <c r="J74" s="9" t="str">
        <f>IF(COUNT(F74,I74)=0,"不可直接比较",IF(OR(IF(ISNUMBER(F74),ABS(F74)&gt;='Sheet1-指标体系'!$J$32,FALSE),IF(ISNUMBER(I74),ABS(I74)&gt;='Sheet1-指标体系'!$J$32,FALSE)),"重点排查","差异小于阈值"))</f>
        <v>重点排查</v>
      </c>
      <c r="K74" s="12">
        <f>IF(ISNUMBER('Sheet2-计算明细'!AQ85),'Sheet2-计算明细'!AQ85,"")</f>
        <v>1</v>
      </c>
      <c r="L74" s="12">
        <f>IF(ISNUMBER(对照快照!BG200),对照快照!BG200,"")</f>
        <v>1</v>
      </c>
      <c r="M74" s="12">
        <f t="shared" si="40"/>
        <v>0</v>
      </c>
      <c r="N74" s="17">
        <f t="shared" si="41"/>
        <v>-10.15092</v>
      </c>
      <c r="O74" s="17">
        <f t="shared" si="42"/>
        <v>-10.15092</v>
      </c>
      <c r="P74" s="17">
        <f t="shared" si="43"/>
        <v>0</v>
      </c>
      <c r="Q74" s="17">
        <f t="shared" si="44"/>
        <v>-0.00907999999999731</v>
      </c>
      <c r="R74" s="17">
        <f t="shared" si="45"/>
        <v>0</v>
      </c>
      <c r="S74" s="9" t="str">
        <f t="shared" si="46"/>
        <v>差异已分解，独立复算相符</v>
      </c>
      <c r="T74" s="18" t="s">
        <v>1525</v>
      </c>
      <c r="U74" s="9" t="s">
        <v>440</v>
      </c>
      <c r="V74" s="17">
        <f>IF(ISNUMBER('Sheet2-计算明细'!AR85),'Sheet2-计算明细'!AR85,"")</f>
        <v>72.06454</v>
      </c>
      <c r="W74" s="17">
        <f>IF(ISNUMBER(对照快照!BH200),对照快照!BH200,"")</f>
        <v>82.21546</v>
      </c>
      <c r="X74" s="9">
        <v>200</v>
      </c>
      <c r="Y74" s="13">
        <v>75.14</v>
      </c>
      <c r="Z74" s="13">
        <f t="shared" si="37"/>
        <v>-3.08</v>
      </c>
      <c r="AA74" s="13">
        <v>0</v>
      </c>
    </row>
    <row r="75" ht="62" customHeight="1" spans="1:27">
      <c r="A75" s="9" t="s">
        <v>446</v>
      </c>
      <c r="B75" s="9" t="s">
        <v>445</v>
      </c>
      <c r="C75" s="9" t="s">
        <v>1241</v>
      </c>
      <c r="D75" s="13">
        <f>IF(ISNUMBER('Sheet2-计算明细'!AV86),'Sheet2-计算明细'!AV86,"")</f>
        <v>69.77916</v>
      </c>
      <c r="E75" s="13">
        <f>IF(ISNUMBER(对照快照!BE187),对照快照!BE187,"")</f>
        <v>80.92609</v>
      </c>
      <c r="F75" s="13">
        <f t="shared" si="38"/>
        <v>-11.14693</v>
      </c>
      <c r="G75" s="13">
        <f>IF(ISNUMBER('Sheet2-计算明细'!AS86),'Sheet2-计算明细'!AS86,"")</f>
        <v>69.78</v>
      </c>
      <c r="H75" s="13">
        <f>IF(ISNUMBER(对照快照!BF187),对照快照!BF187,"")</f>
        <v>80.93</v>
      </c>
      <c r="I75" s="13">
        <f t="shared" si="39"/>
        <v>-11.15</v>
      </c>
      <c r="J75" s="9" t="str">
        <f>IF(COUNT(F75,I75)=0,"不可直接比较",IF(OR(IF(ISNUMBER(F75),ABS(F75)&gt;='Sheet1-指标体系'!$J$32,FALSE),IF(ISNUMBER(I75),ABS(I75)&gt;='Sheet1-指标体系'!$J$32,FALSE)),"重点排查","差异小于阈值"))</f>
        <v>重点排查</v>
      </c>
      <c r="K75" s="12">
        <f>IF(ISNUMBER('Sheet2-计算明细'!AQ86),'Sheet2-计算明细'!AQ86,"")</f>
        <v>1</v>
      </c>
      <c r="L75" s="12">
        <f>IF(ISNUMBER(对照快照!BG187),对照快照!BG187,"")</f>
        <v>1</v>
      </c>
      <c r="M75" s="12">
        <f t="shared" si="40"/>
        <v>0</v>
      </c>
      <c r="N75" s="17">
        <f t="shared" si="41"/>
        <v>-11.14693</v>
      </c>
      <c r="O75" s="17">
        <f t="shared" si="42"/>
        <v>-11.14693</v>
      </c>
      <c r="P75" s="17">
        <f t="shared" si="43"/>
        <v>0</v>
      </c>
      <c r="Q75" s="17">
        <f t="shared" si="44"/>
        <v>-0.00306999999999391</v>
      </c>
      <c r="R75" s="17">
        <f t="shared" si="45"/>
        <v>0</v>
      </c>
      <c r="S75" s="9" t="str">
        <f t="shared" si="46"/>
        <v>差异已分解，独立复算相符</v>
      </c>
      <c r="T75" s="18" t="s">
        <v>1525</v>
      </c>
      <c r="U75" s="9" t="s">
        <v>445</v>
      </c>
      <c r="V75" s="17">
        <f>IF(ISNUMBER('Sheet2-计算明细'!AR86),'Sheet2-计算明细'!AR86,"")</f>
        <v>69.77916</v>
      </c>
      <c r="W75" s="17">
        <f>IF(ISNUMBER(对照快照!BH187),对照快照!BH187,"")</f>
        <v>80.92609</v>
      </c>
      <c r="X75" s="9">
        <v>187</v>
      </c>
      <c r="Y75" s="13">
        <v>73.66</v>
      </c>
      <c r="Z75" s="13">
        <f t="shared" si="37"/>
        <v>-3.88</v>
      </c>
      <c r="AA75" s="13">
        <v>0</v>
      </c>
    </row>
    <row r="76" ht="62" customHeight="1" spans="1:27">
      <c r="A76" s="9" t="s">
        <v>450</v>
      </c>
      <c r="B76" s="9" t="s">
        <v>449</v>
      </c>
      <c r="C76" s="9" t="s">
        <v>1241</v>
      </c>
      <c r="D76" s="13">
        <f>IF(ISNUMBER('Sheet2-计算明细'!AV87),'Sheet2-计算明细'!AV87,"")</f>
        <v>65.71879</v>
      </c>
      <c r="E76" s="13">
        <f>IF(ISNUMBER(对照快照!BE189),对照快照!BE189,"")</f>
        <v>79.17696</v>
      </c>
      <c r="F76" s="13">
        <f t="shared" si="38"/>
        <v>-13.45817</v>
      </c>
      <c r="G76" s="13">
        <f>IF(ISNUMBER('Sheet2-计算明细'!AS87),'Sheet2-计算明细'!AS87,"")</f>
        <v>65.72</v>
      </c>
      <c r="H76" s="13">
        <f>IF(ISNUMBER(对照快照!BF189),对照快照!BF189,"")</f>
        <v>79.18</v>
      </c>
      <c r="I76" s="13">
        <f t="shared" si="39"/>
        <v>-13.46</v>
      </c>
      <c r="J76" s="9" t="str">
        <f>IF(COUNT(F76,I76)=0,"不可直接比较",IF(OR(IF(ISNUMBER(F76),ABS(F76)&gt;='Sheet1-指标体系'!$J$32,FALSE),IF(ISNUMBER(I76),ABS(I76)&gt;='Sheet1-指标体系'!$J$32,FALSE)),"重点排查","差异小于阈值"))</f>
        <v>重点排查</v>
      </c>
      <c r="K76" s="12">
        <f>IF(ISNUMBER('Sheet2-计算明细'!AQ87),'Sheet2-计算明细'!AQ87,"")</f>
        <v>1</v>
      </c>
      <c r="L76" s="12">
        <f>IF(ISNUMBER(对照快照!BG189),对照快照!BG189,"")</f>
        <v>1</v>
      </c>
      <c r="M76" s="12">
        <f t="shared" si="40"/>
        <v>0</v>
      </c>
      <c r="N76" s="17">
        <f t="shared" si="41"/>
        <v>-13.45817</v>
      </c>
      <c r="O76" s="17">
        <f t="shared" si="42"/>
        <v>-13.45817</v>
      </c>
      <c r="P76" s="17">
        <f t="shared" si="43"/>
        <v>0</v>
      </c>
      <c r="Q76" s="17">
        <f t="shared" si="44"/>
        <v>-0.00182999999999822</v>
      </c>
      <c r="R76" s="17">
        <f t="shared" si="45"/>
        <v>0</v>
      </c>
      <c r="S76" s="9" t="str">
        <f t="shared" si="46"/>
        <v>差异已分解，独立复算相符</v>
      </c>
      <c r="T76" s="18" t="s">
        <v>1498</v>
      </c>
      <c r="U76" s="9" t="s">
        <v>449</v>
      </c>
      <c r="V76" s="17">
        <f>IF(ISNUMBER('Sheet2-计算明细'!AR87),'Sheet2-计算明细'!AR87,"")</f>
        <v>65.71879</v>
      </c>
      <c r="W76" s="17">
        <f>IF(ISNUMBER(对照快照!BH189),对照快照!BH189,"")</f>
        <v>79.17696</v>
      </c>
      <c r="X76" s="9">
        <v>189</v>
      </c>
      <c r="Y76" s="13">
        <v>68.96</v>
      </c>
      <c r="Z76" s="13">
        <f t="shared" si="37"/>
        <v>-3.23999999999999</v>
      </c>
      <c r="AA76" s="13">
        <v>0</v>
      </c>
    </row>
    <row r="77" ht="62" customHeight="1" spans="1:27">
      <c r="A77" s="9" t="s">
        <v>454</v>
      </c>
      <c r="B77" s="9" t="s">
        <v>453</v>
      </c>
      <c r="C77" s="9" t="s">
        <v>1241</v>
      </c>
      <c r="D77" s="13" t="str">
        <f>IF(ISNUMBER('Sheet2-计算明细'!AV88),'Sheet2-计算明细'!AV88,"")</f>
        <v/>
      </c>
      <c r="E77" s="13" t="str">
        <f>IF(ISNUMBER(对照快照!BE124),对照快照!BE124,"")</f>
        <v/>
      </c>
      <c r="F77" s="13" t="str">
        <f t="shared" si="38"/>
        <v/>
      </c>
      <c r="G77" s="13">
        <f>IF(ISNUMBER('Sheet2-计算明细'!AS88),'Sheet2-计算明细'!AS88,"")</f>
        <v>40.86</v>
      </c>
      <c r="H77" s="13">
        <f>IF(ISNUMBER(对照快照!BF124),对照快照!BF124,"")</f>
        <v>46.35</v>
      </c>
      <c r="I77" s="13">
        <f t="shared" si="39"/>
        <v>-5.49</v>
      </c>
      <c r="J77" s="9" t="str">
        <f>IF(COUNT(F77,I77)=0,"不可直接比较",IF(OR(IF(ISNUMBER(F77),ABS(F77)&gt;='Sheet1-指标体系'!$J$32,FALSE),IF(ISNUMBER(I77),ABS(I77)&gt;='Sheet1-指标体系'!$J$32,FALSE)),"重点排查","差异小于阈值"))</f>
        <v>重点排查</v>
      </c>
      <c r="K77" s="12">
        <f>IF(ISNUMBER('Sheet2-计算明细'!AQ88),'Sheet2-计算明细'!AQ88,"")</f>
        <v>0.88</v>
      </c>
      <c r="L77" s="12">
        <f>IF(ISNUMBER(对照快照!BG124),对照快照!BG124,"")</f>
        <v>0.724</v>
      </c>
      <c r="M77" s="12">
        <f t="shared" si="40"/>
        <v>0.156</v>
      </c>
      <c r="N77" s="17">
        <f t="shared" si="41"/>
        <v>2.39821999999999</v>
      </c>
      <c r="O77" s="17">
        <f t="shared" si="42"/>
        <v>2.72524999999999</v>
      </c>
      <c r="P77" s="17">
        <f t="shared" si="43"/>
        <v>-8.21605223505776</v>
      </c>
      <c r="Q77" s="17">
        <f t="shared" si="44"/>
        <v>0.000802235057761891</v>
      </c>
      <c r="R77" s="17">
        <f t="shared" si="45"/>
        <v>0</v>
      </c>
      <c r="S77" s="9" t="str">
        <f t="shared" si="46"/>
        <v>差异已分解，独立复算相符</v>
      </c>
      <c r="T77" s="18" t="s">
        <v>1526</v>
      </c>
      <c r="U77" s="9" t="s">
        <v>453</v>
      </c>
      <c r="V77" s="17">
        <f>IF(ISNUMBER('Sheet2-计算明细'!AR88),'Sheet2-计算明细'!AR88,"")</f>
        <v>35.95342</v>
      </c>
      <c r="W77" s="17">
        <f>IF(ISNUMBER(对照快照!BH124),对照快照!BH124,"")</f>
        <v>33.5552</v>
      </c>
      <c r="X77" s="9">
        <v>124</v>
      </c>
      <c r="Y77" s="13">
        <v>40.59</v>
      </c>
      <c r="Z77" s="13">
        <f t="shared" si="37"/>
        <v>0.269999999999996</v>
      </c>
      <c r="AA77" s="13">
        <v>0</v>
      </c>
    </row>
    <row r="78" ht="62" customHeight="1" spans="1:27">
      <c r="A78" s="9" t="s">
        <v>460</v>
      </c>
      <c r="B78" s="9" t="s">
        <v>459</v>
      </c>
      <c r="C78" s="9" t="s">
        <v>1241</v>
      </c>
      <c r="D78" s="13">
        <f>IF(ISNUMBER('Sheet2-计算明细'!AV89),'Sheet2-计算明细'!AV89,"")</f>
        <v>86.1365</v>
      </c>
      <c r="E78" s="13">
        <f>IF(ISNUMBER(对照快照!BE29),对照快照!BE29,"")</f>
        <v>90.70834</v>
      </c>
      <c r="F78" s="13">
        <f t="shared" si="38"/>
        <v>-4.57183999999999</v>
      </c>
      <c r="G78" s="13">
        <f>IF(ISNUMBER('Sheet2-计算明细'!AS89),'Sheet2-计算明细'!AS89,"")</f>
        <v>86.14</v>
      </c>
      <c r="H78" s="13">
        <f>IF(ISNUMBER(对照快照!BF29),对照快照!BF29,"")</f>
        <v>90.71</v>
      </c>
      <c r="I78" s="13">
        <f t="shared" si="39"/>
        <v>-4.56999999999999</v>
      </c>
      <c r="J78" s="9" t="str">
        <f>IF(COUNT(F78,I78)=0,"不可直接比较",IF(OR(IF(ISNUMBER(F78),ABS(F78)&gt;='Sheet1-指标体系'!$J$32,FALSE),IF(ISNUMBER(I78),ABS(I78)&gt;='Sheet1-指标体系'!$J$32,FALSE)),"重点排查","差异小于阈值"))</f>
        <v>差异小于阈值</v>
      </c>
      <c r="K78" s="12">
        <f>IF(ISNUMBER('Sheet2-计算明细'!AQ89),'Sheet2-计算明细'!AQ89,"")</f>
        <v>1</v>
      </c>
      <c r="L78" s="12">
        <f>IF(ISNUMBER(对照快照!BG29),对照快照!BG29,"")</f>
        <v>1</v>
      </c>
      <c r="M78" s="12">
        <f t="shared" si="40"/>
        <v>0</v>
      </c>
      <c r="N78" s="17">
        <f t="shared" si="41"/>
        <v>-4.57183999999999</v>
      </c>
      <c r="O78" s="17">
        <f t="shared" si="42"/>
        <v>-4.57183999999999</v>
      </c>
      <c r="P78" s="17">
        <f t="shared" si="43"/>
        <v>0</v>
      </c>
      <c r="Q78" s="17">
        <f t="shared" si="44"/>
        <v>0.0018400000000014</v>
      </c>
      <c r="R78" s="17">
        <f t="shared" si="45"/>
        <v>0</v>
      </c>
      <c r="S78" s="9" t="str">
        <f t="shared" si="46"/>
        <v>差异已分解，独立复算相符</v>
      </c>
      <c r="T78" s="18" t="s">
        <v>1496</v>
      </c>
      <c r="U78" s="9" t="s">
        <v>459</v>
      </c>
      <c r="V78" s="17">
        <f>IF(ISNUMBER('Sheet2-计算明细'!AR89),'Sheet2-计算明细'!AR89,"")</f>
        <v>86.1365</v>
      </c>
      <c r="W78" s="17">
        <f>IF(ISNUMBER(对照快照!BH29),对照快照!BH29,"")</f>
        <v>90.70834</v>
      </c>
      <c r="X78" s="9">
        <v>29</v>
      </c>
      <c r="Y78" s="13">
        <v>88.97</v>
      </c>
      <c r="Z78" s="13">
        <f t="shared" si="37"/>
        <v>-2.83</v>
      </c>
      <c r="AA78" s="13">
        <v>0</v>
      </c>
    </row>
    <row r="79" ht="62" customHeight="1" spans="1:27">
      <c r="A79" s="9" t="s">
        <v>466</v>
      </c>
      <c r="B79" s="9" t="s">
        <v>464</v>
      </c>
      <c r="C79" s="9" t="s">
        <v>1489</v>
      </c>
      <c r="D79" s="13">
        <f>IF(ISNUMBER('Sheet2-计算明细'!AV90),'Sheet2-计算明细'!AV90,"")</f>
        <v>55.04391</v>
      </c>
      <c r="E79" s="13"/>
      <c r="F79" s="13"/>
      <c r="G79" s="13">
        <f>IF(ISNUMBER('Sheet2-计算明细'!AS90),'Sheet2-计算明细'!AS90,"")</f>
        <v>55.04</v>
      </c>
      <c r="H79" s="13"/>
      <c r="I79" s="13"/>
      <c r="J79" s="9" t="s">
        <v>1490</v>
      </c>
      <c r="K79" s="12">
        <f>IF(ISNUMBER('Sheet2-计算明细'!AQ90),'Sheet2-计算明细'!AQ90,"")</f>
        <v>1</v>
      </c>
      <c r="L79" s="12"/>
      <c r="M79" s="12"/>
      <c r="N79" s="17"/>
      <c r="O79" s="17"/>
      <c r="P79" s="17"/>
      <c r="Q79" s="17"/>
      <c r="R79" s="17"/>
      <c r="S79" s="9" t="s">
        <v>1491</v>
      </c>
      <c r="T79" s="18" t="s">
        <v>1492</v>
      </c>
      <c r="U79" s="9"/>
      <c r="V79" s="17">
        <f>IF(ISNUMBER('Sheet2-计算明细'!AR90),'Sheet2-计算明细'!AR90,"")</f>
        <v>55.04391</v>
      </c>
      <c r="W79" s="17"/>
      <c r="X79" s="9"/>
      <c r="Y79" s="13">
        <v>56.3</v>
      </c>
      <c r="Z79" s="13">
        <f t="shared" si="37"/>
        <v>-1.26</v>
      </c>
      <c r="AA79" s="13"/>
    </row>
    <row r="80" ht="62" customHeight="1" spans="1:27">
      <c r="A80" s="9" t="s">
        <v>472</v>
      </c>
      <c r="B80" s="9" t="s">
        <v>471</v>
      </c>
      <c r="C80" s="9" t="s">
        <v>1489</v>
      </c>
      <c r="D80" s="13" t="str">
        <f>IF(ISNUMBER('Sheet2-计算明细'!AV91),'Sheet2-计算明细'!AV91,"")</f>
        <v/>
      </c>
      <c r="E80" s="13"/>
      <c r="F80" s="13"/>
      <c r="G80" s="13">
        <f>IF(ISNUMBER('Sheet2-计算明细'!AS91),'Sheet2-计算明细'!AS91,"")</f>
        <v>83.17</v>
      </c>
      <c r="H80" s="13"/>
      <c r="I80" s="13"/>
      <c r="J80" s="9" t="s">
        <v>1490</v>
      </c>
      <c r="K80" s="12">
        <f>IF(ISNUMBER('Sheet2-计算明细'!AQ91),'Sheet2-计算明细'!AQ91,"")</f>
        <v>0.88</v>
      </c>
      <c r="L80" s="12"/>
      <c r="M80" s="12"/>
      <c r="N80" s="17"/>
      <c r="O80" s="17"/>
      <c r="P80" s="17"/>
      <c r="Q80" s="17"/>
      <c r="R80" s="17"/>
      <c r="S80" s="9" t="s">
        <v>1491</v>
      </c>
      <c r="T80" s="18" t="s">
        <v>1492</v>
      </c>
      <c r="U80" s="9"/>
      <c r="V80" s="17">
        <f>IF(ISNUMBER('Sheet2-计算明细'!AR91),'Sheet2-计算明细'!AR91,"")</f>
        <v>73.18582</v>
      </c>
      <c r="W80" s="17"/>
      <c r="X80" s="9"/>
      <c r="Y80" s="13">
        <v>85.34</v>
      </c>
      <c r="Z80" s="13">
        <f t="shared" si="37"/>
        <v>-2.17</v>
      </c>
      <c r="AA80" s="13"/>
    </row>
    <row r="81" ht="62" customHeight="1" spans="1:27">
      <c r="A81" s="9" t="s">
        <v>477</v>
      </c>
      <c r="B81" s="9" t="s">
        <v>476</v>
      </c>
      <c r="C81" s="9" t="s">
        <v>1489</v>
      </c>
      <c r="D81" s="13" t="str">
        <f>IF(ISNUMBER('Sheet2-计算明细'!AV92),'Sheet2-计算明细'!AV92,"")</f>
        <v/>
      </c>
      <c r="E81" s="13"/>
      <c r="F81" s="13"/>
      <c r="G81" s="13">
        <f>IF(ISNUMBER('Sheet2-计算明细'!AS92),'Sheet2-计算明细'!AS92,"")</f>
        <v>85.34</v>
      </c>
      <c r="H81" s="13"/>
      <c r="I81" s="13"/>
      <c r="J81" s="9" t="s">
        <v>1490</v>
      </c>
      <c r="K81" s="12">
        <f>IF(ISNUMBER('Sheet2-计算明细'!AQ92),'Sheet2-计算明细'!AQ92,"")</f>
        <v>0.174</v>
      </c>
      <c r="L81" s="12"/>
      <c r="M81" s="12"/>
      <c r="N81" s="17"/>
      <c r="O81" s="17"/>
      <c r="P81" s="17"/>
      <c r="Q81" s="17"/>
      <c r="R81" s="17"/>
      <c r="S81" s="9" t="s">
        <v>1491</v>
      </c>
      <c r="T81" s="18" t="s">
        <v>1492</v>
      </c>
      <c r="U81" s="9"/>
      <c r="V81" s="17">
        <f>IF(ISNUMBER('Sheet2-计算明细'!AR92),'Sheet2-计算明细'!AR92,"")</f>
        <v>14.85</v>
      </c>
      <c r="W81" s="17"/>
      <c r="X81" s="9"/>
      <c r="Y81" s="13">
        <v>85.34</v>
      </c>
      <c r="Z81" s="13">
        <f t="shared" si="37"/>
        <v>0</v>
      </c>
      <c r="AA81" s="13"/>
    </row>
    <row r="82" ht="62" customHeight="1" spans="1:27">
      <c r="A82" s="9" t="s">
        <v>481</v>
      </c>
      <c r="B82" s="9" t="s">
        <v>480</v>
      </c>
      <c r="C82" s="9" t="s">
        <v>1489</v>
      </c>
      <c r="D82" s="13" t="str">
        <f>IF(ISNUMBER('Sheet2-计算明细'!AV93),'Sheet2-计算明细'!AV93,"")</f>
        <v/>
      </c>
      <c r="E82" s="13"/>
      <c r="F82" s="13"/>
      <c r="G82" s="13" t="str">
        <f>IF(ISNUMBER('Sheet2-计算明细'!AS93),'Sheet2-计算明细'!AS93,"")</f>
        <v/>
      </c>
      <c r="H82" s="13"/>
      <c r="I82" s="13"/>
      <c r="J82" s="9" t="s">
        <v>1490</v>
      </c>
      <c r="K82" s="12">
        <f>IF(ISNUMBER('Sheet2-计算明细'!AQ93),'Sheet2-计算明细'!AQ93,"")</f>
        <v>0</v>
      </c>
      <c r="L82" s="12"/>
      <c r="M82" s="12"/>
      <c r="N82" s="17"/>
      <c r="O82" s="17"/>
      <c r="P82" s="17"/>
      <c r="Q82" s="17"/>
      <c r="R82" s="17"/>
      <c r="S82" s="9" t="s">
        <v>1491</v>
      </c>
      <c r="T82" s="18" t="s">
        <v>1492</v>
      </c>
      <c r="U82" s="9"/>
      <c r="V82" s="17" t="str">
        <f>IF(ISNUMBER('Sheet2-计算明细'!AR93),'Sheet2-计算明细'!AR93,"")</f>
        <v/>
      </c>
      <c r="W82" s="17"/>
      <c r="X82" s="9"/>
      <c r="Y82" s="13"/>
      <c r="Z82" s="13" t="str">
        <f t="shared" si="37"/>
        <v/>
      </c>
      <c r="AA82" s="13"/>
    </row>
    <row r="83" ht="62" customHeight="1" spans="1:27">
      <c r="A83" s="9" t="s">
        <v>488</v>
      </c>
      <c r="B83" s="9" t="s">
        <v>486</v>
      </c>
      <c r="C83" s="9" t="s">
        <v>1241</v>
      </c>
      <c r="D83" s="13" t="str">
        <f>IF(ISNUMBER('Sheet2-计算明细'!AV94),'Sheet2-计算明细'!AV94,"")</f>
        <v/>
      </c>
      <c r="E83" s="13" t="str">
        <f>IF(ISNUMBER(对照快照!BE6),对照快照!BE6,"")</f>
        <v/>
      </c>
      <c r="F83" s="13" t="str">
        <f>IF(COUNT(D83:E83)=2,D83-E83,"")</f>
        <v/>
      </c>
      <c r="G83" s="13">
        <f>IF(ISNUMBER('Sheet2-计算明细'!AS94),'Sheet2-计算明细'!AS94,"")</f>
        <v>55.58</v>
      </c>
      <c r="H83" s="13">
        <f>IF(ISNUMBER(对照快照!BF6),对照快照!BF6,"")</f>
        <v>69.13</v>
      </c>
      <c r="I83" s="13">
        <f>IF(COUNT(G83:H83)=2,G83-H83,"")</f>
        <v>-13.55</v>
      </c>
      <c r="J83" s="9" t="str">
        <f>IF(COUNT(F83,I83)=0,"不可直接比较",IF(OR(IF(ISNUMBER(F83),ABS(F83)&gt;='Sheet1-指标体系'!$J$32,FALSE),IF(ISNUMBER(I83),ABS(I83)&gt;='Sheet1-指标体系'!$J$32,FALSE)),"重点排查","差异小于阈值"))</f>
        <v>重点排查</v>
      </c>
      <c r="K83" s="12">
        <f>IF(ISNUMBER('Sheet2-计算明细'!AQ94),'Sheet2-计算明细'!AQ94,"")</f>
        <v>0.88</v>
      </c>
      <c r="L83" s="12">
        <f>IF(ISNUMBER(对照快照!BG6),对照快照!BG6,"")</f>
        <v>0.88</v>
      </c>
      <c r="M83" s="12">
        <f>K83-L83</f>
        <v>0</v>
      </c>
      <c r="N83" s="17">
        <f>IF(COUNT(V83:W83)=2,V83-W83,"")</f>
        <v>-11.92631</v>
      </c>
      <c r="O83" s="17">
        <f>IF(AND(COUNT(N83,K83)=2,K83&gt;0),N83/K83,"")</f>
        <v>-13.552625</v>
      </c>
      <c r="P83" s="17">
        <f>IF(AND(COUNT(K83:L83,W83)=3,K83&gt;0,L83&gt;0),W83*(1/K83-1/L83),"")</f>
        <v>0</v>
      </c>
      <c r="Q83" s="17">
        <f>IF(COUNT(I83,O83:P83)=3,I83-O83-P83,"")</f>
        <v>0.00262499999999655</v>
      </c>
      <c r="R83" s="17">
        <f>IF(COUNT(I83,O83:Q83)=4,I83-SUM(O83:Q83),"")</f>
        <v>0</v>
      </c>
      <c r="S83" s="9" t="str">
        <f>IF(NOT(ISNUMBER(I83)),"一侧缺总分，保留缺失原因",IF(AND(ABS(R83)&lt;0.00000001,ABS(AA83)&lt;0.05),"差异已分解，独立复算相符","存在未解释差异"))</f>
        <v>差异已分解，独立复算相符</v>
      </c>
      <c r="T83" s="18" t="s">
        <v>1527</v>
      </c>
      <c r="U83" s="9" t="s">
        <v>486</v>
      </c>
      <c r="V83" s="17">
        <f>IF(ISNUMBER('Sheet2-计算明细'!AR94),'Sheet2-计算明细'!AR94,"")</f>
        <v>48.90839</v>
      </c>
      <c r="W83" s="17">
        <f>IF(ISNUMBER(对照快照!BH6),对照快照!BH6,"")</f>
        <v>60.8347</v>
      </c>
      <c r="X83" s="9">
        <v>6</v>
      </c>
      <c r="Y83" s="13">
        <v>57.93</v>
      </c>
      <c r="Z83" s="13">
        <f t="shared" si="37"/>
        <v>-2.35</v>
      </c>
      <c r="AA83" s="13">
        <v>0</v>
      </c>
    </row>
    <row r="84" ht="62" customHeight="1" spans="1:27">
      <c r="A84" s="9" t="s">
        <v>495</v>
      </c>
      <c r="B84" s="9" t="s">
        <v>493</v>
      </c>
      <c r="C84" s="9" t="s">
        <v>1489</v>
      </c>
      <c r="D84" s="13">
        <f>IF(ISNUMBER('Sheet2-计算明细'!AV95),'Sheet2-计算明细'!AV95,"")</f>
        <v>38.81385</v>
      </c>
      <c r="E84" s="13"/>
      <c r="F84" s="13"/>
      <c r="G84" s="13">
        <f>IF(ISNUMBER('Sheet2-计算明细'!AS95),'Sheet2-计算明细'!AS95,"")</f>
        <v>38.81</v>
      </c>
      <c r="H84" s="13"/>
      <c r="I84" s="13"/>
      <c r="J84" s="9" t="s">
        <v>1490</v>
      </c>
      <c r="K84" s="12">
        <f>IF(ISNUMBER('Sheet2-计算明细'!AQ95),'Sheet2-计算明细'!AQ95,"")</f>
        <v>1</v>
      </c>
      <c r="L84" s="12"/>
      <c r="M84" s="12"/>
      <c r="N84" s="17"/>
      <c r="O84" s="17"/>
      <c r="P84" s="17"/>
      <c r="Q84" s="17"/>
      <c r="R84" s="17"/>
      <c r="S84" s="9" t="s">
        <v>1491</v>
      </c>
      <c r="T84" s="18" t="s">
        <v>1492</v>
      </c>
      <c r="U84" s="9"/>
      <c r="V84" s="17">
        <f>IF(ISNUMBER('Sheet2-计算明细'!AR95),'Sheet2-计算明细'!AR95,"")</f>
        <v>38.81385</v>
      </c>
      <c r="W84" s="17"/>
      <c r="X84" s="9"/>
      <c r="Y84" s="13">
        <v>38.71</v>
      </c>
      <c r="Z84" s="13">
        <f t="shared" si="37"/>
        <v>0.100000000000001</v>
      </c>
      <c r="AA84" s="13"/>
    </row>
    <row r="85" ht="62" customHeight="1" spans="1:27">
      <c r="A85" s="9" t="s">
        <v>502</v>
      </c>
      <c r="B85" s="9" t="s">
        <v>499</v>
      </c>
      <c r="C85" s="9" t="s">
        <v>1241</v>
      </c>
      <c r="D85" s="13" t="str">
        <f>IF(ISNUMBER('Sheet2-计算明细'!AV96),'Sheet2-计算明细'!AV96,"")</f>
        <v/>
      </c>
      <c r="E85" s="13" t="str">
        <f>IF(ISNUMBER(对照快照!BE292),对照快照!BE292,"")</f>
        <v/>
      </c>
      <c r="F85" s="13" t="str">
        <f>IF(COUNT(D85:E85)=2,D85-E85,"")</f>
        <v/>
      </c>
      <c r="G85" s="13">
        <f>IF(ISNUMBER('Sheet2-计算明细'!AS96),'Sheet2-计算明细'!AS96,"")</f>
        <v>82.43</v>
      </c>
      <c r="H85" s="13">
        <f>IF(ISNUMBER(对照快照!BF292),对照快照!BF292,"")</f>
        <v>89.66</v>
      </c>
      <c r="I85" s="13">
        <f>IF(COUNT(G85:H85)=2,G85-H85,"")</f>
        <v>-7.22999999999999</v>
      </c>
      <c r="J85" s="9" t="str">
        <f>IF(COUNT(F85,I85)=0,"不可直接比较",IF(OR(IF(ISNUMBER(F85),ABS(F85)&gt;='Sheet1-指标体系'!$J$32,FALSE),IF(ISNUMBER(I85),ABS(I85)&gt;='Sheet1-指标体系'!$J$32,FALSE)),"重点排查","差异小于阈值"))</f>
        <v>重点排查</v>
      </c>
      <c r="K85" s="12">
        <f>IF(ISNUMBER('Sheet2-计算明细'!AQ96),'Sheet2-计算明细'!AQ96,"")</f>
        <v>0.88</v>
      </c>
      <c r="L85" s="12">
        <f>IF(ISNUMBER(对照快照!BG292),对照快照!BG292,"")</f>
        <v>0.724</v>
      </c>
      <c r="M85" s="12">
        <f>K85-L85</f>
        <v>0.156</v>
      </c>
      <c r="N85" s="17">
        <f>IF(COUNT(V85:W85)=2,V85-W85,"")</f>
        <v>7.62261999999998</v>
      </c>
      <c r="O85" s="17">
        <f>IF(AND(COUNT(N85,K85)=2,K85&gt;0),N85/K85,"")</f>
        <v>8.66206818181816</v>
      </c>
      <c r="P85" s="17">
        <f>IF(AND(COUNT(K85:L85,W85)=3,K85&gt;0,L85&gt;0),W85*(1/K85-1/L85),"")</f>
        <v>-15.8938760673029</v>
      </c>
      <c r="Q85" s="17">
        <f>IF(COUNT(I85,O85:P85)=3,I85-O85-P85,"")</f>
        <v>0.00180788548470545</v>
      </c>
      <c r="R85" s="17">
        <f>IF(COUNT(I85,O85:Q85)=4,I85-SUM(O85:Q85),"")</f>
        <v>0</v>
      </c>
      <c r="S85" s="9" t="str">
        <f>IF(NOT(ISNUMBER(I85)),"一侧缺总分，保留缺失原因",IF(AND(ABS(R85)&lt;0.00000001,ABS(AA85)&lt;0.05),"差异已分解，独立复算相符","存在未解释差异"))</f>
        <v>差异已分解，独立复算相符</v>
      </c>
      <c r="T85" s="18" t="s">
        <v>1528</v>
      </c>
      <c r="U85" s="9" t="s">
        <v>499</v>
      </c>
      <c r="V85" s="17">
        <f>IF(ISNUMBER('Sheet2-计算明细'!AR96),'Sheet2-计算明细'!AR96,"")</f>
        <v>72.53484</v>
      </c>
      <c r="W85" s="17">
        <f>IF(ISNUMBER(对照快照!BH292),对照快照!BH292,"")</f>
        <v>64.91222</v>
      </c>
      <c r="X85" s="9">
        <v>292</v>
      </c>
      <c r="Y85" s="13">
        <v>85.24</v>
      </c>
      <c r="Z85" s="13">
        <f t="shared" si="37"/>
        <v>-2.80999999999999</v>
      </c>
      <c r="AA85" s="13">
        <v>0</v>
      </c>
    </row>
    <row r="86" ht="62" customHeight="1" spans="1:27">
      <c r="A86" s="9" t="s">
        <v>508</v>
      </c>
      <c r="B86" s="9" t="s">
        <v>507</v>
      </c>
      <c r="C86" s="9" t="s">
        <v>1241</v>
      </c>
      <c r="D86" s="13" t="str">
        <f>IF(ISNUMBER('Sheet2-计算明细'!AV97),'Sheet2-计算明细'!AV97,"")</f>
        <v/>
      </c>
      <c r="E86" s="13" t="str">
        <f>IF(ISNUMBER(对照快照!BE293),对照快照!BE293,"")</f>
        <v/>
      </c>
      <c r="F86" s="13" t="str">
        <f>IF(COUNT(D86:E86)=2,D86-E86,"")</f>
        <v/>
      </c>
      <c r="G86" s="13">
        <f>IF(ISNUMBER('Sheet2-计算明细'!AS97),'Sheet2-计算明细'!AS97,"")</f>
        <v>48.77</v>
      </c>
      <c r="H86" s="13">
        <f>IF(ISNUMBER(对照快照!BF293),对照快照!BF293,"")</f>
        <v>58.04</v>
      </c>
      <c r="I86" s="13">
        <f>IF(COUNT(G86:H86)=2,G86-H86,"")</f>
        <v>-9.27</v>
      </c>
      <c r="J86" s="9" t="str">
        <f>IF(COUNT(F86,I86)=0,"不可直接比较",IF(OR(IF(ISNUMBER(F86),ABS(F86)&gt;='Sheet1-指标体系'!$J$32,FALSE),IF(ISNUMBER(I86),ABS(I86)&gt;='Sheet1-指标体系'!$J$32,FALSE)),"重点排查","差异小于阈值"))</f>
        <v>重点排查</v>
      </c>
      <c r="K86" s="12">
        <f>IF(ISNUMBER('Sheet2-计算明细'!AQ97),'Sheet2-计算明细'!AQ97,"")</f>
        <v>0.88</v>
      </c>
      <c r="L86" s="12">
        <f>IF(ISNUMBER(对照快照!BG293),对照快照!BG293,"")</f>
        <v>0.724</v>
      </c>
      <c r="M86" s="12">
        <f>K86-L86</f>
        <v>0.156</v>
      </c>
      <c r="N86" s="17">
        <f>IF(COUNT(V86:W86)=2,V86-W86,"")</f>
        <v>0.895859999999999</v>
      </c>
      <c r="O86" s="17">
        <f>IF(AND(COUNT(N86,K86)=2,K86&gt;0),N86/K86,"")</f>
        <v>1.01802272727273</v>
      </c>
      <c r="P86" s="17">
        <f>IF(AND(COUNT(K86:L86,W86)=3,K86&gt;0,L86&gt;0),W86*(1/K86-1/L86),"")</f>
        <v>-10.2888992968358</v>
      </c>
      <c r="Q86" s="17">
        <f>IF(COUNT(I86,O86:P86)=3,I86-O86-P86,"")</f>
        <v>0.000876569563034835</v>
      </c>
      <c r="R86" s="17">
        <f>IF(COUNT(I86,O86:Q86)=4,I86-SUM(O86:Q86),"")</f>
        <v>0</v>
      </c>
      <c r="S86" s="9" t="str">
        <f>IF(NOT(ISNUMBER(I86)),"一侧缺总分，保留缺失原因",IF(AND(ABS(R86)&lt;0.00000001,ABS(AA86)&lt;0.05),"差异已分解，独立复算相符","存在未解释差异"))</f>
        <v>差异已分解，独立复算相符</v>
      </c>
      <c r="T86" s="18" t="s">
        <v>1526</v>
      </c>
      <c r="U86" s="9" t="s">
        <v>507</v>
      </c>
      <c r="V86" s="17">
        <f>IF(ISNUMBER('Sheet2-计算明细'!AR97),'Sheet2-计算明细'!AR97,"")</f>
        <v>42.91678</v>
      </c>
      <c r="W86" s="17">
        <f>IF(ISNUMBER(对照快照!BH293),对照快照!BH293,"")</f>
        <v>42.02092</v>
      </c>
      <c r="X86" s="9">
        <v>293</v>
      </c>
      <c r="Y86" s="13">
        <v>53.7</v>
      </c>
      <c r="Z86" s="13">
        <f t="shared" si="37"/>
        <v>-4.93</v>
      </c>
      <c r="AA86" s="13">
        <v>0</v>
      </c>
    </row>
    <row r="87" ht="62" customHeight="1" spans="1:27">
      <c r="A87" s="9" t="s">
        <v>513</v>
      </c>
      <c r="B87" s="9" t="s">
        <v>512</v>
      </c>
      <c r="C87" s="9" t="s">
        <v>1489</v>
      </c>
      <c r="D87" s="13">
        <f>IF(ISNUMBER('Sheet2-计算明细'!AV98),'Sheet2-计算明细'!AV98,"")</f>
        <v>48.44721</v>
      </c>
      <c r="E87" s="13"/>
      <c r="F87" s="13"/>
      <c r="G87" s="13">
        <f>IF(ISNUMBER('Sheet2-计算明细'!AS98),'Sheet2-计算明细'!AS98,"")</f>
        <v>48.45</v>
      </c>
      <c r="H87" s="13"/>
      <c r="I87" s="13"/>
      <c r="J87" s="9" t="s">
        <v>1490</v>
      </c>
      <c r="K87" s="12">
        <f>IF(ISNUMBER('Sheet2-计算明细'!AQ98),'Sheet2-计算明细'!AQ98,"")</f>
        <v>1</v>
      </c>
      <c r="L87" s="12"/>
      <c r="M87" s="12"/>
      <c r="N87" s="17"/>
      <c r="O87" s="17"/>
      <c r="P87" s="17"/>
      <c r="Q87" s="17"/>
      <c r="R87" s="17"/>
      <c r="S87" s="9" t="s">
        <v>1491</v>
      </c>
      <c r="T87" s="18" t="s">
        <v>1492</v>
      </c>
      <c r="U87" s="9"/>
      <c r="V87" s="17">
        <f>IF(ISNUMBER('Sheet2-计算明细'!AR98),'Sheet2-计算明细'!AR98,"")</f>
        <v>48.44721</v>
      </c>
      <c r="W87" s="17"/>
      <c r="X87" s="9"/>
      <c r="Y87" s="13">
        <v>49.8</v>
      </c>
      <c r="Z87" s="13">
        <f t="shared" si="37"/>
        <v>-1.34999999999999</v>
      </c>
      <c r="AA87" s="13"/>
    </row>
    <row r="88" ht="62" customHeight="1" spans="1:27">
      <c r="A88" s="9" t="s">
        <v>816</v>
      </c>
      <c r="B88" s="9" t="s">
        <v>518</v>
      </c>
      <c r="C88" s="9" t="s">
        <v>1489</v>
      </c>
      <c r="D88" s="13" t="str">
        <f>IF(ISNUMBER('Sheet2-计算明细'!AV99),'Sheet2-计算明细'!AV99,"")</f>
        <v/>
      </c>
      <c r="E88" s="13"/>
      <c r="F88" s="13"/>
      <c r="G88" s="13">
        <f>IF(ISNUMBER('Sheet2-计算明细'!AS99),'Sheet2-计算明细'!AS99,"")</f>
        <v>78.88</v>
      </c>
      <c r="H88" s="13"/>
      <c r="I88" s="13"/>
      <c r="J88" s="9" t="s">
        <v>1490</v>
      </c>
      <c r="K88" s="12">
        <f>IF(ISNUMBER('Sheet2-计算明细'!AQ99),'Sheet2-计算明细'!AQ99,"")</f>
        <v>0.7</v>
      </c>
      <c r="L88" s="12"/>
      <c r="M88" s="12"/>
      <c r="N88" s="17"/>
      <c r="O88" s="17"/>
      <c r="P88" s="17"/>
      <c r="Q88" s="17"/>
      <c r="R88" s="17"/>
      <c r="S88" s="9" t="s">
        <v>1491</v>
      </c>
      <c r="T88" s="18" t="s">
        <v>1492</v>
      </c>
      <c r="U88" s="9"/>
      <c r="V88" s="17">
        <f>IF(ISNUMBER('Sheet2-计算明细'!AR99),'Sheet2-计算明细'!AR99,"")</f>
        <v>55.21864</v>
      </c>
      <c r="W88" s="17"/>
      <c r="X88" s="9"/>
      <c r="Y88" s="13">
        <v>87</v>
      </c>
      <c r="Z88" s="13">
        <f t="shared" si="37"/>
        <v>-8.12</v>
      </c>
      <c r="AA88" s="13"/>
    </row>
  </sheetData>
  <conditionalFormatting sqref="J6:J88">
    <cfRule type="containsText" dxfId="2" priority="1" operator="between" text="重点排查">
      <formula>NOT(ISERROR(SEARCH("重点排查",J6)))</formula>
    </cfRule>
  </conditionalFormatting>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28"/>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6.8"/>
  <cols>
    <col min="1" max="1" width="15" customWidth="1"/>
    <col min="2" max="2" width="30" customWidth="1"/>
    <col min="3" max="11" width="15" customWidth="1"/>
    <col min="12" max="12" width="65" customWidth="1"/>
  </cols>
  <sheetData>
    <row r="1" ht="43" customHeight="1" spans="1:12">
      <c r="A1" s="7" t="s">
        <v>673</v>
      </c>
      <c r="B1" s="8" t="s">
        <v>2</v>
      </c>
      <c r="C1" s="8" t="s">
        <v>1529</v>
      </c>
      <c r="D1" s="8" t="s">
        <v>532</v>
      </c>
      <c r="E1" s="8" t="s">
        <v>1530</v>
      </c>
      <c r="F1" s="8" t="s">
        <v>1531</v>
      </c>
      <c r="G1" s="8" t="s">
        <v>1532</v>
      </c>
      <c r="H1" s="8" t="s">
        <v>1533</v>
      </c>
      <c r="I1" s="8" t="s">
        <v>1534</v>
      </c>
      <c r="J1" s="8" t="s">
        <v>1535</v>
      </c>
      <c r="K1" s="8" t="s">
        <v>1536</v>
      </c>
      <c r="L1" s="14" t="s">
        <v>1537</v>
      </c>
    </row>
    <row r="2" ht="25" customHeight="1" spans="1:12">
      <c r="A2" s="9" t="s">
        <v>40</v>
      </c>
      <c r="B2" s="9" t="s">
        <v>33</v>
      </c>
      <c r="C2" s="9" t="s">
        <v>538</v>
      </c>
      <c r="D2" s="12">
        <v>0.06</v>
      </c>
      <c r="E2" s="13">
        <f>IF(ISNUMBER('Sheet2-计算明细'!I17),'Sheet2-计算明细'!I17,"")</f>
        <v>90</v>
      </c>
      <c r="F2" s="13">
        <f>IF(ISNUMBER(对照快照!I12),对照快照!I12,"")</f>
        <v>90</v>
      </c>
      <c r="G2" s="13">
        <f t="shared" ref="G2:G65" si="0">IF(ISNUMBER(E2),D2*E2,0)</f>
        <v>5.4</v>
      </c>
      <c r="H2" s="13">
        <f t="shared" ref="H2:H65" si="1">IF(ISNUMBER(F2),D2*F2,0)</f>
        <v>5.4</v>
      </c>
      <c r="I2" s="13">
        <f t="shared" ref="I2:I65" si="2">G2-H2</f>
        <v>0</v>
      </c>
      <c r="J2" s="15" t="str">
        <f>IF(ISNUMBER('Sheet2-计算明细'!H17),'Sheet2-计算明细'!H17,IF('Sheet2-计算明细'!H17="","",'Sheet2-计算明细'!H17))</f>
        <v>20-50亿元</v>
      </c>
      <c r="K2" s="15" t="str">
        <f>IF(ISNUMBER(对照快照!H12),对照快照!H12,IF(对照快照!H12="","",对照快照!H12))</f>
        <v>20-50亿元</v>
      </c>
      <c r="L2" s="9" t="s">
        <v>1538</v>
      </c>
    </row>
    <row r="3" ht="25" customHeight="1" spans="1:12">
      <c r="A3" s="9" t="s">
        <v>40</v>
      </c>
      <c r="B3" s="9" t="s">
        <v>33</v>
      </c>
      <c r="C3" s="9" t="s">
        <v>543</v>
      </c>
      <c r="D3" s="12">
        <v>0.045</v>
      </c>
      <c r="E3" s="13">
        <f>IF(ISNUMBER('Sheet2-计算明细'!K17),'Sheet2-计算明细'!K17,"")</f>
        <v>100</v>
      </c>
      <c r="F3" s="13">
        <f>IF(ISNUMBER(对照快照!K12),对照快照!K12,"")</f>
        <v>100</v>
      </c>
      <c r="G3" s="13">
        <f t="shared" si="0"/>
        <v>4.5</v>
      </c>
      <c r="H3" s="13">
        <f t="shared" si="1"/>
        <v>4.5</v>
      </c>
      <c r="I3" s="13">
        <f t="shared" si="2"/>
        <v>0</v>
      </c>
      <c r="J3" s="15" t="str">
        <f>IF(ISNUMBER('Sheet2-计算明细'!J17),'Sheet2-计算明细'!J17,IF('Sheet2-计算明细'!J17="","",'Sheet2-计算明细'!J17))</f>
        <v>无低于1000万元标识</v>
      </c>
      <c r="K3" s="15" t="str">
        <f>IF(ISNUMBER(对照快照!J12),对照快照!J12,IF(对照快照!J12="","",对照快照!J12))</f>
        <v>无低于1000万元标识</v>
      </c>
      <c r="L3" s="9" t="s">
        <v>1538</v>
      </c>
    </row>
    <row r="4" ht="25" customHeight="1" spans="1:12">
      <c r="A4" s="9" t="s">
        <v>40</v>
      </c>
      <c r="B4" s="9" t="s">
        <v>33</v>
      </c>
      <c r="C4" s="9" t="s">
        <v>547</v>
      </c>
      <c r="D4" s="12">
        <v>0.045</v>
      </c>
      <c r="E4" s="13">
        <f>IF(ISNUMBER('Sheet2-计算明细'!L17),'Sheet2-计算明细'!L17,"")</f>
        <v>100</v>
      </c>
      <c r="F4" s="13">
        <f>IF(ISNUMBER(对照快照!L12),对照快照!L12,"")</f>
        <v>100</v>
      </c>
      <c r="G4" s="13">
        <f t="shared" si="0"/>
        <v>4.5</v>
      </c>
      <c r="H4" s="13">
        <f t="shared" si="1"/>
        <v>4.5</v>
      </c>
      <c r="I4" s="13">
        <f t="shared" si="2"/>
        <v>0</v>
      </c>
      <c r="J4" s="15">
        <f>IF(ISNUMBER('Sheet2-计算明细'!F17),'Sheet2-计算明细'!F17,IF('Sheet2-计算明细'!F17="","",'Sheet2-计算明细'!F17))</f>
        <v>7.0226</v>
      </c>
      <c r="K4" s="15">
        <f>IF(ISNUMBER(对照快照!F12),对照快照!F12,IF(对照快照!F12="","",对照快照!F12))</f>
        <v>7.0144</v>
      </c>
      <c r="L4" s="9" t="s">
        <v>1538</v>
      </c>
    </row>
    <row r="5" ht="25" customHeight="1" spans="1:12">
      <c r="A5" s="9" t="s">
        <v>40</v>
      </c>
      <c r="B5" s="9" t="s">
        <v>33</v>
      </c>
      <c r="C5" s="9" t="s">
        <v>1539</v>
      </c>
      <c r="D5" s="12">
        <v>0.084</v>
      </c>
      <c r="E5" s="13">
        <f>IF(ISNUMBER('Sheet2-计算明细'!Q17),'Sheet2-计算明细'!Q17,"")</f>
        <v>72.22</v>
      </c>
      <c r="F5" s="13">
        <f>IF(ISNUMBER(对照快照!Q12),对照快照!Q12,"")</f>
        <v>80.19</v>
      </c>
      <c r="G5" s="13">
        <f t="shared" si="0"/>
        <v>6.06648</v>
      </c>
      <c r="H5" s="13">
        <f t="shared" si="1"/>
        <v>6.73596</v>
      </c>
      <c r="I5" s="13">
        <f t="shared" si="2"/>
        <v>-0.66948</v>
      </c>
      <c r="J5" s="15">
        <f>IF(ISNUMBER('Sheet2-计算明细'!M17),'Sheet2-计算明细'!M17,IF('Sheet2-计算明细'!M17="","",'Sheet2-计算明细'!M17))</f>
        <v>0.1239</v>
      </c>
      <c r="K5" s="15">
        <f>IF(ISNUMBER(对照快照!M12),对照快照!M12,IF(对照快照!M12="","",对照快照!M12))</f>
        <v>0.1281</v>
      </c>
      <c r="L5" s="9" t="s">
        <v>1540</v>
      </c>
    </row>
    <row r="6" ht="25" customHeight="1" spans="1:12">
      <c r="A6" s="9" t="s">
        <v>40</v>
      </c>
      <c r="B6" s="9" t="s">
        <v>33</v>
      </c>
      <c r="C6" s="9" t="s">
        <v>1541</v>
      </c>
      <c r="D6" s="12">
        <v>0.056</v>
      </c>
      <c r="E6" s="13">
        <f>IF(ISNUMBER('Sheet2-计算明细'!R17),'Sheet2-计算明细'!R17,"")</f>
        <v>77.27</v>
      </c>
      <c r="F6" s="13">
        <f>IF(ISNUMBER(对照快照!R12),对照快照!R12,"")</f>
        <v>75.71</v>
      </c>
      <c r="G6" s="13">
        <f t="shared" si="0"/>
        <v>4.32712</v>
      </c>
      <c r="H6" s="13">
        <f t="shared" si="1"/>
        <v>4.23976</v>
      </c>
      <c r="I6" s="13">
        <f t="shared" si="2"/>
        <v>0.0873600000000003</v>
      </c>
      <c r="J6" s="15">
        <f>IF(ISNUMBER('Sheet2-计算明细'!P17),'Sheet2-计算明细'!P17,IF('Sheet2-计算明细'!P17="","",'Sheet2-计算明细'!P17))</f>
        <v>0.115809737318602</v>
      </c>
      <c r="K6" s="15">
        <f>IF(ISNUMBER(对照快照!P12),对照快照!P12,IF(对照快照!P12="","",对照快照!P12))</f>
        <v>0.118064937018316</v>
      </c>
      <c r="L6" s="9" t="s">
        <v>1540</v>
      </c>
    </row>
    <row r="7" ht="25" customHeight="1" spans="1:12">
      <c r="A7" s="9" t="s">
        <v>40</v>
      </c>
      <c r="B7" s="9" t="s">
        <v>33</v>
      </c>
      <c r="C7" s="9" t="s">
        <v>690</v>
      </c>
      <c r="D7" s="12">
        <v>0.036</v>
      </c>
      <c r="E7" s="13">
        <f>IF(ISNUMBER('Sheet2-计算明细'!W17),'Sheet2-计算明细'!W17,"")</f>
        <v>84.62</v>
      </c>
      <c r="F7" s="13">
        <f>IF(ISNUMBER(对照快照!W12),对照快照!W12,"")</f>
        <v>92.31</v>
      </c>
      <c r="G7" s="13">
        <f t="shared" si="0"/>
        <v>3.04632</v>
      </c>
      <c r="H7" s="13">
        <f t="shared" si="1"/>
        <v>3.32316</v>
      </c>
      <c r="I7" s="13">
        <f t="shared" si="2"/>
        <v>-0.27684</v>
      </c>
      <c r="J7" s="15">
        <f>IF(ISNUMBER('Sheet2-计算明细'!T17),'Sheet2-计算明细'!T17,IF('Sheet2-计算明细'!T17="","",'Sheet2-计算明细'!T17))</f>
        <v>0.8462</v>
      </c>
      <c r="K7" s="15">
        <f>IF(ISNUMBER(对照快照!T12),对照快照!T12,IF(对照快照!T12="","",对照快照!T12))</f>
        <v>0.9231</v>
      </c>
      <c r="L7" s="9" t="s">
        <v>1538</v>
      </c>
    </row>
    <row r="8" ht="25" customHeight="1" spans="1:12">
      <c r="A8" s="9" t="s">
        <v>40</v>
      </c>
      <c r="B8" s="9" t="s">
        <v>33</v>
      </c>
      <c r="C8" s="9" t="s">
        <v>692</v>
      </c>
      <c r="D8" s="12">
        <v>0.024</v>
      </c>
      <c r="E8" s="13">
        <f>IF(ISNUMBER('Sheet2-计算明细'!X17),'Sheet2-计算明细'!X17,"")</f>
        <v>91.6654166666667</v>
      </c>
      <c r="F8" s="13">
        <f>IF(ISNUMBER(对照快照!X12),对照快照!X12,"")</f>
        <v>91.3233333333333</v>
      </c>
      <c r="G8" s="13">
        <f t="shared" si="0"/>
        <v>2.19997</v>
      </c>
      <c r="H8" s="13">
        <f t="shared" si="1"/>
        <v>2.19176</v>
      </c>
      <c r="I8" s="13">
        <f t="shared" si="2"/>
        <v>0.00821000000000138</v>
      </c>
      <c r="J8" s="15">
        <f>IF(ISNUMBER('Sheet2-计算明细'!V17),'Sheet2-计算明细'!V17,IF('Sheet2-计算明细'!V17="","",'Sheet2-计算明细'!V17))</f>
        <v>0.916654166666667</v>
      </c>
      <c r="K8" s="15">
        <f>IF(ISNUMBER(对照快照!V12),对照快照!V12,IF(对照快照!V12="","",对照快照!V12))</f>
        <v>0.913233333333333</v>
      </c>
      <c r="L8" s="9" t="s">
        <v>1538</v>
      </c>
    </row>
    <row r="9" ht="25" customHeight="1" spans="1:12">
      <c r="A9" s="9" t="s">
        <v>40</v>
      </c>
      <c r="B9" s="9" t="s">
        <v>33</v>
      </c>
      <c r="C9" s="9" t="s">
        <v>1542</v>
      </c>
      <c r="D9" s="12">
        <v>0.25</v>
      </c>
      <c r="E9" s="13">
        <f>IF(ISNUMBER('Sheet2-计算明细'!AC17),'Sheet2-计算明细'!AC17,"")</f>
        <v>62.16</v>
      </c>
      <c r="F9" s="13">
        <f>IF(ISNUMBER(对照快照!AC12),对照快照!AC12,"")</f>
        <v>80.77</v>
      </c>
      <c r="G9" s="13">
        <f t="shared" si="0"/>
        <v>15.54</v>
      </c>
      <c r="H9" s="13">
        <f t="shared" si="1"/>
        <v>20.1925</v>
      </c>
      <c r="I9" s="13">
        <f t="shared" si="2"/>
        <v>-4.6525</v>
      </c>
      <c r="J9" s="15">
        <f>IF(ISNUMBER('Sheet2-计算明细'!AB17),'Sheet2-计算明细'!AB17,IF('Sheet2-计算明细'!AB17="","",'Sheet2-计算明细'!AB17))</f>
        <v>0.0129</v>
      </c>
      <c r="K9" s="15">
        <f>IF(ISNUMBER(对照快照!AB12),对照快照!AB12,IF(对照快照!AB12="","",对照快照!AB12))</f>
        <v>0.0129</v>
      </c>
      <c r="L9" s="9" t="s">
        <v>1540</v>
      </c>
    </row>
    <row r="10" ht="25" customHeight="1" spans="1:12">
      <c r="A10" s="9" t="s">
        <v>40</v>
      </c>
      <c r="B10" s="9" t="s">
        <v>33</v>
      </c>
      <c r="C10" s="9" t="s">
        <v>1543</v>
      </c>
      <c r="D10" s="12">
        <v>0.18</v>
      </c>
      <c r="E10" s="13">
        <f>IF(ISNUMBER('Sheet2-计算明细'!AG17),'Sheet2-计算明细'!AG17,"")</f>
        <v>88.73</v>
      </c>
      <c r="F10" s="13">
        <f>IF(ISNUMBER(对照快照!AG12),对照快照!AG12,"")</f>
        <v>94.86</v>
      </c>
      <c r="G10" s="13">
        <f t="shared" si="0"/>
        <v>15.9714</v>
      </c>
      <c r="H10" s="13">
        <f t="shared" si="1"/>
        <v>17.0748</v>
      </c>
      <c r="I10" s="13">
        <f t="shared" si="2"/>
        <v>-1.1034</v>
      </c>
      <c r="J10" s="15">
        <f>IF(ISNUMBER('Sheet2-计算明细'!AD17),'Sheet2-计算明细'!AD17,IF('Sheet2-计算明细'!AD17="","",'Sheet2-计算明细'!AD17))</f>
        <v>34.5789</v>
      </c>
      <c r="K10" s="15">
        <f>IF(ISNUMBER(对照快照!AD12),对照快照!AD12,IF(对照快照!AD12="","",对照快照!AD12))</f>
        <v>35.7393</v>
      </c>
      <c r="L10" s="9" t="s">
        <v>1540</v>
      </c>
    </row>
    <row r="11" ht="25" customHeight="1" spans="1:12">
      <c r="A11" s="9" t="s">
        <v>40</v>
      </c>
      <c r="B11" s="9" t="s">
        <v>33</v>
      </c>
      <c r="C11" s="9" t="s">
        <v>1544</v>
      </c>
      <c r="D11" s="12">
        <v>0.12</v>
      </c>
      <c r="E11" s="13">
        <f>IF(ISNUMBER('Sheet2-计算明细'!AH17),'Sheet2-计算明细'!AH17,"")</f>
        <v>75</v>
      </c>
      <c r="F11" s="13">
        <f>IF(ISNUMBER(对照快照!AH12),对照快照!AH12,"")</f>
        <v>89.36</v>
      </c>
      <c r="G11" s="13">
        <f t="shared" si="0"/>
        <v>9</v>
      </c>
      <c r="H11" s="13">
        <f t="shared" si="1"/>
        <v>10.7232</v>
      </c>
      <c r="I11" s="13">
        <f t="shared" si="2"/>
        <v>-1.7232</v>
      </c>
      <c r="J11" s="15">
        <f>IF(ISNUMBER('Sheet2-计算明细'!AF17),'Sheet2-计算明细'!AF17,IF('Sheet2-计算明细'!AF17="","",'Sheet2-计算明细'!AF17))</f>
        <v>8.97749901694593</v>
      </c>
      <c r="K11" s="15">
        <f>IF(ISNUMBER(对照快照!AF12),对照快照!AF12,IF(对照快照!AF12="","",对照快照!AF12))</f>
        <v>9.15232069909425</v>
      </c>
      <c r="L11" s="9" t="s">
        <v>1540</v>
      </c>
    </row>
    <row r="12" ht="25" customHeight="1" spans="1:12">
      <c r="A12" s="9" t="s">
        <v>40</v>
      </c>
      <c r="B12" s="9" t="s">
        <v>33</v>
      </c>
      <c r="C12" s="9" t="s">
        <v>574</v>
      </c>
      <c r="D12" s="12">
        <v>0.1</v>
      </c>
      <c r="E12" s="13">
        <f>IF(ISNUMBER('Sheet2-计算明细'!AK17),'Sheet2-计算明细'!AK17,"")</f>
        <v>100</v>
      </c>
      <c r="F12" s="13">
        <f>IF(ISNUMBER(对照快照!AK12),对照快照!AK12,"")</f>
        <v>100</v>
      </c>
      <c r="G12" s="13">
        <f t="shared" si="0"/>
        <v>10</v>
      </c>
      <c r="H12" s="13">
        <f t="shared" si="1"/>
        <v>10</v>
      </c>
      <c r="I12" s="13">
        <f t="shared" si="2"/>
        <v>0</v>
      </c>
      <c r="J12" s="15">
        <f>IF(ISNUMBER('Sheet2-计算明细'!AJ17),'Sheet2-计算明细'!AJ17,IF('Sheet2-计算明细'!AJ17="","",'Sheet2-计算明细'!AJ17))</f>
        <v>0.1185</v>
      </c>
      <c r="K12" s="15">
        <f>IF(ISNUMBER(对照快照!AJ12),对照快照!AJ12,IF(对照快照!AJ12="","",对照快照!AJ12))</f>
        <v>0.1214</v>
      </c>
      <c r="L12" s="9" t="s">
        <v>1538</v>
      </c>
    </row>
    <row r="13" ht="25" customHeight="1" spans="1:12">
      <c r="A13" s="9" t="s">
        <v>63</v>
      </c>
      <c r="B13" s="9" t="s">
        <v>60</v>
      </c>
      <c r="C13" s="9" t="s">
        <v>538</v>
      </c>
      <c r="D13" s="12">
        <v>0.06</v>
      </c>
      <c r="E13" s="13">
        <f>IF(ISNUMBER('Sheet2-计算明细'!I19),'Sheet2-计算明细'!I19,"")</f>
        <v>70</v>
      </c>
      <c r="F13" s="13">
        <f>IF(ISNUMBER(对照快照!I53),对照快照!I53,"")</f>
        <v>70</v>
      </c>
      <c r="G13" s="13">
        <f t="shared" si="0"/>
        <v>4.2</v>
      </c>
      <c r="H13" s="13">
        <f t="shared" si="1"/>
        <v>4.2</v>
      </c>
      <c r="I13" s="13">
        <f t="shared" si="2"/>
        <v>0</v>
      </c>
      <c r="J13" s="15" t="str">
        <f>IF(ISNUMBER('Sheet2-计算明细'!H19),'Sheet2-计算明细'!H19,IF('Sheet2-计算明细'!H19="","",'Sheet2-计算明细'!H19))</f>
        <v>5-10亿元</v>
      </c>
      <c r="K13" s="15" t="str">
        <f>IF(ISNUMBER(对照快照!H53),对照快照!H53,IF(对照快照!H53="","",对照快照!H53))</f>
        <v>5-10亿元</v>
      </c>
      <c r="L13" s="9" t="s">
        <v>1538</v>
      </c>
    </row>
    <row r="14" ht="25" customHeight="1" spans="1:12">
      <c r="A14" s="9" t="s">
        <v>63</v>
      </c>
      <c r="B14" s="9" t="s">
        <v>60</v>
      </c>
      <c r="C14" s="9" t="s">
        <v>543</v>
      </c>
      <c r="D14" s="12">
        <v>0.045</v>
      </c>
      <c r="E14" s="13">
        <f>IF(ISNUMBER('Sheet2-计算明细'!K19),'Sheet2-计算明细'!K19,"")</f>
        <v>100</v>
      </c>
      <c r="F14" s="13">
        <f>IF(ISNUMBER(对照快照!K53),对照快照!K53,"")</f>
        <v>100</v>
      </c>
      <c r="G14" s="13">
        <f t="shared" si="0"/>
        <v>4.5</v>
      </c>
      <c r="H14" s="13">
        <f t="shared" si="1"/>
        <v>4.5</v>
      </c>
      <c r="I14" s="13">
        <f t="shared" si="2"/>
        <v>0</v>
      </c>
      <c r="J14" s="15" t="str">
        <f>IF(ISNUMBER('Sheet2-计算明细'!J19),'Sheet2-计算明细'!J19,IF('Sheet2-计算明细'!J19="","",'Sheet2-计算明细'!J19))</f>
        <v>无低于1000万元标识</v>
      </c>
      <c r="K14" s="15" t="str">
        <f>IF(ISNUMBER(对照快照!J53),对照快照!J53,IF(对照快照!J53="","",对照快照!J53))</f>
        <v>无低于1000万元标识</v>
      </c>
      <c r="L14" s="9" t="s">
        <v>1538</v>
      </c>
    </row>
    <row r="15" ht="25" customHeight="1" spans="1:12">
      <c r="A15" s="9" t="s">
        <v>63</v>
      </c>
      <c r="B15" s="9" t="s">
        <v>60</v>
      </c>
      <c r="C15" s="9" t="s">
        <v>547</v>
      </c>
      <c r="D15" s="12">
        <v>0.045</v>
      </c>
      <c r="E15" s="13">
        <f>IF(ISNUMBER('Sheet2-计算明细'!L19),'Sheet2-计算明细'!L19,"")</f>
        <v>100</v>
      </c>
      <c r="F15" s="13">
        <f>IF(ISNUMBER(对照快照!L53),对照快照!L53,"")</f>
        <v>100</v>
      </c>
      <c r="G15" s="13">
        <f t="shared" si="0"/>
        <v>4.5</v>
      </c>
      <c r="H15" s="13">
        <f t="shared" si="1"/>
        <v>4.5</v>
      </c>
      <c r="I15" s="13">
        <f t="shared" si="2"/>
        <v>0</v>
      </c>
      <c r="J15" s="15">
        <f>IF(ISNUMBER('Sheet2-计算明细'!F19),'Sheet2-计算明细'!F19,IF('Sheet2-计算明细'!F19="","",'Sheet2-计算明细'!F19))</f>
        <v>4.0712</v>
      </c>
      <c r="K15" s="15">
        <f>IF(ISNUMBER(对照快照!F53),对照快照!F53,IF(对照快照!F53="","",对照快照!F53))</f>
        <v>4.063</v>
      </c>
      <c r="L15" s="9" t="s">
        <v>1538</v>
      </c>
    </row>
    <row r="16" ht="25" customHeight="1" spans="1:12">
      <c r="A16" s="9" t="s">
        <v>63</v>
      </c>
      <c r="B16" s="9" t="s">
        <v>60</v>
      </c>
      <c r="C16" s="9" t="s">
        <v>1539</v>
      </c>
      <c r="D16" s="12">
        <v>0.084</v>
      </c>
      <c r="E16" s="13">
        <f>IF(ISNUMBER('Sheet2-计算明细'!Q19),'Sheet2-计算明细'!Q19,"")</f>
        <v>1.39</v>
      </c>
      <c r="F16" s="13">
        <f>IF(ISNUMBER(对照快照!Q53),对照快照!Q53,"")</f>
        <v>12.78</v>
      </c>
      <c r="G16" s="13">
        <f t="shared" si="0"/>
        <v>0.11676</v>
      </c>
      <c r="H16" s="13">
        <f t="shared" si="1"/>
        <v>1.07352</v>
      </c>
      <c r="I16" s="13">
        <f t="shared" si="2"/>
        <v>-0.95676</v>
      </c>
      <c r="J16" s="15">
        <f>IF(ISNUMBER('Sheet2-计算明细'!M19),'Sheet2-计算明细'!M19,IF('Sheet2-计算明细'!M19="","",'Sheet2-计算明细'!M19))</f>
        <v>-0.0148</v>
      </c>
      <c r="K16" s="15">
        <f>IF(ISNUMBER(对照快照!M53),对照快照!M53,IF(对照快照!M53="","",对照快照!M53))</f>
        <v>-0.0069</v>
      </c>
      <c r="L16" s="9" t="s">
        <v>1540</v>
      </c>
    </row>
    <row r="17" ht="25" customHeight="1" spans="1:12">
      <c r="A17" s="9" t="s">
        <v>63</v>
      </c>
      <c r="B17" s="9" t="s">
        <v>60</v>
      </c>
      <c r="C17" s="9" t="s">
        <v>1541</v>
      </c>
      <c r="D17" s="12">
        <v>0.056</v>
      </c>
      <c r="E17" s="13">
        <f>IF(ISNUMBER('Sheet2-计算明细'!R19),'Sheet2-计算明细'!R19,"")</f>
        <v>43.94</v>
      </c>
      <c r="F17" s="13">
        <f>IF(ISNUMBER(对照快照!R53),对照快照!R53,"")</f>
        <v>54.29</v>
      </c>
      <c r="G17" s="13">
        <f t="shared" si="0"/>
        <v>2.46064</v>
      </c>
      <c r="H17" s="13">
        <f t="shared" si="1"/>
        <v>3.04024</v>
      </c>
      <c r="I17" s="13">
        <f t="shared" si="2"/>
        <v>-0.5796</v>
      </c>
      <c r="J17" s="15">
        <f>IF(ISNUMBER('Sheet2-计算明细'!P19),'Sheet2-计算明细'!P19,IF('Sheet2-计算明细'!P19="","",'Sheet2-计算明细'!P19))</f>
        <v>0.0726964879502778</v>
      </c>
      <c r="K17" s="15">
        <f>IF(ISNUMBER(对照快照!P53),对照快照!P53,IF(对照快照!P53="","",对照快照!P53))</f>
        <v>0.0734974962400201</v>
      </c>
      <c r="L17" s="9" t="s">
        <v>1540</v>
      </c>
    </row>
    <row r="18" ht="25" customHeight="1" spans="1:12">
      <c r="A18" s="9" t="s">
        <v>63</v>
      </c>
      <c r="B18" s="9" t="s">
        <v>60</v>
      </c>
      <c r="C18" s="9" t="s">
        <v>690</v>
      </c>
      <c r="D18" s="12">
        <v>0.036</v>
      </c>
      <c r="E18" s="13">
        <f>IF(ISNUMBER('Sheet2-计算明细'!W19),'Sheet2-计算明细'!W19,"")</f>
        <v>30.77</v>
      </c>
      <c r="F18" s="13">
        <f>IF(ISNUMBER(对照快照!W53),对照快照!W53,"")</f>
        <v>38.46</v>
      </c>
      <c r="G18" s="13">
        <f t="shared" si="0"/>
        <v>1.10772</v>
      </c>
      <c r="H18" s="13">
        <f t="shared" si="1"/>
        <v>1.38456</v>
      </c>
      <c r="I18" s="13">
        <f t="shared" si="2"/>
        <v>-0.27684</v>
      </c>
      <c r="J18" s="15">
        <f>IF(ISNUMBER('Sheet2-计算明细'!T19),'Sheet2-计算明细'!T19,IF('Sheet2-计算明细'!T19="","",'Sheet2-计算明细'!T19))</f>
        <v>0.3077</v>
      </c>
      <c r="K18" s="15">
        <f>IF(ISNUMBER(对照快照!T53),对照快照!T53,IF(对照快照!T53="","",对照快照!T53))</f>
        <v>0.3846</v>
      </c>
      <c r="L18" s="9" t="s">
        <v>1538</v>
      </c>
    </row>
    <row r="19" ht="25" customHeight="1" spans="1:12">
      <c r="A19" s="9" t="s">
        <v>63</v>
      </c>
      <c r="B19" s="9" t="s">
        <v>60</v>
      </c>
      <c r="C19" s="9" t="s">
        <v>692</v>
      </c>
      <c r="D19" s="12">
        <v>0.024</v>
      </c>
      <c r="E19" s="13">
        <f>IF(ISNUMBER('Sheet2-计算明细'!X19),'Sheet2-计算明细'!X19,"")</f>
        <v>75.0004166666667</v>
      </c>
      <c r="F19" s="13">
        <f>IF(ISNUMBER(对照快照!X53),对照快照!X53,"")</f>
        <v>74.9975</v>
      </c>
      <c r="G19" s="13">
        <f t="shared" si="0"/>
        <v>1.80001</v>
      </c>
      <c r="H19" s="13">
        <f t="shared" si="1"/>
        <v>1.79994</v>
      </c>
      <c r="I19" s="13">
        <f t="shared" si="2"/>
        <v>7.00000000000145e-5</v>
      </c>
      <c r="J19" s="15">
        <f>IF(ISNUMBER('Sheet2-计算明细'!V19),'Sheet2-计算明细'!V19,IF('Sheet2-计算明细'!V19="","",'Sheet2-计算明细'!V19))</f>
        <v>0.750004166666667</v>
      </c>
      <c r="K19" s="15">
        <f>IF(ISNUMBER(对照快照!V53),对照快照!V53,IF(对照快照!V53="","",对照快照!V53))</f>
        <v>0.749975</v>
      </c>
      <c r="L19" s="9" t="s">
        <v>1538</v>
      </c>
    </row>
    <row r="20" ht="25" customHeight="1" spans="1:12">
      <c r="A20" s="9" t="s">
        <v>63</v>
      </c>
      <c r="B20" s="9" t="s">
        <v>60</v>
      </c>
      <c r="C20" s="9" t="s">
        <v>1542</v>
      </c>
      <c r="D20" s="12">
        <v>0.25</v>
      </c>
      <c r="E20" s="13">
        <f>IF(ISNUMBER('Sheet2-计算明细'!AC19),'Sheet2-计算明细'!AC19,"")</f>
        <v>20.27</v>
      </c>
      <c r="F20" s="13">
        <f>IF(ISNUMBER(对照快照!AC53),对照快照!AC53,"")</f>
        <v>48.08</v>
      </c>
      <c r="G20" s="13">
        <f t="shared" si="0"/>
        <v>5.0675</v>
      </c>
      <c r="H20" s="13">
        <f t="shared" si="1"/>
        <v>12.02</v>
      </c>
      <c r="I20" s="13">
        <f t="shared" si="2"/>
        <v>-6.9525</v>
      </c>
      <c r="J20" s="15">
        <f>IF(ISNUMBER('Sheet2-计算明细'!AB19),'Sheet2-计算明细'!AB19,IF('Sheet2-计算明细'!AB19="","",'Sheet2-计算明细'!AB19))</f>
        <v>0.045</v>
      </c>
      <c r="K20" s="15">
        <f>IF(ISNUMBER(对照快照!AB53),对照快照!AB53,IF(对照快照!AB53="","",对照快照!AB53))</f>
        <v>0.045</v>
      </c>
      <c r="L20" s="9" t="s">
        <v>1540</v>
      </c>
    </row>
    <row r="21" ht="25" customHeight="1" spans="1:12">
      <c r="A21" s="9" t="s">
        <v>63</v>
      </c>
      <c r="B21" s="9" t="s">
        <v>60</v>
      </c>
      <c r="C21" s="9" t="s">
        <v>1543</v>
      </c>
      <c r="D21" s="12">
        <v>0.18</v>
      </c>
      <c r="E21" s="13">
        <f>IF(ISNUMBER('Sheet2-计算明细'!AG19),'Sheet2-计算明细'!AG19,"")</f>
        <v>1.41</v>
      </c>
      <c r="F21" s="13">
        <f>IF(ISNUMBER(对照快照!AG53),对照快照!AG53,"")</f>
        <v>11.9</v>
      </c>
      <c r="G21" s="13">
        <f t="shared" si="0"/>
        <v>0.2538</v>
      </c>
      <c r="H21" s="13">
        <f t="shared" si="1"/>
        <v>2.142</v>
      </c>
      <c r="I21" s="13">
        <f t="shared" si="2"/>
        <v>-1.8882</v>
      </c>
      <c r="J21" s="15">
        <f>IF(ISNUMBER('Sheet2-计算明细'!AD19),'Sheet2-计算明细'!AD19,IF('Sheet2-计算明细'!AD19="","",'Sheet2-计算明细'!AD19))</f>
        <v>-0.3298</v>
      </c>
      <c r="K21" s="15">
        <f>IF(ISNUMBER(对照快照!AD53),对照快照!AD53,IF(对照快照!AD53="","",对照快照!AD53))</f>
        <v>-0.1538</v>
      </c>
      <c r="L21" s="9" t="s">
        <v>1540</v>
      </c>
    </row>
    <row r="22" ht="25" customHeight="1" spans="1:12">
      <c r="A22" s="9" t="s">
        <v>63</v>
      </c>
      <c r="B22" s="9" t="s">
        <v>60</v>
      </c>
      <c r="C22" s="9" t="s">
        <v>1544</v>
      </c>
      <c r="D22" s="12">
        <v>0.12</v>
      </c>
      <c r="E22" s="13">
        <f>IF(ISNUMBER('Sheet2-计算明细'!AH19),'Sheet2-计算明细'!AH19,"")</f>
        <v>25</v>
      </c>
      <c r="F22" s="13">
        <f>IF(ISNUMBER(对照快照!AH53),对照快照!AH53,"")</f>
        <v>55.32</v>
      </c>
      <c r="G22" s="13">
        <f t="shared" si="0"/>
        <v>3</v>
      </c>
      <c r="H22" s="13">
        <f t="shared" si="1"/>
        <v>6.6384</v>
      </c>
      <c r="I22" s="13">
        <f t="shared" si="2"/>
        <v>-3.6384</v>
      </c>
      <c r="J22" s="15">
        <f>IF(ISNUMBER('Sheet2-计算明细'!AF19),'Sheet2-计算明细'!AF19,IF('Sheet2-计算明细'!AF19="","",'Sheet2-计算明细'!AF19))</f>
        <v>1.61547751000617</v>
      </c>
      <c r="K22" s="15">
        <f>IF(ISNUMBER(对照快照!AF53),对照快照!AF53,IF(对照快照!AF53="","",对照快照!AF53))</f>
        <v>1.63327769422267</v>
      </c>
      <c r="L22" s="9" t="s">
        <v>1540</v>
      </c>
    </row>
    <row r="23" ht="25" customHeight="1" spans="1:12">
      <c r="A23" s="9" t="s">
        <v>63</v>
      </c>
      <c r="B23" s="9" t="s">
        <v>60</v>
      </c>
      <c r="C23" s="9" t="s">
        <v>574</v>
      </c>
      <c r="D23" s="12">
        <v>0.1</v>
      </c>
      <c r="E23" s="13">
        <f>IF(ISNUMBER('Sheet2-计算明细'!AK19),'Sheet2-计算明细'!AK19,"")</f>
        <v>80</v>
      </c>
      <c r="F23" s="13">
        <f>IF(ISNUMBER(对照快照!AK53),对照快照!AK53,"")</f>
        <v>80</v>
      </c>
      <c r="G23" s="13">
        <f t="shared" si="0"/>
        <v>8</v>
      </c>
      <c r="H23" s="13">
        <f t="shared" si="1"/>
        <v>8</v>
      </c>
      <c r="I23" s="13">
        <f t="shared" si="2"/>
        <v>0</v>
      </c>
      <c r="J23" s="15">
        <f>IF(ISNUMBER('Sheet2-计算明细'!AJ19),'Sheet2-计算明细'!AJ19,IF('Sheet2-计算明细'!AJ19="","",'Sheet2-计算明细'!AJ19))</f>
        <v>0.0427</v>
      </c>
      <c r="K23" s="15">
        <f>IF(ISNUMBER(对照快照!AJ53),对照快照!AJ53,IF(对照快照!AJ53="","",对照快照!AJ53))</f>
        <v>0.046</v>
      </c>
      <c r="L23" s="9" t="s">
        <v>1538</v>
      </c>
    </row>
    <row r="24" ht="25" customHeight="1" spans="1:12">
      <c r="A24" s="9" t="s">
        <v>72</v>
      </c>
      <c r="B24" s="9" t="s">
        <v>69</v>
      </c>
      <c r="C24" s="9" t="s">
        <v>538</v>
      </c>
      <c r="D24" s="12">
        <v>0.06</v>
      </c>
      <c r="E24" s="13">
        <f>IF(ISNUMBER('Sheet2-计算明细'!I20),'Sheet2-计算明细'!I20,"")</f>
        <v>100</v>
      </c>
      <c r="F24" s="13">
        <f>IF(ISNUMBER(对照快照!I44),对照快照!I44,"")</f>
        <v>100</v>
      </c>
      <c r="G24" s="13">
        <f t="shared" si="0"/>
        <v>6</v>
      </c>
      <c r="H24" s="13">
        <f t="shared" si="1"/>
        <v>6</v>
      </c>
      <c r="I24" s="13">
        <f t="shared" si="2"/>
        <v>0</v>
      </c>
      <c r="J24" s="15" t="str">
        <f>IF(ISNUMBER('Sheet2-计算明细'!H20),'Sheet2-计算明细'!H20,IF('Sheet2-计算明细'!H20="","",'Sheet2-计算明细'!H20))</f>
        <v>100亿元以上</v>
      </c>
      <c r="K24" s="15" t="str">
        <f>IF(ISNUMBER(对照快照!H44),对照快照!H44,IF(对照快照!H44="","",对照快照!H44))</f>
        <v>100亿元以上</v>
      </c>
      <c r="L24" s="9" t="s">
        <v>1538</v>
      </c>
    </row>
    <row r="25" ht="25" customHeight="1" spans="1:12">
      <c r="A25" s="9" t="s">
        <v>72</v>
      </c>
      <c r="B25" s="9" t="s">
        <v>69</v>
      </c>
      <c r="C25" s="9" t="s">
        <v>543</v>
      </c>
      <c r="D25" s="12">
        <v>0.045</v>
      </c>
      <c r="E25" s="13">
        <f>IF(ISNUMBER('Sheet2-计算明细'!K20),'Sheet2-计算明细'!K20,"")</f>
        <v>100</v>
      </c>
      <c r="F25" s="13">
        <f>IF(ISNUMBER(对照快照!K44),对照快照!K44,"")</f>
        <v>100</v>
      </c>
      <c r="G25" s="13">
        <f t="shared" si="0"/>
        <v>4.5</v>
      </c>
      <c r="H25" s="13">
        <f t="shared" si="1"/>
        <v>4.5</v>
      </c>
      <c r="I25" s="13">
        <f t="shared" si="2"/>
        <v>0</v>
      </c>
      <c r="J25" s="15" t="str">
        <f>IF(ISNUMBER('Sheet2-计算明细'!J20),'Sheet2-计算明细'!J20,IF('Sheet2-计算明细'!J20="","",'Sheet2-计算明细'!J20))</f>
        <v>无低于1000万元标识</v>
      </c>
      <c r="K25" s="15" t="str">
        <f>IF(ISNUMBER(对照快照!J44),对照快照!J44,IF(对照快照!J44="","",对照快照!J44))</f>
        <v>无低于1000万元标识</v>
      </c>
      <c r="L25" s="9" t="s">
        <v>1538</v>
      </c>
    </row>
    <row r="26" ht="25" customHeight="1" spans="1:12">
      <c r="A26" s="9" t="s">
        <v>72</v>
      </c>
      <c r="B26" s="9" t="s">
        <v>69</v>
      </c>
      <c r="C26" s="9" t="s">
        <v>547</v>
      </c>
      <c r="D26" s="12">
        <v>0.045</v>
      </c>
      <c r="E26" s="13">
        <f>IF(ISNUMBER('Sheet2-计算明细'!L20),'Sheet2-计算明细'!L20,"")</f>
        <v>100</v>
      </c>
      <c r="F26" s="13">
        <f>IF(ISNUMBER(对照快照!L44),对照快照!L44,"")</f>
        <v>100</v>
      </c>
      <c r="G26" s="13">
        <f t="shared" si="0"/>
        <v>4.5</v>
      </c>
      <c r="H26" s="13">
        <f t="shared" si="1"/>
        <v>4.5</v>
      </c>
      <c r="I26" s="13">
        <f t="shared" si="2"/>
        <v>0</v>
      </c>
      <c r="J26" s="15">
        <f>IF(ISNUMBER('Sheet2-计算明细'!F20),'Sheet2-计算明细'!F20,IF('Sheet2-计算明细'!F20="","",'Sheet2-计算明细'!F20))</f>
        <v>4.5202</v>
      </c>
      <c r="K26" s="15">
        <f>IF(ISNUMBER(对照快照!F44),对照快照!F44,IF(对照快照!F44="","",对照快照!F44))</f>
        <v>4.512</v>
      </c>
      <c r="L26" s="9" t="s">
        <v>1538</v>
      </c>
    </row>
    <row r="27" ht="25" customHeight="1" spans="1:12">
      <c r="A27" s="9" t="s">
        <v>72</v>
      </c>
      <c r="B27" s="9" t="s">
        <v>69</v>
      </c>
      <c r="C27" s="9" t="s">
        <v>1539</v>
      </c>
      <c r="D27" s="12">
        <v>0.084</v>
      </c>
      <c r="E27" s="13">
        <f>IF(ISNUMBER('Sheet2-计算明细'!Q20),'Sheet2-计算明细'!Q20,"")</f>
        <v>80.56</v>
      </c>
      <c r="F27" s="13">
        <f>IF(ISNUMBER(对照快照!Q44),对照快照!Q44,"")</f>
        <v>84.66</v>
      </c>
      <c r="G27" s="13">
        <f t="shared" si="0"/>
        <v>6.76704</v>
      </c>
      <c r="H27" s="13">
        <f t="shared" si="1"/>
        <v>7.11144</v>
      </c>
      <c r="I27" s="13">
        <f t="shared" si="2"/>
        <v>-0.344399999999999</v>
      </c>
      <c r="J27" s="15">
        <f>IF(ISNUMBER('Sheet2-计算明细'!M20),'Sheet2-计算明细'!M20,IF('Sheet2-计算明细'!M20="","",'Sheet2-计算明细'!M20))</f>
        <v>0.1551</v>
      </c>
      <c r="K27" s="15">
        <f>IF(ISNUMBER(对照快照!M44),对照快照!M44,IF(对照快照!M44="","",对照快照!M44))</f>
        <v>0.1503</v>
      </c>
      <c r="L27" s="9" t="s">
        <v>1540</v>
      </c>
    </row>
    <row r="28" ht="25" customHeight="1" spans="1:12">
      <c r="A28" s="9" t="s">
        <v>72</v>
      </c>
      <c r="B28" s="9" t="s">
        <v>69</v>
      </c>
      <c r="C28" s="9" t="s">
        <v>1541</v>
      </c>
      <c r="D28" s="12">
        <v>0.056</v>
      </c>
      <c r="E28" s="13">
        <f>IF(ISNUMBER('Sheet2-计算明细'!R20),'Sheet2-计算明细'!R20,"")</f>
        <v>96.97</v>
      </c>
      <c r="F28" s="13">
        <f>IF(ISNUMBER(对照快照!R44),对照快照!R44,"")</f>
        <v>89.52</v>
      </c>
      <c r="G28" s="13">
        <f t="shared" si="0"/>
        <v>5.43032</v>
      </c>
      <c r="H28" s="13">
        <f t="shared" si="1"/>
        <v>5.01312</v>
      </c>
      <c r="I28" s="13">
        <f t="shared" si="2"/>
        <v>0.4172</v>
      </c>
      <c r="J28" s="15">
        <f>IF(ISNUMBER('Sheet2-计算明细'!P20),'Sheet2-计算明细'!P20,IF('Sheet2-计算明细'!P20="","",'Sheet2-计算明细'!P20))</f>
        <v>0.174503924405657</v>
      </c>
      <c r="K28" s="15">
        <f>IF(ISNUMBER(对照快照!P44),对照快照!P44,IF(对照快照!P44="","",对照快照!P44))</f>
        <v>0.176800726307733</v>
      </c>
      <c r="L28" s="9" t="s">
        <v>1540</v>
      </c>
    </row>
    <row r="29" ht="25" customHeight="1" spans="1:12">
      <c r="A29" s="9" t="s">
        <v>72</v>
      </c>
      <c r="B29" s="9" t="s">
        <v>69</v>
      </c>
      <c r="C29" s="9" t="s">
        <v>690</v>
      </c>
      <c r="D29" s="12">
        <v>0.036</v>
      </c>
      <c r="E29" s="13">
        <f>IF(ISNUMBER('Sheet2-计算明细'!W20),'Sheet2-计算明细'!W20,"")</f>
        <v>84.62</v>
      </c>
      <c r="F29" s="13">
        <f>IF(ISNUMBER(对照快照!W44),对照快照!W44,"")</f>
        <v>84.62</v>
      </c>
      <c r="G29" s="13">
        <f t="shared" si="0"/>
        <v>3.04632</v>
      </c>
      <c r="H29" s="13">
        <f t="shared" si="1"/>
        <v>3.04632</v>
      </c>
      <c r="I29" s="13">
        <f t="shared" si="2"/>
        <v>0</v>
      </c>
      <c r="J29" s="15">
        <f>IF(ISNUMBER('Sheet2-计算明细'!T20),'Sheet2-计算明细'!T20,IF('Sheet2-计算明细'!T20="","",'Sheet2-计算明细'!T20))</f>
        <v>0.8462</v>
      </c>
      <c r="K29" s="15">
        <f>IF(ISNUMBER(对照快照!T44),对照快照!T44,IF(对照快照!T44="","",对照快照!T44))</f>
        <v>0.8462</v>
      </c>
      <c r="L29" s="9" t="s">
        <v>1538</v>
      </c>
    </row>
    <row r="30" ht="25" customHeight="1" spans="1:12">
      <c r="A30" s="9" t="s">
        <v>72</v>
      </c>
      <c r="B30" s="9" t="s">
        <v>69</v>
      </c>
      <c r="C30" s="9" t="s">
        <v>692</v>
      </c>
      <c r="D30" s="12">
        <v>0.024</v>
      </c>
      <c r="E30" s="13">
        <f>IF(ISNUMBER('Sheet2-计算明细'!X20),'Sheet2-计算明细'!X20,"")</f>
        <v>83.325</v>
      </c>
      <c r="F30" s="13">
        <f>IF(ISNUMBER(对照快照!X44),对照快照!X44,"")</f>
        <v>87.5029166666667</v>
      </c>
      <c r="G30" s="13">
        <f t="shared" si="0"/>
        <v>1.9998</v>
      </c>
      <c r="H30" s="13">
        <f t="shared" si="1"/>
        <v>2.10007</v>
      </c>
      <c r="I30" s="13">
        <f t="shared" si="2"/>
        <v>-0.100270000000001</v>
      </c>
      <c r="J30" s="15">
        <f>IF(ISNUMBER('Sheet2-计算明细'!V20),'Sheet2-计算明细'!V20,IF('Sheet2-计算明细'!V20="","",'Sheet2-计算明细'!V20))</f>
        <v>0.83325</v>
      </c>
      <c r="K30" s="15">
        <f>IF(ISNUMBER(对照快照!V44),对照快照!V44,IF(对照快照!V44="","",对照快照!V44))</f>
        <v>0.875029166666667</v>
      </c>
      <c r="L30" s="9" t="s">
        <v>1538</v>
      </c>
    </row>
    <row r="31" ht="25" customHeight="1" spans="1:12">
      <c r="A31" s="9" t="s">
        <v>72</v>
      </c>
      <c r="B31" s="9" t="s">
        <v>69</v>
      </c>
      <c r="C31" s="9" t="s">
        <v>1542</v>
      </c>
      <c r="D31" s="12">
        <v>0.25</v>
      </c>
      <c r="E31" s="13">
        <f>IF(ISNUMBER('Sheet2-计算明细'!AC20),'Sheet2-计算明细'!AC20,"")</f>
        <v>51.35</v>
      </c>
      <c r="F31" s="13">
        <f>IF(ISNUMBER(对照快照!AC44),对照快照!AC44,"")</f>
        <v>69.87</v>
      </c>
      <c r="G31" s="13">
        <f t="shared" si="0"/>
        <v>12.8375</v>
      </c>
      <c r="H31" s="13">
        <f t="shared" si="1"/>
        <v>17.4675</v>
      </c>
      <c r="I31" s="13">
        <f t="shared" si="2"/>
        <v>-4.63</v>
      </c>
      <c r="J31" s="15">
        <f>IF(ISNUMBER('Sheet2-计算明细'!AB20),'Sheet2-计算明细'!AB20,IF('Sheet2-计算明细'!AB20="","",'Sheet2-计算明细'!AB20))</f>
        <v>0.0223</v>
      </c>
      <c r="K31" s="15">
        <f>IF(ISNUMBER(对照快照!AB44),对照快照!AB44,IF(对照快照!AB44="","",对照快照!AB44))</f>
        <v>0.0223</v>
      </c>
      <c r="L31" s="9" t="s">
        <v>1540</v>
      </c>
    </row>
    <row r="32" ht="25" customHeight="1" spans="1:12">
      <c r="A32" s="9" t="s">
        <v>72</v>
      </c>
      <c r="B32" s="9" t="s">
        <v>69</v>
      </c>
      <c r="C32" s="9" t="s">
        <v>1543</v>
      </c>
      <c r="D32" s="12">
        <v>0.18</v>
      </c>
      <c r="E32" s="13">
        <f>IF(ISNUMBER('Sheet2-计算明细'!AG20),'Sheet2-计算明细'!AG20,"")</f>
        <v>43.66</v>
      </c>
      <c r="F32" s="13">
        <f>IF(ISNUMBER(对照快照!AG44),对照快照!AG44,"")</f>
        <v>71.38</v>
      </c>
      <c r="G32" s="13">
        <f t="shared" si="0"/>
        <v>7.8588</v>
      </c>
      <c r="H32" s="13">
        <f t="shared" si="1"/>
        <v>12.8484</v>
      </c>
      <c r="I32" s="13">
        <f t="shared" si="2"/>
        <v>-4.9896</v>
      </c>
      <c r="J32" s="15">
        <f>IF(ISNUMBER('Sheet2-计算明细'!AD20),'Sheet2-计算明细'!AD20,IF('Sheet2-计算明细'!AD20="","",'Sheet2-计算明细'!AD20))</f>
        <v>7.206</v>
      </c>
      <c r="K32" s="15">
        <f>IF(ISNUMBER(对照快照!AD44),对照快照!AD44,IF(对照快照!AD44="","",对照快照!AD44))</f>
        <v>6.9841</v>
      </c>
      <c r="L32" s="9" t="s">
        <v>1540</v>
      </c>
    </row>
    <row r="33" ht="25" customHeight="1" spans="1:12">
      <c r="A33" s="9" t="s">
        <v>72</v>
      </c>
      <c r="B33" s="9" t="s">
        <v>69</v>
      </c>
      <c r="C33" s="9" t="s">
        <v>1544</v>
      </c>
      <c r="D33" s="12">
        <v>0.12</v>
      </c>
      <c r="E33" s="13">
        <f>IF(ISNUMBER('Sheet2-计算明细'!AH20),'Sheet2-计算明细'!AH20,"")</f>
        <v>71.88</v>
      </c>
      <c r="F33" s="13">
        <f>IF(ISNUMBER(对照快照!AH44),对照快照!AH44,"")</f>
        <v>87.94</v>
      </c>
      <c r="G33" s="13">
        <f t="shared" si="0"/>
        <v>8.6256</v>
      </c>
      <c r="H33" s="13">
        <f t="shared" si="1"/>
        <v>10.5528</v>
      </c>
      <c r="I33" s="13">
        <f t="shared" si="2"/>
        <v>-1.9272</v>
      </c>
      <c r="J33" s="15">
        <f>IF(ISNUMBER('Sheet2-计算明细'!AF20),'Sheet2-计算明细'!AF20,IF('Sheet2-计算明细'!AF20="","",'Sheet2-计算明细'!AF20))</f>
        <v>7.82528808993979</v>
      </c>
      <c r="K33" s="15">
        <f>IF(ISNUMBER(对照快照!AF44),对照快照!AF44,IF(对照快照!AF44="","",对照快照!AF44))</f>
        <v>7.92828369092972</v>
      </c>
      <c r="L33" s="9" t="s">
        <v>1540</v>
      </c>
    </row>
    <row r="34" ht="25" customHeight="1" spans="1:12">
      <c r="A34" s="9" t="s">
        <v>72</v>
      </c>
      <c r="B34" s="9" t="s">
        <v>69</v>
      </c>
      <c r="C34" s="9" t="s">
        <v>574</v>
      </c>
      <c r="D34" s="12">
        <v>0.1</v>
      </c>
      <c r="E34" s="13">
        <f>IF(ISNUMBER('Sheet2-计算明细'!AK20),'Sheet2-计算明细'!AK20,"")</f>
        <v>80</v>
      </c>
      <c r="F34" s="13">
        <f>IF(ISNUMBER(对照快照!AK44),对照快照!AK44,"")</f>
        <v>80</v>
      </c>
      <c r="G34" s="13">
        <f t="shared" si="0"/>
        <v>8</v>
      </c>
      <c r="H34" s="13">
        <f t="shared" si="1"/>
        <v>8</v>
      </c>
      <c r="I34" s="13">
        <f t="shared" si="2"/>
        <v>0</v>
      </c>
      <c r="J34" s="15">
        <f>IF(ISNUMBER('Sheet2-计算明细'!AJ20),'Sheet2-计算明细'!AJ20,IF('Sheet2-计算明细'!AJ20="","",'Sheet2-计算明细'!AJ20))</f>
        <v>0.168</v>
      </c>
      <c r="K34" s="15">
        <f>IF(ISNUMBER(对照快照!AJ44),对照快照!AJ44,IF(对照快照!AJ44="","",对照快照!AJ44))</f>
        <v>0.1679</v>
      </c>
      <c r="L34" s="9" t="s">
        <v>1538</v>
      </c>
    </row>
    <row r="35" ht="25" customHeight="1" spans="1:12">
      <c r="A35" s="9" t="s">
        <v>78</v>
      </c>
      <c r="B35" s="9" t="s">
        <v>77</v>
      </c>
      <c r="C35" s="9" t="s">
        <v>538</v>
      </c>
      <c r="D35" s="12">
        <v>0.06</v>
      </c>
      <c r="E35" s="13">
        <f>IF(ISNUMBER('Sheet2-计算明细'!I21),'Sheet2-计算明细'!I21,"")</f>
        <v>100</v>
      </c>
      <c r="F35" s="13">
        <f>IF(ISNUMBER(对照快照!I59),对照快照!I59,"")</f>
        <v>100</v>
      </c>
      <c r="G35" s="13">
        <f t="shared" si="0"/>
        <v>6</v>
      </c>
      <c r="H35" s="13">
        <f t="shared" si="1"/>
        <v>6</v>
      </c>
      <c r="I35" s="13">
        <f t="shared" si="2"/>
        <v>0</v>
      </c>
      <c r="J35" s="15" t="str">
        <f>IF(ISNUMBER('Sheet2-计算明细'!H21),'Sheet2-计算明细'!H21,IF('Sheet2-计算明细'!H21="","",'Sheet2-计算明细'!H21))</f>
        <v>100亿元以上</v>
      </c>
      <c r="K35" s="15" t="str">
        <f>IF(ISNUMBER(对照快照!H59),对照快照!H59,IF(对照快照!H59="","",对照快照!H59))</f>
        <v>100亿元以上</v>
      </c>
      <c r="L35" s="9" t="s">
        <v>1538</v>
      </c>
    </row>
    <row r="36" ht="25" customHeight="1" spans="1:12">
      <c r="A36" s="9" t="s">
        <v>78</v>
      </c>
      <c r="B36" s="9" t="s">
        <v>77</v>
      </c>
      <c r="C36" s="9" t="s">
        <v>543</v>
      </c>
      <c r="D36" s="12">
        <v>0.045</v>
      </c>
      <c r="E36" s="13">
        <f>IF(ISNUMBER('Sheet2-计算明细'!K21),'Sheet2-计算明细'!K21,"")</f>
        <v>100</v>
      </c>
      <c r="F36" s="13">
        <f>IF(ISNUMBER(对照快照!K59),对照快照!K59,"")</f>
        <v>100</v>
      </c>
      <c r="G36" s="13">
        <f t="shared" si="0"/>
        <v>4.5</v>
      </c>
      <c r="H36" s="13">
        <f t="shared" si="1"/>
        <v>4.5</v>
      </c>
      <c r="I36" s="13">
        <f t="shared" si="2"/>
        <v>0</v>
      </c>
      <c r="J36" s="15" t="str">
        <f>IF(ISNUMBER('Sheet2-计算明细'!J21),'Sheet2-计算明细'!J21,IF('Sheet2-计算明细'!J21="","",'Sheet2-计算明细'!J21))</f>
        <v>无低于1000万元标识</v>
      </c>
      <c r="K36" s="15" t="str">
        <f>IF(ISNUMBER(对照快照!J59),对照快照!J59,IF(对照快照!J59="","",对照快照!J59))</f>
        <v>无低于1000万元标识</v>
      </c>
      <c r="L36" s="9" t="s">
        <v>1538</v>
      </c>
    </row>
    <row r="37" ht="25" customHeight="1" spans="1:12">
      <c r="A37" s="9" t="s">
        <v>78</v>
      </c>
      <c r="B37" s="9" t="s">
        <v>77</v>
      </c>
      <c r="C37" s="9" t="s">
        <v>547</v>
      </c>
      <c r="D37" s="12">
        <v>0.045</v>
      </c>
      <c r="E37" s="13">
        <f>IF(ISNUMBER('Sheet2-计算明细'!L21),'Sheet2-计算明细'!L21,"")</f>
        <v>100</v>
      </c>
      <c r="F37" s="13">
        <f>IF(ISNUMBER(对照快照!L59),对照快照!L59,"")</f>
        <v>100</v>
      </c>
      <c r="G37" s="13">
        <f t="shared" si="0"/>
        <v>4.5</v>
      </c>
      <c r="H37" s="13">
        <f t="shared" si="1"/>
        <v>4.5</v>
      </c>
      <c r="I37" s="13">
        <f t="shared" si="2"/>
        <v>0</v>
      </c>
      <c r="J37" s="15">
        <f>IF(ISNUMBER('Sheet2-计算明细'!F21),'Sheet2-计算明细'!F21,IF('Sheet2-计算明细'!F21="","",'Sheet2-计算明细'!F21))</f>
        <v>3.7782</v>
      </c>
      <c r="K37" s="15">
        <f>IF(ISNUMBER(对照快照!F59),对照快照!F59,IF(对照快照!F59="","",对照快照!F59))</f>
        <v>3.77</v>
      </c>
      <c r="L37" s="9" t="s">
        <v>1538</v>
      </c>
    </row>
    <row r="38" ht="25" customHeight="1" spans="1:12">
      <c r="A38" s="9" t="s">
        <v>78</v>
      </c>
      <c r="B38" s="9" t="s">
        <v>77</v>
      </c>
      <c r="C38" s="9" t="s">
        <v>1539</v>
      </c>
      <c r="D38" s="12">
        <v>0.084</v>
      </c>
      <c r="E38" s="13">
        <f>IF(ISNUMBER('Sheet2-计算明细'!Q21),'Sheet2-计算明细'!Q21,"")</f>
        <v>41.67</v>
      </c>
      <c r="F38" s="13">
        <f>IF(ISNUMBER(对照快照!Q59),对照快照!Q59,"")</f>
        <v>61.02</v>
      </c>
      <c r="G38" s="13">
        <f t="shared" si="0"/>
        <v>3.50028</v>
      </c>
      <c r="H38" s="13">
        <f t="shared" si="1"/>
        <v>5.12568</v>
      </c>
      <c r="I38" s="13">
        <f t="shared" si="2"/>
        <v>-1.6254</v>
      </c>
      <c r="J38" s="15">
        <f>IF(ISNUMBER('Sheet2-计算明细'!M21),'Sheet2-计算明细'!M21,IF('Sheet2-计算明细'!M21="","",'Sheet2-计算明细'!M21))</f>
        <v>0.0829</v>
      </c>
      <c r="K38" s="15">
        <f>IF(ISNUMBER(对照快照!M59),对照快照!M59,IF(对照快照!M59="","",对照快照!M59))</f>
        <v>0.0809</v>
      </c>
      <c r="L38" s="9" t="s">
        <v>1540</v>
      </c>
    </row>
    <row r="39" ht="25" customHeight="1" spans="1:12">
      <c r="A39" s="9" t="s">
        <v>78</v>
      </c>
      <c r="B39" s="9" t="s">
        <v>77</v>
      </c>
      <c r="C39" s="9" t="s">
        <v>1541</v>
      </c>
      <c r="D39" s="12">
        <v>0.056</v>
      </c>
      <c r="E39" s="13">
        <f>IF(ISNUMBER('Sheet2-计算明细'!R21),'Sheet2-计算明细'!R21,"")</f>
        <v>12.12</v>
      </c>
      <c r="F39" s="13">
        <f>IF(ISNUMBER(对照快照!R59),对照快照!R59,"")</f>
        <v>30.48</v>
      </c>
      <c r="G39" s="13">
        <f t="shared" si="0"/>
        <v>0.67872</v>
      </c>
      <c r="H39" s="13">
        <f t="shared" si="1"/>
        <v>1.70688</v>
      </c>
      <c r="I39" s="13">
        <f t="shared" si="2"/>
        <v>-1.02816</v>
      </c>
      <c r="J39" s="15">
        <f>IF(ISNUMBER('Sheet2-计算明细'!P21),'Sheet2-计算明细'!P21,IF('Sheet2-计算明细'!P21="","",'Sheet2-计算明细'!P21))</f>
        <v>0.0402845126285818</v>
      </c>
      <c r="K39" s="15">
        <f>IF(ISNUMBER(对照快照!P59),对照快照!P59,IF(对照快照!P59="","",对照快照!P59))</f>
        <v>0.0443590400602003</v>
      </c>
      <c r="L39" s="9" t="s">
        <v>1540</v>
      </c>
    </row>
    <row r="40" ht="25" customHeight="1" spans="1:12">
      <c r="A40" s="9" t="s">
        <v>78</v>
      </c>
      <c r="B40" s="9" t="s">
        <v>77</v>
      </c>
      <c r="C40" s="9" t="s">
        <v>690</v>
      </c>
      <c r="D40" s="12">
        <v>0.036</v>
      </c>
      <c r="E40" s="13">
        <f>IF(ISNUMBER('Sheet2-计算明细'!W21),'Sheet2-计算明细'!W21,"")</f>
        <v>53.85</v>
      </c>
      <c r="F40" s="13">
        <f>IF(ISNUMBER(对照快照!W59),对照快照!W59,"")</f>
        <v>53.85</v>
      </c>
      <c r="G40" s="13">
        <f t="shared" si="0"/>
        <v>1.9386</v>
      </c>
      <c r="H40" s="13">
        <f t="shared" si="1"/>
        <v>1.9386</v>
      </c>
      <c r="I40" s="13">
        <f t="shared" si="2"/>
        <v>0</v>
      </c>
      <c r="J40" s="15">
        <f>IF(ISNUMBER('Sheet2-计算明细'!T21),'Sheet2-计算明细'!T21,IF('Sheet2-计算明细'!T21="","",'Sheet2-计算明细'!T21))</f>
        <v>0.5385</v>
      </c>
      <c r="K40" s="15">
        <f>IF(ISNUMBER(对照快照!T59),对照快照!T59,IF(对照快照!T59="","",对照快照!T59))</f>
        <v>0.5385</v>
      </c>
      <c r="L40" s="9" t="s">
        <v>1538</v>
      </c>
    </row>
    <row r="41" ht="25" customHeight="1" spans="1:12">
      <c r="A41" s="9" t="s">
        <v>78</v>
      </c>
      <c r="B41" s="9" t="s">
        <v>77</v>
      </c>
      <c r="C41" s="9" t="s">
        <v>692</v>
      </c>
      <c r="D41" s="12">
        <v>0.024</v>
      </c>
      <c r="E41" s="13">
        <f>IF(ISNUMBER('Sheet2-计算明细'!X21),'Sheet2-计算明细'!X21,"")</f>
        <v>66.66125</v>
      </c>
      <c r="F41" s="13">
        <f>IF(ISNUMBER(对照快照!X59),对照快照!X59,"")</f>
        <v>70.82375</v>
      </c>
      <c r="G41" s="13">
        <f t="shared" si="0"/>
        <v>1.59987</v>
      </c>
      <c r="H41" s="13">
        <f t="shared" si="1"/>
        <v>1.69977</v>
      </c>
      <c r="I41" s="13">
        <f t="shared" si="2"/>
        <v>-0.0998999999999999</v>
      </c>
      <c r="J41" s="15">
        <f>IF(ISNUMBER('Sheet2-计算明细'!V21),'Sheet2-计算明细'!V21,IF('Sheet2-计算明细'!V21="","",'Sheet2-计算明细'!V21))</f>
        <v>0.6666125</v>
      </c>
      <c r="K41" s="15">
        <f>IF(ISNUMBER(对照快照!V59),对照快照!V59,IF(对照快照!V59="","",对照快照!V59))</f>
        <v>0.7082375</v>
      </c>
      <c r="L41" s="9" t="s">
        <v>1538</v>
      </c>
    </row>
    <row r="42" ht="25" customHeight="1" spans="1:12">
      <c r="A42" s="9" t="s">
        <v>78</v>
      </c>
      <c r="B42" s="9" t="s">
        <v>77</v>
      </c>
      <c r="C42" s="9" t="s">
        <v>1542</v>
      </c>
      <c r="D42" s="12">
        <v>0.25</v>
      </c>
      <c r="E42" s="13">
        <f>IF(ISNUMBER('Sheet2-计算明细'!AC21),'Sheet2-计算明细'!AC21,"")</f>
        <v>31.08</v>
      </c>
      <c r="F42" s="13">
        <f>IF(ISNUMBER(对照快照!AC59),对照快照!AC59,"")</f>
        <v>53.53</v>
      </c>
      <c r="G42" s="13">
        <f t="shared" si="0"/>
        <v>7.77</v>
      </c>
      <c r="H42" s="13">
        <f t="shared" si="1"/>
        <v>13.3825</v>
      </c>
      <c r="I42" s="13">
        <f t="shared" si="2"/>
        <v>-5.6125</v>
      </c>
      <c r="J42" s="15">
        <f>IF(ISNUMBER('Sheet2-计算明细'!AB21),'Sheet2-计算明细'!AB21,IF('Sheet2-计算明细'!AB21="","",'Sheet2-计算明细'!AB21))</f>
        <v>0.0368</v>
      </c>
      <c r="K42" s="15">
        <f>IF(ISNUMBER(对照快照!AB59),对照快照!AB59,IF(对照快照!AB59="","",对照快照!AB59))</f>
        <v>0.036606334841629</v>
      </c>
      <c r="L42" s="9" t="s">
        <v>1540</v>
      </c>
    </row>
    <row r="43" ht="25" customHeight="1" spans="1:12">
      <c r="A43" s="9" t="s">
        <v>78</v>
      </c>
      <c r="B43" s="9" t="s">
        <v>77</v>
      </c>
      <c r="C43" s="9" t="s">
        <v>1543</v>
      </c>
      <c r="D43" s="12">
        <v>0.18</v>
      </c>
      <c r="E43" s="13">
        <f>IF(ISNUMBER('Sheet2-计算明细'!AG21),'Sheet2-计算明细'!AG21,"")</f>
        <v>15.49</v>
      </c>
      <c r="F43" s="13">
        <f>IF(ISNUMBER(对照快照!AG59),对照快照!AG59,"")</f>
        <v>47.91</v>
      </c>
      <c r="G43" s="13">
        <f t="shared" si="0"/>
        <v>2.7882</v>
      </c>
      <c r="H43" s="13">
        <f t="shared" si="1"/>
        <v>8.6238</v>
      </c>
      <c r="I43" s="13">
        <f t="shared" si="2"/>
        <v>-5.8356</v>
      </c>
      <c r="J43" s="15">
        <f>IF(ISNUMBER('Sheet2-计算明细'!AD21),'Sheet2-计算明细'!AD21,IF('Sheet2-计算明细'!AD21="","",'Sheet2-计算明细'!AD21))</f>
        <v>2.254</v>
      </c>
      <c r="K43" s="15">
        <f>IF(ISNUMBER(对照快照!AD59),对照快照!AD59,IF(对照快照!AD59="","",对照快照!AD59))</f>
        <v>2.21</v>
      </c>
      <c r="L43" s="9" t="s">
        <v>1540</v>
      </c>
    </row>
    <row r="44" ht="25" customHeight="1" spans="1:12">
      <c r="A44" s="9" t="s">
        <v>78</v>
      </c>
      <c r="B44" s="9" t="s">
        <v>77</v>
      </c>
      <c r="C44" s="9" t="s">
        <v>1544</v>
      </c>
      <c r="D44" s="12">
        <v>0.12</v>
      </c>
      <c r="E44" s="13" t="str">
        <f>IF(ISNUMBER('Sheet2-计算明细'!AH21),'Sheet2-计算明细'!AH21,"")</f>
        <v/>
      </c>
      <c r="F44" s="13" t="str">
        <f>IF(ISNUMBER(对照快照!AH59),对照快照!AH59,"")</f>
        <v/>
      </c>
      <c r="G44" s="13">
        <f t="shared" si="0"/>
        <v>0</v>
      </c>
      <c r="H44" s="13">
        <f t="shared" si="1"/>
        <v>0</v>
      </c>
      <c r="I44" s="13">
        <f t="shared" si="2"/>
        <v>0</v>
      </c>
      <c r="J44" s="15" t="str">
        <f>IF(ISNUMBER('Sheet2-计算明细'!AF21),'Sheet2-计算明细'!AF21,IF('Sheet2-计算明细'!AF21="","",'Sheet2-计算明细'!AF21))</f>
        <v/>
      </c>
      <c r="K44" s="15" t="str">
        <f>IF(ISNUMBER(对照快照!AF59),对照快照!AF59,IF(对照快照!AF59="","",对照快照!AF59))</f>
        <v/>
      </c>
      <c r="L44" s="9" t="s">
        <v>1540</v>
      </c>
    </row>
    <row r="45" ht="25" customHeight="1" spans="1:12">
      <c r="A45" s="9" t="s">
        <v>78</v>
      </c>
      <c r="B45" s="9" t="s">
        <v>77</v>
      </c>
      <c r="C45" s="9" t="s">
        <v>574</v>
      </c>
      <c r="D45" s="12">
        <v>0.1</v>
      </c>
      <c r="E45" s="13">
        <f>IF(ISNUMBER('Sheet2-计算明细'!AK21),'Sheet2-计算明细'!AK21,"")</f>
        <v>100</v>
      </c>
      <c r="F45" s="13">
        <f>IF(ISNUMBER(对照快照!AK59),对照快照!AK59,"")</f>
        <v>100</v>
      </c>
      <c r="G45" s="13">
        <f t="shared" si="0"/>
        <v>10</v>
      </c>
      <c r="H45" s="13">
        <f t="shared" si="1"/>
        <v>10</v>
      </c>
      <c r="I45" s="13">
        <f t="shared" si="2"/>
        <v>0</v>
      </c>
      <c r="J45" s="15">
        <f>IF(ISNUMBER('Sheet2-计算明细'!AJ21),'Sheet2-计算明细'!AJ21,IF('Sheet2-计算明细'!AJ21="","",'Sheet2-计算明细'!AJ21))</f>
        <v>0.0543</v>
      </c>
      <c r="K45" s="15">
        <f>IF(ISNUMBER(对照快照!AJ59),对照快照!AJ59,IF(对照快照!AJ59="","",对照快照!AJ59))</f>
        <v>0.0564</v>
      </c>
      <c r="L45" s="9" t="s">
        <v>1538</v>
      </c>
    </row>
    <row r="46" ht="25" customHeight="1" spans="1:12">
      <c r="A46" s="9" t="s">
        <v>84</v>
      </c>
      <c r="B46" s="9" t="s">
        <v>83</v>
      </c>
      <c r="C46" s="9" t="s">
        <v>538</v>
      </c>
      <c r="D46" s="12">
        <v>0.06</v>
      </c>
      <c r="E46" s="13">
        <f>IF(ISNUMBER('Sheet2-计算明细'!I22),'Sheet2-计算明细'!I22,"")</f>
        <v>60</v>
      </c>
      <c r="F46" s="13">
        <f>IF(ISNUMBER(对照快照!I230),对照快照!I230,"")</f>
        <v>60</v>
      </c>
      <c r="G46" s="13">
        <f t="shared" si="0"/>
        <v>3.6</v>
      </c>
      <c r="H46" s="13">
        <f t="shared" si="1"/>
        <v>3.6</v>
      </c>
      <c r="I46" s="13">
        <f t="shared" si="2"/>
        <v>0</v>
      </c>
      <c r="J46" s="15" t="str">
        <f>IF(ISNUMBER('Sheet2-计算明细'!H22),'Sheet2-计算明细'!H22,IF('Sheet2-计算明细'!H22="","",'Sheet2-计算明细'!H22))</f>
        <v>0-5亿元</v>
      </c>
      <c r="K46" s="15" t="str">
        <f>IF(ISNUMBER(对照快照!H230),对照快照!H230,IF(对照快照!H230="","",对照快照!H230))</f>
        <v>0-5亿元</v>
      </c>
      <c r="L46" s="9" t="s">
        <v>1538</v>
      </c>
    </row>
    <row r="47" ht="25" customHeight="1" spans="1:12">
      <c r="A47" s="9" t="s">
        <v>84</v>
      </c>
      <c r="B47" s="9" t="s">
        <v>83</v>
      </c>
      <c r="C47" s="9" t="s">
        <v>543</v>
      </c>
      <c r="D47" s="12">
        <v>0.045</v>
      </c>
      <c r="E47" s="13">
        <f>IF(ISNUMBER('Sheet2-计算明细'!K22),'Sheet2-计算明细'!K22,"")</f>
        <v>100</v>
      </c>
      <c r="F47" s="13">
        <f>IF(ISNUMBER(对照快照!K230),对照快照!K230,"")</f>
        <v>100</v>
      </c>
      <c r="G47" s="13">
        <f t="shared" si="0"/>
        <v>4.5</v>
      </c>
      <c r="H47" s="13">
        <f t="shared" si="1"/>
        <v>4.5</v>
      </c>
      <c r="I47" s="13">
        <f t="shared" si="2"/>
        <v>0</v>
      </c>
      <c r="J47" s="15" t="str">
        <f>IF(ISNUMBER('Sheet2-计算明细'!J22),'Sheet2-计算明细'!J22,IF('Sheet2-计算明细'!J22="","",'Sheet2-计算明细'!J22))</f>
        <v>无低于1000万元标识</v>
      </c>
      <c r="K47" s="15" t="str">
        <f>IF(ISNUMBER(对照快照!J230),对照快照!J230,IF(对照快照!J230="","",对照快照!J230))</f>
        <v>无低于1000万元标识</v>
      </c>
      <c r="L47" s="9" t="s">
        <v>1538</v>
      </c>
    </row>
    <row r="48" ht="25" customHeight="1" spans="1:12">
      <c r="A48" s="9" t="s">
        <v>84</v>
      </c>
      <c r="B48" s="9" t="s">
        <v>83</v>
      </c>
      <c r="C48" s="9" t="s">
        <v>547</v>
      </c>
      <c r="D48" s="12">
        <v>0.045</v>
      </c>
      <c r="E48" s="13">
        <f>IF(ISNUMBER('Sheet2-计算明细'!L22),'Sheet2-计算明细'!L22,"")</f>
        <v>100</v>
      </c>
      <c r="F48" s="13">
        <f>IF(ISNUMBER(对照快照!L230),对照快照!L230,"")</f>
        <v>100</v>
      </c>
      <c r="G48" s="13">
        <f t="shared" si="0"/>
        <v>4.5</v>
      </c>
      <c r="H48" s="13">
        <f t="shared" si="1"/>
        <v>4.5</v>
      </c>
      <c r="I48" s="13">
        <f t="shared" si="2"/>
        <v>0</v>
      </c>
      <c r="J48" s="15">
        <f>IF(ISNUMBER('Sheet2-计算明细'!F22),'Sheet2-计算明细'!F22,IF('Sheet2-计算明细'!F22="","",'Sheet2-计算明细'!F22))</f>
        <v>3.8549</v>
      </c>
      <c r="K48" s="15">
        <f>IF(ISNUMBER(对照快照!F230),对照快照!F230,IF(对照快照!F230="","",对照快照!F230))</f>
        <v>3.8467</v>
      </c>
      <c r="L48" s="9" t="s">
        <v>1538</v>
      </c>
    </row>
    <row r="49" ht="25" customHeight="1" spans="1:12">
      <c r="A49" s="9" t="s">
        <v>84</v>
      </c>
      <c r="B49" s="9" t="s">
        <v>83</v>
      </c>
      <c r="C49" s="9" t="s">
        <v>1539</v>
      </c>
      <c r="D49" s="12">
        <v>0.084</v>
      </c>
      <c r="E49" s="13">
        <f>IF(ISNUMBER('Sheet2-计算明细'!Q22),'Sheet2-计算明细'!Q22,"")</f>
        <v>91.67</v>
      </c>
      <c r="F49" s="13">
        <f>IF(ISNUMBER(对照快照!Q230),对照快照!Q230,"")</f>
        <v>91.05</v>
      </c>
      <c r="G49" s="13">
        <f t="shared" si="0"/>
        <v>7.70028</v>
      </c>
      <c r="H49" s="13">
        <f t="shared" si="1"/>
        <v>7.6482</v>
      </c>
      <c r="I49" s="13">
        <f t="shared" si="2"/>
        <v>0.0520800000000001</v>
      </c>
      <c r="J49" s="15">
        <f>IF(ISNUMBER('Sheet2-计算明细'!M22),'Sheet2-计算明细'!M22,IF('Sheet2-计算明细'!M22="","",'Sheet2-计算明细'!M22))</f>
        <v>0.2516</v>
      </c>
      <c r="K49" s="15">
        <f>IF(ISNUMBER(对照快照!M230),对照快照!M230,IF(对照快照!M230="","",对照快照!M230))</f>
        <v>0.2288</v>
      </c>
      <c r="L49" s="9" t="s">
        <v>1540</v>
      </c>
    </row>
    <row r="50" ht="25" customHeight="1" spans="1:12">
      <c r="A50" s="9" t="s">
        <v>84</v>
      </c>
      <c r="B50" s="9" t="s">
        <v>83</v>
      </c>
      <c r="C50" s="9" t="s">
        <v>1541</v>
      </c>
      <c r="D50" s="12">
        <v>0.056</v>
      </c>
      <c r="E50" s="13">
        <f>IF(ISNUMBER('Sheet2-计算明细'!R22),'Sheet2-计算明细'!R22,"")</f>
        <v>42.42</v>
      </c>
      <c r="F50" s="13">
        <f>IF(ISNUMBER(对照快照!R230),对照快照!R230,"")</f>
        <v>59.52</v>
      </c>
      <c r="G50" s="13">
        <f t="shared" si="0"/>
        <v>2.37552</v>
      </c>
      <c r="H50" s="13">
        <f t="shared" si="1"/>
        <v>3.33312</v>
      </c>
      <c r="I50" s="13">
        <f t="shared" si="2"/>
        <v>-0.9576</v>
      </c>
      <c r="J50" s="15">
        <f>IF(ISNUMBER('Sheet2-计算明细'!P22),'Sheet2-计算明细'!P22,IF('Sheet2-计算明细'!P22="","",'Sheet2-计算明细'!P22))</f>
        <v>0.0709979057378023</v>
      </c>
      <c r="K50" s="15">
        <f>IF(ISNUMBER(对照快照!P230),对照快照!P230,IF(对照快照!P230="","",对照快照!P230))</f>
        <v>0.0790204014376883</v>
      </c>
      <c r="L50" s="9" t="s">
        <v>1540</v>
      </c>
    </row>
    <row r="51" ht="25" customHeight="1" spans="1:12">
      <c r="A51" s="9" t="s">
        <v>84</v>
      </c>
      <c r="B51" s="9" t="s">
        <v>83</v>
      </c>
      <c r="C51" s="9" t="s">
        <v>690</v>
      </c>
      <c r="D51" s="12">
        <v>0.036</v>
      </c>
      <c r="E51" s="13">
        <f>IF(ISNUMBER('Sheet2-计算明细'!W22),'Sheet2-计算明细'!W22,"")</f>
        <v>76.92</v>
      </c>
      <c r="F51" s="13">
        <f>IF(ISNUMBER(对照快照!W230),对照快照!W230,"")</f>
        <v>76.92</v>
      </c>
      <c r="G51" s="13">
        <f t="shared" si="0"/>
        <v>2.76912</v>
      </c>
      <c r="H51" s="13">
        <f t="shared" si="1"/>
        <v>2.76912</v>
      </c>
      <c r="I51" s="13">
        <f t="shared" si="2"/>
        <v>0</v>
      </c>
      <c r="J51" s="15">
        <f>IF(ISNUMBER('Sheet2-计算明细'!T22),'Sheet2-计算明细'!T22,IF('Sheet2-计算明细'!T22="","",'Sheet2-计算明细'!T22))</f>
        <v>0.7692</v>
      </c>
      <c r="K51" s="15">
        <f>IF(ISNUMBER(对照快照!T230),对照快照!T230,IF(对照快照!T230="","",对照快照!T230))</f>
        <v>0.7692</v>
      </c>
      <c r="L51" s="9" t="s">
        <v>1538</v>
      </c>
    </row>
    <row r="52" ht="25" customHeight="1" spans="1:12">
      <c r="A52" s="9" t="s">
        <v>84</v>
      </c>
      <c r="B52" s="9" t="s">
        <v>83</v>
      </c>
      <c r="C52" s="9" t="s">
        <v>692</v>
      </c>
      <c r="D52" s="12">
        <v>0.024</v>
      </c>
      <c r="E52" s="13">
        <f>IF(ISNUMBER('Sheet2-计算明细'!X22),'Sheet2-计算明细'!X22,"")</f>
        <v>70.8304166666667</v>
      </c>
      <c r="F52" s="13">
        <f>IF(ISNUMBER(对照快照!X230),对照快照!X230,"")</f>
        <v>70.8304166666667</v>
      </c>
      <c r="G52" s="13">
        <f t="shared" si="0"/>
        <v>1.69993</v>
      </c>
      <c r="H52" s="13">
        <f t="shared" si="1"/>
        <v>1.69993</v>
      </c>
      <c r="I52" s="13">
        <f t="shared" si="2"/>
        <v>0</v>
      </c>
      <c r="J52" s="15">
        <f>IF(ISNUMBER('Sheet2-计算明细'!V22),'Sheet2-计算明细'!V22,IF('Sheet2-计算明细'!V22="","",'Sheet2-计算明细'!V22))</f>
        <v>0.708304166666667</v>
      </c>
      <c r="K52" s="15">
        <f>IF(ISNUMBER(对照快照!V230),对照快照!V230,IF(对照快照!V230="","",对照快照!V230))</f>
        <v>0.708304166666667</v>
      </c>
      <c r="L52" s="9" t="s">
        <v>1538</v>
      </c>
    </row>
    <row r="53" ht="25" customHeight="1" spans="1:12">
      <c r="A53" s="9" t="s">
        <v>84</v>
      </c>
      <c r="B53" s="9" t="s">
        <v>83</v>
      </c>
      <c r="C53" s="9" t="s">
        <v>1542</v>
      </c>
      <c r="D53" s="12">
        <v>0.25</v>
      </c>
      <c r="E53" s="13">
        <f>IF(ISNUMBER('Sheet2-计算明细'!AC22),'Sheet2-计算明细'!AC22,"")</f>
        <v>22.97</v>
      </c>
      <c r="F53" s="13">
        <f>IF(ISNUMBER(对照快照!AC230),对照快照!AC230,"")</f>
        <v>51.28</v>
      </c>
      <c r="G53" s="13">
        <f t="shared" si="0"/>
        <v>5.7425</v>
      </c>
      <c r="H53" s="13">
        <f t="shared" si="1"/>
        <v>12.82</v>
      </c>
      <c r="I53" s="13">
        <f t="shared" si="2"/>
        <v>-7.0775</v>
      </c>
      <c r="J53" s="15">
        <f>IF(ISNUMBER('Sheet2-计算明细'!AB22),'Sheet2-计算明细'!AB22,IF('Sheet2-计算明细'!AB22="","",'Sheet2-计算明细'!AB22))</f>
        <v>0.0410005703576958</v>
      </c>
      <c r="K53" s="15">
        <f>IF(ISNUMBER(对照快照!AB230),对照快照!AB230,IF(对照快照!AB230="","",对照快照!AB230))</f>
        <v>0.041</v>
      </c>
      <c r="L53" s="9" t="s">
        <v>1540</v>
      </c>
    </row>
    <row r="54" ht="25" customHeight="1" spans="1:12">
      <c r="A54" s="9" t="s">
        <v>84</v>
      </c>
      <c r="B54" s="9" t="s">
        <v>83</v>
      </c>
      <c r="C54" s="9" t="s">
        <v>1543</v>
      </c>
      <c r="D54" s="12">
        <v>0.18</v>
      </c>
      <c r="E54" s="13">
        <f>IF(ISNUMBER('Sheet2-计算明细'!AG22),'Sheet2-计算明细'!AG22,"")</f>
        <v>40.85</v>
      </c>
      <c r="F54" s="13">
        <f>IF(ISNUMBER(对照快照!AG230),对照快照!AG230,"")</f>
        <v>66.88</v>
      </c>
      <c r="G54" s="13">
        <f t="shared" si="0"/>
        <v>7.353</v>
      </c>
      <c r="H54" s="13">
        <f t="shared" si="1"/>
        <v>12.0384</v>
      </c>
      <c r="I54" s="13">
        <f t="shared" si="2"/>
        <v>-4.6854</v>
      </c>
      <c r="J54" s="15">
        <f>IF(ISNUMBER('Sheet2-计算明细'!AD22),'Sheet2-计算明细'!AD22,IF('Sheet2-计算明细'!AD22="","",'Sheet2-计算明细'!AD22))</f>
        <v>6.1365</v>
      </c>
      <c r="K54" s="15">
        <f>IF(ISNUMBER(对照快照!AD230),对照快照!AD230,IF(对照快照!AD230="","",对照快照!AD230))</f>
        <v>5.582</v>
      </c>
      <c r="L54" s="9" t="s">
        <v>1540</v>
      </c>
    </row>
    <row r="55" ht="25" customHeight="1" spans="1:12">
      <c r="A55" s="9" t="s">
        <v>84</v>
      </c>
      <c r="B55" s="9" t="s">
        <v>83</v>
      </c>
      <c r="C55" s="9" t="s">
        <v>1544</v>
      </c>
      <c r="D55" s="12">
        <v>0.12</v>
      </c>
      <c r="E55" s="13" t="str">
        <f>IF(ISNUMBER('Sheet2-计算明细'!AH22),'Sheet2-计算明细'!AH22,"")</f>
        <v/>
      </c>
      <c r="F55" s="13" t="str">
        <f>IF(ISNUMBER(对照快照!AH230),对照快照!AH230,"")</f>
        <v/>
      </c>
      <c r="G55" s="13">
        <f t="shared" si="0"/>
        <v>0</v>
      </c>
      <c r="H55" s="13">
        <f t="shared" si="1"/>
        <v>0</v>
      </c>
      <c r="I55" s="13">
        <f t="shared" si="2"/>
        <v>0</v>
      </c>
      <c r="J55" s="15" t="str">
        <f>IF(ISNUMBER('Sheet2-计算明细'!AF22),'Sheet2-计算明细'!AF22,IF('Sheet2-计算明细'!AF22="","",'Sheet2-计算明细'!AF22))</f>
        <v/>
      </c>
      <c r="K55" s="15" t="str">
        <f>IF(ISNUMBER(对照快照!AF230),对照快照!AF230,IF(对照快照!AF230="","",对照快照!AF230))</f>
        <v/>
      </c>
      <c r="L55" s="9" t="s">
        <v>1540</v>
      </c>
    </row>
    <row r="56" ht="25" customHeight="1" spans="1:12">
      <c r="A56" s="9" t="s">
        <v>84</v>
      </c>
      <c r="B56" s="9" t="s">
        <v>83</v>
      </c>
      <c r="C56" s="9" t="s">
        <v>574</v>
      </c>
      <c r="D56" s="12">
        <v>0.1</v>
      </c>
      <c r="E56" s="13">
        <f>IF(ISNUMBER('Sheet2-计算明细'!AK22),'Sheet2-计算明细'!AK22,"")</f>
        <v>100</v>
      </c>
      <c r="F56" s="13">
        <f>IF(ISNUMBER(对照快照!AK230),对照快照!AK230,"")</f>
        <v>100</v>
      </c>
      <c r="G56" s="13">
        <f t="shared" si="0"/>
        <v>10</v>
      </c>
      <c r="H56" s="13">
        <f t="shared" si="1"/>
        <v>10</v>
      </c>
      <c r="I56" s="13">
        <f t="shared" si="2"/>
        <v>0</v>
      </c>
      <c r="J56" s="15">
        <f>IF(ISNUMBER('Sheet2-计算明细'!AJ22),'Sheet2-计算明细'!AJ22,IF('Sheet2-计算明细'!AJ22="","",'Sheet2-计算明细'!AJ22))</f>
        <v>0.1281</v>
      </c>
      <c r="K56" s="15">
        <f>IF(ISNUMBER(对照快照!AJ230),对照快照!AJ230,IF(对照快照!AJ230="","",对照快照!AJ230))</f>
        <v>0.1268</v>
      </c>
      <c r="L56" s="9" t="s">
        <v>1538</v>
      </c>
    </row>
    <row r="57" ht="25" customHeight="1" spans="1:12">
      <c r="A57" s="9" t="s">
        <v>98</v>
      </c>
      <c r="B57" s="9" t="s">
        <v>95</v>
      </c>
      <c r="C57" s="9" t="s">
        <v>538</v>
      </c>
      <c r="D57" s="12">
        <v>0.06</v>
      </c>
      <c r="E57" s="13">
        <f>IF(ISNUMBER('Sheet2-计算明细'!I24),'Sheet2-计算明细'!I24,"")</f>
        <v>90</v>
      </c>
      <c r="F57" s="13">
        <f>IF(ISNUMBER(对照快照!I247),对照快照!I247,"")</f>
        <v>90</v>
      </c>
      <c r="G57" s="13">
        <f t="shared" si="0"/>
        <v>5.4</v>
      </c>
      <c r="H57" s="13">
        <f t="shared" si="1"/>
        <v>5.4</v>
      </c>
      <c r="I57" s="13">
        <f t="shared" si="2"/>
        <v>0</v>
      </c>
      <c r="J57" s="15" t="str">
        <f>IF(ISNUMBER('Sheet2-计算明细'!H24),'Sheet2-计算明细'!H24,IF('Sheet2-计算明细'!H24="","",'Sheet2-计算明细'!H24))</f>
        <v>20-50亿元</v>
      </c>
      <c r="K57" s="15" t="str">
        <f>IF(ISNUMBER(对照快照!H247),对照快照!H247,IF(对照快照!H247="","",对照快照!H247))</f>
        <v>20-50亿元</v>
      </c>
      <c r="L57" s="9" t="s">
        <v>1538</v>
      </c>
    </row>
    <row r="58" ht="25" customHeight="1" spans="1:12">
      <c r="A58" s="9" t="s">
        <v>98</v>
      </c>
      <c r="B58" s="9" t="s">
        <v>95</v>
      </c>
      <c r="C58" s="9" t="s">
        <v>543</v>
      </c>
      <c r="D58" s="12">
        <v>0.045</v>
      </c>
      <c r="E58" s="13">
        <f>IF(ISNUMBER('Sheet2-计算明细'!K24),'Sheet2-计算明细'!K24,"")</f>
        <v>100</v>
      </c>
      <c r="F58" s="13">
        <f>IF(ISNUMBER(对照快照!K247),对照快照!K247,"")</f>
        <v>100</v>
      </c>
      <c r="G58" s="13">
        <f t="shared" si="0"/>
        <v>4.5</v>
      </c>
      <c r="H58" s="13">
        <f t="shared" si="1"/>
        <v>4.5</v>
      </c>
      <c r="I58" s="13">
        <f t="shared" si="2"/>
        <v>0</v>
      </c>
      <c r="J58" s="15" t="str">
        <f>IF(ISNUMBER('Sheet2-计算明细'!J24),'Sheet2-计算明细'!J24,IF('Sheet2-计算明细'!J24="","",'Sheet2-计算明细'!J24))</f>
        <v>无低于1000万元标识</v>
      </c>
      <c r="K58" s="15" t="str">
        <f>IF(ISNUMBER(对照快照!J247),对照快照!J247,IF(对照快照!J247="","",对照快照!J247))</f>
        <v>无低于1000万元标识</v>
      </c>
      <c r="L58" s="9" t="s">
        <v>1538</v>
      </c>
    </row>
    <row r="59" ht="25" customHeight="1" spans="1:12">
      <c r="A59" s="9" t="s">
        <v>98</v>
      </c>
      <c r="B59" s="9" t="s">
        <v>95</v>
      </c>
      <c r="C59" s="9" t="s">
        <v>547</v>
      </c>
      <c r="D59" s="12">
        <v>0.045</v>
      </c>
      <c r="E59" s="13">
        <f>IF(ISNUMBER('Sheet2-计算明细'!L24),'Sheet2-计算明细'!L24,"")</f>
        <v>100</v>
      </c>
      <c r="F59" s="13">
        <f>IF(ISNUMBER(对照快照!L247),对照快照!L247,"")</f>
        <v>100</v>
      </c>
      <c r="G59" s="13">
        <f t="shared" si="0"/>
        <v>4.5</v>
      </c>
      <c r="H59" s="13">
        <f t="shared" si="1"/>
        <v>4.5</v>
      </c>
      <c r="I59" s="13">
        <f t="shared" si="2"/>
        <v>0</v>
      </c>
      <c r="J59" s="15">
        <f>IF(ISNUMBER('Sheet2-计算明细'!F24),'Sheet2-计算明细'!F24,IF('Sheet2-计算明细'!F24="","",'Sheet2-计算明细'!F24))</f>
        <v>3.5811</v>
      </c>
      <c r="K59" s="15">
        <f>IF(ISNUMBER(对照快照!F247),对照快照!F247,IF(对照快照!F247="","",对照快照!F247))</f>
        <v>3.5729</v>
      </c>
      <c r="L59" s="9" t="s">
        <v>1538</v>
      </c>
    </row>
    <row r="60" ht="25" customHeight="1" spans="1:12">
      <c r="A60" s="9" t="s">
        <v>98</v>
      </c>
      <c r="B60" s="9" t="s">
        <v>95</v>
      </c>
      <c r="C60" s="9" t="s">
        <v>1539</v>
      </c>
      <c r="D60" s="12">
        <v>0.084</v>
      </c>
      <c r="E60" s="13">
        <f>IF(ISNUMBER('Sheet2-计算明细'!Q24),'Sheet2-计算明细'!Q24,"")</f>
        <v>8.33</v>
      </c>
      <c r="F60" s="13">
        <f>IF(ISNUMBER(对照快照!Q247),对照快照!Q247,"")</f>
        <v>27</v>
      </c>
      <c r="G60" s="13">
        <f t="shared" si="0"/>
        <v>0.69972</v>
      </c>
      <c r="H60" s="13">
        <f t="shared" si="1"/>
        <v>2.268</v>
      </c>
      <c r="I60" s="13">
        <f t="shared" si="2"/>
        <v>-1.56828</v>
      </c>
      <c r="J60" s="15">
        <f>IF(ISNUMBER('Sheet2-计算明细'!M24),'Sheet2-计算明细'!M24,IF('Sheet2-计算明细'!M24="","",'Sheet2-计算明细'!M24))</f>
        <v>0.0253</v>
      </c>
      <c r="K60" s="15">
        <f>IF(ISNUMBER(对照快照!M247),对照快照!M247,IF(对照快照!M247="","",对照快照!M247))</f>
        <v>0.0292</v>
      </c>
      <c r="L60" s="9" t="s">
        <v>1540</v>
      </c>
    </row>
    <row r="61" ht="25" customHeight="1" spans="1:12">
      <c r="A61" s="9" t="s">
        <v>98</v>
      </c>
      <c r="B61" s="9" t="s">
        <v>95</v>
      </c>
      <c r="C61" s="9" t="s">
        <v>1541</v>
      </c>
      <c r="D61" s="12">
        <v>0.056</v>
      </c>
      <c r="E61" s="13">
        <f>IF(ISNUMBER('Sheet2-计算明细'!R24),'Sheet2-计算明细'!R24,"")</f>
        <v>53.03</v>
      </c>
      <c r="F61" s="13">
        <f>IF(ISNUMBER(对照快照!R247),对照快照!R247,"")</f>
        <v>60.95</v>
      </c>
      <c r="G61" s="13">
        <f t="shared" si="0"/>
        <v>2.96968</v>
      </c>
      <c r="H61" s="13">
        <f t="shared" si="1"/>
        <v>3.4132</v>
      </c>
      <c r="I61" s="13">
        <f t="shared" si="2"/>
        <v>-0.44352</v>
      </c>
      <c r="J61" s="15">
        <f>IF(ISNUMBER('Sheet2-计算明细'!P24),'Sheet2-计算明细'!P24,IF('Sheet2-计算明细'!P24="","",'Sheet2-计算明细'!P24))</f>
        <v>0.0799238838875331</v>
      </c>
      <c r="K61" s="15">
        <f>IF(ISNUMBER(对照快照!P247),对照快照!P247,IF(对照快照!P247="","",对照快照!P247))</f>
        <v>0.0798567121317122</v>
      </c>
      <c r="L61" s="9" t="s">
        <v>1540</v>
      </c>
    </row>
    <row r="62" ht="25" customHeight="1" spans="1:12">
      <c r="A62" s="9" t="s">
        <v>98</v>
      </c>
      <c r="B62" s="9" t="s">
        <v>95</v>
      </c>
      <c r="C62" s="9" t="s">
        <v>690</v>
      </c>
      <c r="D62" s="12">
        <v>0.036</v>
      </c>
      <c r="E62" s="13">
        <f>IF(ISNUMBER('Sheet2-计算明细'!W24),'Sheet2-计算明细'!W24,"")</f>
        <v>61.54</v>
      </c>
      <c r="F62" s="13">
        <f>IF(ISNUMBER(对照快照!W247),对照快照!W247,"")</f>
        <v>69.23</v>
      </c>
      <c r="G62" s="13">
        <f t="shared" si="0"/>
        <v>2.21544</v>
      </c>
      <c r="H62" s="13">
        <f t="shared" si="1"/>
        <v>2.49228</v>
      </c>
      <c r="I62" s="13">
        <f t="shared" si="2"/>
        <v>-0.27684</v>
      </c>
      <c r="J62" s="15">
        <f>IF(ISNUMBER('Sheet2-计算明细'!T24),'Sheet2-计算明细'!T24,IF('Sheet2-计算明细'!T24="","",'Sheet2-计算明细'!T24))</f>
        <v>0.6154</v>
      </c>
      <c r="K62" s="15">
        <f>IF(ISNUMBER(对照快照!T247),对照快照!T247,IF(对照快照!T247="","",对照快照!T247))</f>
        <v>0.6923</v>
      </c>
      <c r="L62" s="9" t="s">
        <v>1538</v>
      </c>
    </row>
    <row r="63" ht="25" customHeight="1" spans="1:12">
      <c r="A63" s="9" t="s">
        <v>98</v>
      </c>
      <c r="B63" s="9" t="s">
        <v>95</v>
      </c>
      <c r="C63" s="9" t="s">
        <v>692</v>
      </c>
      <c r="D63" s="12">
        <v>0.024</v>
      </c>
      <c r="E63" s="13">
        <f>IF(ISNUMBER('Sheet2-计算明细'!X24),'Sheet2-计算明细'!X24,"")</f>
        <v>95.8266666666667</v>
      </c>
      <c r="F63" s="13">
        <f>IF(ISNUMBER(对照快照!X247),对照快照!X247,"")</f>
        <v>95.2533333333333</v>
      </c>
      <c r="G63" s="13">
        <f t="shared" si="0"/>
        <v>2.29984</v>
      </c>
      <c r="H63" s="13">
        <f t="shared" si="1"/>
        <v>2.28608</v>
      </c>
      <c r="I63" s="13">
        <f t="shared" si="2"/>
        <v>0.0137600000000009</v>
      </c>
      <c r="J63" s="15">
        <f>IF(ISNUMBER('Sheet2-计算明细'!V24),'Sheet2-计算明细'!V24,IF('Sheet2-计算明细'!V24="","",'Sheet2-计算明细'!V24))</f>
        <v>0.958266666666667</v>
      </c>
      <c r="K63" s="15">
        <f>IF(ISNUMBER(对照快照!V247),对照快照!V247,IF(对照快照!V247="","",对照快照!V247))</f>
        <v>0.952533333333333</v>
      </c>
      <c r="L63" s="9" t="s">
        <v>1538</v>
      </c>
    </row>
    <row r="64" ht="25" customHeight="1" spans="1:12">
      <c r="A64" s="9" t="s">
        <v>98</v>
      </c>
      <c r="B64" s="9" t="s">
        <v>95</v>
      </c>
      <c r="C64" s="9" t="s">
        <v>1542</v>
      </c>
      <c r="D64" s="12">
        <v>0.25</v>
      </c>
      <c r="E64" s="13">
        <f>IF(ISNUMBER('Sheet2-计算明细'!AC24),'Sheet2-计算明细'!AC24,"")</f>
        <v>81.08</v>
      </c>
      <c r="F64" s="13">
        <f>IF(ISNUMBER(对照快照!AC247),对照快照!AC247,"")</f>
        <v>90.71</v>
      </c>
      <c r="G64" s="13">
        <f t="shared" si="0"/>
        <v>20.27</v>
      </c>
      <c r="H64" s="13">
        <f t="shared" si="1"/>
        <v>22.6775</v>
      </c>
      <c r="I64" s="13">
        <f t="shared" si="2"/>
        <v>-2.4075</v>
      </c>
      <c r="J64" s="15">
        <f>IF(ISNUMBER('Sheet2-计算明细'!AB24),'Sheet2-计算明细'!AB24,IF('Sheet2-计算明细'!AB24="","",'Sheet2-计算明细'!AB24))</f>
        <v>0.0062</v>
      </c>
      <c r="K64" s="15">
        <f>IF(ISNUMBER(对照快照!AB247),对照快照!AB247,IF(对照快照!AB247="","",对照快照!AB247))</f>
        <v>0.0062</v>
      </c>
      <c r="L64" s="9" t="s">
        <v>1540</v>
      </c>
    </row>
    <row r="65" ht="25" customHeight="1" spans="1:12">
      <c r="A65" s="9" t="s">
        <v>98</v>
      </c>
      <c r="B65" s="9" t="s">
        <v>95</v>
      </c>
      <c r="C65" s="9" t="s">
        <v>1543</v>
      </c>
      <c r="D65" s="12">
        <v>0.18</v>
      </c>
      <c r="E65" s="13">
        <f>IF(ISNUMBER('Sheet2-计算明细'!AG24),'Sheet2-计算明细'!AG24,"")</f>
        <v>33.8</v>
      </c>
      <c r="F65" s="13">
        <f>IF(ISNUMBER(对照快照!AG247),对照快照!AG247,"")</f>
        <v>67.2</v>
      </c>
      <c r="G65" s="13">
        <f t="shared" si="0"/>
        <v>6.084</v>
      </c>
      <c r="H65" s="13">
        <f t="shared" si="1"/>
        <v>12.096</v>
      </c>
      <c r="I65" s="13">
        <f t="shared" si="2"/>
        <v>-6.012</v>
      </c>
      <c r="J65" s="15">
        <f>IF(ISNUMBER('Sheet2-计算明细'!AD24),'Sheet2-计算明细'!AD24,IF('Sheet2-计算明细'!AD24="","",'Sheet2-计算明细'!AD24))</f>
        <v>5.1208</v>
      </c>
      <c r="K65" s="15">
        <f>IF(ISNUMBER(对照快照!AD247),对照快照!AD247,IF(对照快照!AD247="","",对照快照!AD247))</f>
        <v>5.9069</v>
      </c>
      <c r="L65" s="9" t="s">
        <v>1540</v>
      </c>
    </row>
    <row r="66" ht="25" customHeight="1" spans="1:12">
      <c r="A66" s="9" t="s">
        <v>98</v>
      </c>
      <c r="B66" s="9" t="s">
        <v>95</v>
      </c>
      <c r="C66" s="9" t="s">
        <v>1544</v>
      </c>
      <c r="D66" s="12">
        <v>0.12</v>
      </c>
      <c r="E66" s="13">
        <f>IF(ISNUMBER('Sheet2-计算明细'!AH24),'Sheet2-计算明细'!AH24,"")</f>
        <v>84.38</v>
      </c>
      <c r="F66" s="13">
        <f>IF(ISNUMBER(对照快照!AH247),对照快照!AH247,"")</f>
        <v>92.91</v>
      </c>
      <c r="G66" s="13">
        <f t="shared" ref="G66:G129" si="3">IF(ISNUMBER(E66),D66*E66,0)</f>
        <v>10.1256</v>
      </c>
      <c r="H66" s="13">
        <f t="shared" ref="H66:H129" si="4">IF(ISNUMBER(F66),D66*F66,0)</f>
        <v>11.1492</v>
      </c>
      <c r="I66" s="13">
        <f t="shared" ref="I66:I129" si="5">G66-H66</f>
        <v>-1.0236</v>
      </c>
      <c r="J66" s="15">
        <f>IF(ISNUMBER('Sheet2-计算明细'!AF24),'Sheet2-计算明细'!AF24,IF('Sheet2-计算明细'!AF24="","",'Sheet2-计算明细'!AF24))</f>
        <v>12.8909490141182</v>
      </c>
      <c r="K66" s="15">
        <f>IF(ISNUMBER(对照快照!AF247),对照快照!AF247,IF(对照快照!AF247="","",对照快照!AF247))</f>
        <v>12.8801148599536</v>
      </c>
      <c r="L66" s="9" t="s">
        <v>1540</v>
      </c>
    </row>
    <row r="67" ht="25" customHeight="1" spans="1:12">
      <c r="A67" s="9" t="s">
        <v>98</v>
      </c>
      <c r="B67" s="9" t="s">
        <v>95</v>
      </c>
      <c r="C67" s="9" t="s">
        <v>574</v>
      </c>
      <c r="D67" s="12">
        <v>0.1</v>
      </c>
      <c r="E67" s="13">
        <f>IF(ISNUMBER('Sheet2-计算明细'!AK24),'Sheet2-计算明细'!AK24,"")</f>
        <v>80</v>
      </c>
      <c r="F67" s="13">
        <f>IF(ISNUMBER(对照快照!AK247),对照快照!AK247,"")</f>
        <v>80</v>
      </c>
      <c r="G67" s="13">
        <f t="shared" si="3"/>
        <v>8</v>
      </c>
      <c r="H67" s="13">
        <f t="shared" si="4"/>
        <v>8</v>
      </c>
      <c r="I67" s="13">
        <f t="shared" si="5"/>
        <v>0</v>
      </c>
      <c r="J67" s="15">
        <f>IF(ISNUMBER('Sheet2-计算明细'!AJ24),'Sheet2-计算明细'!AJ24,IF('Sheet2-计算明细'!AJ24="","",'Sheet2-计算明细'!AJ24))</f>
        <v>0.0614</v>
      </c>
      <c r="K67" s="15">
        <f>IF(ISNUMBER(对照快照!AJ247),对照快照!AJ247,IF(对照快照!AJ247="","",对照快照!AJ247))</f>
        <v>0.0627</v>
      </c>
      <c r="L67" s="9" t="s">
        <v>1538</v>
      </c>
    </row>
    <row r="68" ht="25" customHeight="1" spans="1:12">
      <c r="A68" s="9" t="s">
        <v>105</v>
      </c>
      <c r="B68" s="9" t="s">
        <v>104</v>
      </c>
      <c r="C68" s="9" t="s">
        <v>538</v>
      </c>
      <c r="D68" s="12">
        <v>0.06</v>
      </c>
      <c r="E68" s="13">
        <f>IF(ISNUMBER('Sheet2-计算明细'!I25),'Sheet2-计算明细'!I25,"")</f>
        <v>90</v>
      </c>
      <c r="F68" s="13">
        <f>IF(ISNUMBER(对照快照!I246),对照快照!I246,"")</f>
        <v>90</v>
      </c>
      <c r="G68" s="13">
        <f t="shared" si="3"/>
        <v>5.4</v>
      </c>
      <c r="H68" s="13">
        <f t="shared" si="4"/>
        <v>5.4</v>
      </c>
      <c r="I68" s="13">
        <f t="shared" si="5"/>
        <v>0</v>
      </c>
      <c r="J68" s="15" t="str">
        <f>IF(ISNUMBER('Sheet2-计算明细'!H25),'Sheet2-计算明细'!H25,IF('Sheet2-计算明细'!H25="","",'Sheet2-计算明细'!H25))</f>
        <v>20-50亿元</v>
      </c>
      <c r="K68" s="15" t="str">
        <f>IF(ISNUMBER(对照快照!H246),对照快照!H246,IF(对照快照!H246="","",对照快照!H246))</f>
        <v>20-50亿元</v>
      </c>
      <c r="L68" s="9" t="s">
        <v>1538</v>
      </c>
    </row>
    <row r="69" ht="25" customHeight="1" spans="1:12">
      <c r="A69" s="9" t="s">
        <v>105</v>
      </c>
      <c r="B69" s="9" t="s">
        <v>104</v>
      </c>
      <c r="C69" s="9" t="s">
        <v>543</v>
      </c>
      <c r="D69" s="12">
        <v>0.045</v>
      </c>
      <c r="E69" s="13">
        <f>IF(ISNUMBER('Sheet2-计算明细'!K25),'Sheet2-计算明细'!K25,"")</f>
        <v>100</v>
      </c>
      <c r="F69" s="13">
        <f>IF(ISNUMBER(对照快照!K246),对照快照!K246,"")</f>
        <v>100</v>
      </c>
      <c r="G69" s="13">
        <f t="shared" si="3"/>
        <v>4.5</v>
      </c>
      <c r="H69" s="13">
        <f t="shared" si="4"/>
        <v>4.5</v>
      </c>
      <c r="I69" s="13">
        <f t="shared" si="5"/>
        <v>0</v>
      </c>
      <c r="J69" s="15" t="str">
        <f>IF(ISNUMBER('Sheet2-计算明细'!J25),'Sheet2-计算明细'!J25,IF('Sheet2-计算明细'!J25="","",'Sheet2-计算明细'!J25))</f>
        <v>无低于1000万元标识</v>
      </c>
      <c r="K69" s="15" t="str">
        <f>IF(ISNUMBER(对照快照!J246),对照快照!J246,IF(对照快照!J246="","",对照快照!J246))</f>
        <v>无低于1000万元标识</v>
      </c>
      <c r="L69" s="9" t="s">
        <v>1538</v>
      </c>
    </row>
    <row r="70" ht="25" customHeight="1" spans="1:12">
      <c r="A70" s="9" t="s">
        <v>105</v>
      </c>
      <c r="B70" s="9" t="s">
        <v>104</v>
      </c>
      <c r="C70" s="9" t="s">
        <v>547</v>
      </c>
      <c r="D70" s="12">
        <v>0.045</v>
      </c>
      <c r="E70" s="13">
        <f>IF(ISNUMBER('Sheet2-计算明细'!L25),'Sheet2-计算明细'!L25,"")</f>
        <v>100</v>
      </c>
      <c r="F70" s="13">
        <f>IF(ISNUMBER(对照快照!L246),对照快照!L246,"")</f>
        <v>100</v>
      </c>
      <c r="G70" s="13">
        <f t="shared" si="3"/>
        <v>4.5</v>
      </c>
      <c r="H70" s="13">
        <f t="shared" si="4"/>
        <v>4.5</v>
      </c>
      <c r="I70" s="13">
        <f t="shared" si="5"/>
        <v>0</v>
      </c>
      <c r="J70" s="15">
        <f>IF(ISNUMBER('Sheet2-计算明细'!F25),'Sheet2-计算明细'!F25,IF('Sheet2-计算明细'!F25="","",'Sheet2-计算明细'!F25))</f>
        <v>3.5838</v>
      </c>
      <c r="K70" s="15">
        <f>IF(ISNUMBER(对照快照!F246),对照快照!F246,IF(对照快照!F246="","",对照快照!F246))</f>
        <v>3.5756</v>
      </c>
      <c r="L70" s="9" t="s">
        <v>1538</v>
      </c>
    </row>
    <row r="71" ht="25" customHeight="1" spans="1:12">
      <c r="A71" s="9" t="s">
        <v>105</v>
      </c>
      <c r="B71" s="9" t="s">
        <v>104</v>
      </c>
      <c r="C71" s="9" t="s">
        <v>1539</v>
      </c>
      <c r="D71" s="12">
        <v>0.084</v>
      </c>
      <c r="E71" s="13">
        <f>IF(ISNUMBER('Sheet2-计算明细'!Q25),'Sheet2-计算明细'!Q25,"")</f>
        <v>12.5</v>
      </c>
      <c r="F71" s="13">
        <f>IF(ISNUMBER(对照快照!Q246),对照快照!Q246,"")</f>
        <v>29.07</v>
      </c>
      <c r="G71" s="13">
        <f t="shared" si="3"/>
        <v>1.05</v>
      </c>
      <c r="H71" s="13">
        <f t="shared" si="4"/>
        <v>2.44188</v>
      </c>
      <c r="I71" s="13">
        <f t="shared" si="5"/>
        <v>-1.39188</v>
      </c>
      <c r="J71" s="15">
        <f>IF(ISNUMBER('Sheet2-计算明细'!M25),'Sheet2-计算明细'!M25,IF('Sheet2-计算明细'!M25="","",'Sheet2-计算明细'!M25))</f>
        <v>0.0284</v>
      </c>
      <c r="K71" s="15">
        <f>IF(ISNUMBER(对照快照!M246),对照快照!M246,IF(对照快照!M246="","",对照快照!M246))</f>
        <v>0.0324</v>
      </c>
      <c r="L71" s="9" t="s">
        <v>1540</v>
      </c>
    </row>
    <row r="72" ht="25" customHeight="1" spans="1:12">
      <c r="A72" s="9" t="s">
        <v>105</v>
      </c>
      <c r="B72" s="9" t="s">
        <v>104</v>
      </c>
      <c r="C72" s="9" t="s">
        <v>1541</v>
      </c>
      <c r="D72" s="12">
        <v>0.056</v>
      </c>
      <c r="E72" s="13">
        <f>IF(ISNUMBER('Sheet2-计算明细'!R25),'Sheet2-计算明细'!R25,"")</f>
        <v>57.58</v>
      </c>
      <c r="F72" s="13">
        <f>IF(ISNUMBER(对照快照!R246),对照快照!R246,"")</f>
        <v>61.43</v>
      </c>
      <c r="G72" s="13">
        <f t="shared" si="3"/>
        <v>3.22448</v>
      </c>
      <c r="H72" s="13">
        <f t="shared" si="4"/>
        <v>3.44008</v>
      </c>
      <c r="I72" s="13">
        <f t="shared" si="5"/>
        <v>-0.2156</v>
      </c>
      <c r="J72" s="15">
        <f>IF(ISNUMBER('Sheet2-计算明细'!P25),'Sheet2-计算明细'!P25,IF('Sheet2-计算明细'!P25="","",'Sheet2-计算明细'!P25))</f>
        <v>0.0819543690837723</v>
      </c>
      <c r="K72" s="15">
        <f>IF(ISNUMBER(对照快照!P246),对照快照!P246,IF(对照快照!P246="","",对照快照!P246))</f>
        <v>0.0816840197927176</v>
      </c>
      <c r="L72" s="9" t="s">
        <v>1540</v>
      </c>
    </row>
    <row r="73" ht="25" customHeight="1" spans="1:12">
      <c r="A73" s="9" t="s">
        <v>105</v>
      </c>
      <c r="B73" s="9" t="s">
        <v>104</v>
      </c>
      <c r="C73" s="9" t="s">
        <v>690</v>
      </c>
      <c r="D73" s="12">
        <v>0.036</v>
      </c>
      <c r="E73" s="13">
        <f>IF(ISNUMBER('Sheet2-计算明细'!W25),'Sheet2-计算明细'!W25,"")</f>
        <v>61.54</v>
      </c>
      <c r="F73" s="13">
        <f>IF(ISNUMBER(对照快照!W246),对照快照!W246,"")</f>
        <v>69.23</v>
      </c>
      <c r="G73" s="13">
        <f t="shared" si="3"/>
        <v>2.21544</v>
      </c>
      <c r="H73" s="13">
        <f t="shared" si="4"/>
        <v>2.49228</v>
      </c>
      <c r="I73" s="13">
        <f t="shared" si="5"/>
        <v>-0.27684</v>
      </c>
      <c r="J73" s="15">
        <f>IF(ISNUMBER('Sheet2-计算明细'!T25),'Sheet2-计算明细'!T25,IF('Sheet2-计算明细'!T25="","",'Sheet2-计算明细'!T25))</f>
        <v>0.6154</v>
      </c>
      <c r="K73" s="15">
        <f>IF(ISNUMBER(对照快照!T246),对照快照!T246,IF(对照快照!T246="","",对照快照!T246))</f>
        <v>0.6923</v>
      </c>
      <c r="L73" s="9" t="s">
        <v>1538</v>
      </c>
    </row>
    <row r="74" ht="25" customHeight="1" spans="1:12">
      <c r="A74" s="9" t="s">
        <v>105</v>
      </c>
      <c r="B74" s="9" t="s">
        <v>104</v>
      </c>
      <c r="C74" s="9" t="s">
        <v>692</v>
      </c>
      <c r="D74" s="12">
        <v>0.024</v>
      </c>
      <c r="E74" s="13">
        <f>IF(ISNUMBER('Sheet2-计算明细'!X25),'Sheet2-计算明细'!X25,"")</f>
        <v>95.8266666666667</v>
      </c>
      <c r="F74" s="13">
        <f>IF(ISNUMBER(对照快照!X246),对照快照!X246,"")</f>
        <v>95.2533333333333</v>
      </c>
      <c r="G74" s="13">
        <f t="shared" si="3"/>
        <v>2.29984</v>
      </c>
      <c r="H74" s="13">
        <f t="shared" si="4"/>
        <v>2.28608</v>
      </c>
      <c r="I74" s="13">
        <f t="shared" si="5"/>
        <v>0.0137600000000009</v>
      </c>
      <c r="J74" s="15">
        <f>IF(ISNUMBER('Sheet2-计算明细'!V25),'Sheet2-计算明细'!V25,IF('Sheet2-计算明细'!V25="","",'Sheet2-计算明细'!V25))</f>
        <v>0.958266666666667</v>
      </c>
      <c r="K74" s="15">
        <f>IF(ISNUMBER(对照快照!V246),对照快照!V246,IF(对照快照!V246="","",对照快照!V246))</f>
        <v>0.952533333333333</v>
      </c>
      <c r="L74" s="9" t="s">
        <v>1538</v>
      </c>
    </row>
    <row r="75" ht="25" customHeight="1" spans="1:12">
      <c r="A75" s="9" t="s">
        <v>105</v>
      </c>
      <c r="B75" s="9" t="s">
        <v>104</v>
      </c>
      <c r="C75" s="9" t="s">
        <v>1542</v>
      </c>
      <c r="D75" s="12">
        <v>0.25</v>
      </c>
      <c r="E75" s="13">
        <f>IF(ISNUMBER('Sheet2-计算明细'!AC25),'Sheet2-计算明细'!AC25,"")</f>
        <v>91.89</v>
      </c>
      <c r="F75" s="13">
        <f>IF(ISNUMBER(对照快照!AC246),对照快照!AC246,"")</f>
        <v>95.51</v>
      </c>
      <c r="G75" s="13">
        <f t="shared" si="3"/>
        <v>22.9725</v>
      </c>
      <c r="H75" s="13">
        <f t="shared" si="4"/>
        <v>23.8775</v>
      </c>
      <c r="I75" s="13">
        <f t="shared" si="5"/>
        <v>-0.905000000000001</v>
      </c>
      <c r="J75" s="15">
        <f>IF(ISNUMBER('Sheet2-计算明细'!AB25),'Sheet2-计算明细'!AB25,IF('Sheet2-计算明细'!AB25="","",'Sheet2-计算明细'!AB25))</f>
        <v>0.00421527592246267</v>
      </c>
      <c r="K75" s="15">
        <f>IF(ISNUMBER(对照快照!AB246),对照快照!AB246,IF(对照快照!AB246="","",对照快照!AB246))</f>
        <v>0.00422034361933543</v>
      </c>
      <c r="L75" s="9" t="s">
        <v>1540</v>
      </c>
    </row>
    <row r="76" ht="25" customHeight="1" spans="1:12">
      <c r="A76" s="9" t="s">
        <v>105</v>
      </c>
      <c r="B76" s="9" t="s">
        <v>104</v>
      </c>
      <c r="C76" s="9" t="s">
        <v>1543</v>
      </c>
      <c r="D76" s="12">
        <v>0.18</v>
      </c>
      <c r="E76" s="13">
        <f>IF(ISNUMBER('Sheet2-计算明细'!AG25),'Sheet2-计算明细'!AG25,"")</f>
        <v>42.25</v>
      </c>
      <c r="F76" s="13">
        <f>IF(ISNUMBER(对照快照!AG246),对照快照!AG246,"")</f>
        <v>73.31</v>
      </c>
      <c r="G76" s="13">
        <f t="shared" si="3"/>
        <v>7.605</v>
      </c>
      <c r="H76" s="13">
        <f t="shared" si="4"/>
        <v>13.1958</v>
      </c>
      <c r="I76" s="13">
        <f t="shared" si="5"/>
        <v>-5.5908</v>
      </c>
      <c r="J76" s="15">
        <f>IF(ISNUMBER('Sheet2-计算明细'!AD25),'Sheet2-计算明细'!AD25,IF('Sheet2-计算明细'!AD25="","",'Sheet2-计算明细'!AD25))</f>
        <v>6.7374</v>
      </c>
      <c r="K76" s="15">
        <f>IF(ISNUMBER(对照快照!AD246),对照快照!AD246,IF(对照快照!AD246="","",对照快照!AD246))</f>
        <v>7.6771</v>
      </c>
      <c r="L76" s="9" t="s">
        <v>1540</v>
      </c>
    </row>
    <row r="77" ht="25" customHeight="1" spans="1:12">
      <c r="A77" s="9" t="s">
        <v>105</v>
      </c>
      <c r="B77" s="9" t="s">
        <v>104</v>
      </c>
      <c r="C77" s="9" t="s">
        <v>1544</v>
      </c>
      <c r="D77" s="12">
        <v>0.12</v>
      </c>
      <c r="E77" s="13" t="str">
        <f>IF(ISNUMBER('Sheet2-计算明细'!AH25),'Sheet2-计算明细'!AH25,"")</f>
        <v/>
      </c>
      <c r="F77" s="13" t="str">
        <f>IF(ISNUMBER(对照快照!AH246),对照快照!AH246,"")</f>
        <v/>
      </c>
      <c r="G77" s="13">
        <f t="shared" si="3"/>
        <v>0</v>
      </c>
      <c r="H77" s="13">
        <f t="shared" si="4"/>
        <v>0</v>
      </c>
      <c r="I77" s="13">
        <f t="shared" si="5"/>
        <v>0</v>
      </c>
      <c r="J77" s="15" t="str">
        <f>IF(ISNUMBER('Sheet2-计算明细'!AF25),'Sheet2-计算明细'!AF25,IF('Sheet2-计算明细'!AF25="","",'Sheet2-计算明细'!AF25))</f>
        <v/>
      </c>
      <c r="K77" s="15" t="str">
        <f>IF(ISNUMBER(对照快照!AF246),对照快照!AF246,IF(对照快照!AF246="","",对照快照!AF246))</f>
        <v/>
      </c>
      <c r="L77" s="9" t="s">
        <v>1540</v>
      </c>
    </row>
    <row r="78" ht="25" customHeight="1" spans="1:12">
      <c r="A78" s="9" t="s">
        <v>105</v>
      </c>
      <c r="B78" s="9" t="s">
        <v>104</v>
      </c>
      <c r="C78" s="9" t="s">
        <v>574</v>
      </c>
      <c r="D78" s="12">
        <v>0.1</v>
      </c>
      <c r="E78" s="13">
        <f>IF(ISNUMBER('Sheet2-计算明细'!AK25),'Sheet2-计算明细'!AK25,"")</f>
        <v>80</v>
      </c>
      <c r="F78" s="13">
        <f>IF(ISNUMBER(对照快照!AK246),对照快照!AK246,"")</f>
        <v>80</v>
      </c>
      <c r="G78" s="13">
        <f t="shared" si="3"/>
        <v>8</v>
      </c>
      <c r="H78" s="13">
        <f t="shared" si="4"/>
        <v>8</v>
      </c>
      <c r="I78" s="13">
        <f t="shared" si="5"/>
        <v>0</v>
      </c>
      <c r="J78" s="15">
        <f>IF(ISNUMBER('Sheet2-计算明细'!AJ25),'Sheet2-计算明细'!AJ25,IF('Sheet2-计算明细'!AJ25="","",'Sheet2-计算明细'!AJ25))</f>
        <v>0.0638</v>
      </c>
      <c r="K78" s="15">
        <f>IF(ISNUMBER(对照快照!AJ246),对照快照!AJ246,IF(对照快照!AJ246="","",对照快照!AJ246))</f>
        <v>0.065</v>
      </c>
      <c r="L78" s="9" t="s">
        <v>1538</v>
      </c>
    </row>
    <row r="79" ht="25" customHeight="1" spans="1:12">
      <c r="A79" s="9" t="s">
        <v>112</v>
      </c>
      <c r="B79" s="9" t="s">
        <v>110</v>
      </c>
      <c r="C79" s="9" t="s">
        <v>538</v>
      </c>
      <c r="D79" s="12">
        <v>0.06</v>
      </c>
      <c r="E79" s="13">
        <f>IF(ISNUMBER('Sheet2-计算明细'!I26),'Sheet2-计算明细'!I26,"")</f>
        <v>70</v>
      </c>
      <c r="F79" s="13">
        <f>IF(ISNUMBER(对照快照!I51),对照快照!I51,"")</f>
        <v>70</v>
      </c>
      <c r="G79" s="13">
        <f t="shared" si="3"/>
        <v>4.2</v>
      </c>
      <c r="H79" s="13">
        <f t="shared" si="4"/>
        <v>4.2</v>
      </c>
      <c r="I79" s="13">
        <f t="shared" si="5"/>
        <v>0</v>
      </c>
      <c r="J79" s="15" t="str">
        <f>IF(ISNUMBER('Sheet2-计算明细'!H26),'Sheet2-计算明细'!H26,IF('Sheet2-计算明细'!H26="","",'Sheet2-计算明细'!H26))</f>
        <v>5-10亿元</v>
      </c>
      <c r="K79" s="15" t="str">
        <f>IF(ISNUMBER(对照快照!H51),对照快照!H51,IF(对照快照!H51="","",对照快照!H51))</f>
        <v>5-10亿元</v>
      </c>
      <c r="L79" s="9" t="s">
        <v>1538</v>
      </c>
    </row>
    <row r="80" ht="25" customHeight="1" spans="1:12">
      <c r="A80" s="9" t="s">
        <v>112</v>
      </c>
      <c r="B80" s="9" t="s">
        <v>110</v>
      </c>
      <c r="C80" s="9" t="s">
        <v>543</v>
      </c>
      <c r="D80" s="12">
        <v>0.045</v>
      </c>
      <c r="E80" s="13">
        <f>IF(ISNUMBER('Sheet2-计算明细'!K26),'Sheet2-计算明细'!K26,"")</f>
        <v>100</v>
      </c>
      <c r="F80" s="13">
        <f>IF(ISNUMBER(对照快照!K51),对照快照!K51,"")</f>
        <v>100</v>
      </c>
      <c r="G80" s="13">
        <f t="shared" si="3"/>
        <v>4.5</v>
      </c>
      <c r="H80" s="13">
        <f t="shared" si="4"/>
        <v>4.5</v>
      </c>
      <c r="I80" s="13">
        <f t="shared" si="5"/>
        <v>0</v>
      </c>
      <c r="J80" s="15" t="str">
        <f>IF(ISNUMBER('Sheet2-计算明细'!J26),'Sheet2-计算明细'!J26,IF('Sheet2-计算明细'!J26="","",'Sheet2-计算明细'!J26))</f>
        <v>无低于1000万元标识</v>
      </c>
      <c r="K80" s="15" t="str">
        <f>IF(ISNUMBER(对照快照!J51),对照快照!J51,IF(对照快照!J51="","",对照快照!J51))</f>
        <v>无低于1000万元标识</v>
      </c>
      <c r="L80" s="9" t="s">
        <v>1538</v>
      </c>
    </row>
    <row r="81" ht="25" customHeight="1" spans="1:12">
      <c r="A81" s="9" t="s">
        <v>112</v>
      </c>
      <c r="B81" s="9" t="s">
        <v>110</v>
      </c>
      <c r="C81" s="9" t="s">
        <v>547</v>
      </c>
      <c r="D81" s="12">
        <v>0.045</v>
      </c>
      <c r="E81" s="13">
        <f>IF(ISNUMBER('Sheet2-计算明细'!L26),'Sheet2-计算明细'!L26,"")</f>
        <v>100</v>
      </c>
      <c r="F81" s="13">
        <f>IF(ISNUMBER(对照快照!L51),对照快照!L51,"")</f>
        <v>100</v>
      </c>
      <c r="G81" s="13">
        <f t="shared" si="3"/>
        <v>4.5</v>
      </c>
      <c r="H81" s="13">
        <f t="shared" si="4"/>
        <v>4.5</v>
      </c>
      <c r="I81" s="13">
        <f t="shared" si="5"/>
        <v>0</v>
      </c>
      <c r="J81" s="15">
        <f>IF(ISNUMBER('Sheet2-计算明细'!F26),'Sheet2-计算明细'!F26,IF('Sheet2-计算明细'!F26="","",'Sheet2-计算明细'!F26))</f>
        <v>4.2519</v>
      </c>
      <c r="K81" s="15">
        <f>IF(ISNUMBER(对照快照!F51),对照快照!F51,IF(对照快照!F51="","",对照快照!F51))</f>
        <v>4.2437</v>
      </c>
      <c r="L81" s="9" t="s">
        <v>1538</v>
      </c>
    </row>
    <row r="82" ht="25" customHeight="1" spans="1:12">
      <c r="A82" s="9" t="s">
        <v>112</v>
      </c>
      <c r="B82" s="9" t="s">
        <v>110</v>
      </c>
      <c r="C82" s="9" t="s">
        <v>1539</v>
      </c>
      <c r="D82" s="12">
        <v>0.084</v>
      </c>
      <c r="E82" s="13">
        <f>IF(ISNUMBER('Sheet2-计算明细'!Q26),'Sheet2-计算明细'!Q26,"")</f>
        <v>15.28</v>
      </c>
      <c r="F82" s="13">
        <f>IF(ISNUMBER(对照快照!Q51),对照快照!Q51,"")</f>
        <v>30.03</v>
      </c>
      <c r="G82" s="13">
        <f t="shared" si="3"/>
        <v>1.28352</v>
      </c>
      <c r="H82" s="13">
        <f t="shared" si="4"/>
        <v>2.52252</v>
      </c>
      <c r="I82" s="13">
        <f t="shared" si="5"/>
        <v>-1.239</v>
      </c>
      <c r="J82" s="15">
        <f>IF(ISNUMBER('Sheet2-计算明细'!M26),'Sheet2-计算明细'!M26,IF('Sheet2-计算明细'!M26="","",'Sheet2-计算明细'!M26))</f>
        <v>0.0344</v>
      </c>
      <c r="K82" s="15">
        <f>IF(ISNUMBER(对照快照!M51),对照快照!M51,IF(对照快照!M51="","",对照快照!M51))</f>
        <v>0.0346</v>
      </c>
      <c r="L82" s="9" t="s">
        <v>1540</v>
      </c>
    </row>
    <row r="83" ht="25" customHeight="1" spans="1:12">
      <c r="A83" s="9" t="s">
        <v>112</v>
      </c>
      <c r="B83" s="9" t="s">
        <v>110</v>
      </c>
      <c r="C83" s="9" t="s">
        <v>1541</v>
      </c>
      <c r="D83" s="12">
        <v>0.056</v>
      </c>
      <c r="E83" s="13">
        <f>IF(ISNUMBER('Sheet2-计算明细'!R26),'Sheet2-计算明细'!R26,"")</f>
        <v>7.58</v>
      </c>
      <c r="F83" s="13">
        <f>IF(ISNUMBER(对照快照!R51),对照快照!R51,"")</f>
        <v>19.05</v>
      </c>
      <c r="G83" s="13">
        <f t="shared" si="3"/>
        <v>0.42448</v>
      </c>
      <c r="H83" s="13">
        <f t="shared" si="4"/>
        <v>1.0668</v>
      </c>
      <c r="I83" s="13">
        <f t="shared" si="5"/>
        <v>-0.64232</v>
      </c>
      <c r="J83" s="15">
        <f>IF(ISNUMBER('Sheet2-计算明细'!P26),'Sheet2-计算明细'!P26,IF('Sheet2-计算明细'!P26="","",'Sheet2-计算明细'!P26))</f>
        <v>0.0327504387378705</v>
      </c>
      <c r="K83" s="15">
        <f>IF(ISNUMBER(对照快照!P51),对照快照!P51,IF(对照快照!P51="","",对照快照!P51))</f>
        <v>0.0350500326197265</v>
      </c>
      <c r="L83" s="9" t="s">
        <v>1540</v>
      </c>
    </row>
    <row r="84" ht="25" customHeight="1" spans="1:12">
      <c r="A84" s="9" t="s">
        <v>112</v>
      </c>
      <c r="B84" s="9" t="s">
        <v>110</v>
      </c>
      <c r="C84" s="9" t="s">
        <v>690</v>
      </c>
      <c r="D84" s="12">
        <v>0.036</v>
      </c>
      <c r="E84" s="13">
        <f>IF(ISNUMBER('Sheet2-计算明细'!W26),'Sheet2-计算明细'!W26,"")</f>
        <v>53.85</v>
      </c>
      <c r="F84" s="13">
        <f>IF(ISNUMBER(对照快照!W51),对照快照!W51,"")</f>
        <v>53.85</v>
      </c>
      <c r="G84" s="13">
        <f t="shared" si="3"/>
        <v>1.9386</v>
      </c>
      <c r="H84" s="13">
        <f t="shared" si="4"/>
        <v>1.9386</v>
      </c>
      <c r="I84" s="13">
        <f t="shared" si="5"/>
        <v>0</v>
      </c>
      <c r="J84" s="15">
        <f>IF(ISNUMBER('Sheet2-计算明细'!T26),'Sheet2-计算明细'!T26,IF('Sheet2-计算明细'!T26="","",'Sheet2-计算明细'!T26))</f>
        <v>0.5385</v>
      </c>
      <c r="K84" s="15">
        <f>IF(ISNUMBER(对照快照!T51),对照快照!T51,IF(对照快照!T51="","",对照快照!T51))</f>
        <v>0.5385</v>
      </c>
      <c r="L84" s="9" t="s">
        <v>1538</v>
      </c>
    </row>
    <row r="85" ht="25" customHeight="1" spans="1:12">
      <c r="A85" s="9" t="s">
        <v>112</v>
      </c>
      <c r="B85" s="9" t="s">
        <v>110</v>
      </c>
      <c r="C85" s="9" t="s">
        <v>692</v>
      </c>
      <c r="D85" s="12">
        <v>0.024</v>
      </c>
      <c r="E85" s="13">
        <f>IF(ISNUMBER('Sheet2-计算明细'!X26),'Sheet2-计算明细'!X26,"")</f>
        <v>66.66125</v>
      </c>
      <c r="F85" s="13">
        <f>IF(ISNUMBER(对照快照!X51),对照快照!X51,"")</f>
        <v>70.82375</v>
      </c>
      <c r="G85" s="13">
        <f t="shared" si="3"/>
        <v>1.59987</v>
      </c>
      <c r="H85" s="13">
        <f t="shared" si="4"/>
        <v>1.69977</v>
      </c>
      <c r="I85" s="13">
        <f t="shared" si="5"/>
        <v>-0.0998999999999999</v>
      </c>
      <c r="J85" s="15">
        <f>IF(ISNUMBER('Sheet2-计算明细'!V26),'Sheet2-计算明细'!V26,IF('Sheet2-计算明细'!V26="","",'Sheet2-计算明细'!V26))</f>
        <v>0.6666125</v>
      </c>
      <c r="K85" s="15">
        <f>IF(ISNUMBER(对照快照!V51),对照快照!V51,IF(对照快照!V51="","",对照快照!V51))</f>
        <v>0.7082375</v>
      </c>
      <c r="L85" s="9" t="s">
        <v>1538</v>
      </c>
    </row>
    <row r="86" ht="25" customHeight="1" spans="1:12">
      <c r="A86" s="9" t="s">
        <v>112</v>
      </c>
      <c r="B86" s="9" t="s">
        <v>110</v>
      </c>
      <c r="C86" s="9" t="s">
        <v>1542</v>
      </c>
      <c r="D86" s="12">
        <v>0.25</v>
      </c>
      <c r="E86" s="13">
        <f>IF(ISNUMBER('Sheet2-计算明细'!AC26),'Sheet2-计算明细'!AC26,"")</f>
        <v>47.3</v>
      </c>
      <c r="F86" s="13">
        <f>IF(ISNUMBER(对照快照!AC51),对照快照!AC51,"")</f>
        <v>68.27</v>
      </c>
      <c r="G86" s="13">
        <f t="shared" si="3"/>
        <v>11.825</v>
      </c>
      <c r="H86" s="13">
        <f t="shared" si="4"/>
        <v>17.0675</v>
      </c>
      <c r="I86" s="13">
        <f t="shared" si="5"/>
        <v>-5.2425</v>
      </c>
      <c r="J86" s="15">
        <f>IF(ISNUMBER('Sheet2-计算明细'!AB26),'Sheet2-计算明细'!AB26,IF('Sheet2-计算明细'!AB26="","",'Sheet2-计算明细'!AB26))</f>
        <v>0.0239</v>
      </c>
      <c r="K86" s="15">
        <f>IF(ISNUMBER(对照快照!AB51),对照快照!AB51,IF(对照快照!AB51="","",对照快照!AB51))</f>
        <v>0.0239</v>
      </c>
      <c r="L86" s="9" t="s">
        <v>1540</v>
      </c>
    </row>
    <row r="87" ht="25" customHeight="1" spans="1:12">
      <c r="A87" s="9" t="s">
        <v>112</v>
      </c>
      <c r="B87" s="9" t="s">
        <v>110</v>
      </c>
      <c r="C87" s="9" t="s">
        <v>1543</v>
      </c>
      <c r="D87" s="12">
        <v>0.18</v>
      </c>
      <c r="E87" s="13">
        <f>IF(ISNUMBER('Sheet2-计算明细'!AG26),'Sheet2-计算明细'!AG26,"")</f>
        <v>16.9</v>
      </c>
      <c r="F87" s="13">
        <f>IF(ISNUMBER(对照快照!AG51),对照快照!AG51,"")</f>
        <v>48.55</v>
      </c>
      <c r="G87" s="13">
        <f t="shared" si="3"/>
        <v>3.042</v>
      </c>
      <c r="H87" s="13">
        <f t="shared" si="4"/>
        <v>8.739</v>
      </c>
      <c r="I87" s="13">
        <f t="shared" si="5"/>
        <v>-5.697</v>
      </c>
      <c r="J87" s="15">
        <f>IF(ISNUMBER('Sheet2-计算明细'!AD26),'Sheet2-计算明细'!AD26,IF('Sheet2-计算明细'!AD26="","",'Sheet2-计算明细'!AD26))</f>
        <v>2.2598</v>
      </c>
      <c r="K87" s="15">
        <f>IF(ISNUMBER(对照快照!AD51),对照快照!AD51,IF(对照快照!AD51="","",对照快照!AD51))</f>
        <v>2.2692</v>
      </c>
      <c r="L87" s="9" t="s">
        <v>1540</v>
      </c>
    </row>
    <row r="88" ht="25" customHeight="1" spans="1:12">
      <c r="A88" s="9" t="s">
        <v>112</v>
      </c>
      <c r="B88" s="9" t="s">
        <v>110</v>
      </c>
      <c r="C88" s="9" t="s">
        <v>1544</v>
      </c>
      <c r="D88" s="12">
        <v>0.12</v>
      </c>
      <c r="E88" s="13">
        <f>IF(ISNUMBER('Sheet2-计算明细'!AH26),'Sheet2-计算明细'!AH26,"")</f>
        <v>15.63</v>
      </c>
      <c r="F88" s="13">
        <f>IF(ISNUMBER(对照快照!AH51),对照快照!AH51,"")</f>
        <v>51.06</v>
      </c>
      <c r="G88" s="13">
        <f t="shared" si="3"/>
        <v>1.8756</v>
      </c>
      <c r="H88" s="13">
        <f t="shared" si="4"/>
        <v>6.1272</v>
      </c>
      <c r="I88" s="13">
        <f t="shared" si="5"/>
        <v>-4.2516</v>
      </c>
      <c r="J88" s="15">
        <f>IF(ISNUMBER('Sheet2-计算明细'!AF26),'Sheet2-计算明细'!AF26,IF('Sheet2-计算明细'!AF26="","",'Sheet2-计算明细'!AF26))</f>
        <v>1.37031124426237</v>
      </c>
      <c r="K88" s="15">
        <f>IF(ISNUMBER(对照快照!AF51),对照快照!AF51,IF(对照快照!AF51="","",对照快照!AF51))</f>
        <v>1.46652856149483</v>
      </c>
      <c r="L88" s="9" t="s">
        <v>1540</v>
      </c>
    </row>
    <row r="89" ht="25" customHeight="1" spans="1:12">
      <c r="A89" s="9" t="s">
        <v>112</v>
      </c>
      <c r="B89" s="9" t="s">
        <v>110</v>
      </c>
      <c r="C89" s="9" t="s">
        <v>574</v>
      </c>
      <c r="D89" s="12">
        <v>0.1</v>
      </c>
      <c r="E89" s="13">
        <f>IF(ISNUMBER('Sheet2-计算明细'!AK26),'Sheet2-计算明细'!AK26,"")</f>
        <v>100</v>
      </c>
      <c r="F89" s="13">
        <f>IF(ISNUMBER(对照快照!AK51),对照快照!AK51,"")</f>
        <v>80</v>
      </c>
      <c r="G89" s="13">
        <f t="shared" si="3"/>
        <v>10</v>
      </c>
      <c r="H89" s="13">
        <f t="shared" si="4"/>
        <v>8</v>
      </c>
      <c r="I89" s="13">
        <f t="shared" si="5"/>
        <v>2</v>
      </c>
      <c r="J89" s="15">
        <f>IF(ISNUMBER('Sheet2-计算明细'!AJ26),'Sheet2-计算明细'!AJ26,IF('Sheet2-计算明细'!AJ26="","",'Sheet2-计算明细'!AJ26))</f>
        <v>0.0333</v>
      </c>
      <c r="K89" s="15">
        <f>IF(ISNUMBER(对照快照!AJ51),对照快照!AJ51,IF(对照快照!AJ51="","",对照快照!AJ51))</f>
        <v>0.0349</v>
      </c>
      <c r="L89" s="9" t="s">
        <v>1538</v>
      </c>
    </row>
    <row r="90" ht="25" customHeight="1" spans="1:12">
      <c r="A90" s="9" t="s">
        <v>118</v>
      </c>
      <c r="B90" s="9" t="s">
        <v>117</v>
      </c>
      <c r="C90" s="9" t="s">
        <v>538</v>
      </c>
      <c r="D90" s="12">
        <v>0.06</v>
      </c>
      <c r="E90" s="13">
        <f>IF(ISNUMBER('Sheet2-计算明细'!I27),'Sheet2-计算明细'!I27,"")</f>
        <v>70</v>
      </c>
      <c r="F90" s="13">
        <f>IF(ISNUMBER(对照快照!I149),对照快照!I149,"")</f>
        <v>70</v>
      </c>
      <c r="G90" s="13">
        <f t="shared" si="3"/>
        <v>4.2</v>
      </c>
      <c r="H90" s="13">
        <f t="shared" si="4"/>
        <v>4.2</v>
      </c>
      <c r="I90" s="13">
        <f t="shared" si="5"/>
        <v>0</v>
      </c>
      <c r="J90" s="15" t="str">
        <f>IF(ISNUMBER('Sheet2-计算明细'!H27),'Sheet2-计算明细'!H27,IF('Sheet2-计算明细'!H27="","",'Sheet2-计算明细'!H27))</f>
        <v>5-10亿元</v>
      </c>
      <c r="K90" s="15" t="str">
        <f>IF(ISNUMBER(对照快照!H149),对照快照!H149,IF(对照快照!H149="","",对照快照!H149))</f>
        <v>5-10亿元</v>
      </c>
      <c r="L90" s="9" t="s">
        <v>1538</v>
      </c>
    </row>
    <row r="91" ht="25" customHeight="1" spans="1:12">
      <c r="A91" s="9" t="s">
        <v>118</v>
      </c>
      <c r="B91" s="9" t="s">
        <v>117</v>
      </c>
      <c r="C91" s="9" t="s">
        <v>543</v>
      </c>
      <c r="D91" s="12">
        <v>0.045</v>
      </c>
      <c r="E91" s="13">
        <f>IF(ISNUMBER('Sheet2-计算明细'!K27),'Sheet2-计算明细'!K27,"")</f>
        <v>100</v>
      </c>
      <c r="F91" s="13">
        <f>IF(ISNUMBER(对照快照!K149),对照快照!K149,"")</f>
        <v>100</v>
      </c>
      <c r="G91" s="13">
        <f t="shared" si="3"/>
        <v>4.5</v>
      </c>
      <c r="H91" s="13">
        <f t="shared" si="4"/>
        <v>4.5</v>
      </c>
      <c r="I91" s="13">
        <f t="shared" si="5"/>
        <v>0</v>
      </c>
      <c r="J91" s="15" t="str">
        <f>IF(ISNUMBER('Sheet2-计算明细'!J27),'Sheet2-计算明细'!J27,IF('Sheet2-计算明细'!J27="","",'Sheet2-计算明细'!J27))</f>
        <v>无低于1000万元标识</v>
      </c>
      <c r="K91" s="15" t="str">
        <f>IF(ISNUMBER(对照快照!J149),对照快照!J149,IF(对照快照!J149="","",对照快照!J149))</f>
        <v>无低于1000万元标识</v>
      </c>
      <c r="L91" s="9" t="s">
        <v>1538</v>
      </c>
    </row>
    <row r="92" ht="25" customHeight="1" spans="1:12">
      <c r="A92" s="9" t="s">
        <v>118</v>
      </c>
      <c r="B92" s="9" t="s">
        <v>117</v>
      </c>
      <c r="C92" s="9" t="s">
        <v>547</v>
      </c>
      <c r="D92" s="12">
        <v>0.045</v>
      </c>
      <c r="E92" s="13">
        <f>IF(ISNUMBER('Sheet2-计算明细'!L27),'Sheet2-计算明细'!L27,"")</f>
        <v>100</v>
      </c>
      <c r="F92" s="13">
        <f>IF(ISNUMBER(对照快照!L149),对照快照!L149,"")</f>
        <v>100</v>
      </c>
      <c r="G92" s="13">
        <f t="shared" si="3"/>
        <v>4.5</v>
      </c>
      <c r="H92" s="13">
        <f t="shared" si="4"/>
        <v>4.5</v>
      </c>
      <c r="I92" s="13">
        <f t="shared" si="5"/>
        <v>0</v>
      </c>
      <c r="J92" s="15">
        <f>IF(ISNUMBER('Sheet2-计算明细'!F27),'Sheet2-计算明细'!F27,IF('Sheet2-计算明细'!F27="","",'Sheet2-计算明细'!F27))</f>
        <v>4.6543</v>
      </c>
      <c r="K92" s="15">
        <f>IF(ISNUMBER(对照快照!F149),对照快照!F149,IF(对照快照!F149="","",对照快照!F149))</f>
        <v>4.6461</v>
      </c>
      <c r="L92" s="9" t="s">
        <v>1538</v>
      </c>
    </row>
    <row r="93" ht="25" customHeight="1" spans="1:12">
      <c r="A93" s="9" t="s">
        <v>118</v>
      </c>
      <c r="B93" s="9" t="s">
        <v>117</v>
      </c>
      <c r="C93" s="9" t="s">
        <v>1539</v>
      </c>
      <c r="D93" s="12">
        <v>0.084</v>
      </c>
      <c r="E93" s="13">
        <f>IF(ISNUMBER('Sheet2-计算明细'!Q27),'Sheet2-计算明细'!Q27,"")</f>
        <v>47.22</v>
      </c>
      <c r="F93" s="13">
        <f>IF(ISNUMBER(对照快照!Q149),对照快照!Q149,"")</f>
        <v>68.37</v>
      </c>
      <c r="G93" s="13">
        <f t="shared" si="3"/>
        <v>3.96648</v>
      </c>
      <c r="H93" s="13">
        <f t="shared" si="4"/>
        <v>5.74308</v>
      </c>
      <c r="I93" s="13">
        <f t="shared" si="5"/>
        <v>-1.7766</v>
      </c>
      <c r="J93" s="15">
        <f>IF(ISNUMBER('Sheet2-计算明细'!M27),'Sheet2-计算明细'!M27,IF('Sheet2-计算明细'!M27="","",'Sheet2-计算明细'!M27))</f>
        <v>0.0864</v>
      </c>
      <c r="K93" s="15">
        <f>IF(ISNUMBER(对照快照!M149),对照快照!M149,IF(对照快照!M149="","",对照快照!M149))</f>
        <v>0.0892</v>
      </c>
      <c r="L93" s="9" t="s">
        <v>1540</v>
      </c>
    </row>
    <row r="94" ht="25" customHeight="1" spans="1:12">
      <c r="A94" s="9" t="s">
        <v>118</v>
      </c>
      <c r="B94" s="9" t="s">
        <v>117</v>
      </c>
      <c r="C94" s="9" t="s">
        <v>1541</v>
      </c>
      <c r="D94" s="12">
        <v>0.056</v>
      </c>
      <c r="E94" s="13">
        <f>IF(ISNUMBER('Sheet2-计算明细'!R27),'Sheet2-计算明细'!R27,"")</f>
        <v>10.61</v>
      </c>
      <c r="F94" s="13">
        <f>IF(ISNUMBER(对照快照!R149),对照快照!R149,"")</f>
        <v>25.24</v>
      </c>
      <c r="G94" s="13">
        <f t="shared" si="3"/>
        <v>0.59416</v>
      </c>
      <c r="H94" s="13">
        <f t="shared" si="4"/>
        <v>1.41344</v>
      </c>
      <c r="I94" s="13">
        <f t="shared" si="5"/>
        <v>-0.81928</v>
      </c>
      <c r="J94" s="15">
        <f>IF(ISNUMBER('Sheet2-计算明细'!P27),'Sheet2-计算明细'!P27,IF('Sheet2-计算明细'!P27="","",'Sheet2-计算明细'!P27))</f>
        <v>0.0381641742636831</v>
      </c>
      <c r="K94" s="15">
        <f>IF(ISNUMBER(对照快照!P149),对照快照!P149,IF(对照快照!P149="","",对照快照!P149))</f>
        <v>0.040520008331751</v>
      </c>
      <c r="L94" s="9" t="s">
        <v>1540</v>
      </c>
    </row>
    <row r="95" ht="25" customHeight="1" spans="1:12">
      <c r="A95" s="9" t="s">
        <v>118</v>
      </c>
      <c r="B95" s="9" t="s">
        <v>117</v>
      </c>
      <c r="C95" s="9" t="s">
        <v>690</v>
      </c>
      <c r="D95" s="12">
        <v>0.036</v>
      </c>
      <c r="E95" s="13">
        <f>IF(ISNUMBER('Sheet2-计算明细'!W27),'Sheet2-计算明细'!W27,"")</f>
        <v>46.15</v>
      </c>
      <c r="F95" s="13">
        <f>IF(ISNUMBER(对照快照!W149),对照快照!W149,"")</f>
        <v>46.15</v>
      </c>
      <c r="G95" s="13">
        <f t="shared" si="3"/>
        <v>1.6614</v>
      </c>
      <c r="H95" s="13">
        <f t="shared" si="4"/>
        <v>1.6614</v>
      </c>
      <c r="I95" s="13">
        <f t="shared" si="5"/>
        <v>0</v>
      </c>
      <c r="J95" s="15">
        <f>IF(ISNUMBER('Sheet2-计算明细'!T27),'Sheet2-计算明细'!T27,IF('Sheet2-计算明细'!T27="","",'Sheet2-计算明细'!T27))</f>
        <v>0.4615</v>
      </c>
      <c r="K95" s="15">
        <f>IF(ISNUMBER(对照快照!T149),对照快照!T149,IF(对照快照!T149="","",对照快照!T149))</f>
        <v>0.4615</v>
      </c>
      <c r="L95" s="9" t="s">
        <v>1538</v>
      </c>
    </row>
    <row r="96" ht="25" customHeight="1" spans="1:12">
      <c r="A96" s="9" t="s">
        <v>118</v>
      </c>
      <c r="B96" s="9" t="s">
        <v>117</v>
      </c>
      <c r="C96" s="9" t="s">
        <v>692</v>
      </c>
      <c r="D96" s="12">
        <v>0.024</v>
      </c>
      <c r="E96" s="13">
        <f>IF(ISNUMBER('Sheet2-计算明细'!X27),'Sheet2-计算明细'!X27,"")</f>
        <v>58.3291666666667</v>
      </c>
      <c r="F96" s="13">
        <f>IF(ISNUMBER(对照快照!X149),对照快照!X149,"")</f>
        <v>62.5070833333333</v>
      </c>
      <c r="G96" s="13">
        <f t="shared" si="3"/>
        <v>1.3999</v>
      </c>
      <c r="H96" s="13">
        <f t="shared" si="4"/>
        <v>1.50017</v>
      </c>
      <c r="I96" s="13">
        <f t="shared" si="5"/>
        <v>-0.100269999999999</v>
      </c>
      <c r="J96" s="15">
        <f>IF(ISNUMBER('Sheet2-计算明细'!V27),'Sheet2-计算明细'!V27,IF('Sheet2-计算明细'!V27="","",'Sheet2-计算明细'!V27))</f>
        <v>0.583291666666667</v>
      </c>
      <c r="K96" s="15">
        <f>IF(ISNUMBER(对照快照!V149),对照快照!V149,IF(对照快照!V149="","",对照快照!V149))</f>
        <v>0.625070833333333</v>
      </c>
      <c r="L96" s="9" t="s">
        <v>1538</v>
      </c>
    </row>
    <row r="97" ht="25" customHeight="1" spans="1:12">
      <c r="A97" s="9" t="s">
        <v>118</v>
      </c>
      <c r="B97" s="9" t="s">
        <v>117</v>
      </c>
      <c r="C97" s="9" t="s">
        <v>1542</v>
      </c>
      <c r="D97" s="12">
        <v>0.25</v>
      </c>
      <c r="E97" s="13">
        <f>IF(ISNUMBER('Sheet2-计算明细'!AC27),'Sheet2-计算明细'!AC27,"")</f>
        <v>16.22</v>
      </c>
      <c r="F97" s="13">
        <f>IF(ISNUMBER(对照快照!AC149),对照快照!AC149,"")</f>
        <v>44.23</v>
      </c>
      <c r="G97" s="13">
        <f t="shared" si="3"/>
        <v>4.055</v>
      </c>
      <c r="H97" s="13">
        <f t="shared" si="4"/>
        <v>11.0575</v>
      </c>
      <c r="I97" s="13">
        <f t="shared" si="5"/>
        <v>-7.0025</v>
      </c>
      <c r="J97" s="15">
        <f>IF(ISNUMBER('Sheet2-计算明细'!AB27),'Sheet2-计算明细'!AB27,IF('Sheet2-计算明细'!AB27="","",'Sheet2-计算明细'!AB27))</f>
        <v>0.0503</v>
      </c>
      <c r="K97" s="15">
        <f>IF(ISNUMBER(对照快照!AB149),对照快照!AB149,IF(对照快照!AB149="","",对照快照!AB149))</f>
        <v>0.0503158844765343</v>
      </c>
      <c r="L97" s="9" t="s">
        <v>1540</v>
      </c>
    </row>
    <row r="98" ht="25" customHeight="1" spans="1:12">
      <c r="A98" s="9" t="s">
        <v>118</v>
      </c>
      <c r="B98" s="9" t="s">
        <v>117</v>
      </c>
      <c r="C98" s="9" t="s">
        <v>1543</v>
      </c>
      <c r="D98" s="12">
        <v>0.18</v>
      </c>
      <c r="E98" s="13">
        <f>IF(ISNUMBER('Sheet2-计算明细'!AG27),'Sheet2-计算明细'!AG27,"")</f>
        <v>12.68</v>
      </c>
      <c r="F98" s="13">
        <f>IF(ISNUMBER(对照快照!AG149),对照快照!AG149,"")</f>
        <v>40.51</v>
      </c>
      <c r="G98" s="13">
        <f t="shared" si="3"/>
        <v>2.2824</v>
      </c>
      <c r="H98" s="13">
        <f t="shared" si="4"/>
        <v>7.2918</v>
      </c>
      <c r="I98" s="13">
        <f t="shared" si="5"/>
        <v>-5.0094</v>
      </c>
      <c r="J98" s="15">
        <f>IF(ISNUMBER('Sheet2-计算明细'!AD27),'Sheet2-计算明细'!AD27,IF('Sheet2-计算明细'!AD27="","",'Sheet2-计算明细'!AD27))</f>
        <v>1.7177</v>
      </c>
      <c r="K98" s="15">
        <f>IF(ISNUMBER(对照快照!AD149),对照快照!AD149,IF(对照快照!AD149="","",对照快照!AD149))</f>
        <v>1.7728</v>
      </c>
      <c r="L98" s="9" t="s">
        <v>1540</v>
      </c>
    </row>
    <row r="99" ht="25" customHeight="1" spans="1:12">
      <c r="A99" s="9" t="s">
        <v>118</v>
      </c>
      <c r="B99" s="9" t="s">
        <v>117</v>
      </c>
      <c r="C99" s="9" t="s">
        <v>1544</v>
      </c>
      <c r="D99" s="12">
        <v>0.12</v>
      </c>
      <c r="E99" s="13" t="str">
        <f>IF(ISNUMBER('Sheet2-计算明细'!AH27),'Sheet2-计算明细'!AH27,"")</f>
        <v/>
      </c>
      <c r="F99" s="13" t="str">
        <f>IF(ISNUMBER(对照快照!AH149),对照快照!AH149,"")</f>
        <v/>
      </c>
      <c r="G99" s="13">
        <f t="shared" si="3"/>
        <v>0</v>
      </c>
      <c r="H99" s="13">
        <f t="shared" si="4"/>
        <v>0</v>
      </c>
      <c r="I99" s="13">
        <f t="shared" si="5"/>
        <v>0</v>
      </c>
      <c r="J99" s="15" t="str">
        <f>IF(ISNUMBER('Sheet2-计算明细'!AF27),'Sheet2-计算明细'!AF27,IF('Sheet2-计算明细'!AF27="","",'Sheet2-计算明细'!AF27))</f>
        <v/>
      </c>
      <c r="K99" s="15" t="str">
        <f>IF(ISNUMBER(对照快照!AF149),对照快照!AF149,IF(对照快照!AF149="","",对照快照!AF149))</f>
        <v/>
      </c>
      <c r="L99" s="9" t="s">
        <v>1540</v>
      </c>
    </row>
    <row r="100" ht="25" customHeight="1" spans="1:12">
      <c r="A100" s="9" t="s">
        <v>118</v>
      </c>
      <c r="B100" s="9" t="s">
        <v>117</v>
      </c>
      <c r="C100" s="9" t="s">
        <v>574</v>
      </c>
      <c r="D100" s="12">
        <v>0.1</v>
      </c>
      <c r="E100" s="13">
        <f>IF(ISNUMBER('Sheet2-计算明细'!AK27),'Sheet2-计算明细'!AK27,"")</f>
        <v>100</v>
      </c>
      <c r="F100" s="13">
        <f>IF(ISNUMBER(对照快照!AK149),对照快照!AK149,"")</f>
        <v>100</v>
      </c>
      <c r="G100" s="13">
        <f t="shared" si="3"/>
        <v>10</v>
      </c>
      <c r="H100" s="13">
        <f t="shared" si="4"/>
        <v>10</v>
      </c>
      <c r="I100" s="13">
        <f t="shared" si="5"/>
        <v>0</v>
      </c>
      <c r="J100" s="15">
        <f>IF(ISNUMBER('Sheet2-计算明细'!AJ27),'Sheet2-计算明细'!AJ27,IF('Sheet2-计算明细'!AJ27="","",'Sheet2-计算明细'!AJ27))</f>
        <v>0.054</v>
      </c>
      <c r="K100" s="15">
        <f>IF(ISNUMBER(对照快照!AJ149),对照快照!AJ149,IF(对照快照!AJ149="","",对照快照!AJ149))</f>
        <v>0.0565</v>
      </c>
      <c r="L100" s="9" t="s">
        <v>1538</v>
      </c>
    </row>
    <row r="101" ht="25" customHeight="1" spans="1:12">
      <c r="A101" s="9" t="s">
        <v>130</v>
      </c>
      <c r="B101" s="9" t="s">
        <v>129</v>
      </c>
      <c r="C101" s="9" t="s">
        <v>538</v>
      </c>
      <c r="D101" s="12">
        <v>0.06</v>
      </c>
      <c r="E101" s="13">
        <f>IF(ISNUMBER('Sheet2-计算明细'!I29),'Sheet2-计算明细'!I29,"")</f>
        <v>60</v>
      </c>
      <c r="F101" s="13">
        <f>IF(ISNUMBER(对照快照!I180),对照快照!I180,"")</f>
        <v>60</v>
      </c>
      <c r="G101" s="13">
        <f t="shared" si="3"/>
        <v>3.6</v>
      </c>
      <c r="H101" s="13">
        <f t="shared" si="4"/>
        <v>3.6</v>
      </c>
      <c r="I101" s="13">
        <f t="shared" si="5"/>
        <v>0</v>
      </c>
      <c r="J101" s="15" t="str">
        <f>IF(ISNUMBER('Sheet2-计算明细'!H29),'Sheet2-计算明细'!H29,IF('Sheet2-计算明细'!H29="","",'Sheet2-计算明细'!H29))</f>
        <v>0-5亿元</v>
      </c>
      <c r="K101" s="15" t="str">
        <f>IF(ISNUMBER(对照快照!H180),对照快照!H180,IF(对照快照!H180="","",对照快照!H180))</f>
        <v>0-5亿元</v>
      </c>
      <c r="L101" s="9" t="s">
        <v>1538</v>
      </c>
    </row>
    <row r="102" ht="25" customHeight="1" spans="1:12">
      <c r="A102" s="9" t="s">
        <v>130</v>
      </c>
      <c r="B102" s="9" t="s">
        <v>129</v>
      </c>
      <c r="C102" s="9" t="s">
        <v>543</v>
      </c>
      <c r="D102" s="12">
        <v>0.045</v>
      </c>
      <c r="E102" s="13">
        <f>IF(ISNUMBER('Sheet2-计算明细'!K29),'Sheet2-计算明细'!K29,"")</f>
        <v>100</v>
      </c>
      <c r="F102" s="13">
        <f>IF(ISNUMBER(对照快照!K180),对照快照!K180,"")</f>
        <v>100</v>
      </c>
      <c r="G102" s="13">
        <f t="shared" si="3"/>
        <v>4.5</v>
      </c>
      <c r="H102" s="13">
        <f t="shared" si="4"/>
        <v>4.5</v>
      </c>
      <c r="I102" s="13">
        <f t="shared" si="5"/>
        <v>0</v>
      </c>
      <c r="J102" s="15" t="str">
        <f>IF(ISNUMBER('Sheet2-计算明细'!J29),'Sheet2-计算明细'!J29,IF('Sheet2-计算明细'!J29="","",'Sheet2-计算明细'!J29))</f>
        <v>无低于1000万元标识</v>
      </c>
      <c r="K102" s="15" t="str">
        <f>IF(ISNUMBER(对照快照!J180),对照快照!J180,IF(对照快照!J180="","",对照快照!J180))</f>
        <v>无低于1000万元标识</v>
      </c>
      <c r="L102" s="9" t="s">
        <v>1538</v>
      </c>
    </row>
    <row r="103" ht="25" customHeight="1" spans="1:12">
      <c r="A103" s="9" t="s">
        <v>130</v>
      </c>
      <c r="B103" s="9" t="s">
        <v>129</v>
      </c>
      <c r="C103" s="9" t="s">
        <v>547</v>
      </c>
      <c r="D103" s="12">
        <v>0.045</v>
      </c>
      <c r="E103" s="13">
        <f>IF(ISNUMBER('Sheet2-计算明细'!L29),'Sheet2-计算明细'!L29,"")</f>
        <v>100</v>
      </c>
      <c r="F103" s="13">
        <f>IF(ISNUMBER(对照快照!L180),对照快照!L180,"")</f>
        <v>100</v>
      </c>
      <c r="G103" s="13">
        <f t="shared" si="3"/>
        <v>4.5</v>
      </c>
      <c r="H103" s="13">
        <f t="shared" si="4"/>
        <v>4.5</v>
      </c>
      <c r="I103" s="13">
        <f t="shared" si="5"/>
        <v>0</v>
      </c>
      <c r="J103" s="15">
        <f>IF(ISNUMBER('Sheet2-计算明细'!F29),'Sheet2-计算明细'!F29,IF('Sheet2-计算明细'!F29="","",'Sheet2-计算明细'!F29))</f>
        <v>8.052</v>
      </c>
      <c r="K103" s="15">
        <f>IF(ISNUMBER(对照快照!F180),对照快照!F180,IF(对照快照!F180="","",对照快照!F180))</f>
        <v>8.0438</v>
      </c>
      <c r="L103" s="9" t="s">
        <v>1538</v>
      </c>
    </row>
    <row r="104" ht="25" customHeight="1" spans="1:12">
      <c r="A104" s="9" t="s">
        <v>130</v>
      </c>
      <c r="B104" s="9" t="s">
        <v>129</v>
      </c>
      <c r="C104" s="9" t="s">
        <v>1539</v>
      </c>
      <c r="D104" s="12">
        <v>0.084</v>
      </c>
      <c r="E104" s="13">
        <f>IF(ISNUMBER('Sheet2-计算明细'!Q29),'Sheet2-计算明细'!Q29,"")</f>
        <v>25</v>
      </c>
      <c r="F104" s="13">
        <f>IF(ISNUMBER(对照快照!Q180),对照快照!Q180,"")</f>
        <v>53.35</v>
      </c>
      <c r="G104" s="13">
        <f t="shared" si="3"/>
        <v>2.1</v>
      </c>
      <c r="H104" s="13">
        <f t="shared" si="4"/>
        <v>4.4814</v>
      </c>
      <c r="I104" s="13">
        <f t="shared" si="5"/>
        <v>-2.3814</v>
      </c>
      <c r="J104" s="15">
        <f>IF(ISNUMBER('Sheet2-计算明细'!M29),'Sheet2-计算明细'!M29,IF('Sheet2-计算明细'!M29="","",'Sheet2-计算明细'!M29))</f>
        <v>0.0597</v>
      </c>
      <c r="K104" s="15">
        <f>IF(ISNUMBER(对照快照!M180),对照快照!M180,IF(对照快照!M180="","",对照快照!M180))</f>
        <v>0.067</v>
      </c>
      <c r="L104" s="9" t="s">
        <v>1540</v>
      </c>
    </row>
    <row r="105" ht="25" customHeight="1" spans="1:12">
      <c r="A105" s="9" t="s">
        <v>130</v>
      </c>
      <c r="B105" s="9" t="s">
        <v>129</v>
      </c>
      <c r="C105" s="9" t="s">
        <v>1541</v>
      </c>
      <c r="D105" s="12">
        <v>0.056</v>
      </c>
      <c r="E105" s="13">
        <f>IF(ISNUMBER('Sheet2-计算明细'!R29),'Sheet2-计算明细'!R29,"")</f>
        <v>65.15</v>
      </c>
      <c r="F105" s="13">
        <f>IF(ISNUMBER(对照快照!R180),对照快照!R180,"")</f>
        <v>68.57</v>
      </c>
      <c r="G105" s="13">
        <f t="shared" si="3"/>
        <v>3.6484</v>
      </c>
      <c r="H105" s="13">
        <f t="shared" si="4"/>
        <v>3.83992</v>
      </c>
      <c r="I105" s="13">
        <f t="shared" si="5"/>
        <v>-0.191519999999999</v>
      </c>
      <c r="J105" s="15">
        <f>IF(ISNUMBER('Sheet2-计算明细'!P29),'Sheet2-计算明细'!P29,IF('Sheet2-计算明细'!P29="","",'Sheet2-计算明细'!P29))</f>
        <v>0.093931701756538</v>
      </c>
      <c r="K105" s="15">
        <f>IF(ISNUMBER(对照快照!P180),对照快照!P180,IF(对照快照!P180="","",对照快照!P180))</f>
        <v>0.0951725428386292</v>
      </c>
      <c r="L105" s="9" t="s">
        <v>1540</v>
      </c>
    </row>
    <row r="106" ht="25" customHeight="1" spans="1:12">
      <c r="A106" s="9" t="s">
        <v>130</v>
      </c>
      <c r="B106" s="9" t="s">
        <v>129</v>
      </c>
      <c r="C106" s="9" t="s">
        <v>690</v>
      </c>
      <c r="D106" s="12">
        <v>0.036</v>
      </c>
      <c r="E106" s="13">
        <f>IF(ISNUMBER('Sheet2-计算明细'!W29),'Sheet2-计算明细'!W29,"")</f>
        <v>84.62</v>
      </c>
      <c r="F106" s="13">
        <f>IF(ISNUMBER(对照快照!W180),对照快照!W180,"")</f>
        <v>92.31</v>
      </c>
      <c r="G106" s="13">
        <f t="shared" si="3"/>
        <v>3.04632</v>
      </c>
      <c r="H106" s="13">
        <f t="shared" si="4"/>
        <v>3.32316</v>
      </c>
      <c r="I106" s="13">
        <f t="shared" si="5"/>
        <v>-0.27684</v>
      </c>
      <c r="J106" s="15">
        <f>IF(ISNUMBER('Sheet2-计算明细'!T29),'Sheet2-计算明细'!T29,IF('Sheet2-计算明细'!T29="","",'Sheet2-计算明细'!T29))</f>
        <v>0.8462</v>
      </c>
      <c r="K106" s="15">
        <f>IF(ISNUMBER(对照快照!T180),对照快照!T180,IF(对照快照!T180="","",对照快照!T180))</f>
        <v>0.9231</v>
      </c>
      <c r="L106" s="9" t="s">
        <v>1538</v>
      </c>
    </row>
    <row r="107" ht="25" customHeight="1" spans="1:12">
      <c r="A107" s="9" t="s">
        <v>130</v>
      </c>
      <c r="B107" s="9" t="s">
        <v>129</v>
      </c>
      <c r="C107" s="9" t="s">
        <v>692</v>
      </c>
      <c r="D107" s="12">
        <v>0.024</v>
      </c>
      <c r="E107" s="13">
        <f>IF(ISNUMBER('Sheet2-计算明细'!X29),'Sheet2-计算明细'!X29,"")</f>
        <v>70.8375</v>
      </c>
      <c r="F107" s="13">
        <f>IF(ISNUMBER(对照快照!X180),对照快照!X180,"")</f>
        <v>69.9095833333333</v>
      </c>
      <c r="G107" s="13">
        <f t="shared" si="3"/>
        <v>1.7001</v>
      </c>
      <c r="H107" s="13">
        <f t="shared" si="4"/>
        <v>1.67783</v>
      </c>
      <c r="I107" s="13">
        <f t="shared" si="5"/>
        <v>0.0222700000000009</v>
      </c>
      <c r="J107" s="15">
        <f>IF(ISNUMBER('Sheet2-计算明细'!V29),'Sheet2-计算明细'!V29,IF('Sheet2-计算明细'!V29="","",'Sheet2-计算明细'!V29))</f>
        <v>0.708375</v>
      </c>
      <c r="K107" s="15">
        <f>IF(ISNUMBER(对照快照!V180),对照快照!V180,IF(对照快照!V180="","",对照快照!V180))</f>
        <v>0.699095833333333</v>
      </c>
      <c r="L107" s="9" t="s">
        <v>1538</v>
      </c>
    </row>
    <row r="108" ht="25" customHeight="1" spans="1:12">
      <c r="A108" s="9" t="s">
        <v>130</v>
      </c>
      <c r="B108" s="9" t="s">
        <v>129</v>
      </c>
      <c r="C108" s="9" t="s">
        <v>1542</v>
      </c>
      <c r="D108" s="12">
        <v>0.25</v>
      </c>
      <c r="E108" s="13">
        <f>IF(ISNUMBER('Sheet2-计算明细'!AC29),'Sheet2-计算明细'!AC29,"")</f>
        <v>35.14</v>
      </c>
      <c r="F108" s="13">
        <f>IF(ISNUMBER(对照快照!AC180),对照快照!AC180,"")</f>
        <v>56.25</v>
      </c>
      <c r="G108" s="13">
        <f t="shared" si="3"/>
        <v>8.785</v>
      </c>
      <c r="H108" s="13">
        <f t="shared" si="4"/>
        <v>14.0625</v>
      </c>
      <c r="I108" s="13">
        <f t="shared" si="5"/>
        <v>-5.2775</v>
      </c>
      <c r="J108" s="15">
        <f>IF(ISNUMBER('Sheet2-计算明细'!AB29),'Sheet2-计算明细'!AB29,IF('Sheet2-计算明细'!AB29="","",'Sheet2-计算明细'!AB29))</f>
        <v>0.0343</v>
      </c>
      <c r="K108" s="15">
        <f>IF(ISNUMBER(对照快照!AB180),对照快照!AB180,IF(对照快照!AB180="","",对照快照!AB180))</f>
        <v>0.0343</v>
      </c>
      <c r="L108" s="9" t="s">
        <v>1540</v>
      </c>
    </row>
    <row r="109" ht="25" customHeight="1" spans="1:12">
      <c r="A109" s="9" t="s">
        <v>130</v>
      </c>
      <c r="B109" s="9" t="s">
        <v>129</v>
      </c>
      <c r="C109" s="9" t="s">
        <v>1543</v>
      </c>
      <c r="D109" s="12">
        <v>0.18</v>
      </c>
      <c r="E109" s="13">
        <f>IF(ISNUMBER('Sheet2-计算明细'!AG29),'Sheet2-计算明细'!AG29,"")</f>
        <v>46.48</v>
      </c>
      <c r="F109" s="13">
        <f>IF(ISNUMBER(对照快照!AG180),对照快照!AG180,"")</f>
        <v>75.56</v>
      </c>
      <c r="G109" s="13">
        <f t="shared" si="3"/>
        <v>8.3664</v>
      </c>
      <c r="H109" s="13">
        <f t="shared" si="4"/>
        <v>13.6008</v>
      </c>
      <c r="I109" s="13">
        <f t="shared" si="5"/>
        <v>-5.2344</v>
      </c>
      <c r="J109" s="15">
        <f>IF(ISNUMBER('Sheet2-计算明细'!AD29),'Sheet2-计算明细'!AD29,IF('Sheet2-计算明细'!AD29="","",'Sheet2-计算明细'!AD29))</f>
        <v>7.9496</v>
      </c>
      <c r="K109" s="15">
        <f>IF(ISNUMBER(对照快照!AD180),对照快照!AD180,IF(对照快照!AD180="","",对照快照!AD180))</f>
        <v>8.9185</v>
      </c>
      <c r="L109" s="9" t="s">
        <v>1540</v>
      </c>
    </row>
    <row r="110" ht="25" customHeight="1" spans="1:12">
      <c r="A110" s="9" t="s">
        <v>130</v>
      </c>
      <c r="B110" s="9" t="s">
        <v>129</v>
      </c>
      <c r="C110" s="9" t="s">
        <v>1544</v>
      </c>
      <c r="D110" s="12">
        <v>0.12</v>
      </c>
      <c r="E110" s="13">
        <f>IF(ISNUMBER('Sheet2-计算明细'!AH29),'Sheet2-计算明细'!AH29,"")</f>
        <v>43.75</v>
      </c>
      <c r="F110" s="13">
        <f>IF(ISNUMBER(对照快照!AH180),对照快照!AH180,"")</f>
        <v>72.34</v>
      </c>
      <c r="G110" s="13">
        <f t="shared" si="3"/>
        <v>5.25</v>
      </c>
      <c r="H110" s="13">
        <f t="shared" si="4"/>
        <v>8.6808</v>
      </c>
      <c r="I110" s="13">
        <f t="shared" si="5"/>
        <v>-3.4308</v>
      </c>
      <c r="J110" s="15">
        <f>IF(ISNUMBER('Sheet2-计算明细'!AF29),'Sheet2-计算明细'!AF29,IF('Sheet2-计算明细'!AF29="","",'Sheet2-计算明细'!AF29))</f>
        <v>2.73853357890781</v>
      </c>
      <c r="K110" s="15">
        <f>IF(ISNUMBER(对照快照!AF180),对照快照!AF180,IF(对照快照!AF180="","",对照快照!AF180))</f>
        <v>2.77470970375012</v>
      </c>
      <c r="L110" s="9" t="s">
        <v>1540</v>
      </c>
    </row>
    <row r="111" ht="25" customHeight="1" spans="1:12">
      <c r="A111" s="9" t="s">
        <v>130</v>
      </c>
      <c r="B111" s="9" t="s">
        <v>129</v>
      </c>
      <c r="C111" s="9" t="s">
        <v>574</v>
      </c>
      <c r="D111" s="12">
        <v>0.1</v>
      </c>
      <c r="E111" s="13">
        <f>IF(ISNUMBER('Sheet2-计算明细'!AK29),'Sheet2-计算明细'!AK29,"")</f>
        <v>80</v>
      </c>
      <c r="F111" s="13">
        <f>IF(ISNUMBER(对照快照!AK180),对照快照!AK180,"")</f>
        <v>80</v>
      </c>
      <c r="G111" s="13">
        <f t="shared" si="3"/>
        <v>8</v>
      </c>
      <c r="H111" s="13">
        <f t="shared" si="4"/>
        <v>8</v>
      </c>
      <c r="I111" s="13">
        <f t="shared" si="5"/>
        <v>0</v>
      </c>
      <c r="J111" s="15">
        <f>IF(ISNUMBER('Sheet2-计算明细'!AJ29),'Sheet2-计算明细'!AJ29,IF('Sheet2-计算明细'!AJ29="","",'Sheet2-计算明细'!AJ29))</f>
        <v>0.0824</v>
      </c>
      <c r="K111" s="15">
        <f>IF(ISNUMBER(对照快照!AJ180),对照快照!AJ180,IF(对照快照!AJ180="","",对照快照!AJ180))</f>
        <v>0.0857</v>
      </c>
      <c r="L111" s="9" t="s">
        <v>1538</v>
      </c>
    </row>
    <row r="112" ht="25" customHeight="1" spans="1:12">
      <c r="A112" s="9" t="s">
        <v>151</v>
      </c>
      <c r="B112" s="9" t="s">
        <v>150</v>
      </c>
      <c r="C112" s="9" t="s">
        <v>538</v>
      </c>
      <c r="D112" s="12">
        <v>0.06</v>
      </c>
      <c r="E112" s="13">
        <f>IF(ISNUMBER('Sheet2-计算明细'!I32),'Sheet2-计算明细'!I32,"")</f>
        <v>60</v>
      </c>
      <c r="F112" s="13">
        <f>IF(ISNUMBER(对照快照!I216),对照快照!I216,"")</f>
        <v>60</v>
      </c>
      <c r="G112" s="13">
        <f t="shared" si="3"/>
        <v>3.6</v>
      </c>
      <c r="H112" s="13">
        <f t="shared" si="4"/>
        <v>3.6</v>
      </c>
      <c r="I112" s="13">
        <f t="shared" si="5"/>
        <v>0</v>
      </c>
      <c r="J112" s="15" t="str">
        <f>IF(ISNUMBER('Sheet2-计算明细'!H32),'Sheet2-计算明细'!H32,IF('Sheet2-计算明细'!H32="","",'Sheet2-计算明细'!H32))</f>
        <v>0-5亿元</v>
      </c>
      <c r="K112" s="15" t="str">
        <f>IF(ISNUMBER(对照快照!H216),对照快照!H216,IF(对照快照!H216="","",对照快照!H216))</f>
        <v>0-5亿元</v>
      </c>
      <c r="L112" s="9" t="s">
        <v>1538</v>
      </c>
    </row>
    <row r="113" ht="25" customHeight="1" spans="1:12">
      <c r="A113" s="9" t="s">
        <v>151</v>
      </c>
      <c r="B113" s="9" t="s">
        <v>150</v>
      </c>
      <c r="C113" s="9" t="s">
        <v>543</v>
      </c>
      <c r="D113" s="12">
        <v>0.045</v>
      </c>
      <c r="E113" s="13">
        <f>IF(ISNUMBER('Sheet2-计算明细'!K32),'Sheet2-计算明细'!K32,"")</f>
        <v>100</v>
      </c>
      <c r="F113" s="13">
        <f>IF(ISNUMBER(对照快照!K216),对照快照!K216,"")</f>
        <v>100</v>
      </c>
      <c r="G113" s="13">
        <f t="shared" si="3"/>
        <v>4.5</v>
      </c>
      <c r="H113" s="13">
        <f t="shared" si="4"/>
        <v>4.5</v>
      </c>
      <c r="I113" s="13">
        <f t="shared" si="5"/>
        <v>0</v>
      </c>
      <c r="J113" s="15" t="str">
        <f>IF(ISNUMBER('Sheet2-计算明细'!J32),'Sheet2-计算明细'!J32,IF('Sheet2-计算明细'!J32="","",'Sheet2-计算明细'!J32))</f>
        <v>无低于1000万元标识</v>
      </c>
      <c r="K113" s="15" t="str">
        <f>IF(ISNUMBER(对照快照!J216),对照快照!J216,IF(对照快照!J216="","",对照快照!J216))</f>
        <v>无低于1000万元标识</v>
      </c>
      <c r="L113" s="9" t="s">
        <v>1538</v>
      </c>
    </row>
    <row r="114" ht="25" customHeight="1" spans="1:12">
      <c r="A114" s="9" t="s">
        <v>151</v>
      </c>
      <c r="B114" s="9" t="s">
        <v>150</v>
      </c>
      <c r="C114" s="9" t="s">
        <v>547</v>
      </c>
      <c r="D114" s="12">
        <v>0.045</v>
      </c>
      <c r="E114" s="13">
        <f>IF(ISNUMBER('Sheet2-计算明细'!L32),'Sheet2-计算明细'!L32,"")</f>
        <v>100</v>
      </c>
      <c r="F114" s="13">
        <f>IF(ISNUMBER(对照快照!L216),对照快照!L216,"")</f>
        <v>100</v>
      </c>
      <c r="G114" s="13">
        <f t="shared" si="3"/>
        <v>4.5</v>
      </c>
      <c r="H114" s="13">
        <f t="shared" si="4"/>
        <v>4.5</v>
      </c>
      <c r="I114" s="13">
        <f t="shared" si="5"/>
        <v>0</v>
      </c>
      <c r="J114" s="15">
        <f>IF(ISNUMBER('Sheet2-计算明细'!F32),'Sheet2-计算明细'!F32,IF('Sheet2-计算明细'!F32="","",'Sheet2-计算明细'!F32))</f>
        <v>4.2327</v>
      </c>
      <c r="K114" s="15">
        <f>IF(ISNUMBER(对照快照!F216),对照快照!F216,IF(对照快照!F216="","",对照快照!F216))</f>
        <v>4.2245</v>
      </c>
      <c r="L114" s="9" t="s">
        <v>1538</v>
      </c>
    </row>
    <row r="115" ht="25" customHeight="1" spans="1:12">
      <c r="A115" s="9" t="s">
        <v>151</v>
      </c>
      <c r="B115" s="9" t="s">
        <v>150</v>
      </c>
      <c r="C115" s="9" t="s">
        <v>1539</v>
      </c>
      <c r="D115" s="12">
        <v>0.084</v>
      </c>
      <c r="E115" s="13">
        <f>IF(ISNUMBER('Sheet2-计算明细'!Q32),'Sheet2-计算明细'!Q32,"")</f>
        <v>57.64</v>
      </c>
      <c r="F115" s="13">
        <f>IF(ISNUMBER(对照快照!Q216),对照快照!Q216,"")</f>
        <v>70.29</v>
      </c>
      <c r="G115" s="13">
        <f t="shared" si="3"/>
        <v>4.84176</v>
      </c>
      <c r="H115" s="13">
        <f t="shared" si="4"/>
        <v>5.90436</v>
      </c>
      <c r="I115" s="13">
        <f t="shared" si="5"/>
        <v>-1.0626</v>
      </c>
      <c r="J115" s="15">
        <f>IF(ISNUMBER('Sheet2-计算明细'!M32),'Sheet2-计算明细'!M32,IF('Sheet2-计算明细'!M32="","",'Sheet2-计算明细'!M32))</f>
        <v>0.0944</v>
      </c>
      <c r="K115" s="15">
        <f>IF(ISNUMBER(对照快照!M216),对照快照!M216,IF(对照快照!M216="","",对照快照!M216))</f>
        <v>0.0939</v>
      </c>
      <c r="L115" s="9" t="s">
        <v>1540</v>
      </c>
    </row>
    <row r="116" ht="25" customHeight="1" spans="1:12">
      <c r="A116" s="9" t="s">
        <v>151</v>
      </c>
      <c r="B116" s="9" t="s">
        <v>150</v>
      </c>
      <c r="C116" s="9" t="s">
        <v>1541</v>
      </c>
      <c r="D116" s="12">
        <v>0.056</v>
      </c>
      <c r="E116" s="13">
        <f>IF(ISNUMBER('Sheet2-计算明细'!R32),'Sheet2-计算明细'!R32,"")</f>
        <v>46.97</v>
      </c>
      <c r="F116" s="13">
        <f>IF(ISNUMBER(对照快照!R216),对照快照!R216,"")</f>
        <v>55.71</v>
      </c>
      <c r="G116" s="13">
        <f t="shared" si="3"/>
        <v>2.63032</v>
      </c>
      <c r="H116" s="13">
        <f t="shared" si="4"/>
        <v>3.11976</v>
      </c>
      <c r="I116" s="13">
        <f t="shared" si="5"/>
        <v>-0.489440000000001</v>
      </c>
      <c r="J116" s="15">
        <f>IF(ISNUMBER('Sheet2-计算明细'!P32),'Sheet2-计算明细'!P32,IF('Sheet2-计算明细'!P32="","",'Sheet2-计算明细'!P32))</f>
        <v>0.0742125775889653</v>
      </c>
      <c r="K116" s="15">
        <f>IF(ISNUMBER(对照快照!P216),对照快照!P216,IF(对照快照!P216="","",对照快照!P216))</f>
        <v>0.0750545294707556</v>
      </c>
      <c r="L116" s="9" t="s">
        <v>1540</v>
      </c>
    </row>
    <row r="117" ht="25" customHeight="1" spans="1:12">
      <c r="A117" s="9" t="s">
        <v>151</v>
      </c>
      <c r="B117" s="9" t="s">
        <v>150</v>
      </c>
      <c r="C117" s="9" t="s">
        <v>690</v>
      </c>
      <c r="D117" s="12">
        <v>0.036</v>
      </c>
      <c r="E117" s="13">
        <f>IF(ISNUMBER('Sheet2-计算明细'!W32),'Sheet2-计算明细'!W32,"")</f>
        <v>100</v>
      </c>
      <c r="F117" s="13">
        <f>IF(ISNUMBER(对照快照!W216),对照快照!W216,"")</f>
        <v>100</v>
      </c>
      <c r="G117" s="13">
        <f t="shared" si="3"/>
        <v>3.6</v>
      </c>
      <c r="H117" s="13">
        <f t="shared" si="4"/>
        <v>3.6</v>
      </c>
      <c r="I117" s="13">
        <f t="shared" si="5"/>
        <v>0</v>
      </c>
      <c r="J117" s="15">
        <f>IF(ISNUMBER('Sheet2-计算明细'!T32),'Sheet2-计算明细'!T32,IF('Sheet2-计算明细'!T32="","",'Sheet2-计算明细'!T32))</f>
        <v>1</v>
      </c>
      <c r="K117" s="15">
        <f>IF(ISNUMBER(对照快照!T216),对照快照!T216,IF(对照快照!T216="","",对照快照!T216))</f>
        <v>1</v>
      </c>
      <c r="L117" s="9" t="s">
        <v>1538</v>
      </c>
    </row>
    <row r="118" ht="25" customHeight="1" spans="1:12">
      <c r="A118" s="9" t="s">
        <v>151</v>
      </c>
      <c r="B118" s="9" t="s">
        <v>150</v>
      </c>
      <c r="C118" s="9" t="s">
        <v>692</v>
      </c>
      <c r="D118" s="12">
        <v>0.024</v>
      </c>
      <c r="E118" s="13">
        <f>IF(ISNUMBER('Sheet2-计算明细'!X32),'Sheet2-计算明细'!X32,"")</f>
        <v>91.6595833333333</v>
      </c>
      <c r="F118" s="13">
        <f>IF(ISNUMBER(对照快照!X216),对照快照!X216,"")</f>
        <v>91.6595833333333</v>
      </c>
      <c r="G118" s="13">
        <f t="shared" si="3"/>
        <v>2.19983</v>
      </c>
      <c r="H118" s="13">
        <f t="shared" si="4"/>
        <v>2.19983</v>
      </c>
      <c r="I118" s="13">
        <f t="shared" si="5"/>
        <v>0</v>
      </c>
      <c r="J118" s="15">
        <f>IF(ISNUMBER('Sheet2-计算明细'!V32),'Sheet2-计算明细'!V32,IF('Sheet2-计算明细'!V32="","",'Sheet2-计算明细'!V32))</f>
        <v>0.916595833333333</v>
      </c>
      <c r="K118" s="15">
        <f>IF(ISNUMBER(对照快照!V216),对照快照!V216,IF(对照快照!V216="","",对照快照!V216))</f>
        <v>0.916595833333333</v>
      </c>
      <c r="L118" s="9" t="s">
        <v>1538</v>
      </c>
    </row>
    <row r="119" ht="25" customHeight="1" spans="1:12">
      <c r="A119" s="9" t="s">
        <v>151</v>
      </c>
      <c r="B119" s="9" t="s">
        <v>150</v>
      </c>
      <c r="C119" s="9" t="s">
        <v>1542</v>
      </c>
      <c r="D119" s="12">
        <v>0.25</v>
      </c>
      <c r="E119" s="13">
        <f>IF(ISNUMBER('Sheet2-计算明细'!AC32),'Sheet2-计算明细'!AC32,"")</f>
        <v>97.3</v>
      </c>
      <c r="F119" s="13">
        <f>IF(ISNUMBER(对照快照!AC216),对照快照!AC216,"")</f>
        <v>97.28</v>
      </c>
      <c r="G119" s="13">
        <f t="shared" si="3"/>
        <v>24.325</v>
      </c>
      <c r="H119" s="13">
        <f t="shared" si="4"/>
        <v>24.32</v>
      </c>
      <c r="I119" s="13">
        <f t="shared" si="5"/>
        <v>0.00499999999999901</v>
      </c>
      <c r="J119" s="15">
        <f>IF(ISNUMBER('Sheet2-计算明细'!AB32),'Sheet2-计算明细'!AB32,IF('Sheet2-计算明细'!AB32="","",'Sheet2-计算明细'!AB32))</f>
        <v>0.0033</v>
      </c>
      <c r="K119" s="15">
        <f>IF(ISNUMBER(对照快照!AB216),对照快照!AB216,IF(对照快照!AB216="","",对照快照!AB216))</f>
        <v>0.0033</v>
      </c>
      <c r="L119" s="9" t="s">
        <v>1540</v>
      </c>
    </row>
    <row r="120" ht="25" customHeight="1" spans="1:12">
      <c r="A120" s="9" t="s">
        <v>151</v>
      </c>
      <c r="B120" s="9" t="s">
        <v>150</v>
      </c>
      <c r="C120" s="9" t="s">
        <v>1543</v>
      </c>
      <c r="D120" s="12">
        <v>0.18</v>
      </c>
      <c r="E120" s="13">
        <f>IF(ISNUMBER('Sheet2-计算明细'!AG32),'Sheet2-计算明细'!AG32,"")</f>
        <v>100</v>
      </c>
      <c r="F120" s="13">
        <f>IF(ISNUMBER(对照快照!AG216),对照快照!AG216,"")</f>
        <v>99.68</v>
      </c>
      <c r="G120" s="13">
        <f t="shared" si="3"/>
        <v>18</v>
      </c>
      <c r="H120" s="13">
        <f t="shared" si="4"/>
        <v>17.9424</v>
      </c>
      <c r="I120" s="13">
        <f t="shared" si="5"/>
        <v>0.0576000000000008</v>
      </c>
      <c r="J120" s="15">
        <f>IF(ISNUMBER('Sheet2-计算明细'!AD32),'Sheet2-计算明细'!AD32,IF('Sheet2-计算明细'!AD32="","",'Sheet2-计算明细'!AD32))</f>
        <v>89.586</v>
      </c>
      <c r="K120" s="15">
        <f>IF(ISNUMBER(对照快照!AD216),对照快照!AD216,IF(对照快照!AD216="","",对照快照!AD216))</f>
        <v>89.0557</v>
      </c>
      <c r="L120" s="9" t="s">
        <v>1540</v>
      </c>
    </row>
    <row r="121" ht="25" customHeight="1" spans="1:12">
      <c r="A121" s="9" t="s">
        <v>151</v>
      </c>
      <c r="B121" s="9" t="s">
        <v>150</v>
      </c>
      <c r="C121" s="9" t="s">
        <v>1544</v>
      </c>
      <c r="D121" s="12">
        <v>0.12</v>
      </c>
      <c r="E121" s="13">
        <f>IF(ISNUMBER('Sheet2-计算明细'!AH32),'Sheet2-计算明细'!AH32,"")</f>
        <v>96.88</v>
      </c>
      <c r="F121" s="13">
        <f>IF(ISNUMBER(对照快照!AH216),对照快照!AH216,"")</f>
        <v>97.16</v>
      </c>
      <c r="G121" s="13">
        <f t="shared" si="3"/>
        <v>11.6256</v>
      </c>
      <c r="H121" s="13">
        <f t="shared" si="4"/>
        <v>11.6592</v>
      </c>
      <c r="I121" s="13">
        <f t="shared" si="5"/>
        <v>-0.0335999999999999</v>
      </c>
      <c r="J121" s="15">
        <f>IF(ISNUMBER('Sheet2-计算明细'!AF32),'Sheet2-计算明细'!AF32,IF('Sheet2-计算明细'!AF32="","",'Sheet2-计算明细'!AF32))</f>
        <v>22.488659875444</v>
      </c>
      <c r="K121" s="15">
        <f>IF(ISNUMBER(对照快照!AF216),对照快照!AF216,IF(对照快照!AF216="","",对照快照!AF216))</f>
        <v>22.7437968093199</v>
      </c>
      <c r="L121" s="9" t="s">
        <v>1540</v>
      </c>
    </row>
    <row r="122" ht="25" customHeight="1" spans="1:12">
      <c r="A122" s="9" t="s">
        <v>151</v>
      </c>
      <c r="B122" s="9" t="s">
        <v>150</v>
      </c>
      <c r="C122" s="9" t="s">
        <v>574</v>
      </c>
      <c r="D122" s="12">
        <v>0.1</v>
      </c>
      <c r="E122" s="13">
        <f>IF(ISNUMBER('Sheet2-计算明细'!AK32),'Sheet2-计算明细'!AK32,"")</f>
        <v>100</v>
      </c>
      <c r="F122" s="13">
        <f>IF(ISNUMBER(对照快照!AK216),对照快照!AK216,"")</f>
        <v>100</v>
      </c>
      <c r="G122" s="13">
        <f t="shared" si="3"/>
        <v>10</v>
      </c>
      <c r="H122" s="13">
        <f t="shared" si="4"/>
        <v>10</v>
      </c>
      <c r="I122" s="13">
        <f t="shared" si="5"/>
        <v>0</v>
      </c>
      <c r="J122" s="15">
        <f>IF(ISNUMBER('Sheet2-计算明细'!AJ32),'Sheet2-计算明细'!AJ32,IF('Sheet2-计算明细'!AJ32="","",'Sheet2-计算明细'!AJ32))</f>
        <v>0.0809</v>
      </c>
      <c r="K122" s="15">
        <f>IF(ISNUMBER(对照快照!AJ216),对照快照!AJ216,IF(对照快照!AJ216="","",对照快照!AJ216))</f>
        <v>0.0813</v>
      </c>
      <c r="L122" s="9" t="s">
        <v>1538</v>
      </c>
    </row>
    <row r="123" ht="25" customHeight="1" spans="1:12">
      <c r="A123" s="9" t="s">
        <v>157</v>
      </c>
      <c r="B123" s="9" t="s">
        <v>155</v>
      </c>
      <c r="C123" s="9" t="s">
        <v>538</v>
      </c>
      <c r="D123" s="12">
        <v>0.06</v>
      </c>
      <c r="E123" s="13">
        <f>IF(ISNUMBER('Sheet2-计算明细'!I33),'Sheet2-计算明细'!I33,"")</f>
        <v>70</v>
      </c>
      <c r="F123" s="13">
        <f>IF(ISNUMBER(对照快照!I83),对照快照!I83,"")</f>
        <v>70</v>
      </c>
      <c r="G123" s="13">
        <f t="shared" si="3"/>
        <v>4.2</v>
      </c>
      <c r="H123" s="13">
        <f t="shared" si="4"/>
        <v>4.2</v>
      </c>
      <c r="I123" s="13">
        <f t="shared" si="5"/>
        <v>0</v>
      </c>
      <c r="J123" s="15" t="str">
        <f>IF(ISNUMBER('Sheet2-计算明细'!H33),'Sheet2-计算明细'!H33,IF('Sheet2-计算明细'!H33="","",'Sheet2-计算明细'!H33))</f>
        <v>5-10亿元</v>
      </c>
      <c r="K123" s="15" t="str">
        <f>IF(ISNUMBER(对照快照!H83),对照快照!H83,IF(对照快照!H83="","",对照快照!H83))</f>
        <v>5-10亿元</v>
      </c>
      <c r="L123" s="9" t="s">
        <v>1538</v>
      </c>
    </row>
    <row r="124" ht="25" customHeight="1" spans="1:12">
      <c r="A124" s="9" t="s">
        <v>157</v>
      </c>
      <c r="B124" s="9" t="s">
        <v>155</v>
      </c>
      <c r="C124" s="9" t="s">
        <v>543</v>
      </c>
      <c r="D124" s="12">
        <v>0.045</v>
      </c>
      <c r="E124" s="13">
        <f>IF(ISNUMBER('Sheet2-计算明细'!K33),'Sheet2-计算明细'!K33,"")</f>
        <v>100</v>
      </c>
      <c r="F124" s="13">
        <f>IF(ISNUMBER(对照快照!K83),对照快照!K83,"")</f>
        <v>100</v>
      </c>
      <c r="G124" s="13">
        <f t="shared" si="3"/>
        <v>4.5</v>
      </c>
      <c r="H124" s="13">
        <f t="shared" si="4"/>
        <v>4.5</v>
      </c>
      <c r="I124" s="13">
        <f t="shared" si="5"/>
        <v>0</v>
      </c>
      <c r="J124" s="15" t="str">
        <f>IF(ISNUMBER('Sheet2-计算明细'!J33),'Sheet2-计算明细'!J33,IF('Sheet2-计算明细'!J33="","",'Sheet2-计算明细'!J33))</f>
        <v>无低于1000万元标识</v>
      </c>
      <c r="K124" s="15" t="str">
        <f>IF(ISNUMBER(对照快照!J83),对照快照!J83,IF(对照快照!J83="","",对照快照!J83))</f>
        <v>无低于1000万元标识</v>
      </c>
      <c r="L124" s="9" t="s">
        <v>1538</v>
      </c>
    </row>
    <row r="125" ht="25" customHeight="1" spans="1:12">
      <c r="A125" s="9" t="s">
        <v>157</v>
      </c>
      <c r="B125" s="9" t="s">
        <v>155</v>
      </c>
      <c r="C125" s="9" t="s">
        <v>547</v>
      </c>
      <c r="D125" s="12">
        <v>0.045</v>
      </c>
      <c r="E125" s="13">
        <f>IF(ISNUMBER('Sheet2-计算明细'!L33),'Sheet2-计算明细'!L33,"")</f>
        <v>70</v>
      </c>
      <c r="F125" s="13">
        <f>IF(ISNUMBER(对照快照!L83),对照快照!L83,"")</f>
        <v>70</v>
      </c>
      <c r="G125" s="13">
        <f t="shared" si="3"/>
        <v>3.15</v>
      </c>
      <c r="H125" s="13">
        <f t="shared" si="4"/>
        <v>3.15</v>
      </c>
      <c r="I125" s="13">
        <f t="shared" si="5"/>
        <v>0</v>
      </c>
      <c r="J125" s="15">
        <f>IF(ISNUMBER('Sheet2-计算明细'!F33),'Sheet2-计算明细'!F33,IF('Sheet2-计算明细'!F33="","",'Sheet2-计算明细'!F33))</f>
        <v>2.6092</v>
      </c>
      <c r="K125" s="15">
        <f>IF(ISNUMBER(对照快照!F83),对照快照!F83,IF(对照快照!F83="","",对照快照!F83))</f>
        <v>2.601</v>
      </c>
      <c r="L125" s="9" t="s">
        <v>1538</v>
      </c>
    </row>
    <row r="126" ht="25" customHeight="1" spans="1:12">
      <c r="A126" s="9" t="s">
        <v>157</v>
      </c>
      <c r="B126" s="9" t="s">
        <v>155</v>
      </c>
      <c r="C126" s="9" t="s">
        <v>1539</v>
      </c>
      <c r="D126" s="12">
        <v>0.084</v>
      </c>
      <c r="E126" s="13">
        <f>IF(ISNUMBER('Sheet2-计算明细'!Q33),'Sheet2-计算明细'!Q33,"")</f>
        <v>98.61</v>
      </c>
      <c r="F126" s="13">
        <f>IF(ISNUMBER(对照快照!Q83),对照快照!Q83,"")</f>
        <v>97.44</v>
      </c>
      <c r="G126" s="13">
        <f t="shared" si="3"/>
        <v>8.28324</v>
      </c>
      <c r="H126" s="13">
        <f t="shared" si="4"/>
        <v>8.18496</v>
      </c>
      <c r="I126" s="13">
        <f t="shared" si="5"/>
        <v>0.0982800000000008</v>
      </c>
      <c r="J126" s="15">
        <f>IF(ISNUMBER('Sheet2-计算明细'!M33),'Sheet2-计算明细'!M33,IF('Sheet2-计算明细'!M33="","",'Sheet2-计算明细'!M33))</f>
        <v>0.4446</v>
      </c>
      <c r="K126" s="15">
        <f>IF(ISNUMBER(对照快照!M83),对照快照!M83,IF(对照快照!M83="","",对照快照!M83))</f>
        <v>0.3924</v>
      </c>
      <c r="L126" s="9" t="s">
        <v>1540</v>
      </c>
    </row>
    <row r="127" ht="25" customHeight="1" spans="1:12">
      <c r="A127" s="9" t="s">
        <v>157</v>
      </c>
      <c r="B127" s="9" t="s">
        <v>155</v>
      </c>
      <c r="C127" s="9" t="s">
        <v>1541</v>
      </c>
      <c r="D127" s="12">
        <v>0.056</v>
      </c>
      <c r="E127" s="13">
        <f>IF(ISNUMBER('Sheet2-计算明细'!R33),'Sheet2-计算明细'!R33,"")</f>
        <v>100</v>
      </c>
      <c r="F127" s="13" t="str">
        <f>IF(ISNUMBER(对照快照!R83),对照快照!R83,"")</f>
        <v/>
      </c>
      <c r="G127" s="13">
        <f t="shared" si="3"/>
        <v>5.6</v>
      </c>
      <c r="H127" s="13">
        <f t="shared" si="4"/>
        <v>0</v>
      </c>
      <c r="I127" s="13">
        <f t="shared" si="5"/>
        <v>5.6</v>
      </c>
      <c r="J127" s="15">
        <f>IF(ISNUMBER('Sheet2-计算明细'!P33),'Sheet2-计算明细'!P33,IF('Sheet2-计算明细'!P33="","",'Sheet2-计算明细'!P33))</f>
        <v>0.223457046299118</v>
      </c>
      <c r="K127" s="15" t="str">
        <f>IF(ISNUMBER(对照快照!P83),对照快照!P83,IF(对照快照!P83="","",对照快照!P83))</f>
        <v/>
      </c>
      <c r="L127" s="9" t="s">
        <v>1540</v>
      </c>
    </row>
    <row r="128" ht="25" customHeight="1" spans="1:12">
      <c r="A128" s="9" t="s">
        <v>157</v>
      </c>
      <c r="B128" s="9" t="s">
        <v>155</v>
      </c>
      <c r="C128" s="9" t="s">
        <v>690</v>
      </c>
      <c r="D128" s="12">
        <v>0.036</v>
      </c>
      <c r="E128" s="13">
        <f>IF(ISNUMBER('Sheet2-计算明细'!W33),'Sheet2-计算明细'!W33,"")</f>
        <v>84.62</v>
      </c>
      <c r="F128" s="13">
        <f>IF(ISNUMBER(对照快照!W83),对照快照!W83,"")</f>
        <v>76.92</v>
      </c>
      <c r="G128" s="13">
        <f t="shared" si="3"/>
        <v>3.04632</v>
      </c>
      <c r="H128" s="13">
        <f t="shared" si="4"/>
        <v>2.76912</v>
      </c>
      <c r="I128" s="13">
        <f t="shared" si="5"/>
        <v>0.277199999999999</v>
      </c>
      <c r="J128" s="15">
        <f>IF(ISNUMBER('Sheet2-计算明细'!T33),'Sheet2-计算明细'!T33,IF('Sheet2-计算明细'!T33="","",'Sheet2-计算明细'!T33))</f>
        <v>0.8462</v>
      </c>
      <c r="K128" s="15">
        <f>IF(ISNUMBER(对照快照!T83),对照快照!T83,IF(对照快照!T83="","",对照快照!T83))</f>
        <v>0.7692</v>
      </c>
      <c r="L128" s="9" t="s">
        <v>1538</v>
      </c>
    </row>
    <row r="129" ht="25" customHeight="1" spans="1:12">
      <c r="A129" s="9" t="s">
        <v>157</v>
      </c>
      <c r="B129" s="9" t="s">
        <v>155</v>
      </c>
      <c r="C129" s="9" t="s">
        <v>692</v>
      </c>
      <c r="D129" s="12">
        <v>0.024</v>
      </c>
      <c r="E129" s="13" t="str">
        <f>IF(ISNUMBER('Sheet2-计算明细'!X33),'Sheet2-计算明细'!X33,"")</f>
        <v/>
      </c>
      <c r="F129" s="13" t="str">
        <f>IF(ISNUMBER(对照快照!X83),对照快照!X83,"")</f>
        <v/>
      </c>
      <c r="G129" s="13">
        <f t="shared" si="3"/>
        <v>0</v>
      </c>
      <c r="H129" s="13">
        <f t="shared" si="4"/>
        <v>0</v>
      </c>
      <c r="I129" s="13">
        <f t="shared" si="5"/>
        <v>0</v>
      </c>
      <c r="J129" s="15" t="str">
        <f>IF(ISNUMBER('Sheet2-计算明细'!V33),'Sheet2-计算明细'!V33,IF('Sheet2-计算明细'!V33="","",'Sheet2-计算明细'!V33))</f>
        <v/>
      </c>
      <c r="K129" s="15" t="str">
        <f>IF(ISNUMBER(对照快照!V83),对照快照!V83,IF(对照快照!V83="","",对照快照!V83))</f>
        <v/>
      </c>
      <c r="L129" s="9" t="s">
        <v>1538</v>
      </c>
    </row>
    <row r="130" ht="25" customHeight="1" spans="1:12">
      <c r="A130" s="9" t="s">
        <v>157</v>
      </c>
      <c r="B130" s="9" t="s">
        <v>155</v>
      </c>
      <c r="C130" s="9" t="s">
        <v>1542</v>
      </c>
      <c r="D130" s="12">
        <v>0.25</v>
      </c>
      <c r="E130" s="13">
        <f>IF(ISNUMBER('Sheet2-计算明细'!AC33),'Sheet2-计算明细'!AC33,"")</f>
        <v>14.86</v>
      </c>
      <c r="F130" s="13">
        <f>IF(ISNUMBER(对照快照!AC83),对照快照!AC83,"")</f>
        <v>43.59</v>
      </c>
      <c r="G130" s="13">
        <f t="shared" ref="G130:G193" si="6">IF(ISNUMBER(E130),D130*E130,0)</f>
        <v>3.715</v>
      </c>
      <c r="H130" s="13">
        <f t="shared" ref="H130:H193" si="7">IF(ISNUMBER(F130),D130*F130,0)</f>
        <v>10.8975</v>
      </c>
      <c r="I130" s="13">
        <f t="shared" ref="I130:I193" si="8">G130-H130</f>
        <v>-7.1825</v>
      </c>
      <c r="J130" s="15">
        <f>IF(ISNUMBER('Sheet2-计算明细'!AB33),'Sheet2-计算明细'!AB33,IF('Sheet2-计算明细'!AB33="","",'Sheet2-计算明细'!AB33))</f>
        <v>0.0514053810311138</v>
      </c>
      <c r="K130" s="15">
        <f>IF(ISNUMBER(对照快照!AB83),对照快照!AB83,IF(对照快照!AB83="","",对照快照!AB83))</f>
        <v>0.0514022976460263</v>
      </c>
      <c r="L130" s="9" t="s">
        <v>1540</v>
      </c>
    </row>
    <row r="131" ht="25" customHeight="1" spans="1:12">
      <c r="A131" s="9" t="s">
        <v>157</v>
      </c>
      <c r="B131" s="9" t="s">
        <v>155</v>
      </c>
      <c r="C131" s="9" t="s">
        <v>1543</v>
      </c>
      <c r="D131" s="12">
        <v>0.18</v>
      </c>
      <c r="E131" s="13">
        <f>IF(ISNUMBER('Sheet2-计算明细'!AG33),'Sheet2-计算明细'!AG33,"")</f>
        <v>49.3</v>
      </c>
      <c r="F131" s="13">
        <f>IF(ISNUMBER(对照快照!AG83),对照快照!AG83,"")</f>
        <v>72.99</v>
      </c>
      <c r="G131" s="13">
        <f t="shared" si="6"/>
        <v>8.874</v>
      </c>
      <c r="H131" s="13">
        <f t="shared" si="7"/>
        <v>13.1382</v>
      </c>
      <c r="I131" s="13">
        <f t="shared" si="8"/>
        <v>-4.2642</v>
      </c>
      <c r="J131" s="15">
        <f>IF(ISNUMBER('Sheet2-计算明细'!AD33),'Sheet2-计算明细'!AD33,IF('Sheet2-计算明细'!AD33="","",'Sheet2-计算明细'!AD33))</f>
        <v>8.6489</v>
      </c>
      <c r="K131" s="15">
        <f>IF(ISNUMBER(对照快照!AD83),对照快照!AD83,IF(对照快照!AD83="","",对照快照!AD83))</f>
        <v>7.6339</v>
      </c>
      <c r="L131" s="9" t="s">
        <v>1540</v>
      </c>
    </row>
    <row r="132" ht="25" customHeight="1" spans="1:12">
      <c r="A132" s="9" t="s">
        <v>157</v>
      </c>
      <c r="B132" s="9" t="s">
        <v>155</v>
      </c>
      <c r="C132" s="9" t="s">
        <v>1544</v>
      </c>
      <c r="D132" s="12">
        <v>0.12</v>
      </c>
      <c r="E132" s="13" t="str">
        <f>IF(ISNUMBER('Sheet2-计算明细'!AH33),'Sheet2-计算明细'!AH33,"")</f>
        <v/>
      </c>
      <c r="F132" s="13" t="str">
        <f>IF(ISNUMBER(对照快照!AH83),对照快照!AH83,"")</f>
        <v/>
      </c>
      <c r="G132" s="13">
        <f t="shared" si="6"/>
        <v>0</v>
      </c>
      <c r="H132" s="13">
        <f t="shared" si="7"/>
        <v>0</v>
      </c>
      <c r="I132" s="13">
        <f t="shared" si="8"/>
        <v>0</v>
      </c>
      <c r="J132" s="15" t="str">
        <f>IF(ISNUMBER('Sheet2-计算明细'!AF33),'Sheet2-计算明细'!AF33,IF('Sheet2-计算明细'!AF33="","",'Sheet2-计算明细'!AF33))</f>
        <v/>
      </c>
      <c r="K132" s="15" t="str">
        <f>IF(ISNUMBER(对照快照!AF83),对照快照!AF83,IF(对照快照!AF83="","",对照快照!AF83))</f>
        <v/>
      </c>
      <c r="L132" s="9" t="s">
        <v>1540</v>
      </c>
    </row>
    <row r="133" ht="25" customHeight="1" spans="1:12">
      <c r="A133" s="9" t="s">
        <v>157</v>
      </c>
      <c r="B133" s="9" t="s">
        <v>155</v>
      </c>
      <c r="C133" s="9" t="s">
        <v>574</v>
      </c>
      <c r="D133" s="12">
        <v>0.1</v>
      </c>
      <c r="E133" s="13">
        <f>IF(ISNUMBER('Sheet2-计算明细'!AK33),'Sheet2-计算明细'!AK33,"")</f>
        <v>100</v>
      </c>
      <c r="F133" s="13" t="str">
        <f>IF(ISNUMBER(对照快照!AK83),对照快照!AK83,"")</f>
        <v/>
      </c>
      <c r="G133" s="13">
        <f t="shared" si="6"/>
        <v>10</v>
      </c>
      <c r="H133" s="13">
        <f t="shared" si="7"/>
        <v>0</v>
      </c>
      <c r="I133" s="13">
        <f t="shared" si="8"/>
        <v>10</v>
      </c>
      <c r="J133" s="15">
        <f>IF(ISNUMBER('Sheet2-计算明细'!AJ33),'Sheet2-计算明细'!AJ33,IF('Sheet2-计算明细'!AJ33="","",'Sheet2-计算明细'!AJ33))</f>
        <v>0.3039</v>
      </c>
      <c r="K133" s="15" t="str">
        <f>IF(ISNUMBER(对照快照!AJ83),对照快照!AJ83,IF(对照快照!AJ83="","",对照快照!AJ83))</f>
        <v/>
      </c>
      <c r="L133" s="9" t="s">
        <v>1538</v>
      </c>
    </row>
    <row r="134" ht="25" customHeight="1" spans="1:12">
      <c r="A134" s="9" t="s">
        <v>162</v>
      </c>
      <c r="B134" s="9" t="s">
        <v>161</v>
      </c>
      <c r="C134" s="9" t="s">
        <v>538</v>
      </c>
      <c r="D134" s="12">
        <v>0.06</v>
      </c>
      <c r="E134" s="13">
        <f>IF(ISNUMBER('Sheet2-计算明细'!I34),'Sheet2-计算明细'!I34,"")</f>
        <v>70</v>
      </c>
      <c r="F134" s="13">
        <f>IF(ISNUMBER(对照快照!I104),对照快照!I104,"")</f>
        <v>70</v>
      </c>
      <c r="G134" s="13">
        <f t="shared" si="6"/>
        <v>4.2</v>
      </c>
      <c r="H134" s="13">
        <f t="shared" si="7"/>
        <v>4.2</v>
      </c>
      <c r="I134" s="13">
        <f t="shared" si="8"/>
        <v>0</v>
      </c>
      <c r="J134" s="15" t="str">
        <f>IF(ISNUMBER('Sheet2-计算明细'!H34),'Sheet2-计算明细'!H34,IF('Sheet2-计算明细'!H34="","",'Sheet2-计算明细'!H34))</f>
        <v>5-10亿元</v>
      </c>
      <c r="K134" s="15" t="str">
        <f>IF(ISNUMBER(对照快照!H104),对照快照!H104,IF(对照快照!H104="","",对照快照!H104))</f>
        <v>5-10亿元</v>
      </c>
      <c r="L134" s="9" t="s">
        <v>1538</v>
      </c>
    </row>
    <row r="135" ht="25" customHeight="1" spans="1:12">
      <c r="A135" s="9" t="s">
        <v>162</v>
      </c>
      <c r="B135" s="9" t="s">
        <v>161</v>
      </c>
      <c r="C135" s="9" t="s">
        <v>543</v>
      </c>
      <c r="D135" s="12">
        <v>0.045</v>
      </c>
      <c r="E135" s="13">
        <f>IF(ISNUMBER('Sheet2-计算明细'!K34),'Sheet2-计算明细'!K34,"")</f>
        <v>100</v>
      </c>
      <c r="F135" s="13">
        <f>IF(ISNUMBER(对照快照!K104),对照快照!K104,"")</f>
        <v>100</v>
      </c>
      <c r="G135" s="13">
        <f t="shared" si="6"/>
        <v>4.5</v>
      </c>
      <c r="H135" s="13">
        <f t="shared" si="7"/>
        <v>4.5</v>
      </c>
      <c r="I135" s="13">
        <f t="shared" si="8"/>
        <v>0</v>
      </c>
      <c r="J135" s="15" t="str">
        <f>IF(ISNUMBER('Sheet2-计算明细'!J34),'Sheet2-计算明细'!J34,IF('Sheet2-计算明细'!J34="","",'Sheet2-计算明细'!J34))</f>
        <v>无低于1000万元标识</v>
      </c>
      <c r="K135" s="15" t="str">
        <f>IF(ISNUMBER(对照快照!J104),对照快照!J104,IF(对照快照!J104="","",对照快照!J104))</f>
        <v>无低于1000万元标识</v>
      </c>
      <c r="L135" s="9" t="s">
        <v>1538</v>
      </c>
    </row>
    <row r="136" ht="25" customHeight="1" spans="1:12">
      <c r="A136" s="9" t="s">
        <v>162</v>
      </c>
      <c r="B136" s="9" t="s">
        <v>161</v>
      </c>
      <c r="C136" s="9" t="s">
        <v>547</v>
      </c>
      <c r="D136" s="12">
        <v>0.045</v>
      </c>
      <c r="E136" s="13">
        <f>IF(ISNUMBER('Sheet2-计算明细'!L34),'Sheet2-计算明细'!L34,"")</f>
        <v>70</v>
      </c>
      <c r="F136" s="13">
        <f>IF(ISNUMBER(对照快照!L104),对照快照!L104,"")</f>
        <v>70</v>
      </c>
      <c r="G136" s="13">
        <f t="shared" si="6"/>
        <v>3.15</v>
      </c>
      <c r="H136" s="13">
        <f t="shared" si="7"/>
        <v>3.15</v>
      </c>
      <c r="I136" s="13">
        <f t="shared" si="8"/>
        <v>0</v>
      </c>
      <c r="J136" s="15">
        <f>IF(ISNUMBER('Sheet2-计算明细'!F34),'Sheet2-计算明细'!F34,IF('Sheet2-计算明细'!F34="","",'Sheet2-计算明细'!F34))</f>
        <v>1.5606</v>
      </c>
      <c r="K136" s="15">
        <f>IF(ISNUMBER(对照快照!F104),对照快照!F104,IF(对照快照!F104="","",对照快照!F104))</f>
        <v>1.5524</v>
      </c>
      <c r="L136" s="9" t="s">
        <v>1538</v>
      </c>
    </row>
    <row r="137" ht="25" customHeight="1" spans="1:12">
      <c r="A137" s="9" t="s">
        <v>162</v>
      </c>
      <c r="B137" s="9" t="s">
        <v>161</v>
      </c>
      <c r="C137" s="9" t="s">
        <v>1539</v>
      </c>
      <c r="D137" s="12">
        <v>0.084</v>
      </c>
      <c r="E137" s="13">
        <f>IF(ISNUMBER('Sheet2-计算明细'!Q34),'Sheet2-计算明细'!Q34,"")</f>
        <v>88.89</v>
      </c>
      <c r="F137" s="13">
        <f>IF(ISNUMBER(对照快照!Q104),对照快照!Q104,"")</f>
        <v>87.86</v>
      </c>
      <c r="G137" s="13">
        <f t="shared" si="6"/>
        <v>7.46676</v>
      </c>
      <c r="H137" s="13">
        <f t="shared" si="7"/>
        <v>7.38024</v>
      </c>
      <c r="I137" s="13">
        <f t="shared" si="8"/>
        <v>0.0865200000000002</v>
      </c>
      <c r="J137" s="15">
        <f>IF(ISNUMBER('Sheet2-计算明细'!M34),'Sheet2-计算明细'!M34,IF('Sheet2-计算明细'!M34="","",'Sheet2-计算明细'!M34))</f>
        <v>0.2067</v>
      </c>
      <c r="K137" s="15">
        <f>IF(ISNUMBER(对照快照!M104),对照快照!M104,IF(对照快照!M104="","",对照快照!M104))</f>
        <v>0.1981</v>
      </c>
      <c r="L137" s="9" t="s">
        <v>1540</v>
      </c>
    </row>
    <row r="138" ht="25" customHeight="1" spans="1:12">
      <c r="A138" s="9" t="s">
        <v>162</v>
      </c>
      <c r="B138" s="9" t="s">
        <v>161</v>
      </c>
      <c r="C138" s="9" t="s">
        <v>1541</v>
      </c>
      <c r="D138" s="12">
        <v>0.056</v>
      </c>
      <c r="E138" s="13">
        <f>IF(ISNUMBER('Sheet2-计算明细'!R34),'Sheet2-计算明细'!R34,"")</f>
        <v>90.91</v>
      </c>
      <c r="F138" s="13" t="str">
        <f>IF(ISNUMBER(对照快照!R104),对照快照!R104,"")</f>
        <v/>
      </c>
      <c r="G138" s="13">
        <f t="shared" si="6"/>
        <v>5.09096</v>
      </c>
      <c r="H138" s="13">
        <f t="shared" si="7"/>
        <v>0</v>
      </c>
      <c r="I138" s="13">
        <f t="shared" si="8"/>
        <v>5.09096</v>
      </c>
      <c r="J138" s="15">
        <f>IF(ISNUMBER('Sheet2-计算明细'!P34),'Sheet2-计算明细'!P34,IF('Sheet2-计算明细'!P34="","",'Sheet2-计算明细'!P34))</f>
        <v>0.154276879267149</v>
      </c>
      <c r="K138" s="15" t="str">
        <f>IF(ISNUMBER(对照快照!P104),对照快照!P104,IF(对照快照!P104="","",对照快照!P104))</f>
        <v/>
      </c>
      <c r="L138" s="9" t="s">
        <v>1540</v>
      </c>
    </row>
    <row r="139" ht="25" customHeight="1" spans="1:12">
      <c r="A139" s="9" t="s">
        <v>162</v>
      </c>
      <c r="B139" s="9" t="s">
        <v>161</v>
      </c>
      <c r="C139" s="9" t="s">
        <v>690</v>
      </c>
      <c r="D139" s="12">
        <v>0.036</v>
      </c>
      <c r="E139" s="13">
        <f>IF(ISNUMBER('Sheet2-计算明细'!W34),'Sheet2-计算明细'!W34,"")</f>
        <v>84.62</v>
      </c>
      <c r="F139" s="13">
        <f>IF(ISNUMBER(对照快照!W104),对照快照!W104,"")</f>
        <v>76.92</v>
      </c>
      <c r="G139" s="13">
        <f t="shared" si="6"/>
        <v>3.04632</v>
      </c>
      <c r="H139" s="13">
        <f t="shared" si="7"/>
        <v>2.76912</v>
      </c>
      <c r="I139" s="13">
        <f t="shared" si="8"/>
        <v>0.277199999999999</v>
      </c>
      <c r="J139" s="15">
        <f>IF(ISNUMBER('Sheet2-计算明细'!T34),'Sheet2-计算明细'!T34,IF('Sheet2-计算明细'!T34="","",'Sheet2-计算明细'!T34))</f>
        <v>0.8462</v>
      </c>
      <c r="K139" s="15">
        <f>IF(ISNUMBER(对照快照!T104),对照快照!T104,IF(对照快照!T104="","",对照快照!T104))</f>
        <v>0.7692</v>
      </c>
      <c r="L139" s="9" t="s">
        <v>1538</v>
      </c>
    </row>
    <row r="140" ht="25" customHeight="1" spans="1:12">
      <c r="A140" s="9" t="s">
        <v>162</v>
      </c>
      <c r="B140" s="9" t="s">
        <v>161</v>
      </c>
      <c r="C140" s="9" t="s">
        <v>692</v>
      </c>
      <c r="D140" s="12">
        <v>0.024</v>
      </c>
      <c r="E140" s="13" t="str">
        <f>IF(ISNUMBER('Sheet2-计算明细'!X34),'Sheet2-计算明细'!X34,"")</f>
        <v/>
      </c>
      <c r="F140" s="13" t="str">
        <f>IF(ISNUMBER(对照快照!X104),对照快照!X104,"")</f>
        <v/>
      </c>
      <c r="G140" s="13">
        <f t="shared" si="6"/>
        <v>0</v>
      </c>
      <c r="H140" s="13">
        <f t="shared" si="7"/>
        <v>0</v>
      </c>
      <c r="I140" s="13">
        <f t="shared" si="8"/>
        <v>0</v>
      </c>
      <c r="J140" s="15" t="str">
        <f>IF(ISNUMBER('Sheet2-计算明细'!V34),'Sheet2-计算明细'!V34,IF('Sheet2-计算明细'!V34="","",'Sheet2-计算明细'!V34))</f>
        <v/>
      </c>
      <c r="K140" s="15" t="str">
        <f>IF(ISNUMBER(对照快照!V104),对照快照!V104,IF(对照快照!V104="","",对照快照!V104))</f>
        <v/>
      </c>
      <c r="L140" s="9" t="s">
        <v>1538</v>
      </c>
    </row>
    <row r="141" ht="25" customHeight="1" spans="1:12">
      <c r="A141" s="9" t="s">
        <v>162</v>
      </c>
      <c r="B141" s="9" t="s">
        <v>161</v>
      </c>
      <c r="C141" s="9" t="s">
        <v>1542</v>
      </c>
      <c r="D141" s="12">
        <v>0.25</v>
      </c>
      <c r="E141" s="13">
        <f>IF(ISNUMBER('Sheet2-计算明细'!AC34),'Sheet2-计算明细'!AC34,"")</f>
        <v>54.05</v>
      </c>
      <c r="F141" s="13">
        <f>IF(ISNUMBER(对照快照!AC104),对照快照!AC104,"")</f>
        <v>71.79</v>
      </c>
      <c r="G141" s="13">
        <f t="shared" si="6"/>
        <v>13.5125</v>
      </c>
      <c r="H141" s="13">
        <f t="shared" si="7"/>
        <v>17.9475</v>
      </c>
      <c r="I141" s="13">
        <f t="shared" si="8"/>
        <v>-4.435</v>
      </c>
      <c r="J141" s="15">
        <f>IF(ISNUMBER('Sheet2-计算明细'!AB34),'Sheet2-计算明细'!AB34,IF('Sheet2-计算明细'!AB34="","",'Sheet2-计算明细'!AB34))</f>
        <v>0.0188085207057518</v>
      </c>
      <c r="K141" s="15">
        <f>IF(ISNUMBER(对照快照!AB104),对照快照!AB104,IF(对照快照!AB104="","",对照快照!AB104))</f>
        <v>0.0188141661838869</v>
      </c>
      <c r="L141" s="9" t="s">
        <v>1540</v>
      </c>
    </row>
    <row r="142" ht="25" customHeight="1" spans="1:12">
      <c r="A142" s="9" t="s">
        <v>162</v>
      </c>
      <c r="B142" s="9" t="s">
        <v>161</v>
      </c>
      <c r="C142" s="9" t="s">
        <v>1543</v>
      </c>
      <c r="D142" s="12">
        <v>0.18</v>
      </c>
      <c r="E142" s="13">
        <f>IF(ISNUMBER('Sheet2-计算明细'!AG34),'Sheet2-计算明细'!AG34,"")</f>
        <v>60.56</v>
      </c>
      <c r="F142" s="13">
        <f>IF(ISNUMBER(对照快照!AG104),对照快照!AG104,"")</f>
        <v>81.35</v>
      </c>
      <c r="G142" s="13">
        <f t="shared" si="6"/>
        <v>10.9008</v>
      </c>
      <c r="H142" s="13">
        <f t="shared" si="7"/>
        <v>14.643</v>
      </c>
      <c r="I142" s="13">
        <f t="shared" si="8"/>
        <v>-3.7422</v>
      </c>
      <c r="J142" s="15">
        <f>IF(ISNUMBER('Sheet2-计算明细'!AD34),'Sheet2-计算明细'!AD34,IF('Sheet2-计算明细'!AD34="","",'Sheet2-计算明细'!AD34))</f>
        <v>10.9897</v>
      </c>
      <c r="K142" s="15">
        <f>IF(ISNUMBER(对照快照!AD104),对照快照!AD104,IF(对照快照!AD104="","",对照快照!AD104))</f>
        <v>10.5293</v>
      </c>
      <c r="L142" s="9" t="s">
        <v>1540</v>
      </c>
    </row>
    <row r="143" ht="25" customHeight="1" spans="1:12">
      <c r="A143" s="9" t="s">
        <v>162</v>
      </c>
      <c r="B143" s="9" t="s">
        <v>161</v>
      </c>
      <c r="C143" s="9" t="s">
        <v>1544</v>
      </c>
      <c r="D143" s="12">
        <v>0.12</v>
      </c>
      <c r="E143" s="13" t="str">
        <f>IF(ISNUMBER('Sheet2-计算明细'!AH34),'Sheet2-计算明细'!AH34,"")</f>
        <v/>
      </c>
      <c r="F143" s="13" t="str">
        <f>IF(ISNUMBER(对照快照!AH104),对照快照!AH104,"")</f>
        <v/>
      </c>
      <c r="G143" s="13">
        <f t="shared" si="6"/>
        <v>0</v>
      </c>
      <c r="H143" s="13">
        <f t="shared" si="7"/>
        <v>0</v>
      </c>
      <c r="I143" s="13">
        <f t="shared" si="8"/>
        <v>0</v>
      </c>
      <c r="J143" s="15" t="str">
        <f>IF(ISNUMBER('Sheet2-计算明细'!AF34),'Sheet2-计算明细'!AF34,IF('Sheet2-计算明细'!AF34="","",'Sheet2-计算明细'!AF34))</f>
        <v/>
      </c>
      <c r="K143" s="15" t="str">
        <f>IF(ISNUMBER(对照快照!AF104),对照快照!AF104,IF(对照快照!AF104="","",对照快照!AF104))</f>
        <v/>
      </c>
      <c r="L143" s="9" t="s">
        <v>1540</v>
      </c>
    </row>
    <row r="144" ht="25" customHeight="1" spans="1:12">
      <c r="A144" s="9" t="s">
        <v>162</v>
      </c>
      <c r="B144" s="9" t="s">
        <v>161</v>
      </c>
      <c r="C144" s="9" t="s">
        <v>574</v>
      </c>
      <c r="D144" s="12">
        <v>0.1</v>
      </c>
      <c r="E144" s="13">
        <f>IF(ISNUMBER('Sheet2-计算明细'!AK34),'Sheet2-计算明细'!AK34,"")</f>
        <v>100</v>
      </c>
      <c r="F144" s="13" t="str">
        <f>IF(ISNUMBER(对照快照!AK104),对照快照!AK104,"")</f>
        <v/>
      </c>
      <c r="G144" s="13">
        <f t="shared" si="6"/>
        <v>10</v>
      </c>
      <c r="H144" s="13">
        <f t="shared" si="7"/>
        <v>0</v>
      </c>
      <c r="I144" s="13">
        <f t="shared" si="8"/>
        <v>10</v>
      </c>
      <c r="J144" s="15">
        <f>IF(ISNUMBER('Sheet2-计算明细'!AJ34),'Sheet2-计算明细'!AJ34,IF('Sheet2-计算明细'!AJ34="","",'Sheet2-计算明细'!AJ34))</f>
        <v>0.1876</v>
      </c>
      <c r="K144" s="15" t="str">
        <f>IF(ISNUMBER(对照快照!AJ104),对照快照!AJ104,IF(对照快照!AJ104="","",对照快照!AJ104))</f>
        <v/>
      </c>
      <c r="L144" s="9" t="s">
        <v>1538</v>
      </c>
    </row>
    <row r="145" ht="25" customHeight="1" spans="1:12">
      <c r="A145" s="9" t="s">
        <v>166</v>
      </c>
      <c r="B145" s="9" t="s">
        <v>165</v>
      </c>
      <c r="C145" s="9" t="s">
        <v>538</v>
      </c>
      <c r="D145" s="12">
        <v>0.06</v>
      </c>
      <c r="E145" s="13">
        <f>IF(ISNUMBER('Sheet2-计算明细'!I35),'Sheet2-计算明细'!I35,"")</f>
        <v>60</v>
      </c>
      <c r="F145" s="13">
        <f>IF(ISNUMBER(对照快照!I30),对照快照!I30,"")</f>
        <v>60</v>
      </c>
      <c r="G145" s="13">
        <f t="shared" si="6"/>
        <v>3.6</v>
      </c>
      <c r="H145" s="13">
        <f t="shared" si="7"/>
        <v>3.6</v>
      </c>
      <c r="I145" s="13">
        <f t="shared" si="8"/>
        <v>0</v>
      </c>
      <c r="J145" s="15" t="str">
        <f>IF(ISNUMBER('Sheet2-计算明细'!H35),'Sheet2-计算明细'!H35,IF('Sheet2-计算明细'!H35="","",'Sheet2-计算明细'!H35))</f>
        <v>0-5亿元</v>
      </c>
      <c r="K145" s="15" t="str">
        <f>IF(ISNUMBER(对照快照!H30),对照快照!H30,IF(对照快照!H30="","",对照快照!H30))</f>
        <v>0-5亿元</v>
      </c>
      <c r="L145" s="9" t="s">
        <v>1538</v>
      </c>
    </row>
    <row r="146" ht="25" customHeight="1" spans="1:12">
      <c r="A146" s="9" t="s">
        <v>166</v>
      </c>
      <c r="B146" s="9" t="s">
        <v>165</v>
      </c>
      <c r="C146" s="9" t="s">
        <v>543</v>
      </c>
      <c r="D146" s="12">
        <v>0.045</v>
      </c>
      <c r="E146" s="13">
        <f>IF(ISNUMBER('Sheet2-计算明细'!K35),'Sheet2-计算明细'!K35,"")</f>
        <v>100</v>
      </c>
      <c r="F146" s="13">
        <f>IF(ISNUMBER(对照快照!K30),对照快照!K30,"")</f>
        <v>100</v>
      </c>
      <c r="G146" s="13">
        <f t="shared" si="6"/>
        <v>4.5</v>
      </c>
      <c r="H146" s="13">
        <f t="shared" si="7"/>
        <v>4.5</v>
      </c>
      <c r="I146" s="13">
        <f t="shared" si="8"/>
        <v>0</v>
      </c>
      <c r="J146" s="15" t="str">
        <f>IF(ISNUMBER('Sheet2-计算明细'!J35),'Sheet2-计算明细'!J35,IF('Sheet2-计算明细'!J35="","",'Sheet2-计算明细'!J35))</f>
        <v>无低于1000万元标识</v>
      </c>
      <c r="K146" s="15" t="str">
        <f>IF(ISNUMBER(对照快照!J30),对照快照!J30,IF(对照快照!J30="","",对照快照!J30))</f>
        <v>无低于1000万元标识</v>
      </c>
      <c r="L146" s="9" t="s">
        <v>1538</v>
      </c>
    </row>
    <row r="147" ht="25" customHeight="1" spans="1:12">
      <c r="A147" s="9" t="s">
        <v>166</v>
      </c>
      <c r="B147" s="9" t="s">
        <v>165</v>
      </c>
      <c r="C147" s="9" t="s">
        <v>547</v>
      </c>
      <c r="D147" s="12">
        <v>0.045</v>
      </c>
      <c r="E147" s="13">
        <f>IF(ISNUMBER('Sheet2-计算明细'!L35),'Sheet2-计算明细'!L35,"")</f>
        <v>100</v>
      </c>
      <c r="F147" s="13">
        <f>IF(ISNUMBER(对照快照!L30),对照快照!L30,"")</f>
        <v>100</v>
      </c>
      <c r="G147" s="13">
        <f t="shared" si="6"/>
        <v>4.5</v>
      </c>
      <c r="H147" s="13">
        <f t="shared" si="7"/>
        <v>4.5</v>
      </c>
      <c r="I147" s="13">
        <f t="shared" si="8"/>
        <v>0</v>
      </c>
      <c r="J147" s="15">
        <f>IF(ISNUMBER('Sheet2-计算明细'!F35),'Sheet2-计算明细'!F35,IF('Sheet2-计算明细'!F35="","",'Sheet2-计算明细'!F35))</f>
        <v>5.3936</v>
      </c>
      <c r="K147" s="15">
        <f>IF(ISNUMBER(对照快照!F30),对照快照!F30,IF(对照快照!F30="","",对照快照!F30))</f>
        <v>5.3854</v>
      </c>
      <c r="L147" s="9" t="s">
        <v>1538</v>
      </c>
    </row>
    <row r="148" ht="25" customHeight="1" spans="1:12">
      <c r="A148" s="9" t="s">
        <v>166</v>
      </c>
      <c r="B148" s="9" t="s">
        <v>165</v>
      </c>
      <c r="C148" s="9" t="s">
        <v>1539</v>
      </c>
      <c r="D148" s="12">
        <v>0.084</v>
      </c>
      <c r="E148" s="13">
        <f>IF(ISNUMBER('Sheet2-计算明细'!Q35),'Sheet2-计算明细'!Q35,"")</f>
        <v>2.78</v>
      </c>
      <c r="F148" s="13">
        <f>IF(ISNUMBER(对照快照!Q30),对照快照!Q30,"")</f>
        <v>15.02</v>
      </c>
      <c r="G148" s="13">
        <f t="shared" si="6"/>
        <v>0.23352</v>
      </c>
      <c r="H148" s="13">
        <f t="shared" si="7"/>
        <v>1.26168</v>
      </c>
      <c r="I148" s="13">
        <f t="shared" si="8"/>
        <v>-1.02816</v>
      </c>
      <c r="J148" s="15">
        <f>IF(ISNUMBER('Sheet2-计算明细'!M35),'Sheet2-计算明细'!M35,IF('Sheet2-计算明细'!M35="","",'Sheet2-计算明细'!M35))</f>
        <v>0.0054</v>
      </c>
      <c r="K148" s="15">
        <f>IF(ISNUMBER(对照快照!M30),对照快照!M30,IF(对照快照!M30="","",对照快照!M30))</f>
        <v>-0.0016</v>
      </c>
      <c r="L148" s="9" t="s">
        <v>1540</v>
      </c>
    </row>
    <row r="149" ht="25" customHeight="1" spans="1:12">
      <c r="A149" s="9" t="s">
        <v>166</v>
      </c>
      <c r="B149" s="9" t="s">
        <v>165</v>
      </c>
      <c r="C149" s="9" t="s">
        <v>1541</v>
      </c>
      <c r="D149" s="12">
        <v>0.056</v>
      </c>
      <c r="E149" s="13">
        <f>IF(ISNUMBER('Sheet2-计算明细'!R35),'Sheet2-计算明细'!R35,"")</f>
        <v>24.24</v>
      </c>
      <c r="F149" s="13">
        <f>IF(ISNUMBER(对照快照!R30),对照快照!R30,"")</f>
        <v>47.62</v>
      </c>
      <c r="G149" s="13">
        <f t="shared" si="6"/>
        <v>1.35744</v>
      </c>
      <c r="H149" s="13">
        <f t="shared" si="7"/>
        <v>2.66672</v>
      </c>
      <c r="I149" s="13">
        <f t="shared" si="8"/>
        <v>-1.30928</v>
      </c>
      <c r="J149" s="15">
        <f>IF(ISNUMBER('Sheet2-计算明细'!P35),'Sheet2-计算明细'!P35,IF('Sheet2-计算明细'!P35="","",'Sheet2-计算明细'!P35))</f>
        <v>0.055151548366815</v>
      </c>
      <c r="K149" s="15">
        <f>IF(ISNUMBER(对照快照!P30),对照快照!P30,IF(对照快照!P30="","",对照快照!P30))</f>
        <v>0.0632832023489487</v>
      </c>
      <c r="L149" s="9" t="s">
        <v>1540</v>
      </c>
    </row>
    <row r="150" ht="25" customHeight="1" spans="1:12">
      <c r="A150" s="9" t="s">
        <v>166</v>
      </c>
      <c r="B150" s="9" t="s">
        <v>165</v>
      </c>
      <c r="C150" s="9" t="s">
        <v>690</v>
      </c>
      <c r="D150" s="12">
        <v>0.036</v>
      </c>
      <c r="E150" s="13">
        <f>IF(ISNUMBER('Sheet2-计算明细'!W35),'Sheet2-计算明细'!W35,"")</f>
        <v>38.46</v>
      </c>
      <c r="F150" s="13">
        <f>IF(ISNUMBER(对照快照!W30),对照快照!W30,"")</f>
        <v>38.46</v>
      </c>
      <c r="G150" s="13">
        <f t="shared" si="6"/>
        <v>1.38456</v>
      </c>
      <c r="H150" s="13">
        <f t="shared" si="7"/>
        <v>1.38456</v>
      </c>
      <c r="I150" s="13">
        <f t="shared" si="8"/>
        <v>0</v>
      </c>
      <c r="J150" s="15">
        <f>IF(ISNUMBER('Sheet2-计算明细'!T35),'Sheet2-计算明细'!T35,IF('Sheet2-计算明细'!T35="","",'Sheet2-计算明细'!T35))</f>
        <v>0.3846</v>
      </c>
      <c r="K150" s="15">
        <f>IF(ISNUMBER(对照快照!T30),对照快照!T30,IF(对照快照!T30="","",对照快照!T30))</f>
        <v>0.3846</v>
      </c>
      <c r="L150" s="9" t="s">
        <v>1538</v>
      </c>
    </row>
    <row r="151" ht="25" customHeight="1" spans="1:12">
      <c r="A151" s="9" t="s">
        <v>166</v>
      </c>
      <c r="B151" s="9" t="s">
        <v>165</v>
      </c>
      <c r="C151" s="9" t="s">
        <v>692</v>
      </c>
      <c r="D151" s="12">
        <v>0.024</v>
      </c>
      <c r="E151" s="13">
        <f>IF(ISNUMBER('Sheet2-计算明细'!X35),'Sheet2-计算明细'!X35,"")</f>
        <v>70.835</v>
      </c>
      <c r="F151" s="13">
        <f>IF(ISNUMBER(对照快照!X30),对照快照!X30,"")</f>
        <v>79.16</v>
      </c>
      <c r="G151" s="13">
        <f t="shared" si="6"/>
        <v>1.70004</v>
      </c>
      <c r="H151" s="13">
        <f t="shared" si="7"/>
        <v>1.89984</v>
      </c>
      <c r="I151" s="13">
        <f t="shared" si="8"/>
        <v>-0.1998</v>
      </c>
      <c r="J151" s="15">
        <f>IF(ISNUMBER('Sheet2-计算明细'!V35),'Sheet2-计算明细'!V35,IF('Sheet2-计算明细'!V35="","",'Sheet2-计算明细'!V35))</f>
        <v>0.70835</v>
      </c>
      <c r="K151" s="15">
        <f>IF(ISNUMBER(对照快照!V30),对照快照!V30,IF(对照快照!V30="","",对照快照!V30))</f>
        <v>0.7916</v>
      </c>
      <c r="L151" s="9" t="s">
        <v>1538</v>
      </c>
    </row>
    <row r="152" ht="25" customHeight="1" spans="1:12">
      <c r="A152" s="9" t="s">
        <v>166</v>
      </c>
      <c r="B152" s="9" t="s">
        <v>165</v>
      </c>
      <c r="C152" s="9" t="s">
        <v>1542</v>
      </c>
      <c r="D152" s="12">
        <v>0.25</v>
      </c>
      <c r="E152" s="13">
        <f>IF(ISNUMBER('Sheet2-计算明细'!AC35),'Sheet2-计算明细'!AC35,"")</f>
        <v>52.7</v>
      </c>
      <c r="F152" s="13">
        <f>IF(ISNUMBER(对照快照!AC30),对照快照!AC30,"")</f>
        <v>72.76</v>
      </c>
      <c r="G152" s="13">
        <f t="shared" si="6"/>
        <v>13.175</v>
      </c>
      <c r="H152" s="13">
        <f t="shared" si="7"/>
        <v>18.19</v>
      </c>
      <c r="I152" s="13">
        <f t="shared" si="8"/>
        <v>-5.015</v>
      </c>
      <c r="J152" s="15">
        <f>IF(ISNUMBER('Sheet2-计算明细'!AB35),'Sheet2-计算明细'!AB35,IF('Sheet2-计算明细'!AB35="","",'Sheet2-计算明细'!AB35))</f>
        <v>0.0199</v>
      </c>
      <c r="K152" s="15">
        <f>IF(ISNUMBER(对照快照!AB30),对照快照!AB30,IF(对照快照!AB30="","",对照快照!AB30))</f>
        <v>0.0184</v>
      </c>
      <c r="L152" s="9" t="s">
        <v>1540</v>
      </c>
    </row>
    <row r="153" ht="25" customHeight="1" spans="1:12">
      <c r="A153" s="9" t="s">
        <v>166</v>
      </c>
      <c r="B153" s="9" t="s">
        <v>165</v>
      </c>
      <c r="C153" s="9" t="s">
        <v>1543</v>
      </c>
      <c r="D153" s="12">
        <v>0.18</v>
      </c>
      <c r="E153" s="13">
        <f>IF(ISNUMBER('Sheet2-计算明细'!AG35),'Sheet2-计算明细'!AG35,"")</f>
        <v>5.63</v>
      </c>
      <c r="F153" s="13">
        <f>IF(ISNUMBER(对照快照!AG30),对照快照!AG30,"")</f>
        <v>12.86</v>
      </c>
      <c r="G153" s="13">
        <f t="shared" si="6"/>
        <v>1.0134</v>
      </c>
      <c r="H153" s="13">
        <f t="shared" si="7"/>
        <v>2.3148</v>
      </c>
      <c r="I153" s="13">
        <f t="shared" si="8"/>
        <v>-1.3014</v>
      </c>
      <c r="J153" s="15">
        <f>IF(ISNUMBER('Sheet2-计算明细'!AD35),'Sheet2-计算明细'!AD35,IF('Sheet2-计算明细'!AD35="","",'Sheet2-计算明细'!AD35))</f>
        <v>0.2728</v>
      </c>
      <c r="K153" s="15">
        <f>IF(ISNUMBER(对照快照!AD30),对照快照!AD30,IF(对照快照!AD30="","",对照快照!AD30))</f>
        <v>-0.0874</v>
      </c>
      <c r="L153" s="9" t="s">
        <v>1540</v>
      </c>
    </row>
    <row r="154" ht="25" customHeight="1" spans="1:12">
      <c r="A154" s="9" t="s">
        <v>166</v>
      </c>
      <c r="B154" s="9" t="s">
        <v>165</v>
      </c>
      <c r="C154" s="9" t="s">
        <v>1544</v>
      </c>
      <c r="D154" s="12">
        <v>0.12</v>
      </c>
      <c r="E154" s="13">
        <f>IF(ISNUMBER('Sheet2-计算明细'!AH35),'Sheet2-计算明细'!AH35,"")</f>
        <v>46.88</v>
      </c>
      <c r="F154" s="13" t="str">
        <f>IF(ISNUMBER(对照快照!AH30),对照快照!AH30,"")</f>
        <v/>
      </c>
      <c r="G154" s="13">
        <f t="shared" si="6"/>
        <v>5.6256</v>
      </c>
      <c r="H154" s="13">
        <f t="shared" si="7"/>
        <v>0</v>
      </c>
      <c r="I154" s="13">
        <f t="shared" si="8"/>
        <v>5.6256</v>
      </c>
      <c r="J154" s="15">
        <f>IF(ISNUMBER('Sheet2-计算明细'!AF35),'Sheet2-计算明细'!AF35,IF('Sheet2-计算明细'!AF35="","",'Sheet2-计算明细'!AF35))</f>
        <v>2.77143459129724</v>
      </c>
      <c r="K154" s="15" t="str">
        <f>IF(ISNUMBER(对照快照!AF30),对照快照!AF30,IF(对照快照!AF30="","",对照快照!AF30))</f>
        <v/>
      </c>
      <c r="L154" s="9" t="s">
        <v>1540</v>
      </c>
    </row>
    <row r="155" ht="25" customHeight="1" spans="1:12">
      <c r="A155" s="9" t="s">
        <v>166</v>
      </c>
      <c r="B155" s="9" t="s">
        <v>165</v>
      </c>
      <c r="C155" s="9" t="s">
        <v>574</v>
      </c>
      <c r="D155" s="12">
        <v>0.1</v>
      </c>
      <c r="E155" s="13">
        <f>IF(ISNUMBER('Sheet2-计算明细'!AK35),'Sheet2-计算明细'!AK35,"")</f>
        <v>80</v>
      </c>
      <c r="F155" s="13">
        <f>IF(ISNUMBER(对照快照!AK30),对照快照!AK30,"")</f>
        <v>80</v>
      </c>
      <c r="G155" s="13">
        <f t="shared" si="6"/>
        <v>8</v>
      </c>
      <c r="H155" s="13">
        <f t="shared" si="7"/>
        <v>8</v>
      </c>
      <c r="I155" s="13">
        <f t="shared" si="8"/>
        <v>0</v>
      </c>
      <c r="J155" s="15">
        <f>IF(ISNUMBER('Sheet2-计算明细'!AJ35),'Sheet2-计算明细'!AJ35,IF('Sheet2-计算明细'!AJ35="","",'Sheet2-计算明细'!AJ35))</f>
        <v>0.0383</v>
      </c>
      <c r="K155" s="15">
        <f>IF(ISNUMBER(对照快照!AJ30),对照快照!AJ30,IF(对照快照!AJ30="","",对照快照!AJ30))</f>
        <v>0.0412</v>
      </c>
      <c r="L155" s="9" t="s">
        <v>1538</v>
      </c>
    </row>
    <row r="156" ht="25" customHeight="1" spans="1:12">
      <c r="A156" s="9" t="s">
        <v>171</v>
      </c>
      <c r="B156" s="9" t="s">
        <v>170</v>
      </c>
      <c r="C156" s="9" t="s">
        <v>538</v>
      </c>
      <c r="D156" s="12">
        <v>0.06</v>
      </c>
      <c r="E156" s="13">
        <f>IF(ISNUMBER('Sheet2-计算明细'!I36),'Sheet2-计算明细'!I36,"")</f>
        <v>60</v>
      </c>
      <c r="F156" s="13">
        <f>IF(ISNUMBER(对照快照!I176),对照快照!I176,"")</f>
        <v>60</v>
      </c>
      <c r="G156" s="13">
        <f t="shared" si="6"/>
        <v>3.6</v>
      </c>
      <c r="H156" s="13">
        <f t="shared" si="7"/>
        <v>3.6</v>
      </c>
      <c r="I156" s="13">
        <f t="shared" si="8"/>
        <v>0</v>
      </c>
      <c r="J156" s="15" t="str">
        <f>IF(ISNUMBER('Sheet2-计算明细'!H36),'Sheet2-计算明细'!H36,IF('Sheet2-计算明细'!H36="","",'Sheet2-计算明细'!H36))</f>
        <v>0-5亿元</v>
      </c>
      <c r="K156" s="15" t="str">
        <f>IF(ISNUMBER(对照快照!H176),对照快照!H176,IF(对照快照!H176="","",对照快照!H176))</f>
        <v>0-5亿元</v>
      </c>
      <c r="L156" s="9" t="s">
        <v>1538</v>
      </c>
    </row>
    <row r="157" ht="25" customHeight="1" spans="1:12">
      <c r="A157" s="9" t="s">
        <v>171</v>
      </c>
      <c r="B157" s="9" t="s">
        <v>170</v>
      </c>
      <c r="C157" s="9" t="s">
        <v>543</v>
      </c>
      <c r="D157" s="12">
        <v>0.045</v>
      </c>
      <c r="E157" s="13">
        <f>IF(ISNUMBER('Sheet2-计算明细'!K36),'Sheet2-计算明细'!K36,"")</f>
        <v>100</v>
      </c>
      <c r="F157" s="13">
        <f>IF(ISNUMBER(对照快照!K176),对照快照!K176,"")</f>
        <v>100</v>
      </c>
      <c r="G157" s="13">
        <f t="shared" si="6"/>
        <v>4.5</v>
      </c>
      <c r="H157" s="13">
        <f t="shared" si="7"/>
        <v>4.5</v>
      </c>
      <c r="I157" s="13">
        <f t="shared" si="8"/>
        <v>0</v>
      </c>
      <c r="J157" s="15" t="str">
        <f>IF(ISNUMBER('Sheet2-计算明细'!J36),'Sheet2-计算明细'!J36,IF('Sheet2-计算明细'!J36="","",'Sheet2-计算明细'!J36))</f>
        <v>无低于1000万元标识</v>
      </c>
      <c r="K157" s="15" t="str">
        <f>IF(ISNUMBER(对照快照!J176),对照快照!J176,IF(对照快照!J176="","",对照快照!J176))</f>
        <v>无低于1000万元标识</v>
      </c>
      <c r="L157" s="9" t="s">
        <v>1538</v>
      </c>
    </row>
    <row r="158" ht="25" customHeight="1" spans="1:12">
      <c r="A158" s="9" t="s">
        <v>171</v>
      </c>
      <c r="B158" s="9" t="s">
        <v>170</v>
      </c>
      <c r="C158" s="9" t="s">
        <v>547</v>
      </c>
      <c r="D158" s="12">
        <v>0.045</v>
      </c>
      <c r="E158" s="13">
        <f>IF(ISNUMBER('Sheet2-计算明细'!L36),'Sheet2-计算明细'!L36,"")</f>
        <v>100</v>
      </c>
      <c r="F158" s="13">
        <f>IF(ISNUMBER(对照快照!L176),对照快照!L176,"")</f>
        <v>100</v>
      </c>
      <c r="G158" s="13">
        <f t="shared" si="6"/>
        <v>4.5</v>
      </c>
      <c r="H158" s="13">
        <f t="shared" si="7"/>
        <v>4.5</v>
      </c>
      <c r="I158" s="13">
        <f t="shared" si="8"/>
        <v>0</v>
      </c>
      <c r="J158" s="15">
        <f>IF(ISNUMBER('Sheet2-计算明细'!F36),'Sheet2-计算明细'!F36,IF('Sheet2-计算明细'!F36="","",'Sheet2-计算明细'!F36))</f>
        <v>9.5907</v>
      </c>
      <c r="K158" s="15">
        <f>IF(ISNUMBER(对照快照!F176),对照快照!F176,IF(对照快照!F176="","",对照快照!F176))</f>
        <v>9.5825</v>
      </c>
      <c r="L158" s="9" t="s">
        <v>1538</v>
      </c>
    </row>
    <row r="159" ht="25" customHeight="1" spans="1:12">
      <c r="A159" s="9" t="s">
        <v>171</v>
      </c>
      <c r="B159" s="9" t="s">
        <v>170</v>
      </c>
      <c r="C159" s="9" t="s">
        <v>1539</v>
      </c>
      <c r="D159" s="12">
        <v>0.084</v>
      </c>
      <c r="E159" s="13">
        <f>IF(ISNUMBER('Sheet2-计算明细'!Q36),'Sheet2-计算明细'!Q36,"")</f>
        <v>37.5</v>
      </c>
      <c r="F159" s="13">
        <f>IF(ISNUMBER(对照快照!Q176),对照快照!Q176,"")</f>
        <v>59.11</v>
      </c>
      <c r="G159" s="13">
        <f t="shared" si="6"/>
        <v>3.15</v>
      </c>
      <c r="H159" s="13">
        <f t="shared" si="7"/>
        <v>4.96524</v>
      </c>
      <c r="I159" s="13">
        <f t="shared" si="8"/>
        <v>-1.81524</v>
      </c>
      <c r="J159" s="15">
        <f>IF(ISNUMBER('Sheet2-计算明细'!M36),'Sheet2-计算明细'!M36,IF('Sheet2-计算明细'!M36="","",'Sheet2-计算明细'!M36))</f>
        <v>0.0765</v>
      </c>
      <c r="K159" s="15">
        <f>IF(ISNUMBER(对照快照!M176),对照快照!M176,IF(对照快照!M176="","",对照快照!M176))</f>
        <v>0.0767</v>
      </c>
      <c r="L159" s="9" t="s">
        <v>1540</v>
      </c>
    </row>
    <row r="160" ht="25" customHeight="1" spans="1:12">
      <c r="A160" s="9" t="s">
        <v>171</v>
      </c>
      <c r="B160" s="9" t="s">
        <v>170</v>
      </c>
      <c r="C160" s="9" t="s">
        <v>1541</v>
      </c>
      <c r="D160" s="12">
        <v>0.056</v>
      </c>
      <c r="E160" s="13">
        <f>IF(ISNUMBER('Sheet2-计算明细'!R36),'Sheet2-计算明细'!R36,"")</f>
        <v>3.03</v>
      </c>
      <c r="F160" s="13">
        <f>IF(ISNUMBER(对照快照!R176),对照快照!R176,"")</f>
        <v>11.43</v>
      </c>
      <c r="G160" s="13">
        <f t="shared" si="6"/>
        <v>0.16968</v>
      </c>
      <c r="H160" s="13">
        <f t="shared" si="7"/>
        <v>0.64008</v>
      </c>
      <c r="I160" s="13">
        <f t="shared" si="8"/>
        <v>-0.4704</v>
      </c>
      <c r="J160" s="15">
        <f>IF(ISNUMBER('Sheet2-计算明细'!P36),'Sheet2-计算明细'!P36,IF('Sheet2-计算明细'!P36="","",'Sheet2-计算明细'!P36))</f>
        <v>0.0264953446580931</v>
      </c>
      <c r="K160" s="15">
        <f>IF(ISNUMBER(对照快照!P176),对照快照!P176,IF(对照快照!P176="","",对照快照!P176))</f>
        <v>0.0253667888082647</v>
      </c>
      <c r="L160" s="9" t="s">
        <v>1540</v>
      </c>
    </row>
    <row r="161" ht="25" customHeight="1" spans="1:12">
      <c r="A161" s="9" t="s">
        <v>171</v>
      </c>
      <c r="B161" s="9" t="s">
        <v>170</v>
      </c>
      <c r="C161" s="9" t="s">
        <v>690</v>
      </c>
      <c r="D161" s="12">
        <v>0.036</v>
      </c>
      <c r="E161" s="13">
        <f>IF(ISNUMBER('Sheet2-计算明细'!W36),'Sheet2-计算明细'!W36,"")</f>
        <v>100</v>
      </c>
      <c r="F161" s="13">
        <f>IF(ISNUMBER(对照快照!W176),对照快照!W176,"")</f>
        <v>100</v>
      </c>
      <c r="G161" s="13">
        <f t="shared" si="6"/>
        <v>3.6</v>
      </c>
      <c r="H161" s="13">
        <f t="shared" si="7"/>
        <v>3.6</v>
      </c>
      <c r="I161" s="13">
        <f t="shared" si="8"/>
        <v>0</v>
      </c>
      <c r="J161" s="15">
        <f>IF(ISNUMBER('Sheet2-计算明细'!T36),'Sheet2-计算明细'!T36,IF('Sheet2-计算明细'!T36="","",'Sheet2-计算明细'!T36))</f>
        <v>1</v>
      </c>
      <c r="K161" s="15">
        <f>IF(ISNUMBER(对照快照!T176),对照快照!T176,IF(对照快照!T176="","",对照快照!T176))</f>
        <v>1</v>
      </c>
      <c r="L161" s="9" t="s">
        <v>1538</v>
      </c>
    </row>
    <row r="162" ht="25" customHeight="1" spans="1:12">
      <c r="A162" s="9" t="s">
        <v>171</v>
      </c>
      <c r="B162" s="9" t="s">
        <v>170</v>
      </c>
      <c r="C162" s="9" t="s">
        <v>692</v>
      </c>
      <c r="D162" s="12">
        <v>0.024</v>
      </c>
      <c r="E162" s="13">
        <f>IF(ISNUMBER('Sheet2-计算明细'!X36),'Sheet2-计算明细'!X36,"")</f>
        <v>70.8316666666667</v>
      </c>
      <c r="F162" s="13">
        <f>IF(ISNUMBER(对照快照!X176),对照快照!X176,"")</f>
        <v>70.03</v>
      </c>
      <c r="G162" s="13">
        <f t="shared" si="6"/>
        <v>1.69996</v>
      </c>
      <c r="H162" s="13">
        <f t="shared" si="7"/>
        <v>1.68072</v>
      </c>
      <c r="I162" s="13">
        <f t="shared" si="8"/>
        <v>0.0192399999999999</v>
      </c>
      <c r="J162" s="15">
        <f>IF(ISNUMBER('Sheet2-计算明细'!V36),'Sheet2-计算明细'!V36,IF('Sheet2-计算明细'!V36="","",'Sheet2-计算明细'!V36))</f>
        <v>0.708316666666667</v>
      </c>
      <c r="K162" s="15">
        <f>IF(ISNUMBER(对照快照!V176),对照快照!V176,IF(对照快照!V176="","",对照快照!V176))</f>
        <v>0.7003</v>
      </c>
      <c r="L162" s="9" t="s">
        <v>1538</v>
      </c>
    </row>
    <row r="163" ht="25" customHeight="1" spans="1:12">
      <c r="A163" s="9" t="s">
        <v>171</v>
      </c>
      <c r="B163" s="9" t="s">
        <v>170</v>
      </c>
      <c r="C163" s="9" t="s">
        <v>1542</v>
      </c>
      <c r="D163" s="12">
        <v>0.25</v>
      </c>
      <c r="E163" s="13">
        <f>IF(ISNUMBER('Sheet2-计算明细'!AC36),'Sheet2-计算明细'!AC36,"")</f>
        <v>70.27</v>
      </c>
      <c r="F163" s="13">
        <f>IF(ISNUMBER(对照快照!AC176),对照快照!AC176,"")</f>
        <v>84.29</v>
      </c>
      <c r="G163" s="13">
        <f t="shared" si="6"/>
        <v>17.5675</v>
      </c>
      <c r="H163" s="13">
        <f t="shared" si="7"/>
        <v>21.0725</v>
      </c>
      <c r="I163" s="13">
        <f t="shared" si="8"/>
        <v>-3.505</v>
      </c>
      <c r="J163" s="15">
        <f>IF(ISNUMBER('Sheet2-计算明细'!AB36),'Sheet2-计算明细'!AB36,IF('Sheet2-计算明细'!AB36="","",'Sheet2-计算明细'!AB36))</f>
        <v>0.0106</v>
      </c>
      <c r="K163" s="15">
        <f>IF(ISNUMBER(对照快照!AB176),对照快照!AB176,IF(对照快照!AB176="","",对照快照!AB176))</f>
        <v>0.0106</v>
      </c>
      <c r="L163" s="9" t="s">
        <v>1540</v>
      </c>
    </row>
    <row r="164" ht="25" customHeight="1" spans="1:12">
      <c r="A164" s="9" t="s">
        <v>171</v>
      </c>
      <c r="B164" s="9" t="s">
        <v>170</v>
      </c>
      <c r="C164" s="9" t="s">
        <v>1543</v>
      </c>
      <c r="D164" s="12">
        <v>0.18</v>
      </c>
      <c r="E164" s="13">
        <f>IF(ISNUMBER('Sheet2-计算明细'!AG36),'Sheet2-计算明细'!AG36,"")</f>
        <v>53.52</v>
      </c>
      <c r="F164" s="13">
        <f>IF(ISNUMBER(对照快照!AG176),对照快照!AG176,"")</f>
        <v>78.78</v>
      </c>
      <c r="G164" s="13">
        <f t="shared" si="6"/>
        <v>9.6336</v>
      </c>
      <c r="H164" s="13">
        <f t="shared" si="7"/>
        <v>14.1804</v>
      </c>
      <c r="I164" s="13">
        <f t="shared" si="8"/>
        <v>-4.5468</v>
      </c>
      <c r="J164" s="15">
        <f>IF(ISNUMBER('Sheet2-计算明细'!AD36),'Sheet2-计算明细'!AD36,IF('Sheet2-计算明细'!AD36="","",'Sheet2-计算明细'!AD36))</f>
        <v>9.7894</v>
      </c>
      <c r="K164" s="15">
        <f>IF(ISNUMBER(对照快照!AD176),对照快照!AD176,IF(对照快照!AD176="","",对照快照!AD176))</f>
        <v>9.8103</v>
      </c>
      <c r="L164" s="9" t="s">
        <v>1540</v>
      </c>
    </row>
    <row r="165" ht="25" customHeight="1" spans="1:12">
      <c r="A165" s="9" t="s">
        <v>171</v>
      </c>
      <c r="B165" s="9" t="s">
        <v>170</v>
      </c>
      <c r="C165" s="9" t="s">
        <v>1544</v>
      </c>
      <c r="D165" s="12">
        <v>0.12</v>
      </c>
      <c r="E165" s="13">
        <f>IF(ISNUMBER('Sheet2-计算明细'!AH36),'Sheet2-计算明细'!AH36,"")</f>
        <v>40.63</v>
      </c>
      <c r="F165" s="13">
        <f>IF(ISNUMBER(对照快照!AH176),对照快照!AH176,"")</f>
        <v>67.38</v>
      </c>
      <c r="G165" s="13">
        <f t="shared" si="6"/>
        <v>4.8756</v>
      </c>
      <c r="H165" s="13">
        <f t="shared" si="7"/>
        <v>8.0856</v>
      </c>
      <c r="I165" s="13">
        <f t="shared" si="8"/>
        <v>-3.21</v>
      </c>
      <c r="J165" s="15">
        <f>IF(ISNUMBER('Sheet2-计算明细'!AF36),'Sheet2-计算明细'!AF36,IF('Sheet2-计算明细'!AF36="","",'Sheet2-计算明细'!AF36))</f>
        <v>2.49956081680124</v>
      </c>
      <c r="K165" s="15">
        <f>IF(ISNUMBER(对照快照!AF176),对照快照!AF176,IF(对照快照!AF176="","",对照快照!AF176))</f>
        <v>2.39309328379856</v>
      </c>
      <c r="L165" s="9" t="s">
        <v>1540</v>
      </c>
    </row>
    <row r="166" ht="25" customHeight="1" spans="1:12">
      <c r="A166" s="9" t="s">
        <v>171</v>
      </c>
      <c r="B166" s="9" t="s">
        <v>170</v>
      </c>
      <c r="C166" s="9" t="s">
        <v>574</v>
      </c>
      <c r="D166" s="12">
        <v>0.1</v>
      </c>
      <c r="E166" s="13">
        <f>IF(ISNUMBER('Sheet2-计算明细'!AK36),'Sheet2-计算明细'!AK36,"")</f>
        <v>100</v>
      </c>
      <c r="F166" s="13">
        <f>IF(ISNUMBER(对照快照!AK176),对照快照!AK176,"")</f>
        <v>100</v>
      </c>
      <c r="G166" s="13">
        <f t="shared" si="6"/>
        <v>10</v>
      </c>
      <c r="H166" s="13">
        <f t="shared" si="7"/>
        <v>10</v>
      </c>
      <c r="I166" s="13">
        <f t="shared" si="8"/>
        <v>0</v>
      </c>
      <c r="J166" s="15">
        <f>IF(ISNUMBER('Sheet2-计算明细'!AJ36),'Sheet2-计算明细'!AJ36,IF('Sheet2-计算明细'!AJ36="","",'Sheet2-计算明细'!AJ36))</f>
        <v>0.0429</v>
      </c>
      <c r="K166" s="15">
        <f>IF(ISNUMBER(对照快照!AJ176),对照快照!AJ176,IF(对照快照!AJ176="","",对照快照!AJ176))</f>
        <v>0.0422</v>
      </c>
      <c r="L166" s="9" t="s">
        <v>1538</v>
      </c>
    </row>
    <row r="167" ht="25" customHeight="1" spans="1:12">
      <c r="A167" s="9" t="s">
        <v>176</v>
      </c>
      <c r="B167" s="9" t="s">
        <v>175</v>
      </c>
      <c r="C167" s="9" t="s">
        <v>538</v>
      </c>
      <c r="D167" s="12">
        <v>0.06</v>
      </c>
      <c r="E167" s="13">
        <f>IF(ISNUMBER('Sheet2-计算明细'!I37),'Sheet2-计算明细'!I37,"")</f>
        <v>80</v>
      </c>
      <c r="F167" s="13">
        <f>IF(ISNUMBER(对照快照!I206),对照快照!I206,"")</f>
        <v>80</v>
      </c>
      <c r="G167" s="13">
        <f t="shared" si="6"/>
        <v>4.8</v>
      </c>
      <c r="H167" s="13">
        <f t="shared" si="7"/>
        <v>4.8</v>
      </c>
      <c r="I167" s="13">
        <f t="shared" si="8"/>
        <v>0</v>
      </c>
      <c r="J167" s="15" t="str">
        <f>IF(ISNUMBER('Sheet2-计算明细'!H37),'Sheet2-计算明细'!H37,IF('Sheet2-计算明细'!H37="","",'Sheet2-计算明细'!H37))</f>
        <v>10-20亿元</v>
      </c>
      <c r="K167" s="15" t="str">
        <f>IF(ISNUMBER(对照快照!H206),对照快照!H206,IF(对照快照!H206="","",对照快照!H206))</f>
        <v>10-20亿元</v>
      </c>
      <c r="L167" s="9" t="s">
        <v>1538</v>
      </c>
    </row>
    <row r="168" ht="25" customHeight="1" spans="1:12">
      <c r="A168" s="9" t="s">
        <v>176</v>
      </c>
      <c r="B168" s="9" t="s">
        <v>175</v>
      </c>
      <c r="C168" s="9" t="s">
        <v>543</v>
      </c>
      <c r="D168" s="12">
        <v>0.045</v>
      </c>
      <c r="E168" s="13">
        <f>IF(ISNUMBER('Sheet2-计算明细'!K37),'Sheet2-计算明细'!K37,"")</f>
        <v>100</v>
      </c>
      <c r="F168" s="13">
        <f>IF(ISNUMBER(对照快照!K206),对照快照!K206,"")</f>
        <v>100</v>
      </c>
      <c r="G168" s="13">
        <f t="shared" si="6"/>
        <v>4.5</v>
      </c>
      <c r="H168" s="13">
        <f t="shared" si="7"/>
        <v>4.5</v>
      </c>
      <c r="I168" s="13">
        <f t="shared" si="8"/>
        <v>0</v>
      </c>
      <c r="J168" s="15" t="str">
        <f>IF(ISNUMBER('Sheet2-计算明细'!J37),'Sheet2-计算明细'!J37,IF('Sheet2-计算明细'!J37="","",'Sheet2-计算明细'!J37))</f>
        <v>无低于1000万元标识</v>
      </c>
      <c r="K168" s="15" t="str">
        <f>IF(ISNUMBER(对照快照!J206),对照快照!J206,IF(对照快照!J206="","",对照快照!J206))</f>
        <v>无低于1000万元标识</v>
      </c>
      <c r="L168" s="9" t="s">
        <v>1538</v>
      </c>
    </row>
    <row r="169" ht="25" customHeight="1" spans="1:12">
      <c r="A169" s="9" t="s">
        <v>176</v>
      </c>
      <c r="B169" s="9" t="s">
        <v>175</v>
      </c>
      <c r="C169" s="9" t="s">
        <v>547</v>
      </c>
      <c r="D169" s="12">
        <v>0.045</v>
      </c>
      <c r="E169" s="13">
        <f>IF(ISNUMBER('Sheet2-计算明细'!L37),'Sheet2-计算明细'!L37,"")</f>
        <v>100</v>
      </c>
      <c r="F169" s="13">
        <f>IF(ISNUMBER(对照快照!L206),对照快照!L206,"")</f>
        <v>100</v>
      </c>
      <c r="G169" s="13">
        <f t="shared" si="6"/>
        <v>4.5</v>
      </c>
      <c r="H169" s="13">
        <f t="shared" si="7"/>
        <v>4.5</v>
      </c>
      <c r="I169" s="13">
        <f t="shared" si="8"/>
        <v>0</v>
      </c>
      <c r="J169" s="15">
        <f>IF(ISNUMBER('Sheet2-计算明细'!F37),'Sheet2-计算明细'!F37,IF('Sheet2-计算明细'!F37="","",'Sheet2-计算明细'!F37))</f>
        <v>4.9637</v>
      </c>
      <c r="K169" s="15">
        <f>IF(ISNUMBER(对照快照!F206),对照快照!F206,IF(对照快照!F206="","",对照快照!F206))</f>
        <v>4.9555</v>
      </c>
      <c r="L169" s="9" t="s">
        <v>1538</v>
      </c>
    </row>
    <row r="170" ht="25" customHeight="1" spans="1:12">
      <c r="A170" s="9" t="s">
        <v>176</v>
      </c>
      <c r="B170" s="9" t="s">
        <v>175</v>
      </c>
      <c r="C170" s="9" t="s">
        <v>1539</v>
      </c>
      <c r="D170" s="12">
        <v>0.084</v>
      </c>
      <c r="E170" s="13">
        <f>IF(ISNUMBER('Sheet2-计算明细'!Q37),'Sheet2-计算明细'!Q37,"")</f>
        <v>75.69</v>
      </c>
      <c r="F170" s="13">
        <f>IF(ISNUMBER(对照快照!Q206),对照快照!Q206,"")</f>
        <v>83.23</v>
      </c>
      <c r="G170" s="13">
        <f t="shared" si="6"/>
        <v>6.35796</v>
      </c>
      <c r="H170" s="13">
        <f t="shared" si="7"/>
        <v>6.99132</v>
      </c>
      <c r="I170" s="13">
        <f t="shared" si="8"/>
        <v>-0.633360000000001</v>
      </c>
      <c r="J170" s="15">
        <f>IF(ISNUMBER('Sheet2-计算明细'!M37),'Sheet2-计算明细'!M37,IF('Sheet2-计算明细'!M37="","",'Sheet2-计算明细'!M37))</f>
        <v>0.1359</v>
      </c>
      <c r="K170" s="15">
        <f>IF(ISNUMBER(对照快照!M206),对照快照!M206,IF(对照快照!M206="","",对照快照!M206))</f>
        <v>0.1413</v>
      </c>
      <c r="L170" s="9" t="s">
        <v>1540</v>
      </c>
    </row>
    <row r="171" ht="25" customHeight="1" spans="1:12">
      <c r="A171" s="9" t="s">
        <v>176</v>
      </c>
      <c r="B171" s="9" t="s">
        <v>175</v>
      </c>
      <c r="C171" s="9" t="s">
        <v>1541</v>
      </c>
      <c r="D171" s="12">
        <v>0.056</v>
      </c>
      <c r="E171" s="13">
        <f>IF(ISNUMBER('Sheet2-计算明细'!R37),'Sheet2-计算明细'!R37,"")</f>
        <v>98.48</v>
      </c>
      <c r="F171" s="13">
        <f>IF(ISNUMBER(对照快照!R206),对照快照!R206,"")</f>
        <v>90.24</v>
      </c>
      <c r="G171" s="13">
        <f t="shared" si="6"/>
        <v>5.51488</v>
      </c>
      <c r="H171" s="13">
        <f t="shared" si="7"/>
        <v>5.05344</v>
      </c>
      <c r="I171" s="13">
        <f t="shared" si="8"/>
        <v>0.461440000000001</v>
      </c>
      <c r="J171" s="15">
        <f>IF(ISNUMBER('Sheet2-计算明细'!P37),'Sheet2-计算明细'!P37,IF('Sheet2-计算明细'!P37="","",'Sheet2-计算明细'!P37))</f>
        <v>0.182563801150207</v>
      </c>
      <c r="K171" s="15">
        <f>IF(ISNUMBER(对照快照!P206),对照快照!P206,IF(对照快照!P206="","",对照快照!P206))</f>
        <v>0.184315782686411</v>
      </c>
      <c r="L171" s="9" t="s">
        <v>1540</v>
      </c>
    </row>
    <row r="172" ht="25" customHeight="1" spans="1:12">
      <c r="A172" s="9" t="s">
        <v>176</v>
      </c>
      <c r="B172" s="9" t="s">
        <v>175</v>
      </c>
      <c r="C172" s="9" t="s">
        <v>690</v>
      </c>
      <c r="D172" s="12">
        <v>0.036</v>
      </c>
      <c r="E172" s="13">
        <f>IF(ISNUMBER('Sheet2-计算明细'!W37),'Sheet2-计算明细'!W37,"")</f>
        <v>100</v>
      </c>
      <c r="F172" s="13">
        <f>IF(ISNUMBER(对照快照!W206),对照快照!W206,"")</f>
        <v>100</v>
      </c>
      <c r="G172" s="13">
        <f t="shared" si="6"/>
        <v>3.6</v>
      </c>
      <c r="H172" s="13">
        <f t="shared" si="7"/>
        <v>3.6</v>
      </c>
      <c r="I172" s="13">
        <f t="shared" si="8"/>
        <v>0</v>
      </c>
      <c r="J172" s="15">
        <f>IF(ISNUMBER('Sheet2-计算明细'!T37),'Sheet2-计算明细'!T37,IF('Sheet2-计算明细'!T37="","",'Sheet2-计算明细'!T37))</f>
        <v>1</v>
      </c>
      <c r="K172" s="15">
        <f>IF(ISNUMBER(对照快照!T206),对照快照!T206,IF(对照快照!T206="","",对照快照!T206))</f>
        <v>1</v>
      </c>
      <c r="L172" s="9" t="s">
        <v>1538</v>
      </c>
    </row>
    <row r="173" ht="25" customHeight="1" spans="1:12">
      <c r="A173" s="9" t="s">
        <v>176</v>
      </c>
      <c r="B173" s="9" t="s">
        <v>175</v>
      </c>
      <c r="C173" s="9" t="s">
        <v>692</v>
      </c>
      <c r="D173" s="12">
        <v>0.024</v>
      </c>
      <c r="E173" s="13">
        <f>IF(ISNUMBER('Sheet2-计算明细'!X37),'Sheet2-计算明细'!X37,"")</f>
        <v>100</v>
      </c>
      <c r="F173" s="13">
        <f>IF(ISNUMBER(对照快照!X206),对照快照!X206,"")</f>
        <v>100</v>
      </c>
      <c r="G173" s="13">
        <f t="shared" si="6"/>
        <v>2.4</v>
      </c>
      <c r="H173" s="13">
        <f t="shared" si="7"/>
        <v>2.4</v>
      </c>
      <c r="I173" s="13">
        <f t="shared" si="8"/>
        <v>0</v>
      </c>
      <c r="J173" s="15">
        <f>IF(ISNUMBER('Sheet2-计算明细'!V37),'Sheet2-计算明细'!V37,IF('Sheet2-计算明细'!V37="","",'Sheet2-计算明细'!V37))</f>
        <v>1</v>
      </c>
      <c r="K173" s="15">
        <f>IF(ISNUMBER(对照快照!V206),对照快照!V206,IF(对照快照!V206="","",对照快照!V206))</f>
        <v>1</v>
      </c>
      <c r="L173" s="9" t="s">
        <v>1538</v>
      </c>
    </row>
    <row r="174" ht="25" customHeight="1" spans="1:12">
      <c r="A174" s="9" t="s">
        <v>176</v>
      </c>
      <c r="B174" s="9" t="s">
        <v>175</v>
      </c>
      <c r="C174" s="9" t="s">
        <v>1542</v>
      </c>
      <c r="D174" s="12">
        <v>0.25</v>
      </c>
      <c r="E174" s="13">
        <f>IF(ISNUMBER('Sheet2-计算明细'!AC37),'Sheet2-计算明细'!AC37,"")</f>
        <v>98.65</v>
      </c>
      <c r="F174" s="13">
        <f>IF(ISNUMBER(对照快照!AC206),对照快照!AC206,"")</f>
        <v>98.24</v>
      </c>
      <c r="G174" s="13">
        <f t="shared" si="6"/>
        <v>24.6625</v>
      </c>
      <c r="H174" s="13">
        <f t="shared" si="7"/>
        <v>24.56</v>
      </c>
      <c r="I174" s="13">
        <f t="shared" si="8"/>
        <v>0.102500000000003</v>
      </c>
      <c r="J174" s="15">
        <f>IF(ISNUMBER('Sheet2-计算明细'!AB37),'Sheet2-计算明细'!AB37,IF('Sheet2-计算明细'!AB37="","",'Sheet2-计算明细'!AB37))</f>
        <v>0.00272320677134681</v>
      </c>
      <c r="K174" s="15">
        <f>IF(ISNUMBER(对照快照!AB206),对照快照!AB206,IF(对照快照!AB206="","",对照快照!AB206))</f>
        <v>0.00272262204109945</v>
      </c>
      <c r="L174" s="9" t="s">
        <v>1540</v>
      </c>
    </row>
    <row r="175" ht="25" customHeight="1" spans="1:12">
      <c r="A175" s="9" t="s">
        <v>176</v>
      </c>
      <c r="B175" s="9" t="s">
        <v>175</v>
      </c>
      <c r="C175" s="9" t="s">
        <v>1543</v>
      </c>
      <c r="D175" s="12">
        <v>0.18</v>
      </c>
      <c r="E175" s="13">
        <f>IF(ISNUMBER('Sheet2-计算明细'!AG37),'Sheet2-计算明细'!AG37,"")</f>
        <v>94.37</v>
      </c>
      <c r="F175" s="13">
        <f>IF(ISNUMBER(对照快照!AG206),对照快照!AG206,"")</f>
        <v>97.59</v>
      </c>
      <c r="G175" s="13">
        <f t="shared" si="6"/>
        <v>16.9866</v>
      </c>
      <c r="H175" s="13">
        <f t="shared" si="7"/>
        <v>17.5662</v>
      </c>
      <c r="I175" s="13">
        <f t="shared" si="8"/>
        <v>-0.579599999999999</v>
      </c>
      <c r="J175" s="15">
        <f>IF(ISNUMBER('Sheet2-计算明细'!AD37),'Sheet2-计算明细'!AD37,IF('Sheet2-计算明细'!AD37="","",'Sheet2-计算明细'!AD37))</f>
        <v>49.9044</v>
      </c>
      <c r="K175" s="15">
        <f>IF(ISNUMBER(对照快照!AD206),对照快照!AD206,IF(对照快照!AD206="","",对照快照!AD206))</f>
        <v>51.8985</v>
      </c>
      <c r="L175" s="9" t="s">
        <v>1540</v>
      </c>
    </row>
    <row r="176" ht="25" customHeight="1" spans="1:12">
      <c r="A176" s="9" t="s">
        <v>176</v>
      </c>
      <c r="B176" s="9" t="s">
        <v>175</v>
      </c>
      <c r="C176" s="9" t="s">
        <v>1544</v>
      </c>
      <c r="D176" s="12">
        <v>0.12</v>
      </c>
      <c r="E176" s="13" t="str">
        <f>IF(ISNUMBER('Sheet2-计算明细'!AH37),'Sheet2-计算明细'!AH37,"")</f>
        <v/>
      </c>
      <c r="F176" s="13" t="str">
        <f>IF(ISNUMBER(对照快照!AH206),对照快照!AH206,"")</f>
        <v/>
      </c>
      <c r="G176" s="13">
        <f t="shared" si="6"/>
        <v>0</v>
      </c>
      <c r="H176" s="13">
        <f t="shared" si="7"/>
        <v>0</v>
      </c>
      <c r="I176" s="13">
        <f t="shared" si="8"/>
        <v>0</v>
      </c>
      <c r="J176" s="15" t="str">
        <f>IF(ISNUMBER('Sheet2-计算明细'!AF37),'Sheet2-计算明细'!AF37,IF('Sheet2-计算明细'!AF37="","",'Sheet2-计算明细'!AF37))</f>
        <v/>
      </c>
      <c r="K176" s="15" t="str">
        <f>IF(ISNUMBER(对照快照!AF206),对照快照!AF206,IF(对照快照!AF206="","",对照快照!AF206))</f>
        <v/>
      </c>
      <c r="L176" s="9" t="s">
        <v>1540</v>
      </c>
    </row>
    <row r="177" ht="25" customHeight="1" spans="1:12">
      <c r="A177" s="9" t="s">
        <v>176</v>
      </c>
      <c r="B177" s="9" t="s">
        <v>175</v>
      </c>
      <c r="C177" s="9" t="s">
        <v>574</v>
      </c>
      <c r="D177" s="12">
        <v>0.1</v>
      </c>
      <c r="E177" s="13">
        <f>IF(ISNUMBER('Sheet2-计算明细'!AK37),'Sheet2-计算明细'!AK37,"")</f>
        <v>80</v>
      </c>
      <c r="F177" s="13">
        <f>IF(ISNUMBER(对照快照!AK206),对照快照!AK206,"")</f>
        <v>80</v>
      </c>
      <c r="G177" s="13">
        <f t="shared" si="6"/>
        <v>8</v>
      </c>
      <c r="H177" s="13">
        <f t="shared" si="7"/>
        <v>8</v>
      </c>
      <c r="I177" s="13">
        <f t="shared" si="8"/>
        <v>0</v>
      </c>
      <c r="J177" s="15">
        <f>IF(ISNUMBER('Sheet2-计算明细'!AJ37),'Sheet2-计算明细'!AJ37,IF('Sheet2-计算明细'!AJ37="","",'Sheet2-计算明细'!AJ37))</f>
        <v>0.1668</v>
      </c>
      <c r="K177" s="15">
        <f>IF(ISNUMBER(对照快照!AJ206),对照快照!AJ206,IF(对照快照!AJ206="","",对照快照!AJ206))</f>
        <v>0.1698</v>
      </c>
      <c r="L177" s="9" t="s">
        <v>1538</v>
      </c>
    </row>
    <row r="178" ht="25" customHeight="1" spans="1:12">
      <c r="A178" s="9" t="s">
        <v>182</v>
      </c>
      <c r="B178" s="9" t="s">
        <v>180</v>
      </c>
      <c r="C178" s="9" t="s">
        <v>538</v>
      </c>
      <c r="D178" s="12">
        <v>0.06</v>
      </c>
      <c r="E178" s="13">
        <f>IF(ISNUMBER('Sheet2-计算明细'!I38),'Sheet2-计算明细'!I38,"")</f>
        <v>60</v>
      </c>
      <c r="F178" s="13">
        <f>IF(ISNUMBER(对照快照!I78),对照快照!I78,"")</f>
        <v>60</v>
      </c>
      <c r="G178" s="13">
        <f t="shared" si="6"/>
        <v>3.6</v>
      </c>
      <c r="H178" s="13">
        <f t="shared" si="7"/>
        <v>3.6</v>
      </c>
      <c r="I178" s="13">
        <f t="shared" si="8"/>
        <v>0</v>
      </c>
      <c r="J178" s="15" t="str">
        <f>IF(ISNUMBER('Sheet2-计算明细'!H38),'Sheet2-计算明细'!H38,IF('Sheet2-计算明细'!H38="","",'Sheet2-计算明细'!H38))</f>
        <v>0-5亿元</v>
      </c>
      <c r="K178" s="15" t="str">
        <f>IF(ISNUMBER(对照快照!H78),对照快照!H78,IF(对照快照!H78="","",对照快照!H78))</f>
        <v>0-5亿元</v>
      </c>
      <c r="L178" s="9" t="s">
        <v>1538</v>
      </c>
    </row>
    <row r="179" ht="25" customHeight="1" spans="1:12">
      <c r="A179" s="9" t="s">
        <v>182</v>
      </c>
      <c r="B179" s="9" t="s">
        <v>180</v>
      </c>
      <c r="C179" s="9" t="s">
        <v>543</v>
      </c>
      <c r="D179" s="12">
        <v>0.045</v>
      </c>
      <c r="E179" s="13" t="str">
        <f>IF(ISNUMBER('Sheet2-计算明细'!K38),'Sheet2-计算明细'!K38,"")</f>
        <v/>
      </c>
      <c r="F179" s="13">
        <f>IF(ISNUMBER(对照快照!K78),对照快照!K78,"")</f>
        <v>100</v>
      </c>
      <c r="G179" s="13">
        <f t="shared" si="6"/>
        <v>0</v>
      </c>
      <c r="H179" s="13">
        <f t="shared" si="7"/>
        <v>4.5</v>
      </c>
      <c r="I179" s="13">
        <f t="shared" si="8"/>
        <v>-4.5</v>
      </c>
      <c r="J179" s="15" t="str">
        <f>IF(ISNUMBER('Sheet2-计算明细'!J38),'Sheet2-计算明细'!J38,IF('Sheet2-计算明细'!J38="","",'Sheet2-计算明细'!J38))</f>
        <v/>
      </c>
      <c r="K179" s="15" t="str">
        <f>IF(ISNUMBER(对照快照!J78),对照快照!J78,IF(对照快照!J78="","",对照快照!J78))</f>
        <v>无低于1000万元标识</v>
      </c>
      <c r="L179" s="9" t="s">
        <v>1538</v>
      </c>
    </row>
    <row r="180" ht="25" customHeight="1" spans="1:12">
      <c r="A180" s="9" t="s">
        <v>182</v>
      </c>
      <c r="B180" s="9" t="s">
        <v>180</v>
      </c>
      <c r="C180" s="9" t="s">
        <v>547</v>
      </c>
      <c r="D180" s="12">
        <v>0.045</v>
      </c>
      <c r="E180" s="13">
        <f>IF(ISNUMBER('Sheet2-计算明细'!L38),'Sheet2-计算明细'!L38,"")</f>
        <v>100</v>
      </c>
      <c r="F180" s="13">
        <f>IF(ISNUMBER(对照快照!L78),对照快照!L78,"")</f>
        <v>100</v>
      </c>
      <c r="G180" s="13">
        <f t="shared" si="6"/>
        <v>4.5</v>
      </c>
      <c r="H180" s="13">
        <f t="shared" si="7"/>
        <v>4.5</v>
      </c>
      <c r="I180" s="13">
        <f t="shared" si="8"/>
        <v>0</v>
      </c>
      <c r="J180" s="15">
        <f>IF(ISNUMBER('Sheet2-计算明细'!F38),'Sheet2-计算明细'!F38,IF('Sheet2-计算明细'!F38="","",'Sheet2-计算明细'!F38))</f>
        <v>3.666</v>
      </c>
      <c r="K180" s="15">
        <f>IF(ISNUMBER(对照快照!F78),对照快照!F78,IF(对照快照!F78="","",对照快照!F78))</f>
        <v>3.6578</v>
      </c>
      <c r="L180" s="9" t="s">
        <v>1538</v>
      </c>
    </row>
    <row r="181" ht="25" customHeight="1" spans="1:12">
      <c r="A181" s="9" t="s">
        <v>182</v>
      </c>
      <c r="B181" s="9" t="s">
        <v>180</v>
      </c>
      <c r="C181" s="9" t="s">
        <v>1539</v>
      </c>
      <c r="D181" s="12">
        <v>0.084</v>
      </c>
      <c r="E181" s="13">
        <f>IF(ISNUMBER('Sheet2-计算明细'!Q38),'Sheet2-计算明细'!Q38,"")</f>
        <v>36.11</v>
      </c>
      <c r="F181" s="13">
        <f>IF(ISNUMBER(对照快照!Q78),对照快照!Q78,"")</f>
        <v>58.15</v>
      </c>
      <c r="G181" s="13">
        <f t="shared" si="6"/>
        <v>3.03324</v>
      </c>
      <c r="H181" s="13">
        <f t="shared" si="7"/>
        <v>4.8846</v>
      </c>
      <c r="I181" s="13">
        <f t="shared" si="8"/>
        <v>-1.85136</v>
      </c>
      <c r="J181" s="15">
        <f>IF(ISNUMBER('Sheet2-计算明细'!M38),'Sheet2-计算明细'!M38,IF('Sheet2-计算明细'!M38="","",'Sheet2-计算明细'!M38))</f>
        <v>0.076</v>
      </c>
      <c r="K181" s="15">
        <f>IF(ISNUMBER(对照快照!M78),对照快照!M78,IF(对照快照!M78="","",对照快照!M78))</f>
        <v>0.0754</v>
      </c>
      <c r="L181" s="9" t="s">
        <v>1540</v>
      </c>
    </row>
    <row r="182" ht="25" customHeight="1" spans="1:12">
      <c r="A182" s="9" t="s">
        <v>182</v>
      </c>
      <c r="B182" s="9" t="s">
        <v>180</v>
      </c>
      <c r="C182" s="9" t="s">
        <v>1541</v>
      </c>
      <c r="D182" s="12">
        <v>0.056</v>
      </c>
      <c r="E182" s="13">
        <f>IF(ISNUMBER('Sheet2-计算明细'!R38),'Sheet2-计算明细'!R38,"")</f>
        <v>18.18</v>
      </c>
      <c r="F182" s="13">
        <f>IF(ISNUMBER(对照快照!R78),对照快照!R78,"")</f>
        <v>34.29</v>
      </c>
      <c r="G182" s="13">
        <f t="shared" si="6"/>
        <v>1.01808</v>
      </c>
      <c r="H182" s="13">
        <f t="shared" si="7"/>
        <v>1.92024</v>
      </c>
      <c r="I182" s="13">
        <f t="shared" si="8"/>
        <v>-0.90216</v>
      </c>
      <c r="J182" s="15">
        <f>IF(ISNUMBER('Sheet2-计算明细'!P38),'Sheet2-计算明细'!P38,IF('Sheet2-计算明细'!P38="","",'Sheet2-计算明细'!P38))</f>
        <v>0.0504521802365658</v>
      </c>
      <c r="K182" s="15">
        <f>IF(ISNUMBER(对照快照!P78),对照快照!P78,IF(对照快照!P78="","",对照快照!P78))</f>
        <v>0.0519361631955311</v>
      </c>
      <c r="L182" s="9" t="s">
        <v>1540</v>
      </c>
    </row>
    <row r="183" ht="25" customHeight="1" spans="1:12">
      <c r="A183" s="9" t="s">
        <v>182</v>
      </c>
      <c r="B183" s="9" t="s">
        <v>180</v>
      </c>
      <c r="C183" s="9" t="s">
        <v>690</v>
      </c>
      <c r="D183" s="12">
        <v>0.036</v>
      </c>
      <c r="E183" s="13">
        <f>IF(ISNUMBER('Sheet2-计算明细'!W38),'Sheet2-计算明细'!W38,"")</f>
        <v>92.31</v>
      </c>
      <c r="F183" s="13">
        <f>IF(ISNUMBER(对照快照!W78),对照快照!W78,"")</f>
        <v>84.62</v>
      </c>
      <c r="G183" s="13">
        <f t="shared" si="6"/>
        <v>3.32316</v>
      </c>
      <c r="H183" s="13">
        <f t="shared" si="7"/>
        <v>3.04632</v>
      </c>
      <c r="I183" s="13">
        <f t="shared" si="8"/>
        <v>0.27684</v>
      </c>
      <c r="J183" s="15">
        <f>IF(ISNUMBER('Sheet2-计算明细'!T38),'Sheet2-计算明细'!T38,IF('Sheet2-计算明细'!T38="","",'Sheet2-计算明细'!T38))</f>
        <v>0.9231</v>
      </c>
      <c r="K183" s="15">
        <f>IF(ISNUMBER(对照快照!T78),对照快照!T78,IF(对照快照!T78="","",对照快照!T78))</f>
        <v>0.8462</v>
      </c>
      <c r="L183" s="9" t="s">
        <v>1538</v>
      </c>
    </row>
    <row r="184" ht="25" customHeight="1" spans="1:12">
      <c r="A184" s="9" t="s">
        <v>182</v>
      </c>
      <c r="B184" s="9" t="s">
        <v>180</v>
      </c>
      <c r="C184" s="9" t="s">
        <v>692</v>
      </c>
      <c r="D184" s="12">
        <v>0.024</v>
      </c>
      <c r="E184" s="13">
        <f>IF(ISNUMBER('Sheet2-计算明细'!X38),'Sheet2-计算明细'!X38,"")</f>
        <v>74.9970833333333</v>
      </c>
      <c r="F184" s="13">
        <f>IF(ISNUMBER(对照快照!X78),对照快照!X78,"")</f>
        <v>79.1625</v>
      </c>
      <c r="G184" s="13">
        <f t="shared" si="6"/>
        <v>1.79993</v>
      </c>
      <c r="H184" s="13">
        <f t="shared" si="7"/>
        <v>1.8999</v>
      </c>
      <c r="I184" s="13">
        <f t="shared" si="8"/>
        <v>-0.0999700000000001</v>
      </c>
      <c r="J184" s="15">
        <f>IF(ISNUMBER('Sheet2-计算明细'!V38),'Sheet2-计算明细'!V38,IF('Sheet2-计算明细'!V38="","",'Sheet2-计算明细'!V38))</f>
        <v>0.749970833333333</v>
      </c>
      <c r="K184" s="15">
        <f>IF(ISNUMBER(对照快照!V78),对照快照!V78,IF(对照快照!V78="","",对照快照!V78))</f>
        <v>0.791625</v>
      </c>
      <c r="L184" s="9" t="s">
        <v>1538</v>
      </c>
    </row>
    <row r="185" ht="25" customHeight="1" spans="1:12">
      <c r="A185" s="9" t="s">
        <v>182</v>
      </c>
      <c r="B185" s="9" t="s">
        <v>180</v>
      </c>
      <c r="C185" s="9" t="s">
        <v>1542</v>
      </c>
      <c r="D185" s="12">
        <v>0.25</v>
      </c>
      <c r="E185" s="13">
        <f>IF(ISNUMBER('Sheet2-计算明细'!AC38),'Sheet2-计算明细'!AC38,"")</f>
        <v>45.95</v>
      </c>
      <c r="F185" s="13">
        <f>IF(ISNUMBER(对照快照!AC78),对照快照!AC78,"")</f>
        <v>67.63</v>
      </c>
      <c r="G185" s="13">
        <f t="shared" si="6"/>
        <v>11.4875</v>
      </c>
      <c r="H185" s="13">
        <f t="shared" si="7"/>
        <v>16.9075</v>
      </c>
      <c r="I185" s="13">
        <f t="shared" si="8"/>
        <v>-5.42</v>
      </c>
      <c r="J185" s="15">
        <f>IF(ISNUMBER('Sheet2-计算明细'!AB38),'Sheet2-计算明细'!AB38,IF('Sheet2-计算明细'!AB38="","",'Sheet2-计算明细'!AB38))</f>
        <v>0.0244</v>
      </c>
      <c r="K185" s="15">
        <f>IF(ISNUMBER(对照快照!AB78),对照快照!AB78,IF(对照快照!AB78="","",对照快照!AB78))</f>
        <v>0.0244</v>
      </c>
      <c r="L185" s="9" t="s">
        <v>1540</v>
      </c>
    </row>
    <row r="186" ht="25" customHeight="1" spans="1:12">
      <c r="A186" s="9" t="s">
        <v>182</v>
      </c>
      <c r="B186" s="9" t="s">
        <v>180</v>
      </c>
      <c r="C186" s="9" t="s">
        <v>1543</v>
      </c>
      <c r="D186" s="12">
        <v>0.18</v>
      </c>
      <c r="E186" s="13">
        <f>IF(ISNUMBER('Sheet2-计算明细'!AG38),'Sheet2-计算明细'!AG38,"")</f>
        <v>67.61</v>
      </c>
      <c r="F186" s="13">
        <f>IF(ISNUMBER(对照快照!AG78),对照快照!AG78,"")</f>
        <v>86.5</v>
      </c>
      <c r="G186" s="13">
        <f t="shared" si="6"/>
        <v>12.1698</v>
      </c>
      <c r="H186" s="13">
        <f t="shared" si="7"/>
        <v>15.57</v>
      </c>
      <c r="I186" s="13">
        <f t="shared" si="8"/>
        <v>-3.4002</v>
      </c>
      <c r="J186" s="15">
        <f>IF(ISNUMBER('Sheet2-计算明细'!AD38),'Sheet2-计算明细'!AD38,IF('Sheet2-计算明细'!AD38="","",'Sheet2-计算明细'!AD38))</f>
        <v>16.5592</v>
      </c>
      <c r="K186" s="15">
        <f>IF(ISNUMBER(对照快照!AD78),对照快照!AD78,IF(对照快照!AD78="","",对照快照!AD78))</f>
        <v>16.4233</v>
      </c>
      <c r="L186" s="9" t="s">
        <v>1540</v>
      </c>
    </row>
    <row r="187" ht="25" customHeight="1" spans="1:12">
      <c r="A187" s="9" t="s">
        <v>182</v>
      </c>
      <c r="B187" s="9" t="s">
        <v>180</v>
      </c>
      <c r="C187" s="9" t="s">
        <v>1544</v>
      </c>
      <c r="D187" s="12">
        <v>0.12</v>
      </c>
      <c r="E187" s="13">
        <f>IF(ISNUMBER('Sheet2-计算明细'!AH38),'Sheet2-计算明细'!AH38,"")</f>
        <v>31.25</v>
      </c>
      <c r="F187" s="13">
        <f>IF(ISNUMBER(对照快照!AH78),对照快照!AH78,"")</f>
        <v>64.54</v>
      </c>
      <c r="G187" s="13">
        <f t="shared" si="6"/>
        <v>3.75</v>
      </c>
      <c r="H187" s="13">
        <f t="shared" si="7"/>
        <v>7.7448</v>
      </c>
      <c r="I187" s="13">
        <f t="shared" si="8"/>
        <v>-3.9948</v>
      </c>
      <c r="J187" s="15">
        <f>IF(ISNUMBER('Sheet2-计算明细'!AF38),'Sheet2-计算明细'!AF38,IF('Sheet2-计算明细'!AF38="","",'Sheet2-计算明细'!AF38))</f>
        <v>2.06771230477729</v>
      </c>
      <c r="K187" s="15">
        <f>IF(ISNUMBER(对照快照!AF78),对照快照!AF78,IF(对照快照!AF78="","",对照快照!AF78))</f>
        <v>2.12853127850537</v>
      </c>
      <c r="L187" s="9" t="s">
        <v>1540</v>
      </c>
    </row>
    <row r="188" ht="25" customHeight="1" spans="1:12">
      <c r="A188" s="9" t="s">
        <v>182</v>
      </c>
      <c r="B188" s="9" t="s">
        <v>180</v>
      </c>
      <c r="C188" s="9" t="s">
        <v>574</v>
      </c>
      <c r="D188" s="12">
        <v>0.1</v>
      </c>
      <c r="E188" s="13">
        <f>IF(ISNUMBER('Sheet2-计算明细'!AK38),'Sheet2-计算明细'!AK38,"")</f>
        <v>100</v>
      </c>
      <c r="F188" s="13">
        <f>IF(ISNUMBER(对照快照!AK78),对照快照!AK78,"")</f>
        <v>100</v>
      </c>
      <c r="G188" s="13">
        <f t="shared" si="6"/>
        <v>10</v>
      </c>
      <c r="H188" s="13">
        <f t="shared" si="7"/>
        <v>10</v>
      </c>
      <c r="I188" s="13">
        <f t="shared" si="8"/>
        <v>0</v>
      </c>
      <c r="J188" s="15">
        <f>IF(ISNUMBER('Sheet2-计算明细'!AJ38),'Sheet2-计算明细'!AJ38,IF('Sheet2-计算明细'!AJ38="","",'Sheet2-计算明细'!AJ38))</f>
        <v>0.0589</v>
      </c>
      <c r="K188" s="15">
        <f>IF(ISNUMBER(对照快照!AJ78),对照快照!AJ78,IF(对照快照!AJ78="","",对照快照!AJ78))</f>
        <v>0.0597</v>
      </c>
      <c r="L188" s="9" t="s">
        <v>1538</v>
      </c>
    </row>
    <row r="189" ht="25" customHeight="1" spans="1:12">
      <c r="A189" s="9" t="s">
        <v>188</v>
      </c>
      <c r="B189" s="9" t="s">
        <v>186</v>
      </c>
      <c r="C189" s="9" t="s">
        <v>538</v>
      </c>
      <c r="D189" s="12">
        <v>0.06</v>
      </c>
      <c r="E189" s="13">
        <f>IF(ISNUMBER('Sheet2-计算明细'!I39),'Sheet2-计算明细'!I39,"")</f>
        <v>70</v>
      </c>
      <c r="F189" s="13">
        <f>IF(ISNUMBER(对照快照!I147),对照快照!I147,"")</f>
        <v>70</v>
      </c>
      <c r="G189" s="13">
        <f t="shared" si="6"/>
        <v>4.2</v>
      </c>
      <c r="H189" s="13">
        <f t="shared" si="7"/>
        <v>4.2</v>
      </c>
      <c r="I189" s="13">
        <f t="shared" si="8"/>
        <v>0</v>
      </c>
      <c r="J189" s="15" t="str">
        <f>IF(ISNUMBER('Sheet2-计算明细'!H39),'Sheet2-计算明细'!H39,IF('Sheet2-计算明细'!H39="","",'Sheet2-计算明细'!H39))</f>
        <v>5-10亿元</v>
      </c>
      <c r="K189" s="15" t="str">
        <f>IF(ISNUMBER(对照快照!H147),对照快照!H147,IF(对照快照!H147="","",对照快照!H147))</f>
        <v>5-10亿元</v>
      </c>
      <c r="L189" s="9" t="s">
        <v>1538</v>
      </c>
    </row>
    <row r="190" ht="25" customHeight="1" spans="1:12">
      <c r="A190" s="9" t="s">
        <v>188</v>
      </c>
      <c r="B190" s="9" t="s">
        <v>186</v>
      </c>
      <c r="C190" s="9" t="s">
        <v>543</v>
      </c>
      <c r="D190" s="12">
        <v>0.045</v>
      </c>
      <c r="E190" s="13">
        <f>IF(ISNUMBER('Sheet2-计算明细'!K39),'Sheet2-计算明细'!K39,"")</f>
        <v>100</v>
      </c>
      <c r="F190" s="13">
        <f>IF(ISNUMBER(对照快照!K147),对照快照!K147,"")</f>
        <v>100</v>
      </c>
      <c r="G190" s="13">
        <f t="shared" si="6"/>
        <v>4.5</v>
      </c>
      <c r="H190" s="13">
        <f t="shared" si="7"/>
        <v>4.5</v>
      </c>
      <c r="I190" s="13">
        <f t="shared" si="8"/>
        <v>0</v>
      </c>
      <c r="J190" s="15" t="str">
        <f>IF(ISNUMBER('Sheet2-计算明细'!J39),'Sheet2-计算明细'!J39,IF('Sheet2-计算明细'!J39="","",'Sheet2-计算明细'!J39))</f>
        <v>无低于1000万元标识</v>
      </c>
      <c r="K190" s="15" t="str">
        <f>IF(ISNUMBER(对照快照!J147),对照快照!J147,IF(对照快照!J147="","",对照快照!J147))</f>
        <v>无低于1000万元标识</v>
      </c>
      <c r="L190" s="9" t="s">
        <v>1538</v>
      </c>
    </row>
    <row r="191" ht="25" customHeight="1" spans="1:12">
      <c r="A191" s="9" t="s">
        <v>188</v>
      </c>
      <c r="B191" s="9" t="s">
        <v>186</v>
      </c>
      <c r="C191" s="9" t="s">
        <v>547</v>
      </c>
      <c r="D191" s="12">
        <v>0.045</v>
      </c>
      <c r="E191" s="13">
        <f>IF(ISNUMBER('Sheet2-计算明细'!L39),'Sheet2-计算明细'!L39,"")</f>
        <v>100</v>
      </c>
      <c r="F191" s="13">
        <f>IF(ISNUMBER(对照快照!L147),对照快照!L147,"")</f>
        <v>100</v>
      </c>
      <c r="G191" s="13">
        <f t="shared" si="6"/>
        <v>4.5</v>
      </c>
      <c r="H191" s="13">
        <f t="shared" si="7"/>
        <v>4.5</v>
      </c>
      <c r="I191" s="13">
        <f t="shared" si="8"/>
        <v>0</v>
      </c>
      <c r="J191" s="15">
        <f>IF(ISNUMBER('Sheet2-计算明细'!F39),'Sheet2-计算明细'!F39,IF('Sheet2-计算明细'!F39="","",'Sheet2-计算明细'!F39))</f>
        <v>4.7584</v>
      </c>
      <c r="K191" s="15">
        <f>IF(ISNUMBER(对照快照!F147),对照快照!F147,IF(对照快照!F147="","",对照快照!F147))</f>
        <v>4.7502</v>
      </c>
      <c r="L191" s="9" t="s">
        <v>1538</v>
      </c>
    </row>
    <row r="192" ht="25" customHeight="1" spans="1:12">
      <c r="A192" s="9" t="s">
        <v>188</v>
      </c>
      <c r="B192" s="9" t="s">
        <v>186</v>
      </c>
      <c r="C192" s="9" t="s">
        <v>1539</v>
      </c>
      <c r="D192" s="12">
        <v>0.084</v>
      </c>
      <c r="E192" s="13">
        <f>IF(ISNUMBER('Sheet2-计算明细'!Q39),'Sheet2-计算明细'!Q39,"")</f>
        <v>51.39</v>
      </c>
      <c r="F192" s="13">
        <f>IF(ISNUMBER(对照快照!Q147),对照快照!Q147,"")</f>
        <v>52.72</v>
      </c>
      <c r="G192" s="13">
        <f t="shared" si="6"/>
        <v>4.31676</v>
      </c>
      <c r="H192" s="13">
        <f t="shared" si="7"/>
        <v>4.42848</v>
      </c>
      <c r="I192" s="13">
        <f t="shared" si="8"/>
        <v>-0.11172</v>
      </c>
      <c r="J192" s="15">
        <f>IF(ISNUMBER('Sheet2-计算明细'!M39),'Sheet2-计算明细'!M39,IF('Sheet2-计算明细'!M39="","",'Sheet2-计算明细'!M39))</f>
        <v>0.0873</v>
      </c>
      <c r="K192" s="15">
        <f>IF(ISNUMBER(对照快照!M147),对照快照!M147,IF(对照快照!M147="","",对照快照!M147))</f>
        <v>0.0665</v>
      </c>
      <c r="L192" s="9" t="s">
        <v>1540</v>
      </c>
    </row>
    <row r="193" ht="25" customHeight="1" spans="1:12">
      <c r="A193" s="9" t="s">
        <v>188</v>
      </c>
      <c r="B193" s="9" t="s">
        <v>186</v>
      </c>
      <c r="C193" s="9" t="s">
        <v>1541</v>
      </c>
      <c r="D193" s="12">
        <v>0.056</v>
      </c>
      <c r="E193" s="13">
        <f>IF(ISNUMBER('Sheet2-计算明细'!R39),'Sheet2-计算明细'!R39,"")</f>
        <v>83.33</v>
      </c>
      <c r="F193" s="13">
        <f>IF(ISNUMBER(对照快照!R147),对照快照!R147,"")</f>
        <v>80</v>
      </c>
      <c r="G193" s="13">
        <f t="shared" si="6"/>
        <v>4.66648</v>
      </c>
      <c r="H193" s="13">
        <f t="shared" si="7"/>
        <v>4.48</v>
      </c>
      <c r="I193" s="13">
        <f t="shared" si="8"/>
        <v>0.18648</v>
      </c>
      <c r="J193" s="15">
        <f>IF(ISNUMBER('Sheet2-计算明细'!P39),'Sheet2-计算明细'!P39,IF('Sheet2-计算明细'!P39="","",'Sheet2-计算明细'!P39))</f>
        <v>0.136108059390468</v>
      </c>
      <c r="K193" s="15">
        <f>IF(ISNUMBER(对照快照!P147),对照快照!P147,IF(对照快照!P147="","",对照快照!P147))</f>
        <v>0.129045934630382</v>
      </c>
      <c r="L193" s="9" t="s">
        <v>1540</v>
      </c>
    </row>
    <row r="194" ht="25" customHeight="1" spans="1:12">
      <c r="A194" s="9" t="s">
        <v>188</v>
      </c>
      <c r="B194" s="9" t="s">
        <v>186</v>
      </c>
      <c r="C194" s="9" t="s">
        <v>690</v>
      </c>
      <c r="D194" s="12">
        <v>0.036</v>
      </c>
      <c r="E194" s="13">
        <f>IF(ISNUMBER('Sheet2-计算明细'!W39),'Sheet2-计算明细'!W39,"")</f>
        <v>53.85</v>
      </c>
      <c r="F194" s="13">
        <f>IF(ISNUMBER(对照快照!W147),对照快照!W147,"")</f>
        <v>53.85</v>
      </c>
      <c r="G194" s="13">
        <f t="shared" ref="G194:G257" si="9">IF(ISNUMBER(E194),D194*E194,0)</f>
        <v>1.9386</v>
      </c>
      <c r="H194" s="13">
        <f t="shared" ref="H194:H257" si="10">IF(ISNUMBER(F194),D194*F194,0)</f>
        <v>1.9386</v>
      </c>
      <c r="I194" s="13">
        <f t="shared" ref="I194:I257" si="11">G194-H194</f>
        <v>0</v>
      </c>
      <c r="J194" s="15">
        <f>IF(ISNUMBER('Sheet2-计算明细'!T39),'Sheet2-计算明细'!T39,IF('Sheet2-计算明细'!T39="","",'Sheet2-计算明细'!T39))</f>
        <v>0.5385</v>
      </c>
      <c r="K194" s="15">
        <f>IF(ISNUMBER(对照快照!T147),对照快照!T147,IF(对照快照!T147="","",对照快照!T147))</f>
        <v>0.5385</v>
      </c>
      <c r="L194" s="9" t="s">
        <v>1538</v>
      </c>
    </row>
    <row r="195" ht="25" customHeight="1" spans="1:12">
      <c r="A195" s="9" t="s">
        <v>188</v>
      </c>
      <c r="B195" s="9" t="s">
        <v>186</v>
      </c>
      <c r="C195" s="9" t="s">
        <v>692</v>
      </c>
      <c r="D195" s="12">
        <v>0.024</v>
      </c>
      <c r="E195" s="13">
        <f>IF(ISNUMBER('Sheet2-计算明细'!X39),'Sheet2-计算明细'!X39,"")</f>
        <v>62.49875</v>
      </c>
      <c r="F195" s="13">
        <f>IF(ISNUMBER(对照快照!X147),对照快照!X147,"")</f>
        <v>62.49875</v>
      </c>
      <c r="G195" s="13">
        <f t="shared" si="9"/>
        <v>1.49997</v>
      </c>
      <c r="H195" s="13">
        <f t="shared" si="10"/>
        <v>1.49997</v>
      </c>
      <c r="I195" s="13">
        <f t="shared" si="11"/>
        <v>0</v>
      </c>
      <c r="J195" s="15">
        <f>IF(ISNUMBER('Sheet2-计算明细'!V39),'Sheet2-计算明细'!V39,IF('Sheet2-计算明细'!V39="","",'Sheet2-计算明细'!V39))</f>
        <v>0.6249875</v>
      </c>
      <c r="K195" s="15">
        <f>IF(ISNUMBER(对照快照!V147),对照快照!V147,IF(对照快照!V147="","",对照快照!V147))</f>
        <v>0.6249875</v>
      </c>
      <c r="L195" s="9" t="s">
        <v>1538</v>
      </c>
    </row>
    <row r="196" ht="25" customHeight="1" spans="1:12">
      <c r="A196" s="9" t="s">
        <v>188</v>
      </c>
      <c r="B196" s="9" t="s">
        <v>186</v>
      </c>
      <c r="C196" s="9" t="s">
        <v>1542</v>
      </c>
      <c r="D196" s="12">
        <v>0.25</v>
      </c>
      <c r="E196" s="13">
        <f>IF(ISNUMBER('Sheet2-计算明细'!AC39),'Sheet2-计算明细'!AC39,"")</f>
        <v>8.11</v>
      </c>
      <c r="F196" s="13">
        <f>IF(ISNUMBER(对照快照!AC147),对照快照!AC147,"")</f>
        <v>28.53</v>
      </c>
      <c r="G196" s="13">
        <f t="shared" si="9"/>
        <v>2.0275</v>
      </c>
      <c r="H196" s="13">
        <f t="shared" si="10"/>
        <v>7.1325</v>
      </c>
      <c r="I196" s="13">
        <f t="shared" si="11"/>
        <v>-5.105</v>
      </c>
      <c r="J196" s="15">
        <f>IF(ISNUMBER('Sheet2-计算明细'!AB39),'Sheet2-计算明细'!AB39,IF('Sheet2-计算明细'!AB39="","",'Sheet2-计算明细'!AB39))</f>
        <v>0.0894100778369521</v>
      </c>
      <c r="K196" s="15">
        <f>IF(ISNUMBER(对照快照!AB147),对照快照!AB147,IF(对照快照!AB147="","",对照快照!AB147))</f>
        <v>0.0894779332615716</v>
      </c>
      <c r="L196" s="9" t="s">
        <v>1540</v>
      </c>
    </row>
    <row r="197" ht="25" customHeight="1" spans="1:12">
      <c r="A197" s="9" t="s">
        <v>188</v>
      </c>
      <c r="B197" s="9" t="s">
        <v>186</v>
      </c>
      <c r="C197" s="9" t="s">
        <v>1543</v>
      </c>
      <c r="D197" s="12">
        <v>0.18</v>
      </c>
      <c r="E197" s="13">
        <f>IF(ISNUMBER('Sheet2-计算明细'!AG39),'Sheet2-计算明细'!AG39,"")</f>
        <v>7.04</v>
      </c>
      <c r="F197" s="13">
        <f>IF(ISNUMBER(对照快照!AG147),对照快照!AG147,"")</f>
        <v>27.33</v>
      </c>
      <c r="G197" s="13">
        <f t="shared" si="9"/>
        <v>1.2672</v>
      </c>
      <c r="H197" s="13">
        <f t="shared" si="10"/>
        <v>4.9194</v>
      </c>
      <c r="I197" s="13">
        <f t="shared" si="11"/>
        <v>-3.6522</v>
      </c>
      <c r="J197" s="15">
        <f>IF(ISNUMBER('Sheet2-计算明细'!AD39),'Sheet2-计算明细'!AD39,IF('Sheet2-计算明细'!AD39="","",'Sheet2-计算明细'!AD39))</f>
        <v>0.9764</v>
      </c>
      <c r="K197" s="15">
        <f>IF(ISNUMBER(对照快照!AD147),对照快照!AD147,IF(对照快照!AD147="","",对照快照!AD147))</f>
        <v>0.7432</v>
      </c>
      <c r="L197" s="9" t="s">
        <v>1540</v>
      </c>
    </row>
    <row r="198" ht="25" customHeight="1" spans="1:12">
      <c r="A198" s="9" t="s">
        <v>188</v>
      </c>
      <c r="B198" s="9" t="s">
        <v>186</v>
      </c>
      <c r="C198" s="9" t="s">
        <v>1544</v>
      </c>
      <c r="D198" s="12">
        <v>0.12</v>
      </c>
      <c r="E198" s="13" t="str">
        <f>IF(ISNUMBER('Sheet2-计算明细'!AH39),'Sheet2-计算明细'!AH39,"")</f>
        <v/>
      </c>
      <c r="F198" s="13" t="str">
        <f>IF(ISNUMBER(对照快照!AH147),对照快照!AH147,"")</f>
        <v/>
      </c>
      <c r="G198" s="13">
        <f t="shared" si="9"/>
        <v>0</v>
      </c>
      <c r="H198" s="13">
        <f t="shared" si="10"/>
        <v>0</v>
      </c>
      <c r="I198" s="13">
        <f t="shared" si="11"/>
        <v>0</v>
      </c>
      <c r="J198" s="15" t="str">
        <f>IF(ISNUMBER('Sheet2-计算明细'!AF39),'Sheet2-计算明细'!AF39,IF('Sheet2-计算明细'!AF39="","",'Sheet2-计算明细'!AF39))</f>
        <v/>
      </c>
      <c r="K198" s="15" t="str">
        <f>IF(ISNUMBER(对照快照!AF147),对照快照!AF147,IF(对照快照!AF147="","",对照快照!AF147))</f>
        <v/>
      </c>
      <c r="L198" s="9" t="s">
        <v>1540</v>
      </c>
    </row>
    <row r="199" ht="25" customHeight="1" spans="1:12">
      <c r="A199" s="9" t="s">
        <v>188</v>
      </c>
      <c r="B199" s="9" t="s">
        <v>186</v>
      </c>
      <c r="C199" s="9" t="s">
        <v>574</v>
      </c>
      <c r="D199" s="12">
        <v>0.1</v>
      </c>
      <c r="E199" s="13">
        <f>IF(ISNUMBER('Sheet2-计算明细'!AK39),'Sheet2-计算明细'!AK39,"")</f>
        <v>80</v>
      </c>
      <c r="F199" s="13">
        <f>IF(ISNUMBER(对照快照!AK147),对照快照!AK147,"")</f>
        <v>80</v>
      </c>
      <c r="G199" s="13">
        <f t="shared" si="9"/>
        <v>8</v>
      </c>
      <c r="H199" s="13">
        <f t="shared" si="10"/>
        <v>8</v>
      </c>
      <c r="I199" s="13">
        <f t="shared" si="11"/>
        <v>0</v>
      </c>
      <c r="J199" s="15">
        <f>IF(ISNUMBER('Sheet2-计算明细'!AJ39),'Sheet2-计算明细'!AJ39,IF('Sheet2-计算明细'!AJ39="","",'Sheet2-计算明细'!AJ39))</f>
        <v>0.1196</v>
      </c>
      <c r="K199" s="15">
        <f>IF(ISNUMBER(对照快照!AJ147),对照快照!AJ147,IF(对照快照!AJ147="","",对照快照!AJ147))</f>
        <v>0.1078</v>
      </c>
      <c r="L199" s="9" t="s">
        <v>1538</v>
      </c>
    </row>
    <row r="200" ht="25" customHeight="1" spans="1:12">
      <c r="A200" s="9" t="s">
        <v>194</v>
      </c>
      <c r="B200" s="9" t="s">
        <v>193</v>
      </c>
      <c r="C200" s="9" t="s">
        <v>538</v>
      </c>
      <c r="D200" s="12">
        <v>0.06</v>
      </c>
      <c r="E200" s="13">
        <f>IF(ISNUMBER('Sheet2-计算明细'!I40),'Sheet2-计算明细'!I40,"")</f>
        <v>80</v>
      </c>
      <c r="F200" s="13">
        <f>IF(ISNUMBER(对照快照!I164),对照快照!I164,"")</f>
        <v>70</v>
      </c>
      <c r="G200" s="13">
        <f t="shared" si="9"/>
        <v>4.8</v>
      </c>
      <c r="H200" s="13">
        <f t="shared" si="10"/>
        <v>4.2</v>
      </c>
      <c r="I200" s="13">
        <f t="shared" si="11"/>
        <v>0.6</v>
      </c>
      <c r="J200" s="15" t="str">
        <f>IF(ISNUMBER('Sheet2-计算明细'!H40),'Sheet2-计算明细'!H40,IF('Sheet2-计算明细'!H40="","",'Sheet2-计算明细'!H40))</f>
        <v>10-20亿元</v>
      </c>
      <c r="K200" s="15" t="str">
        <f>IF(ISNUMBER(对照快照!H164),对照快照!H164,IF(对照快照!H164="","",对照快照!H164))</f>
        <v>5-10亿元</v>
      </c>
      <c r="L200" s="9" t="s">
        <v>1538</v>
      </c>
    </row>
    <row r="201" ht="25" customHeight="1" spans="1:12">
      <c r="A201" s="9" t="s">
        <v>194</v>
      </c>
      <c r="B201" s="9" t="s">
        <v>193</v>
      </c>
      <c r="C201" s="9" t="s">
        <v>543</v>
      </c>
      <c r="D201" s="12">
        <v>0.045</v>
      </c>
      <c r="E201" s="13">
        <f>IF(ISNUMBER('Sheet2-计算明细'!K40),'Sheet2-计算明细'!K40,"")</f>
        <v>100</v>
      </c>
      <c r="F201" s="13">
        <f>IF(ISNUMBER(对照快照!K164),对照快照!K164,"")</f>
        <v>100</v>
      </c>
      <c r="G201" s="13">
        <f t="shared" si="9"/>
        <v>4.5</v>
      </c>
      <c r="H201" s="13">
        <f t="shared" si="10"/>
        <v>4.5</v>
      </c>
      <c r="I201" s="13">
        <f t="shared" si="11"/>
        <v>0</v>
      </c>
      <c r="J201" s="15" t="str">
        <f>IF(ISNUMBER('Sheet2-计算明细'!J40),'Sheet2-计算明细'!J40,IF('Sheet2-计算明细'!J40="","",'Sheet2-计算明细'!J40))</f>
        <v>无低于1000万元标识</v>
      </c>
      <c r="K201" s="15" t="str">
        <f>IF(ISNUMBER(对照快照!J164),对照快照!J164,IF(对照快照!J164="","",对照快照!J164))</f>
        <v>无低于1000万元标识</v>
      </c>
      <c r="L201" s="9" t="s">
        <v>1538</v>
      </c>
    </row>
    <row r="202" ht="25" customHeight="1" spans="1:12">
      <c r="A202" s="9" t="s">
        <v>194</v>
      </c>
      <c r="B202" s="9" t="s">
        <v>193</v>
      </c>
      <c r="C202" s="9" t="s">
        <v>547</v>
      </c>
      <c r="D202" s="12">
        <v>0.045</v>
      </c>
      <c r="E202" s="13">
        <f>IF(ISNUMBER('Sheet2-计算明细'!L40),'Sheet2-计算明细'!L40,"")</f>
        <v>70</v>
      </c>
      <c r="F202" s="13">
        <f>IF(ISNUMBER(对照快照!L164),对照快照!L164,"")</f>
        <v>70</v>
      </c>
      <c r="G202" s="13">
        <f t="shared" si="9"/>
        <v>3.15</v>
      </c>
      <c r="H202" s="13">
        <f t="shared" si="10"/>
        <v>3.15</v>
      </c>
      <c r="I202" s="13">
        <f t="shared" si="11"/>
        <v>0</v>
      </c>
      <c r="J202" s="15">
        <f>IF(ISNUMBER('Sheet2-计算明细'!F40),'Sheet2-计算明细'!F40,IF('Sheet2-计算明细'!F40="","",'Sheet2-计算明细'!F40))</f>
        <v>1.5907</v>
      </c>
      <c r="K202" s="15">
        <f>IF(ISNUMBER(对照快照!F164),对照快照!F164,IF(对照快照!F164="","",对照快照!F164))</f>
        <v>1.5825</v>
      </c>
      <c r="L202" s="9" t="s">
        <v>1538</v>
      </c>
    </row>
    <row r="203" ht="25" customHeight="1" spans="1:12">
      <c r="A203" s="9" t="s">
        <v>194</v>
      </c>
      <c r="B203" s="9" t="s">
        <v>193</v>
      </c>
      <c r="C203" s="9" t="s">
        <v>1539</v>
      </c>
      <c r="D203" s="12">
        <v>0.084</v>
      </c>
      <c r="E203" s="13">
        <f>IF(ISNUMBER('Sheet2-计算明细'!Q40),'Sheet2-计算明细'!Q40,"")</f>
        <v>95.83</v>
      </c>
      <c r="F203" s="13">
        <f>IF(ISNUMBER(对照快照!Q164),对照快照!Q164,"")</f>
        <v>96.17</v>
      </c>
      <c r="G203" s="13">
        <f t="shared" si="9"/>
        <v>8.04972</v>
      </c>
      <c r="H203" s="13">
        <f t="shared" si="10"/>
        <v>8.07828</v>
      </c>
      <c r="I203" s="13">
        <f t="shared" si="11"/>
        <v>-0.0285600000000006</v>
      </c>
      <c r="J203" s="15">
        <f>IF(ISNUMBER('Sheet2-计算明细'!M40),'Sheet2-计算明细'!M40,IF('Sheet2-计算明细'!M40="","",'Sheet2-计算明细'!M40))</f>
        <v>0.316969734003115</v>
      </c>
      <c r="K203" s="15">
        <f>IF(ISNUMBER(对照快照!M164),对照快照!M164,IF(对照快照!M164="","",对照快照!M164))</f>
        <v>0.3171</v>
      </c>
      <c r="L203" s="9" t="s">
        <v>1540</v>
      </c>
    </row>
    <row r="204" ht="25" customHeight="1" spans="1:12">
      <c r="A204" s="9" t="s">
        <v>194</v>
      </c>
      <c r="B204" s="9" t="s">
        <v>193</v>
      </c>
      <c r="C204" s="9" t="s">
        <v>1541</v>
      </c>
      <c r="D204" s="12">
        <v>0.056</v>
      </c>
      <c r="E204" s="13">
        <f>IF(ISNUMBER('Sheet2-计算明细'!R40),'Sheet2-计算明细'!R40,"")</f>
        <v>66.67</v>
      </c>
      <c r="F204" s="13" t="str">
        <f>IF(ISNUMBER(对照快照!R164),对照快照!R164,"")</f>
        <v/>
      </c>
      <c r="G204" s="13">
        <f t="shared" si="9"/>
        <v>3.73352</v>
      </c>
      <c r="H204" s="13">
        <f t="shared" si="10"/>
        <v>0</v>
      </c>
      <c r="I204" s="13">
        <f t="shared" si="11"/>
        <v>3.73352</v>
      </c>
      <c r="J204" s="15">
        <f>IF(ISNUMBER('Sheet2-计算明细'!P40),'Sheet2-计算明细'!P40,IF('Sheet2-计算明细'!P40="","",'Sheet2-计算明细'!P40))</f>
        <v>0.0956053597566402</v>
      </c>
      <c r="K204" s="15" t="str">
        <f>IF(ISNUMBER(对照快照!P164),对照快照!P164,IF(对照快照!P164="","",对照快照!P164))</f>
        <v/>
      </c>
      <c r="L204" s="9" t="s">
        <v>1540</v>
      </c>
    </row>
    <row r="205" ht="25" customHeight="1" spans="1:12">
      <c r="A205" s="9" t="s">
        <v>194</v>
      </c>
      <c r="B205" s="9" t="s">
        <v>193</v>
      </c>
      <c r="C205" s="9" t="s">
        <v>690</v>
      </c>
      <c r="D205" s="12">
        <v>0.036</v>
      </c>
      <c r="E205" s="13" t="str">
        <f>IF(ISNUMBER('Sheet2-计算明细'!W40),'Sheet2-计算明细'!W40,"")</f>
        <v/>
      </c>
      <c r="F205" s="13">
        <f>IF(ISNUMBER(对照快照!W164),对照快照!W164,"")</f>
        <v>100</v>
      </c>
      <c r="G205" s="13">
        <f t="shared" si="9"/>
        <v>0</v>
      </c>
      <c r="H205" s="13">
        <f t="shared" si="10"/>
        <v>3.6</v>
      </c>
      <c r="I205" s="13">
        <f t="shared" si="11"/>
        <v>-3.6</v>
      </c>
      <c r="J205" s="15" t="str">
        <f>IF(ISNUMBER('Sheet2-计算明细'!T40),'Sheet2-计算明细'!T40,IF('Sheet2-计算明细'!T40="","",'Sheet2-计算明细'!T40))</f>
        <v/>
      </c>
      <c r="K205" s="15">
        <f>IF(ISNUMBER(对照快照!T164),对照快照!T164,IF(对照快照!T164="","",对照快照!T164))</f>
        <v>1</v>
      </c>
      <c r="L205" s="9" t="s">
        <v>1538</v>
      </c>
    </row>
    <row r="206" ht="25" customHeight="1" spans="1:12">
      <c r="A206" s="9" t="s">
        <v>194</v>
      </c>
      <c r="B206" s="9" t="s">
        <v>193</v>
      </c>
      <c r="C206" s="9" t="s">
        <v>692</v>
      </c>
      <c r="D206" s="12">
        <v>0.024</v>
      </c>
      <c r="E206" s="13" t="str">
        <f>IF(ISNUMBER('Sheet2-计算明细'!X40),'Sheet2-计算明细'!X40,"")</f>
        <v/>
      </c>
      <c r="F206" s="13" t="str">
        <f>IF(ISNUMBER(对照快照!X164),对照快照!X164,"")</f>
        <v/>
      </c>
      <c r="G206" s="13">
        <f t="shared" si="9"/>
        <v>0</v>
      </c>
      <c r="H206" s="13">
        <f t="shared" si="10"/>
        <v>0</v>
      </c>
      <c r="I206" s="13">
        <f t="shared" si="11"/>
        <v>0</v>
      </c>
      <c r="J206" s="15" t="str">
        <f>IF(ISNUMBER('Sheet2-计算明细'!V40),'Sheet2-计算明细'!V40,IF('Sheet2-计算明细'!V40="","",'Sheet2-计算明细'!V40))</f>
        <v/>
      </c>
      <c r="K206" s="15" t="str">
        <f>IF(ISNUMBER(对照快照!V164),对照快照!V164,IF(对照快照!V164="","",对照快照!V164))</f>
        <v/>
      </c>
      <c r="L206" s="9" t="s">
        <v>1538</v>
      </c>
    </row>
    <row r="207" ht="25" customHeight="1" spans="1:12">
      <c r="A207" s="9" t="s">
        <v>194</v>
      </c>
      <c r="B207" s="9" t="s">
        <v>193</v>
      </c>
      <c r="C207" s="9" t="s">
        <v>1542</v>
      </c>
      <c r="D207" s="12">
        <v>0.25</v>
      </c>
      <c r="E207" s="13">
        <f>IF(ISNUMBER('Sheet2-计算明细'!AC40),'Sheet2-计算明细'!AC40,"")</f>
        <v>82.43</v>
      </c>
      <c r="F207" s="13">
        <f>IF(ISNUMBER(对照快照!AC164),对照快照!AC164,"")</f>
        <v>95.19</v>
      </c>
      <c r="G207" s="13">
        <f t="shared" si="9"/>
        <v>20.6075</v>
      </c>
      <c r="H207" s="13">
        <f t="shared" si="10"/>
        <v>23.7975</v>
      </c>
      <c r="I207" s="13">
        <f t="shared" si="11"/>
        <v>-3.19</v>
      </c>
      <c r="J207" s="15">
        <f>IF(ISNUMBER('Sheet2-计算明细'!AB40),'Sheet2-计算明细'!AB40,IF('Sheet2-计算明细'!AB40="","",'Sheet2-计算明细'!AB40))</f>
        <v>0.00619998558142887</v>
      </c>
      <c r="K207" s="15">
        <f>IF(ISNUMBER(对照快照!AB164),对照快照!AB164,IF(对照快照!AB164="","",对照快照!AB164))</f>
        <v>0.00433355381478465</v>
      </c>
      <c r="L207" s="9" t="s">
        <v>1540</v>
      </c>
    </row>
    <row r="208" ht="25" customHeight="1" spans="1:12">
      <c r="A208" s="9" t="s">
        <v>194</v>
      </c>
      <c r="B208" s="9" t="s">
        <v>193</v>
      </c>
      <c r="C208" s="9" t="s">
        <v>1543</v>
      </c>
      <c r="D208" s="12">
        <v>0.18</v>
      </c>
      <c r="E208" s="13">
        <f>IF(ISNUMBER('Sheet2-计算明细'!AG40),'Sheet2-计算明细'!AG40,"")</f>
        <v>95.77</v>
      </c>
      <c r="F208" s="13">
        <f>IF(ISNUMBER(对照快照!AG164),对照快照!AG164,"")</f>
        <v>99.04</v>
      </c>
      <c r="G208" s="13">
        <f t="shared" si="9"/>
        <v>17.2386</v>
      </c>
      <c r="H208" s="13">
        <f t="shared" si="10"/>
        <v>17.8272</v>
      </c>
      <c r="I208" s="13">
        <f t="shared" si="11"/>
        <v>-0.588600000000003</v>
      </c>
      <c r="J208" s="15">
        <f>IF(ISNUMBER('Sheet2-计算明细'!AD40),'Sheet2-计算明细'!AD40,IF('Sheet2-计算明细'!AD40="","",'Sheet2-计算明细'!AD40))</f>
        <v>51.1242695390374</v>
      </c>
      <c r="K208" s="15">
        <f>IF(ISNUMBER(对照快照!AD164),对照快照!AD164,IF(对照快照!AD164="","",对照快照!AD164))</f>
        <v>73.1732</v>
      </c>
      <c r="L208" s="9" t="s">
        <v>1540</v>
      </c>
    </row>
    <row r="209" ht="25" customHeight="1" spans="1:12">
      <c r="A209" s="9" t="s">
        <v>194</v>
      </c>
      <c r="B209" s="9" t="s">
        <v>193</v>
      </c>
      <c r="C209" s="9" t="s">
        <v>1544</v>
      </c>
      <c r="D209" s="12">
        <v>0.12</v>
      </c>
      <c r="E209" s="13" t="str">
        <f>IF(ISNUMBER('Sheet2-计算明细'!AH40),'Sheet2-计算明细'!AH40,"")</f>
        <v/>
      </c>
      <c r="F209" s="13" t="str">
        <f>IF(ISNUMBER(对照快照!AH164),对照快照!AH164,"")</f>
        <v/>
      </c>
      <c r="G209" s="13">
        <f t="shared" si="9"/>
        <v>0</v>
      </c>
      <c r="H209" s="13">
        <f t="shared" si="10"/>
        <v>0</v>
      </c>
      <c r="I209" s="13">
        <f t="shared" si="11"/>
        <v>0</v>
      </c>
      <c r="J209" s="15" t="str">
        <f>IF(ISNUMBER('Sheet2-计算明细'!AF40),'Sheet2-计算明细'!AF40,IF('Sheet2-计算明细'!AF40="","",'Sheet2-计算明细'!AF40))</f>
        <v/>
      </c>
      <c r="K209" s="15" t="str">
        <f>IF(ISNUMBER(对照快照!AF164),对照快照!AF164,IF(对照快照!AF164="","",对照快照!AF164))</f>
        <v/>
      </c>
      <c r="L209" s="9" t="s">
        <v>1540</v>
      </c>
    </row>
    <row r="210" ht="25" customHeight="1" spans="1:12">
      <c r="A210" s="9" t="s">
        <v>194</v>
      </c>
      <c r="B210" s="9" t="s">
        <v>193</v>
      </c>
      <c r="C210" s="9" t="s">
        <v>574</v>
      </c>
      <c r="D210" s="12">
        <v>0.1</v>
      </c>
      <c r="E210" s="13">
        <f>IF(ISNUMBER('Sheet2-计算明细'!AK40),'Sheet2-计算明细'!AK40,"")</f>
        <v>100</v>
      </c>
      <c r="F210" s="13" t="str">
        <f>IF(ISNUMBER(对照快照!AK164),对照快照!AK164,"")</f>
        <v/>
      </c>
      <c r="G210" s="13">
        <f t="shared" si="9"/>
        <v>10</v>
      </c>
      <c r="H210" s="13">
        <f t="shared" si="10"/>
        <v>0</v>
      </c>
      <c r="I210" s="13">
        <f t="shared" si="11"/>
        <v>10</v>
      </c>
      <c r="J210" s="15">
        <f>IF(ISNUMBER('Sheet2-计算明细'!AJ40),'Sheet2-计算明细'!AJ40,IF('Sheet2-计算明细'!AJ40="","",'Sheet2-计算明细'!AJ40))</f>
        <v>0.22997763561791</v>
      </c>
      <c r="K210" s="15" t="str">
        <f>IF(ISNUMBER(对照快照!AJ164),对照快照!AJ164,IF(对照快照!AJ164="","",对照快照!AJ164))</f>
        <v/>
      </c>
      <c r="L210" s="9" t="s">
        <v>1538</v>
      </c>
    </row>
    <row r="211" ht="25" customHeight="1" spans="1:12">
      <c r="A211" s="9" t="s">
        <v>203</v>
      </c>
      <c r="B211" s="9" t="s">
        <v>202</v>
      </c>
      <c r="C211" s="9" t="s">
        <v>538</v>
      </c>
      <c r="D211" s="12">
        <v>0.06</v>
      </c>
      <c r="E211" s="13">
        <f>IF(ISNUMBER('Sheet2-计算明细'!I42),'Sheet2-计算明细'!I42,"")</f>
        <v>80</v>
      </c>
      <c r="F211" s="13">
        <f>IF(ISNUMBER(对照快照!I167),对照快照!I167,"")</f>
        <v>70</v>
      </c>
      <c r="G211" s="13">
        <f t="shared" si="9"/>
        <v>4.8</v>
      </c>
      <c r="H211" s="13">
        <f t="shared" si="10"/>
        <v>4.2</v>
      </c>
      <c r="I211" s="13">
        <f t="shared" si="11"/>
        <v>0.6</v>
      </c>
      <c r="J211" s="15" t="str">
        <f>IF(ISNUMBER('Sheet2-计算明细'!H42),'Sheet2-计算明细'!H42,IF('Sheet2-计算明细'!H42="","",'Sheet2-计算明细'!H42))</f>
        <v>10-20亿元</v>
      </c>
      <c r="K211" s="15" t="str">
        <f>IF(ISNUMBER(对照快照!H167),对照快照!H167,IF(对照快照!H167="","",对照快照!H167))</f>
        <v>5-10亿元</v>
      </c>
      <c r="L211" s="9" t="s">
        <v>1538</v>
      </c>
    </row>
    <row r="212" ht="25" customHeight="1" spans="1:12">
      <c r="A212" s="9" t="s">
        <v>203</v>
      </c>
      <c r="B212" s="9" t="s">
        <v>202</v>
      </c>
      <c r="C212" s="9" t="s">
        <v>543</v>
      </c>
      <c r="D212" s="12">
        <v>0.045</v>
      </c>
      <c r="E212" s="13">
        <f>IF(ISNUMBER('Sheet2-计算明细'!K42),'Sheet2-计算明细'!K42,"")</f>
        <v>100</v>
      </c>
      <c r="F212" s="13">
        <f>IF(ISNUMBER(对照快照!K167),对照快照!K167,"")</f>
        <v>100</v>
      </c>
      <c r="G212" s="13">
        <f t="shared" si="9"/>
        <v>4.5</v>
      </c>
      <c r="H212" s="13">
        <f t="shared" si="10"/>
        <v>4.5</v>
      </c>
      <c r="I212" s="13">
        <f t="shared" si="11"/>
        <v>0</v>
      </c>
      <c r="J212" s="15" t="str">
        <f>IF(ISNUMBER('Sheet2-计算明细'!J42),'Sheet2-计算明细'!J42,IF('Sheet2-计算明细'!J42="","",'Sheet2-计算明细'!J42))</f>
        <v>无低于1000万元标识</v>
      </c>
      <c r="K212" s="15" t="str">
        <f>IF(ISNUMBER(对照快照!J167),对照快照!J167,IF(对照快照!J167="","",对照快照!J167))</f>
        <v>无低于1000万元标识</v>
      </c>
      <c r="L212" s="9" t="s">
        <v>1538</v>
      </c>
    </row>
    <row r="213" ht="25" customHeight="1" spans="1:12">
      <c r="A213" s="9" t="s">
        <v>203</v>
      </c>
      <c r="B213" s="9" t="s">
        <v>202</v>
      </c>
      <c r="C213" s="9" t="s">
        <v>547</v>
      </c>
      <c r="D213" s="12">
        <v>0.045</v>
      </c>
      <c r="E213" s="13">
        <f>IF(ISNUMBER('Sheet2-计算明细'!L42),'Sheet2-计算明细'!L42,"")</f>
        <v>70</v>
      </c>
      <c r="F213" s="13">
        <f>IF(ISNUMBER(对照快照!L167),对照快照!L167,"")</f>
        <v>70</v>
      </c>
      <c r="G213" s="13">
        <f t="shared" si="9"/>
        <v>3.15</v>
      </c>
      <c r="H213" s="13">
        <f t="shared" si="10"/>
        <v>3.15</v>
      </c>
      <c r="I213" s="13">
        <f t="shared" si="11"/>
        <v>0</v>
      </c>
      <c r="J213" s="15">
        <f>IF(ISNUMBER('Sheet2-计算明细'!F42),'Sheet2-计算明细'!F42,IF('Sheet2-计算明细'!F42="","",'Sheet2-计算明细'!F42))</f>
        <v>1.2512</v>
      </c>
      <c r="K213" s="15">
        <f>IF(ISNUMBER(对照快照!F167),对照快照!F167,IF(对照快照!F167="","",对照快照!F167))</f>
        <v>1.243</v>
      </c>
      <c r="L213" s="9" t="s">
        <v>1538</v>
      </c>
    </row>
    <row r="214" ht="25" customHeight="1" spans="1:12">
      <c r="A214" s="9" t="s">
        <v>203</v>
      </c>
      <c r="B214" s="9" t="s">
        <v>202</v>
      </c>
      <c r="C214" s="9" t="s">
        <v>1539</v>
      </c>
      <c r="D214" s="12">
        <v>0.084</v>
      </c>
      <c r="E214" s="13">
        <f>IF(ISNUMBER('Sheet2-计算明细'!Q42),'Sheet2-计算明细'!Q42,"")</f>
        <v>43.06</v>
      </c>
      <c r="F214" s="13">
        <f>IF(ISNUMBER(对照快照!Q167),对照快照!Q167,"")</f>
        <v>69.01</v>
      </c>
      <c r="G214" s="13">
        <f t="shared" si="9"/>
        <v>3.61704</v>
      </c>
      <c r="H214" s="13">
        <f t="shared" si="10"/>
        <v>5.79684</v>
      </c>
      <c r="I214" s="13">
        <f t="shared" si="11"/>
        <v>-2.1798</v>
      </c>
      <c r="J214" s="15">
        <f>IF(ISNUMBER('Sheet2-计算明细'!M42),'Sheet2-计算明细'!M42,IF('Sheet2-计算明细'!M42="","",'Sheet2-计算明细'!M42))</f>
        <v>0.0853083964433377</v>
      </c>
      <c r="K214" s="15">
        <f>IF(ISNUMBER(对照快照!M167),对照快照!M167,IF(对照快照!M167="","",对照快照!M167))</f>
        <v>0.0904</v>
      </c>
      <c r="L214" s="9" t="s">
        <v>1540</v>
      </c>
    </row>
    <row r="215" ht="25" customHeight="1" spans="1:12">
      <c r="A215" s="9" t="s">
        <v>203</v>
      </c>
      <c r="B215" s="9" t="s">
        <v>202</v>
      </c>
      <c r="C215" s="9" t="s">
        <v>1541</v>
      </c>
      <c r="D215" s="12">
        <v>0.056</v>
      </c>
      <c r="E215" s="13" t="str">
        <f>IF(ISNUMBER('Sheet2-计算明细'!R42),'Sheet2-计算明细'!R42,"")</f>
        <v/>
      </c>
      <c r="F215" s="13" t="str">
        <f>IF(ISNUMBER(对照快照!R167),对照快照!R167,"")</f>
        <v/>
      </c>
      <c r="G215" s="13">
        <f t="shared" si="9"/>
        <v>0</v>
      </c>
      <c r="H215" s="13">
        <f t="shared" si="10"/>
        <v>0</v>
      </c>
      <c r="I215" s="13">
        <f t="shared" si="11"/>
        <v>0</v>
      </c>
      <c r="J215" s="15" t="str">
        <f>IF(ISNUMBER('Sheet2-计算明细'!P42),'Sheet2-计算明细'!P42,IF('Sheet2-计算明细'!P42="","",'Sheet2-计算明细'!P42))</f>
        <v/>
      </c>
      <c r="K215" s="15" t="str">
        <f>IF(ISNUMBER(对照快照!P167),对照快照!P167,IF(对照快照!P167="","",对照快照!P167))</f>
        <v/>
      </c>
      <c r="L215" s="9" t="s">
        <v>1540</v>
      </c>
    </row>
    <row r="216" ht="25" customHeight="1" spans="1:12">
      <c r="A216" s="9" t="s">
        <v>203</v>
      </c>
      <c r="B216" s="9" t="s">
        <v>202</v>
      </c>
      <c r="C216" s="9" t="s">
        <v>690</v>
      </c>
      <c r="D216" s="12">
        <v>0.036</v>
      </c>
      <c r="E216" s="13" t="str">
        <f>IF(ISNUMBER('Sheet2-计算明细'!W42),'Sheet2-计算明细'!W42,"")</f>
        <v/>
      </c>
      <c r="F216" s="13">
        <f>IF(ISNUMBER(对照快照!W167),对照快照!W167,"")</f>
        <v>100</v>
      </c>
      <c r="G216" s="13">
        <f t="shared" si="9"/>
        <v>0</v>
      </c>
      <c r="H216" s="13">
        <f t="shared" si="10"/>
        <v>3.6</v>
      </c>
      <c r="I216" s="13">
        <f t="shared" si="11"/>
        <v>-3.6</v>
      </c>
      <c r="J216" s="15" t="str">
        <f>IF(ISNUMBER('Sheet2-计算明细'!T42),'Sheet2-计算明细'!T42,IF('Sheet2-计算明细'!T42="","",'Sheet2-计算明细'!T42))</f>
        <v/>
      </c>
      <c r="K216" s="15">
        <f>IF(ISNUMBER(对照快照!T167),对照快照!T167,IF(对照快照!T167="","",对照快照!T167))</f>
        <v>1</v>
      </c>
      <c r="L216" s="9" t="s">
        <v>1538</v>
      </c>
    </row>
    <row r="217" ht="25" customHeight="1" spans="1:12">
      <c r="A217" s="9" t="s">
        <v>203</v>
      </c>
      <c r="B217" s="9" t="s">
        <v>202</v>
      </c>
      <c r="C217" s="9" t="s">
        <v>692</v>
      </c>
      <c r="D217" s="12">
        <v>0.024</v>
      </c>
      <c r="E217" s="13">
        <f>IF(ISNUMBER('Sheet2-计算明细'!X42),'Sheet2-计算明细'!X42,"")</f>
        <v>100</v>
      </c>
      <c r="F217" s="13">
        <f>IF(ISNUMBER(对照快照!X167),对照快照!X167,"")</f>
        <v>100</v>
      </c>
      <c r="G217" s="13">
        <f t="shared" si="9"/>
        <v>2.4</v>
      </c>
      <c r="H217" s="13">
        <f t="shared" si="10"/>
        <v>2.4</v>
      </c>
      <c r="I217" s="13">
        <f t="shared" si="11"/>
        <v>0</v>
      </c>
      <c r="J217" s="15" t="str">
        <f>IF(ISNUMBER('Sheet2-计算明细'!V42),'Sheet2-计算明细'!V42,IF('Sheet2-计算明细'!V42="","",'Sheet2-计算明细'!V42))</f>
        <v/>
      </c>
      <c r="K217" s="15" t="str">
        <f>IF(ISNUMBER(对照快照!V167),对照快照!V167,IF(对照快照!V167="","",对照快照!V167))</f>
        <v/>
      </c>
      <c r="L217" s="9" t="s">
        <v>1538</v>
      </c>
    </row>
    <row r="218" ht="25" customHeight="1" spans="1:12">
      <c r="A218" s="9" t="s">
        <v>203</v>
      </c>
      <c r="B218" s="9" t="s">
        <v>202</v>
      </c>
      <c r="C218" s="9" t="s">
        <v>1542</v>
      </c>
      <c r="D218" s="12">
        <v>0.25</v>
      </c>
      <c r="E218" s="13">
        <f>IF(ISNUMBER('Sheet2-计算明细'!AC42),'Sheet2-计算明细'!AC42,"")</f>
        <v>93.24</v>
      </c>
      <c r="F218" s="13">
        <f>IF(ISNUMBER(对照快照!AC167),对照快照!AC167,"")</f>
        <v>95.83</v>
      </c>
      <c r="G218" s="13">
        <f t="shared" si="9"/>
        <v>23.31</v>
      </c>
      <c r="H218" s="13">
        <f t="shared" si="10"/>
        <v>23.9575</v>
      </c>
      <c r="I218" s="13">
        <f t="shared" si="11"/>
        <v>-0.647500000000001</v>
      </c>
      <c r="J218" s="15">
        <f>IF(ISNUMBER('Sheet2-计算明细'!AB42),'Sheet2-计算明细'!AB42,IF('Sheet2-计算明细'!AB42="","",'Sheet2-计算明细'!AB42))</f>
        <v>0.00417435200465976</v>
      </c>
      <c r="K218" s="15">
        <f>IF(ISNUMBER(对照快照!AB167),对照快照!AB167,IF(对照快照!AB167="","",对照快照!AB167))</f>
        <v>0.00417361114317241</v>
      </c>
      <c r="L218" s="9" t="s">
        <v>1540</v>
      </c>
    </row>
    <row r="219" ht="25" customHeight="1" spans="1:12">
      <c r="A219" s="9" t="s">
        <v>203</v>
      </c>
      <c r="B219" s="9" t="s">
        <v>202</v>
      </c>
      <c r="C219" s="9" t="s">
        <v>1543</v>
      </c>
      <c r="D219" s="12">
        <v>0.18</v>
      </c>
      <c r="E219" s="13">
        <f>IF(ISNUMBER('Sheet2-计算明细'!AG42),'Sheet2-计算明细'!AG42,"")</f>
        <v>73.24</v>
      </c>
      <c r="F219" s="13">
        <f>IF(ISNUMBER(对照快照!AG167),对照快照!AG167,"")</f>
        <v>91.32</v>
      </c>
      <c r="G219" s="13">
        <f t="shared" si="9"/>
        <v>13.1832</v>
      </c>
      <c r="H219" s="13">
        <f t="shared" si="10"/>
        <v>16.4376</v>
      </c>
      <c r="I219" s="13">
        <f t="shared" si="11"/>
        <v>-3.2544</v>
      </c>
      <c r="J219" s="15">
        <f>IF(ISNUMBER('Sheet2-计算明细'!AD42),'Sheet2-计算明细'!AD42,IF('Sheet2-计算明细'!AD42="","",'Sheet2-计算明细'!AD42))</f>
        <v>20.4363207386701</v>
      </c>
      <c r="K219" s="15">
        <f>IF(ISNUMBER(对照快照!AD167),对照快照!AD167,IF(对照快照!AD167="","",对照快照!AD167))</f>
        <v>21.6599</v>
      </c>
      <c r="L219" s="9" t="s">
        <v>1540</v>
      </c>
    </row>
    <row r="220" ht="25" customHeight="1" spans="1:12">
      <c r="A220" s="9" t="s">
        <v>203</v>
      </c>
      <c r="B220" s="9" t="s">
        <v>202</v>
      </c>
      <c r="C220" s="9" t="s">
        <v>1544</v>
      </c>
      <c r="D220" s="12">
        <v>0.12</v>
      </c>
      <c r="E220" s="13" t="str">
        <f>IF(ISNUMBER('Sheet2-计算明细'!AH42),'Sheet2-计算明细'!AH42,"")</f>
        <v/>
      </c>
      <c r="F220" s="13" t="str">
        <f>IF(ISNUMBER(对照快照!AH167),对照快照!AH167,"")</f>
        <v/>
      </c>
      <c r="G220" s="13">
        <f t="shared" si="9"/>
        <v>0</v>
      </c>
      <c r="H220" s="13">
        <f t="shared" si="10"/>
        <v>0</v>
      </c>
      <c r="I220" s="13">
        <f t="shared" si="11"/>
        <v>0</v>
      </c>
      <c r="J220" s="15" t="str">
        <f>IF(ISNUMBER('Sheet2-计算明细'!AF42),'Sheet2-计算明细'!AF42,IF('Sheet2-计算明细'!AF42="","",'Sheet2-计算明细'!AF42))</f>
        <v/>
      </c>
      <c r="K220" s="15" t="str">
        <f>IF(ISNUMBER(对照快照!AF167),对照快照!AF167,IF(对照快照!AF167="","",对照快照!AF167))</f>
        <v/>
      </c>
      <c r="L220" s="9" t="s">
        <v>1540</v>
      </c>
    </row>
    <row r="221" ht="25" customHeight="1" spans="1:12">
      <c r="A221" s="9" t="s">
        <v>203</v>
      </c>
      <c r="B221" s="9" t="s">
        <v>202</v>
      </c>
      <c r="C221" s="9" t="s">
        <v>574</v>
      </c>
      <c r="D221" s="12">
        <v>0.1</v>
      </c>
      <c r="E221" s="13" t="str">
        <f>IF(ISNUMBER('Sheet2-计算明细'!AK42),'Sheet2-计算明细'!AK42,"")</f>
        <v/>
      </c>
      <c r="F221" s="13" t="str">
        <f>IF(ISNUMBER(对照快照!AK167),对照快照!AK167,"")</f>
        <v/>
      </c>
      <c r="G221" s="13">
        <f t="shared" si="9"/>
        <v>0</v>
      </c>
      <c r="H221" s="13">
        <f t="shared" si="10"/>
        <v>0</v>
      </c>
      <c r="I221" s="13">
        <f t="shared" si="11"/>
        <v>0</v>
      </c>
      <c r="J221" s="15" t="str">
        <f>IF(ISNUMBER('Sheet2-计算明细'!AJ42),'Sheet2-计算明细'!AJ42,IF('Sheet2-计算明细'!AJ42="","",'Sheet2-计算明细'!AJ42))</f>
        <v/>
      </c>
      <c r="K221" s="15" t="str">
        <f>IF(ISNUMBER(对照快照!AJ167),对照快照!AJ167,IF(对照快照!AJ167="","",对照快照!AJ167))</f>
        <v/>
      </c>
      <c r="L221" s="9" t="s">
        <v>1538</v>
      </c>
    </row>
    <row r="222" ht="25" customHeight="1" spans="1:12">
      <c r="A222" s="9" t="s">
        <v>218</v>
      </c>
      <c r="B222" s="9" t="s">
        <v>217</v>
      </c>
      <c r="C222" s="9" t="s">
        <v>538</v>
      </c>
      <c r="D222" s="12">
        <v>0.06</v>
      </c>
      <c r="E222" s="13">
        <f>IF(ISNUMBER('Sheet2-计算明细'!I45),'Sheet2-计算明细'!I45,"")</f>
        <v>70</v>
      </c>
      <c r="F222" s="13">
        <f>IF(ISNUMBER(对照快照!I142),对照快照!I142,"")</f>
        <v>70</v>
      </c>
      <c r="G222" s="13">
        <f t="shared" si="9"/>
        <v>4.2</v>
      </c>
      <c r="H222" s="13">
        <f t="shared" si="10"/>
        <v>4.2</v>
      </c>
      <c r="I222" s="13">
        <f t="shared" si="11"/>
        <v>0</v>
      </c>
      <c r="J222" s="15" t="str">
        <f>IF(ISNUMBER('Sheet2-计算明细'!H45),'Sheet2-计算明细'!H45,IF('Sheet2-计算明细'!H45="","",'Sheet2-计算明细'!H45))</f>
        <v>5-10亿元</v>
      </c>
      <c r="K222" s="15" t="str">
        <f>IF(ISNUMBER(对照快照!H142),对照快照!H142,IF(对照快照!H142="","",对照快照!H142))</f>
        <v>5-10亿元</v>
      </c>
      <c r="L222" s="9" t="s">
        <v>1538</v>
      </c>
    </row>
    <row r="223" ht="25" customHeight="1" spans="1:12">
      <c r="A223" s="9" t="s">
        <v>218</v>
      </c>
      <c r="B223" s="9" t="s">
        <v>217</v>
      </c>
      <c r="C223" s="9" t="s">
        <v>543</v>
      </c>
      <c r="D223" s="12">
        <v>0.045</v>
      </c>
      <c r="E223" s="13">
        <f>IF(ISNUMBER('Sheet2-计算明细'!K45),'Sheet2-计算明细'!K45,"")</f>
        <v>100</v>
      </c>
      <c r="F223" s="13">
        <f>IF(ISNUMBER(对照快照!K142),对照快照!K142,"")</f>
        <v>100</v>
      </c>
      <c r="G223" s="13">
        <f t="shared" si="9"/>
        <v>4.5</v>
      </c>
      <c r="H223" s="13">
        <f t="shared" si="10"/>
        <v>4.5</v>
      </c>
      <c r="I223" s="13">
        <f t="shared" si="11"/>
        <v>0</v>
      </c>
      <c r="J223" s="15" t="str">
        <f>IF(ISNUMBER('Sheet2-计算明细'!J45),'Sheet2-计算明细'!J45,IF('Sheet2-计算明细'!J45="","",'Sheet2-计算明细'!J45))</f>
        <v>无低于1000万元标识</v>
      </c>
      <c r="K223" s="15" t="str">
        <f>IF(ISNUMBER(对照快照!J142),对照快照!J142,IF(对照快照!J142="","",对照快照!J142))</f>
        <v>无低于1000万元标识</v>
      </c>
      <c r="L223" s="9" t="s">
        <v>1538</v>
      </c>
    </row>
    <row r="224" ht="25" customHeight="1" spans="1:12">
      <c r="A224" s="9" t="s">
        <v>218</v>
      </c>
      <c r="B224" s="9" t="s">
        <v>217</v>
      </c>
      <c r="C224" s="9" t="s">
        <v>547</v>
      </c>
      <c r="D224" s="12">
        <v>0.045</v>
      </c>
      <c r="E224" s="13">
        <f>IF(ISNUMBER('Sheet2-计算明细'!L45),'Sheet2-计算明细'!L45,"")</f>
        <v>100</v>
      </c>
      <c r="F224" s="13">
        <f>IF(ISNUMBER(对照快照!L142),对照快照!L142,"")</f>
        <v>100</v>
      </c>
      <c r="G224" s="13">
        <f t="shared" si="9"/>
        <v>4.5</v>
      </c>
      <c r="H224" s="13">
        <f t="shared" si="10"/>
        <v>4.5</v>
      </c>
      <c r="I224" s="13">
        <f t="shared" si="11"/>
        <v>0</v>
      </c>
      <c r="J224" s="15">
        <f>IF(ISNUMBER('Sheet2-计算明细'!F45),'Sheet2-计算明细'!F45,IF('Sheet2-计算明细'!F45="","",'Sheet2-计算明细'!F45))</f>
        <v>5.4867</v>
      </c>
      <c r="K224" s="15">
        <f>IF(ISNUMBER(对照快照!F142),对照快照!F142,IF(对照快照!F142="","",对照快照!F142))</f>
        <v>5.4784</v>
      </c>
      <c r="L224" s="9" t="s">
        <v>1538</v>
      </c>
    </row>
    <row r="225" ht="25" customHeight="1" spans="1:12">
      <c r="A225" s="9" t="s">
        <v>218</v>
      </c>
      <c r="B225" s="9" t="s">
        <v>217</v>
      </c>
      <c r="C225" s="9" t="s">
        <v>1539</v>
      </c>
      <c r="D225" s="12">
        <v>0.084</v>
      </c>
      <c r="E225" s="13">
        <f>IF(ISNUMBER('Sheet2-计算明细'!Q45),'Sheet2-计算明细'!Q45,"")</f>
        <v>77.78</v>
      </c>
      <c r="F225" s="13">
        <f>IF(ISNUMBER(对照快照!Q142),对照快照!Q142,"")</f>
        <v>81.47</v>
      </c>
      <c r="G225" s="13">
        <f t="shared" si="9"/>
        <v>6.53352</v>
      </c>
      <c r="H225" s="13">
        <f t="shared" si="10"/>
        <v>6.84348</v>
      </c>
      <c r="I225" s="13">
        <f t="shared" si="11"/>
        <v>-0.30996</v>
      </c>
      <c r="J225" s="15">
        <f>IF(ISNUMBER('Sheet2-计算明细'!M45),'Sheet2-计算明细'!M45,IF('Sheet2-计算明细'!M45="","",'Sheet2-计算明细'!M45))</f>
        <v>0.1369</v>
      </c>
      <c r="K225" s="15">
        <f>IF(ISNUMBER(对照快照!M142),对照快照!M142,IF(对照快照!M142="","",对照快照!M142))</f>
        <v>0.1342</v>
      </c>
      <c r="L225" s="9" t="s">
        <v>1540</v>
      </c>
    </row>
    <row r="226" ht="25" customHeight="1" spans="1:12">
      <c r="A226" s="9" t="s">
        <v>218</v>
      </c>
      <c r="B226" s="9" t="s">
        <v>217</v>
      </c>
      <c r="C226" s="9" t="s">
        <v>1541</v>
      </c>
      <c r="D226" s="12">
        <v>0.056</v>
      </c>
      <c r="E226" s="13">
        <f>IF(ISNUMBER('Sheet2-计算明细'!R45),'Sheet2-计算明细'!R45,"")</f>
        <v>81.82</v>
      </c>
      <c r="F226" s="13">
        <f>IF(ISNUMBER(对照快照!R142),对照快照!R142,"")</f>
        <v>81.9</v>
      </c>
      <c r="G226" s="13">
        <f t="shared" si="9"/>
        <v>4.58192</v>
      </c>
      <c r="H226" s="13">
        <f t="shared" si="10"/>
        <v>4.5864</v>
      </c>
      <c r="I226" s="13">
        <f t="shared" si="11"/>
        <v>-0.00448000000000093</v>
      </c>
      <c r="J226" s="15">
        <f>IF(ISNUMBER('Sheet2-计算明细'!P45),'Sheet2-计算明细'!P45,IF('Sheet2-计算明细'!P45="","",'Sheet2-计算明细'!P45))</f>
        <v>0.132702587041874</v>
      </c>
      <c r="K226" s="15">
        <f>IF(ISNUMBER(对照快照!P142),对照快照!P142,IF(对照快照!P142="","",对照快照!P142))</f>
        <v>0.132550400126408</v>
      </c>
      <c r="L226" s="9" t="s">
        <v>1540</v>
      </c>
    </row>
    <row r="227" ht="25" customHeight="1" spans="1:12">
      <c r="A227" s="9" t="s">
        <v>218</v>
      </c>
      <c r="B227" s="9" t="s">
        <v>217</v>
      </c>
      <c r="C227" s="9" t="s">
        <v>690</v>
      </c>
      <c r="D227" s="12">
        <v>0.036</v>
      </c>
      <c r="E227" s="13">
        <f>IF(ISNUMBER('Sheet2-计算明细'!W45),'Sheet2-计算明细'!W45,"")</f>
        <v>100</v>
      </c>
      <c r="F227" s="13">
        <f>IF(ISNUMBER(对照快照!W142),对照快照!W142,"")</f>
        <v>100</v>
      </c>
      <c r="G227" s="13">
        <f t="shared" si="9"/>
        <v>3.6</v>
      </c>
      <c r="H227" s="13">
        <f t="shared" si="10"/>
        <v>3.6</v>
      </c>
      <c r="I227" s="13">
        <f t="shared" si="11"/>
        <v>0</v>
      </c>
      <c r="J227" s="15">
        <f>IF(ISNUMBER('Sheet2-计算明细'!T45),'Sheet2-计算明细'!T45,IF('Sheet2-计算明细'!T45="","",'Sheet2-计算明细'!T45))</f>
        <v>1</v>
      </c>
      <c r="K227" s="15">
        <f>IF(ISNUMBER(对照快照!T142),对照快照!T142,IF(对照快照!T142="","",对照快照!T142))</f>
        <v>1</v>
      </c>
      <c r="L227" s="9" t="s">
        <v>1538</v>
      </c>
    </row>
    <row r="228" ht="25" customHeight="1" spans="1:12">
      <c r="A228" s="9" t="s">
        <v>218</v>
      </c>
      <c r="B228" s="9" t="s">
        <v>217</v>
      </c>
      <c r="C228" s="9" t="s">
        <v>692</v>
      </c>
      <c r="D228" s="12">
        <v>0.024</v>
      </c>
      <c r="E228" s="13">
        <f>IF(ISNUMBER('Sheet2-计算明细'!X45),'Sheet2-计算明细'!X45,"")</f>
        <v>83.3345833333333</v>
      </c>
      <c r="F228" s="13">
        <f>IF(ISNUMBER(对照快照!X142),对照快照!X142,"")</f>
        <v>83.3345833333333</v>
      </c>
      <c r="G228" s="13">
        <f t="shared" si="9"/>
        <v>2.00003</v>
      </c>
      <c r="H228" s="13">
        <f t="shared" si="10"/>
        <v>2.00003</v>
      </c>
      <c r="I228" s="13">
        <f t="shared" si="11"/>
        <v>0</v>
      </c>
      <c r="J228" s="15">
        <f>IF(ISNUMBER('Sheet2-计算明细'!V45),'Sheet2-计算明细'!V45,IF('Sheet2-计算明细'!V45="","",'Sheet2-计算明细'!V45))</f>
        <v>0.833345833333333</v>
      </c>
      <c r="K228" s="15">
        <f>IF(ISNUMBER(对照快照!V142),对照快照!V142,IF(对照快照!V142="","",对照快照!V142))</f>
        <v>0.833345833333333</v>
      </c>
      <c r="L228" s="9" t="s">
        <v>1538</v>
      </c>
    </row>
    <row r="229" ht="25" customHeight="1" spans="1:12">
      <c r="A229" s="9" t="s">
        <v>218</v>
      </c>
      <c r="B229" s="9" t="s">
        <v>217</v>
      </c>
      <c r="C229" s="9" t="s">
        <v>1542</v>
      </c>
      <c r="D229" s="12">
        <v>0.25</v>
      </c>
      <c r="E229" s="13">
        <f>IF(ISNUMBER('Sheet2-计算明细'!AC45),'Sheet2-计算明细'!AC45,"")</f>
        <v>44.59</v>
      </c>
      <c r="F229" s="13">
        <f>IF(ISNUMBER(对照快照!AC142),对照快照!AC142,"")</f>
        <v>66.35</v>
      </c>
      <c r="G229" s="13">
        <f t="shared" si="9"/>
        <v>11.1475</v>
      </c>
      <c r="H229" s="13">
        <f t="shared" si="10"/>
        <v>16.5875</v>
      </c>
      <c r="I229" s="13">
        <f t="shared" si="11"/>
        <v>-5.44</v>
      </c>
      <c r="J229" s="15">
        <f>IF(ISNUMBER('Sheet2-计算明细'!AB45),'Sheet2-计算明细'!AB45,IF('Sheet2-计算明细'!AB45="","",'Sheet2-计算明细'!AB45))</f>
        <v>0.0249</v>
      </c>
      <c r="K229" s="15">
        <f>IF(ISNUMBER(对照快照!AB142),对照快照!AB142,IF(对照快照!AB142="","",对照快照!AB142))</f>
        <v>0.0249</v>
      </c>
      <c r="L229" s="9" t="s">
        <v>1540</v>
      </c>
    </row>
    <row r="230" ht="25" customHeight="1" spans="1:12">
      <c r="A230" s="9" t="s">
        <v>218</v>
      </c>
      <c r="B230" s="9" t="s">
        <v>217</v>
      </c>
      <c r="C230" s="9" t="s">
        <v>1543</v>
      </c>
      <c r="D230" s="12">
        <v>0.18</v>
      </c>
      <c r="E230" s="13">
        <f>IF(ISNUMBER('Sheet2-计算明细'!AG45),'Sheet2-计算明细'!AG45,"")</f>
        <v>87.32</v>
      </c>
      <c r="F230" s="13">
        <f>IF(ISNUMBER(对照快照!AG142),对照快照!AG142,"")</f>
        <v>95.5</v>
      </c>
      <c r="G230" s="13">
        <f t="shared" si="9"/>
        <v>15.7176</v>
      </c>
      <c r="H230" s="13">
        <f t="shared" si="10"/>
        <v>17.19</v>
      </c>
      <c r="I230" s="13">
        <f t="shared" si="11"/>
        <v>-1.4724</v>
      </c>
      <c r="J230" s="15">
        <f>IF(ISNUMBER('Sheet2-计算明细'!AD45),'Sheet2-计算明细'!AD45,IF('Sheet2-计算明细'!AD45="","",'Sheet2-计算明细'!AD45))</f>
        <v>28.8428</v>
      </c>
      <c r="K230" s="15">
        <f>IF(ISNUMBER(对照快照!AD142),对照快照!AD142,IF(对照快照!AD142="","",对照快照!AD142))</f>
        <v>38.3369</v>
      </c>
      <c r="L230" s="9" t="s">
        <v>1540</v>
      </c>
    </row>
    <row r="231" ht="25" customHeight="1" spans="1:12">
      <c r="A231" s="9" t="s">
        <v>218</v>
      </c>
      <c r="B231" s="9" t="s">
        <v>217</v>
      </c>
      <c r="C231" s="9" t="s">
        <v>1544</v>
      </c>
      <c r="D231" s="12">
        <v>0.12</v>
      </c>
      <c r="E231" s="13">
        <f>IF(ISNUMBER('Sheet2-计算明细'!AH45),'Sheet2-计算明细'!AH45,"")</f>
        <v>62.5</v>
      </c>
      <c r="F231" s="13">
        <f>IF(ISNUMBER(对照快照!AH142),对照快照!AH142,"")</f>
        <v>85.11</v>
      </c>
      <c r="G231" s="13">
        <f t="shared" si="9"/>
        <v>7.5</v>
      </c>
      <c r="H231" s="13">
        <f t="shared" si="10"/>
        <v>10.2132</v>
      </c>
      <c r="I231" s="13">
        <f t="shared" si="11"/>
        <v>-2.7132</v>
      </c>
      <c r="J231" s="15">
        <f>IF(ISNUMBER('Sheet2-计算明细'!AF45),'Sheet2-计算明细'!AF45,IF('Sheet2-计算明细'!AF45="","",'Sheet2-计算明细'!AF45))</f>
        <v>5.32942116634032</v>
      </c>
      <c r="K231" s="15">
        <f>IF(ISNUMBER(对照快照!AF142),对照快照!AF142,IF(对照快照!AF142="","",对照快照!AF142))</f>
        <v>5.3233092420244</v>
      </c>
      <c r="L231" s="9" t="s">
        <v>1540</v>
      </c>
    </row>
    <row r="232" ht="25" customHeight="1" spans="1:12">
      <c r="A232" s="9" t="s">
        <v>218</v>
      </c>
      <c r="B232" s="9" t="s">
        <v>217</v>
      </c>
      <c r="C232" s="9" t="s">
        <v>574</v>
      </c>
      <c r="D232" s="12">
        <v>0.1</v>
      </c>
      <c r="E232" s="13">
        <f>IF(ISNUMBER('Sheet2-计算明细'!AK45),'Sheet2-计算明细'!AK45,"")</f>
        <v>100</v>
      </c>
      <c r="F232" s="13">
        <f>IF(ISNUMBER(对照快照!AK142),对照快照!AK142,"")</f>
        <v>100</v>
      </c>
      <c r="G232" s="13">
        <f t="shared" si="9"/>
        <v>10</v>
      </c>
      <c r="H232" s="13">
        <f t="shared" si="10"/>
        <v>10</v>
      </c>
      <c r="I232" s="13">
        <f t="shared" si="11"/>
        <v>0</v>
      </c>
      <c r="J232" s="15">
        <f>IF(ISNUMBER('Sheet2-计算明细'!AJ45),'Sheet2-计算明细'!AJ45,IF('Sheet2-计算明细'!AJ45="","",'Sheet2-计算明细'!AJ45))</f>
        <v>0.1341</v>
      </c>
      <c r="K232" s="15">
        <f>IF(ISNUMBER(对照快照!AJ142),对照快照!AJ142,IF(对照快照!AJ142="","",对照快照!AJ142))</f>
        <v>0.1331</v>
      </c>
      <c r="L232" s="9" t="s">
        <v>1538</v>
      </c>
    </row>
    <row r="233" ht="25" customHeight="1" spans="1:12">
      <c r="A233" s="9" t="s">
        <v>225</v>
      </c>
      <c r="B233" s="9" t="s">
        <v>224</v>
      </c>
      <c r="C233" s="9" t="s">
        <v>538</v>
      </c>
      <c r="D233" s="12">
        <v>0.06</v>
      </c>
      <c r="E233" s="13">
        <f>IF(ISNUMBER('Sheet2-计算明细'!I46),'Sheet2-计算明细'!I46,"")</f>
        <v>60</v>
      </c>
      <c r="F233" s="13">
        <f>IF(ISNUMBER(对照快照!I308),对照快照!I308,"")</f>
        <v>60</v>
      </c>
      <c r="G233" s="13">
        <f t="shared" si="9"/>
        <v>3.6</v>
      </c>
      <c r="H233" s="13">
        <f t="shared" si="10"/>
        <v>3.6</v>
      </c>
      <c r="I233" s="13">
        <f t="shared" si="11"/>
        <v>0</v>
      </c>
      <c r="J233" s="15" t="str">
        <f>IF(ISNUMBER('Sheet2-计算明细'!H46),'Sheet2-计算明细'!H46,IF('Sheet2-计算明细'!H46="","",'Sheet2-计算明细'!H46))</f>
        <v>0-5亿元</v>
      </c>
      <c r="K233" s="15" t="str">
        <f>IF(ISNUMBER(对照快照!H308),对照快照!H308,IF(对照快照!H308="","",对照快照!H308))</f>
        <v>0-5亿元</v>
      </c>
      <c r="L233" s="9" t="s">
        <v>1538</v>
      </c>
    </row>
    <row r="234" ht="25" customHeight="1" spans="1:12">
      <c r="A234" s="9" t="s">
        <v>225</v>
      </c>
      <c r="B234" s="9" t="s">
        <v>224</v>
      </c>
      <c r="C234" s="9" t="s">
        <v>543</v>
      </c>
      <c r="D234" s="12">
        <v>0.045</v>
      </c>
      <c r="E234" s="13" t="str">
        <f>IF(ISNUMBER('Sheet2-计算明细'!K46),'Sheet2-计算明细'!K46,"")</f>
        <v/>
      </c>
      <c r="F234" s="13">
        <f>IF(ISNUMBER(对照快照!K308),对照快照!K308,"")</f>
        <v>100</v>
      </c>
      <c r="G234" s="13">
        <f t="shared" si="9"/>
        <v>0</v>
      </c>
      <c r="H234" s="13">
        <f t="shared" si="10"/>
        <v>4.5</v>
      </c>
      <c r="I234" s="13">
        <f t="shared" si="11"/>
        <v>-4.5</v>
      </c>
      <c r="J234" s="15" t="str">
        <f>IF(ISNUMBER('Sheet2-计算明细'!J46),'Sheet2-计算明细'!J46,IF('Sheet2-计算明细'!J46="","",'Sheet2-计算明细'!J46))</f>
        <v/>
      </c>
      <c r="K234" s="15" t="str">
        <f>IF(ISNUMBER(对照快照!J308),对照快照!J308,IF(对照快照!J308="","",对照快照!J308))</f>
        <v>无低于1000万元标识</v>
      </c>
      <c r="L234" s="9" t="s">
        <v>1538</v>
      </c>
    </row>
    <row r="235" ht="25" customHeight="1" spans="1:12">
      <c r="A235" s="9" t="s">
        <v>225</v>
      </c>
      <c r="B235" s="9" t="s">
        <v>224</v>
      </c>
      <c r="C235" s="9" t="s">
        <v>547</v>
      </c>
      <c r="D235" s="12">
        <v>0.045</v>
      </c>
      <c r="E235" s="13">
        <f>IF(ISNUMBER('Sheet2-计算明细'!L46),'Sheet2-计算明细'!L46,"")</f>
        <v>100</v>
      </c>
      <c r="F235" s="13">
        <f>IF(ISNUMBER(对照快照!L308),对照快照!L308,"")</f>
        <v>100</v>
      </c>
      <c r="G235" s="13">
        <f t="shared" si="9"/>
        <v>4.5</v>
      </c>
      <c r="H235" s="13">
        <f t="shared" si="10"/>
        <v>4.5</v>
      </c>
      <c r="I235" s="13">
        <f t="shared" si="11"/>
        <v>0</v>
      </c>
      <c r="J235" s="15">
        <f>IF(ISNUMBER('Sheet2-计算明细'!F46),'Sheet2-计算明细'!F46,IF('Sheet2-计算明细'!F46="","",'Sheet2-计算明细'!F46))</f>
        <v>6.0616</v>
      </c>
      <c r="K235" s="15">
        <f>IF(ISNUMBER(对照快照!F308),对照快照!F308,IF(对照快照!F308="","",对照快照!F308))</f>
        <v>6.0534</v>
      </c>
      <c r="L235" s="9" t="s">
        <v>1538</v>
      </c>
    </row>
    <row r="236" ht="25" customHeight="1" spans="1:12">
      <c r="A236" s="9" t="s">
        <v>225</v>
      </c>
      <c r="B236" s="9" t="s">
        <v>224</v>
      </c>
      <c r="C236" s="9" t="s">
        <v>1539</v>
      </c>
      <c r="D236" s="12">
        <v>0.084</v>
      </c>
      <c r="E236" s="13">
        <f>IF(ISNUMBER('Sheet2-计算明细'!Q46),'Sheet2-计算明细'!Q46,"")</f>
        <v>97.22</v>
      </c>
      <c r="F236" s="13">
        <f>IF(ISNUMBER(对照快照!Q308),对照快照!Q308,"")</f>
        <v>97.12</v>
      </c>
      <c r="G236" s="13">
        <f t="shared" si="9"/>
        <v>8.16648</v>
      </c>
      <c r="H236" s="13">
        <f t="shared" si="10"/>
        <v>8.15808</v>
      </c>
      <c r="I236" s="13">
        <f t="shared" si="11"/>
        <v>0.00839999999999819</v>
      </c>
      <c r="J236" s="15">
        <f>IF(ISNUMBER('Sheet2-计算明细'!M46),'Sheet2-计算明细'!M46,IF('Sheet2-计算明细'!M46="","",'Sheet2-计算明细'!M46))</f>
        <v>0.3558</v>
      </c>
      <c r="K236" s="15">
        <f>IF(ISNUMBER(对照快照!M308),对照快照!M308,IF(对照快照!M308="","",对照快照!M308))</f>
        <v>0.3615</v>
      </c>
      <c r="L236" s="9" t="s">
        <v>1540</v>
      </c>
    </row>
    <row r="237" ht="25" customHeight="1" spans="1:12">
      <c r="A237" s="9" t="s">
        <v>225</v>
      </c>
      <c r="B237" s="9" t="s">
        <v>224</v>
      </c>
      <c r="C237" s="9" t="s">
        <v>1541</v>
      </c>
      <c r="D237" s="12">
        <v>0.056</v>
      </c>
      <c r="E237" s="13" t="str">
        <f>IF(ISNUMBER('Sheet2-计算明细'!R46),'Sheet2-计算明细'!R46,"")</f>
        <v/>
      </c>
      <c r="F237" s="13" t="str">
        <f>IF(ISNUMBER(对照快照!R308),对照快照!R308,"")</f>
        <v/>
      </c>
      <c r="G237" s="13">
        <f t="shared" si="9"/>
        <v>0</v>
      </c>
      <c r="H237" s="13">
        <f t="shared" si="10"/>
        <v>0</v>
      </c>
      <c r="I237" s="13">
        <f t="shared" si="11"/>
        <v>0</v>
      </c>
      <c r="J237" s="15" t="str">
        <f>IF(ISNUMBER('Sheet2-计算明细'!P46),'Sheet2-计算明细'!P46,IF('Sheet2-计算明细'!P46="","",'Sheet2-计算明细'!P46))</f>
        <v/>
      </c>
      <c r="K237" s="15" t="str">
        <f>IF(ISNUMBER(对照快照!P308),对照快照!P308,IF(对照快照!P308="","",对照快照!P308))</f>
        <v>原表 VALUE 错误</v>
      </c>
      <c r="L237" s="9" t="s">
        <v>1540</v>
      </c>
    </row>
    <row r="238" ht="25" customHeight="1" spans="1:12">
      <c r="A238" s="9" t="s">
        <v>225</v>
      </c>
      <c r="B238" s="9" t="s">
        <v>224</v>
      </c>
      <c r="C238" s="9" t="s">
        <v>690</v>
      </c>
      <c r="D238" s="12">
        <v>0.036</v>
      </c>
      <c r="E238" s="13">
        <f>IF(ISNUMBER('Sheet2-计算明细'!W46),'Sheet2-计算明细'!W46,"")</f>
        <v>76.92</v>
      </c>
      <c r="F238" s="13">
        <f>IF(ISNUMBER(对照快照!W308),对照快照!W308,"")</f>
        <v>76.92</v>
      </c>
      <c r="G238" s="13">
        <f t="shared" si="9"/>
        <v>2.76912</v>
      </c>
      <c r="H238" s="13">
        <f t="shared" si="10"/>
        <v>2.76912</v>
      </c>
      <c r="I238" s="13">
        <f t="shared" si="11"/>
        <v>0</v>
      </c>
      <c r="J238" s="15">
        <f>IF(ISNUMBER('Sheet2-计算明细'!T46),'Sheet2-计算明细'!T46,IF('Sheet2-计算明细'!T46="","",'Sheet2-计算明细'!T46))</f>
        <v>0.7692</v>
      </c>
      <c r="K238" s="15">
        <f>IF(ISNUMBER(对照快照!T308),对照快照!T308,IF(对照快照!T308="","",对照快照!T308))</f>
        <v>0.7692</v>
      </c>
      <c r="L238" s="9" t="s">
        <v>1538</v>
      </c>
    </row>
    <row r="239" ht="25" customHeight="1" spans="1:12">
      <c r="A239" s="9" t="s">
        <v>225</v>
      </c>
      <c r="B239" s="9" t="s">
        <v>224</v>
      </c>
      <c r="C239" s="9" t="s">
        <v>692</v>
      </c>
      <c r="D239" s="12">
        <v>0.024</v>
      </c>
      <c r="E239" s="13" t="str">
        <f>IF(ISNUMBER('Sheet2-计算明细'!X46),'Sheet2-计算明细'!X46,"")</f>
        <v/>
      </c>
      <c r="F239" s="13" t="str">
        <f>IF(ISNUMBER(对照快照!X308),对照快照!X308,"")</f>
        <v/>
      </c>
      <c r="G239" s="13">
        <f t="shared" si="9"/>
        <v>0</v>
      </c>
      <c r="H239" s="13">
        <f t="shared" si="10"/>
        <v>0</v>
      </c>
      <c r="I239" s="13">
        <f t="shared" si="11"/>
        <v>0</v>
      </c>
      <c r="J239" s="15" t="str">
        <f>IF(ISNUMBER('Sheet2-计算明细'!V46),'Sheet2-计算明细'!V46,IF('Sheet2-计算明细'!V46="","",'Sheet2-计算明细'!V46))</f>
        <v/>
      </c>
      <c r="K239" s="15" t="str">
        <f>IF(ISNUMBER(对照快照!V308),对照快照!V308,IF(对照快照!V308="","",对照快照!V308))</f>
        <v/>
      </c>
      <c r="L239" s="9" t="s">
        <v>1538</v>
      </c>
    </row>
    <row r="240" ht="25" customHeight="1" spans="1:12">
      <c r="A240" s="9" t="s">
        <v>225</v>
      </c>
      <c r="B240" s="9" t="s">
        <v>224</v>
      </c>
      <c r="C240" s="9" t="s">
        <v>1542</v>
      </c>
      <c r="D240" s="12">
        <v>0.25</v>
      </c>
      <c r="E240" s="13">
        <f>IF(ISNUMBER('Sheet2-计算明细'!AC46),'Sheet2-计算明细'!AC46,"")</f>
        <v>40.54</v>
      </c>
      <c r="F240" s="13">
        <f>IF(ISNUMBER(对照快照!AC308),对照快照!AC308,"")</f>
        <v>64.1</v>
      </c>
      <c r="G240" s="13">
        <f t="shared" si="9"/>
        <v>10.135</v>
      </c>
      <c r="H240" s="13">
        <f t="shared" si="10"/>
        <v>16.025</v>
      </c>
      <c r="I240" s="13">
        <f t="shared" si="11"/>
        <v>-5.89</v>
      </c>
      <c r="J240" s="15">
        <f>IF(ISNUMBER('Sheet2-计算明细'!AB46),'Sheet2-计算明细'!AB46,IF('Sheet2-计算明细'!AB46="","",'Sheet2-计算明细'!AB46))</f>
        <v>0.0256434280607428</v>
      </c>
      <c r="K240" s="15">
        <f>IF(ISNUMBER(对照快照!AB308),对照快照!AB308,IF(对照快照!AB308="","",对照快照!AB308))</f>
        <v>0.0256430263736576</v>
      </c>
      <c r="L240" s="9" t="s">
        <v>1540</v>
      </c>
    </row>
    <row r="241" ht="25" customHeight="1" spans="1:12">
      <c r="A241" s="9" t="s">
        <v>225</v>
      </c>
      <c r="B241" s="9" t="s">
        <v>224</v>
      </c>
      <c r="C241" s="9" t="s">
        <v>1543</v>
      </c>
      <c r="D241" s="12">
        <v>0.18</v>
      </c>
      <c r="E241" s="13">
        <f>IF(ISNUMBER('Sheet2-计算明细'!AG46),'Sheet2-计算明细'!AG46,"")</f>
        <v>64.79</v>
      </c>
      <c r="F241" s="13">
        <f>IF(ISNUMBER(对照快照!AG308),对照快照!AG308,"")</f>
        <v>85.85</v>
      </c>
      <c r="G241" s="13">
        <f t="shared" si="9"/>
        <v>11.6622</v>
      </c>
      <c r="H241" s="13">
        <f t="shared" si="10"/>
        <v>15.453</v>
      </c>
      <c r="I241" s="13">
        <f t="shared" si="11"/>
        <v>-3.7908</v>
      </c>
      <c r="J241" s="15">
        <f>IF(ISNUMBER('Sheet2-计算明细'!AD46),'Sheet2-计算明细'!AD46,IF('Sheet2-计算明细'!AD46="","",'Sheet2-计算明细'!AD46))</f>
        <v>13.8749</v>
      </c>
      <c r="K241" s="15">
        <f>IF(ISNUMBER(对照快照!AD308),对照快照!AD308,IF(对照快照!AD308="","",对照快照!AD308))</f>
        <v>14.0974</v>
      </c>
      <c r="L241" s="9" t="s">
        <v>1540</v>
      </c>
    </row>
    <row r="242" ht="25" customHeight="1" spans="1:12">
      <c r="A242" s="9" t="s">
        <v>225</v>
      </c>
      <c r="B242" s="9" t="s">
        <v>224</v>
      </c>
      <c r="C242" s="9" t="s">
        <v>1544</v>
      </c>
      <c r="D242" s="12">
        <v>0.12</v>
      </c>
      <c r="E242" s="13" t="str">
        <f>IF(ISNUMBER('Sheet2-计算明细'!AH46),'Sheet2-计算明细'!AH46,"")</f>
        <v/>
      </c>
      <c r="F242" s="13" t="str">
        <f>IF(ISNUMBER(对照快照!AH308),对照快照!AH308,"")</f>
        <v/>
      </c>
      <c r="G242" s="13">
        <f t="shared" si="9"/>
        <v>0</v>
      </c>
      <c r="H242" s="13">
        <f t="shared" si="10"/>
        <v>0</v>
      </c>
      <c r="I242" s="13">
        <f t="shared" si="11"/>
        <v>0</v>
      </c>
      <c r="J242" s="15" t="str">
        <f>IF(ISNUMBER('Sheet2-计算明细'!AF46),'Sheet2-计算明细'!AF46,IF('Sheet2-计算明细'!AF46="","",'Sheet2-计算明细'!AF46))</f>
        <v/>
      </c>
      <c r="K242" s="15" t="str">
        <f>IF(ISNUMBER(对照快照!AF308),对照快照!AF308,IF(对照快照!AF308="","",对照快照!AF308))</f>
        <v>原表 VALUE 错误</v>
      </c>
      <c r="L242" s="9" t="s">
        <v>1540</v>
      </c>
    </row>
    <row r="243" ht="25" customHeight="1" spans="1:12">
      <c r="A243" s="9" t="s">
        <v>225</v>
      </c>
      <c r="B243" s="9" t="s">
        <v>224</v>
      </c>
      <c r="C243" s="9" t="s">
        <v>574</v>
      </c>
      <c r="D243" s="12">
        <v>0.1</v>
      </c>
      <c r="E243" s="13" t="str">
        <f>IF(ISNUMBER('Sheet2-计算明细'!AK46),'Sheet2-计算明细'!AK46,"")</f>
        <v/>
      </c>
      <c r="F243" s="13" t="str">
        <f>IF(ISNUMBER(对照快照!AK308),对照快照!AK308,"")</f>
        <v/>
      </c>
      <c r="G243" s="13">
        <f t="shared" si="9"/>
        <v>0</v>
      </c>
      <c r="H243" s="13">
        <f t="shared" si="10"/>
        <v>0</v>
      </c>
      <c r="I243" s="13">
        <f t="shared" si="11"/>
        <v>0</v>
      </c>
      <c r="J243" s="15" t="str">
        <f>IF(ISNUMBER('Sheet2-计算明细'!AJ46),'Sheet2-计算明细'!AJ46,IF('Sheet2-计算明细'!AJ46="","",'Sheet2-计算明细'!AJ46))</f>
        <v/>
      </c>
      <c r="K243" s="15" t="str">
        <f>IF(ISNUMBER(对照快照!AJ308),对照快照!AJ308,IF(对照快照!AJ308="","",对照快照!AJ308))</f>
        <v/>
      </c>
      <c r="L243" s="9" t="s">
        <v>1538</v>
      </c>
    </row>
    <row r="244" ht="25" customHeight="1" spans="1:12">
      <c r="A244" s="9" t="s">
        <v>231</v>
      </c>
      <c r="B244" s="9" t="s">
        <v>229</v>
      </c>
      <c r="C244" s="9" t="s">
        <v>538</v>
      </c>
      <c r="D244" s="12">
        <v>0.06</v>
      </c>
      <c r="E244" s="13">
        <f>IF(ISNUMBER('Sheet2-计算明细'!I47),'Sheet2-计算明细'!I47,"")</f>
        <v>60</v>
      </c>
      <c r="F244" s="13">
        <f>IF(ISNUMBER(对照快照!I144),对照快照!I144,"")</f>
        <v>60</v>
      </c>
      <c r="G244" s="13">
        <f t="shared" si="9"/>
        <v>3.6</v>
      </c>
      <c r="H244" s="13">
        <f t="shared" si="10"/>
        <v>3.6</v>
      </c>
      <c r="I244" s="13">
        <f t="shared" si="11"/>
        <v>0</v>
      </c>
      <c r="J244" s="15" t="str">
        <f>IF(ISNUMBER('Sheet2-计算明细'!H47),'Sheet2-计算明细'!H47,IF('Sheet2-计算明细'!H47="","",'Sheet2-计算明细'!H47))</f>
        <v>0-5亿元</v>
      </c>
      <c r="K244" s="15" t="str">
        <f>IF(ISNUMBER(对照快照!H144),对照快照!H144,IF(对照快照!H144="","",对照快照!H144))</f>
        <v>0-5亿元</v>
      </c>
      <c r="L244" s="9" t="s">
        <v>1538</v>
      </c>
    </row>
    <row r="245" ht="25" customHeight="1" spans="1:12">
      <c r="A245" s="9" t="s">
        <v>231</v>
      </c>
      <c r="B245" s="9" t="s">
        <v>229</v>
      </c>
      <c r="C245" s="9" t="s">
        <v>543</v>
      </c>
      <c r="D245" s="12">
        <v>0.045</v>
      </c>
      <c r="E245" s="13">
        <f>IF(ISNUMBER('Sheet2-计算明细'!K47),'Sheet2-计算明细'!K47,"")</f>
        <v>100</v>
      </c>
      <c r="F245" s="13">
        <f>IF(ISNUMBER(对照快照!K144),对照快照!K144,"")</f>
        <v>100</v>
      </c>
      <c r="G245" s="13">
        <f t="shared" si="9"/>
        <v>4.5</v>
      </c>
      <c r="H245" s="13">
        <f t="shared" si="10"/>
        <v>4.5</v>
      </c>
      <c r="I245" s="13">
        <f t="shared" si="11"/>
        <v>0</v>
      </c>
      <c r="J245" s="15" t="str">
        <f>IF(ISNUMBER('Sheet2-计算明细'!J47),'Sheet2-计算明细'!J47,IF('Sheet2-计算明细'!J47="","",'Sheet2-计算明细'!J47))</f>
        <v>无低于1000万元标识</v>
      </c>
      <c r="K245" s="15" t="str">
        <f>IF(ISNUMBER(对照快照!J144),对照快照!J144,IF(对照快照!J144="","",对照快照!J144))</f>
        <v>无低于1000万元标识</v>
      </c>
      <c r="L245" s="9" t="s">
        <v>1538</v>
      </c>
    </row>
    <row r="246" ht="25" customHeight="1" spans="1:12">
      <c r="A246" s="9" t="s">
        <v>231</v>
      </c>
      <c r="B246" s="9" t="s">
        <v>229</v>
      </c>
      <c r="C246" s="9" t="s">
        <v>547</v>
      </c>
      <c r="D246" s="12">
        <v>0.045</v>
      </c>
      <c r="E246" s="13">
        <f>IF(ISNUMBER('Sheet2-计算明细'!L47),'Sheet2-计算明细'!L47,"")</f>
        <v>100</v>
      </c>
      <c r="F246" s="13">
        <f>IF(ISNUMBER(对照快照!L144),对照快照!L144,"")</f>
        <v>100</v>
      </c>
      <c r="G246" s="13">
        <f t="shared" si="9"/>
        <v>4.5</v>
      </c>
      <c r="H246" s="13">
        <f t="shared" si="10"/>
        <v>4.5</v>
      </c>
      <c r="I246" s="13">
        <f t="shared" si="11"/>
        <v>0</v>
      </c>
      <c r="J246" s="15">
        <f>IF(ISNUMBER('Sheet2-计算明细'!F47),'Sheet2-计算明细'!F47,IF('Sheet2-计算明细'!F47="","",'Sheet2-计算明细'!F47))</f>
        <v>5.3443</v>
      </c>
      <c r="K246" s="15">
        <f>IF(ISNUMBER(对照快照!F144),对照快照!F144,IF(对照快照!F144="","",对照快照!F144))</f>
        <v>5.3361</v>
      </c>
      <c r="L246" s="9" t="s">
        <v>1538</v>
      </c>
    </row>
    <row r="247" ht="25" customHeight="1" spans="1:12">
      <c r="A247" s="9" t="s">
        <v>231</v>
      </c>
      <c r="B247" s="9" t="s">
        <v>229</v>
      </c>
      <c r="C247" s="9" t="s">
        <v>1539</v>
      </c>
      <c r="D247" s="12">
        <v>0.084</v>
      </c>
      <c r="E247" s="13">
        <f>IF(ISNUMBER('Sheet2-计算明细'!Q47),'Sheet2-计算明细'!Q47,"")</f>
        <v>63.89</v>
      </c>
      <c r="F247" s="13">
        <f>IF(ISNUMBER(对照快照!Q144),对照快照!Q144,"")</f>
        <v>75.08</v>
      </c>
      <c r="G247" s="13">
        <f t="shared" si="9"/>
        <v>5.36676</v>
      </c>
      <c r="H247" s="13">
        <f t="shared" si="10"/>
        <v>6.30672</v>
      </c>
      <c r="I247" s="13">
        <f t="shared" si="11"/>
        <v>-0.93996</v>
      </c>
      <c r="J247" s="15">
        <f>IF(ISNUMBER('Sheet2-计算明细'!M47),'Sheet2-计算明细'!M47,IF('Sheet2-计算明细'!M47="","",'Sheet2-计算明细'!M47))</f>
        <v>0.109031152301643</v>
      </c>
      <c r="K247" s="15">
        <f>IF(ISNUMBER(对照快照!M144),对照快照!M144,IF(对照快照!M144="","",对照快照!M144))</f>
        <v>0.1069</v>
      </c>
      <c r="L247" s="9" t="s">
        <v>1540</v>
      </c>
    </row>
    <row r="248" ht="25" customHeight="1" spans="1:12">
      <c r="A248" s="9" t="s">
        <v>231</v>
      </c>
      <c r="B248" s="9" t="s">
        <v>229</v>
      </c>
      <c r="C248" s="9" t="s">
        <v>1541</v>
      </c>
      <c r="D248" s="12">
        <v>0.056</v>
      </c>
      <c r="E248" s="13">
        <f>IF(ISNUMBER('Sheet2-计算明细'!R47),'Sheet2-计算明细'!R47,"")</f>
        <v>40.91</v>
      </c>
      <c r="F248" s="13">
        <f>IF(ISNUMBER(对照快照!R144),对照快照!R144,"")</f>
        <v>49.52</v>
      </c>
      <c r="G248" s="13">
        <f t="shared" si="9"/>
        <v>2.29096</v>
      </c>
      <c r="H248" s="13">
        <f t="shared" si="10"/>
        <v>2.77312</v>
      </c>
      <c r="I248" s="13">
        <f t="shared" si="11"/>
        <v>-0.48216</v>
      </c>
      <c r="J248" s="15">
        <f>IF(ISNUMBER('Sheet2-计算明细'!P47),'Sheet2-计算明细'!P47,IF('Sheet2-计算明细'!P47="","",'Sheet2-计算明细'!P47))</f>
        <v>0.0663351020331149</v>
      </c>
      <c r="K248" s="15">
        <f>IF(ISNUMBER(对照快照!P144),对照快照!P144,IF(对照快照!P144="","",对照快照!P144))</f>
        <v>0.0673888689782063</v>
      </c>
      <c r="L248" s="9" t="s">
        <v>1540</v>
      </c>
    </row>
    <row r="249" ht="25" customHeight="1" spans="1:12">
      <c r="A249" s="9" t="s">
        <v>231</v>
      </c>
      <c r="B249" s="9" t="s">
        <v>229</v>
      </c>
      <c r="C249" s="9" t="s">
        <v>690</v>
      </c>
      <c r="D249" s="12">
        <v>0.036</v>
      </c>
      <c r="E249" s="13" t="str">
        <f>IF(ISNUMBER('Sheet2-计算明细'!W47),'Sheet2-计算明细'!W47,"")</f>
        <v/>
      </c>
      <c r="F249" s="13">
        <f>IF(ISNUMBER(对照快照!W144),对照快照!W144,"")</f>
        <v>100</v>
      </c>
      <c r="G249" s="13">
        <f t="shared" si="9"/>
        <v>0</v>
      </c>
      <c r="H249" s="13">
        <f t="shared" si="10"/>
        <v>3.6</v>
      </c>
      <c r="I249" s="13">
        <f t="shared" si="11"/>
        <v>-3.6</v>
      </c>
      <c r="J249" s="15" t="str">
        <f>IF(ISNUMBER('Sheet2-计算明细'!T47),'Sheet2-计算明细'!T47,IF('Sheet2-计算明细'!T47="","",'Sheet2-计算明细'!T47))</f>
        <v/>
      </c>
      <c r="K249" s="15">
        <f>IF(ISNUMBER(对照快照!T144),对照快照!T144,IF(对照快照!T144="","",对照快照!T144))</f>
        <v>1</v>
      </c>
      <c r="L249" s="9" t="s">
        <v>1538</v>
      </c>
    </row>
    <row r="250" ht="25" customHeight="1" spans="1:12">
      <c r="A250" s="9" t="s">
        <v>231</v>
      </c>
      <c r="B250" s="9" t="s">
        <v>229</v>
      </c>
      <c r="C250" s="9" t="s">
        <v>692</v>
      </c>
      <c r="D250" s="12">
        <v>0.024</v>
      </c>
      <c r="E250" s="13" t="str">
        <f>IF(ISNUMBER('Sheet2-计算明细'!X47),'Sheet2-计算明细'!X47,"")</f>
        <v/>
      </c>
      <c r="F250" s="13">
        <f>IF(ISNUMBER(对照快照!X144),对照快照!X144,"")</f>
        <v>95.8375</v>
      </c>
      <c r="G250" s="13">
        <f t="shared" si="9"/>
        <v>0</v>
      </c>
      <c r="H250" s="13">
        <f t="shared" si="10"/>
        <v>2.3001</v>
      </c>
      <c r="I250" s="13">
        <f t="shared" si="11"/>
        <v>-2.3001</v>
      </c>
      <c r="J250" s="15" t="str">
        <f>IF(ISNUMBER('Sheet2-计算明细'!V47),'Sheet2-计算明细'!V47,IF('Sheet2-计算明细'!V47="","",'Sheet2-计算明细'!V47))</f>
        <v/>
      </c>
      <c r="K250" s="15">
        <f>IF(ISNUMBER(对照快照!V144),对照快照!V144,IF(对照快照!V144="","",对照快照!V144))</f>
        <v>0.958375</v>
      </c>
      <c r="L250" s="9" t="s">
        <v>1538</v>
      </c>
    </row>
    <row r="251" ht="25" customHeight="1" spans="1:12">
      <c r="A251" s="9" t="s">
        <v>231</v>
      </c>
      <c r="B251" s="9" t="s">
        <v>229</v>
      </c>
      <c r="C251" s="9" t="s">
        <v>1542</v>
      </c>
      <c r="D251" s="12">
        <v>0.25</v>
      </c>
      <c r="E251" s="13">
        <f>IF(ISNUMBER('Sheet2-计算明细'!AC47),'Sheet2-计算明细'!AC47,"")</f>
        <v>77.03</v>
      </c>
      <c r="F251" s="13">
        <f>IF(ISNUMBER(对照快照!AC144),对照快照!AC144,"")</f>
        <v>86.86</v>
      </c>
      <c r="G251" s="13">
        <f t="shared" si="9"/>
        <v>19.2575</v>
      </c>
      <c r="H251" s="13">
        <f t="shared" si="10"/>
        <v>21.715</v>
      </c>
      <c r="I251" s="13">
        <f t="shared" si="11"/>
        <v>-2.4575</v>
      </c>
      <c r="J251" s="15">
        <f>IF(ISNUMBER('Sheet2-计算明细'!AB47),'Sheet2-计算明细'!AB47,IF('Sheet2-计算明细'!AB47="","",'Sheet2-计算明细'!AB47))</f>
        <v>0.00826733361122689</v>
      </c>
      <c r="K251" s="15">
        <f>IF(ISNUMBER(对照快照!AB144),对照快照!AB144,IF(对照快照!AB144="","",对照快照!AB144))</f>
        <v>0.0083</v>
      </c>
      <c r="L251" s="9" t="s">
        <v>1540</v>
      </c>
    </row>
    <row r="252" ht="25" customHeight="1" spans="1:12">
      <c r="A252" s="9" t="s">
        <v>231</v>
      </c>
      <c r="B252" s="9" t="s">
        <v>229</v>
      </c>
      <c r="C252" s="9" t="s">
        <v>1543</v>
      </c>
      <c r="D252" s="12">
        <v>0.18</v>
      </c>
      <c r="E252" s="13">
        <f>IF(ISNUMBER('Sheet2-计算明细'!AG47),'Sheet2-计算明细'!AG47,"")</f>
        <v>63.38</v>
      </c>
      <c r="F252" s="13">
        <f>IF(ISNUMBER(对照快照!AG144),对照快照!AG144,"")</f>
        <v>85.21</v>
      </c>
      <c r="G252" s="13">
        <f t="shared" si="9"/>
        <v>11.4084</v>
      </c>
      <c r="H252" s="13">
        <f t="shared" si="10"/>
        <v>15.3378</v>
      </c>
      <c r="I252" s="13">
        <f t="shared" si="11"/>
        <v>-3.9294</v>
      </c>
      <c r="J252" s="15">
        <f>IF(ISNUMBER('Sheet2-计算明细'!AD47),'Sheet2-计算明细'!AD47,IF('Sheet2-计算明细'!AD47="","",'Sheet2-计算明细'!AD47))</f>
        <v>13.1881882876458</v>
      </c>
      <c r="K252" s="15">
        <f>IF(ISNUMBER(对照快照!AD144),对照快照!AD144,IF(对照快照!AD144="","",对照快照!AD144))</f>
        <v>12.9291</v>
      </c>
      <c r="L252" s="9" t="s">
        <v>1540</v>
      </c>
    </row>
    <row r="253" ht="25" customHeight="1" spans="1:12">
      <c r="A253" s="9" t="s">
        <v>231</v>
      </c>
      <c r="B253" s="9" t="s">
        <v>229</v>
      </c>
      <c r="C253" s="9" t="s">
        <v>1544</v>
      </c>
      <c r="D253" s="12">
        <v>0.12</v>
      </c>
      <c r="E253" s="13" t="str">
        <f>IF(ISNUMBER('Sheet2-计算明细'!AH47),'Sheet2-计算明细'!AH47,"")</f>
        <v/>
      </c>
      <c r="F253" s="13" t="str">
        <f>IF(ISNUMBER(对照快照!AH144),对照快照!AH144,"")</f>
        <v/>
      </c>
      <c r="G253" s="13">
        <f t="shared" si="9"/>
        <v>0</v>
      </c>
      <c r="H253" s="13">
        <f t="shared" si="10"/>
        <v>0</v>
      </c>
      <c r="I253" s="13">
        <f t="shared" si="11"/>
        <v>0</v>
      </c>
      <c r="J253" s="15" t="str">
        <f>IF(ISNUMBER('Sheet2-计算明细'!AF47),'Sheet2-计算明细'!AF47,IF('Sheet2-计算明细'!AF47="","",'Sheet2-计算明细'!AF47))</f>
        <v/>
      </c>
      <c r="K253" s="15" t="str">
        <f>IF(ISNUMBER(对照快照!AF144),对照快照!AF144,IF(对照快照!AF144="","",对照快照!AF144))</f>
        <v/>
      </c>
      <c r="L253" s="9" t="s">
        <v>1540</v>
      </c>
    </row>
    <row r="254" ht="25" customHeight="1" spans="1:12">
      <c r="A254" s="9" t="s">
        <v>231</v>
      </c>
      <c r="B254" s="9" t="s">
        <v>229</v>
      </c>
      <c r="C254" s="9" t="s">
        <v>574</v>
      </c>
      <c r="D254" s="12">
        <v>0.1</v>
      </c>
      <c r="E254" s="13">
        <f>IF(ISNUMBER('Sheet2-计算明细'!AK47),'Sheet2-计算明细'!AK47,"")</f>
        <v>100</v>
      </c>
      <c r="F254" s="13">
        <f>IF(ISNUMBER(对照快照!AK144),对照快照!AK144,"")</f>
        <v>100</v>
      </c>
      <c r="G254" s="13">
        <f t="shared" si="9"/>
        <v>10</v>
      </c>
      <c r="H254" s="13">
        <f t="shared" si="10"/>
        <v>10</v>
      </c>
      <c r="I254" s="13">
        <f t="shared" si="11"/>
        <v>0</v>
      </c>
      <c r="J254" s="15">
        <f>IF(ISNUMBER('Sheet2-计算明细'!AJ47),'Sheet2-计算明细'!AJ47,IF('Sheet2-计算明细'!AJ47="","",'Sheet2-计算明细'!AJ47))</f>
        <v>0.0803812845919136</v>
      </c>
      <c r="K254" s="15">
        <f>IF(ISNUMBER(对照快照!AJ144),对照快照!AJ144,IF(对照快照!AJ144="","",对照快照!AJ144))</f>
        <v>0.0804</v>
      </c>
      <c r="L254" s="9" t="s">
        <v>1538</v>
      </c>
    </row>
    <row r="255" ht="25" customHeight="1" spans="1:12">
      <c r="A255" s="9" t="s">
        <v>249</v>
      </c>
      <c r="B255" s="9" t="s">
        <v>248</v>
      </c>
      <c r="C255" s="9" t="s">
        <v>538</v>
      </c>
      <c r="D255" s="12">
        <v>0.06</v>
      </c>
      <c r="E255" s="13">
        <f>IF(ISNUMBER('Sheet2-计算明细'!I50),'Sheet2-计算明细'!I50,"")</f>
        <v>90</v>
      </c>
      <c r="F255" s="13">
        <f>IF(ISNUMBER(对照快照!I114),对照快照!I114,"")</f>
        <v>90</v>
      </c>
      <c r="G255" s="13">
        <f t="shared" si="9"/>
        <v>5.4</v>
      </c>
      <c r="H255" s="13">
        <f t="shared" si="10"/>
        <v>5.4</v>
      </c>
      <c r="I255" s="13">
        <f t="shared" si="11"/>
        <v>0</v>
      </c>
      <c r="J255" s="15" t="str">
        <f>IF(ISNUMBER('Sheet2-计算明细'!H50),'Sheet2-计算明细'!H50,IF('Sheet2-计算明细'!H50="","",'Sheet2-计算明细'!H50))</f>
        <v>50-100亿元</v>
      </c>
      <c r="K255" s="15" t="str">
        <f>IF(ISNUMBER(对照快照!H114),对照快照!H114,IF(对照快照!H114="","",对照快照!H114))</f>
        <v>50-100亿元</v>
      </c>
      <c r="L255" s="9" t="s">
        <v>1538</v>
      </c>
    </row>
    <row r="256" ht="25" customHeight="1" spans="1:12">
      <c r="A256" s="9" t="s">
        <v>249</v>
      </c>
      <c r="B256" s="9" t="s">
        <v>248</v>
      </c>
      <c r="C256" s="9" t="s">
        <v>543</v>
      </c>
      <c r="D256" s="12">
        <v>0.045</v>
      </c>
      <c r="E256" s="13">
        <f>IF(ISNUMBER('Sheet2-计算明细'!K50),'Sheet2-计算明细'!K50,"")</f>
        <v>100</v>
      </c>
      <c r="F256" s="13">
        <f>IF(ISNUMBER(对照快照!K114),对照快照!K114,"")</f>
        <v>100</v>
      </c>
      <c r="G256" s="13">
        <f t="shared" si="9"/>
        <v>4.5</v>
      </c>
      <c r="H256" s="13">
        <f t="shared" si="10"/>
        <v>4.5</v>
      </c>
      <c r="I256" s="13">
        <f t="shared" si="11"/>
        <v>0</v>
      </c>
      <c r="J256" s="15" t="str">
        <f>IF(ISNUMBER('Sheet2-计算明细'!J50),'Sheet2-计算明细'!J50,IF('Sheet2-计算明细'!J50="","",'Sheet2-计算明细'!J50))</f>
        <v>无低于1000万元标识</v>
      </c>
      <c r="K256" s="15" t="str">
        <f>IF(ISNUMBER(对照快照!J114),对照快照!J114,IF(对照快照!J114="","",对照快照!J114))</f>
        <v>无低于1000万元标识</v>
      </c>
      <c r="L256" s="9" t="s">
        <v>1538</v>
      </c>
    </row>
    <row r="257" ht="25" customHeight="1" spans="1:12">
      <c r="A257" s="9" t="s">
        <v>249</v>
      </c>
      <c r="B257" s="9" t="s">
        <v>248</v>
      </c>
      <c r="C257" s="9" t="s">
        <v>547</v>
      </c>
      <c r="D257" s="12">
        <v>0.045</v>
      </c>
      <c r="E257" s="13">
        <f>IF(ISNUMBER('Sheet2-计算明细'!L50),'Sheet2-计算明细'!L50,"")</f>
        <v>100</v>
      </c>
      <c r="F257" s="13">
        <f>IF(ISNUMBER(对照快照!L114),对照快照!L114,"")</f>
        <v>100</v>
      </c>
      <c r="G257" s="13">
        <f t="shared" si="9"/>
        <v>4.5</v>
      </c>
      <c r="H257" s="13">
        <f t="shared" si="10"/>
        <v>4.5</v>
      </c>
      <c r="I257" s="13">
        <f t="shared" si="11"/>
        <v>0</v>
      </c>
      <c r="J257" s="15">
        <f>IF(ISNUMBER('Sheet2-计算明细'!F50),'Sheet2-计算明细'!F50,IF('Sheet2-计算明细'!F50="","",'Sheet2-计算明细'!F50))</f>
        <v>5.692</v>
      </c>
      <c r="K257" s="15">
        <f>IF(ISNUMBER(对照快照!F114),对照快照!F114,IF(对照快照!F114="","",对照快照!F114))</f>
        <v>5.6838</v>
      </c>
      <c r="L257" s="9" t="s">
        <v>1538</v>
      </c>
    </row>
    <row r="258" ht="25" customHeight="1" spans="1:12">
      <c r="A258" s="9" t="s">
        <v>249</v>
      </c>
      <c r="B258" s="9" t="s">
        <v>248</v>
      </c>
      <c r="C258" s="9" t="s">
        <v>1539</v>
      </c>
      <c r="D258" s="12">
        <v>0.084</v>
      </c>
      <c r="E258" s="13">
        <f>IF(ISNUMBER('Sheet2-计算明细'!Q50),'Sheet2-计算明细'!Q50,"")</f>
        <v>27.78</v>
      </c>
      <c r="F258" s="13">
        <f>IF(ISNUMBER(对照快照!Q114),对照快照!Q114,"")</f>
        <v>51.28</v>
      </c>
      <c r="G258" s="13">
        <f t="shared" ref="G258:G321" si="12">IF(ISNUMBER(E258),D258*E258,0)</f>
        <v>2.33352</v>
      </c>
      <c r="H258" s="13">
        <f t="shared" ref="H258:H321" si="13">IF(ISNUMBER(F258),D258*F258,0)</f>
        <v>4.30752</v>
      </c>
      <c r="I258" s="13">
        <f t="shared" ref="I258:I321" si="14">G258-H258</f>
        <v>-1.974</v>
      </c>
      <c r="J258" s="15">
        <f>IF(ISNUMBER('Sheet2-计算明细'!M50),'Sheet2-计算明细'!M50,IF('Sheet2-计算明细'!M50="","",'Sheet2-计算明细'!M50))</f>
        <v>0.0648994493369395</v>
      </c>
      <c r="K258" s="15">
        <f>IF(ISNUMBER(对照快照!M114),对照快照!M114,IF(对照快照!M114="","",对照快照!M114))</f>
        <v>0.0652</v>
      </c>
      <c r="L258" s="9" t="s">
        <v>1540</v>
      </c>
    </row>
    <row r="259" ht="25" customHeight="1" spans="1:12">
      <c r="A259" s="9" t="s">
        <v>249</v>
      </c>
      <c r="B259" s="9" t="s">
        <v>248</v>
      </c>
      <c r="C259" s="9" t="s">
        <v>1541</v>
      </c>
      <c r="D259" s="12">
        <v>0.056</v>
      </c>
      <c r="E259" s="13">
        <f>IF(ISNUMBER('Sheet2-计算明细'!R50),'Sheet2-计算明细'!R50,"")</f>
        <v>68.18</v>
      </c>
      <c r="F259" s="13">
        <f>IF(ISNUMBER(对照快照!R114),对照快照!R114,"")</f>
        <v>69.05</v>
      </c>
      <c r="G259" s="13">
        <f t="shared" si="12"/>
        <v>3.81808</v>
      </c>
      <c r="H259" s="13">
        <f t="shared" si="13"/>
        <v>3.8668</v>
      </c>
      <c r="I259" s="13">
        <f t="shared" si="14"/>
        <v>-0.0487199999999994</v>
      </c>
      <c r="J259" s="15">
        <f>IF(ISNUMBER('Sheet2-计算明细'!P50),'Sheet2-计算明细'!P50,IF('Sheet2-计算明细'!P50="","",'Sheet2-计算明细'!P50))</f>
        <v>0.0959250844458095</v>
      </c>
      <c r="K259" s="15">
        <f>IF(ISNUMBER(对照快照!P114),对照快照!P114,IF(对照快照!P114="","",对照快照!P114))</f>
        <v>0.0977636999139055</v>
      </c>
      <c r="L259" s="9" t="s">
        <v>1540</v>
      </c>
    </row>
    <row r="260" ht="25" customHeight="1" spans="1:12">
      <c r="A260" s="9" t="s">
        <v>249</v>
      </c>
      <c r="B260" s="9" t="s">
        <v>248</v>
      </c>
      <c r="C260" s="9" t="s">
        <v>690</v>
      </c>
      <c r="D260" s="12">
        <v>0.036</v>
      </c>
      <c r="E260" s="13">
        <f>IF(ISNUMBER('Sheet2-计算明细'!W50),'Sheet2-计算明细'!W50,"")</f>
        <v>100</v>
      </c>
      <c r="F260" s="13">
        <f>IF(ISNUMBER(对照快照!W114),对照快照!W114,"")</f>
        <v>100</v>
      </c>
      <c r="G260" s="13">
        <f t="shared" si="12"/>
        <v>3.6</v>
      </c>
      <c r="H260" s="13">
        <f t="shared" si="13"/>
        <v>3.6</v>
      </c>
      <c r="I260" s="13">
        <f t="shared" si="14"/>
        <v>0</v>
      </c>
      <c r="J260" s="15">
        <f>IF(ISNUMBER('Sheet2-计算明细'!T50),'Sheet2-计算明细'!T50,IF('Sheet2-计算明细'!T50="","",'Sheet2-计算明细'!T50))</f>
        <v>1</v>
      </c>
      <c r="K260" s="15">
        <f>IF(ISNUMBER(对照快照!T114),对照快照!T114,IF(对照快照!T114="","",对照快照!T114))</f>
        <v>1</v>
      </c>
      <c r="L260" s="9" t="s">
        <v>1538</v>
      </c>
    </row>
    <row r="261" ht="25" customHeight="1" spans="1:12">
      <c r="A261" s="9" t="s">
        <v>249</v>
      </c>
      <c r="B261" s="9" t="s">
        <v>248</v>
      </c>
      <c r="C261" s="9" t="s">
        <v>692</v>
      </c>
      <c r="D261" s="12">
        <v>0.024</v>
      </c>
      <c r="E261" s="13">
        <f>IF(ISNUMBER('Sheet2-计算明细'!X50),'Sheet2-计算明细'!X50,"")</f>
        <v>87.5</v>
      </c>
      <c r="F261" s="13">
        <f>IF(ISNUMBER(对照快照!X114),对照快照!X114,"")</f>
        <v>87.4970833333334</v>
      </c>
      <c r="G261" s="13">
        <f t="shared" si="12"/>
        <v>2.1</v>
      </c>
      <c r="H261" s="13">
        <f t="shared" si="13"/>
        <v>2.09993</v>
      </c>
      <c r="I261" s="13">
        <f t="shared" si="14"/>
        <v>6.99999999982381e-5</v>
      </c>
      <c r="J261" s="15">
        <f>IF(ISNUMBER('Sheet2-计算明细'!V50),'Sheet2-计算明细'!V50,IF('Sheet2-计算明细'!V50="","",'Sheet2-计算明细'!V50))</f>
        <v>0.875</v>
      </c>
      <c r="K261" s="15">
        <f>IF(ISNUMBER(对照快照!V114),对照快照!V114,IF(对照快照!V114="","",对照快照!V114))</f>
        <v>0.874970833333334</v>
      </c>
      <c r="L261" s="9" t="s">
        <v>1538</v>
      </c>
    </row>
    <row r="262" ht="25" customHeight="1" spans="1:12">
      <c r="A262" s="9" t="s">
        <v>249</v>
      </c>
      <c r="B262" s="9" t="s">
        <v>248</v>
      </c>
      <c r="C262" s="9" t="s">
        <v>1542</v>
      </c>
      <c r="D262" s="12">
        <v>0.25</v>
      </c>
      <c r="E262" s="13">
        <f>IF(ISNUMBER('Sheet2-计算明细'!AC50),'Sheet2-计算明细'!AC50,"")</f>
        <v>95.95</v>
      </c>
      <c r="F262" s="13">
        <f>IF(ISNUMBER(对照快照!AC114),对照快照!AC114,"")</f>
        <v>97.28</v>
      </c>
      <c r="G262" s="13">
        <f t="shared" si="12"/>
        <v>23.9875</v>
      </c>
      <c r="H262" s="13">
        <f t="shared" si="13"/>
        <v>24.32</v>
      </c>
      <c r="I262" s="13">
        <f t="shared" si="14"/>
        <v>-0.3325</v>
      </c>
      <c r="J262" s="15">
        <f>IF(ISNUMBER('Sheet2-计算明细'!AB50),'Sheet2-计算明细'!AB50,IF('Sheet2-计算明细'!AB50="","",'Sheet2-计算明细'!AB50))</f>
        <v>0.003369637162284</v>
      </c>
      <c r="K262" s="15">
        <f>IF(ISNUMBER(对照快照!AB114),对照快照!AB114,IF(对照快照!AB114="","",对照快照!AB114))</f>
        <v>0.0033</v>
      </c>
      <c r="L262" s="9" t="s">
        <v>1540</v>
      </c>
    </row>
    <row r="263" ht="25" customHeight="1" spans="1:12">
      <c r="A263" s="9" t="s">
        <v>249</v>
      </c>
      <c r="B263" s="9" t="s">
        <v>248</v>
      </c>
      <c r="C263" s="9" t="s">
        <v>1543</v>
      </c>
      <c r="D263" s="12">
        <v>0.18</v>
      </c>
      <c r="E263" s="13">
        <f>IF(ISNUMBER('Sheet2-计算明细'!AG50),'Sheet2-计算明细'!AG50,"")</f>
        <v>91.55</v>
      </c>
      <c r="F263" s="13">
        <f>IF(ISNUMBER(对照快照!AG114),对照快照!AG114,"")</f>
        <v>96.78</v>
      </c>
      <c r="G263" s="13">
        <f t="shared" si="12"/>
        <v>16.479</v>
      </c>
      <c r="H263" s="13">
        <f t="shared" si="13"/>
        <v>17.4204</v>
      </c>
      <c r="I263" s="13">
        <f t="shared" si="14"/>
        <v>-0.941400000000002</v>
      </c>
      <c r="J263" s="15">
        <f>IF(ISNUMBER('Sheet2-计算明细'!AD50),'Sheet2-计算明细'!AD50,IF('Sheet2-计算明细'!AD50="","",'Sheet2-计算明细'!AD50))</f>
        <v>43.8279888397176</v>
      </c>
      <c r="K263" s="15">
        <f>IF(ISNUMBER(对照快照!AD114),对照快照!AD114,IF(对照快照!AD114="","",对照快照!AD114))</f>
        <v>44.8705</v>
      </c>
      <c r="L263" s="9" t="s">
        <v>1540</v>
      </c>
    </row>
    <row r="264" ht="25" customHeight="1" spans="1:12">
      <c r="A264" s="9" t="s">
        <v>249</v>
      </c>
      <c r="B264" s="9" t="s">
        <v>248</v>
      </c>
      <c r="C264" s="9" t="s">
        <v>1544</v>
      </c>
      <c r="D264" s="12">
        <v>0.12</v>
      </c>
      <c r="E264" s="13">
        <f>IF(ISNUMBER('Sheet2-计算明细'!AH50),'Sheet2-计算明细'!AH50,"")</f>
        <v>100</v>
      </c>
      <c r="F264" s="13">
        <f>IF(ISNUMBER(对照快照!AH114),对照快照!AH114,"")</f>
        <v>98.58</v>
      </c>
      <c r="G264" s="13">
        <f t="shared" si="12"/>
        <v>12</v>
      </c>
      <c r="H264" s="13">
        <f t="shared" si="13"/>
        <v>11.8296</v>
      </c>
      <c r="I264" s="13">
        <f t="shared" si="14"/>
        <v>0.170400000000001</v>
      </c>
      <c r="J264" s="15">
        <f>IF(ISNUMBER('Sheet2-计算明细'!AF50),'Sheet2-计算明细'!AF50,IF('Sheet2-计算明细'!AF50="","",'Sheet2-计算明细'!AF50))</f>
        <v>28.4674817572316</v>
      </c>
      <c r="K264" s="15">
        <f>IF(ISNUMBER(对照快照!AF114),对照快照!AF114,IF(对照快照!AF114="","",对照快照!AF114))</f>
        <v>29.6253636102744</v>
      </c>
      <c r="L264" s="9" t="s">
        <v>1540</v>
      </c>
    </row>
    <row r="265" ht="25" customHeight="1" spans="1:12">
      <c r="A265" s="9" t="s">
        <v>249</v>
      </c>
      <c r="B265" s="9" t="s">
        <v>248</v>
      </c>
      <c r="C265" s="9" t="s">
        <v>574</v>
      </c>
      <c r="D265" s="12">
        <v>0.1</v>
      </c>
      <c r="E265" s="13">
        <f>IF(ISNUMBER('Sheet2-计算明细'!AK50),'Sheet2-计算明细'!AK50,"")</f>
        <v>80</v>
      </c>
      <c r="F265" s="13">
        <f>IF(ISNUMBER(对照快照!AK114),对照快照!AK114,"")</f>
        <v>80</v>
      </c>
      <c r="G265" s="13">
        <f t="shared" si="12"/>
        <v>8</v>
      </c>
      <c r="H265" s="13">
        <f t="shared" si="13"/>
        <v>8</v>
      </c>
      <c r="I265" s="13">
        <f t="shared" si="14"/>
        <v>0</v>
      </c>
      <c r="J265" s="15">
        <f>IF(ISNUMBER('Sheet2-计算明细'!AJ50),'Sheet2-计算明细'!AJ50,IF('Sheet2-计算明细'!AJ50="","",'Sheet2-计算明细'!AJ50))</f>
        <v>0.0854840487275965</v>
      </c>
      <c r="K265" s="15">
        <f>IF(ISNUMBER(对照快照!AJ114),对照快照!AJ114,IF(对照快照!AJ114="","",对照快照!AJ114))</f>
        <v>0.0868</v>
      </c>
      <c r="L265" s="9" t="s">
        <v>1538</v>
      </c>
    </row>
    <row r="266" ht="25" customHeight="1" spans="1:12">
      <c r="A266" s="9" t="s">
        <v>255</v>
      </c>
      <c r="B266" s="9" t="s">
        <v>254</v>
      </c>
      <c r="C266" s="9" t="s">
        <v>538</v>
      </c>
      <c r="D266" s="12">
        <v>0.06</v>
      </c>
      <c r="E266" s="13">
        <f>IF(ISNUMBER('Sheet2-计算明细'!I51),'Sheet2-计算明细'!I51,"")</f>
        <v>70</v>
      </c>
      <c r="F266" s="13">
        <f>IF(ISNUMBER(对照快照!I41),对照快照!I41,"")</f>
        <v>70</v>
      </c>
      <c r="G266" s="13">
        <f t="shared" si="12"/>
        <v>4.2</v>
      </c>
      <c r="H266" s="13">
        <f t="shared" si="13"/>
        <v>4.2</v>
      </c>
      <c r="I266" s="13">
        <f t="shared" si="14"/>
        <v>0</v>
      </c>
      <c r="J266" s="15" t="str">
        <f>IF(ISNUMBER('Sheet2-计算明细'!H51),'Sheet2-计算明细'!H51,IF('Sheet2-计算明细'!H51="","",'Sheet2-计算明细'!H51))</f>
        <v>5-10亿元</v>
      </c>
      <c r="K266" s="15" t="str">
        <f>IF(ISNUMBER(对照快照!H41),对照快照!H41,IF(对照快照!H41="","",对照快照!H41))</f>
        <v>5-10亿元</v>
      </c>
      <c r="L266" s="9" t="s">
        <v>1538</v>
      </c>
    </row>
    <row r="267" ht="25" customHeight="1" spans="1:12">
      <c r="A267" s="9" t="s">
        <v>255</v>
      </c>
      <c r="B267" s="9" t="s">
        <v>254</v>
      </c>
      <c r="C267" s="9" t="s">
        <v>543</v>
      </c>
      <c r="D267" s="12">
        <v>0.045</v>
      </c>
      <c r="E267" s="13">
        <f>IF(ISNUMBER('Sheet2-计算明细'!K51),'Sheet2-计算明细'!K51,"")</f>
        <v>100</v>
      </c>
      <c r="F267" s="13">
        <f>IF(ISNUMBER(对照快照!K41),对照快照!K41,"")</f>
        <v>100</v>
      </c>
      <c r="G267" s="13">
        <f t="shared" si="12"/>
        <v>4.5</v>
      </c>
      <c r="H267" s="13">
        <f t="shared" si="13"/>
        <v>4.5</v>
      </c>
      <c r="I267" s="13">
        <f t="shared" si="14"/>
        <v>0</v>
      </c>
      <c r="J267" s="15" t="str">
        <f>IF(ISNUMBER('Sheet2-计算明细'!J51),'Sheet2-计算明细'!J51,IF('Sheet2-计算明细'!J51="","",'Sheet2-计算明细'!J51))</f>
        <v>无低于1000万元标识</v>
      </c>
      <c r="K267" s="15" t="str">
        <f>IF(ISNUMBER(对照快照!J41),对照快照!J41,IF(对照快照!J41="","",对照快照!J41))</f>
        <v>无低于1000万元标识</v>
      </c>
      <c r="L267" s="9" t="s">
        <v>1538</v>
      </c>
    </row>
    <row r="268" ht="25" customHeight="1" spans="1:12">
      <c r="A268" s="9" t="s">
        <v>255</v>
      </c>
      <c r="B268" s="9" t="s">
        <v>254</v>
      </c>
      <c r="C268" s="9" t="s">
        <v>547</v>
      </c>
      <c r="D268" s="12">
        <v>0.045</v>
      </c>
      <c r="E268" s="13">
        <f>IF(ISNUMBER('Sheet2-计算明细'!L51),'Sheet2-计算明细'!L51,"")</f>
        <v>100</v>
      </c>
      <c r="F268" s="13">
        <f>IF(ISNUMBER(对照快照!L41),对照快照!L41,"")</f>
        <v>100</v>
      </c>
      <c r="G268" s="13">
        <f t="shared" si="12"/>
        <v>4.5</v>
      </c>
      <c r="H268" s="13">
        <f t="shared" si="13"/>
        <v>4.5</v>
      </c>
      <c r="I268" s="13">
        <f t="shared" si="14"/>
        <v>0</v>
      </c>
      <c r="J268" s="15">
        <f>IF(ISNUMBER('Sheet2-计算明细'!F51),'Sheet2-计算明细'!F51,IF('Sheet2-计算明细'!F51="","",'Sheet2-计算明细'!F51))</f>
        <v>4.8898</v>
      </c>
      <c r="K268" s="15">
        <f>IF(ISNUMBER(对照快照!F41),对照快照!F41,IF(对照快照!F41="","",对照快照!F41))</f>
        <v>4.8816</v>
      </c>
      <c r="L268" s="9" t="s">
        <v>1538</v>
      </c>
    </row>
    <row r="269" ht="25" customHeight="1" spans="1:12">
      <c r="A269" s="9" t="s">
        <v>255</v>
      </c>
      <c r="B269" s="9" t="s">
        <v>254</v>
      </c>
      <c r="C269" s="9" t="s">
        <v>1539</v>
      </c>
      <c r="D269" s="12">
        <v>0.084</v>
      </c>
      <c r="E269" s="13">
        <f>IF(ISNUMBER('Sheet2-计算明细'!Q51),'Sheet2-计算明细'!Q51,"")</f>
        <v>48.61</v>
      </c>
      <c r="F269" s="13">
        <f>IF(ISNUMBER(对照快照!Q41),对照快照!Q41,"")</f>
        <v>65.81</v>
      </c>
      <c r="G269" s="13">
        <f t="shared" si="12"/>
        <v>4.08324</v>
      </c>
      <c r="H269" s="13">
        <f t="shared" si="13"/>
        <v>5.52804</v>
      </c>
      <c r="I269" s="13">
        <f t="shared" si="14"/>
        <v>-1.4448</v>
      </c>
      <c r="J269" s="15">
        <f>IF(ISNUMBER('Sheet2-计算明细'!M51),'Sheet2-计算明细'!M51,IF('Sheet2-计算明细'!M51="","",'Sheet2-计算明细'!M51))</f>
        <v>0.0869</v>
      </c>
      <c r="K269" s="15">
        <f>IF(ISNUMBER(对照快照!M41),对照快照!M41,IF(对照快照!M41="","",对照快照!M41))</f>
        <v>0.0859</v>
      </c>
      <c r="L269" s="9" t="s">
        <v>1540</v>
      </c>
    </row>
    <row r="270" ht="25" customHeight="1" spans="1:12">
      <c r="A270" s="9" t="s">
        <v>255</v>
      </c>
      <c r="B270" s="9" t="s">
        <v>254</v>
      </c>
      <c r="C270" s="9" t="s">
        <v>1541</v>
      </c>
      <c r="D270" s="12">
        <v>0.056</v>
      </c>
      <c r="E270" s="13">
        <f>IF(ISNUMBER('Sheet2-计算明细'!R51),'Sheet2-计算明细'!R51,"")</f>
        <v>6.06</v>
      </c>
      <c r="F270" s="13">
        <f>IF(ISNUMBER(对照快照!R41),对照快照!R41,"")</f>
        <v>17.62</v>
      </c>
      <c r="G270" s="13">
        <f t="shared" si="12"/>
        <v>0.33936</v>
      </c>
      <c r="H270" s="13">
        <f t="shared" si="13"/>
        <v>0.98672</v>
      </c>
      <c r="I270" s="13">
        <f t="shared" si="14"/>
        <v>-0.64736</v>
      </c>
      <c r="J270" s="15">
        <f>IF(ISNUMBER('Sheet2-计算明细'!P51),'Sheet2-计算明细'!P51,IF('Sheet2-计算明细'!P51="","",'Sheet2-计算明细'!P51))</f>
        <v>0.0317276229367964</v>
      </c>
      <c r="K270" s="15">
        <f>IF(ISNUMBER(对照快照!P41),对照快照!P41,IF(对照快照!P41="","",对照快照!P41))</f>
        <v>0.0335302249518994</v>
      </c>
      <c r="L270" s="9" t="s">
        <v>1540</v>
      </c>
    </row>
    <row r="271" ht="25" customHeight="1" spans="1:12">
      <c r="A271" s="9" t="s">
        <v>255</v>
      </c>
      <c r="B271" s="9" t="s">
        <v>254</v>
      </c>
      <c r="C271" s="9" t="s">
        <v>690</v>
      </c>
      <c r="D271" s="12">
        <v>0.036</v>
      </c>
      <c r="E271" s="13">
        <f>IF(ISNUMBER('Sheet2-计算明细'!W51),'Sheet2-计算明细'!W51,"")</f>
        <v>76.92</v>
      </c>
      <c r="F271" s="13">
        <f>IF(ISNUMBER(对照快照!W41),对照快照!W41,"")</f>
        <v>76.92</v>
      </c>
      <c r="G271" s="13">
        <f t="shared" si="12"/>
        <v>2.76912</v>
      </c>
      <c r="H271" s="13">
        <f t="shared" si="13"/>
        <v>2.76912</v>
      </c>
      <c r="I271" s="13">
        <f t="shared" si="14"/>
        <v>0</v>
      </c>
      <c r="J271" s="15">
        <f>IF(ISNUMBER('Sheet2-计算明细'!T51),'Sheet2-计算明细'!T51,IF('Sheet2-计算明细'!T51="","",'Sheet2-计算明细'!T51))</f>
        <v>0.7692</v>
      </c>
      <c r="K271" s="15">
        <f>IF(ISNUMBER(对照快照!T41),对照快照!T41,IF(对照快照!T41="","",对照快照!T41))</f>
        <v>0.7692</v>
      </c>
      <c r="L271" s="9" t="s">
        <v>1538</v>
      </c>
    </row>
    <row r="272" ht="25" customHeight="1" spans="1:12">
      <c r="A272" s="9" t="s">
        <v>255</v>
      </c>
      <c r="B272" s="9" t="s">
        <v>254</v>
      </c>
      <c r="C272" s="9" t="s">
        <v>692</v>
      </c>
      <c r="D272" s="12">
        <v>0.024</v>
      </c>
      <c r="E272" s="13">
        <f>IF(ISNUMBER('Sheet2-计算明细'!X51),'Sheet2-计算明细'!X51,"")</f>
        <v>70.8304166666667</v>
      </c>
      <c r="F272" s="13">
        <f>IF(ISNUMBER(对照快照!X41),对照快照!X41,"")</f>
        <v>73.96</v>
      </c>
      <c r="G272" s="13">
        <f t="shared" si="12"/>
        <v>1.69993</v>
      </c>
      <c r="H272" s="13">
        <f t="shared" si="13"/>
        <v>1.77504</v>
      </c>
      <c r="I272" s="13">
        <f t="shared" si="14"/>
        <v>-0.07511</v>
      </c>
      <c r="J272" s="15">
        <f>IF(ISNUMBER('Sheet2-计算明细'!V51),'Sheet2-计算明细'!V51,IF('Sheet2-计算明细'!V51="","",'Sheet2-计算明细'!V51))</f>
        <v>0.708304166666667</v>
      </c>
      <c r="K272" s="15">
        <f>IF(ISNUMBER(对照快照!V41),对照快照!V41,IF(对照快照!V41="","",对照快照!V41))</f>
        <v>0.7396</v>
      </c>
      <c r="L272" s="9" t="s">
        <v>1538</v>
      </c>
    </row>
    <row r="273" ht="25" customHeight="1" spans="1:12">
      <c r="A273" s="9" t="s">
        <v>255</v>
      </c>
      <c r="B273" s="9" t="s">
        <v>254</v>
      </c>
      <c r="C273" s="9" t="s">
        <v>1542</v>
      </c>
      <c r="D273" s="12">
        <v>0.25</v>
      </c>
      <c r="E273" s="13">
        <f>IF(ISNUMBER('Sheet2-计算明细'!AC51),'Sheet2-计算明细'!AC51,"")</f>
        <v>60.81</v>
      </c>
      <c r="F273" s="13">
        <f>IF(ISNUMBER(对照快照!AC41),对照快照!AC41,"")</f>
        <v>80.45</v>
      </c>
      <c r="G273" s="13">
        <f t="shared" si="12"/>
        <v>15.2025</v>
      </c>
      <c r="H273" s="13">
        <f t="shared" si="13"/>
        <v>20.1125</v>
      </c>
      <c r="I273" s="13">
        <f t="shared" si="14"/>
        <v>-4.91</v>
      </c>
      <c r="J273" s="15">
        <f>IF(ISNUMBER('Sheet2-计算明细'!AB51),'Sheet2-计算明细'!AB51,IF('Sheet2-计算明细'!AB51="","",'Sheet2-计算明细'!AB51))</f>
        <v>0.013</v>
      </c>
      <c r="K273" s="15">
        <f>IF(ISNUMBER(对照快照!AB41),对照快照!AB41,IF(对照快照!AB41="","",对照快照!AB41))</f>
        <v>0.013</v>
      </c>
      <c r="L273" s="9" t="s">
        <v>1540</v>
      </c>
    </row>
    <row r="274" ht="25" customHeight="1" spans="1:12">
      <c r="A274" s="9" t="s">
        <v>255</v>
      </c>
      <c r="B274" s="9" t="s">
        <v>254</v>
      </c>
      <c r="C274" s="9" t="s">
        <v>1543</v>
      </c>
      <c r="D274" s="12">
        <v>0.18</v>
      </c>
      <c r="E274" s="13">
        <f>IF(ISNUMBER('Sheet2-计算明细'!AG51),'Sheet2-计算明细'!AG51,"")</f>
        <v>74.65</v>
      </c>
      <c r="F274" s="13">
        <f>IF(ISNUMBER(对照快照!AG41),对照快照!AG41,"")</f>
        <v>89.39</v>
      </c>
      <c r="G274" s="13">
        <f t="shared" si="12"/>
        <v>13.437</v>
      </c>
      <c r="H274" s="13">
        <f t="shared" si="13"/>
        <v>16.0902</v>
      </c>
      <c r="I274" s="13">
        <f t="shared" si="14"/>
        <v>-2.6532</v>
      </c>
      <c r="J274" s="15">
        <f>IF(ISNUMBER('Sheet2-计算明细'!AD51),'Sheet2-计算明细'!AD51,IF('Sheet2-计算明细'!AD51="","",'Sheet2-计算明细'!AD51))</f>
        <v>20.6535</v>
      </c>
      <c r="K274" s="15">
        <f>IF(ISNUMBER(对照快照!AD41),对照快照!AD41,IF(对照快照!AD41="","",对照快照!AD41))</f>
        <v>19.526</v>
      </c>
      <c r="L274" s="9" t="s">
        <v>1540</v>
      </c>
    </row>
    <row r="275" ht="25" customHeight="1" spans="1:12">
      <c r="A275" s="9" t="s">
        <v>255</v>
      </c>
      <c r="B275" s="9" t="s">
        <v>254</v>
      </c>
      <c r="C275" s="9" t="s">
        <v>1544</v>
      </c>
      <c r="D275" s="12">
        <v>0.12</v>
      </c>
      <c r="E275" s="13">
        <f>IF(ISNUMBER('Sheet2-计算明细'!AH51),'Sheet2-计算明细'!AH51,"")</f>
        <v>37.5</v>
      </c>
      <c r="F275" s="13">
        <f>IF(ISNUMBER(对照快照!AH41),对照快照!AH41,"")</f>
        <v>70.21</v>
      </c>
      <c r="G275" s="13">
        <f t="shared" si="12"/>
        <v>4.5</v>
      </c>
      <c r="H275" s="13">
        <f t="shared" si="13"/>
        <v>8.4252</v>
      </c>
      <c r="I275" s="13">
        <f t="shared" si="14"/>
        <v>-3.9252</v>
      </c>
      <c r="J275" s="15">
        <f>IF(ISNUMBER('Sheet2-计算明细'!AF51),'Sheet2-计算明细'!AF51,IF('Sheet2-计算明细'!AF51="","",'Sheet2-计算明细'!AF51))</f>
        <v>2.44058637975357</v>
      </c>
      <c r="K275" s="15">
        <f>IF(ISNUMBER(对照快照!AF41),对照快照!AF41,IF(对照快照!AF41="","",对照快照!AF41))</f>
        <v>2.57924807322303</v>
      </c>
      <c r="L275" s="9" t="s">
        <v>1540</v>
      </c>
    </row>
    <row r="276" ht="25" customHeight="1" spans="1:12">
      <c r="A276" s="9" t="s">
        <v>255</v>
      </c>
      <c r="B276" s="9" t="s">
        <v>254</v>
      </c>
      <c r="C276" s="9" t="s">
        <v>574</v>
      </c>
      <c r="D276" s="12">
        <v>0.1</v>
      </c>
      <c r="E276" s="13">
        <f>IF(ISNUMBER('Sheet2-计算明细'!AK51),'Sheet2-计算明细'!AK51,"")</f>
        <v>100</v>
      </c>
      <c r="F276" s="13">
        <f>IF(ISNUMBER(对照快照!AK41),对照快照!AK41,"")</f>
        <v>100</v>
      </c>
      <c r="G276" s="13">
        <f t="shared" si="12"/>
        <v>10</v>
      </c>
      <c r="H276" s="13">
        <f t="shared" si="13"/>
        <v>10</v>
      </c>
      <c r="I276" s="13">
        <f t="shared" si="14"/>
        <v>0</v>
      </c>
      <c r="J276" s="15">
        <f>IF(ISNUMBER('Sheet2-计算明细'!AJ51),'Sheet2-计算明细'!AJ51,IF('Sheet2-计算明细'!AJ51="","",'Sheet2-计算明细'!AJ51))</f>
        <v>0.0498</v>
      </c>
      <c r="K276" s="15">
        <f>IF(ISNUMBER(对照快照!AJ41),对照快照!AJ41,IF(对照快照!AJ41="","",对照快照!AJ41))</f>
        <v>0.0507</v>
      </c>
      <c r="L276" s="9" t="s">
        <v>1538</v>
      </c>
    </row>
    <row r="277" ht="25" customHeight="1" spans="1:12">
      <c r="A277" s="9" t="s">
        <v>265</v>
      </c>
      <c r="B277" s="9" t="s">
        <v>264</v>
      </c>
      <c r="C277" s="9" t="s">
        <v>538</v>
      </c>
      <c r="D277" s="12">
        <v>0.06</v>
      </c>
      <c r="E277" s="13">
        <f>IF(ISNUMBER('Sheet2-计算明细'!I53),'Sheet2-计算明细'!I53,"")</f>
        <v>100</v>
      </c>
      <c r="F277" s="13">
        <f>IF(ISNUMBER(对照快照!I193),对照快照!I193,"")</f>
        <v>100</v>
      </c>
      <c r="G277" s="13">
        <f t="shared" si="12"/>
        <v>6</v>
      </c>
      <c r="H277" s="13">
        <f t="shared" si="13"/>
        <v>6</v>
      </c>
      <c r="I277" s="13">
        <f t="shared" si="14"/>
        <v>0</v>
      </c>
      <c r="J277" s="15" t="str">
        <f>IF(ISNUMBER('Sheet2-计算明细'!H53),'Sheet2-计算明细'!H53,IF('Sheet2-计算明细'!H53="","",'Sheet2-计算明细'!H53))</f>
        <v>100亿元以上</v>
      </c>
      <c r="K277" s="15" t="str">
        <f>IF(ISNUMBER(对照快照!H193),对照快照!H193,IF(对照快照!H193="","",对照快照!H193))</f>
        <v>100亿元以上</v>
      </c>
      <c r="L277" s="9" t="s">
        <v>1538</v>
      </c>
    </row>
    <row r="278" ht="25" customHeight="1" spans="1:12">
      <c r="A278" s="9" t="s">
        <v>265</v>
      </c>
      <c r="B278" s="9" t="s">
        <v>264</v>
      </c>
      <c r="C278" s="9" t="s">
        <v>543</v>
      </c>
      <c r="D278" s="12">
        <v>0.045</v>
      </c>
      <c r="E278" s="13">
        <f>IF(ISNUMBER('Sheet2-计算明细'!K53),'Sheet2-计算明细'!K53,"")</f>
        <v>100</v>
      </c>
      <c r="F278" s="13">
        <f>IF(ISNUMBER(对照快照!K193),对照快照!K193,"")</f>
        <v>100</v>
      </c>
      <c r="G278" s="13">
        <f t="shared" si="12"/>
        <v>4.5</v>
      </c>
      <c r="H278" s="13">
        <f t="shared" si="13"/>
        <v>4.5</v>
      </c>
      <c r="I278" s="13">
        <f t="shared" si="14"/>
        <v>0</v>
      </c>
      <c r="J278" s="15" t="str">
        <f>IF(ISNUMBER('Sheet2-计算明细'!J53),'Sheet2-计算明细'!J53,IF('Sheet2-计算明细'!J53="","",'Sheet2-计算明细'!J53))</f>
        <v>无低于1000万元标识</v>
      </c>
      <c r="K278" s="15" t="str">
        <f>IF(ISNUMBER(对照快照!J193),对照快照!J193,IF(对照快照!J193="","",对照快照!J193))</f>
        <v>无低于1000万元标识</v>
      </c>
      <c r="L278" s="9" t="s">
        <v>1538</v>
      </c>
    </row>
    <row r="279" ht="25" customHeight="1" spans="1:12">
      <c r="A279" s="9" t="s">
        <v>265</v>
      </c>
      <c r="B279" s="9" t="s">
        <v>264</v>
      </c>
      <c r="C279" s="9" t="s">
        <v>547</v>
      </c>
      <c r="D279" s="12">
        <v>0.045</v>
      </c>
      <c r="E279" s="13">
        <f>IF(ISNUMBER('Sheet2-计算明细'!L53),'Sheet2-计算明细'!L53,"")</f>
        <v>100</v>
      </c>
      <c r="F279" s="13">
        <f>IF(ISNUMBER(对照快照!L193),对照快照!L193,"")</f>
        <v>100</v>
      </c>
      <c r="G279" s="13">
        <f t="shared" si="12"/>
        <v>4.5</v>
      </c>
      <c r="H279" s="13">
        <f t="shared" si="13"/>
        <v>4.5</v>
      </c>
      <c r="I279" s="13">
        <f t="shared" si="14"/>
        <v>0</v>
      </c>
      <c r="J279" s="15">
        <f>IF(ISNUMBER('Sheet2-计算明细'!F53),'Sheet2-计算明细'!F53,IF('Sheet2-计算明细'!F53="","",'Sheet2-计算明细'!F53))</f>
        <v>6.4011</v>
      </c>
      <c r="K279" s="15">
        <f>IF(ISNUMBER(对照快照!F193),对照快照!F193,IF(对照快照!F193="","",对照快照!F193))</f>
        <v>6.3929</v>
      </c>
      <c r="L279" s="9" t="s">
        <v>1538</v>
      </c>
    </row>
    <row r="280" ht="25" customHeight="1" spans="1:12">
      <c r="A280" s="9" t="s">
        <v>265</v>
      </c>
      <c r="B280" s="9" t="s">
        <v>264</v>
      </c>
      <c r="C280" s="9" t="s">
        <v>1539</v>
      </c>
      <c r="D280" s="12">
        <v>0.084</v>
      </c>
      <c r="E280" s="13">
        <f>IF(ISNUMBER('Sheet2-计算明细'!Q53),'Sheet2-计算明细'!Q53,"")</f>
        <v>18.06</v>
      </c>
      <c r="F280" s="13">
        <f>IF(ISNUMBER(对照快照!Q193),对照快照!Q193,"")</f>
        <v>36.42</v>
      </c>
      <c r="G280" s="13">
        <f t="shared" si="12"/>
        <v>1.51704</v>
      </c>
      <c r="H280" s="13">
        <f t="shared" si="13"/>
        <v>3.05928</v>
      </c>
      <c r="I280" s="13">
        <f t="shared" si="14"/>
        <v>-1.54224</v>
      </c>
      <c r="J280" s="15">
        <f>IF(ISNUMBER('Sheet2-计算明细'!M53),'Sheet2-计算明细'!M53,IF('Sheet2-计算明细'!M53="","",'Sheet2-计算明细'!M53))</f>
        <v>0.0406</v>
      </c>
      <c r="K280" s="15">
        <f>IF(ISNUMBER(对照快照!M193),对照快照!M193,IF(对照快照!M193="","",对照快照!M193))</f>
        <v>0.0425</v>
      </c>
      <c r="L280" s="9" t="s">
        <v>1540</v>
      </c>
    </row>
    <row r="281" ht="25" customHeight="1" spans="1:12">
      <c r="A281" s="9" t="s">
        <v>265</v>
      </c>
      <c r="B281" s="9" t="s">
        <v>264</v>
      </c>
      <c r="C281" s="9" t="s">
        <v>1541</v>
      </c>
      <c r="D281" s="12">
        <v>0.056</v>
      </c>
      <c r="E281" s="13">
        <f>IF(ISNUMBER('Sheet2-计算明细'!R53),'Sheet2-计算明细'!R53,"")</f>
        <v>63.64</v>
      </c>
      <c r="F281" s="13">
        <f>IF(ISNUMBER(对照快照!R193),对照快照!R193,"")</f>
        <v>66.19</v>
      </c>
      <c r="G281" s="13">
        <f t="shared" si="12"/>
        <v>3.56384</v>
      </c>
      <c r="H281" s="13">
        <f t="shared" si="13"/>
        <v>3.70664</v>
      </c>
      <c r="I281" s="13">
        <f t="shared" si="14"/>
        <v>-0.1428</v>
      </c>
      <c r="J281" s="15">
        <f>IF(ISNUMBER('Sheet2-计算明细'!P53),'Sheet2-计算明细'!P53,IF('Sheet2-计算明细'!P53="","",'Sheet2-计算明细'!P53))</f>
        <v>0.0892717400409042</v>
      </c>
      <c r="K281" s="15">
        <f>IF(ISNUMBER(对照快照!P193),对照快照!P193,IF(对照快照!P193="","",对照快照!P193))</f>
        <v>0.0908664822673271</v>
      </c>
      <c r="L281" s="9" t="s">
        <v>1540</v>
      </c>
    </row>
    <row r="282" ht="25" customHeight="1" spans="1:12">
      <c r="A282" s="9" t="s">
        <v>265</v>
      </c>
      <c r="B282" s="9" t="s">
        <v>264</v>
      </c>
      <c r="C282" s="9" t="s">
        <v>690</v>
      </c>
      <c r="D282" s="12">
        <v>0.036</v>
      </c>
      <c r="E282" s="13">
        <f>IF(ISNUMBER('Sheet2-计算明细'!W53),'Sheet2-计算明细'!W53,"")</f>
        <v>76.92</v>
      </c>
      <c r="F282" s="13">
        <f>IF(ISNUMBER(对照快照!W193),对照快照!W193,"")</f>
        <v>76.92</v>
      </c>
      <c r="G282" s="13">
        <f t="shared" si="12"/>
        <v>2.76912</v>
      </c>
      <c r="H282" s="13">
        <f t="shared" si="13"/>
        <v>2.76912</v>
      </c>
      <c r="I282" s="13">
        <f t="shared" si="14"/>
        <v>0</v>
      </c>
      <c r="J282" s="15">
        <f>IF(ISNUMBER('Sheet2-计算明细'!T53),'Sheet2-计算明细'!T53,IF('Sheet2-计算明细'!T53="","",'Sheet2-计算明细'!T53))</f>
        <v>0.7692</v>
      </c>
      <c r="K282" s="15">
        <f>IF(ISNUMBER(对照快照!T193),对照快照!T193,IF(对照快照!T193="","",对照快照!T193))</f>
        <v>0.7692</v>
      </c>
      <c r="L282" s="9" t="s">
        <v>1538</v>
      </c>
    </row>
    <row r="283" ht="25" customHeight="1" spans="1:12">
      <c r="A283" s="9" t="s">
        <v>265</v>
      </c>
      <c r="B283" s="9" t="s">
        <v>264</v>
      </c>
      <c r="C283" s="9" t="s">
        <v>692</v>
      </c>
      <c r="D283" s="12">
        <v>0.024</v>
      </c>
      <c r="E283" s="13">
        <f>IF(ISNUMBER('Sheet2-计算明细'!X53),'Sheet2-计算明细'!X53,"")</f>
        <v>95.83625</v>
      </c>
      <c r="F283" s="13">
        <f>IF(ISNUMBER(对照快照!X193),对照快照!X193,"")</f>
        <v>95.37375</v>
      </c>
      <c r="G283" s="13">
        <f t="shared" si="12"/>
        <v>2.30007</v>
      </c>
      <c r="H283" s="13">
        <f t="shared" si="13"/>
        <v>2.28897</v>
      </c>
      <c r="I283" s="13">
        <f t="shared" si="14"/>
        <v>0.0111000000000003</v>
      </c>
      <c r="J283" s="15">
        <f>IF(ISNUMBER('Sheet2-计算明细'!V53),'Sheet2-计算明细'!V53,IF('Sheet2-计算明细'!V53="","",'Sheet2-计算明细'!V53))</f>
        <v>0.9583625</v>
      </c>
      <c r="K283" s="15">
        <f>IF(ISNUMBER(对照快照!V193),对照快照!V193,IF(对照快照!V193="","",对照快照!V193))</f>
        <v>0.9537375</v>
      </c>
      <c r="L283" s="9" t="s">
        <v>1538</v>
      </c>
    </row>
    <row r="284" ht="25" customHeight="1" spans="1:12">
      <c r="A284" s="9" t="s">
        <v>265</v>
      </c>
      <c r="B284" s="9" t="s">
        <v>264</v>
      </c>
      <c r="C284" s="9" t="s">
        <v>1542</v>
      </c>
      <c r="D284" s="12">
        <v>0.25</v>
      </c>
      <c r="E284" s="13">
        <f>IF(ISNUMBER('Sheet2-计算明细'!AC53),'Sheet2-计算明细'!AC53,"")</f>
        <v>89.19</v>
      </c>
      <c r="F284" s="13">
        <f>IF(ISNUMBER(对照快照!AC193),对照快照!AC193,"")</f>
        <v>94.07</v>
      </c>
      <c r="G284" s="13">
        <f t="shared" si="12"/>
        <v>22.2975</v>
      </c>
      <c r="H284" s="13">
        <f t="shared" si="13"/>
        <v>23.5175</v>
      </c>
      <c r="I284" s="13">
        <f t="shared" si="14"/>
        <v>-1.22</v>
      </c>
      <c r="J284" s="15">
        <f>IF(ISNUMBER('Sheet2-计算明细'!AB53),'Sheet2-计算明细'!AB53,IF('Sheet2-计算明细'!AB53="","",'Sheet2-计算明细'!AB53))</f>
        <v>0.0047</v>
      </c>
      <c r="K284" s="15">
        <f>IF(ISNUMBER(对照快照!AB193),对照快照!AB193,IF(对照快照!AB193="","",对照快照!AB193))</f>
        <v>0.0047</v>
      </c>
      <c r="L284" s="9" t="s">
        <v>1540</v>
      </c>
    </row>
    <row r="285" ht="25" customHeight="1" spans="1:12">
      <c r="A285" s="9" t="s">
        <v>265</v>
      </c>
      <c r="B285" s="9" t="s">
        <v>264</v>
      </c>
      <c r="C285" s="9" t="s">
        <v>1543</v>
      </c>
      <c r="D285" s="12">
        <v>0.18</v>
      </c>
      <c r="E285" s="13">
        <f>IF(ISNUMBER('Sheet2-计算明细'!AG53),'Sheet2-计算明细'!AG53,"")</f>
        <v>50.7</v>
      </c>
      <c r="F285" s="13">
        <f>IF(ISNUMBER(对照快照!AG193),对照快照!AG193,"")</f>
        <v>76.85</v>
      </c>
      <c r="G285" s="13">
        <f t="shared" si="12"/>
        <v>9.126</v>
      </c>
      <c r="H285" s="13">
        <f t="shared" si="13"/>
        <v>13.833</v>
      </c>
      <c r="I285" s="13">
        <f t="shared" si="14"/>
        <v>-4.707</v>
      </c>
      <c r="J285" s="15">
        <f>IF(ISNUMBER('Sheet2-计算明细'!AD53),'Sheet2-计算明细'!AD53,IF('Sheet2-计算明细'!AD53="","",'Sheet2-计算明细'!AD53))</f>
        <v>8.6508</v>
      </c>
      <c r="K285" s="15">
        <f>IF(ISNUMBER(对照快照!AD193),对照快照!AD193,IF(对照快照!AD193="","",对照快照!AD193))</f>
        <v>9.0706</v>
      </c>
      <c r="L285" s="9" t="s">
        <v>1540</v>
      </c>
    </row>
    <row r="286" ht="25" customHeight="1" spans="1:12">
      <c r="A286" s="9" t="s">
        <v>265</v>
      </c>
      <c r="B286" s="9" t="s">
        <v>264</v>
      </c>
      <c r="C286" s="9" t="s">
        <v>1544</v>
      </c>
      <c r="D286" s="12">
        <v>0.12</v>
      </c>
      <c r="E286" s="13" t="str">
        <f>IF(ISNUMBER('Sheet2-计算明细'!AH53),'Sheet2-计算明细'!AH53,"")</f>
        <v/>
      </c>
      <c r="F286" s="13" t="str">
        <f>IF(ISNUMBER(对照快照!AH193),对照快照!AH193,"")</f>
        <v/>
      </c>
      <c r="G286" s="13">
        <f t="shared" si="12"/>
        <v>0</v>
      </c>
      <c r="H286" s="13">
        <f t="shared" si="13"/>
        <v>0</v>
      </c>
      <c r="I286" s="13">
        <f t="shared" si="14"/>
        <v>0</v>
      </c>
      <c r="J286" s="15" t="str">
        <f>IF(ISNUMBER('Sheet2-计算明细'!AF53),'Sheet2-计算明细'!AF53,IF('Sheet2-计算明细'!AF53="","",'Sheet2-计算明细'!AF53))</f>
        <v/>
      </c>
      <c r="K286" s="15" t="str">
        <f>IF(ISNUMBER(对照快照!AF193),对照快照!AF193,IF(对照快照!AF193="","",对照快照!AF193))</f>
        <v/>
      </c>
      <c r="L286" s="9" t="s">
        <v>1540</v>
      </c>
    </row>
    <row r="287" ht="25" customHeight="1" spans="1:12">
      <c r="A287" s="9" t="s">
        <v>265</v>
      </c>
      <c r="B287" s="9" t="s">
        <v>264</v>
      </c>
      <c r="C287" s="9" t="s">
        <v>574</v>
      </c>
      <c r="D287" s="12">
        <v>0.1</v>
      </c>
      <c r="E287" s="13">
        <f>IF(ISNUMBER('Sheet2-计算明细'!AK53),'Sheet2-计算明细'!AK53,"")</f>
        <v>80</v>
      </c>
      <c r="F287" s="13">
        <f>IF(ISNUMBER(对照快照!AK193),对照快照!AK193,"")</f>
        <v>80</v>
      </c>
      <c r="G287" s="13">
        <f t="shared" si="12"/>
        <v>8</v>
      </c>
      <c r="H287" s="13">
        <f t="shared" si="13"/>
        <v>8</v>
      </c>
      <c r="I287" s="13">
        <f t="shared" si="14"/>
        <v>0</v>
      </c>
      <c r="J287" s="15">
        <f>IF(ISNUMBER('Sheet2-计算明细'!AJ53),'Sheet2-计算明细'!AJ53,IF('Sheet2-计算明细'!AJ53="","",'Sheet2-计算明细'!AJ53))</f>
        <v>0.0728</v>
      </c>
      <c r="K287" s="15">
        <f>IF(ISNUMBER(对照快照!AJ193),对照快照!AJ193,IF(对照快照!AJ193="","",对照快照!AJ193))</f>
        <v>0.0745</v>
      </c>
      <c r="L287" s="9" t="s">
        <v>1538</v>
      </c>
    </row>
    <row r="288" ht="25" customHeight="1" spans="1:12">
      <c r="A288" s="9" t="s">
        <v>271</v>
      </c>
      <c r="B288" s="9" t="s">
        <v>269</v>
      </c>
      <c r="C288" s="9" t="s">
        <v>538</v>
      </c>
      <c r="D288" s="12">
        <v>0.06</v>
      </c>
      <c r="E288" s="13">
        <f>IF(ISNUMBER('Sheet2-计算明细'!I54),'Sheet2-计算明细'!I54,"")</f>
        <v>60</v>
      </c>
      <c r="F288" s="13">
        <f>IF(ISNUMBER(对照快照!I24),对照快照!I24,"")</f>
        <v>60</v>
      </c>
      <c r="G288" s="13">
        <f t="shared" si="12"/>
        <v>3.6</v>
      </c>
      <c r="H288" s="13">
        <f t="shared" si="13"/>
        <v>3.6</v>
      </c>
      <c r="I288" s="13">
        <f t="shared" si="14"/>
        <v>0</v>
      </c>
      <c r="J288" s="15" t="str">
        <f>IF(ISNUMBER('Sheet2-计算明细'!H54),'Sheet2-计算明细'!H54,IF('Sheet2-计算明细'!H54="","",'Sheet2-计算明细'!H54))</f>
        <v>0-5亿元</v>
      </c>
      <c r="K288" s="15" t="str">
        <f>IF(ISNUMBER(对照快照!H24),对照快照!H24,IF(对照快照!H24="","",对照快照!H24))</f>
        <v>0-5亿元</v>
      </c>
      <c r="L288" s="9" t="s">
        <v>1538</v>
      </c>
    </row>
    <row r="289" ht="25" customHeight="1" spans="1:12">
      <c r="A289" s="9" t="s">
        <v>271</v>
      </c>
      <c r="B289" s="9" t="s">
        <v>269</v>
      </c>
      <c r="C289" s="9" t="s">
        <v>543</v>
      </c>
      <c r="D289" s="12">
        <v>0.045</v>
      </c>
      <c r="E289" s="13">
        <f>IF(ISNUMBER('Sheet2-计算明细'!K54),'Sheet2-计算明细'!K54,"")</f>
        <v>0</v>
      </c>
      <c r="F289" s="13">
        <f>IF(ISNUMBER(对照快照!K24),对照快照!K24,"")</f>
        <v>0</v>
      </c>
      <c r="G289" s="13">
        <f t="shared" si="12"/>
        <v>0</v>
      </c>
      <c r="H289" s="13">
        <f t="shared" si="13"/>
        <v>0</v>
      </c>
      <c r="I289" s="13">
        <f t="shared" si="14"/>
        <v>0</v>
      </c>
      <c r="J289" s="15" t="str">
        <f>IF(ISNUMBER('Sheet2-计算明细'!J54),'Sheet2-计算明细'!J54,IF('Sheet2-计算明细'!J54="","",'Sheet2-计算明细'!J54))</f>
        <v>低于1000万元</v>
      </c>
      <c r="K289" s="15" t="str">
        <f>IF(ISNUMBER(对照快照!J24),对照快照!J24,IF(对照快照!J24="","",对照快照!J24))</f>
        <v>低于1000万元</v>
      </c>
      <c r="L289" s="9" t="s">
        <v>1538</v>
      </c>
    </row>
    <row r="290" ht="25" customHeight="1" spans="1:12">
      <c r="A290" s="9" t="s">
        <v>271</v>
      </c>
      <c r="B290" s="9" t="s">
        <v>269</v>
      </c>
      <c r="C290" s="9" t="s">
        <v>547</v>
      </c>
      <c r="D290" s="12">
        <v>0.045</v>
      </c>
      <c r="E290" s="13">
        <f>IF(ISNUMBER('Sheet2-计算明细'!L54),'Sheet2-计算明细'!L54,"")</f>
        <v>100</v>
      </c>
      <c r="F290" s="13">
        <f>IF(ISNUMBER(对照快照!L24),对照快照!L24,"")</f>
        <v>100</v>
      </c>
      <c r="G290" s="13">
        <f t="shared" si="12"/>
        <v>4.5</v>
      </c>
      <c r="H290" s="13">
        <f t="shared" si="13"/>
        <v>4.5</v>
      </c>
      <c r="I290" s="13">
        <f t="shared" si="14"/>
        <v>0</v>
      </c>
      <c r="J290" s="15">
        <f>IF(ISNUMBER('Sheet2-计算明细'!F54),'Sheet2-计算明细'!F54,IF('Sheet2-计算明细'!F54="","",'Sheet2-计算明细'!F54))</f>
        <v>5.9877</v>
      </c>
      <c r="K290" s="15">
        <f>IF(ISNUMBER(对照快照!F24),对照快照!F24,IF(对照快照!F24="","",对照快照!F24))</f>
        <v>5.9795</v>
      </c>
      <c r="L290" s="9" t="s">
        <v>1538</v>
      </c>
    </row>
    <row r="291" ht="25" customHeight="1" spans="1:12">
      <c r="A291" s="9" t="s">
        <v>271</v>
      </c>
      <c r="B291" s="9" t="s">
        <v>269</v>
      </c>
      <c r="C291" s="9" t="s">
        <v>1539</v>
      </c>
      <c r="D291" s="12">
        <v>0.084</v>
      </c>
      <c r="E291" s="13">
        <f>IF(ISNUMBER('Sheet2-计算明细'!Q54),'Sheet2-计算明细'!Q54,"")</f>
        <v>20.83</v>
      </c>
      <c r="F291" s="13">
        <f>IF(ISNUMBER(对照快照!Q24),对照快照!Q24,"")</f>
        <v>43.13</v>
      </c>
      <c r="G291" s="13">
        <f t="shared" si="12"/>
        <v>1.74972</v>
      </c>
      <c r="H291" s="13">
        <f t="shared" si="13"/>
        <v>3.62292</v>
      </c>
      <c r="I291" s="13">
        <f t="shared" si="14"/>
        <v>-1.8732</v>
      </c>
      <c r="J291" s="15">
        <f>IF(ISNUMBER('Sheet2-计算明细'!M54),'Sheet2-计算明细'!M54,IF('Sheet2-计算明细'!M54="","",'Sheet2-计算明细'!M54))</f>
        <v>0.0505</v>
      </c>
      <c r="K291" s="15">
        <f>IF(ISNUMBER(对照快照!M24),对照快照!M24,IF(对照快照!M24="","",对照快照!M24))</f>
        <v>0.0521</v>
      </c>
      <c r="L291" s="9" t="s">
        <v>1540</v>
      </c>
    </row>
    <row r="292" ht="25" customHeight="1" spans="1:12">
      <c r="A292" s="9" t="s">
        <v>271</v>
      </c>
      <c r="B292" s="9" t="s">
        <v>269</v>
      </c>
      <c r="C292" s="9" t="s">
        <v>1541</v>
      </c>
      <c r="D292" s="12">
        <v>0.056</v>
      </c>
      <c r="E292" s="13">
        <f>IF(ISNUMBER('Sheet2-计算明细'!R54),'Sheet2-计算明细'!R54,"")</f>
        <v>33.33</v>
      </c>
      <c r="F292" s="13">
        <f>IF(ISNUMBER(对照快照!R24),对照快照!R24,"")</f>
        <v>42.86</v>
      </c>
      <c r="G292" s="13">
        <f t="shared" si="12"/>
        <v>1.86648</v>
      </c>
      <c r="H292" s="13">
        <f t="shared" si="13"/>
        <v>2.40016</v>
      </c>
      <c r="I292" s="13">
        <f t="shared" si="14"/>
        <v>-0.53368</v>
      </c>
      <c r="J292" s="15">
        <f>IF(ISNUMBER('Sheet2-计算明细'!P54),'Sheet2-计算明细'!P54,IF('Sheet2-计算明细'!P54="","",'Sheet2-计算明细'!P54))</f>
        <v>0.0598137085691117</v>
      </c>
      <c r="K292" s="15">
        <f>IF(ISNUMBER(对照快照!P24),对照快照!P24,IF(对照快照!P24="","",对照快照!P24))</f>
        <v>0.0588572125704623</v>
      </c>
      <c r="L292" s="9" t="s">
        <v>1540</v>
      </c>
    </row>
    <row r="293" ht="25" customHeight="1" spans="1:12">
      <c r="A293" s="9" t="s">
        <v>271</v>
      </c>
      <c r="B293" s="9" t="s">
        <v>269</v>
      </c>
      <c r="C293" s="9" t="s">
        <v>690</v>
      </c>
      <c r="D293" s="12">
        <v>0.036</v>
      </c>
      <c r="E293" s="13">
        <f>IF(ISNUMBER('Sheet2-计算明细'!W54),'Sheet2-计算明细'!W54,"")</f>
        <v>76.92</v>
      </c>
      <c r="F293" s="13">
        <f>IF(ISNUMBER(对照快照!W24),对照快照!W24,"")</f>
        <v>76.92</v>
      </c>
      <c r="G293" s="13">
        <f t="shared" si="12"/>
        <v>2.76912</v>
      </c>
      <c r="H293" s="13">
        <f t="shared" si="13"/>
        <v>2.76912</v>
      </c>
      <c r="I293" s="13">
        <f t="shared" si="14"/>
        <v>0</v>
      </c>
      <c r="J293" s="15">
        <f>IF(ISNUMBER('Sheet2-计算明细'!T54),'Sheet2-计算明细'!T54,IF('Sheet2-计算明细'!T54="","",'Sheet2-计算明细'!T54))</f>
        <v>0.7692</v>
      </c>
      <c r="K293" s="15">
        <f>IF(ISNUMBER(对照快照!T24),对照快照!T24,IF(对照快照!T24="","",对照快照!T24))</f>
        <v>0.7692</v>
      </c>
      <c r="L293" s="9" t="s">
        <v>1538</v>
      </c>
    </row>
    <row r="294" ht="25" customHeight="1" spans="1:12">
      <c r="A294" s="9" t="s">
        <v>271</v>
      </c>
      <c r="B294" s="9" t="s">
        <v>269</v>
      </c>
      <c r="C294" s="9" t="s">
        <v>692</v>
      </c>
      <c r="D294" s="12">
        <v>0.024</v>
      </c>
      <c r="E294" s="13">
        <f>IF(ISNUMBER('Sheet2-计算明细'!X54),'Sheet2-计算明细'!X54,"")</f>
        <v>91.67375</v>
      </c>
      <c r="F294" s="13">
        <f>IF(ISNUMBER(对照快照!X24),对照快照!X24,"")</f>
        <v>91.67375</v>
      </c>
      <c r="G294" s="13">
        <f t="shared" si="12"/>
        <v>2.20017</v>
      </c>
      <c r="H294" s="13">
        <f t="shared" si="13"/>
        <v>2.20017</v>
      </c>
      <c r="I294" s="13">
        <f t="shared" si="14"/>
        <v>0</v>
      </c>
      <c r="J294" s="15">
        <f>IF(ISNUMBER('Sheet2-计算明细'!V54),'Sheet2-计算明细'!V54,IF('Sheet2-计算明细'!V54="","",'Sheet2-计算明细'!V54))</f>
        <v>0.9167375</v>
      </c>
      <c r="K294" s="15">
        <f>IF(ISNUMBER(对照快照!V24),对照快照!V24,IF(对照快照!V24="","",对照快照!V24))</f>
        <v>0.9167375</v>
      </c>
      <c r="L294" s="9" t="s">
        <v>1538</v>
      </c>
    </row>
    <row r="295" ht="25" customHeight="1" spans="1:12">
      <c r="A295" s="9" t="s">
        <v>271</v>
      </c>
      <c r="B295" s="9" t="s">
        <v>269</v>
      </c>
      <c r="C295" s="9" t="s">
        <v>1542</v>
      </c>
      <c r="D295" s="12">
        <v>0.25</v>
      </c>
      <c r="E295" s="13">
        <f>IF(ISNUMBER('Sheet2-计算明细'!AC54),'Sheet2-计算明细'!AC54,"")</f>
        <v>43.24</v>
      </c>
      <c r="F295" s="13">
        <f>IF(ISNUMBER(对照快照!AC24),对照快照!AC24,"")</f>
        <v>66.03</v>
      </c>
      <c r="G295" s="13">
        <f t="shared" si="12"/>
        <v>10.81</v>
      </c>
      <c r="H295" s="13">
        <f t="shared" si="13"/>
        <v>16.5075</v>
      </c>
      <c r="I295" s="13">
        <f t="shared" si="14"/>
        <v>-5.6975</v>
      </c>
      <c r="J295" s="15">
        <f>IF(ISNUMBER('Sheet2-计算明细'!AB54),'Sheet2-计算明细'!AB54,IF('Sheet2-计算明细'!AB54="","",'Sheet2-计算明细'!AB54))</f>
        <v>0.0251</v>
      </c>
      <c r="K295" s="15">
        <f>IF(ISNUMBER(对照快照!AB24),对照快照!AB24,IF(对照快照!AB24="","",对照快照!AB24))</f>
        <v>0.0251217512898404</v>
      </c>
      <c r="L295" s="9" t="s">
        <v>1540</v>
      </c>
    </row>
    <row r="296" ht="25" customHeight="1" spans="1:12">
      <c r="A296" s="9" t="s">
        <v>271</v>
      </c>
      <c r="B296" s="9" t="s">
        <v>269</v>
      </c>
      <c r="C296" s="9" t="s">
        <v>1543</v>
      </c>
      <c r="D296" s="12">
        <v>0.18</v>
      </c>
      <c r="E296" s="13">
        <f>IF(ISNUMBER('Sheet2-计算明细'!AG54),'Sheet2-计算明细'!AG54,"")</f>
        <v>14.08</v>
      </c>
      <c r="F296" s="13">
        <f>IF(ISNUMBER(对照快照!AG24),对照快照!AG24,"")</f>
        <v>46.62</v>
      </c>
      <c r="G296" s="13">
        <f t="shared" si="12"/>
        <v>2.5344</v>
      </c>
      <c r="H296" s="13">
        <f t="shared" si="13"/>
        <v>8.3916</v>
      </c>
      <c r="I296" s="13">
        <f t="shared" si="14"/>
        <v>-5.8572</v>
      </c>
      <c r="J296" s="15">
        <f>IF(ISNUMBER('Sheet2-计算明细'!AD54),'Sheet2-计算明细'!AD54,IF('Sheet2-计算明细'!AD54="","",'Sheet2-计算明细'!AD54))</f>
        <v>2.0133</v>
      </c>
      <c r="K296" s="15">
        <f>IF(ISNUMBER(对照快照!AD24),对照快照!AD24,IF(对照快照!AD24="","",对照快照!AD24))</f>
        <v>2.0739</v>
      </c>
      <c r="L296" s="9" t="s">
        <v>1540</v>
      </c>
    </row>
    <row r="297" ht="25" customHeight="1" spans="1:12">
      <c r="A297" s="9" t="s">
        <v>271</v>
      </c>
      <c r="B297" s="9" t="s">
        <v>269</v>
      </c>
      <c r="C297" s="9" t="s">
        <v>1544</v>
      </c>
      <c r="D297" s="12">
        <v>0.12</v>
      </c>
      <c r="E297" s="13" t="str">
        <f>IF(ISNUMBER('Sheet2-计算明细'!AH54),'Sheet2-计算明细'!AH54,"")</f>
        <v/>
      </c>
      <c r="F297" s="13" t="str">
        <f>IF(ISNUMBER(对照快照!AH24),对照快照!AH24,"")</f>
        <v/>
      </c>
      <c r="G297" s="13">
        <f t="shared" si="12"/>
        <v>0</v>
      </c>
      <c r="H297" s="13">
        <f t="shared" si="13"/>
        <v>0</v>
      </c>
      <c r="I297" s="13">
        <f t="shared" si="14"/>
        <v>0</v>
      </c>
      <c r="J297" s="15" t="str">
        <f>IF(ISNUMBER('Sheet2-计算明细'!AF54),'Sheet2-计算明细'!AF54,IF('Sheet2-计算明细'!AF54="","",'Sheet2-计算明细'!AF54))</f>
        <v/>
      </c>
      <c r="K297" s="15" t="str">
        <f>IF(ISNUMBER(对照快照!AF24),对照快照!AF24,IF(对照快照!AF24="","",对照快照!AF24))</f>
        <v/>
      </c>
      <c r="L297" s="9" t="s">
        <v>1540</v>
      </c>
    </row>
    <row r="298" ht="25" customHeight="1" spans="1:12">
      <c r="A298" s="9" t="s">
        <v>271</v>
      </c>
      <c r="B298" s="9" t="s">
        <v>269</v>
      </c>
      <c r="C298" s="9" t="s">
        <v>574</v>
      </c>
      <c r="D298" s="12">
        <v>0.1</v>
      </c>
      <c r="E298" s="13">
        <f>IF(ISNUMBER('Sheet2-计算明细'!AK54),'Sheet2-计算明细'!AK54,"")</f>
        <v>80</v>
      </c>
      <c r="F298" s="13">
        <f>IF(ISNUMBER(对照快照!AK24),对照快照!AK24,"")</f>
        <v>80</v>
      </c>
      <c r="G298" s="13">
        <f t="shared" si="12"/>
        <v>8</v>
      </c>
      <c r="H298" s="13">
        <f t="shared" si="13"/>
        <v>8</v>
      </c>
      <c r="I298" s="13">
        <f t="shared" si="14"/>
        <v>0</v>
      </c>
      <c r="J298" s="15">
        <f>IF(ISNUMBER('Sheet2-计算明细'!AJ54),'Sheet2-计算明细'!AJ54,IF('Sheet2-计算明细'!AJ54="","",'Sheet2-计算明细'!AJ54))</f>
        <v>0.0567</v>
      </c>
      <c r="K298" s="15">
        <f>IF(ISNUMBER(对照快照!AJ24),对照快照!AJ24,IF(对照快照!AJ24="","",对照快照!AJ24))</f>
        <v>0.0566</v>
      </c>
      <c r="L298" s="9" t="s">
        <v>1538</v>
      </c>
    </row>
    <row r="299" ht="25" customHeight="1" spans="1:12">
      <c r="A299" s="9" t="s">
        <v>276</v>
      </c>
      <c r="B299" s="9" t="s">
        <v>275</v>
      </c>
      <c r="C299" s="9" t="s">
        <v>538</v>
      </c>
      <c r="D299" s="12">
        <v>0.06</v>
      </c>
      <c r="E299" s="13">
        <f>IF(ISNUMBER('Sheet2-计算明细'!I55),'Sheet2-计算明细'!I55,"")</f>
        <v>80</v>
      </c>
      <c r="F299" s="13">
        <f>IF(ISNUMBER(对照快照!I209),对照快照!I209,"")</f>
        <v>80</v>
      </c>
      <c r="G299" s="13">
        <f t="shared" si="12"/>
        <v>4.8</v>
      </c>
      <c r="H299" s="13">
        <f t="shared" si="13"/>
        <v>4.8</v>
      </c>
      <c r="I299" s="13">
        <f t="shared" si="14"/>
        <v>0</v>
      </c>
      <c r="J299" s="15" t="str">
        <f>IF(ISNUMBER('Sheet2-计算明细'!H55),'Sheet2-计算明细'!H55,IF('Sheet2-计算明细'!H55="","",'Sheet2-计算明细'!H55))</f>
        <v>10-20亿元</v>
      </c>
      <c r="K299" s="15" t="str">
        <f>IF(ISNUMBER(对照快照!H209),对照快照!H209,IF(对照快照!H209="","",对照快照!H209))</f>
        <v>10-20亿元</v>
      </c>
      <c r="L299" s="9" t="s">
        <v>1538</v>
      </c>
    </row>
    <row r="300" ht="25" customHeight="1" spans="1:12">
      <c r="A300" s="9" t="s">
        <v>276</v>
      </c>
      <c r="B300" s="9" t="s">
        <v>275</v>
      </c>
      <c r="C300" s="9" t="s">
        <v>543</v>
      </c>
      <c r="D300" s="12">
        <v>0.045</v>
      </c>
      <c r="E300" s="13">
        <f>IF(ISNUMBER('Sheet2-计算明细'!K55),'Sheet2-计算明细'!K55,"")</f>
        <v>100</v>
      </c>
      <c r="F300" s="13">
        <f>IF(ISNUMBER(对照快照!K209),对照快照!K209,"")</f>
        <v>100</v>
      </c>
      <c r="G300" s="13">
        <f t="shared" si="12"/>
        <v>4.5</v>
      </c>
      <c r="H300" s="13">
        <f t="shared" si="13"/>
        <v>4.5</v>
      </c>
      <c r="I300" s="13">
        <f t="shared" si="14"/>
        <v>0</v>
      </c>
      <c r="J300" s="15" t="str">
        <f>IF(ISNUMBER('Sheet2-计算明细'!J55),'Sheet2-计算明细'!J55,IF('Sheet2-计算明细'!J55="","",'Sheet2-计算明细'!J55))</f>
        <v>无低于1000万元标识</v>
      </c>
      <c r="K300" s="15" t="str">
        <f>IF(ISNUMBER(对照快照!J209),对照快照!J209,IF(对照快照!J209="","",对照快照!J209))</f>
        <v>无低于1000万元标识</v>
      </c>
      <c r="L300" s="9" t="s">
        <v>1538</v>
      </c>
    </row>
    <row r="301" ht="25" customHeight="1" spans="1:12">
      <c r="A301" s="9" t="s">
        <v>276</v>
      </c>
      <c r="B301" s="9" t="s">
        <v>275</v>
      </c>
      <c r="C301" s="9" t="s">
        <v>547</v>
      </c>
      <c r="D301" s="12">
        <v>0.045</v>
      </c>
      <c r="E301" s="13">
        <f>IF(ISNUMBER('Sheet2-计算明细'!L55),'Sheet2-计算明细'!L55,"")</f>
        <v>100</v>
      </c>
      <c r="F301" s="13">
        <f>IF(ISNUMBER(对照快照!L209),对照快照!L209,"")</f>
        <v>100</v>
      </c>
      <c r="G301" s="13">
        <f t="shared" si="12"/>
        <v>4.5</v>
      </c>
      <c r="H301" s="13">
        <f t="shared" si="13"/>
        <v>4.5</v>
      </c>
      <c r="I301" s="13">
        <f t="shared" si="14"/>
        <v>0</v>
      </c>
      <c r="J301" s="15">
        <f>IF(ISNUMBER('Sheet2-计算明细'!F55),'Sheet2-计算明细'!F55,IF('Sheet2-计算明细'!F55="","",'Sheet2-计算明细'!F55))</f>
        <v>4.6653</v>
      </c>
      <c r="K301" s="15">
        <f>IF(ISNUMBER(对照快照!F209),对照快照!F209,IF(对照快照!F209="","",对照快照!F209))</f>
        <v>4.6571</v>
      </c>
      <c r="L301" s="9" t="s">
        <v>1538</v>
      </c>
    </row>
    <row r="302" ht="25" customHeight="1" spans="1:12">
      <c r="A302" s="9" t="s">
        <v>276</v>
      </c>
      <c r="B302" s="9" t="s">
        <v>275</v>
      </c>
      <c r="C302" s="9" t="s">
        <v>1539</v>
      </c>
      <c r="D302" s="12">
        <v>0.084</v>
      </c>
      <c r="E302" s="13">
        <f>IF(ISNUMBER('Sheet2-计算明细'!Q55),'Sheet2-计算明细'!Q55,"")</f>
        <v>65.28</v>
      </c>
      <c r="F302" s="13">
        <f>IF(ISNUMBER(对照快照!Q209),对照快照!Q209,"")</f>
        <v>79.23</v>
      </c>
      <c r="G302" s="13">
        <f t="shared" si="12"/>
        <v>5.48352</v>
      </c>
      <c r="H302" s="13">
        <f t="shared" si="13"/>
        <v>6.65532</v>
      </c>
      <c r="I302" s="13">
        <f t="shared" si="14"/>
        <v>-1.1718</v>
      </c>
      <c r="J302" s="15">
        <f>IF(ISNUMBER('Sheet2-计算明细'!M55),'Sheet2-计算明细'!M55,IF('Sheet2-计算明细'!M55="","",'Sheet2-计算明细'!M55))</f>
        <v>0.1092</v>
      </c>
      <c r="K302" s="15">
        <f>IF(ISNUMBER(对照快照!M209),对照快照!M209,IF(对照快照!M209="","",对照快照!M209))</f>
        <v>0.1223</v>
      </c>
      <c r="L302" s="9" t="s">
        <v>1540</v>
      </c>
    </row>
    <row r="303" ht="25" customHeight="1" spans="1:12">
      <c r="A303" s="9" t="s">
        <v>276</v>
      </c>
      <c r="B303" s="9" t="s">
        <v>275</v>
      </c>
      <c r="C303" s="9" t="s">
        <v>1541</v>
      </c>
      <c r="D303" s="12">
        <v>0.056</v>
      </c>
      <c r="E303" s="13">
        <f>IF(ISNUMBER('Sheet2-计算明细'!R55),'Sheet2-计算明细'!R55,"")</f>
        <v>93.94</v>
      </c>
      <c r="F303" s="13">
        <f>IF(ISNUMBER(对照快照!R209),对照快照!R209,"")</f>
        <v>87.14</v>
      </c>
      <c r="G303" s="13">
        <f t="shared" si="12"/>
        <v>5.26064</v>
      </c>
      <c r="H303" s="13">
        <f t="shared" si="13"/>
        <v>4.87984</v>
      </c>
      <c r="I303" s="13">
        <f t="shared" si="14"/>
        <v>0.3808</v>
      </c>
      <c r="J303" s="15">
        <f>IF(ISNUMBER('Sheet2-计算明细'!P55),'Sheet2-计算明细'!P55,IF('Sheet2-计算明细'!P55="","",'Sheet2-计算明细'!P55))</f>
        <v>0.163026206143879</v>
      </c>
      <c r="K303" s="15">
        <f>IF(ISNUMBER(对照快照!P209),对照快照!P209,IF(对照快照!P209="","",对照快照!P209))</f>
        <v>0.158643380067442</v>
      </c>
      <c r="L303" s="9" t="s">
        <v>1540</v>
      </c>
    </row>
    <row r="304" ht="25" customHeight="1" spans="1:12">
      <c r="A304" s="9" t="s">
        <v>276</v>
      </c>
      <c r="B304" s="9" t="s">
        <v>275</v>
      </c>
      <c r="C304" s="9" t="s">
        <v>690</v>
      </c>
      <c r="D304" s="12">
        <v>0.036</v>
      </c>
      <c r="E304" s="13">
        <f>IF(ISNUMBER('Sheet2-计算明细'!W55),'Sheet2-计算明细'!W55,"")</f>
        <v>92.31</v>
      </c>
      <c r="F304" s="13">
        <f>IF(ISNUMBER(对照快照!W209),对照快照!W209,"")</f>
        <v>100</v>
      </c>
      <c r="G304" s="13">
        <f t="shared" si="12"/>
        <v>3.32316</v>
      </c>
      <c r="H304" s="13">
        <f t="shared" si="13"/>
        <v>3.6</v>
      </c>
      <c r="I304" s="13">
        <f t="shared" si="14"/>
        <v>-0.27684</v>
      </c>
      <c r="J304" s="15">
        <f>IF(ISNUMBER('Sheet2-计算明细'!T55),'Sheet2-计算明细'!T55,IF('Sheet2-计算明细'!T55="","",'Sheet2-计算明细'!T55))</f>
        <v>0.9231</v>
      </c>
      <c r="K304" s="15">
        <f>IF(ISNUMBER(对照快照!T209),对照快照!T209,IF(对照快照!T209="","",对照快照!T209))</f>
        <v>1</v>
      </c>
      <c r="L304" s="9" t="s">
        <v>1538</v>
      </c>
    </row>
    <row r="305" ht="25" customHeight="1" spans="1:12">
      <c r="A305" s="9" t="s">
        <v>276</v>
      </c>
      <c r="B305" s="9" t="s">
        <v>275</v>
      </c>
      <c r="C305" s="9" t="s">
        <v>692</v>
      </c>
      <c r="D305" s="12">
        <v>0.024</v>
      </c>
      <c r="E305" s="13">
        <f>IF(ISNUMBER('Sheet2-计算明细'!X55),'Sheet2-计算明细'!X55,"")</f>
        <v>95.825</v>
      </c>
      <c r="F305" s="13">
        <f>IF(ISNUMBER(对照快照!X209),对照快照!X209,"")</f>
        <v>95.8375</v>
      </c>
      <c r="G305" s="13">
        <f t="shared" si="12"/>
        <v>2.2998</v>
      </c>
      <c r="H305" s="13">
        <f t="shared" si="13"/>
        <v>2.3001</v>
      </c>
      <c r="I305" s="13">
        <f t="shared" si="14"/>
        <v>-0.000300000000000189</v>
      </c>
      <c r="J305" s="15">
        <f>IF(ISNUMBER('Sheet2-计算明细'!V55),'Sheet2-计算明细'!V55,IF('Sheet2-计算明细'!V55="","",'Sheet2-计算明细'!V55))</f>
        <v>0.95825</v>
      </c>
      <c r="K305" s="15">
        <f>IF(ISNUMBER(对照快照!V209),对照快照!V209,IF(对照快照!V209="","",对照快照!V209))</f>
        <v>0.958375</v>
      </c>
      <c r="L305" s="9" t="s">
        <v>1538</v>
      </c>
    </row>
    <row r="306" ht="25" customHeight="1" spans="1:12">
      <c r="A306" s="9" t="s">
        <v>276</v>
      </c>
      <c r="B306" s="9" t="s">
        <v>275</v>
      </c>
      <c r="C306" s="9" t="s">
        <v>1542</v>
      </c>
      <c r="D306" s="12">
        <v>0.25</v>
      </c>
      <c r="E306" s="13">
        <f>IF(ISNUMBER('Sheet2-计算明细'!AC55),'Sheet2-计算明细'!AC55,"")</f>
        <v>83.78</v>
      </c>
      <c r="F306" s="13">
        <f>IF(ISNUMBER(对照快照!AC209),对照快照!AC209,"")</f>
        <v>91.67</v>
      </c>
      <c r="G306" s="13">
        <f t="shared" si="12"/>
        <v>20.945</v>
      </c>
      <c r="H306" s="13">
        <f t="shared" si="13"/>
        <v>22.9175</v>
      </c>
      <c r="I306" s="13">
        <f t="shared" si="14"/>
        <v>-1.9725</v>
      </c>
      <c r="J306" s="15">
        <f>IF(ISNUMBER('Sheet2-计算明细'!AB55),'Sheet2-计算明细'!AB55,IF('Sheet2-计算明细'!AB55="","",'Sheet2-计算明细'!AB55))</f>
        <v>0.00570455424028084</v>
      </c>
      <c r="K306" s="15">
        <f>IF(ISNUMBER(对照快照!AB209),对照快照!AB209,IF(对照快照!AB209="","",对照快照!AB209))</f>
        <v>0.00570719255591695</v>
      </c>
      <c r="L306" s="9" t="s">
        <v>1540</v>
      </c>
    </row>
    <row r="307" ht="25" customHeight="1" spans="1:12">
      <c r="A307" s="9" t="s">
        <v>276</v>
      </c>
      <c r="B307" s="9" t="s">
        <v>275</v>
      </c>
      <c r="C307" s="9" t="s">
        <v>1543</v>
      </c>
      <c r="D307" s="12">
        <v>0.18</v>
      </c>
      <c r="E307" s="13">
        <f>IF(ISNUMBER('Sheet2-计算明细'!AG55),'Sheet2-计算明细'!AG55,"")</f>
        <v>71.83</v>
      </c>
      <c r="F307" s="13">
        <f>IF(ISNUMBER(对照快照!AG209),对照快照!AG209,"")</f>
        <v>90.68</v>
      </c>
      <c r="G307" s="13">
        <f t="shared" si="12"/>
        <v>12.9294</v>
      </c>
      <c r="H307" s="13">
        <f t="shared" si="13"/>
        <v>16.3224</v>
      </c>
      <c r="I307" s="13">
        <f t="shared" si="14"/>
        <v>-3.393</v>
      </c>
      <c r="J307" s="15">
        <f>IF(ISNUMBER('Sheet2-计算明细'!AD55),'Sheet2-计算明细'!AD55,IF('Sheet2-计算明细'!AD55="","",'Sheet2-计算明细'!AD55))</f>
        <v>19.1426</v>
      </c>
      <c r="K307" s="15">
        <f>IF(ISNUMBER(对照快照!AD209),对照快照!AD209,IF(对照快照!AD209="","",对照快照!AD209))</f>
        <v>21.4291</v>
      </c>
      <c r="L307" s="9" t="s">
        <v>1540</v>
      </c>
    </row>
    <row r="308" ht="25" customHeight="1" spans="1:12">
      <c r="A308" s="9" t="s">
        <v>276</v>
      </c>
      <c r="B308" s="9" t="s">
        <v>275</v>
      </c>
      <c r="C308" s="9" t="s">
        <v>1544</v>
      </c>
      <c r="D308" s="12">
        <v>0.12</v>
      </c>
      <c r="E308" s="13" t="str">
        <f>IF(ISNUMBER('Sheet2-计算明细'!AH55),'Sheet2-计算明细'!AH55,"")</f>
        <v/>
      </c>
      <c r="F308" s="13" t="str">
        <f>IF(ISNUMBER(对照快照!AH209),对照快照!AH209,"")</f>
        <v/>
      </c>
      <c r="G308" s="13">
        <f t="shared" si="12"/>
        <v>0</v>
      </c>
      <c r="H308" s="13">
        <f t="shared" si="13"/>
        <v>0</v>
      </c>
      <c r="I308" s="13">
        <f t="shared" si="14"/>
        <v>0</v>
      </c>
      <c r="J308" s="15" t="str">
        <f>IF(ISNUMBER('Sheet2-计算明细'!AF55),'Sheet2-计算明细'!AF55,IF('Sheet2-计算明细'!AF55="","",'Sheet2-计算明细'!AF55))</f>
        <v/>
      </c>
      <c r="K308" s="15" t="str">
        <f>IF(ISNUMBER(对照快照!AF209),对照快照!AF209,IF(对照快照!AF209="","",对照快照!AF209))</f>
        <v/>
      </c>
      <c r="L308" s="9" t="s">
        <v>1540</v>
      </c>
    </row>
    <row r="309" ht="25" customHeight="1" spans="1:12">
      <c r="A309" s="9" t="s">
        <v>276</v>
      </c>
      <c r="B309" s="9" t="s">
        <v>275</v>
      </c>
      <c r="C309" s="9" t="s">
        <v>574</v>
      </c>
      <c r="D309" s="12">
        <v>0.1</v>
      </c>
      <c r="E309" s="13">
        <f>IF(ISNUMBER('Sheet2-计算明细'!AK55),'Sheet2-计算明细'!AK55,"")</f>
        <v>80</v>
      </c>
      <c r="F309" s="13">
        <f>IF(ISNUMBER(对照快照!AK209),对照快照!AK209,"")</f>
        <v>80</v>
      </c>
      <c r="G309" s="13">
        <f t="shared" si="12"/>
        <v>8</v>
      </c>
      <c r="H309" s="13">
        <f t="shared" si="13"/>
        <v>8</v>
      </c>
      <c r="I309" s="13">
        <f t="shared" si="14"/>
        <v>0</v>
      </c>
      <c r="J309" s="15">
        <f>IF(ISNUMBER('Sheet2-计算明细'!AJ55),'Sheet2-计算明细'!AJ55,IF('Sheet2-计算明细'!AJ55="","",'Sheet2-计算明细'!AJ55))</f>
        <v>0.1448</v>
      </c>
      <c r="K309" s="15">
        <f>IF(ISNUMBER(对照快照!AJ209),对照快照!AJ209,IF(对照快照!AJ209="","",对照快照!AJ209))</f>
        <v>0.1464</v>
      </c>
      <c r="L309" s="9" t="s">
        <v>1538</v>
      </c>
    </row>
    <row r="310" ht="25" customHeight="1" spans="1:12">
      <c r="A310" s="9" t="s">
        <v>283</v>
      </c>
      <c r="B310" s="9" t="s">
        <v>281</v>
      </c>
      <c r="C310" s="9" t="s">
        <v>538</v>
      </c>
      <c r="D310" s="12">
        <v>0.06</v>
      </c>
      <c r="E310" s="13">
        <f>IF(ISNUMBER('Sheet2-计算明细'!I56),'Sheet2-计算明细'!I56,"")</f>
        <v>80</v>
      </c>
      <c r="F310" s="13">
        <f>IF(ISNUMBER(对照快照!I218),对照快照!I218,"")</f>
        <v>80</v>
      </c>
      <c r="G310" s="13">
        <f t="shared" si="12"/>
        <v>4.8</v>
      </c>
      <c r="H310" s="13">
        <f t="shared" si="13"/>
        <v>4.8</v>
      </c>
      <c r="I310" s="13">
        <f t="shared" si="14"/>
        <v>0</v>
      </c>
      <c r="J310" s="15" t="str">
        <f>IF(ISNUMBER('Sheet2-计算明细'!H56),'Sheet2-计算明细'!H56,IF('Sheet2-计算明细'!H56="","",'Sheet2-计算明细'!H56))</f>
        <v>10-20亿元</v>
      </c>
      <c r="K310" s="15" t="str">
        <f>IF(ISNUMBER(对照快照!H218),对照快照!H218,IF(对照快照!H218="","",对照快照!H218))</f>
        <v>10-20亿元</v>
      </c>
      <c r="L310" s="9" t="s">
        <v>1538</v>
      </c>
    </row>
    <row r="311" ht="25" customHeight="1" spans="1:12">
      <c r="A311" s="9" t="s">
        <v>283</v>
      </c>
      <c r="B311" s="9" t="s">
        <v>281</v>
      </c>
      <c r="C311" s="9" t="s">
        <v>543</v>
      </c>
      <c r="D311" s="12">
        <v>0.045</v>
      </c>
      <c r="E311" s="13">
        <f>IF(ISNUMBER('Sheet2-计算明细'!K56),'Sheet2-计算明细'!K56,"")</f>
        <v>100</v>
      </c>
      <c r="F311" s="13">
        <f>IF(ISNUMBER(对照快照!K218),对照快照!K218,"")</f>
        <v>100</v>
      </c>
      <c r="G311" s="13">
        <f t="shared" si="12"/>
        <v>4.5</v>
      </c>
      <c r="H311" s="13">
        <f t="shared" si="13"/>
        <v>4.5</v>
      </c>
      <c r="I311" s="13">
        <f t="shared" si="14"/>
        <v>0</v>
      </c>
      <c r="J311" s="15" t="str">
        <f>IF(ISNUMBER('Sheet2-计算明细'!J56),'Sheet2-计算明细'!J56,IF('Sheet2-计算明细'!J56="","",'Sheet2-计算明细'!J56))</f>
        <v>无低于1000万元标识</v>
      </c>
      <c r="K311" s="15" t="str">
        <f>IF(ISNUMBER(对照快照!J218),对照快照!J218,IF(对照快照!J218="","",对照快照!J218))</f>
        <v>无低于1000万元标识</v>
      </c>
      <c r="L311" s="9" t="s">
        <v>1538</v>
      </c>
    </row>
    <row r="312" ht="25" customHeight="1" spans="1:12">
      <c r="A312" s="9" t="s">
        <v>283</v>
      </c>
      <c r="B312" s="9" t="s">
        <v>281</v>
      </c>
      <c r="C312" s="9" t="s">
        <v>547</v>
      </c>
      <c r="D312" s="12">
        <v>0.045</v>
      </c>
      <c r="E312" s="13">
        <f>IF(ISNUMBER('Sheet2-计算明细'!L56),'Sheet2-计算明细'!L56,"")</f>
        <v>100</v>
      </c>
      <c r="F312" s="13">
        <f>IF(ISNUMBER(对照快照!L218),对照快照!L218,"")</f>
        <v>100</v>
      </c>
      <c r="G312" s="13">
        <f t="shared" si="12"/>
        <v>4.5</v>
      </c>
      <c r="H312" s="13">
        <f t="shared" si="13"/>
        <v>4.5</v>
      </c>
      <c r="I312" s="13">
        <f t="shared" si="14"/>
        <v>0</v>
      </c>
      <c r="J312" s="15">
        <f>IF(ISNUMBER('Sheet2-计算明细'!F56),'Sheet2-计算明细'!F56,IF('Sheet2-计算明细'!F56="","",'Sheet2-计算明细'!F56))</f>
        <v>4.1752</v>
      </c>
      <c r="K312" s="15">
        <f>IF(ISNUMBER(对照快照!F218),对照快照!F218,IF(对照快照!F218="","",对照快照!F218))</f>
        <v>4.167</v>
      </c>
      <c r="L312" s="9" t="s">
        <v>1538</v>
      </c>
    </row>
    <row r="313" ht="25" customHeight="1" spans="1:12">
      <c r="A313" s="9" t="s">
        <v>283</v>
      </c>
      <c r="B313" s="9" t="s">
        <v>281</v>
      </c>
      <c r="C313" s="9" t="s">
        <v>1539</v>
      </c>
      <c r="D313" s="12">
        <v>0.084</v>
      </c>
      <c r="E313" s="13">
        <f>IF(ISNUMBER('Sheet2-计算明细'!Q56),'Sheet2-计算明细'!Q56,"")</f>
        <v>62.5</v>
      </c>
      <c r="F313" s="13">
        <f>IF(ISNUMBER(对照快照!Q218),对照快照!Q218,"")</f>
        <v>76.68</v>
      </c>
      <c r="G313" s="13">
        <f t="shared" si="12"/>
        <v>5.25</v>
      </c>
      <c r="H313" s="13">
        <f t="shared" si="13"/>
        <v>6.44112</v>
      </c>
      <c r="I313" s="13">
        <f t="shared" si="14"/>
        <v>-1.19112</v>
      </c>
      <c r="J313" s="15">
        <f>IF(ISNUMBER('Sheet2-计算明细'!M56),'Sheet2-计算明细'!M56,IF('Sheet2-计算明细'!M56="","",'Sheet2-计算明细'!M56))</f>
        <v>0.1031</v>
      </c>
      <c r="K313" s="15">
        <f>IF(ISNUMBER(对照快照!M218),对照快照!M218,IF(对照快照!M218="","",对照快照!M218))</f>
        <v>0.1111</v>
      </c>
      <c r="L313" s="9" t="s">
        <v>1540</v>
      </c>
    </row>
    <row r="314" ht="25" customHeight="1" spans="1:12">
      <c r="A314" s="9" t="s">
        <v>283</v>
      </c>
      <c r="B314" s="9" t="s">
        <v>281</v>
      </c>
      <c r="C314" s="9" t="s">
        <v>1541</v>
      </c>
      <c r="D314" s="12">
        <v>0.056</v>
      </c>
      <c r="E314" s="13">
        <f>IF(ISNUMBER('Sheet2-计算明细'!R56),'Sheet2-计算明细'!R56,"")</f>
        <v>59.09</v>
      </c>
      <c r="F314" s="13">
        <f>IF(ISNUMBER(对照快照!R218),对照快照!R218,"")</f>
        <v>63.33</v>
      </c>
      <c r="G314" s="13">
        <f t="shared" si="12"/>
        <v>3.30904</v>
      </c>
      <c r="H314" s="13">
        <f t="shared" si="13"/>
        <v>3.54648</v>
      </c>
      <c r="I314" s="13">
        <f t="shared" si="14"/>
        <v>-0.237439999999999</v>
      </c>
      <c r="J314" s="15">
        <f>IF(ISNUMBER('Sheet2-计算明细'!P56),'Sheet2-计算明细'!P56,IF('Sheet2-计算明细'!P56="","",'Sheet2-计算明细'!P56))</f>
        <v>0.0832102553288394</v>
      </c>
      <c r="K314" s="15">
        <f>IF(ISNUMBER(对照快照!P218),对照快照!P218,IF(对照快照!P218="","",对照快照!P218))</f>
        <v>0.0833170905010618</v>
      </c>
      <c r="L314" s="9" t="s">
        <v>1540</v>
      </c>
    </row>
    <row r="315" ht="25" customHeight="1" spans="1:12">
      <c r="A315" s="9" t="s">
        <v>283</v>
      </c>
      <c r="B315" s="9" t="s">
        <v>281</v>
      </c>
      <c r="C315" s="9" t="s">
        <v>690</v>
      </c>
      <c r="D315" s="12">
        <v>0.036</v>
      </c>
      <c r="E315" s="13">
        <f>IF(ISNUMBER('Sheet2-计算明细'!W56),'Sheet2-计算明细'!W56,"")</f>
        <v>69.23</v>
      </c>
      <c r="F315" s="13">
        <f>IF(ISNUMBER(对照快照!W218),对照快照!W218,"")</f>
        <v>76.92</v>
      </c>
      <c r="G315" s="13">
        <f t="shared" si="12"/>
        <v>2.49228</v>
      </c>
      <c r="H315" s="13">
        <f t="shared" si="13"/>
        <v>2.76912</v>
      </c>
      <c r="I315" s="13">
        <f t="shared" si="14"/>
        <v>-0.27684</v>
      </c>
      <c r="J315" s="15">
        <f>IF(ISNUMBER('Sheet2-计算明细'!T56),'Sheet2-计算明细'!T56,IF('Sheet2-计算明细'!T56="","",'Sheet2-计算明细'!T56))</f>
        <v>0.6923</v>
      </c>
      <c r="K315" s="15">
        <f>IF(ISNUMBER(对照快照!T218),对照快照!T218,IF(对照快照!T218="","",对照快照!T218))</f>
        <v>0.7692</v>
      </c>
      <c r="L315" s="9" t="s">
        <v>1538</v>
      </c>
    </row>
    <row r="316" ht="25" customHeight="1" spans="1:12">
      <c r="A316" s="9" t="s">
        <v>283</v>
      </c>
      <c r="B316" s="9" t="s">
        <v>281</v>
      </c>
      <c r="C316" s="9" t="s">
        <v>692</v>
      </c>
      <c r="D316" s="12">
        <v>0.024</v>
      </c>
      <c r="E316" s="13">
        <f>IF(ISNUMBER('Sheet2-计算明细'!X56),'Sheet2-计算明细'!X56,"")</f>
        <v>70.8333333333333</v>
      </c>
      <c r="F316" s="13">
        <f>IF(ISNUMBER(对照快照!X218),对照快照!X218,"")</f>
        <v>70.8304166666667</v>
      </c>
      <c r="G316" s="13">
        <f t="shared" si="12"/>
        <v>1.7</v>
      </c>
      <c r="H316" s="13">
        <f t="shared" si="13"/>
        <v>1.69993</v>
      </c>
      <c r="I316" s="13">
        <f t="shared" si="14"/>
        <v>6.99999999995704e-5</v>
      </c>
      <c r="J316" s="15">
        <f>IF(ISNUMBER('Sheet2-计算明细'!V56),'Sheet2-计算明细'!V56,IF('Sheet2-计算明细'!V56="","",'Sheet2-计算明细'!V56))</f>
        <v>0.708333333333333</v>
      </c>
      <c r="K316" s="15">
        <f>IF(ISNUMBER(对照快照!V218),对照快照!V218,IF(对照快照!V218="","",对照快照!V218))</f>
        <v>0.708304166666667</v>
      </c>
      <c r="L316" s="9" t="s">
        <v>1538</v>
      </c>
    </row>
    <row r="317" ht="25" customHeight="1" spans="1:12">
      <c r="A317" s="9" t="s">
        <v>283</v>
      </c>
      <c r="B317" s="9" t="s">
        <v>281</v>
      </c>
      <c r="C317" s="9" t="s">
        <v>1542</v>
      </c>
      <c r="D317" s="12">
        <v>0.25</v>
      </c>
      <c r="E317" s="13">
        <f>IF(ISNUMBER('Sheet2-计算明细'!AC56),'Sheet2-计算明细'!AC56,"")</f>
        <v>27.03</v>
      </c>
      <c r="F317" s="13">
        <f>IF(ISNUMBER(对照快照!AC218),对照快照!AC218,"")</f>
        <v>51.92</v>
      </c>
      <c r="G317" s="13">
        <f t="shared" si="12"/>
        <v>6.7575</v>
      </c>
      <c r="H317" s="13">
        <f t="shared" si="13"/>
        <v>12.98</v>
      </c>
      <c r="I317" s="13">
        <f t="shared" si="14"/>
        <v>-6.2225</v>
      </c>
      <c r="J317" s="15">
        <f>IF(ISNUMBER('Sheet2-计算明细'!AB56),'Sheet2-计算明细'!AB56,IF('Sheet2-计算明细'!AB56="","",'Sheet2-计算明细'!AB56))</f>
        <v>0.0402168825089718</v>
      </c>
      <c r="K317" s="15">
        <f>IF(ISNUMBER(对照快照!AB218),对照快照!AB218,IF(对照快照!AB218="","",对照快照!AB218))</f>
        <v>0.0402</v>
      </c>
      <c r="L317" s="9" t="s">
        <v>1540</v>
      </c>
    </row>
    <row r="318" ht="25" customHeight="1" spans="1:12">
      <c r="A318" s="9" t="s">
        <v>283</v>
      </c>
      <c r="B318" s="9" t="s">
        <v>281</v>
      </c>
      <c r="C318" s="9" t="s">
        <v>1543</v>
      </c>
      <c r="D318" s="12">
        <v>0.18</v>
      </c>
      <c r="E318" s="13">
        <f>IF(ISNUMBER('Sheet2-计算明细'!AG56),'Sheet2-计算明细'!AG56,"")</f>
        <v>23.94</v>
      </c>
      <c r="F318" s="13">
        <f>IF(ISNUMBER(对照快照!AG218),对照快照!AG218,"")</f>
        <v>51.77</v>
      </c>
      <c r="G318" s="13">
        <f t="shared" si="12"/>
        <v>4.3092</v>
      </c>
      <c r="H318" s="13">
        <f t="shared" si="13"/>
        <v>9.3186</v>
      </c>
      <c r="I318" s="13">
        <f t="shared" si="14"/>
        <v>-5.0094</v>
      </c>
      <c r="J318" s="15">
        <f>IF(ISNUMBER('Sheet2-计算明细'!AD56),'Sheet2-计算明细'!AD56,IF('Sheet2-计算明细'!AD56="","",'Sheet2-计算明细'!AD56))</f>
        <v>2.5636</v>
      </c>
      <c r="K318" s="15">
        <f>IF(ISNUMBER(对照快照!AD218),对照快照!AD218,IF(对照快照!AD218="","",对照快照!AD218))</f>
        <v>2.7642</v>
      </c>
      <c r="L318" s="9" t="s">
        <v>1540</v>
      </c>
    </row>
    <row r="319" ht="25" customHeight="1" spans="1:12">
      <c r="A319" s="9" t="s">
        <v>283</v>
      </c>
      <c r="B319" s="9" t="s">
        <v>281</v>
      </c>
      <c r="C319" s="9" t="s">
        <v>1544</v>
      </c>
      <c r="D319" s="12">
        <v>0.12</v>
      </c>
      <c r="E319" s="13" t="str">
        <f>IF(ISNUMBER('Sheet2-计算明细'!AH56),'Sheet2-计算明细'!AH56,"")</f>
        <v/>
      </c>
      <c r="F319" s="13" t="str">
        <f>IF(ISNUMBER(对照快照!AH218),对照快照!AH218,"")</f>
        <v/>
      </c>
      <c r="G319" s="13">
        <f t="shared" si="12"/>
        <v>0</v>
      </c>
      <c r="H319" s="13">
        <f t="shared" si="13"/>
        <v>0</v>
      </c>
      <c r="I319" s="13">
        <f t="shared" si="14"/>
        <v>0</v>
      </c>
      <c r="J319" s="15" t="str">
        <f>IF(ISNUMBER('Sheet2-计算明细'!AF56),'Sheet2-计算明细'!AF56,IF('Sheet2-计算明细'!AF56="","",'Sheet2-计算明细'!AF56))</f>
        <v/>
      </c>
      <c r="K319" s="15" t="str">
        <f>IF(ISNUMBER(对照快照!AF218),对照快照!AF218,IF(对照快照!AF218="","",对照快照!AF218))</f>
        <v/>
      </c>
      <c r="L319" s="9" t="s">
        <v>1540</v>
      </c>
    </row>
    <row r="320" ht="25" customHeight="1" spans="1:12">
      <c r="A320" s="9" t="s">
        <v>283</v>
      </c>
      <c r="B320" s="9" t="s">
        <v>281</v>
      </c>
      <c r="C320" s="9" t="s">
        <v>574</v>
      </c>
      <c r="D320" s="12">
        <v>0.1</v>
      </c>
      <c r="E320" s="13">
        <f>IF(ISNUMBER('Sheet2-计算明细'!AK56),'Sheet2-计算明细'!AK56,"")</f>
        <v>100</v>
      </c>
      <c r="F320" s="13">
        <f>IF(ISNUMBER(对照快照!AK218),对照快照!AK218,"")</f>
        <v>100</v>
      </c>
      <c r="G320" s="13">
        <f t="shared" si="12"/>
        <v>10</v>
      </c>
      <c r="H320" s="13">
        <f t="shared" si="13"/>
        <v>10</v>
      </c>
      <c r="I320" s="13">
        <f t="shared" si="14"/>
        <v>0</v>
      </c>
      <c r="J320" s="15">
        <f>IF(ISNUMBER('Sheet2-计算明细'!AJ56),'Sheet2-计算明细'!AJ56,IF('Sheet2-计算明细'!AJ56="","",'Sheet2-计算明细'!AJ56))</f>
        <v>0.0898</v>
      </c>
      <c r="K320" s="15">
        <f>IF(ISNUMBER(对照快照!AJ218),对照快照!AJ218,IF(对照快照!AJ218="","",对照快照!AJ218))</f>
        <v>0.0925</v>
      </c>
      <c r="L320" s="9" t="s">
        <v>1538</v>
      </c>
    </row>
    <row r="321" ht="25" customHeight="1" spans="1:12">
      <c r="A321" s="9" t="s">
        <v>289</v>
      </c>
      <c r="B321" s="9" t="s">
        <v>288</v>
      </c>
      <c r="C321" s="9" t="s">
        <v>538</v>
      </c>
      <c r="D321" s="12">
        <v>0.06</v>
      </c>
      <c r="E321" s="13">
        <f>IF(ISNUMBER('Sheet2-计算明细'!I57),'Sheet2-计算明细'!I57,"")</f>
        <v>80</v>
      </c>
      <c r="F321" s="13">
        <f>IF(ISNUMBER(对照快照!I261),对照快照!I261,"")</f>
        <v>80</v>
      </c>
      <c r="G321" s="13">
        <f t="shared" si="12"/>
        <v>4.8</v>
      </c>
      <c r="H321" s="13">
        <f t="shared" si="13"/>
        <v>4.8</v>
      </c>
      <c r="I321" s="13">
        <f t="shared" si="14"/>
        <v>0</v>
      </c>
      <c r="J321" s="15" t="str">
        <f>IF(ISNUMBER('Sheet2-计算明细'!H57),'Sheet2-计算明细'!H57,IF('Sheet2-计算明细'!H57="","",'Sheet2-计算明细'!H57))</f>
        <v>10-20亿元</v>
      </c>
      <c r="K321" s="15" t="str">
        <f>IF(ISNUMBER(对照快照!H261),对照快照!H261,IF(对照快照!H261="","",对照快照!H261))</f>
        <v>10-20亿元</v>
      </c>
      <c r="L321" s="9" t="s">
        <v>1538</v>
      </c>
    </row>
    <row r="322" ht="25" customHeight="1" spans="1:12">
      <c r="A322" s="9" t="s">
        <v>289</v>
      </c>
      <c r="B322" s="9" t="s">
        <v>288</v>
      </c>
      <c r="C322" s="9" t="s">
        <v>543</v>
      </c>
      <c r="D322" s="12">
        <v>0.045</v>
      </c>
      <c r="E322" s="13">
        <f>IF(ISNUMBER('Sheet2-计算明细'!K57),'Sheet2-计算明细'!K57,"")</f>
        <v>100</v>
      </c>
      <c r="F322" s="13">
        <f>IF(ISNUMBER(对照快照!K261),对照快照!K261,"")</f>
        <v>100</v>
      </c>
      <c r="G322" s="13">
        <f t="shared" ref="G322:G385" si="15">IF(ISNUMBER(E322),D322*E322,0)</f>
        <v>4.5</v>
      </c>
      <c r="H322" s="13">
        <f t="shared" ref="H322:H385" si="16">IF(ISNUMBER(F322),D322*F322,0)</f>
        <v>4.5</v>
      </c>
      <c r="I322" s="13">
        <f t="shared" ref="I322:I385" si="17">G322-H322</f>
        <v>0</v>
      </c>
      <c r="J322" s="15" t="str">
        <f>IF(ISNUMBER('Sheet2-计算明细'!J57),'Sheet2-计算明细'!J57,IF('Sheet2-计算明细'!J57="","",'Sheet2-计算明细'!J57))</f>
        <v>无低于1000万元标识</v>
      </c>
      <c r="K322" s="15" t="str">
        <f>IF(ISNUMBER(对照快照!J261),对照快照!J261,IF(对照快照!J261="","",对照快照!J261))</f>
        <v>无低于1000万元标识</v>
      </c>
      <c r="L322" s="9" t="s">
        <v>1538</v>
      </c>
    </row>
    <row r="323" ht="25" customHeight="1" spans="1:12">
      <c r="A323" s="9" t="s">
        <v>289</v>
      </c>
      <c r="B323" s="9" t="s">
        <v>288</v>
      </c>
      <c r="C323" s="9" t="s">
        <v>547</v>
      </c>
      <c r="D323" s="12">
        <v>0.045</v>
      </c>
      <c r="E323" s="13">
        <f>IF(ISNUMBER('Sheet2-计算明细'!L57),'Sheet2-计算明细'!L57,"")</f>
        <v>100</v>
      </c>
      <c r="F323" s="13">
        <f>IF(ISNUMBER(对照快照!L261),对照快照!L261,"")</f>
        <v>100</v>
      </c>
      <c r="G323" s="13">
        <f t="shared" si="15"/>
        <v>4.5</v>
      </c>
      <c r="H323" s="13">
        <f t="shared" si="16"/>
        <v>4.5</v>
      </c>
      <c r="I323" s="13">
        <f t="shared" si="17"/>
        <v>0</v>
      </c>
      <c r="J323" s="15">
        <f>IF(ISNUMBER('Sheet2-计算明细'!F57),'Sheet2-计算明细'!F57,IF('Sheet2-计算明细'!F57="","",'Sheet2-计算明细'!F57))</f>
        <v>3.0363</v>
      </c>
      <c r="K323" s="15">
        <f>IF(ISNUMBER(对照快照!F261),对照快照!F261,IF(对照快照!F261="","",对照快照!F261))</f>
        <v>3.0281</v>
      </c>
      <c r="L323" s="9" t="s">
        <v>1538</v>
      </c>
    </row>
    <row r="324" ht="25" customHeight="1" spans="1:12">
      <c r="A324" s="9" t="s">
        <v>289</v>
      </c>
      <c r="B324" s="9" t="s">
        <v>288</v>
      </c>
      <c r="C324" s="9" t="s">
        <v>1539</v>
      </c>
      <c r="D324" s="12">
        <v>0.084</v>
      </c>
      <c r="E324" s="13">
        <f>IF(ISNUMBER('Sheet2-计算明细'!Q57),'Sheet2-计算明细'!Q57,"")</f>
        <v>66.67</v>
      </c>
      <c r="F324" s="13">
        <f>IF(ISNUMBER(对照快照!Q261),对照快照!Q261,"")</f>
        <v>78.27</v>
      </c>
      <c r="G324" s="13">
        <f t="shared" si="15"/>
        <v>5.60028</v>
      </c>
      <c r="H324" s="13">
        <f t="shared" si="16"/>
        <v>6.57468</v>
      </c>
      <c r="I324" s="13">
        <f t="shared" si="17"/>
        <v>-0.974399999999999</v>
      </c>
      <c r="J324" s="15">
        <f>IF(ISNUMBER('Sheet2-计算明细'!M57),'Sheet2-计算明细'!M57,IF('Sheet2-计算明细'!M57="","",'Sheet2-计算明细'!M57))</f>
        <v>0.1102</v>
      </c>
      <c r="K324" s="15">
        <f>IF(ISNUMBER(对照快照!M261),对照快照!M261,IF(对照快照!M261="","",对照快照!M261))</f>
        <v>0.1177</v>
      </c>
      <c r="L324" s="9" t="s">
        <v>1540</v>
      </c>
    </row>
    <row r="325" ht="25" customHeight="1" spans="1:12">
      <c r="A325" s="9" t="s">
        <v>289</v>
      </c>
      <c r="B325" s="9" t="s">
        <v>288</v>
      </c>
      <c r="C325" s="9" t="s">
        <v>1541</v>
      </c>
      <c r="D325" s="12">
        <v>0.056</v>
      </c>
      <c r="E325" s="13">
        <f>IF(ISNUMBER('Sheet2-计算明细'!R57),'Sheet2-计算明细'!R57,"")</f>
        <v>62.12</v>
      </c>
      <c r="F325" s="13">
        <f>IF(ISNUMBER(对照快照!R261),对照快照!R261,"")</f>
        <v>63.81</v>
      </c>
      <c r="G325" s="13">
        <f t="shared" si="15"/>
        <v>3.47872</v>
      </c>
      <c r="H325" s="13">
        <f t="shared" si="16"/>
        <v>3.57336</v>
      </c>
      <c r="I325" s="13">
        <f t="shared" si="17"/>
        <v>-0.0946400000000001</v>
      </c>
      <c r="J325" s="15">
        <f>IF(ISNUMBER('Sheet2-计算明细'!P57),'Sheet2-计算明细'!P57,IF('Sheet2-计算明细'!P57="","",'Sheet2-计算明细'!P57))</f>
        <v>0.0862866797372925</v>
      </c>
      <c r="K325" s="15">
        <f>IF(ISNUMBER(对照快照!P261),对照快照!P261,IF(对照快照!P261="","",对照快照!P261))</f>
        <v>0.0860512719188937</v>
      </c>
      <c r="L325" s="9" t="s">
        <v>1540</v>
      </c>
    </row>
    <row r="326" ht="25" customHeight="1" spans="1:12">
      <c r="A326" s="9" t="s">
        <v>289</v>
      </c>
      <c r="B326" s="9" t="s">
        <v>288</v>
      </c>
      <c r="C326" s="9" t="s">
        <v>690</v>
      </c>
      <c r="D326" s="12">
        <v>0.036</v>
      </c>
      <c r="E326" s="13">
        <f>IF(ISNUMBER('Sheet2-计算明细'!W57),'Sheet2-计算明细'!W57,"")</f>
        <v>69.23</v>
      </c>
      <c r="F326" s="13">
        <f>IF(ISNUMBER(对照快照!W261),对照快照!W261,"")</f>
        <v>76.92</v>
      </c>
      <c r="G326" s="13">
        <f t="shared" si="15"/>
        <v>2.49228</v>
      </c>
      <c r="H326" s="13">
        <f t="shared" si="16"/>
        <v>2.76912</v>
      </c>
      <c r="I326" s="13">
        <f t="shared" si="17"/>
        <v>-0.27684</v>
      </c>
      <c r="J326" s="15">
        <f>IF(ISNUMBER('Sheet2-计算明细'!T57),'Sheet2-计算明细'!T57,IF('Sheet2-计算明细'!T57="","",'Sheet2-计算明细'!T57))</f>
        <v>0.6923</v>
      </c>
      <c r="K326" s="15">
        <f>IF(ISNUMBER(对照快照!T261),对照快照!T261,IF(对照快照!T261="","",对照快照!T261))</f>
        <v>0.7692</v>
      </c>
      <c r="L326" s="9" t="s">
        <v>1538</v>
      </c>
    </row>
    <row r="327" ht="25" customHeight="1" spans="1:12">
      <c r="A327" s="9" t="s">
        <v>289</v>
      </c>
      <c r="B327" s="9" t="s">
        <v>288</v>
      </c>
      <c r="C327" s="9" t="s">
        <v>692</v>
      </c>
      <c r="D327" s="12">
        <v>0.024</v>
      </c>
      <c r="E327" s="13">
        <f>IF(ISNUMBER('Sheet2-计算明细'!X57),'Sheet2-计算明细'!X57,"")</f>
        <v>83.33625</v>
      </c>
      <c r="F327" s="13">
        <f>IF(ISNUMBER(对照快照!X261),对照快照!X261,"")</f>
        <v>82.5316666666667</v>
      </c>
      <c r="G327" s="13">
        <f t="shared" si="15"/>
        <v>2.00007</v>
      </c>
      <c r="H327" s="13">
        <f t="shared" si="16"/>
        <v>1.98076</v>
      </c>
      <c r="I327" s="13">
        <f t="shared" si="17"/>
        <v>0.0193099999999993</v>
      </c>
      <c r="J327" s="15">
        <f>IF(ISNUMBER('Sheet2-计算明细'!V57),'Sheet2-计算明细'!V57,IF('Sheet2-计算明细'!V57="","",'Sheet2-计算明细'!V57))</f>
        <v>0.8333625</v>
      </c>
      <c r="K327" s="15">
        <f>IF(ISNUMBER(对照快照!V261),对照快照!V261,IF(对照快照!V261="","",对照快照!V261))</f>
        <v>0.825316666666667</v>
      </c>
      <c r="L327" s="9" t="s">
        <v>1538</v>
      </c>
    </row>
    <row r="328" ht="25" customHeight="1" spans="1:12">
      <c r="A328" s="9" t="s">
        <v>289</v>
      </c>
      <c r="B328" s="9" t="s">
        <v>288</v>
      </c>
      <c r="C328" s="9" t="s">
        <v>1542</v>
      </c>
      <c r="D328" s="12">
        <v>0.25</v>
      </c>
      <c r="E328" s="13">
        <f>IF(ISNUMBER('Sheet2-计算明细'!AC57),'Sheet2-计算明细'!AC57,"")</f>
        <v>29.73</v>
      </c>
      <c r="F328" s="13">
        <f>IF(ISNUMBER(对照快照!AC261),对照快照!AC261,"")</f>
        <v>53.21</v>
      </c>
      <c r="G328" s="13">
        <f t="shared" si="15"/>
        <v>7.4325</v>
      </c>
      <c r="H328" s="13">
        <f t="shared" si="16"/>
        <v>13.3025</v>
      </c>
      <c r="I328" s="13">
        <f t="shared" si="17"/>
        <v>-5.87</v>
      </c>
      <c r="J328" s="15">
        <f>IF(ISNUMBER('Sheet2-计算明细'!AB57),'Sheet2-计算明细'!AB57,IF('Sheet2-计算明细'!AB57="","",'Sheet2-计算明细'!AB57))</f>
        <v>0.0375</v>
      </c>
      <c r="K328" s="15">
        <f>IF(ISNUMBER(对照快照!AB261),对照快照!AB261,IF(对照快照!AB261="","",对照快照!AB261))</f>
        <v>0.0375</v>
      </c>
      <c r="L328" s="9" t="s">
        <v>1540</v>
      </c>
    </row>
    <row r="329" ht="25" customHeight="1" spans="1:12">
      <c r="A329" s="9" t="s">
        <v>289</v>
      </c>
      <c r="B329" s="9" t="s">
        <v>288</v>
      </c>
      <c r="C329" s="9" t="s">
        <v>1543</v>
      </c>
      <c r="D329" s="12">
        <v>0.18</v>
      </c>
      <c r="E329" s="13">
        <f>IF(ISNUMBER('Sheet2-计算明细'!AG57),'Sheet2-计算明细'!AG57,"")</f>
        <v>26.76</v>
      </c>
      <c r="F329" s="13">
        <f>IF(ISNUMBER(对照快照!AG261),对照快照!AG261,"")</f>
        <v>55.63</v>
      </c>
      <c r="G329" s="13">
        <f t="shared" si="15"/>
        <v>4.8168</v>
      </c>
      <c r="H329" s="13">
        <f t="shared" si="16"/>
        <v>10.0134</v>
      </c>
      <c r="I329" s="13">
        <f t="shared" si="17"/>
        <v>-5.1966</v>
      </c>
      <c r="J329" s="15">
        <f>IF(ISNUMBER('Sheet2-计算明细'!AD57),'Sheet2-计算明细'!AD57,IF('Sheet2-计算明细'!AD57="","",'Sheet2-计算明细'!AD57))</f>
        <v>2.94</v>
      </c>
      <c r="K329" s="15">
        <f>IF(ISNUMBER(对照快照!AD261),对照快照!AD261,IF(对照快照!AD261="","",对照快照!AD261))</f>
        <v>3.1418</v>
      </c>
      <c r="L329" s="9" t="s">
        <v>1540</v>
      </c>
    </row>
    <row r="330" ht="25" customHeight="1" spans="1:12">
      <c r="A330" s="9" t="s">
        <v>289</v>
      </c>
      <c r="B330" s="9" t="s">
        <v>288</v>
      </c>
      <c r="C330" s="9" t="s">
        <v>1544</v>
      </c>
      <c r="D330" s="12">
        <v>0.12</v>
      </c>
      <c r="E330" s="13" t="str">
        <f>IF(ISNUMBER('Sheet2-计算明细'!AH57),'Sheet2-计算明细'!AH57,"")</f>
        <v/>
      </c>
      <c r="F330" s="13" t="str">
        <f>IF(ISNUMBER(对照快照!AH261),对照快照!AH261,"")</f>
        <v/>
      </c>
      <c r="G330" s="13">
        <f t="shared" si="15"/>
        <v>0</v>
      </c>
      <c r="H330" s="13">
        <f t="shared" si="16"/>
        <v>0</v>
      </c>
      <c r="I330" s="13">
        <f t="shared" si="17"/>
        <v>0</v>
      </c>
      <c r="J330" s="15" t="str">
        <f>IF(ISNUMBER('Sheet2-计算明细'!AF57),'Sheet2-计算明细'!AF57,IF('Sheet2-计算明细'!AF57="","",'Sheet2-计算明细'!AF57))</f>
        <v/>
      </c>
      <c r="K330" s="15" t="str">
        <f>IF(ISNUMBER(对照快照!AF261),对照快照!AF261,IF(对照快照!AF261="","",对照快照!AF261))</f>
        <v/>
      </c>
      <c r="L330" s="9" t="s">
        <v>1540</v>
      </c>
    </row>
    <row r="331" ht="25" customHeight="1" spans="1:12">
      <c r="A331" s="9" t="s">
        <v>289</v>
      </c>
      <c r="B331" s="9" t="s">
        <v>288</v>
      </c>
      <c r="C331" s="9" t="s">
        <v>574</v>
      </c>
      <c r="D331" s="12">
        <v>0.1</v>
      </c>
      <c r="E331" s="13">
        <f>IF(ISNUMBER('Sheet2-计算明细'!AK57),'Sheet2-计算明细'!AK57,"")</f>
        <v>100</v>
      </c>
      <c r="F331" s="13">
        <f>IF(ISNUMBER(对照快照!AK261),对照快照!AK261,"")</f>
        <v>100</v>
      </c>
      <c r="G331" s="13">
        <f t="shared" si="15"/>
        <v>10</v>
      </c>
      <c r="H331" s="13">
        <f t="shared" si="16"/>
        <v>10</v>
      </c>
      <c r="I331" s="13">
        <f t="shared" si="17"/>
        <v>0</v>
      </c>
      <c r="J331" s="15">
        <f>IF(ISNUMBER('Sheet2-计算明细'!AJ57),'Sheet2-计算明细'!AJ57,IF('Sheet2-计算明细'!AJ57="","",'Sheet2-计算明细'!AJ57))</f>
        <v>0.0942</v>
      </c>
      <c r="K331" s="15">
        <f>IF(ISNUMBER(对照快照!AJ261),对照快照!AJ261,IF(对照快照!AJ261="","",对照快照!AJ261))</f>
        <v>0.0965</v>
      </c>
      <c r="L331" s="9" t="s">
        <v>1538</v>
      </c>
    </row>
    <row r="332" ht="25" customHeight="1" spans="1:12">
      <c r="A332" s="9" t="s">
        <v>293</v>
      </c>
      <c r="B332" s="9" t="s">
        <v>292</v>
      </c>
      <c r="C332" s="9" t="s">
        <v>538</v>
      </c>
      <c r="D332" s="12">
        <v>0.06</v>
      </c>
      <c r="E332" s="13">
        <f>IF(ISNUMBER('Sheet2-计算明细'!I58),'Sheet2-计算明细'!I58,"")</f>
        <v>80</v>
      </c>
      <c r="F332" s="13">
        <f>IF(ISNUMBER(对照快照!I86),对照快照!I86,"")</f>
        <v>80</v>
      </c>
      <c r="G332" s="13">
        <f t="shared" si="15"/>
        <v>4.8</v>
      </c>
      <c r="H332" s="13">
        <f t="shared" si="16"/>
        <v>4.8</v>
      </c>
      <c r="I332" s="13">
        <f t="shared" si="17"/>
        <v>0</v>
      </c>
      <c r="J332" s="15" t="str">
        <f>IF(ISNUMBER('Sheet2-计算明细'!H58),'Sheet2-计算明细'!H58,IF('Sheet2-计算明细'!H58="","",'Sheet2-计算明细'!H58))</f>
        <v>10-20亿元</v>
      </c>
      <c r="K332" s="15" t="str">
        <f>IF(ISNUMBER(对照快照!H86),对照快照!H86,IF(对照快照!H86="","",对照快照!H86))</f>
        <v>10-20亿元</v>
      </c>
      <c r="L332" s="9" t="s">
        <v>1538</v>
      </c>
    </row>
    <row r="333" ht="25" customHeight="1" spans="1:12">
      <c r="A333" s="9" t="s">
        <v>293</v>
      </c>
      <c r="B333" s="9" t="s">
        <v>292</v>
      </c>
      <c r="C333" s="9" t="s">
        <v>543</v>
      </c>
      <c r="D333" s="12">
        <v>0.045</v>
      </c>
      <c r="E333" s="13">
        <f>IF(ISNUMBER('Sheet2-计算明细'!K58),'Sheet2-计算明细'!K58,"")</f>
        <v>100</v>
      </c>
      <c r="F333" s="13">
        <f>IF(ISNUMBER(对照快照!K86),对照快照!K86,"")</f>
        <v>100</v>
      </c>
      <c r="G333" s="13">
        <f t="shared" si="15"/>
        <v>4.5</v>
      </c>
      <c r="H333" s="13">
        <f t="shared" si="16"/>
        <v>4.5</v>
      </c>
      <c r="I333" s="13">
        <f t="shared" si="17"/>
        <v>0</v>
      </c>
      <c r="J333" s="15" t="str">
        <f>IF(ISNUMBER('Sheet2-计算明细'!J58),'Sheet2-计算明细'!J58,IF('Sheet2-计算明细'!J58="","",'Sheet2-计算明细'!J58))</f>
        <v>无低于1000万元标识</v>
      </c>
      <c r="K333" s="15" t="str">
        <f>IF(ISNUMBER(对照快照!J86),对照快照!J86,IF(对照快照!J86="","",对照快照!J86))</f>
        <v>无低于1000万元标识</v>
      </c>
      <c r="L333" s="9" t="s">
        <v>1538</v>
      </c>
    </row>
    <row r="334" ht="25" customHeight="1" spans="1:12">
      <c r="A334" s="9" t="s">
        <v>293</v>
      </c>
      <c r="B334" s="9" t="s">
        <v>292</v>
      </c>
      <c r="C334" s="9" t="s">
        <v>547</v>
      </c>
      <c r="D334" s="12">
        <v>0.045</v>
      </c>
      <c r="E334" s="13">
        <f>IF(ISNUMBER('Sheet2-计算明细'!L58),'Sheet2-计算明细'!L58,"")</f>
        <v>70</v>
      </c>
      <c r="F334" s="13">
        <f>IF(ISNUMBER(对照快照!L86),对照快照!L86,"")</f>
        <v>70</v>
      </c>
      <c r="G334" s="13">
        <f t="shared" si="15"/>
        <v>3.15</v>
      </c>
      <c r="H334" s="13">
        <f t="shared" si="16"/>
        <v>3.15</v>
      </c>
      <c r="I334" s="13">
        <f t="shared" si="17"/>
        <v>0</v>
      </c>
      <c r="J334" s="15">
        <f>IF(ISNUMBER('Sheet2-计算明细'!F58),'Sheet2-计算明细'!F58,IF('Sheet2-计算明细'!F58="","",'Sheet2-计算明细'!F58))</f>
        <v>2.4613</v>
      </c>
      <c r="K334" s="15">
        <f>IF(ISNUMBER(对照快照!F86),对照快照!F86,IF(对照快照!F86="","",对照快照!F86))</f>
        <v>2.4531</v>
      </c>
      <c r="L334" s="9" t="s">
        <v>1538</v>
      </c>
    </row>
    <row r="335" ht="25" customHeight="1" spans="1:12">
      <c r="A335" s="9" t="s">
        <v>293</v>
      </c>
      <c r="B335" s="9" t="s">
        <v>292</v>
      </c>
      <c r="C335" s="9" t="s">
        <v>1539</v>
      </c>
      <c r="D335" s="12">
        <v>0.084</v>
      </c>
      <c r="E335" s="13">
        <f>IF(ISNUMBER('Sheet2-计算明细'!Q58),'Sheet2-计算明细'!Q58,"")</f>
        <v>73.61</v>
      </c>
      <c r="F335" s="13">
        <f>IF(ISNUMBER(对照快照!Q86),对照快照!Q86,"")</f>
        <v>83.71</v>
      </c>
      <c r="G335" s="13">
        <f t="shared" si="15"/>
        <v>6.18324</v>
      </c>
      <c r="H335" s="13">
        <f t="shared" si="16"/>
        <v>7.03164</v>
      </c>
      <c r="I335" s="13">
        <f t="shared" si="17"/>
        <v>-0.8484</v>
      </c>
      <c r="J335" s="15">
        <f>IF(ISNUMBER('Sheet2-计算明细'!M58),'Sheet2-计算明细'!M58,IF('Sheet2-计算明细'!M58="","",'Sheet2-计算明细'!M58))</f>
        <v>0.1317</v>
      </c>
      <c r="K335" s="15">
        <f>IF(ISNUMBER(对照快照!M86),对照快照!M86,IF(对照快照!M86="","",对照快照!M86))</f>
        <v>0.142</v>
      </c>
      <c r="L335" s="9" t="s">
        <v>1540</v>
      </c>
    </row>
    <row r="336" ht="25" customHeight="1" spans="1:12">
      <c r="A336" s="9" t="s">
        <v>293</v>
      </c>
      <c r="B336" s="9" t="s">
        <v>292</v>
      </c>
      <c r="C336" s="9" t="s">
        <v>1541</v>
      </c>
      <c r="D336" s="12">
        <v>0.056</v>
      </c>
      <c r="E336" s="13">
        <f>IF(ISNUMBER('Sheet2-计算明细'!R58),'Sheet2-计算明细'!R58,"")</f>
        <v>31.82</v>
      </c>
      <c r="F336" s="13" t="str">
        <f>IF(ISNUMBER(对照快照!R86),对照快照!R86,"")</f>
        <v/>
      </c>
      <c r="G336" s="13">
        <f t="shared" si="15"/>
        <v>1.78192</v>
      </c>
      <c r="H336" s="13">
        <f t="shared" si="16"/>
        <v>0</v>
      </c>
      <c r="I336" s="13">
        <f t="shared" si="17"/>
        <v>1.78192</v>
      </c>
      <c r="J336" s="15">
        <f>IF(ISNUMBER('Sheet2-计算明细'!P58),'Sheet2-计算明细'!P58,IF('Sheet2-计算明细'!P58="","",'Sheet2-计算明细'!P58))</f>
        <v>0.0593995466125621</v>
      </c>
      <c r="K336" s="15" t="str">
        <f>IF(ISNUMBER(对照快照!P86),对照快照!P86,IF(对照快照!P86="","",对照快照!P86))</f>
        <v/>
      </c>
      <c r="L336" s="9" t="s">
        <v>1540</v>
      </c>
    </row>
    <row r="337" ht="25" customHeight="1" spans="1:12">
      <c r="A337" s="9" t="s">
        <v>293</v>
      </c>
      <c r="B337" s="9" t="s">
        <v>292</v>
      </c>
      <c r="C337" s="9" t="s">
        <v>690</v>
      </c>
      <c r="D337" s="12">
        <v>0.036</v>
      </c>
      <c r="E337" s="13">
        <f>IF(ISNUMBER('Sheet2-计算明细'!W58),'Sheet2-计算明细'!W58,"")</f>
        <v>84.62</v>
      </c>
      <c r="F337" s="13">
        <f>IF(ISNUMBER(对照快照!W86),对照快照!W86,"")</f>
        <v>92.31</v>
      </c>
      <c r="G337" s="13">
        <f t="shared" si="15"/>
        <v>3.04632</v>
      </c>
      <c r="H337" s="13">
        <f t="shared" si="16"/>
        <v>3.32316</v>
      </c>
      <c r="I337" s="13">
        <f t="shared" si="17"/>
        <v>-0.27684</v>
      </c>
      <c r="J337" s="15">
        <f>IF(ISNUMBER('Sheet2-计算明细'!T58),'Sheet2-计算明细'!T58,IF('Sheet2-计算明细'!T58="","",'Sheet2-计算明细'!T58))</f>
        <v>0.8462</v>
      </c>
      <c r="K337" s="15">
        <f>IF(ISNUMBER(对照快照!T86),对照快照!T86,IF(对照快照!T86="","",对照快照!T86))</f>
        <v>0.9231</v>
      </c>
      <c r="L337" s="9" t="s">
        <v>1538</v>
      </c>
    </row>
    <row r="338" ht="25" customHeight="1" spans="1:12">
      <c r="A338" s="9" t="s">
        <v>293</v>
      </c>
      <c r="B338" s="9" t="s">
        <v>292</v>
      </c>
      <c r="C338" s="9" t="s">
        <v>692</v>
      </c>
      <c r="D338" s="12">
        <v>0.024</v>
      </c>
      <c r="E338" s="13" t="str">
        <f>IF(ISNUMBER('Sheet2-计算明细'!X58),'Sheet2-计算明细'!X58,"")</f>
        <v/>
      </c>
      <c r="F338" s="13" t="str">
        <f>IF(ISNUMBER(对照快照!X86),对照快照!X86,"")</f>
        <v/>
      </c>
      <c r="G338" s="13">
        <f t="shared" si="15"/>
        <v>0</v>
      </c>
      <c r="H338" s="13">
        <f t="shared" si="16"/>
        <v>0</v>
      </c>
      <c r="I338" s="13">
        <f t="shared" si="17"/>
        <v>0</v>
      </c>
      <c r="J338" s="15" t="str">
        <f>IF(ISNUMBER('Sheet2-计算明细'!V58),'Sheet2-计算明细'!V58,IF('Sheet2-计算明细'!V58="","",'Sheet2-计算明细'!V58))</f>
        <v/>
      </c>
      <c r="K338" s="15" t="str">
        <f>IF(ISNUMBER(对照快照!V86),对照快照!V86,IF(对照快照!V86="","",对照快照!V86))</f>
        <v/>
      </c>
      <c r="L338" s="9" t="s">
        <v>1538</v>
      </c>
    </row>
    <row r="339" ht="25" customHeight="1" spans="1:12">
      <c r="A339" s="9" t="s">
        <v>293</v>
      </c>
      <c r="B339" s="9" t="s">
        <v>292</v>
      </c>
      <c r="C339" s="9" t="s">
        <v>1542</v>
      </c>
      <c r="D339" s="12">
        <v>0.25</v>
      </c>
      <c r="E339" s="13">
        <f>IF(ISNUMBER('Sheet2-计算明细'!AC58),'Sheet2-计算明细'!AC58,"")</f>
        <v>63.51</v>
      </c>
      <c r="F339" s="13">
        <f>IF(ISNUMBER(对照快照!AC86),对照快照!AC86,"")</f>
        <v>81.41</v>
      </c>
      <c r="G339" s="13">
        <f t="shared" si="15"/>
        <v>15.8775</v>
      </c>
      <c r="H339" s="13">
        <f t="shared" si="16"/>
        <v>20.3525</v>
      </c>
      <c r="I339" s="13">
        <f t="shared" si="17"/>
        <v>-4.475</v>
      </c>
      <c r="J339" s="15">
        <f>IF(ISNUMBER('Sheet2-计算明细'!AB58),'Sheet2-计算明细'!AB58,IF('Sheet2-计算明细'!AB58="","",'Sheet2-计算明细'!AB58))</f>
        <v>0.0125902203527556</v>
      </c>
      <c r="K339" s="15">
        <f>IF(ISNUMBER(对照快照!AB86),对照快照!AB86,IF(对照快照!AB86="","",对照快照!AB86))</f>
        <v>0.0125921130807225</v>
      </c>
      <c r="L339" s="9" t="s">
        <v>1540</v>
      </c>
    </row>
    <row r="340" ht="25" customHeight="1" spans="1:12">
      <c r="A340" s="9" t="s">
        <v>293</v>
      </c>
      <c r="B340" s="9" t="s">
        <v>292</v>
      </c>
      <c r="C340" s="9" t="s">
        <v>1543</v>
      </c>
      <c r="D340" s="12">
        <v>0.18</v>
      </c>
      <c r="E340" s="13">
        <f>IF(ISNUMBER('Sheet2-计算明细'!AG58),'Sheet2-计算明细'!AG58,"")</f>
        <v>54.93</v>
      </c>
      <c r="F340" s="13">
        <f>IF(ISNUMBER(对照快照!AG86),对照快照!AG86,"")</f>
        <v>83.6</v>
      </c>
      <c r="G340" s="13">
        <f t="shared" si="15"/>
        <v>9.8874</v>
      </c>
      <c r="H340" s="13">
        <f t="shared" si="16"/>
        <v>15.048</v>
      </c>
      <c r="I340" s="13">
        <f t="shared" si="17"/>
        <v>-5.1606</v>
      </c>
      <c r="J340" s="15">
        <f>IF(ISNUMBER('Sheet2-计算明细'!AD58),'Sheet2-计算明细'!AD58,IF('Sheet2-计算明细'!AD58="","",'Sheet2-计算明细'!AD58))</f>
        <v>10.4605</v>
      </c>
      <c r="K340" s="15">
        <f>IF(ISNUMBER(对照快照!AD86),对照快照!AD86,IF(对照快照!AD86="","",对照快照!AD86))</f>
        <v>11.2769</v>
      </c>
      <c r="L340" s="9" t="s">
        <v>1540</v>
      </c>
    </row>
    <row r="341" ht="25" customHeight="1" spans="1:12">
      <c r="A341" s="9" t="s">
        <v>293</v>
      </c>
      <c r="B341" s="9" t="s">
        <v>292</v>
      </c>
      <c r="C341" s="9" t="s">
        <v>1544</v>
      </c>
      <c r="D341" s="12">
        <v>0.12</v>
      </c>
      <c r="E341" s="13" t="str">
        <f>IF(ISNUMBER('Sheet2-计算明细'!AH58),'Sheet2-计算明细'!AH58,"")</f>
        <v/>
      </c>
      <c r="F341" s="13" t="str">
        <f>IF(ISNUMBER(对照快照!AH86),对照快照!AH86,"")</f>
        <v/>
      </c>
      <c r="G341" s="13">
        <f t="shared" si="15"/>
        <v>0</v>
      </c>
      <c r="H341" s="13">
        <f t="shared" si="16"/>
        <v>0</v>
      </c>
      <c r="I341" s="13">
        <f t="shared" si="17"/>
        <v>0</v>
      </c>
      <c r="J341" s="15" t="str">
        <f>IF(ISNUMBER('Sheet2-计算明细'!AF58),'Sheet2-计算明细'!AF58,IF('Sheet2-计算明细'!AF58="","",'Sheet2-计算明细'!AF58))</f>
        <v/>
      </c>
      <c r="K341" s="15" t="str">
        <f>IF(ISNUMBER(对照快照!AF86),对照快照!AF86,IF(对照快照!AF86="","",对照快照!AF86))</f>
        <v/>
      </c>
      <c r="L341" s="9" t="s">
        <v>1540</v>
      </c>
    </row>
    <row r="342" ht="25" customHeight="1" spans="1:12">
      <c r="A342" s="9" t="s">
        <v>293</v>
      </c>
      <c r="B342" s="9" t="s">
        <v>292</v>
      </c>
      <c r="C342" s="9" t="s">
        <v>574</v>
      </c>
      <c r="D342" s="12">
        <v>0.1</v>
      </c>
      <c r="E342" s="13">
        <f>IF(ISNUMBER('Sheet2-计算明细'!AK58),'Sheet2-计算明细'!AK58,"")</f>
        <v>100</v>
      </c>
      <c r="F342" s="13" t="str">
        <f>IF(ISNUMBER(对照快照!AK86),对照快照!AK86,"")</f>
        <v/>
      </c>
      <c r="G342" s="13">
        <f t="shared" si="15"/>
        <v>10</v>
      </c>
      <c r="H342" s="13">
        <f t="shared" si="16"/>
        <v>0</v>
      </c>
      <c r="I342" s="13">
        <f t="shared" si="17"/>
        <v>10</v>
      </c>
      <c r="J342" s="15">
        <f>IF(ISNUMBER('Sheet2-计算明细'!AJ58),'Sheet2-计算明细'!AJ58,IF('Sheet2-计算明细'!AJ58="","",'Sheet2-计算明细'!AJ58))</f>
        <v>0.0882</v>
      </c>
      <c r="K342" s="15" t="str">
        <f>IF(ISNUMBER(对照快照!AJ86),对照快照!AJ86,IF(对照快照!AJ86="","",对照快照!AJ86))</f>
        <v/>
      </c>
      <c r="L342" s="9" t="s">
        <v>1538</v>
      </c>
    </row>
    <row r="343" ht="25" customHeight="1" spans="1:12">
      <c r="A343" s="9" t="s">
        <v>303</v>
      </c>
      <c r="B343" s="9" t="s">
        <v>302</v>
      </c>
      <c r="C343" s="9" t="s">
        <v>538</v>
      </c>
      <c r="D343" s="12">
        <v>0.06</v>
      </c>
      <c r="E343" s="13">
        <f>IF(ISNUMBER('Sheet2-计算明细'!I60),'Sheet2-计算明细'!I60,"")</f>
        <v>80</v>
      </c>
      <c r="F343" s="13">
        <f>IF(ISNUMBER(对照快照!I97),对照快照!I97,"")</f>
        <v>80</v>
      </c>
      <c r="G343" s="13">
        <f t="shared" si="15"/>
        <v>4.8</v>
      </c>
      <c r="H343" s="13">
        <f t="shared" si="16"/>
        <v>4.8</v>
      </c>
      <c r="I343" s="13">
        <f t="shared" si="17"/>
        <v>0</v>
      </c>
      <c r="J343" s="15" t="str">
        <f>IF(ISNUMBER('Sheet2-计算明细'!H60),'Sheet2-计算明细'!H60,IF('Sheet2-计算明细'!H60="","",'Sheet2-计算明细'!H60))</f>
        <v>10-20亿元</v>
      </c>
      <c r="K343" s="15" t="str">
        <f>IF(ISNUMBER(对照快照!H97),对照快照!H97,IF(对照快照!H97="","",对照快照!H97))</f>
        <v>10-20亿元</v>
      </c>
      <c r="L343" s="9" t="s">
        <v>1538</v>
      </c>
    </row>
    <row r="344" ht="25" customHeight="1" spans="1:12">
      <c r="A344" s="9" t="s">
        <v>303</v>
      </c>
      <c r="B344" s="9" t="s">
        <v>302</v>
      </c>
      <c r="C344" s="9" t="s">
        <v>543</v>
      </c>
      <c r="D344" s="12">
        <v>0.045</v>
      </c>
      <c r="E344" s="13">
        <f>IF(ISNUMBER('Sheet2-计算明细'!K60),'Sheet2-计算明细'!K60,"")</f>
        <v>100</v>
      </c>
      <c r="F344" s="13">
        <f>IF(ISNUMBER(对照快照!K97),对照快照!K97,"")</f>
        <v>100</v>
      </c>
      <c r="G344" s="13">
        <f t="shared" si="15"/>
        <v>4.5</v>
      </c>
      <c r="H344" s="13">
        <f t="shared" si="16"/>
        <v>4.5</v>
      </c>
      <c r="I344" s="13">
        <f t="shared" si="17"/>
        <v>0</v>
      </c>
      <c r="J344" s="15" t="str">
        <f>IF(ISNUMBER('Sheet2-计算明细'!J60),'Sheet2-计算明细'!J60,IF('Sheet2-计算明细'!J60="","",'Sheet2-计算明细'!J60))</f>
        <v>无低于1000万元标识</v>
      </c>
      <c r="K344" s="15" t="str">
        <f>IF(ISNUMBER(对照快照!J97),对照快照!J97,IF(对照快照!J97="","",对照快照!J97))</f>
        <v>无低于1000万元标识</v>
      </c>
      <c r="L344" s="9" t="s">
        <v>1538</v>
      </c>
    </row>
    <row r="345" ht="25" customHeight="1" spans="1:12">
      <c r="A345" s="9" t="s">
        <v>303</v>
      </c>
      <c r="B345" s="9" t="s">
        <v>302</v>
      </c>
      <c r="C345" s="9" t="s">
        <v>547</v>
      </c>
      <c r="D345" s="12">
        <v>0.045</v>
      </c>
      <c r="E345" s="13">
        <f>IF(ISNUMBER('Sheet2-计算明细'!L60),'Sheet2-计算明细'!L60,"")</f>
        <v>70</v>
      </c>
      <c r="F345" s="13">
        <f>IF(ISNUMBER(对照快照!L97),对照快照!L97,"")</f>
        <v>70</v>
      </c>
      <c r="G345" s="13">
        <f t="shared" si="15"/>
        <v>3.15</v>
      </c>
      <c r="H345" s="13">
        <f t="shared" si="16"/>
        <v>3.15</v>
      </c>
      <c r="I345" s="13">
        <f t="shared" si="17"/>
        <v>0</v>
      </c>
      <c r="J345" s="15">
        <f>IF(ISNUMBER('Sheet2-计算明细'!F60),'Sheet2-计算明细'!F60,IF('Sheet2-计算明细'!F60="","",'Sheet2-计算明细'!F60))</f>
        <v>1.7906</v>
      </c>
      <c r="K345" s="15">
        <f>IF(ISNUMBER(对照快照!F97),对照快照!F97,IF(对照快照!F97="","",对照快照!F97))</f>
        <v>1.7823</v>
      </c>
      <c r="L345" s="9" t="s">
        <v>1538</v>
      </c>
    </row>
    <row r="346" ht="25" customHeight="1" spans="1:12">
      <c r="A346" s="9" t="s">
        <v>303</v>
      </c>
      <c r="B346" s="9" t="s">
        <v>302</v>
      </c>
      <c r="C346" s="9" t="s">
        <v>1539</v>
      </c>
      <c r="D346" s="12">
        <v>0.084</v>
      </c>
      <c r="E346" s="13">
        <f>IF(ISNUMBER('Sheet2-计算明细'!Q60),'Sheet2-计算明细'!Q60,"")</f>
        <v>75.69</v>
      </c>
      <c r="F346" s="13">
        <f>IF(ISNUMBER(对照快照!Q97),对照快照!Q97,"")</f>
        <v>84.35</v>
      </c>
      <c r="G346" s="13">
        <f t="shared" si="15"/>
        <v>6.35796</v>
      </c>
      <c r="H346" s="13">
        <f t="shared" si="16"/>
        <v>7.0854</v>
      </c>
      <c r="I346" s="13">
        <f t="shared" si="17"/>
        <v>-0.72744</v>
      </c>
      <c r="J346" s="15">
        <f>IF(ISNUMBER('Sheet2-计算明细'!M60),'Sheet2-计算明细'!M60,IF('Sheet2-计算明细'!M60="","",'Sheet2-计算明细'!M60))</f>
        <v>0.1359</v>
      </c>
      <c r="K346" s="15">
        <f>IF(ISNUMBER(对照快照!M97),对照快照!M97,IF(对照快照!M97="","",对照快照!M97))</f>
        <v>0.1476</v>
      </c>
      <c r="L346" s="9" t="s">
        <v>1540</v>
      </c>
    </row>
    <row r="347" ht="25" customHeight="1" spans="1:12">
      <c r="A347" s="9" t="s">
        <v>303</v>
      </c>
      <c r="B347" s="9" t="s">
        <v>302</v>
      </c>
      <c r="C347" s="9" t="s">
        <v>1541</v>
      </c>
      <c r="D347" s="12">
        <v>0.056</v>
      </c>
      <c r="E347" s="13">
        <f>IF(ISNUMBER('Sheet2-计算明细'!R60),'Sheet2-计算明细'!R60,"")</f>
        <v>50</v>
      </c>
      <c r="F347" s="13" t="str">
        <f>IF(ISNUMBER(对照快照!R97),对照快照!R97,"")</f>
        <v/>
      </c>
      <c r="G347" s="13">
        <f t="shared" si="15"/>
        <v>2.8</v>
      </c>
      <c r="H347" s="13">
        <f t="shared" si="16"/>
        <v>0</v>
      </c>
      <c r="I347" s="13">
        <f t="shared" si="17"/>
        <v>2.8</v>
      </c>
      <c r="J347" s="15">
        <f>IF(ISNUMBER('Sheet2-计算明细'!P60),'Sheet2-计算明细'!P60,IF('Sheet2-计算明细'!P60="","",'Sheet2-计算明细'!P60))</f>
        <v>0.0778642902438393</v>
      </c>
      <c r="K347" s="15" t="str">
        <f>IF(ISNUMBER(对照快照!P97),对照快照!P97,IF(对照快照!P97="","",对照快照!P97))</f>
        <v/>
      </c>
      <c r="L347" s="9" t="s">
        <v>1540</v>
      </c>
    </row>
    <row r="348" ht="25" customHeight="1" spans="1:12">
      <c r="A348" s="9" t="s">
        <v>303</v>
      </c>
      <c r="B348" s="9" t="s">
        <v>302</v>
      </c>
      <c r="C348" s="9" t="s">
        <v>690</v>
      </c>
      <c r="D348" s="12">
        <v>0.036</v>
      </c>
      <c r="E348" s="13">
        <f>IF(ISNUMBER('Sheet2-计算明细'!W60),'Sheet2-计算明细'!W60,"")</f>
        <v>76.92</v>
      </c>
      <c r="F348" s="13">
        <f>IF(ISNUMBER(对照快照!W97),对照快照!W97,"")</f>
        <v>84.62</v>
      </c>
      <c r="G348" s="13">
        <f t="shared" si="15"/>
        <v>2.76912</v>
      </c>
      <c r="H348" s="13">
        <f t="shared" si="16"/>
        <v>3.04632</v>
      </c>
      <c r="I348" s="13">
        <f t="shared" si="17"/>
        <v>-0.2772</v>
      </c>
      <c r="J348" s="15">
        <f>IF(ISNUMBER('Sheet2-计算明细'!T60),'Sheet2-计算明细'!T60,IF('Sheet2-计算明细'!T60="","",'Sheet2-计算明细'!T60))</f>
        <v>0.7692</v>
      </c>
      <c r="K348" s="15">
        <f>IF(ISNUMBER(对照快照!T97),对照快照!T97,IF(对照快照!T97="","",对照快照!T97))</f>
        <v>0.8462</v>
      </c>
      <c r="L348" s="9" t="s">
        <v>1538</v>
      </c>
    </row>
    <row r="349" ht="25" customHeight="1" spans="1:12">
      <c r="A349" s="9" t="s">
        <v>303</v>
      </c>
      <c r="B349" s="9" t="s">
        <v>302</v>
      </c>
      <c r="C349" s="9" t="s">
        <v>692</v>
      </c>
      <c r="D349" s="12">
        <v>0.024</v>
      </c>
      <c r="E349" s="13" t="str">
        <f>IF(ISNUMBER('Sheet2-计算明细'!X60),'Sheet2-计算明细'!X60,"")</f>
        <v/>
      </c>
      <c r="F349" s="13" t="str">
        <f>IF(ISNUMBER(对照快照!X97),对照快照!X97,"")</f>
        <v/>
      </c>
      <c r="G349" s="13">
        <f t="shared" si="15"/>
        <v>0</v>
      </c>
      <c r="H349" s="13">
        <f t="shared" si="16"/>
        <v>0</v>
      </c>
      <c r="I349" s="13">
        <f t="shared" si="17"/>
        <v>0</v>
      </c>
      <c r="J349" s="15" t="str">
        <f>IF(ISNUMBER('Sheet2-计算明细'!V60),'Sheet2-计算明细'!V60,IF('Sheet2-计算明细'!V60="","",'Sheet2-计算明细'!V60))</f>
        <v/>
      </c>
      <c r="K349" s="15" t="str">
        <f>IF(ISNUMBER(对照快照!V97),对照快照!V97,IF(对照快照!V97="","",对照快照!V97))</f>
        <v/>
      </c>
      <c r="L349" s="9" t="s">
        <v>1538</v>
      </c>
    </row>
    <row r="350" ht="25" customHeight="1" spans="1:12">
      <c r="A350" s="9" t="s">
        <v>303</v>
      </c>
      <c r="B350" s="9" t="s">
        <v>302</v>
      </c>
      <c r="C350" s="9" t="s">
        <v>1542</v>
      </c>
      <c r="D350" s="12">
        <v>0.25</v>
      </c>
      <c r="E350" s="13">
        <f>IF(ISNUMBER('Sheet2-计算明细'!AC60),'Sheet2-计算明细'!AC60,"")</f>
        <v>50</v>
      </c>
      <c r="F350" s="13">
        <f>IF(ISNUMBER(对照快照!AC97),对照快照!AC97,"")</f>
        <v>69.23</v>
      </c>
      <c r="G350" s="13">
        <f t="shared" si="15"/>
        <v>12.5</v>
      </c>
      <c r="H350" s="13">
        <f t="shared" si="16"/>
        <v>17.3075</v>
      </c>
      <c r="I350" s="13">
        <f t="shared" si="17"/>
        <v>-4.8075</v>
      </c>
      <c r="J350" s="15">
        <f>IF(ISNUMBER('Sheet2-计算明细'!AB60),'Sheet2-计算明细'!AB60,IF('Sheet2-计算明细'!AB60="","",'Sheet2-计算明细'!AB60))</f>
        <v>0.0225680029227141</v>
      </c>
      <c r="K350" s="15">
        <f>IF(ISNUMBER(对照快照!AB97),对照快照!AB97,IF(对照快照!AB97="","",对照快照!AB97))</f>
        <v>0.0225708780622075</v>
      </c>
      <c r="L350" s="9" t="s">
        <v>1540</v>
      </c>
    </row>
    <row r="351" ht="25" customHeight="1" spans="1:12">
      <c r="A351" s="9" t="s">
        <v>303</v>
      </c>
      <c r="B351" s="9" t="s">
        <v>302</v>
      </c>
      <c r="C351" s="9" t="s">
        <v>1543</v>
      </c>
      <c r="D351" s="12">
        <v>0.18</v>
      </c>
      <c r="E351" s="13">
        <f>IF(ISNUMBER('Sheet2-计算明细'!AG60),'Sheet2-计算明细'!AG60,"")</f>
        <v>39.44</v>
      </c>
      <c r="F351" s="13">
        <f>IF(ISNUMBER(对照快照!AG97),对照快照!AG97,"")</f>
        <v>69.77</v>
      </c>
      <c r="G351" s="13">
        <f t="shared" si="15"/>
        <v>7.0992</v>
      </c>
      <c r="H351" s="13">
        <f t="shared" si="16"/>
        <v>12.5586</v>
      </c>
      <c r="I351" s="13">
        <f t="shared" si="17"/>
        <v>-5.4594</v>
      </c>
      <c r="J351" s="15">
        <f>IF(ISNUMBER('Sheet2-计算明细'!AD60),'Sheet2-计算明细'!AD60,IF('Sheet2-计算明细'!AD60="","",'Sheet2-计算明细'!AD60))</f>
        <v>6.0218</v>
      </c>
      <c r="K351" s="15">
        <f>IF(ISNUMBER(对照快照!AD97),对照快照!AD97,IF(对照快照!AD97="","",对照快照!AD97))</f>
        <v>6.5394</v>
      </c>
      <c r="L351" s="9" t="s">
        <v>1540</v>
      </c>
    </row>
    <row r="352" ht="25" customHeight="1" spans="1:12">
      <c r="A352" s="9" t="s">
        <v>303</v>
      </c>
      <c r="B352" s="9" t="s">
        <v>302</v>
      </c>
      <c r="C352" s="9" t="s">
        <v>1544</v>
      </c>
      <c r="D352" s="12">
        <v>0.12</v>
      </c>
      <c r="E352" s="13" t="str">
        <f>IF(ISNUMBER('Sheet2-计算明细'!AH60),'Sheet2-计算明细'!AH60,"")</f>
        <v/>
      </c>
      <c r="F352" s="13" t="str">
        <f>IF(ISNUMBER(对照快照!AH97),对照快照!AH97,"")</f>
        <v/>
      </c>
      <c r="G352" s="13">
        <f t="shared" si="15"/>
        <v>0</v>
      </c>
      <c r="H352" s="13">
        <f t="shared" si="16"/>
        <v>0</v>
      </c>
      <c r="I352" s="13">
        <f t="shared" si="17"/>
        <v>0</v>
      </c>
      <c r="J352" s="15" t="str">
        <f>IF(ISNUMBER('Sheet2-计算明细'!AF60),'Sheet2-计算明细'!AF60,IF('Sheet2-计算明细'!AF60="","",'Sheet2-计算明细'!AF60))</f>
        <v/>
      </c>
      <c r="K352" s="15" t="str">
        <f>IF(ISNUMBER(对照快照!AF97),对照快照!AF97,IF(对照快照!AF97="","",对照快照!AF97))</f>
        <v/>
      </c>
      <c r="L352" s="9" t="s">
        <v>1540</v>
      </c>
    </row>
    <row r="353" ht="25" customHeight="1" spans="1:12">
      <c r="A353" s="9" t="s">
        <v>303</v>
      </c>
      <c r="B353" s="9" t="s">
        <v>302</v>
      </c>
      <c r="C353" s="9" t="s">
        <v>574</v>
      </c>
      <c r="D353" s="12">
        <v>0.1</v>
      </c>
      <c r="E353" s="13">
        <f>IF(ISNUMBER('Sheet2-计算明细'!AK60),'Sheet2-计算明细'!AK60,"")</f>
        <v>100</v>
      </c>
      <c r="F353" s="13" t="str">
        <f>IF(ISNUMBER(对照快照!AK97),对照快照!AK97,"")</f>
        <v/>
      </c>
      <c r="G353" s="13">
        <f t="shared" si="15"/>
        <v>10</v>
      </c>
      <c r="H353" s="13">
        <f t="shared" si="16"/>
        <v>0</v>
      </c>
      <c r="I353" s="13">
        <f t="shared" si="17"/>
        <v>10</v>
      </c>
      <c r="J353" s="15">
        <f>IF(ISNUMBER('Sheet2-计算明细'!AJ60),'Sheet2-计算明细'!AJ60,IF('Sheet2-计算明细'!AJ60="","",'Sheet2-计算明细'!AJ60))</f>
        <v>0.1099</v>
      </c>
      <c r="K353" s="15" t="str">
        <f>IF(ISNUMBER(对照快照!AJ97),对照快照!AJ97,IF(对照快照!AJ97="","",对照快照!AJ97))</f>
        <v/>
      </c>
      <c r="L353" s="9" t="s">
        <v>1538</v>
      </c>
    </row>
    <row r="354" ht="25" customHeight="1" spans="1:12">
      <c r="A354" s="9" t="s">
        <v>308</v>
      </c>
      <c r="B354" s="9" t="s">
        <v>306</v>
      </c>
      <c r="C354" s="9" t="s">
        <v>538</v>
      </c>
      <c r="D354" s="12">
        <v>0.06</v>
      </c>
      <c r="E354" s="13">
        <f>IF(ISNUMBER('Sheet2-计算明细'!I61),'Sheet2-计算明细'!I61,"")</f>
        <v>80</v>
      </c>
      <c r="F354" s="13">
        <f>IF(ISNUMBER(对照快照!I72),对照快照!I72,"")</f>
        <v>80</v>
      </c>
      <c r="G354" s="13">
        <f t="shared" si="15"/>
        <v>4.8</v>
      </c>
      <c r="H354" s="13">
        <f t="shared" si="16"/>
        <v>4.8</v>
      </c>
      <c r="I354" s="13">
        <f t="shared" si="17"/>
        <v>0</v>
      </c>
      <c r="J354" s="15" t="str">
        <f>IF(ISNUMBER('Sheet2-计算明细'!H61),'Sheet2-计算明细'!H61,IF('Sheet2-计算明细'!H61="","",'Sheet2-计算明细'!H61))</f>
        <v>10-20亿元</v>
      </c>
      <c r="K354" s="15" t="str">
        <f>IF(ISNUMBER(对照快照!H72),对照快照!H72,IF(对照快照!H72="","",对照快照!H72))</f>
        <v>10-20亿元</v>
      </c>
      <c r="L354" s="9" t="s">
        <v>1538</v>
      </c>
    </row>
    <row r="355" ht="25" customHeight="1" spans="1:12">
      <c r="A355" s="9" t="s">
        <v>308</v>
      </c>
      <c r="B355" s="9" t="s">
        <v>306</v>
      </c>
      <c r="C355" s="9" t="s">
        <v>543</v>
      </c>
      <c r="D355" s="12">
        <v>0.045</v>
      </c>
      <c r="E355" s="13">
        <f>IF(ISNUMBER('Sheet2-计算明细'!K61),'Sheet2-计算明细'!K61,"")</f>
        <v>100</v>
      </c>
      <c r="F355" s="13">
        <f>IF(ISNUMBER(对照快照!K72),对照快照!K72,"")</f>
        <v>100</v>
      </c>
      <c r="G355" s="13">
        <f t="shared" si="15"/>
        <v>4.5</v>
      </c>
      <c r="H355" s="13">
        <f t="shared" si="16"/>
        <v>4.5</v>
      </c>
      <c r="I355" s="13">
        <f t="shared" si="17"/>
        <v>0</v>
      </c>
      <c r="J355" s="15" t="str">
        <f>IF(ISNUMBER('Sheet2-计算明细'!J61),'Sheet2-计算明细'!J61,IF('Sheet2-计算明细'!J61="","",'Sheet2-计算明细'!J61))</f>
        <v>无低于1000万元标识</v>
      </c>
      <c r="K355" s="15" t="str">
        <f>IF(ISNUMBER(对照快照!J72),对照快照!J72,IF(对照快照!J72="","",对照快照!J72))</f>
        <v>无低于1000万元标识</v>
      </c>
      <c r="L355" s="9" t="s">
        <v>1538</v>
      </c>
    </row>
    <row r="356" ht="25" customHeight="1" spans="1:12">
      <c r="A356" s="9" t="s">
        <v>308</v>
      </c>
      <c r="B356" s="9" t="s">
        <v>306</v>
      </c>
      <c r="C356" s="9" t="s">
        <v>547</v>
      </c>
      <c r="D356" s="12">
        <v>0.045</v>
      </c>
      <c r="E356" s="13">
        <f>IF(ISNUMBER('Sheet2-计算明细'!L61),'Sheet2-计算明细'!L61,"")</f>
        <v>100</v>
      </c>
      <c r="F356" s="13">
        <f>IF(ISNUMBER(对照快照!L72),对照快照!L72,"")</f>
        <v>100</v>
      </c>
      <c r="G356" s="13">
        <f t="shared" si="15"/>
        <v>4.5</v>
      </c>
      <c r="H356" s="13">
        <f t="shared" si="16"/>
        <v>4.5</v>
      </c>
      <c r="I356" s="13">
        <f t="shared" si="17"/>
        <v>0</v>
      </c>
      <c r="J356" s="15">
        <f>IF(ISNUMBER('Sheet2-计算明细'!F61),'Sheet2-计算明细'!F61,IF('Sheet2-计算明细'!F61="","",'Sheet2-计算明细'!F61))</f>
        <v>3.2389</v>
      </c>
      <c r="K356" s="15">
        <f>IF(ISNUMBER(对照快照!F72),对照快照!F72,IF(对照快照!F72="","",对照快照!F72))</f>
        <v>3.2307</v>
      </c>
      <c r="L356" s="9" t="s">
        <v>1538</v>
      </c>
    </row>
    <row r="357" ht="25" customHeight="1" spans="1:12">
      <c r="A357" s="9" t="s">
        <v>308</v>
      </c>
      <c r="B357" s="9" t="s">
        <v>306</v>
      </c>
      <c r="C357" s="9" t="s">
        <v>1539</v>
      </c>
      <c r="D357" s="12">
        <v>0.084</v>
      </c>
      <c r="E357" s="13">
        <f>IF(ISNUMBER('Sheet2-计算明细'!Q61),'Sheet2-计算明细'!Q61,"")</f>
        <v>29.17</v>
      </c>
      <c r="F357" s="13">
        <f>IF(ISNUMBER(对照快照!Q72),对照快照!Q72,"")</f>
        <v>53.04</v>
      </c>
      <c r="G357" s="13">
        <f t="shared" si="15"/>
        <v>2.45028</v>
      </c>
      <c r="H357" s="13">
        <f t="shared" si="16"/>
        <v>4.45536</v>
      </c>
      <c r="I357" s="13">
        <f t="shared" si="17"/>
        <v>-2.00508</v>
      </c>
      <c r="J357" s="15">
        <f>IF(ISNUMBER('Sheet2-计算明细'!M61),'Sheet2-计算明细'!M61,IF('Sheet2-计算明细'!M61="","",'Sheet2-计算明细'!M61))</f>
        <v>0.0667</v>
      </c>
      <c r="K357" s="15">
        <f>IF(ISNUMBER(对照快照!M72),对照快照!M72,IF(对照快照!M72="","",对照快照!M72))</f>
        <v>0.0666</v>
      </c>
      <c r="L357" s="9" t="s">
        <v>1540</v>
      </c>
    </row>
    <row r="358" ht="25" customHeight="1" spans="1:12">
      <c r="A358" s="9" t="s">
        <v>308</v>
      </c>
      <c r="B358" s="9" t="s">
        <v>306</v>
      </c>
      <c r="C358" s="9" t="s">
        <v>1541</v>
      </c>
      <c r="D358" s="12">
        <v>0.056</v>
      </c>
      <c r="E358" s="13">
        <f>IF(ISNUMBER('Sheet2-计算明细'!R61),'Sheet2-计算明细'!R61,"")</f>
        <v>9.09</v>
      </c>
      <c r="F358" s="13">
        <f>IF(ISNUMBER(对照快照!R72),对照快照!R72,"")</f>
        <v>20</v>
      </c>
      <c r="G358" s="13">
        <f t="shared" si="15"/>
        <v>0.50904</v>
      </c>
      <c r="H358" s="13">
        <f t="shared" si="16"/>
        <v>1.12</v>
      </c>
      <c r="I358" s="13">
        <f t="shared" si="17"/>
        <v>-0.61096</v>
      </c>
      <c r="J358" s="15">
        <f>IF(ISNUMBER('Sheet2-计算明细'!P61),'Sheet2-计算明细'!P61,IF('Sheet2-计算明细'!P61="","",'Sheet2-计算明细'!P61))</f>
        <v>0.0380299873738494</v>
      </c>
      <c r="K358" s="15">
        <f>IF(ISNUMBER(对照快照!P72),对照快照!P72,IF(对照快照!P72="","",对照快照!P72))</f>
        <v>0.0380786469302981</v>
      </c>
      <c r="L358" s="9" t="s">
        <v>1540</v>
      </c>
    </row>
    <row r="359" ht="25" customHeight="1" spans="1:12">
      <c r="A359" s="9" t="s">
        <v>308</v>
      </c>
      <c r="B359" s="9" t="s">
        <v>306</v>
      </c>
      <c r="C359" s="9" t="s">
        <v>690</v>
      </c>
      <c r="D359" s="12">
        <v>0.036</v>
      </c>
      <c r="E359" s="13">
        <f>IF(ISNUMBER('Sheet2-计算明细'!W61),'Sheet2-计算明细'!W61,"")</f>
        <v>100</v>
      </c>
      <c r="F359" s="13">
        <f>IF(ISNUMBER(对照快照!W72),对照快照!W72,"")</f>
        <v>100</v>
      </c>
      <c r="G359" s="13">
        <f t="shared" si="15"/>
        <v>3.6</v>
      </c>
      <c r="H359" s="13">
        <f t="shared" si="16"/>
        <v>3.6</v>
      </c>
      <c r="I359" s="13">
        <f t="shared" si="17"/>
        <v>0</v>
      </c>
      <c r="J359" s="15">
        <f>IF(ISNUMBER('Sheet2-计算明细'!T61),'Sheet2-计算明细'!T61,IF('Sheet2-计算明细'!T61="","",'Sheet2-计算明细'!T61))</f>
        <v>1</v>
      </c>
      <c r="K359" s="15">
        <f>IF(ISNUMBER(对照快照!T72),对照快照!T72,IF(对照快照!T72="","",对照快照!T72))</f>
        <v>1</v>
      </c>
      <c r="L359" s="9" t="s">
        <v>1538</v>
      </c>
    </row>
    <row r="360" ht="25" customHeight="1" spans="1:12">
      <c r="A360" s="9" t="s">
        <v>308</v>
      </c>
      <c r="B360" s="9" t="s">
        <v>306</v>
      </c>
      <c r="C360" s="9" t="s">
        <v>692</v>
      </c>
      <c r="D360" s="12">
        <v>0.024</v>
      </c>
      <c r="E360" s="13">
        <f>IF(ISNUMBER('Sheet2-计算明细'!X61),'Sheet2-计算明细'!X61,"")</f>
        <v>100</v>
      </c>
      <c r="F360" s="13">
        <f>IF(ISNUMBER(对照快照!X72),对照快照!X72,"")</f>
        <v>100</v>
      </c>
      <c r="G360" s="13">
        <f t="shared" si="15"/>
        <v>2.4</v>
      </c>
      <c r="H360" s="13">
        <f t="shared" si="16"/>
        <v>2.4</v>
      </c>
      <c r="I360" s="13">
        <f t="shared" si="17"/>
        <v>0</v>
      </c>
      <c r="J360" s="15">
        <f>IF(ISNUMBER('Sheet2-计算明细'!V61),'Sheet2-计算明细'!V61,IF('Sheet2-计算明细'!V61="","",'Sheet2-计算明细'!V61))</f>
        <v>1</v>
      </c>
      <c r="K360" s="15">
        <f>IF(ISNUMBER(对照快照!V72),对照快照!V72,IF(对照快照!V72="","",对照快照!V72))</f>
        <v>1</v>
      </c>
      <c r="L360" s="9" t="s">
        <v>1538</v>
      </c>
    </row>
    <row r="361" ht="25" customHeight="1" spans="1:12">
      <c r="A361" s="9" t="s">
        <v>308</v>
      </c>
      <c r="B361" s="9" t="s">
        <v>306</v>
      </c>
      <c r="C361" s="9" t="s">
        <v>1542</v>
      </c>
      <c r="D361" s="12">
        <v>0.25</v>
      </c>
      <c r="E361" s="13">
        <f>IF(ISNUMBER('Sheet2-计算明细'!AC61),'Sheet2-计算明细'!AC61,"")</f>
        <v>100</v>
      </c>
      <c r="F361" s="13">
        <f>IF(ISNUMBER(对照快照!AC72),对照快照!AC72,"")</f>
        <v>99.84</v>
      </c>
      <c r="G361" s="13">
        <f t="shared" si="15"/>
        <v>25</v>
      </c>
      <c r="H361" s="13">
        <f t="shared" si="16"/>
        <v>24.96</v>
      </c>
      <c r="I361" s="13">
        <f t="shared" si="17"/>
        <v>0.0399999999999991</v>
      </c>
      <c r="J361" s="15">
        <f>IF(ISNUMBER('Sheet2-计算明细'!AB61),'Sheet2-计算明细'!AB61,IF('Sheet2-计算明细'!AB61="","",'Sheet2-计算明细'!AB61))</f>
        <v>0</v>
      </c>
      <c r="K361" s="15">
        <f>IF(ISNUMBER(对照快照!AB72),对照快照!AB72,IF(对照快照!AB72="","",对照快照!AB72))</f>
        <v>0</v>
      </c>
      <c r="L361" s="9" t="s">
        <v>1540</v>
      </c>
    </row>
    <row r="362" ht="25" customHeight="1" spans="1:12">
      <c r="A362" s="9" t="s">
        <v>308</v>
      </c>
      <c r="B362" s="9" t="s">
        <v>306</v>
      </c>
      <c r="C362" s="9" t="s">
        <v>1543</v>
      </c>
      <c r="D362" s="12">
        <v>0.18</v>
      </c>
      <c r="E362" s="13" t="str">
        <f>IF(ISNUMBER('Sheet2-计算明细'!AG61),'Sheet2-计算明细'!AG61,"")</f>
        <v/>
      </c>
      <c r="F362" s="13" t="str">
        <f>IF(ISNUMBER(对照快照!AG72),对照快照!AG72,"")</f>
        <v/>
      </c>
      <c r="G362" s="13">
        <f t="shared" si="15"/>
        <v>0</v>
      </c>
      <c r="H362" s="13">
        <f t="shared" si="16"/>
        <v>0</v>
      </c>
      <c r="I362" s="13">
        <f t="shared" si="17"/>
        <v>0</v>
      </c>
      <c r="J362" s="15" t="str">
        <f>IF(ISNUMBER('Sheet2-计算明细'!AD61),'Sheet2-计算明细'!AD61,IF('Sheet2-计算明细'!AD61="","",'Sheet2-计算明细'!AD61))</f>
        <v/>
      </c>
      <c r="K362" s="15" t="str">
        <f>IF(ISNUMBER(对照快照!AD72),对照快照!AD72,IF(对照快照!AD72="","",对照快照!AD72))</f>
        <v/>
      </c>
      <c r="L362" s="9" t="s">
        <v>1540</v>
      </c>
    </row>
    <row r="363" ht="25" customHeight="1" spans="1:12">
      <c r="A363" s="9" t="s">
        <v>308</v>
      </c>
      <c r="B363" s="9" t="s">
        <v>306</v>
      </c>
      <c r="C363" s="9" t="s">
        <v>1544</v>
      </c>
      <c r="D363" s="12">
        <v>0.12</v>
      </c>
      <c r="E363" s="13" t="str">
        <f>IF(ISNUMBER('Sheet2-计算明细'!AH61),'Sheet2-计算明细'!AH61,"")</f>
        <v/>
      </c>
      <c r="F363" s="13" t="str">
        <f>IF(ISNUMBER(对照快照!AH72),对照快照!AH72,"")</f>
        <v/>
      </c>
      <c r="G363" s="13">
        <f t="shared" si="15"/>
        <v>0</v>
      </c>
      <c r="H363" s="13">
        <f t="shared" si="16"/>
        <v>0</v>
      </c>
      <c r="I363" s="13">
        <f t="shared" si="17"/>
        <v>0</v>
      </c>
      <c r="J363" s="15" t="str">
        <f>IF(ISNUMBER('Sheet2-计算明细'!AF61),'Sheet2-计算明细'!AF61,IF('Sheet2-计算明细'!AF61="","",'Sheet2-计算明细'!AF61))</f>
        <v/>
      </c>
      <c r="K363" s="15" t="str">
        <f>IF(ISNUMBER(对照快照!AF72),对照快照!AF72,IF(对照快照!AF72="","",对照快照!AF72))</f>
        <v/>
      </c>
      <c r="L363" s="9" t="s">
        <v>1540</v>
      </c>
    </row>
    <row r="364" ht="25" customHeight="1" spans="1:12">
      <c r="A364" s="9" t="s">
        <v>308</v>
      </c>
      <c r="B364" s="9" t="s">
        <v>306</v>
      </c>
      <c r="C364" s="9" t="s">
        <v>574</v>
      </c>
      <c r="D364" s="12">
        <v>0.1</v>
      </c>
      <c r="E364" s="13">
        <f>IF(ISNUMBER('Sheet2-计算明细'!AK61),'Sheet2-计算明细'!AK61,"")</f>
        <v>100</v>
      </c>
      <c r="F364" s="13">
        <f>IF(ISNUMBER(对照快照!AK72),对照快照!AK72,"")</f>
        <v>100</v>
      </c>
      <c r="G364" s="13">
        <f t="shared" si="15"/>
        <v>10</v>
      </c>
      <c r="H364" s="13">
        <f t="shared" si="16"/>
        <v>10</v>
      </c>
      <c r="I364" s="13">
        <f t="shared" si="17"/>
        <v>0</v>
      </c>
      <c r="J364" s="15">
        <f>IF(ISNUMBER('Sheet2-计算明细'!AJ61),'Sheet2-计算明细'!AJ61,IF('Sheet2-计算明细'!AJ61="","",'Sheet2-计算明细'!AJ61))</f>
        <v>0.0475</v>
      </c>
      <c r="K364" s="15">
        <f>IF(ISNUMBER(对照快照!AJ72),对照快照!AJ72,IF(对照快照!AJ72="","",对照快照!AJ72))</f>
        <v>0.0475</v>
      </c>
      <c r="L364" s="9" t="s">
        <v>1538</v>
      </c>
    </row>
    <row r="365" ht="25" customHeight="1" spans="1:12">
      <c r="A365" s="9" t="s">
        <v>313</v>
      </c>
      <c r="B365" s="9" t="s">
        <v>312</v>
      </c>
      <c r="C365" s="9" t="s">
        <v>538</v>
      </c>
      <c r="D365" s="12">
        <v>0.06</v>
      </c>
      <c r="E365" s="13">
        <f>IF(ISNUMBER('Sheet2-计算明细'!I62),'Sheet2-计算明细'!I62,"")</f>
        <v>90</v>
      </c>
      <c r="F365" s="13">
        <f>IF(ISNUMBER(对照快照!I67),对照快照!I67,"")</f>
        <v>90</v>
      </c>
      <c r="G365" s="13">
        <f t="shared" si="15"/>
        <v>5.4</v>
      </c>
      <c r="H365" s="13">
        <f t="shared" si="16"/>
        <v>5.4</v>
      </c>
      <c r="I365" s="13">
        <f t="shared" si="17"/>
        <v>0</v>
      </c>
      <c r="J365" s="15" t="str">
        <f>IF(ISNUMBER('Sheet2-计算明细'!H62),'Sheet2-计算明细'!H62,IF('Sheet2-计算明细'!H62="","",'Sheet2-计算明细'!H62))</f>
        <v>50-100亿元</v>
      </c>
      <c r="K365" s="15" t="str">
        <f>IF(ISNUMBER(对照快照!H67),对照快照!H67,IF(对照快照!H67="","",对照快照!H67))</f>
        <v>50-100亿元</v>
      </c>
      <c r="L365" s="9" t="s">
        <v>1538</v>
      </c>
    </row>
    <row r="366" ht="25" customHeight="1" spans="1:12">
      <c r="A366" s="9" t="s">
        <v>313</v>
      </c>
      <c r="B366" s="9" t="s">
        <v>312</v>
      </c>
      <c r="C366" s="9" t="s">
        <v>543</v>
      </c>
      <c r="D366" s="12">
        <v>0.045</v>
      </c>
      <c r="E366" s="13">
        <f>IF(ISNUMBER('Sheet2-计算明细'!K62),'Sheet2-计算明细'!K62,"")</f>
        <v>100</v>
      </c>
      <c r="F366" s="13">
        <f>IF(ISNUMBER(对照快照!K67),对照快照!K67,"")</f>
        <v>100</v>
      </c>
      <c r="G366" s="13">
        <f t="shared" si="15"/>
        <v>4.5</v>
      </c>
      <c r="H366" s="13">
        <f t="shared" si="16"/>
        <v>4.5</v>
      </c>
      <c r="I366" s="13">
        <f t="shared" si="17"/>
        <v>0</v>
      </c>
      <c r="J366" s="15" t="str">
        <f>IF(ISNUMBER('Sheet2-计算明细'!J62),'Sheet2-计算明细'!J62,IF('Sheet2-计算明细'!J62="","",'Sheet2-计算明细'!J62))</f>
        <v>无低于1000万元标识</v>
      </c>
      <c r="K366" s="15" t="str">
        <f>IF(ISNUMBER(对照快照!J67),对照快照!J67,IF(对照快照!J67="","",对照快照!J67))</f>
        <v>无低于1000万元标识</v>
      </c>
      <c r="L366" s="9" t="s">
        <v>1538</v>
      </c>
    </row>
    <row r="367" ht="25" customHeight="1" spans="1:12">
      <c r="A367" s="9" t="s">
        <v>313</v>
      </c>
      <c r="B367" s="9" t="s">
        <v>312</v>
      </c>
      <c r="C367" s="9" t="s">
        <v>547</v>
      </c>
      <c r="D367" s="12">
        <v>0.045</v>
      </c>
      <c r="E367" s="13">
        <f>IF(ISNUMBER('Sheet2-计算明细'!L62),'Sheet2-计算明细'!L62,"")</f>
        <v>100</v>
      </c>
      <c r="F367" s="13">
        <f>IF(ISNUMBER(对照快照!L67),对照快照!L67,"")</f>
        <v>100</v>
      </c>
      <c r="G367" s="13">
        <f t="shared" si="15"/>
        <v>4.5</v>
      </c>
      <c r="H367" s="13">
        <f t="shared" si="16"/>
        <v>4.5</v>
      </c>
      <c r="I367" s="13">
        <f t="shared" si="17"/>
        <v>0</v>
      </c>
      <c r="J367" s="15">
        <f>IF(ISNUMBER('Sheet2-计算明细'!F62),'Sheet2-计算明细'!F62,IF('Sheet2-计算明细'!F62="","",'Sheet2-计算明细'!F62))</f>
        <v>3.4278</v>
      </c>
      <c r="K367" s="15">
        <f>IF(ISNUMBER(对照快照!F67),对照快照!F67,IF(对照快照!F67="","",对照快照!F67))</f>
        <v>3.4196</v>
      </c>
      <c r="L367" s="9" t="s">
        <v>1538</v>
      </c>
    </row>
    <row r="368" ht="25" customHeight="1" spans="1:12">
      <c r="A368" s="9" t="s">
        <v>313</v>
      </c>
      <c r="B368" s="9" t="s">
        <v>312</v>
      </c>
      <c r="C368" s="9" t="s">
        <v>1539</v>
      </c>
      <c r="D368" s="12">
        <v>0.084</v>
      </c>
      <c r="E368" s="13">
        <f>IF(ISNUMBER('Sheet2-计算明细'!Q62),'Sheet2-计算明细'!Q62,"")</f>
        <v>54.17</v>
      </c>
      <c r="F368" s="13">
        <f>IF(ISNUMBER(对照快照!Q67),对照快照!Q67,"")</f>
        <v>72.2</v>
      </c>
      <c r="G368" s="13">
        <f t="shared" si="15"/>
        <v>4.55028</v>
      </c>
      <c r="H368" s="13">
        <f t="shared" si="16"/>
        <v>6.0648</v>
      </c>
      <c r="I368" s="13">
        <f t="shared" si="17"/>
        <v>-1.51452</v>
      </c>
      <c r="J368" s="15">
        <f>IF(ISNUMBER('Sheet2-计算明细'!M62),'Sheet2-计算明细'!M62,IF('Sheet2-计算明细'!M62="","",'Sheet2-计算明细'!M62))</f>
        <v>0.0904</v>
      </c>
      <c r="K368" s="15">
        <f>IF(ISNUMBER(对照快照!M67),对照快照!M67,IF(对照快照!M67="","",对照快照!M67))</f>
        <v>0.0967</v>
      </c>
      <c r="L368" s="9" t="s">
        <v>1540</v>
      </c>
    </row>
    <row r="369" ht="25" customHeight="1" spans="1:12">
      <c r="A369" s="9" t="s">
        <v>313</v>
      </c>
      <c r="B369" s="9" t="s">
        <v>312</v>
      </c>
      <c r="C369" s="9" t="s">
        <v>1541</v>
      </c>
      <c r="D369" s="12">
        <v>0.056</v>
      </c>
      <c r="E369" s="13">
        <f>IF(ISNUMBER('Sheet2-计算明细'!R62),'Sheet2-计算明细'!R62,"")</f>
        <v>4.55</v>
      </c>
      <c r="F369" s="13">
        <f>IF(ISNUMBER(对照快照!R67),对照快照!R67,"")</f>
        <v>13.33</v>
      </c>
      <c r="G369" s="13">
        <f t="shared" si="15"/>
        <v>0.2548</v>
      </c>
      <c r="H369" s="13">
        <f t="shared" si="16"/>
        <v>0.74648</v>
      </c>
      <c r="I369" s="13">
        <f t="shared" si="17"/>
        <v>-0.49168</v>
      </c>
      <c r="J369" s="15">
        <f>IF(ISNUMBER('Sheet2-计算明细'!P62),'Sheet2-计算明细'!P62,IF('Sheet2-计算明细'!P62="","",'Sheet2-计算明细'!P62))</f>
        <v>0.0293346391238647</v>
      </c>
      <c r="K369" s="15">
        <f>IF(ISNUMBER(对照快照!P67),对照快照!P67,IF(对照快照!P67="","",对照快照!P67))</f>
        <v>0.0262271521726054</v>
      </c>
      <c r="L369" s="9" t="s">
        <v>1540</v>
      </c>
    </row>
    <row r="370" ht="25" customHeight="1" spans="1:12">
      <c r="A370" s="9" t="s">
        <v>313</v>
      </c>
      <c r="B370" s="9" t="s">
        <v>312</v>
      </c>
      <c r="C370" s="9" t="s">
        <v>690</v>
      </c>
      <c r="D370" s="12">
        <v>0.036</v>
      </c>
      <c r="E370" s="13">
        <f>IF(ISNUMBER('Sheet2-计算明细'!W62),'Sheet2-计算明细'!W62,"")</f>
        <v>100</v>
      </c>
      <c r="F370" s="13">
        <f>IF(ISNUMBER(对照快照!W67),对照快照!W67,"")</f>
        <v>100</v>
      </c>
      <c r="G370" s="13">
        <f t="shared" si="15"/>
        <v>3.6</v>
      </c>
      <c r="H370" s="13">
        <f t="shared" si="16"/>
        <v>3.6</v>
      </c>
      <c r="I370" s="13">
        <f t="shared" si="17"/>
        <v>0</v>
      </c>
      <c r="J370" s="15">
        <f>IF(ISNUMBER('Sheet2-计算明细'!T62),'Sheet2-计算明细'!T62,IF('Sheet2-计算明细'!T62="","",'Sheet2-计算明细'!T62))</f>
        <v>1</v>
      </c>
      <c r="K370" s="15">
        <f>IF(ISNUMBER(对照快照!T67),对照快照!T67,IF(对照快照!T67="","",对照快照!T67))</f>
        <v>1</v>
      </c>
      <c r="L370" s="9" t="s">
        <v>1538</v>
      </c>
    </row>
    <row r="371" ht="25" customHeight="1" spans="1:12">
      <c r="A371" s="9" t="s">
        <v>313</v>
      </c>
      <c r="B371" s="9" t="s">
        <v>312</v>
      </c>
      <c r="C371" s="9" t="s">
        <v>692</v>
      </c>
      <c r="D371" s="12">
        <v>0.024</v>
      </c>
      <c r="E371" s="13">
        <f>IF(ISNUMBER('Sheet2-计算明细'!X62),'Sheet2-计算明细'!X62,"")</f>
        <v>79.1720833333333</v>
      </c>
      <c r="F371" s="13">
        <f>IF(ISNUMBER(对照快照!X67),对照快照!X67,"")</f>
        <v>78.58625</v>
      </c>
      <c r="G371" s="13">
        <f t="shared" si="15"/>
        <v>1.90013</v>
      </c>
      <c r="H371" s="13">
        <f t="shared" si="16"/>
        <v>1.88607</v>
      </c>
      <c r="I371" s="13">
        <f t="shared" si="17"/>
        <v>0.01406</v>
      </c>
      <c r="J371" s="15">
        <f>IF(ISNUMBER('Sheet2-计算明细'!V62),'Sheet2-计算明细'!V62,IF('Sheet2-计算明细'!V62="","",'Sheet2-计算明细'!V62))</f>
        <v>0.791720833333333</v>
      </c>
      <c r="K371" s="15">
        <f>IF(ISNUMBER(对照快照!V67),对照快照!V67,IF(对照快照!V67="","",对照快照!V67))</f>
        <v>0.7858625</v>
      </c>
      <c r="L371" s="9" t="s">
        <v>1538</v>
      </c>
    </row>
    <row r="372" ht="25" customHeight="1" spans="1:12">
      <c r="A372" s="9" t="s">
        <v>313</v>
      </c>
      <c r="B372" s="9" t="s">
        <v>312</v>
      </c>
      <c r="C372" s="9" t="s">
        <v>1542</v>
      </c>
      <c r="D372" s="12">
        <v>0.25</v>
      </c>
      <c r="E372" s="13">
        <f>IF(ISNUMBER('Sheet2-计算明细'!AC62),'Sheet2-计算明细'!AC62,"")</f>
        <v>79.73</v>
      </c>
      <c r="F372" s="13">
        <f>IF(ISNUMBER(对照快照!AC67),对照快照!AC67,"")</f>
        <v>88.78</v>
      </c>
      <c r="G372" s="13">
        <f t="shared" si="15"/>
        <v>19.9325</v>
      </c>
      <c r="H372" s="13">
        <f t="shared" si="16"/>
        <v>22.195</v>
      </c>
      <c r="I372" s="13">
        <f t="shared" si="17"/>
        <v>-2.2625</v>
      </c>
      <c r="J372" s="15">
        <f>IF(ISNUMBER('Sheet2-计算明细'!AB62),'Sheet2-计算明细'!AB62,IF('Sheet2-计算明细'!AB62="","",'Sheet2-计算明细'!AB62))</f>
        <v>0.0068</v>
      </c>
      <c r="K372" s="15">
        <f>IF(ISNUMBER(对照快照!AB67),对照快照!AB67,IF(对照快照!AB67="","",对照快照!AB67))</f>
        <v>0.0068</v>
      </c>
      <c r="L372" s="9" t="s">
        <v>1540</v>
      </c>
    </row>
    <row r="373" ht="25" customHeight="1" spans="1:12">
      <c r="A373" s="9" t="s">
        <v>313</v>
      </c>
      <c r="B373" s="9" t="s">
        <v>312</v>
      </c>
      <c r="C373" s="9" t="s">
        <v>1543</v>
      </c>
      <c r="D373" s="12">
        <v>0.18</v>
      </c>
      <c r="E373" s="13">
        <f>IF(ISNUMBER('Sheet2-计算明细'!AG62),'Sheet2-计算明细'!AG62,"")</f>
        <v>98.59</v>
      </c>
      <c r="F373" s="13">
        <f>IF(ISNUMBER(对照快照!AG67),对照快照!AG67,"")</f>
        <v>99.36</v>
      </c>
      <c r="G373" s="13">
        <f t="shared" si="15"/>
        <v>17.7462</v>
      </c>
      <c r="H373" s="13">
        <f t="shared" si="16"/>
        <v>17.8848</v>
      </c>
      <c r="I373" s="13">
        <f t="shared" si="17"/>
        <v>-0.1386</v>
      </c>
      <c r="J373" s="15">
        <f>IF(ISNUMBER('Sheet2-计算明细'!AD62),'Sheet2-计算明细'!AD62,IF('Sheet2-计算明细'!AD62="","",'Sheet2-计算明细'!AD62))</f>
        <v>69.4333</v>
      </c>
      <c r="K373" s="15">
        <f>IF(ISNUMBER(对照快照!AD67),对照快照!AD67,IF(对照快照!AD67="","",对照快照!AD67))</f>
        <v>74.2994</v>
      </c>
      <c r="L373" s="9" t="s">
        <v>1540</v>
      </c>
    </row>
    <row r="374" ht="25" customHeight="1" spans="1:12">
      <c r="A374" s="9" t="s">
        <v>313</v>
      </c>
      <c r="B374" s="9" t="s">
        <v>312</v>
      </c>
      <c r="C374" s="9" t="s">
        <v>1544</v>
      </c>
      <c r="D374" s="12">
        <v>0.12</v>
      </c>
      <c r="E374" s="13">
        <f>IF(ISNUMBER('Sheet2-计算明细'!AH62),'Sheet2-计算明细'!AH62,"")</f>
        <v>56.25</v>
      </c>
      <c r="F374" s="13">
        <f>IF(ISNUMBER(对照快照!AH67),对照快照!AH67,"")</f>
        <v>80.85</v>
      </c>
      <c r="G374" s="13">
        <f t="shared" si="15"/>
        <v>6.75</v>
      </c>
      <c r="H374" s="13">
        <f t="shared" si="16"/>
        <v>9.702</v>
      </c>
      <c r="I374" s="13">
        <f t="shared" si="17"/>
        <v>-2.952</v>
      </c>
      <c r="J374" s="15">
        <f>IF(ISNUMBER('Sheet2-计算明细'!AF62),'Sheet2-计算明细'!AF62,IF('Sheet2-计算明细'!AF62="","",'Sheet2-计算明细'!AF62))</f>
        <v>4.3139175182154</v>
      </c>
      <c r="K374" s="15">
        <f>IF(ISNUMBER(对照快照!AF67),对照快照!AF67,IF(对照快照!AF67="","",对照快照!AF67))</f>
        <v>3.85693414303021</v>
      </c>
      <c r="L374" s="9" t="s">
        <v>1540</v>
      </c>
    </row>
    <row r="375" ht="25" customHeight="1" spans="1:12">
      <c r="A375" s="9" t="s">
        <v>313</v>
      </c>
      <c r="B375" s="9" t="s">
        <v>312</v>
      </c>
      <c r="C375" s="9" t="s">
        <v>574</v>
      </c>
      <c r="D375" s="12">
        <v>0.1</v>
      </c>
      <c r="E375" s="13">
        <f>IF(ISNUMBER('Sheet2-计算明细'!AK62),'Sheet2-计算明细'!AK62,"")</f>
        <v>100</v>
      </c>
      <c r="F375" s="13">
        <f>IF(ISNUMBER(对照快照!AK67),对照快照!AK67,"")</f>
        <v>100</v>
      </c>
      <c r="G375" s="13">
        <f t="shared" si="15"/>
        <v>10</v>
      </c>
      <c r="H375" s="13">
        <f t="shared" si="16"/>
        <v>10</v>
      </c>
      <c r="I375" s="13">
        <f t="shared" si="17"/>
        <v>0</v>
      </c>
      <c r="J375" s="15">
        <f>IF(ISNUMBER('Sheet2-计算明细'!AJ62),'Sheet2-计算明细'!AJ62,IF('Sheet2-计算明细'!AJ62="","",'Sheet2-计算明细'!AJ62))</f>
        <v>0.0493</v>
      </c>
      <c r="K375" s="15">
        <f>IF(ISNUMBER(对照快照!AJ67),对照快照!AJ67,IF(对照快照!AJ67="","",对照快照!AJ67))</f>
        <v>0.0492</v>
      </c>
      <c r="L375" s="9" t="s">
        <v>1538</v>
      </c>
    </row>
    <row r="376" ht="25" customHeight="1" spans="1:12">
      <c r="A376" s="9" t="s">
        <v>318</v>
      </c>
      <c r="B376" s="9" t="s">
        <v>317</v>
      </c>
      <c r="C376" s="9" t="s">
        <v>538</v>
      </c>
      <c r="D376" s="12">
        <v>0.06</v>
      </c>
      <c r="E376" s="13">
        <f>IF(ISNUMBER('Sheet2-计算明细'!I63),'Sheet2-计算明细'!I63,"")</f>
        <v>90</v>
      </c>
      <c r="F376" s="13">
        <f>IF(ISNUMBER(对照快照!I191),对照快照!I191,"")</f>
        <v>90</v>
      </c>
      <c r="G376" s="13">
        <f t="shared" si="15"/>
        <v>5.4</v>
      </c>
      <c r="H376" s="13">
        <f t="shared" si="16"/>
        <v>5.4</v>
      </c>
      <c r="I376" s="13">
        <f t="shared" si="17"/>
        <v>0</v>
      </c>
      <c r="J376" s="15" t="str">
        <f>IF(ISNUMBER('Sheet2-计算明细'!H63),'Sheet2-计算明细'!H63,IF('Sheet2-计算明细'!H63="","",'Sheet2-计算明细'!H63))</f>
        <v>50-100亿元</v>
      </c>
      <c r="K376" s="15" t="str">
        <f>IF(ISNUMBER(对照快照!H191),对照快照!H191,IF(对照快照!H191="","",对照快照!H191))</f>
        <v>50-100亿元</v>
      </c>
      <c r="L376" s="9" t="s">
        <v>1538</v>
      </c>
    </row>
    <row r="377" ht="25" customHeight="1" spans="1:12">
      <c r="A377" s="9" t="s">
        <v>318</v>
      </c>
      <c r="B377" s="9" t="s">
        <v>317</v>
      </c>
      <c r="C377" s="9" t="s">
        <v>543</v>
      </c>
      <c r="D377" s="12">
        <v>0.045</v>
      </c>
      <c r="E377" s="13">
        <f>IF(ISNUMBER('Sheet2-计算明细'!K63),'Sheet2-计算明细'!K63,"")</f>
        <v>100</v>
      </c>
      <c r="F377" s="13">
        <f>IF(ISNUMBER(对照快照!K191),对照快照!K191,"")</f>
        <v>100</v>
      </c>
      <c r="G377" s="13">
        <f t="shared" si="15"/>
        <v>4.5</v>
      </c>
      <c r="H377" s="13">
        <f t="shared" si="16"/>
        <v>4.5</v>
      </c>
      <c r="I377" s="13">
        <f t="shared" si="17"/>
        <v>0</v>
      </c>
      <c r="J377" s="15" t="str">
        <f>IF(ISNUMBER('Sheet2-计算明细'!J63),'Sheet2-计算明细'!J63,IF('Sheet2-计算明细'!J63="","",'Sheet2-计算明细'!J63))</f>
        <v>无低于1000万元标识</v>
      </c>
      <c r="K377" s="15" t="str">
        <f>IF(ISNUMBER(对照快照!J191),对照快照!J191,IF(对照快照!J191="","",对照快照!J191))</f>
        <v>无低于1000万元标识</v>
      </c>
      <c r="L377" s="9" t="s">
        <v>1538</v>
      </c>
    </row>
    <row r="378" ht="25" customHeight="1" spans="1:12">
      <c r="A378" s="9" t="s">
        <v>318</v>
      </c>
      <c r="B378" s="9" t="s">
        <v>317</v>
      </c>
      <c r="C378" s="9" t="s">
        <v>547</v>
      </c>
      <c r="D378" s="12">
        <v>0.045</v>
      </c>
      <c r="E378" s="13">
        <f>IF(ISNUMBER('Sheet2-计算明细'!L63),'Sheet2-计算明细'!L63,"")</f>
        <v>100</v>
      </c>
      <c r="F378" s="13">
        <f>IF(ISNUMBER(对照快照!L191),对照快照!L191,"")</f>
        <v>100</v>
      </c>
      <c r="G378" s="13">
        <f t="shared" si="15"/>
        <v>4.5</v>
      </c>
      <c r="H378" s="13">
        <f t="shared" si="16"/>
        <v>4.5</v>
      </c>
      <c r="I378" s="13">
        <f t="shared" si="17"/>
        <v>0</v>
      </c>
      <c r="J378" s="15">
        <f>IF(ISNUMBER('Sheet2-计算明细'!F63),'Sheet2-计算明细'!F63,IF('Sheet2-计算明细'!F63="","",'Sheet2-计算明细'!F63))</f>
        <v>6.5188</v>
      </c>
      <c r="K378" s="15">
        <f>IF(ISNUMBER(对照快照!F191),对照快照!F191,IF(对照快照!F191="","",对照快照!F191))</f>
        <v>6.5106</v>
      </c>
      <c r="L378" s="9" t="s">
        <v>1538</v>
      </c>
    </row>
    <row r="379" ht="25" customHeight="1" spans="1:12">
      <c r="A379" s="9" t="s">
        <v>318</v>
      </c>
      <c r="B379" s="9" t="s">
        <v>317</v>
      </c>
      <c r="C379" s="9" t="s">
        <v>1539</v>
      </c>
      <c r="D379" s="12">
        <v>0.084</v>
      </c>
      <c r="E379" s="13">
        <f>IF(ISNUMBER('Sheet2-计算明细'!Q63),'Sheet2-计算明细'!Q63,"")</f>
        <v>87.5</v>
      </c>
      <c r="F379" s="13">
        <f>IF(ISNUMBER(对照快照!Q191),对照快照!Q191,"")</f>
        <v>89.46</v>
      </c>
      <c r="G379" s="13">
        <f t="shared" si="15"/>
        <v>7.35</v>
      </c>
      <c r="H379" s="13">
        <f t="shared" si="16"/>
        <v>7.51464</v>
      </c>
      <c r="I379" s="13">
        <f t="shared" si="17"/>
        <v>-0.164639999999999</v>
      </c>
      <c r="J379" s="15">
        <f>IF(ISNUMBER('Sheet2-计算明细'!M63),'Sheet2-计算明细'!M63,IF('Sheet2-计算明细'!M63="","",'Sheet2-计算明细'!M63))</f>
        <v>0.2062</v>
      </c>
      <c r="K379" s="15">
        <f>IF(ISNUMBER(对照快照!M191),对照快照!M191,IF(对照快照!M191="","",对照快照!M191))</f>
        <v>0.209</v>
      </c>
      <c r="L379" s="9" t="s">
        <v>1540</v>
      </c>
    </row>
    <row r="380" ht="25" customHeight="1" spans="1:12">
      <c r="A380" s="9" t="s">
        <v>318</v>
      </c>
      <c r="B380" s="9" t="s">
        <v>317</v>
      </c>
      <c r="C380" s="9" t="s">
        <v>1541</v>
      </c>
      <c r="D380" s="12">
        <v>0.056</v>
      </c>
      <c r="E380" s="13">
        <f>IF(ISNUMBER('Sheet2-计算明细'!R63),'Sheet2-计算明细'!R63,"")</f>
        <v>71.21</v>
      </c>
      <c r="F380" s="13">
        <f>IF(ISNUMBER(对照快照!R191),对照快照!R191,"")</f>
        <v>70.95</v>
      </c>
      <c r="G380" s="13">
        <f t="shared" si="15"/>
        <v>3.98776</v>
      </c>
      <c r="H380" s="13">
        <f t="shared" si="16"/>
        <v>3.9732</v>
      </c>
      <c r="I380" s="13">
        <f t="shared" si="17"/>
        <v>0.0145599999999995</v>
      </c>
      <c r="J380" s="15">
        <f>IF(ISNUMBER('Sheet2-计算明细'!P63),'Sheet2-计算明细'!P63,IF('Sheet2-计算明细'!P63="","",'Sheet2-计算明细'!P63))</f>
        <v>0.103029621692285</v>
      </c>
      <c r="K380" s="15">
        <f>IF(ISNUMBER(对照快照!P191),对照快照!P191,IF(对照快照!P191="","",对照快照!P191))</f>
        <v>0.104079236796389</v>
      </c>
      <c r="L380" s="9" t="s">
        <v>1540</v>
      </c>
    </row>
    <row r="381" ht="25" customHeight="1" spans="1:12">
      <c r="A381" s="9" t="s">
        <v>318</v>
      </c>
      <c r="B381" s="9" t="s">
        <v>317</v>
      </c>
      <c r="C381" s="9" t="s">
        <v>690</v>
      </c>
      <c r="D381" s="12">
        <v>0.036</v>
      </c>
      <c r="E381" s="13">
        <f>IF(ISNUMBER('Sheet2-计算明细'!W63),'Sheet2-计算明细'!W63,"")</f>
        <v>92.31</v>
      </c>
      <c r="F381" s="13">
        <f>IF(ISNUMBER(对照快照!W191),对照快照!W191,"")</f>
        <v>100</v>
      </c>
      <c r="G381" s="13">
        <f t="shared" si="15"/>
        <v>3.32316</v>
      </c>
      <c r="H381" s="13">
        <f t="shared" si="16"/>
        <v>3.6</v>
      </c>
      <c r="I381" s="13">
        <f t="shared" si="17"/>
        <v>-0.27684</v>
      </c>
      <c r="J381" s="15">
        <f>IF(ISNUMBER('Sheet2-计算明细'!T63),'Sheet2-计算明细'!T63,IF('Sheet2-计算明细'!T63="","",'Sheet2-计算明细'!T63))</f>
        <v>0.9231</v>
      </c>
      <c r="K381" s="15">
        <f>IF(ISNUMBER(对照快照!T191),对照快照!T191,IF(对照快照!T191="","",对照快照!T191))</f>
        <v>1</v>
      </c>
      <c r="L381" s="9" t="s">
        <v>1538</v>
      </c>
    </row>
    <row r="382" ht="25" customHeight="1" spans="1:12">
      <c r="A382" s="9" t="s">
        <v>318</v>
      </c>
      <c r="B382" s="9" t="s">
        <v>317</v>
      </c>
      <c r="C382" s="9" t="s">
        <v>692</v>
      </c>
      <c r="D382" s="12">
        <v>0.024</v>
      </c>
      <c r="E382" s="13">
        <f>IF(ISNUMBER('Sheet2-计算明细'!X63),'Sheet2-计算明细'!X63,"")</f>
        <v>83.3375</v>
      </c>
      <c r="F382" s="13">
        <f>IF(ISNUMBER(对照快照!X191),对照快照!X191,"")</f>
        <v>82.8720833333333</v>
      </c>
      <c r="G382" s="13">
        <f t="shared" si="15"/>
        <v>2.0001</v>
      </c>
      <c r="H382" s="13">
        <f t="shared" si="16"/>
        <v>1.98893</v>
      </c>
      <c r="I382" s="13">
        <f t="shared" si="17"/>
        <v>0.0111700000000008</v>
      </c>
      <c r="J382" s="15">
        <f>IF(ISNUMBER('Sheet2-计算明细'!V63),'Sheet2-计算明细'!V63,IF('Sheet2-计算明细'!V63="","",'Sheet2-计算明细'!V63))</f>
        <v>0.833375</v>
      </c>
      <c r="K382" s="15">
        <f>IF(ISNUMBER(对照快照!V191),对照快照!V191,IF(对照快照!V191="","",对照快照!V191))</f>
        <v>0.828720833333333</v>
      </c>
      <c r="L382" s="9" t="s">
        <v>1538</v>
      </c>
    </row>
    <row r="383" ht="25" customHeight="1" spans="1:12">
      <c r="A383" s="9" t="s">
        <v>318</v>
      </c>
      <c r="B383" s="9" t="s">
        <v>317</v>
      </c>
      <c r="C383" s="9" t="s">
        <v>1542</v>
      </c>
      <c r="D383" s="12">
        <v>0.25</v>
      </c>
      <c r="E383" s="13">
        <f>IF(ISNUMBER('Sheet2-计算明细'!AC63),'Sheet2-计算明细'!AC63,"")</f>
        <v>39.19</v>
      </c>
      <c r="F383" s="13">
        <f>IF(ISNUMBER(对照快照!AC191),对照快照!AC191,"")</f>
        <v>63.78</v>
      </c>
      <c r="G383" s="13">
        <f t="shared" si="15"/>
        <v>9.7975</v>
      </c>
      <c r="H383" s="13">
        <f t="shared" si="16"/>
        <v>15.945</v>
      </c>
      <c r="I383" s="13">
        <f t="shared" si="17"/>
        <v>-6.1475</v>
      </c>
      <c r="J383" s="15">
        <f>IF(ISNUMBER('Sheet2-计算明细'!AB63),'Sheet2-计算明细'!AB63,IF('Sheet2-计算明细'!AB63="","",'Sheet2-计算明细'!AB63))</f>
        <v>0.0257</v>
      </c>
      <c r="K383" s="15">
        <f>IF(ISNUMBER(对照快照!AB191),对照快照!AB191,IF(对照快照!AB191="","",对照快照!AB191))</f>
        <v>0.0257</v>
      </c>
      <c r="L383" s="9" t="s">
        <v>1540</v>
      </c>
    </row>
    <row r="384" ht="25" customHeight="1" spans="1:12">
      <c r="A384" s="9" t="s">
        <v>318</v>
      </c>
      <c r="B384" s="9" t="s">
        <v>317</v>
      </c>
      <c r="C384" s="9" t="s">
        <v>1543</v>
      </c>
      <c r="D384" s="12">
        <v>0.18</v>
      </c>
      <c r="E384" s="13">
        <f>IF(ISNUMBER('Sheet2-计算明细'!AG63),'Sheet2-计算明细'!AG63,"")</f>
        <v>97.18</v>
      </c>
      <c r="F384" s="13">
        <f>IF(ISNUMBER(对照快照!AG191),对照快照!AG191,"")</f>
        <v>98.07</v>
      </c>
      <c r="G384" s="13">
        <f t="shared" si="15"/>
        <v>17.4924</v>
      </c>
      <c r="H384" s="13">
        <f t="shared" si="16"/>
        <v>17.6526</v>
      </c>
      <c r="I384" s="13">
        <f t="shared" si="17"/>
        <v>-0.1602</v>
      </c>
      <c r="J384" s="15">
        <f>IF(ISNUMBER('Sheet2-计算明细'!AD63),'Sheet2-计算明细'!AD63,IF('Sheet2-计算明细'!AD63="","",'Sheet2-计算明细'!AD63))</f>
        <v>51.564</v>
      </c>
      <c r="K384" s="15">
        <f>IF(ISNUMBER(对照快照!AD191),对照快照!AD191,IF(对照快照!AD191="","",对照快照!AD191))</f>
        <v>52.2475</v>
      </c>
      <c r="L384" s="9" t="s">
        <v>1540</v>
      </c>
    </row>
    <row r="385" ht="25" customHeight="1" spans="1:12">
      <c r="A385" s="9" t="s">
        <v>318</v>
      </c>
      <c r="B385" s="9" t="s">
        <v>317</v>
      </c>
      <c r="C385" s="9" t="s">
        <v>1544</v>
      </c>
      <c r="D385" s="12">
        <v>0.12</v>
      </c>
      <c r="E385" s="13">
        <f>IF(ISNUMBER('Sheet2-计算明细'!AH63),'Sheet2-计算明细'!AH63,"")</f>
        <v>53.13</v>
      </c>
      <c r="F385" s="13">
        <f>IF(ISNUMBER(对照快照!AH191),对照快照!AH191,"")</f>
        <v>82.27</v>
      </c>
      <c r="G385" s="13">
        <f t="shared" si="15"/>
        <v>6.3756</v>
      </c>
      <c r="H385" s="13">
        <f t="shared" si="16"/>
        <v>9.8724</v>
      </c>
      <c r="I385" s="13">
        <f t="shared" si="17"/>
        <v>-3.4968</v>
      </c>
      <c r="J385" s="15">
        <f>IF(ISNUMBER('Sheet2-计算明细'!AF63),'Sheet2-计算明细'!AF63,IF('Sheet2-计算明细'!AF63="","",'Sheet2-计算明细'!AF63))</f>
        <v>4.00893469619786</v>
      </c>
      <c r="K385" s="15">
        <f>IF(ISNUMBER(对照快照!AF191),对照快照!AF191,IF(对照快照!AF191="","",对照快照!AF191))</f>
        <v>4.04977575083225</v>
      </c>
      <c r="L385" s="9" t="s">
        <v>1540</v>
      </c>
    </row>
    <row r="386" ht="25" customHeight="1" spans="1:12">
      <c r="A386" s="9" t="s">
        <v>318</v>
      </c>
      <c r="B386" s="9" t="s">
        <v>317</v>
      </c>
      <c r="C386" s="9" t="s">
        <v>574</v>
      </c>
      <c r="D386" s="12">
        <v>0.1</v>
      </c>
      <c r="E386" s="13">
        <f>IF(ISNUMBER('Sheet2-计算明细'!AK63),'Sheet2-计算明细'!AK63,"")</f>
        <v>100</v>
      </c>
      <c r="F386" s="13">
        <f>IF(ISNUMBER(对照快照!AK191),对照快照!AK191,"")</f>
        <v>100</v>
      </c>
      <c r="G386" s="13">
        <f t="shared" ref="G386:G449" si="18">IF(ISNUMBER(E386),D386*E386,0)</f>
        <v>10</v>
      </c>
      <c r="H386" s="13">
        <f t="shared" ref="H386:H449" si="19">IF(ISNUMBER(F386),D386*F386,0)</f>
        <v>10</v>
      </c>
      <c r="I386" s="13">
        <f t="shared" ref="I386:I449" si="20">G386-H386</f>
        <v>0</v>
      </c>
      <c r="J386" s="15">
        <f>IF(ISNUMBER('Sheet2-计算明细'!AJ63),'Sheet2-计算明细'!AJ63,IF('Sheet2-计算明细'!AJ63="","",'Sheet2-计算明细'!AJ63))</f>
        <v>0.1364</v>
      </c>
      <c r="K386" s="15">
        <f>IF(ISNUMBER(对照快照!AJ191),对照快照!AJ191,IF(对照快照!AJ191="","",对照快照!AJ191))</f>
        <v>0.138</v>
      </c>
      <c r="L386" s="9" t="s">
        <v>1538</v>
      </c>
    </row>
    <row r="387" ht="25" customHeight="1" spans="1:12">
      <c r="A387" s="9" t="s">
        <v>322</v>
      </c>
      <c r="B387" s="9" t="s">
        <v>321</v>
      </c>
      <c r="C387" s="9" t="s">
        <v>538</v>
      </c>
      <c r="D387" s="12">
        <v>0.06</v>
      </c>
      <c r="E387" s="13">
        <f>IF(ISNUMBER('Sheet2-计算明细'!I64),'Sheet2-计算明细'!I64,"")</f>
        <v>90</v>
      </c>
      <c r="F387" s="13">
        <f>IF(ISNUMBER(对照快照!I5),对照快照!I5,"")</f>
        <v>90</v>
      </c>
      <c r="G387" s="13">
        <f t="shared" si="18"/>
        <v>5.4</v>
      </c>
      <c r="H387" s="13">
        <f t="shared" si="19"/>
        <v>5.4</v>
      </c>
      <c r="I387" s="13">
        <f t="shared" si="20"/>
        <v>0</v>
      </c>
      <c r="J387" s="15" t="str">
        <f>IF(ISNUMBER('Sheet2-计算明细'!H64),'Sheet2-计算明细'!H64,IF('Sheet2-计算明细'!H64="","",'Sheet2-计算明细'!H64))</f>
        <v>50-100亿元</v>
      </c>
      <c r="K387" s="15" t="str">
        <f>IF(ISNUMBER(对照快照!H5),对照快照!H5,IF(对照快照!H5="","",对照快照!H5))</f>
        <v>50-100亿元</v>
      </c>
      <c r="L387" s="9" t="s">
        <v>1538</v>
      </c>
    </row>
    <row r="388" ht="25" customHeight="1" spans="1:12">
      <c r="A388" s="9" t="s">
        <v>322</v>
      </c>
      <c r="B388" s="9" t="s">
        <v>321</v>
      </c>
      <c r="C388" s="9" t="s">
        <v>543</v>
      </c>
      <c r="D388" s="12">
        <v>0.045</v>
      </c>
      <c r="E388" s="13">
        <f>IF(ISNUMBER('Sheet2-计算明细'!K64),'Sheet2-计算明细'!K64,"")</f>
        <v>100</v>
      </c>
      <c r="F388" s="13">
        <f>IF(ISNUMBER(对照快照!K5),对照快照!K5,"")</f>
        <v>100</v>
      </c>
      <c r="G388" s="13">
        <f t="shared" si="18"/>
        <v>4.5</v>
      </c>
      <c r="H388" s="13">
        <f t="shared" si="19"/>
        <v>4.5</v>
      </c>
      <c r="I388" s="13">
        <f t="shared" si="20"/>
        <v>0</v>
      </c>
      <c r="J388" s="15" t="str">
        <f>IF(ISNUMBER('Sheet2-计算明细'!J64),'Sheet2-计算明细'!J64,IF('Sheet2-计算明细'!J64="","",'Sheet2-计算明细'!J64))</f>
        <v>无低于1000万元标识</v>
      </c>
      <c r="K388" s="15" t="str">
        <f>IF(ISNUMBER(对照快照!J5),对照快照!J5,IF(对照快照!J5="","",对照快照!J5))</f>
        <v>无低于1000万元标识</v>
      </c>
      <c r="L388" s="9" t="s">
        <v>1538</v>
      </c>
    </row>
    <row r="389" ht="25" customHeight="1" spans="1:12">
      <c r="A389" s="9" t="s">
        <v>322</v>
      </c>
      <c r="B389" s="9" t="s">
        <v>321</v>
      </c>
      <c r="C389" s="9" t="s">
        <v>547</v>
      </c>
      <c r="D389" s="12">
        <v>0.045</v>
      </c>
      <c r="E389" s="13">
        <f>IF(ISNUMBER('Sheet2-计算明细'!L64),'Sheet2-计算明细'!L64,"")</f>
        <v>100</v>
      </c>
      <c r="F389" s="13">
        <f>IF(ISNUMBER(对照快照!L5),对照快照!L5,"")</f>
        <v>100</v>
      </c>
      <c r="G389" s="13">
        <f t="shared" si="18"/>
        <v>4.5</v>
      </c>
      <c r="H389" s="13">
        <f t="shared" si="19"/>
        <v>4.5</v>
      </c>
      <c r="I389" s="13">
        <f t="shared" si="20"/>
        <v>0</v>
      </c>
      <c r="J389" s="15">
        <f>IF(ISNUMBER('Sheet2-计算明细'!F64),'Sheet2-计算明细'!F64,IF('Sheet2-计算明细'!F64="","",'Sheet2-计算明细'!F64))</f>
        <v>10.3929</v>
      </c>
      <c r="K389" s="15">
        <f>IF(ISNUMBER(对照快照!F5),对照快照!F5,IF(对照快照!F5="","",对照快照!F5))</f>
        <v>10.3847</v>
      </c>
      <c r="L389" s="9" t="s">
        <v>1538</v>
      </c>
    </row>
    <row r="390" ht="25" customHeight="1" spans="1:12">
      <c r="A390" s="9" t="s">
        <v>322</v>
      </c>
      <c r="B390" s="9" t="s">
        <v>321</v>
      </c>
      <c r="C390" s="9" t="s">
        <v>1539</v>
      </c>
      <c r="D390" s="12">
        <v>0.084</v>
      </c>
      <c r="E390" s="13">
        <f>IF(ISNUMBER('Sheet2-计算明细'!Q64),'Sheet2-计算明细'!Q64,"")</f>
        <v>33.33</v>
      </c>
      <c r="F390" s="13">
        <f>IF(ISNUMBER(对照快照!Q5),对照快照!Q5,"")</f>
        <v>55.91</v>
      </c>
      <c r="G390" s="13">
        <f t="shared" si="18"/>
        <v>2.79972</v>
      </c>
      <c r="H390" s="13">
        <f t="shared" si="19"/>
        <v>4.69644</v>
      </c>
      <c r="I390" s="13">
        <f t="shared" si="20"/>
        <v>-1.89672</v>
      </c>
      <c r="J390" s="15">
        <f>IF(ISNUMBER('Sheet2-计算明细'!M64),'Sheet2-计算明细'!M64,IF('Sheet2-计算明细'!M64="","",'Sheet2-计算明细'!M64))</f>
        <v>0.0719</v>
      </c>
      <c r="K390" s="15">
        <f>IF(ISNUMBER(对照快照!M5),对照快照!M5,IF(对照快照!M5="","",对照快照!M5))</f>
        <v>0.0729</v>
      </c>
      <c r="L390" s="9" t="s">
        <v>1540</v>
      </c>
    </row>
    <row r="391" ht="25" customHeight="1" spans="1:12">
      <c r="A391" s="9" t="s">
        <v>322</v>
      </c>
      <c r="B391" s="9" t="s">
        <v>321</v>
      </c>
      <c r="C391" s="9" t="s">
        <v>1541</v>
      </c>
      <c r="D391" s="12">
        <v>0.056</v>
      </c>
      <c r="E391" s="13">
        <f>IF(ISNUMBER('Sheet2-计算明细'!R64),'Sheet2-计算明细'!R64,"")</f>
        <v>36.36</v>
      </c>
      <c r="F391" s="13">
        <f>IF(ISNUMBER(对照快照!R5),对照快照!R5,"")</f>
        <v>46.67</v>
      </c>
      <c r="G391" s="13">
        <f t="shared" si="18"/>
        <v>2.03616</v>
      </c>
      <c r="H391" s="13">
        <f t="shared" si="19"/>
        <v>2.61352</v>
      </c>
      <c r="I391" s="13">
        <f t="shared" si="20"/>
        <v>-0.57736</v>
      </c>
      <c r="J391" s="15">
        <f>IF(ISNUMBER('Sheet2-计算明细'!P64),'Sheet2-计算明细'!P64,IF('Sheet2-计算明细'!P64="","",'Sheet2-计算明细'!P64))</f>
        <v>0.0609686645123657</v>
      </c>
      <c r="K391" s="15">
        <f>IF(ISNUMBER(对照快照!P5),对照快照!P5,IF(对照快照!P5="","",对照快照!P5))</f>
        <v>0.0619686470962391</v>
      </c>
      <c r="L391" s="9" t="s">
        <v>1540</v>
      </c>
    </row>
    <row r="392" ht="25" customHeight="1" spans="1:12">
      <c r="A392" s="9" t="s">
        <v>322</v>
      </c>
      <c r="B392" s="9" t="s">
        <v>321</v>
      </c>
      <c r="C392" s="9" t="s">
        <v>690</v>
      </c>
      <c r="D392" s="12">
        <v>0.036</v>
      </c>
      <c r="E392" s="13">
        <f>IF(ISNUMBER('Sheet2-计算明细'!W64),'Sheet2-计算明细'!W64,"")</f>
        <v>92.31</v>
      </c>
      <c r="F392" s="13">
        <f>IF(ISNUMBER(对照快照!W5),对照快照!W5,"")</f>
        <v>92.31</v>
      </c>
      <c r="G392" s="13">
        <f t="shared" si="18"/>
        <v>3.32316</v>
      </c>
      <c r="H392" s="13">
        <f t="shared" si="19"/>
        <v>3.32316</v>
      </c>
      <c r="I392" s="13">
        <f t="shared" si="20"/>
        <v>0</v>
      </c>
      <c r="J392" s="15">
        <f>IF(ISNUMBER('Sheet2-计算明细'!T64),'Sheet2-计算明细'!T64,IF('Sheet2-计算明细'!T64="","",'Sheet2-计算明细'!T64))</f>
        <v>0.9231</v>
      </c>
      <c r="K392" s="15">
        <f>IF(ISNUMBER(对照快照!T5),对照快照!T5,IF(对照快照!T5="","",对照快照!T5))</f>
        <v>0.9231</v>
      </c>
      <c r="L392" s="9" t="s">
        <v>1538</v>
      </c>
    </row>
    <row r="393" ht="25" customHeight="1" spans="1:12">
      <c r="A393" s="9" t="s">
        <v>322</v>
      </c>
      <c r="B393" s="9" t="s">
        <v>321</v>
      </c>
      <c r="C393" s="9" t="s">
        <v>692</v>
      </c>
      <c r="D393" s="12">
        <v>0.024</v>
      </c>
      <c r="E393" s="13">
        <f>IF(ISNUMBER('Sheet2-计算明细'!X64),'Sheet2-计算明细'!X64,"")</f>
        <v>87.5</v>
      </c>
      <c r="F393" s="13">
        <f>IF(ISNUMBER(对照快照!X5),对照快照!X5,"")</f>
        <v>87.0375</v>
      </c>
      <c r="G393" s="13">
        <f t="shared" si="18"/>
        <v>2.1</v>
      </c>
      <c r="H393" s="13">
        <f t="shared" si="19"/>
        <v>2.0889</v>
      </c>
      <c r="I393" s="13">
        <f t="shared" si="20"/>
        <v>0.0111000000000003</v>
      </c>
      <c r="J393" s="15">
        <f>IF(ISNUMBER('Sheet2-计算明细'!V64),'Sheet2-计算明细'!V64,IF('Sheet2-计算明细'!V64="","",'Sheet2-计算明细'!V64))</f>
        <v>0.875</v>
      </c>
      <c r="K393" s="15">
        <f>IF(ISNUMBER(对照快照!V5),对照快照!V5,IF(对照快照!V5="","",对照快照!V5))</f>
        <v>0.870375</v>
      </c>
      <c r="L393" s="9" t="s">
        <v>1538</v>
      </c>
    </row>
    <row r="394" ht="25" customHeight="1" spans="1:12">
      <c r="A394" s="9" t="s">
        <v>322</v>
      </c>
      <c r="B394" s="9" t="s">
        <v>321</v>
      </c>
      <c r="C394" s="9" t="s">
        <v>1542</v>
      </c>
      <c r="D394" s="12">
        <v>0.25</v>
      </c>
      <c r="E394" s="13">
        <f>IF(ISNUMBER('Sheet2-计算明细'!AC64),'Sheet2-计算明细'!AC64,"")</f>
        <v>74.32</v>
      </c>
      <c r="F394" s="13">
        <f>IF(ISNUMBER(对照快照!AC5),对照快照!AC5,"")</f>
        <v>84.94</v>
      </c>
      <c r="G394" s="13">
        <f t="shared" si="18"/>
        <v>18.58</v>
      </c>
      <c r="H394" s="13">
        <f t="shared" si="19"/>
        <v>21.235</v>
      </c>
      <c r="I394" s="13">
        <f t="shared" si="20"/>
        <v>-2.655</v>
      </c>
      <c r="J394" s="15">
        <f>IF(ISNUMBER('Sheet2-计算明细'!AB64),'Sheet2-计算明细'!AB64,IF('Sheet2-计算明细'!AB64="","",'Sheet2-计算明细'!AB64))</f>
        <v>0.00971647882375199</v>
      </c>
      <c r="K394" s="15">
        <f>IF(ISNUMBER(对照快照!AB5),对照快照!AB5,IF(对照快照!AB5="","",对照快照!AB5))</f>
        <v>0.00971546611581262</v>
      </c>
      <c r="L394" s="9" t="s">
        <v>1540</v>
      </c>
    </row>
    <row r="395" ht="25" customHeight="1" spans="1:12">
      <c r="A395" s="9" t="s">
        <v>322</v>
      </c>
      <c r="B395" s="9" t="s">
        <v>321</v>
      </c>
      <c r="C395" s="9" t="s">
        <v>1543</v>
      </c>
      <c r="D395" s="12">
        <v>0.18</v>
      </c>
      <c r="E395" s="13">
        <f>IF(ISNUMBER('Sheet2-计算明细'!AG64),'Sheet2-计算明细'!AG64,"")</f>
        <v>45.07</v>
      </c>
      <c r="F395" s="13">
        <f>IF(ISNUMBER(对照快照!AG5),对照快照!AG5,"")</f>
        <v>72.03</v>
      </c>
      <c r="G395" s="13">
        <f t="shared" si="18"/>
        <v>8.1126</v>
      </c>
      <c r="H395" s="13">
        <f t="shared" si="19"/>
        <v>12.9654</v>
      </c>
      <c r="I395" s="13">
        <f t="shared" si="20"/>
        <v>-4.8528</v>
      </c>
      <c r="J395" s="15">
        <f>IF(ISNUMBER('Sheet2-计算明细'!AD64),'Sheet2-计算明细'!AD64,IF('Sheet2-计算明细'!AD64="","",'Sheet2-计算明细'!AD64))</f>
        <v>7.3998</v>
      </c>
      <c r="K395" s="15">
        <f>IF(ISNUMBER(对照快照!AD5),对照快照!AD5,IF(对照快照!AD5="","",对照快照!AD5))</f>
        <v>7.5035</v>
      </c>
      <c r="L395" s="9" t="s">
        <v>1540</v>
      </c>
    </row>
    <row r="396" ht="25" customHeight="1" spans="1:12">
      <c r="A396" s="9" t="s">
        <v>322</v>
      </c>
      <c r="B396" s="9" t="s">
        <v>321</v>
      </c>
      <c r="C396" s="9" t="s">
        <v>1544</v>
      </c>
      <c r="D396" s="12">
        <v>0.12</v>
      </c>
      <c r="E396" s="13" t="str">
        <f>IF(ISNUMBER('Sheet2-计算明细'!AH64),'Sheet2-计算明细'!AH64,"")</f>
        <v/>
      </c>
      <c r="F396" s="13" t="str">
        <f>IF(ISNUMBER(对照快照!AH5),对照快照!AH5,"")</f>
        <v/>
      </c>
      <c r="G396" s="13">
        <f t="shared" si="18"/>
        <v>0</v>
      </c>
      <c r="H396" s="13">
        <f t="shared" si="19"/>
        <v>0</v>
      </c>
      <c r="I396" s="13">
        <f t="shared" si="20"/>
        <v>0</v>
      </c>
      <c r="J396" s="15" t="str">
        <f>IF(ISNUMBER('Sheet2-计算明细'!AF64),'Sheet2-计算明细'!AF64,IF('Sheet2-计算明细'!AF64="","",'Sheet2-计算明细'!AF64))</f>
        <v/>
      </c>
      <c r="K396" s="15" t="str">
        <f>IF(ISNUMBER(对照快照!AF5),对照快照!AF5,IF(对照快照!AF5="","",对照快照!AF5))</f>
        <v/>
      </c>
      <c r="L396" s="9" t="s">
        <v>1540</v>
      </c>
    </row>
    <row r="397" ht="25" customHeight="1" spans="1:12">
      <c r="A397" s="9" t="s">
        <v>322</v>
      </c>
      <c r="B397" s="9" t="s">
        <v>321</v>
      </c>
      <c r="C397" s="9" t="s">
        <v>574</v>
      </c>
      <c r="D397" s="12">
        <v>0.1</v>
      </c>
      <c r="E397" s="13">
        <f>IF(ISNUMBER('Sheet2-计算明细'!AK64),'Sheet2-计算明细'!AK64,"")</f>
        <v>100</v>
      </c>
      <c r="F397" s="13">
        <f>IF(ISNUMBER(对照快照!AK5),对照快照!AK5,"")</f>
        <v>100</v>
      </c>
      <c r="G397" s="13">
        <f t="shared" si="18"/>
        <v>10</v>
      </c>
      <c r="H397" s="13">
        <f t="shared" si="19"/>
        <v>10</v>
      </c>
      <c r="I397" s="13">
        <f t="shared" si="20"/>
        <v>0</v>
      </c>
      <c r="J397" s="15">
        <f>IF(ISNUMBER('Sheet2-计算明细'!AJ64),'Sheet2-计算明细'!AJ64,IF('Sheet2-计算明细'!AJ64="","",'Sheet2-计算明细'!AJ64))</f>
        <v>0.0646</v>
      </c>
      <c r="K397" s="15">
        <f>IF(ISNUMBER(对照快照!AJ5),对照快照!AJ5,IF(对照快照!AJ5="","",对照快照!AJ5))</f>
        <v>0.0656</v>
      </c>
      <c r="L397" s="9" t="s">
        <v>1538</v>
      </c>
    </row>
    <row r="398" ht="25" customHeight="1" spans="1:12">
      <c r="A398" s="9" t="s">
        <v>327</v>
      </c>
      <c r="B398" s="9" t="s">
        <v>326</v>
      </c>
      <c r="C398" s="9" t="s">
        <v>538</v>
      </c>
      <c r="D398" s="12">
        <v>0.06</v>
      </c>
      <c r="E398" s="13">
        <f>IF(ISNUMBER('Sheet2-计算明细'!I65),'Sheet2-计算明细'!I65,"")</f>
        <v>60</v>
      </c>
      <c r="F398" s="13">
        <f>IF(ISNUMBER(对照快照!I136),对照快照!I136,"")</f>
        <v>60</v>
      </c>
      <c r="G398" s="13">
        <f t="shared" si="18"/>
        <v>3.6</v>
      </c>
      <c r="H398" s="13">
        <f t="shared" si="19"/>
        <v>3.6</v>
      </c>
      <c r="I398" s="13">
        <f t="shared" si="20"/>
        <v>0</v>
      </c>
      <c r="J398" s="15" t="str">
        <f>IF(ISNUMBER('Sheet2-计算明细'!H65),'Sheet2-计算明细'!H65,IF('Sheet2-计算明细'!H65="","",'Sheet2-计算明细'!H65))</f>
        <v>0-5亿元</v>
      </c>
      <c r="K398" s="15" t="str">
        <f>IF(ISNUMBER(对照快照!H136),对照快照!H136,IF(对照快照!H136="","",对照快照!H136))</f>
        <v>0-5亿元</v>
      </c>
      <c r="L398" s="9" t="s">
        <v>1538</v>
      </c>
    </row>
    <row r="399" ht="25" customHeight="1" spans="1:12">
      <c r="A399" s="9" t="s">
        <v>327</v>
      </c>
      <c r="B399" s="9" t="s">
        <v>326</v>
      </c>
      <c r="C399" s="9" t="s">
        <v>543</v>
      </c>
      <c r="D399" s="12">
        <v>0.045</v>
      </c>
      <c r="E399" s="13">
        <f>IF(ISNUMBER('Sheet2-计算明细'!K65),'Sheet2-计算明细'!K65,"")</f>
        <v>100</v>
      </c>
      <c r="F399" s="13">
        <f>IF(ISNUMBER(对照快照!K136),对照快照!K136,"")</f>
        <v>100</v>
      </c>
      <c r="G399" s="13">
        <f t="shared" si="18"/>
        <v>4.5</v>
      </c>
      <c r="H399" s="13">
        <f t="shared" si="19"/>
        <v>4.5</v>
      </c>
      <c r="I399" s="13">
        <f t="shared" si="20"/>
        <v>0</v>
      </c>
      <c r="J399" s="15" t="str">
        <f>IF(ISNUMBER('Sheet2-计算明细'!J65),'Sheet2-计算明细'!J65,IF('Sheet2-计算明细'!J65="","",'Sheet2-计算明细'!J65))</f>
        <v>无低于1000万元标识</v>
      </c>
      <c r="K399" s="15" t="str">
        <f>IF(ISNUMBER(对照快照!J136),对照快照!J136,IF(对照快照!J136="","",对照快照!J136))</f>
        <v>无低于1000万元标识</v>
      </c>
      <c r="L399" s="9" t="s">
        <v>1538</v>
      </c>
    </row>
    <row r="400" ht="25" customHeight="1" spans="1:12">
      <c r="A400" s="9" t="s">
        <v>327</v>
      </c>
      <c r="B400" s="9" t="s">
        <v>326</v>
      </c>
      <c r="C400" s="9" t="s">
        <v>547</v>
      </c>
      <c r="D400" s="12">
        <v>0.045</v>
      </c>
      <c r="E400" s="13">
        <f>IF(ISNUMBER('Sheet2-计算明细'!L65),'Sheet2-计算明细'!L65,"")</f>
        <v>100</v>
      </c>
      <c r="F400" s="13">
        <f>IF(ISNUMBER(对照快照!L136),对照快照!L136,"")</f>
        <v>100</v>
      </c>
      <c r="G400" s="13">
        <f t="shared" si="18"/>
        <v>4.5</v>
      </c>
      <c r="H400" s="13">
        <f t="shared" si="19"/>
        <v>4.5</v>
      </c>
      <c r="I400" s="13">
        <f t="shared" si="20"/>
        <v>0</v>
      </c>
      <c r="J400" s="15">
        <f>IF(ISNUMBER('Sheet2-计算明细'!F65),'Sheet2-计算明细'!F65,IF('Sheet2-计算明细'!F65="","",'Sheet2-计算明细'!F65))</f>
        <v>7.6249</v>
      </c>
      <c r="K400" s="15">
        <f>IF(ISNUMBER(对照快照!F136),对照快照!F136,IF(对照快照!F136="","",对照快照!F136))</f>
        <v>7.6167</v>
      </c>
      <c r="L400" s="9" t="s">
        <v>1538</v>
      </c>
    </row>
    <row r="401" ht="25" customHeight="1" spans="1:12">
      <c r="A401" s="9" t="s">
        <v>327</v>
      </c>
      <c r="B401" s="9" t="s">
        <v>326</v>
      </c>
      <c r="C401" s="9" t="s">
        <v>1539</v>
      </c>
      <c r="D401" s="12">
        <v>0.084</v>
      </c>
      <c r="E401" s="13">
        <f>IF(ISNUMBER('Sheet2-计算明细'!Q65),'Sheet2-计算明细'!Q65,"")</f>
        <v>79.17</v>
      </c>
      <c r="F401" s="13">
        <f>IF(ISNUMBER(对照快照!Q136),对照快照!Q136,"")</f>
        <v>84.03</v>
      </c>
      <c r="G401" s="13">
        <f t="shared" si="18"/>
        <v>6.65028</v>
      </c>
      <c r="H401" s="13">
        <f t="shared" si="19"/>
        <v>7.05852</v>
      </c>
      <c r="I401" s="13">
        <f t="shared" si="20"/>
        <v>-0.40824</v>
      </c>
      <c r="J401" s="15">
        <f>IF(ISNUMBER('Sheet2-计算明细'!M65),'Sheet2-计算明细'!M65,IF('Sheet2-计算明细'!M65="","",'Sheet2-计算明细'!M65))</f>
        <v>0.138372093023256</v>
      </c>
      <c r="K401" s="15">
        <f>IF(ISNUMBER(对照快照!M136),对照快照!M136,IF(对照快照!M136="","",对照快照!M136))</f>
        <v>0.144</v>
      </c>
      <c r="L401" s="9" t="s">
        <v>1540</v>
      </c>
    </row>
    <row r="402" ht="25" customHeight="1" spans="1:12">
      <c r="A402" s="9" t="s">
        <v>327</v>
      </c>
      <c r="B402" s="9" t="s">
        <v>326</v>
      </c>
      <c r="C402" s="9" t="s">
        <v>1541</v>
      </c>
      <c r="D402" s="12">
        <v>0.056</v>
      </c>
      <c r="E402" s="13">
        <f>IF(ISNUMBER('Sheet2-计算明细'!R65),'Sheet2-计算明细'!R65,"")</f>
        <v>75.76</v>
      </c>
      <c r="F402" s="13">
        <f>IF(ISNUMBER(对照快照!R136),对照快照!R136,"")</f>
        <v>72.38</v>
      </c>
      <c r="G402" s="13">
        <f t="shared" si="18"/>
        <v>4.24256</v>
      </c>
      <c r="H402" s="13">
        <f t="shared" si="19"/>
        <v>4.05328</v>
      </c>
      <c r="I402" s="13">
        <f t="shared" si="20"/>
        <v>0.18928</v>
      </c>
      <c r="J402" s="15">
        <f>IF(ISNUMBER('Sheet2-计算明细'!P65),'Sheet2-计算明细'!P65,IF('Sheet2-计算明细'!P65="","",'Sheet2-计算明细'!P65))</f>
        <v>0.111034231398421</v>
      </c>
      <c r="K402" s="15">
        <f>IF(ISNUMBER(对照快照!P136),对照快照!P136,IF(对照快照!P136="","",对照快照!P136))</f>
        <v>0.108783202553923</v>
      </c>
      <c r="L402" s="9" t="s">
        <v>1540</v>
      </c>
    </row>
    <row r="403" ht="25" customHeight="1" spans="1:12">
      <c r="A403" s="9" t="s">
        <v>327</v>
      </c>
      <c r="B403" s="9" t="s">
        <v>326</v>
      </c>
      <c r="C403" s="9" t="s">
        <v>690</v>
      </c>
      <c r="D403" s="12">
        <v>0.036</v>
      </c>
      <c r="E403" s="13">
        <f>IF(ISNUMBER('Sheet2-计算明细'!W65),'Sheet2-计算明细'!W65,"")</f>
        <v>76.9230769230769</v>
      </c>
      <c r="F403" s="13">
        <f>IF(ISNUMBER(对照快照!W136),对照快照!W136,"")</f>
        <v>84.62</v>
      </c>
      <c r="G403" s="13">
        <f t="shared" si="18"/>
        <v>2.76923076923077</v>
      </c>
      <c r="H403" s="13">
        <f t="shared" si="19"/>
        <v>3.04632</v>
      </c>
      <c r="I403" s="13">
        <f t="shared" si="20"/>
        <v>-0.277089230769231</v>
      </c>
      <c r="J403" s="15">
        <f>IF(ISNUMBER('Sheet2-计算明细'!T65),'Sheet2-计算明细'!T65,IF('Sheet2-计算明细'!T65="","",'Sheet2-计算明细'!T65))</f>
        <v>0.769230769230769</v>
      </c>
      <c r="K403" s="15">
        <f>IF(ISNUMBER(对照快照!T136),对照快照!T136,IF(对照快照!T136="","",对照快照!T136))</f>
        <v>0.8462</v>
      </c>
      <c r="L403" s="9" t="s">
        <v>1538</v>
      </c>
    </row>
    <row r="404" ht="25" customHeight="1" spans="1:12">
      <c r="A404" s="9" t="s">
        <v>327</v>
      </c>
      <c r="B404" s="9" t="s">
        <v>326</v>
      </c>
      <c r="C404" s="9" t="s">
        <v>692</v>
      </c>
      <c r="D404" s="12">
        <v>0.024</v>
      </c>
      <c r="E404" s="13">
        <f>IF(ISNUMBER('Sheet2-计算明细'!X65),'Sheet2-计算明细'!X65,"")</f>
        <v>79.1666666666667</v>
      </c>
      <c r="F404" s="13">
        <f>IF(ISNUMBER(对照快照!X136),对照快照!X136,"")</f>
        <v>82.63125</v>
      </c>
      <c r="G404" s="13">
        <f t="shared" si="18"/>
        <v>1.9</v>
      </c>
      <c r="H404" s="13">
        <f t="shared" si="19"/>
        <v>1.98315</v>
      </c>
      <c r="I404" s="13">
        <f t="shared" si="20"/>
        <v>-0.0831500000000001</v>
      </c>
      <c r="J404" s="15">
        <f>IF(ISNUMBER('Sheet2-计算明细'!V65),'Sheet2-计算明细'!V65,IF('Sheet2-计算明细'!V65="","",'Sheet2-计算明细'!V65))</f>
        <v>0.791666666666667</v>
      </c>
      <c r="K404" s="15">
        <f>IF(ISNUMBER(对照快照!V136),对照快照!V136,IF(对照快照!V136="","",对照快照!V136))</f>
        <v>0.8263125</v>
      </c>
      <c r="L404" s="9" t="s">
        <v>1538</v>
      </c>
    </row>
    <row r="405" ht="25" customHeight="1" spans="1:12">
      <c r="A405" s="9" t="s">
        <v>327</v>
      </c>
      <c r="B405" s="9" t="s">
        <v>326</v>
      </c>
      <c r="C405" s="9" t="s">
        <v>1542</v>
      </c>
      <c r="D405" s="12">
        <v>0.25</v>
      </c>
      <c r="E405" s="13">
        <f>IF(ISNUMBER('Sheet2-计算明细'!AC65),'Sheet2-计算明细'!AC65,"")</f>
        <v>86.49</v>
      </c>
      <c r="F405" s="13">
        <f>IF(ISNUMBER(对照快照!AC136),对照快照!AC136,"")</f>
        <v>94.55</v>
      </c>
      <c r="G405" s="13">
        <f t="shared" si="18"/>
        <v>21.6225</v>
      </c>
      <c r="H405" s="13">
        <f t="shared" si="19"/>
        <v>23.6375</v>
      </c>
      <c r="I405" s="13">
        <f t="shared" si="20"/>
        <v>-2.015</v>
      </c>
      <c r="J405" s="15">
        <f>IF(ISNUMBER('Sheet2-计算明细'!AB65),'Sheet2-计算明细'!AB65,IF('Sheet2-计算明细'!AB65="","",'Sheet2-计算明细'!AB65))</f>
        <v>0.00533091362785687</v>
      </c>
      <c r="K405" s="15">
        <f>IF(ISNUMBER(对照快照!AB136),对照快照!AB136,IF(对照快照!AB136="","",对照快照!AB136))</f>
        <v>0.0046</v>
      </c>
      <c r="L405" s="9" t="s">
        <v>1540</v>
      </c>
    </row>
    <row r="406" ht="25" customHeight="1" spans="1:12">
      <c r="A406" s="9" t="s">
        <v>327</v>
      </c>
      <c r="B406" s="9" t="s">
        <v>326</v>
      </c>
      <c r="C406" s="9" t="s">
        <v>1543</v>
      </c>
      <c r="D406" s="12">
        <v>0.18</v>
      </c>
      <c r="E406" s="13">
        <f>IF(ISNUMBER('Sheet2-计算明细'!AG65),'Sheet2-计算明细'!AG65,"")</f>
        <v>85.92</v>
      </c>
      <c r="F406" s="13">
        <f>IF(ISNUMBER(对照快照!AG136),对照快照!AG136,"")</f>
        <v>96.46</v>
      </c>
      <c r="G406" s="13">
        <f t="shared" si="18"/>
        <v>15.4656</v>
      </c>
      <c r="H406" s="13">
        <f t="shared" si="19"/>
        <v>17.3628</v>
      </c>
      <c r="I406" s="13">
        <f t="shared" si="20"/>
        <v>-1.8972</v>
      </c>
      <c r="J406" s="15">
        <f>IF(ISNUMBER('Sheet2-计算明细'!AD65),'Sheet2-计算明细'!AD65,IF('Sheet2-计算明细'!AD65="","",'Sheet2-计算明细'!AD65))</f>
        <v>28.453054789121</v>
      </c>
      <c r="K406" s="15">
        <f>IF(ISNUMBER(对照快照!AD136),对照快照!AD136,IF(对照快照!AD136="","",对照快照!AD136))</f>
        <v>43.2096</v>
      </c>
      <c r="L406" s="9" t="s">
        <v>1540</v>
      </c>
    </row>
    <row r="407" ht="25" customHeight="1" spans="1:12">
      <c r="A407" s="9" t="s">
        <v>327</v>
      </c>
      <c r="B407" s="9" t="s">
        <v>326</v>
      </c>
      <c r="C407" s="9" t="s">
        <v>1544</v>
      </c>
      <c r="D407" s="12">
        <v>0.12</v>
      </c>
      <c r="E407" s="13">
        <f>IF(ISNUMBER('Sheet2-计算明细'!AH65),'Sheet2-计算明细'!AH65,"")</f>
        <v>93.75</v>
      </c>
      <c r="F407" s="13">
        <f>IF(ISNUMBER(对照快照!AH136),对照快照!AH136,"")</f>
        <v>97.87</v>
      </c>
      <c r="G407" s="13">
        <f t="shared" si="18"/>
        <v>11.25</v>
      </c>
      <c r="H407" s="13">
        <f t="shared" si="19"/>
        <v>11.7444</v>
      </c>
      <c r="I407" s="13">
        <f t="shared" si="20"/>
        <v>-0.494400000000001</v>
      </c>
      <c r="J407" s="15">
        <f>IF(ISNUMBER('Sheet2-计算明细'!AF65),'Sheet2-计算明细'!AF65,IF('Sheet2-计算明细'!AF65="","",'Sheet2-计算明细'!AF65))</f>
        <v>20.8283681090251</v>
      </c>
      <c r="K407" s="15">
        <f>IF(ISNUMBER(对照快照!AF136),对照快照!AF136,IF(对照快照!AF136="","",对照快照!AF136))</f>
        <v>23.6485222943311</v>
      </c>
      <c r="L407" s="9" t="s">
        <v>1540</v>
      </c>
    </row>
    <row r="408" ht="25" customHeight="1" spans="1:12">
      <c r="A408" s="9" t="s">
        <v>327</v>
      </c>
      <c r="B408" s="9" t="s">
        <v>326</v>
      </c>
      <c r="C408" s="9" t="s">
        <v>574</v>
      </c>
      <c r="D408" s="12">
        <v>0.1</v>
      </c>
      <c r="E408" s="13">
        <f>IF(ISNUMBER('Sheet2-计算明细'!AK65),'Sheet2-计算明细'!AK65,"")</f>
        <v>100</v>
      </c>
      <c r="F408" s="13">
        <f>IF(ISNUMBER(对照快照!AK136),对照快照!AK136,"")</f>
        <v>100</v>
      </c>
      <c r="G408" s="13">
        <f t="shared" si="18"/>
        <v>10</v>
      </c>
      <c r="H408" s="13">
        <f t="shared" si="19"/>
        <v>10</v>
      </c>
      <c r="I408" s="13">
        <f t="shared" si="20"/>
        <v>0</v>
      </c>
      <c r="J408" s="15">
        <f>IF(ISNUMBER('Sheet2-计算明细'!AJ65),'Sheet2-计算明细'!AJ65,IF('Sheet2-计算明细'!AJ65="","",'Sheet2-计算明细'!AJ65))</f>
        <v>0.120073116138451</v>
      </c>
      <c r="K408" s="15">
        <f>IF(ISNUMBER(对照快照!AJ136),对照快照!AJ136,IF(对照快照!AJ136="","",对照快照!AJ136))</f>
        <v>0.1204</v>
      </c>
      <c r="L408" s="9" t="s">
        <v>1538</v>
      </c>
    </row>
    <row r="409" ht="25" customHeight="1" spans="1:12">
      <c r="A409" s="9" t="s">
        <v>354</v>
      </c>
      <c r="B409" s="9" t="s">
        <v>353</v>
      </c>
      <c r="C409" s="9" t="s">
        <v>538</v>
      </c>
      <c r="D409" s="12">
        <v>0.06</v>
      </c>
      <c r="E409" s="13">
        <f>IF(ISNUMBER('Sheet2-计算明细'!I69),'Sheet2-计算明细'!I69,"")</f>
        <v>60</v>
      </c>
      <c r="F409" s="13">
        <f>IF(ISNUMBER(对照快照!I146),对照快照!I146,"")</f>
        <v>60</v>
      </c>
      <c r="G409" s="13">
        <f t="shared" si="18"/>
        <v>3.6</v>
      </c>
      <c r="H409" s="13">
        <f t="shared" si="19"/>
        <v>3.6</v>
      </c>
      <c r="I409" s="13">
        <f t="shared" si="20"/>
        <v>0</v>
      </c>
      <c r="J409" s="15" t="str">
        <f>IF(ISNUMBER('Sheet2-计算明细'!H69),'Sheet2-计算明细'!H69,IF('Sheet2-计算明细'!H69="","",'Sheet2-计算明细'!H69))</f>
        <v>0-5亿元</v>
      </c>
      <c r="K409" s="15" t="str">
        <f>IF(ISNUMBER(对照快照!H146),对照快照!H146,IF(对照快照!H146="","",对照快照!H146))</f>
        <v>0-5亿元</v>
      </c>
      <c r="L409" s="9" t="s">
        <v>1538</v>
      </c>
    </row>
    <row r="410" ht="25" customHeight="1" spans="1:12">
      <c r="A410" s="9" t="s">
        <v>354</v>
      </c>
      <c r="B410" s="9" t="s">
        <v>353</v>
      </c>
      <c r="C410" s="9" t="s">
        <v>543</v>
      </c>
      <c r="D410" s="12">
        <v>0.045</v>
      </c>
      <c r="E410" s="13" t="str">
        <f>IF(ISNUMBER('Sheet2-计算明细'!K69),'Sheet2-计算明细'!K69,"")</f>
        <v/>
      </c>
      <c r="F410" s="13">
        <f>IF(ISNUMBER(对照快照!K146),对照快照!K146,"")</f>
        <v>100</v>
      </c>
      <c r="G410" s="13">
        <f t="shared" si="18"/>
        <v>0</v>
      </c>
      <c r="H410" s="13">
        <f t="shared" si="19"/>
        <v>4.5</v>
      </c>
      <c r="I410" s="13">
        <f t="shared" si="20"/>
        <v>-4.5</v>
      </c>
      <c r="J410" s="15" t="str">
        <f>IF(ISNUMBER('Sheet2-计算明细'!J69),'Sheet2-计算明细'!J69,IF('Sheet2-计算明细'!J69="","",'Sheet2-计算明细'!J69))</f>
        <v/>
      </c>
      <c r="K410" s="15" t="str">
        <f>IF(ISNUMBER(对照快照!J146),对照快照!J146,IF(对照快照!J146="","",对照快照!J146))</f>
        <v>无低于1000万元标识</v>
      </c>
      <c r="L410" s="9" t="s">
        <v>1538</v>
      </c>
    </row>
    <row r="411" ht="25" customHeight="1" spans="1:12">
      <c r="A411" s="9" t="s">
        <v>354</v>
      </c>
      <c r="B411" s="9" t="s">
        <v>353</v>
      </c>
      <c r="C411" s="9" t="s">
        <v>547</v>
      </c>
      <c r="D411" s="12">
        <v>0.045</v>
      </c>
      <c r="E411" s="13">
        <f>IF(ISNUMBER('Sheet2-计算明细'!L69),'Sheet2-计算明细'!L69,"")</f>
        <v>100</v>
      </c>
      <c r="F411" s="13">
        <f>IF(ISNUMBER(对照快照!L146),对照快照!L146,"")</f>
        <v>100</v>
      </c>
      <c r="G411" s="13">
        <f t="shared" si="18"/>
        <v>4.5</v>
      </c>
      <c r="H411" s="13">
        <f t="shared" si="19"/>
        <v>4.5</v>
      </c>
      <c r="I411" s="13">
        <f t="shared" si="20"/>
        <v>0</v>
      </c>
      <c r="J411" s="15">
        <f>IF(ISNUMBER('Sheet2-计算明细'!F69),'Sheet2-计算明细'!F69,IF('Sheet2-计算明细'!F69="","",'Sheet2-计算明细'!F69))</f>
        <v>6.2834</v>
      </c>
      <c r="K411" s="15">
        <f>IF(ISNUMBER(对照快照!F146),对照快照!F146,IF(对照快照!F146="","",对照快照!F146))</f>
        <v>6.2752</v>
      </c>
      <c r="L411" s="9" t="s">
        <v>1538</v>
      </c>
    </row>
    <row r="412" ht="25" customHeight="1" spans="1:12">
      <c r="A412" s="9" t="s">
        <v>354</v>
      </c>
      <c r="B412" s="9" t="s">
        <v>353</v>
      </c>
      <c r="C412" s="9" t="s">
        <v>1539</v>
      </c>
      <c r="D412" s="12">
        <v>0.084</v>
      </c>
      <c r="E412" s="13">
        <f>IF(ISNUMBER('Sheet2-计算明细'!Q69),'Sheet2-计算明细'!Q69,"")</f>
        <v>30.56</v>
      </c>
      <c r="F412" s="13">
        <f>IF(ISNUMBER(对照快照!Q146),对照快照!Q146,"")</f>
        <v>61.98</v>
      </c>
      <c r="G412" s="13">
        <f t="shared" si="18"/>
        <v>2.56704</v>
      </c>
      <c r="H412" s="13">
        <f t="shared" si="19"/>
        <v>5.20632</v>
      </c>
      <c r="I412" s="13">
        <f t="shared" si="20"/>
        <v>-2.63928</v>
      </c>
      <c r="J412" s="15">
        <f>IF(ISNUMBER('Sheet2-计算明细'!M69),'Sheet2-计算明细'!M69,IF('Sheet2-计算明细'!M69="","",'Sheet2-计算明细'!M69))</f>
        <v>0.0707</v>
      </c>
      <c r="K412" s="15">
        <f>IF(ISNUMBER(对照快照!M146),对照快照!M146,IF(对照快照!M146="","",对照快照!M146))</f>
        <v>0.0817</v>
      </c>
      <c r="L412" s="9" t="s">
        <v>1540</v>
      </c>
    </row>
    <row r="413" ht="25" customHeight="1" spans="1:12">
      <c r="A413" s="9" t="s">
        <v>354</v>
      </c>
      <c r="B413" s="9" t="s">
        <v>353</v>
      </c>
      <c r="C413" s="9" t="s">
        <v>1541</v>
      </c>
      <c r="D413" s="12">
        <v>0.056</v>
      </c>
      <c r="E413" s="13">
        <f>IF(ISNUMBER('Sheet2-计算明细'!R69),'Sheet2-计算明细'!R69,"")</f>
        <v>1.52</v>
      </c>
      <c r="F413" s="13">
        <f>IF(ISNUMBER(对照快照!R146),对照快照!R146,"")</f>
        <v>10</v>
      </c>
      <c r="G413" s="13">
        <f t="shared" si="18"/>
        <v>0.08512</v>
      </c>
      <c r="H413" s="13">
        <f t="shared" si="19"/>
        <v>0.56</v>
      </c>
      <c r="I413" s="13">
        <f t="shared" si="20"/>
        <v>-0.47488</v>
      </c>
      <c r="J413" s="15">
        <f>IF(ISNUMBER('Sheet2-计算明细'!P69),'Sheet2-计算明细'!P69,IF('Sheet2-计算明细'!P69="","",'Sheet2-计算明细'!P69))</f>
        <v>0.0229127127520601</v>
      </c>
      <c r="K413" s="15">
        <f>IF(ISNUMBER(对照快照!P146),对照快照!P146,IF(对照快照!P146="","",对照快照!P146))</f>
        <v>0.0235832396056463</v>
      </c>
      <c r="L413" s="9" t="s">
        <v>1540</v>
      </c>
    </row>
    <row r="414" ht="25" customHeight="1" spans="1:12">
      <c r="A414" s="9" t="s">
        <v>354</v>
      </c>
      <c r="B414" s="9" t="s">
        <v>353</v>
      </c>
      <c r="C414" s="9" t="s">
        <v>690</v>
      </c>
      <c r="D414" s="12">
        <v>0.036</v>
      </c>
      <c r="E414" s="13">
        <f>IF(ISNUMBER('Sheet2-计算明细'!W69),'Sheet2-计算明细'!W69,"")</f>
        <v>76.92</v>
      </c>
      <c r="F414" s="13">
        <f>IF(ISNUMBER(对照快照!W146),对照快照!W146,"")</f>
        <v>84.62</v>
      </c>
      <c r="G414" s="13">
        <f t="shared" si="18"/>
        <v>2.76912</v>
      </c>
      <c r="H414" s="13">
        <f t="shared" si="19"/>
        <v>3.04632</v>
      </c>
      <c r="I414" s="13">
        <f t="shared" si="20"/>
        <v>-0.2772</v>
      </c>
      <c r="J414" s="15">
        <f>IF(ISNUMBER('Sheet2-计算明细'!T69),'Sheet2-计算明细'!T69,IF('Sheet2-计算明细'!T69="","",'Sheet2-计算明细'!T69))</f>
        <v>0.7692</v>
      </c>
      <c r="K414" s="15">
        <f>IF(ISNUMBER(对照快照!T146),对照快照!T146,IF(对照快照!T146="","",对照快照!T146))</f>
        <v>0.8462</v>
      </c>
      <c r="L414" s="9" t="s">
        <v>1538</v>
      </c>
    </row>
    <row r="415" ht="25" customHeight="1" spans="1:12">
      <c r="A415" s="9" t="s">
        <v>354</v>
      </c>
      <c r="B415" s="9" t="s">
        <v>353</v>
      </c>
      <c r="C415" s="9" t="s">
        <v>692</v>
      </c>
      <c r="D415" s="12">
        <v>0.024</v>
      </c>
      <c r="E415" s="13">
        <f>IF(ISNUMBER('Sheet2-计算明细'!X69),'Sheet2-计算明细'!X69,"")</f>
        <v>62.5054166666667</v>
      </c>
      <c r="F415" s="13">
        <f>IF(ISNUMBER(对照快照!X146),对照快照!X146,"")</f>
        <v>62.4970833333333</v>
      </c>
      <c r="G415" s="13">
        <f t="shared" si="18"/>
        <v>1.50013</v>
      </c>
      <c r="H415" s="13">
        <f t="shared" si="19"/>
        <v>1.49993</v>
      </c>
      <c r="I415" s="13">
        <f t="shared" si="20"/>
        <v>0.000200000000000422</v>
      </c>
      <c r="J415" s="15">
        <f>IF(ISNUMBER('Sheet2-计算明细'!V69),'Sheet2-计算明细'!V69,IF('Sheet2-计算明细'!V69="","",'Sheet2-计算明细'!V69))</f>
        <v>0.625054166666667</v>
      </c>
      <c r="K415" s="15">
        <f>IF(ISNUMBER(对照快照!V146),对照快照!V146,IF(对照快照!V146="","",对照快照!V146))</f>
        <v>0.624970833333333</v>
      </c>
      <c r="L415" s="9" t="s">
        <v>1538</v>
      </c>
    </row>
    <row r="416" ht="25" customHeight="1" spans="1:12">
      <c r="A416" s="9" t="s">
        <v>354</v>
      </c>
      <c r="B416" s="9" t="s">
        <v>353</v>
      </c>
      <c r="C416" s="9" t="s">
        <v>1542</v>
      </c>
      <c r="D416" s="12">
        <v>0.25</v>
      </c>
      <c r="E416" s="13">
        <f>IF(ISNUMBER('Sheet2-计算明细'!AC69),'Sheet2-计算明细'!AC69,"")</f>
        <v>36.49</v>
      </c>
      <c r="F416" s="13">
        <f>IF(ISNUMBER(对照快照!AC146),对照快照!AC146,"")</f>
        <v>58.01</v>
      </c>
      <c r="G416" s="13">
        <f t="shared" si="18"/>
        <v>9.1225</v>
      </c>
      <c r="H416" s="13">
        <f t="shared" si="19"/>
        <v>14.5025</v>
      </c>
      <c r="I416" s="13">
        <f t="shared" si="20"/>
        <v>-5.38</v>
      </c>
      <c r="J416" s="15">
        <f>IF(ISNUMBER('Sheet2-计算明细'!AB69),'Sheet2-计算明细'!AB69,IF('Sheet2-计算明细'!AB69="","",'Sheet2-计算明细'!AB69))</f>
        <v>0.031</v>
      </c>
      <c r="K416" s="15">
        <f>IF(ISNUMBER(对照快照!AB146),对照快照!AB146,IF(对照快照!AB146="","",对照快照!AB146))</f>
        <v>0.031</v>
      </c>
      <c r="L416" s="9" t="s">
        <v>1540</v>
      </c>
    </row>
    <row r="417" ht="25" customHeight="1" spans="1:12">
      <c r="A417" s="9" t="s">
        <v>354</v>
      </c>
      <c r="B417" s="9" t="s">
        <v>353</v>
      </c>
      <c r="C417" s="9" t="s">
        <v>1543</v>
      </c>
      <c r="D417" s="12">
        <v>0.18</v>
      </c>
      <c r="E417" s="13">
        <f>IF(ISNUMBER('Sheet2-计算明细'!AG69),'Sheet2-计算明细'!AG69,"")</f>
        <v>61.97</v>
      </c>
      <c r="F417" s="13">
        <f>IF(ISNUMBER(对照快照!AG146),对照快照!AG146,"")</f>
        <v>87.14</v>
      </c>
      <c r="G417" s="13">
        <f t="shared" si="18"/>
        <v>11.1546</v>
      </c>
      <c r="H417" s="13">
        <f t="shared" si="19"/>
        <v>15.6852</v>
      </c>
      <c r="I417" s="13">
        <f t="shared" si="20"/>
        <v>-4.5306</v>
      </c>
      <c r="J417" s="15">
        <f>IF(ISNUMBER('Sheet2-计算明细'!AD69),'Sheet2-计算明细'!AD69,IF('Sheet2-计算明细'!AD69="","",'Sheet2-计算明细'!AD69))</f>
        <v>12.1029</v>
      </c>
      <c r="K417" s="15">
        <f>IF(ISNUMBER(对照快照!AD146),对照快照!AD146,IF(对照快照!AD146="","",对照快照!AD146))</f>
        <v>16.8175</v>
      </c>
      <c r="L417" s="9" t="s">
        <v>1540</v>
      </c>
    </row>
    <row r="418" ht="25" customHeight="1" spans="1:12">
      <c r="A418" s="9" t="s">
        <v>354</v>
      </c>
      <c r="B418" s="9" t="s">
        <v>353</v>
      </c>
      <c r="C418" s="9" t="s">
        <v>1544</v>
      </c>
      <c r="D418" s="12">
        <v>0.12</v>
      </c>
      <c r="E418" s="13">
        <f>IF(ISNUMBER('Sheet2-计算明细'!AH69),'Sheet2-计算明细'!AH69,"")</f>
        <v>3.13</v>
      </c>
      <c r="F418" s="13">
        <f>IF(ISNUMBER(对照快照!AH146),对照快照!AH146,"")</f>
        <v>26.95</v>
      </c>
      <c r="G418" s="13">
        <f t="shared" si="18"/>
        <v>0.3756</v>
      </c>
      <c r="H418" s="13">
        <f t="shared" si="19"/>
        <v>3.234</v>
      </c>
      <c r="I418" s="13">
        <f t="shared" si="20"/>
        <v>-2.8584</v>
      </c>
      <c r="J418" s="15">
        <f>IF(ISNUMBER('Sheet2-计算明细'!AF69),'Sheet2-计算明细'!AF69,IF('Sheet2-计算明细'!AF69="","",'Sheet2-计算明细'!AF69))</f>
        <v>0.739119766195487</v>
      </c>
      <c r="K418" s="15">
        <f>IF(ISNUMBER(对照快照!AF146),对照快照!AF146,IF(对照快照!AF146="","",对照快照!AF146))</f>
        <v>0.760749664698269</v>
      </c>
      <c r="L418" s="9" t="s">
        <v>1540</v>
      </c>
    </row>
    <row r="419" ht="25" customHeight="1" spans="1:12">
      <c r="A419" s="9" t="s">
        <v>354</v>
      </c>
      <c r="B419" s="9" t="s">
        <v>353</v>
      </c>
      <c r="C419" s="9" t="s">
        <v>574</v>
      </c>
      <c r="D419" s="12">
        <v>0.1</v>
      </c>
      <c r="E419" s="13">
        <f>IF(ISNUMBER('Sheet2-计算明细'!AK69),'Sheet2-计算明细'!AK69,"")</f>
        <v>100</v>
      </c>
      <c r="F419" s="13">
        <f>IF(ISNUMBER(对照快照!AK146),对照快照!AK146,"")</f>
        <v>100</v>
      </c>
      <c r="G419" s="13">
        <f t="shared" si="18"/>
        <v>10</v>
      </c>
      <c r="H419" s="13">
        <f t="shared" si="19"/>
        <v>10</v>
      </c>
      <c r="I419" s="13">
        <f t="shared" si="20"/>
        <v>0</v>
      </c>
      <c r="J419" s="15">
        <f>IF(ISNUMBER('Sheet2-计算明细'!AJ69),'Sheet2-计算明细'!AJ69,IF('Sheet2-计算明细'!AJ69="","",'Sheet2-计算明细'!AJ69))</f>
        <v>0.0386</v>
      </c>
      <c r="K419" s="15">
        <f>IF(ISNUMBER(对照快照!AJ146),对照快照!AJ146,IF(对照快照!AJ146="","",对照快照!AJ146))</f>
        <v>0.0426</v>
      </c>
      <c r="L419" s="9" t="s">
        <v>1538</v>
      </c>
    </row>
    <row r="420" ht="25" customHeight="1" spans="1:12">
      <c r="A420" s="9" t="s">
        <v>376</v>
      </c>
      <c r="B420" s="9" t="s">
        <v>375</v>
      </c>
      <c r="C420" s="9" t="s">
        <v>538</v>
      </c>
      <c r="D420" s="12">
        <v>0.06</v>
      </c>
      <c r="E420" s="13">
        <f>IF(ISNUMBER('Sheet2-计算明细'!I73),'Sheet2-计算明细'!I73,"")</f>
        <v>90</v>
      </c>
      <c r="F420" s="13">
        <f>IF(ISNUMBER(对照快照!I178),对照快照!I178,"")</f>
        <v>90</v>
      </c>
      <c r="G420" s="13">
        <f t="shared" si="18"/>
        <v>5.4</v>
      </c>
      <c r="H420" s="13">
        <f t="shared" si="19"/>
        <v>5.4</v>
      </c>
      <c r="I420" s="13">
        <f t="shared" si="20"/>
        <v>0</v>
      </c>
      <c r="J420" s="15" t="str">
        <f>IF(ISNUMBER('Sheet2-计算明细'!H73),'Sheet2-计算明细'!H73,IF('Sheet2-计算明细'!H73="","",'Sheet2-计算明细'!H73))</f>
        <v>20-50亿元</v>
      </c>
      <c r="K420" s="15" t="str">
        <f>IF(ISNUMBER(对照快照!H178),对照快照!H178,IF(对照快照!H178="","",对照快照!H178))</f>
        <v>20-50亿元</v>
      </c>
      <c r="L420" s="9" t="s">
        <v>1538</v>
      </c>
    </row>
    <row r="421" ht="25" customHeight="1" spans="1:12">
      <c r="A421" s="9" t="s">
        <v>376</v>
      </c>
      <c r="B421" s="9" t="s">
        <v>375</v>
      </c>
      <c r="C421" s="9" t="s">
        <v>543</v>
      </c>
      <c r="D421" s="12">
        <v>0.045</v>
      </c>
      <c r="E421" s="13">
        <f>IF(ISNUMBER('Sheet2-计算明细'!K73),'Sheet2-计算明细'!K73,"")</f>
        <v>100</v>
      </c>
      <c r="F421" s="13">
        <f>IF(ISNUMBER(对照快照!K178),对照快照!K178,"")</f>
        <v>100</v>
      </c>
      <c r="G421" s="13">
        <f t="shared" si="18"/>
        <v>4.5</v>
      </c>
      <c r="H421" s="13">
        <f t="shared" si="19"/>
        <v>4.5</v>
      </c>
      <c r="I421" s="13">
        <f t="shared" si="20"/>
        <v>0</v>
      </c>
      <c r="J421" s="15" t="str">
        <f>IF(ISNUMBER('Sheet2-计算明细'!J73),'Sheet2-计算明细'!J73,IF('Sheet2-计算明细'!J73="","",'Sheet2-计算明细'!J73))</f>
        <v>无低于1000万元标识</v>
      </c>
      <c r="K421" s="15" t="str">
        <f>IF(ISNUMBER(对照快照!J178),对照快照!J178,IF(对照快照!J178="","",对照快照!J178))</f>
        <v>无低于1000万元标识</v>
      </c>
      <c r="L421" s="9" t="s">
        <v>1538</v>
      </c>
    </row>
    <row r="422" ht="25" customHeight="1" spans="1:12">
      <c r="A422" s="9" t="s">
        <v>376</v>
      </c>
      <c r="B422" s="9" t="s">
        <v>375</v>
      </c>
      <c r="C422" s="9" t="s">
        <v>547</v>
      </c>
      <c r="D422" s="12">
        <v>0.045</v>
      </c>
      <c r="E422" s="13">
        <f>IF(ISNUMBER('Sheet2-计算明细'!L73),'Sheet2-计算明细'!L73,"")</f>
        <v>100</v>
      </c>
      <c r="F422" s="13">
        <f>IF(ISNUMBER(对照快照!L178),对照快照!L178,"")</f>
        <v>100</v>
      </c>
      <c r="G422" s="13">
        <f t="shared" si="18"/>
        <v>4.5</v>
      </c>
      <c r="H422" s="13">
        <f t="shared" si="19"/>
        <v>4.5</v>
      </c>
      <c r="I422" s="13">
        <f t="shared" si="20"/>
        <v>0</v>
      </c>
      <c r="J422" s="15">
        <f>IF(ISNUMBER('Sheet2-计算明细'!F73),'Sheet2-计算明细'!F73,IF('Sheet2-计算明细'!F73="","",'Sheet2-计算明细'!F73))</f>
        <v>8.8542</v>
      </c>
      <c r="K422" s="15">
        <f>IF(ISNUMBER(对照快照!F178),对照快照!F178,IF(对照快照!F178="","",对照快照!F178))</f>
        <v>8.846</v>
      </c>
      <c r="L422" s="9" t="s">
        <v>1538</v>
      </c>
    </row>
    <row r="423" ht="25" customHeight="1" spans="1:12">
      <c r="A423" s="9" t="s">
        <v>376</v>
      </c>
      <c r="B423" s="9" t="s">
        <v>375</v>
      </c>
      <c r="C423" s="9" t="s">
        <v>1539</v>
      </c>
      <c r="D423" s="12">
        <v>0.084</v>
      </c>
      <c r="E423" s="13">
        <f>IF(ISNUMBER('Sheet2-计算明细'!Q73),'Sheet2-计算明细'!Q73,"")</f>
        <v>9.72</v>
      </c>
      <c r="F423" s="13">
        <f>IF(ISNUMBER(对照快照!Q178),对照快照!Q178,"")</f>
        <v>16.29</v>
      </c>
      <c r="G423" s="13">
        <f t="shared" si="18"/>
        <v>0.81648</v>
      </c>
      <c r="H423" s="13">
        <f t="shared" si="19"/>
        <v>1.36836</v>
      </c>
      <c r="I423" s="13">
        <f t="shared" si="20"/>
        <v>-0.55188</v>
      </c>
      <c r="J423" s="15">
        <f>IF(ISNUMBER('Sheet2-计算明细'!M73),'Sheet2-计算明细'!M73,IF('Sheet2-计算明细'!M73="","",'Sheet2-计算明细'!M73))</f>
        <v>0.0255</v>
      </c>
      <c r="K423" s="15">
        <f>IF(ISNUMBER(对照快照!M178),对照快照!M178,IF(对照快照!M178="","",对照快照!M178))</f>
        <v>0.0057</v>
      </c>
      <c r="L423" s="9" t="s">
        <v>1540</v>
      </c>
    </row>
    <row r="424" ht="25" customHeight="1" spans="1:12">
      <c r="A424" s="9" t="s">
        <v>376</v>
      </c>
      <c r="B424" s="9" t="s">
        <v>375</v>
      </c>
      <c r="C424" s="9" t="s">
        <v>1541</v>
      </c>
      <c r="D424" s="12">
        <v>0.056</v>
      </c>
      <c r="E424" s="13">
        <f>IF(ISNUMBER('Sheet2-计算明细'!R73),'Sheet2-计算明细'!R73,"")</f>
        <v>34.85</v>
      </c>
      <c r="F424" s="13">
        <f>IF(ISNUMBER(对照快照!R178),对照快照!R178,"")</f>
        <v>52.86</v>
      </c>
      <c r="G424" s="13">
        <f t="shared" si="18"/>
        <v>1.9516</v>
      </c>
      <c r="H424" s="13">
        <f t="shared" si="19"/>
        <v>2.96016</v>
      </c>
      <c r="I424" s="13">
        <f t="shared" si="20"/>
        <v>-1.00856</v>
      </c>
      <c r="J424" s="15">
        <f>IF(ISNUMBER('Sheet2-计算明细'!P73),'Sheet2-计算明细'!P73,IF('Sheet2-计算明细'!P73="","",'Sheet2-计算明细'!P73))</f>
        <v>0.0600410559853102</v>
      </c>
      <c r="K424" s="15">
        <f>IF(ISNUMBER(对照快照!P178),对照快照!P178,IF(对照快照!P178="","",对照快照!P178))</f>
        <v>0.0716505663465121</v>
      </c>
      <c r="L424" s="9" t="s">
        <v>1540</v>
      </c>
    </row>
    <row r="425" ht="25" customHeight="1" spans="1:12">
      <c r="A425" s="9" t="s">
        <v>376</v>
      </c>
      <c r="B425" s="9" t="s">
        <v>375</v>
      </c>
      <c r="C425" s="9" t="s">
        <v>690</v>
      </c>
      <c r="D425" s="12">
        <v>0.036</v>
      </c>
      <c r="E425" s="13">
        <f>IF(ISNUMBER('Sheet2-计算明细'!W73),'Sheet2-计算明细'!W73,"")</f>
        <v>69.23</v>
      </c>
      <c r="F425" s="13">
        <f>IF(ISNUMBER(对照快照!W178),对照快照!W178,"")</f>
        <v>69.23</v>
      </c>
      <c r="G425" s="13">
        <f t="shared" si="18"/>
        <v>2.49228</v>
      </c>
      <c r="H425" s="13">
        <f t="shared" si="19"/>
        <v>2.49228</v>
      </c>
      <c r="I425" s="13">
        <f t="shared" si="20"/>
        <v>0</v>
      </c>
      <c r="J425" s="15">
        <f>IF(ISNUMBER('Sheet2-计算明细'!T73),'Sheet2-计算明细'!T73,IF('Sheet2-计算明细'!T73="","",'Sheet2-计算明细'!T73))</f>
        <v>0.6923</v>
      </c>
      <c r="K425" s="15">
        <f>IF(ISNUMBER(对照快照!T178),对照快照!T178,IF(对照快照!T178="","",对照快照!T178))</f>
        <v>0.6923</v>
      </c>
      <c r="L425" s="9" t="s">
        <v>1538</v>
      </c>
    </row>
    <row r="426" ht="25" customHeight="1" spans="1:12">
      <c r="A426" s="9" t="s">
        <v>376</v>
      </c>
      <c r="B426" s="9" t="s">
        <v>375</v>
      </c>
      <c r="C426" s="9" t="s">
        <v>692</v>
      </c>
      <c r="D426" s="12">
        <v>0.024</v>
      </c>
      <c r="E426" s="13">
        <f>IF(ISNUMBER('Sheet2-计算明细'!X73),'Sheet2-计算明细'!X73,"")</f>
        <v>66.6708333333333</v>
      </c>
      <c r="F426" s="13">
        <f>IF(ISNUMBER(对照快照!X178),对照快照!X178,"")</f>
        <v>70.8333333333333</v>
      </c>
      <c r="G426" s="13">
        <f t="shared" si="18"/>
        <v>1.6001</v>
      </c>
      <c r="H426" s="13">
        <f t="shared" si="19"/>
        <v>1.7</v>
      </c>
      <c r="I426" s="13">
        <f t="shared" si="20"/>
        <v>-0.0998999999999997</v>
      </c>
      <c r="J426" s="15">
        <f>IF(ISNUMBER('Sheet2-计算明细'!V73),'Sheet2-计算明细'!V73,IF('Sheet2-计算明细'!V73="","",'Sheet2-计算明细'!V73))</f>
        <v>0.666708333333333</v>
      </c>
      <c r="K426" s="15">
        <f>IF(ISNUMBER(对照快照!V178),对照快照!V178,IF(对照快照!V178="","",对照快照!V178))</f>
        <v>0.708333333333333</v>
      </c>
      <c r="L426" s="9" t="s">
        <v>1538</v>
      </c>
    </row>
    <row r="427" ht="25" customHeight="1" spans="1:12">
      <c r="A427" s="9" t="s">
        <v>376</v>
      </c>
      <c r="B427" s="9" t="s">
        <v>375</v>
      </c>
      <c r="C427" s="9" t="s">
        <v>1542</v>
      </c>
      <c r="D427" s="12">
        <v>0.25</v>
      </c>
      <c r="E427" s="13">
        <f>IF(ISNUMBER('Sheet2-计算明细'!AC73),'Sheet2-计算明细'!AC73,"")</f>
        <v>28.38</v>
      </c>
      <c r="F427" s="13">
        <f>IF(ISNUMBER(对照快照!AC178),对照快照!AC178,"")</f>
        <v>52.24</v>
      </c>
      <c r="G427" s="13">
        <f t="shared" si="18"/>
        <v>7.095</v>
      </c>
      <c r="H427" s="13">
        <f t="shared" si="19"/>
        <v>13.06</v>
      </c>
      <c r="I427" s="13">
        <f t="shared" si="20"/>
        <v>-5.965</v>
      </c>
      <c r="J427" s="15">
        <f>IF(ISNUMBER('Sheet2-计算明细'!AB73),'Sheet2-计算明细'!AB73,IF('Sheet2-计算明细'!AB73="","",'Sheet2-计算明细'!AB73))</f>
        <v>0.0393</v>
      </c>
      <c r="K427" s="15">
        <f>IF(ISNUMBER(对照快照!AB178),对照快照!AB178,IF(对照快照!AB178="","",对照快照!AB178))</f>
        <v>0.0393</v>
      </c>
      <c r="L427" s="9" t="s">
        <v>1540</v>
      </c>
    </row>
    <row r="428" ht="25" customHeight="1" spans="1:12">
      <c r="A428" s="9" t="s">
        <v>376</v>
      </c>
      <c r="B428" s="9" t="s">
        <v>375</v>
      </c>
      <c r="C428" s="9" t="s">
        <v>1543</v>
      </c>
      <c r="D428" s="12">
        <v>0.18</v>
      </c>
      <c r="E428" s="13">
        <f>IF(ISNUMBER('Sheet2-计算明细'!AG73),'Sheet2-计算明细'!AG73,"")</f>
        <v>9.86</v>
      </c>
      <c r="F428" s="13">
        <f>IF(ISNUMBER(对照快照!AG178),对照快照!AG178,"")</f>
        <v>18.65</v>
      </c>
      <c r="G428" s="13">
        <f t="shared" si="18"/>
        <v>1.7748</v>
      </c>
      <c r="H428" s="13">
        <f t="shared" si="19"/>
        <v>3.357</v>
      </c>
      <c r="I428" s="13">
        <f t="shared" si="20"/>
        <v>-1.5822</v>
      </c>
      <c r="J428" s="15">
        <f>IF(ISNUMBER('Sheet2-计算明细'!AD73),'Sheet2-计算明细'!AD73,IF('Sheet2-计算明细'!AD73="","",'Sheet2-计算明细'!AD73))</f>
        <v>1.2268</v>
      </c>
      <c r="K428" s="15">
        <f>IF(ISNUMBER(对照快照!AD178),对照快照!AD178,IF(对照快照!AD178="","",对照快照!AD178))</f>
        <v>0.1834</v>
      </c>
      <c r="L428" s="9" t="s">
        <v>1540</v>
      </c>
    </row>
    <row r="429" ht="25" customHeight="1" spans="1:12">
      <c r="A429" s="9" t="s">
        <v>376</v>
      </c>
      <c r="B429" s="9" t="s">
        <v>375</v>
      </c>
      <c r="C429" s="9" t="s">
        <v>1544</v>
      </c>
      <c r="D429" s="12">
        <v>0.12</v>
      </c>
      <c r="E429" s="13">
        <f>IF(ISNUMBER('Sheet2-计算明细'!AH73),'Sheet2-计算明细'!AH73,"")</f>
        <v>21.88</v>
      </c>
      <c r="F429" s="13">
        <f>IF(ISNUMBER(对照快照!AH178),对照快照!AH178,"")</f>
        <v>58.87</v>
      </c>
      <c r="G429" s="13">
        <f t="shared" si="18"/>
        <v>2.6256</v>
      </c>
      <c r="H429" s="13">
        <f t="shared" si="19"/>
        <v>7.0644</v>
      </c>
      <c r="I429" s="13">
        <f t="shared" si="20"/>
        <v>-4.4388</v>
      </c>
      <c r="J429" s="15">
        <f>IF(ISNUMBER('Sheet2-计算明细'!AF73),'Sheet2-计算明细'!AF73,IF('Sheet2-计算明细'!AF73="","",'Sheet2-计算明细'!AF73))</f>
        <v>1.52776223881196</v>
      </c>
      <c r="K429" s="15">
        <f>IF(ISNUMBER(对照快照!AF178),对照快照!AF178,IF(对照快照!AF178="","",对照快照!AF178))</f>
        <v>1.82316962713771</v>
      </c>
      <c r="L429" s="9" t="s">
        <v>1540</v>
      </c>
    </row>
    <row r="430" ht="25" customHeight="1" spans="1:12">
      <c r="A430" s="9" t="s">
        <v>376</v>
      </c>
      <c r="B430" s="9" t="s">
        <v>375</v>
      </c>
      <c r="C430" s="9" t="s">
        <v>574</v>
      </c>
      <c r="D430" s="12">
        <v>0.1</v>
      </c>
      <c r="E430" s="13">
        <f>IF(ISNUMBER('Sheet2-计算明细'!AK73),'Sheet2-计算明细'!AK73,"")</f>
        <v>80</v>
      </c>
      <c r="F430" s="13">
        <f>IF(ISNUMBER(对照快照!AK178),对照快照!AK178,"")</f>
        <v>80</v>
      </c>
      <c r="G430" s="13">
        <f t="shared" si="18"/>
        <v>8</v>
      </c>
      <c r="H430" s="13">
        <f t="shared" si="19"/>
        <v>8</v>
      </c>
      <c r="I430" s="13">
        <f t="shared" si="20"/>
        <v>0</v>
      </c>
      <c r="J430" s="15">
        <f>IF(ISNUMBER('Sheet2-计算明细'!AJ73),'Sheet2-计算明细'!AJ73,IF('Sheet2-计算明细'!AJ73="","",'Sheet2-计算明细'!AJ73))</f>
        <v>0.0484</v>
      </c>
      <c r="K430" s="15">
        <f>IF(ISNUMBER(对照快照!AJ178),对照快照!AJ178,IF(对照快照!AJ178="","",对照快照!AJ178))</f>
        <v>0.0492</v>
      </c>
      <c r="L430" s="9" t="s">
        <v>1538</v>
      </c>
    </row>
    <row r="431" ht="25" customHeight="1" spans="1:12">
      <c r="A431" s="9" t="s">
        <v>383</v>
      </c>
      <c r="B431" s="9" t="s">
        <v>381</v>
      </c>
      <c r="C431" s="9" t="s">
        <v>538</v>
      </c>
      <c r="D431" s="12">
        <v>0.06</v>
      </c>
      <c r="E431" s="13">
        <f>IF(ISNUMBER('Sheet2-计算明细'!I74),'Sheet2-计算明细'!I74,"")</f>
        <v>60</v>
      </c>
      <c r="F431" s="13">
        <f>IF(ISNUMBER(对照快照!I253),对照快照!I253,"")</f>
        <v>60</v>
      </c>
      <c r="G431" s="13">
        <f t="shared" si="18"/>
        <v>3.6</v>
      </c>
      <c r="H431" s="13">
        <f t="shared" si="19"/>
        <v>3.6</v>
      </c>
      <c r="I431" s="13">
        <f t="shared" si="20"/>
        <v>0</v>
      </c>
      <c r="J431" s="15" t="str">
        <f>IF(ISNUMBER('Sheet2-计算明细'!H74),'Sheet2-计算明细'!H74,IF('Sheet2-计算明细'!H74="","",'Sheet2-计算明细'!H74))</f>
        <v>0-5亿元</v>
      </c>
      <c r="K431" s="15" t="str">
        <f>IF(ISNUMBER(对照快照!H253),对照快照!H253,IF(对照快照!H253="","",对照快照!H253))</f>
        <v>0-5亿元</v>
      </c>
      <c r="L431" s="9" t="s">
        <v>1538</v>
      </c>
    </row>
    <row r="432" ht="25" customHeight="1" spans="1:12">
      <c r="A432" s="9" t="s">
        <v>383</v>
      </c>
      <c r="B432" s="9" t="s">
        <v>381</v>
      </c>
      <c r="C432" s="9" t="s">
        <v>543</v>
      </c>
      <c r="D432" s="12">
        <v>0.045</v>
      </c>
      <c r="E432" s="13" t="str">
        <f>IF(ISNUMBER('Sheet2-计算明细'!K74),'Sheet2-计算明细'!K74,"")</f>
        <v/>
      </c>
      <c r="F432" s="13">
        <f>IF(ISNUMBER(对照快照!K253),对照快照!K253,"")</f>
        <v>100</v>
      </c>
      <c r="G432" s="13">
        <f t="shared" si="18"/>
        <v>0</v>
      </c>
      <c r="H432" s="13">
        <f t="shared" si="19"/>
        <v>4.5</v>
      </c>
      <c r="I432" s="13">
        <f t="shared" si="20"/>
        <v>-4.5</v>
      </c>
      <c r="J432" s="15" t="str">
        <f>IF(ISNUMBER('Sheet2-计算明细'!J74),'Sheet2-计算明细'!J74,IF('Sheet2-计算明细'!J74="","",'Sheet2-计算明细'!J74))</f>
        <v/>
      </c>
      <c r="K432" s="15" t="str">
        <f>IF(ISNUMBER(对照快照!J253),对照快照!J253,IF(对照快照!J253="","",对照快照!J253))</f>
        <v>无低于1000万元标识</v>
      </c>
      <c r="L432" s="9" t="s">
        <v>1538</v>
      </c>
    </row>
    <row r="433" ht="25" customHeight="1" spans="1:12">
      <c r="A433" s="9" t="s">
        <v>383</v>
      </c>
      <c r="B433" s="9" t="s">
        <v>381</v>
      </c>
      <c r="C433" s="9" t="s">
        <v>547</v>
      </c>
      <c r="D433" s="12">
        <v>0.045</v>
      </c>
      <c r="E433" s="13">
        <f>IF(ISNUMBER('Sheet2-计算明细'!L74),'Sheet2-计算明细'!L74,"")</f>
        <v>100</v>
      </c>
      <c r="F433" s="13">
        <f>IF(ISNUMBER(对照快照!L253),对照快照!L253,"")</f>
        <v>100</v>
      </c>
      <c r="G433" s="13">
        <f t="shared" si="18"/>
        <v>4.5</v>
      </c>
      <c r="H433" s="13">
        <f t="shared" si="19"/>
        <v>4.5</v>
      </c>
      <c r="I433" s="13">
        <f t="shared" si="20"/>
        <v>0</v>
      </c>
      <c r="J433" s="15">
        <f>IF(ISNUMBER('Sheet2-计算明细'!F74),'Sheet2-计算明细'!F74,IF('Sheet2-计算明细'!F74="","",'Sheet2-计算明细'!F74))</f>
        <v>3.7536</v>
      </c>
      <c r="K433" s="15">
        <f>IF(ISNUMBER(对照快照!F253),对照快照!F253,IF(对照快照!F253="","",对照快照!F253))</f>
        <v>3.7454</v>
      </c>
      <c r="L433" s="9" t="s">
        <v>1538</v>
      </c>
    </row>
    <row r="434" ht="25" customHeight="1" spans="1:12">
      <c r="A434" s="9" t="s">
        <v>383</v>
      </c>
      <c r="B434" s="9" t="s">
        <v>381</v>
      </c>
      <c r="C434" s="9" t="s">
        <v>1539</v>
      </c>
      <c r="D434" s="12">
        <v>0.084</v>
      </c>
      <c r="E434" s="13">
        <f>IF(ISNUMBER('Sheet2-计算明细'!Q74),'Sheet2-计算明细'!Q74,"")</f>
        <v>81.94</v>
      </c>
      <c r="F434" s="13">
        <f>IF(ISNUMBER(对照快照!Q253),对照快照!Q253,"")</f>
        <v>85.94</v>
      </c>
      <c r="G434" s="13">
        <f t="shared" si="18"/>
        <v>6.88296</v>
      </c>
      <c r="H434" s="13">
        <f t="shared" si="19"/>
        <v>7.21896</v>
      </c>
      <c r="I434" s="13">
        <f t="shared" si="20"/>
        <v>-0.335999999999999</v>
      </c>
      <c r="J434" s="15">
        <f>IF(ISNUMBER('Sheet2-计算明细'!M74),'Sheet2-计算明细'!M74,IF('Sheet2-计算明细'!M74="","",'Sheet2-计算明细'!M74))</f>
        <v>0.1582</v>
      </c>
      <c r="K434" s="15">
        <f>IF(ISNUMBER(对照快照!M253),对照快照!M253,IF(对照快照!M253="","",对照快照!M253))</f>
        <v>0.1638</v>
      </c>
      <c r="L434" s="9" t="s">
        <v>1540</v>
      </c>
    </row>
    <row r="435" ht="25" customHeight="1" spans="1:12">
      <c r="A435" s="9" t="s">
        <v>383</v>
      </c>
      <c r="B435" s="9" t="s">
        <v>381</v>
      </c>
      <c r="C435" s="9" t="s">
        <v>1541</v>
      </c>
      <c r="D435" s="12">
        <v>0.056</v>
      </c>
      <c r="E435" s="13" t="str">
        <f>IF(ISNUMBER('Sheet2-计算明细'!R74),'Sheet2-计算明细'!R74,"")</f>
        <v/>
      </c>
      <c r="F435" s="13" t="str">
        <f>IF(ISNUMBER(对照快照!R253),对照快照!R253,"")</f>
        <v/>
      </c>
      <c r="G435" s="13">
        <f t="shared" si="18"/>
        <v>0</v>
      </c>
      <c r="H435" s="13">
        <f t="shared" si="19"/>
        <v>0</v>
      </c>
      <c r="I435" s="13">
        <f t="shared" si="20"/>
        <v>0</v>
      </c>
      <c r="J435" s="15" t="str">
        <f>IF(ISNUMBER('Sheet2-计算明细'!P74),'Sheet2-计算明细'!P74,IF('Sheet2-计算明细'!P74="","",'Sheet2-计算明细'!P74))</f>
        <v/>
      </c>
      <c r="K435" s="15" t="str">
        <f>IF(ISNUMBER(对照快照!P253),对照快照!P253,IF(对照快照!P253="","",对照快照!P253))</f>
        <v>原表 VALUE 错误</v>
      </c>
      <c r="L435" s="9" t="s">
        <v>1540</v>
      </c>
    </row>
    <row r="436" ht="25" customHeight="1" spans="1:12">
      <c r="A436" s="9" t="s">
        <v>383</v>
      </c>
      <c r="B436" s="9" t="s">
        <v>381</v>
      </c>
      <c r="C436" s="9" t="s">
        <v>690</v>
      </c>
      <c r="D436" s="12">
        <v>0.036</v>
      </c>
      <c r="E436" s="13">
        <f>IF(ISNUMBER('Sheet2-计算明细'!W74),'Sheet2-计算明细'!W74,"")</f>
        <v>69.23</v>
      </c>
      <c r="F436" s="13">
        <f>IF(ISNUMBER(对照快照!W253),对照快照!W253,"")</f>
        <v>76.92</v>
      </c>
      <c r="G436" s="13">
        <f t="shared" si="18"/>
        <v>2.49228</v>
      </c>
      <c r="H436" s="13">
        <f t="shared" si="19"/>
        <v>2.76912</v>
      </c>
      <c r="I436" s="13">
        <f t="shared" si="20"/>
        <v>-0.27684</v>
      </c>
      <c r="J436" s="15">
        <f>IF(ISNUMBER('Sheet2-计算明细'!T74),'Sheet2-计算明细'!T74,IF('Sheet2-计算明细'!T74="","",'Sheet2-计算明细'!T74))</f>
        <v>0.6923</v>
      </c>
      <c r="K436" s="15">
        <f>IF(ISNUMBER(对照快照!T253),对照快照!T253,IF(对照快照!T253="","",对照快照!T253))</f>
        <v>0.7692</v>
      </c>
      <c r="L436" s="9" t="s">
        <v>1538</v>
      </c>
    </row>
    <row r="437" ht="25" customHeight="1" spans="1:12">
      <c r="A437" s="9" t="s">
        <v>383</v>
      </c>
      <c r="B437" s="9" t="s">
        <v>381</v>
      </c>
      <c r="C437" s="9" t="s">
        <v>692</v>
      </c>
      <c r="D437" s="12">
        <v>0.024</v>
      </c>
      <c r="E437" s="13" t="str">
        <f>IF(ISNUMBER('Sheet2-计算明细'!X74),'Sheet2-计算明细'!X74,"")</f>
        <v/>
      </c>
      <c r="F437" s="13" t="str">
        <f>IF(ISNUMBER(对照快照!X253),对照快照!X253,"")</f>
        <v/>
      </c>
      <c r="G437" s="13">
        <f t="shared" si="18"/>
        <v>0</v>
      </c>
      <c r="H437" s="13">
        <f t="shared" si="19"/>
        <v>0</v>
      </c>
      <c r="I437" s="13">
        <f t="shared" si="20"/>
        <v>0</v>
      </c>
      <c r="J437" s="15" t="str">
        <f>IF(ISNUMBER('Sheet2-计算明细'!V74),'Sheet2-计算明细'!V74,IF('Sheet2-计算明细'!V74="","",'Sheet2-计算明细'!V74))</f>
        <v/>
      </c>
      <c r="K437" s="15" t="str">
        <f>IF(ISNUMBER(对照快照!V253),对照快照!V253,IF(对照快照!V253="","",对照快照!V253))</f>
        <v/>
      </c>
      <c r="L437" s="9" t="s">
        <v>1538</v>
      </c>
    </row>
    <row r="438" ht="25" customHeight="1" spans="1:12">
      <c r="A438" s="9" t="s">
        <v>383</v>
      </c>
      <c r="B438" s="9" t="s">
        <v>381</v>
      </c>
      <c r="C438" s="9" t="s">
        <v>1542</v>
      </c>
      <c r="D438" s="12">
        <v>0.25</v>
      </c>
      <c r="E438" s="13">
        <f>IF(ISNUMBER('Sheet2-计算明细'!AC74),'Sheet2-计算明细'!AC74,"")</f>
        <v>56.76</v>
      </c>
      <c r="F438" s="13">
        <f>IF(ISNUMBER(对照快照!AC253),对照快照!AC253,"")</f>
        <v>77.88</v>
      </c>
      <c r="G438" s="13">
        <f t="shared" si="18"/>
        <v>14.19</v>
      </c>
      <c r="H438" s="13">
        <f t="shared" si="19"/>
        <v>19.47</v>
      </c>
      <c r="I438" s="13">
        <f t="shared" si="20"/>
        <v>-5.28</v>
      </c>
      <c r="J438" s="15">
        <f>IF(ISNUMBER('Sheet2-计算明细'!AB74),'Sheet2-计算明细'!AB74,IF('Sheet2-计算明细'!AB74="","",'Sheet2-计算明细'!AB74))</f>
        <v>0.0145304247990815</v>
      </c>
      <c r="K438" s="15">
        <f>IF(ISNUMBER(对照快照!AB253),对照快照!AB253,IF(对照快照!AB253="","",对照快照!AB253))</f>
        <v>0.0145288759191421</v>
      </c>
      <c r="L438" s="9" t="s">
        <v>1540</v>
      </c>
    </row>
    <row r="439" ht="25" customHeight="1" spans="1:12">
      <c r="A439" s="9" t="s">
        <v>383</v>
      </c>
      <c r="B439" s="9" t="s">
        <v>381</v>
      </c>
      <c r="C439" s="9" t="s">
        <v>1543</v>
      </c>
      <c r="D439" s="12">
        <v>0.18</v>
      </c>
      <c r="E439" s="13">
        <f>IF(ISNUMBER('Sheet2-计算明细'!AG74),'Sheet2-计算明细'!AG74,"")</f>
        <v>59.15</v>
      </c>
      <c r="F439" s="13">
        <f>IF(ISNUMBER(对照快照!AG253),对照快照!AG253,"")</f>
        <v>83.28</v>
      </c>
      <c r="G439" s="13">
        <f t="shared" si="18"/>
        <v>10.647</v>
      </c>
      <c r="H439" s="13">
        <f t="shared" si="19"/>
        <v>14.9904</v>
      </c>
      <c r="I439" s="13">
        <f t="shared" si="20"/>
        <v>-4.3434</v>
      </c>
      <c r="J439" s="15">
        <f>IF(ISNUMBER('Sheet2-计算明细'!AD74),'Sheet2-计算明细'!AD74,IF('Sheet2-计算明细'!AD74="","",'Sheet2-计算明细'!AD74))</f>
        <v>10.8875</v>
      </c>
      <c r="K439" s="15">
        <f>IF(ISNUMBER(对照快照!AD253),对照快照!AD253,IF(对照快照!AD253="","",对照快照!AD253))</f>
        <v>11.2741</v>
      </c>
      <c r="L439" s="9" t="s">
        <v>1540</v>
      </c>
    </row>
    <row r="440" ht="25" customHeight="1" spans="1:12">
      <c r="A440" s="9" t="s">
        <v>383</v>
      </c>
      <c r="B440" s="9" t="s">
        <v>381</v>
      </c>
      <c r="C440" s="9" t="s">
        <v>1544</v>
      </c>
      <c r="D440" s="12">
        <v>0.12</v>
      </c>
      <c r="E440" s="13" t="str">
        <f>IF(ISNUMBER('Sheet2-计算明细'!AH74),'Sheet2-计算明细'!AH74,"")</f>
        <v/>
      </c>
      <c r="F440" s="13" t="str">
        <f>IF(ISNUMBER(对照快照!AH253),对照快照!AH253,"")</f>
        <v/>
      </c>
      <c r="G440" s="13">
        <f t="shared" si="18"/>
        <v>0</v>
      </c>
      <c r="H440" s="13">
        <f t="shared" si="19"/>
        <v>0</v>
      </c>
      <c r="I440" s="13">
        <f t="shared" si="20"/>
        <v>0</v>
      </c>
      <c r="J440" s="15" t="str">
        <f>IF(ISNUMBER('Sheet2-计算明细'!AF74),'Sheet2-计算明细'!AF74,IF('Sheet2-计算明细'!AF74="","",'Sheet2-计算明细'!AF74))</f>
        <v/>
      </c>
      <c r="K440" s="15" t="str">
        <f>IF(ISNUMBER(对照快照!AF253),对照快照!AF253,IF(对照快照!AF253="","",对照快照!AF253))</f>
        <v>原表 VALUE 错误</v>
      </c>
      <c r="L440" s="9" t="s">
        <v>1540</v>
      </c>
    </row>
    <row r="441" ht="25" customHeight="1" spans="1:12">
      <c r="A441" s="9" t="s">
        <v>383</v>
      </c>
      <c r="B441" s="9" t="s">
        <v>381</v>
      </c>
      <c r="C441" s="9" t="s">
        <v>574</v>
      </c>
      <c r="D441" s="12">
        <v>0.1</v>
      </c>
      <c r="E441" s="13" t="str">
        <f>IF(ISNUMBER('Sheet2-计算明细'!AK74),'Sheet2-计算明细'!AK74,"")</f>
        <v/>
      </c>
      <c r="F441" s="13" t="str">
        <f>IF(ISNUMBER(对照快照!AK253),对照快照!AK253,"")</f>
        <v/>
      </c>
      <c r="G441" s="13">
        <f t="shared" si="18"/>
        <v>0</v>
      </c>
      <c r="H441" s="13">
        <f t="shared" si="19"/>
        <v>0</v>
      </c>
      <c r="I441" s="13">
        <f t="shared" si="20"/>
        <v>0</v>
      </c>
      <c r="J441" s="15" t="str">
        <f>IF(ISNUMBER('Sheet2-计算明细'!AJ74),'Sheet2-计算明细'!AJ74,IF('Sheet2-计算明细'!AJ74="","",'Sheet2-计算明细'!AJ74))</f>
        <v/>
      </c>
      <c r="K441" s="15" t="str">
        <f>IF(ISNUMBER(对照快照!AJ253),对照快照!AJ253,IF(对照快照!AJ253="","",对照快照!AJ253))</f>
        <v/>
      </c>
      <c r="L441" s="9" t="s">
        <v>1538</v>
      </c>
    </row>
    <row r="442" ht="25" customHeight="1" spans="1:12">
      <c r="A442" s="9" t="s">
        <v>388</v>
      </c>
      <c r="B442" s="9" t="s">
        <v>387</v>
      </c>
      <c r="C442" s="9" t="s">
        <v>538</v>
      </c>
      <c r="D442" s="12">
        <v>0.06</v>
      </c>
      <c r="E442" s="13">
        <f>IF(ISNUMBER('Sheet2-计算明细'!I75),'Sheet2-计算明细'!I75,"")</f>
        <v>60</v>
      </c>
      <c r="F442" s="13">
        <f>IF(ISNUMBER(对照快照!I156),对照快照!I156,"")</f>
        <v>60</v>
      </c>
      <c r="G442" s="13">
        <f t="shared" si="18"/>
        <v>3.6</v>
      </c>
      <c r="H442" s="13">
        <f t="shared" si="19"/>
        <v>3.6</v>
      </c>
      <c r="I442" s="13">
        <f t="shared" si="20"/>
        <v>0</v>
      </c>
      <c r="J442" s="15" t="str">
        <f>IF(ISNUMBER('Sheet2-计算明细'!H75),'Sheet2-计算明细'!H75,IF('Sheet2-计算明细'!H75="","",'Sheet2-计算明细'!H75))</f>
        <v>0-5亿元</v>
      </c>
      <c r="K442" s="15" t="str">
        <f>IF(ISNUMBER(对照快照!H156),对照快照!H156,IF(对照快照!H156="","",对照快照!H156))</f>
        <v>0-5亿元</v>
      </c>
      <c r="L442" s="9" t="s">
        <v>1538</v>
      </c>
    </row>
    <row r="443" ht="25" customHeight="1" spans="1:12">
      <c r="A443" s="9" t="s">
        <v>388</v>
      </c>
      <c r="B443" s="9" t="s">
        <v>387</v>
      </c>
      <c r="C443" s="9" t="s">
        <v>543</v>
      </c>
      <c r="D443" s="12">
        <v>0.045</v>
      </c>
      <c r="E443" s="13">
        <f>IF(ISNUMBER('Sheet2-计算明细'!K75),'Sheet2-计算明细'!K75,"")</f>
        <v>100</v>
      </c>
      <c r="F443" s="13">
        <f>IF(ISNUMBER(对照快照!K156),对照快照!K156,"")</f>
        <v>100</v>
      </c>
      <c r="G443" s="13">
        <f t="shared" si="18"/>
        <v>4.5</v>
      </c>
      <c r="H443" s="13">
        <f t="shared" si="19"/>
        <v>4.5</v>
      </c>
      <c r="I443" s="13">
        <f t="shared" si="20"/>
        <v>0</v>
      </c>
      <c r="J443" s="15" t="str">
        <f>IF(ISNUMBER('Sheet2-计算明细'!J75),'Sheet2-计算明细'!J75,IF('Sheet2-计算明细'!J75="","",'Sheet2-计算明细'!J75))</f>
        <v>无低于1000万元标识</v>
      </c>
      <c r="K443" s="15" t="str">
        <f>IF(ISNUMBER(对照快照!J156),对照快照!J156,IF(对照快照!J156="","",对照快照!J156))</f>
        <v>无低于1000万元标识</v>
      </c>
      <c r="L443" s="9" t="s">
        <v>1538</v>
      </c>
    </row>
    <row r="444" ht="25" customHeight="1" spans="1:12">
      <c r="A444" s="9" t="s">
        <v>388</v>
      </c>
      <c r="B444" s="9" t="s">
        <v>387</v>
      </c>
      <c r="C444" s="9" t="s">
        <v>547</v>
      </c>
      <c r="D444" s="12">
        <v>0.045</v>
      </c>
      <c r="E444" s="13">
        <f>IF(ISNUMBER('Sheet2-计算明细'!L75),'Sheet2-计算明细'!L75,"")</f>
        <v>100</v>
      </c>
      <c r="F444" s="13">
        <f>IF(ISNUMBER(对照快照!L156),对照快照!L156,"")</f>
        <v>100</v>
      </c>
      <c r="G444" s="13">
        <f t="shared" si="18"/>
        <v>4.5</v>
      </c>
      <c r="H444" s="13">
        <f t="shared" si="19"/>
        <v>4.5</v>
      </c>
      <c r="I444" s="13">
        <f t="shared" si="20"/>
        <v>0</v>
      </c>
      <c r="J444" s="15">
        <f>IF(ISNUMBER('Sheet2-计算明细'!F75),'Sheet2-计算明细'!F75,IF('Sheet2-计算明细'!F75="","",'Sheet2-计算明细'!F75))</f>
        <v>3.8111</v>
      </c>
      <c r="K444" s="15">
        <f>IF(ISNUMBER(对照快照!F156),对照快照!F156,IF(对照快照!F156="","",对照快照!F156))</f>
        <v>3.8029</v>
      </c>
      <c r="L444" s="9" t="s">
        <v>1538</v>
      </c>
    </row>
    <row r="445" ht="25" customHeight="1" spans="1:12">
      <c r="A445" s="9" t="s">
        <v>388</v>
      </c>
      <c r="B445" s="9" t="s">
        <v>387</v>
      </c>
      <c r="C445" s="9" t="s">
        <v>1539</v>
      </c>
      <c r="D445" s="12">
        <v>0.084</v>
      </c>
      <c r="E445" s="13">
        <f>IF(ISNUMBER('Sheet2-计算明细'!Q75),'Sheet2-计算明细'!Q75,"")</f>
        <v>86.11</v>
      </c>
      <c r="F445" s="13">
        <f>IF(ISNUMBER(对照快照!Q156),对照快照!Q156,"")</f>
        <v>90.1</v>
      </c>
      <c r="G445" s="13">
        <f t="shared" si="18"/>
        <v>7.23324</v>
      </c>
      <c r="H445" s="13">
        <f t="shared" si="19"/>
        <v>7.5684</v>
      </c>
      <c r="I445" s="13">
        <f t="shared" si="20"/>
        <v>-0.335159999999999</v>
      </c>
      <c r="J445" s="15">
        <f>IF(ISNUMBER('Sheet2-计算明细'!M75),'Sheet2-计算明细'!M75,IF('Sheet2-计算明细'!M75="","",'Sheet2-计算明细'!M75))</f>
        <v>0.204884716237227</v>
      </c>
      <c r="K445" s="15">
        <f>IF(ISNUMBER(对照快照!M156),对照快照!M156,IF(对照快照!M156="","",对照快照!M156))</f>
        <v>0.2192</v>
      </c>
      <c r="L445" s="9" t="s">
        <v>1540</v>
      </c>
    </row>
    <row r="446" ht="25" customHeight="1" spans="1:12">
      <c r="A446" s="9" t="s">
        <v>388</v>
      </c>
      <c r="B446" s="9" t="s">
        <v>387</v>
      </c>
      <c r="C446" s="9" t="s">
        <v>1541</v>
      </c>
      <c r="D446" s="12">
        <v>0.056</v>
      </c>
      <c r="E446" s="13">
        <f>IF(ISNUMBER('Sheet2-计算明细'!R75),'Sheet2-计算明细'!R75,"")</f>
        <v>80.3</v>
      </c>
      <c r="F446" s="13">
        <f>IF(ISNUMBER(对照快照!R156),对照快照!R156,"")</f>
        <v>77.14</v>
      </c>
      <c r="G446" s="13">
        <f t="shared" si="18"/>
        <v>4.4968</v>
      </c>
      <c r="H446" s="13">
        <f t="shared" si="19"/>
        <v>4.31984</v>
      </c>
      <c r="I446" s="13">
        <f t="shared" si="20"/>
        <v>0.17696</v>
      </c>
      <c r="J446" s="15">
        <f>IF(ISNUMBER('Sheet2-计算明细'!P75),'Sheet2-计算明细'!P75,IF('Sheet2-计算明细'!P75="","",'Sheet2-计算明细'!P75))</f>
        <v>0.128280962604109</v>
      </c>
      <c r="K446" s="15">
        <f>IF(ISNUMBER(对照快照!P156),对照快照!P156,IF(对照快照!P156="","",对照快照!P156))</f>
        <v>0.119947817963609</v>
      </c>
      <c r="L446" s="9" t="s">
        <v>1540</v>
      </c>
    </row>
    <row r="447" ht="25" customHeight="1" spans="1:12">
      <c r="A447" s="9" t="s">
        <v>388</v>
      </c>
      <c r="B447" s="9" t="s">
        <v>387</v>
      </c>
      <c r="C447" s="9" t="s">
        <v>690</v>
      </c>
      <c r="D447" s="12">
        <v>0.036</v>
      </c>
      <c r="E447" s="13" t="str">
        <f>IF(ISNUMBER('Sheet2-计算明细'!W75),'Sheet2-计算明细'!W75,"")</f>
        <v/>
      </c>
      <c r="F447" s="13">
        <f>IF(ISNUMBER(对照快照!W156),对照快照!W156,"")</f>
        <v>84.62</v>
      </c>
      <c r="G447" s="13">
        <f t="shared" si="18"/>
        <v>0</v>
      </c>
      <c r="H447" s="13">
        <f t="shared" si="19"/>
        <v>3.04632</v>
      </c>
      <c r="I447" s="13">
        <f t="shared" si="20"/>
        <v>-3.04632</v>
      </c>
      <c r="J447" s="15" t="str">
        <f>IF(ISNUMBER('Sheet2-计算明细'!T75),'Sheet2-计算明细'!T75,IF('Sheet2-计算明细'!T75="","",'Sheet2-计算明细'!T75))</f>
        <v/>
      </c>
      <c r="K447" s="15">
        <f>IF(ISNUMBER(对照快照!T156),对照快照!T156,IF(对照快照!T156="","",对照快照!T156))</f>
        <v>0.8462</v>
      </c>
      <c r="L447" s="9" t="s">
        <v>1538</v>
      </c>
    </row>
    <row r="448" ht="25" customHeight="1" spans="1:12">
      <c r="A448" s="9" t="s">
        <v>388</v>
      </c>
      <c r="B448" s="9" t="s">
        <v>387</v>
      </c>
      <c r="C448" s="9" t="s">
        <v>692</v>
      </c>
      <c r="D448" s="12">
        <v>0.024</v>
      </c>
      <c r="E448" s="13" t="str">
        <f>IF(ISNUMBER('Sheet2-计算明细'!X75),'Sheet2-计算明细'!X75,"")</f>
        <v/>
      </c>
      <c r="F448" s="13">
        <f>IF(ISNUMBER(对照快照!X156),对照快照!X156,"")</f>
        <v>66.6595833333333</v>
      </c>
      <c r="G448" s="13">
        <f t="shared" si="18"/>
        <v>0</v>
      </c>
      <c r="H448" s="13">
        <f t="shared" si="19"/>
        <v>1.59983</v>
      </c>
      <c r="I448" s="13">
        <f t="shared" si="20"/>
        <v>-1.59983</v>
      </c>
      <c r="J448" s="15" t="str">
        <f>IF(ISNUMBER('Sheet2-计算明细'!V75),'Sheet2-计算明细'!V75,IF('Sheet2-计算明细'!V75="","",'Sheet2-计算明细'!V75))</f>
        <v/>
      </c>
      <c r="K448" s="15">
        <f>IF(ISNUMBER(对照快照!V156),对照快照!V156,IF(对照快照!V156="","",对照快照!V156))</f>
        <v>0.666595833333333</v>
      </c>
      <c r="L448" s="9" t="s">
        <v>1538</v>
      </c>
    </row>
    <row r="449" ht="25" customHeight="1" spans="1:12">
      <c r="A449" s="9" t="s">
        <v>388</v>
      </c>
      <c r="B449" s="9" t="s">
        <v>387</v>
      </c>
      <c r="C449" s="9" t="s">
        <v>1542</v>
      </c>
      <c r="D449" s="12">
        <v>0.25</v>
      </c>
      <c r="E449" s="13">
        <f>IF(ISNUMBER('Sheet2-计算明细'!AC75),'Sheet2-计算明细'!AC75,"")</f>
        <v>67.57</v>
      </c>
      <c r="F449" s="13">
        <f>IF(ISNUMBER(对照快照!AC156),对照快照!AC156,"")</f>
        <v>83.33</v>
      </c>
      <c r="G449" s="13">
        <f t="shared" si="18"/>
        <v>16.8925</v>
      </c>
      <c r="H449" s="13">
        <f t="shared" si="19"/>
        <v>20.8325</v>
      </c>
      <c r="I449" s="13">
        <f t="shared" si="20"/>
        <v>-3.94</v>
      </c>
      <c r="J449" s="15">
        <f>IF(ISNUMBER('Sheet2-计算明细'!AB75),'Sheet2-计算明细'!AB75,IF('Sheet2-计算明细'!AB75="","",'Sheet2-计算明细'!AB75))</f>
        <v>0.0108076242876795</v>
      </c>
      <c r="K449" s="15">
        <f>IF(ISNUMBER(对照快照!AB156),对照快照!AB156,IF(对照快照!AB156="","",对照快照!AB156))</f>
        <v>0.0108</v>
      </c>
      <c r="L449" s="9" t="s">
        <v>1540</v>
      </c>
    </row>
    <row r="450" ht="25" customHeight="1" spans="1:12">
      <c r="A450" s="9" t="s">
        <v>388</v>
      </c>
      <c r="B450" s="9" t="s">
        <v>387</v>
      </c>
      <c r="C450" s="9" t="s">
        <v>1543</v>
      </c>
      <c r="D450" s="12">
        <v>0.18</v>
      </c>
      <c r="E450" s="13">
        <f>IF(ISNUMBER('Sheet2-计算明细'!AG75),'Sheet2-计算明细'!AG75,"")</f>
        <v>77.46</v>
      </c>
      <c r="F450" s="13">
        <f>IF(ISNUMBER(对照快照!AG156),对照快照!AG156,"")</f>
        <v>92.6</v>
      </c>
      <c r="G450" s="13">
        <f t="shared" ref="G450:G513" si="21">IF(ISNUMBER(E450),D450*E450,0)</f>
        <v>13.9428</v>
      </c>
      <c r="H450" s="13">
        <f t="shared" ref="H450:H513" si="22">IF(ISNUMBER(F450),D450*F450,0)</f>
        <v>16.668</v>
      </c>
      <c r="I450" s="13">
        <f t="shared" ref="I450:I513" si="23">G450-H450</f>
        <v>-2.7252</v>
      </c>
      <c r="J450" s="15">
        <f>IF(ISNUMBER('Sheet2-计算明细'!AD75),'Sheet2-计算明细'!AD75,IF('Sheet2-计算明细'!AD75="","",'Sheet2-计算明细'!AD75))</f>
        <v>22.1106040011496</v>
      </c>
      <c r="K450" s="15">
        <f>IF(ISNUMBER(对照快照!AD156),对照快照!AD156,IF(对照快照!AD156="","",对照快照!AD156))</f>
        <v>23.6792</v>
      </c>
      <c r="L450" s="9" t="s">
        <v>1540</v>
      </c>
    </row>
    <row r="451" ht="25" customHeight="1" spans="1:12">
      <c r="A451" s="9" t="s">
        <v>388</v>
      </c>
      <c r="B451" s="9" t="s">
        <v>387</v>
      </c>
      <c r="C451" s="9" t="s">
        <v>1544</v>
      </c>
      <c r="D451" s="12">
        <v>0.12</v>
      </c>
      <c r="E451" s="13">
        <f>IF(ISNUMBER('Sheet2-计算明细'!AH75),'Sheet2-计算明细'!AH75,"")</f>
        <v>81.25</v>
      </c>
      <c r="F451" s="13">
        <f>IF(ISNUMBER(对照快照!AH156),对照快照!AH156,"")</f>
        <v>91.49</v>
      </c>
      <c r="G451" s="13">
        <f t="shared" si="21"/>
        <v>9.75</v>
      </c>
      <c r="H451" s="13">
        <f t="shared" si="22"/>
        <v>10.9788</v>
      </c>
      <c r="I451" s="13">
        <f t="shared" si="23"/>
        <v>-1.2288</v>
      </c>
      <c r="J451" s="15">
        <f>IF(ISNUMBER('Sheet2-计算明细'!AF75),'Sheet2-计算明细'!AF75,IF('Sheet2-计算明细'!AF75="","",'Sheet2-计算明细'!AF75))</f>
        <v>11.8694876125873</v>
      </c>
      <c r="K451" s="15">
        <f>IF(ISNUMBER(对照快照!AF156),对照快照!AF156,IF(对照快照!AF156="","",对照快照!AF156))</f>
        <v>11.1062794410749</v>
      </c>
      <c r="L451" s="9" t="s">
        <v>1540</v>
      </c>
    </row>
    <row r="452" ht="25" customHeight="1" spans="1:12">
      <c r="A452" s="9" t="s">
        <v>388</v>
      </c>
      <c r="B452" s="9" t="s">
        <v>387</v>
      </c>
      <c r="C452" s="9" t="s">
        <v>574</v>
      </c>
      <c r="D452" s="12">
        <v>0.1</v>
      </c>
      <c r="E452" s="13">
        <f>IF(ISNUMBER('Sheet2-计算明细'!AK75),'Sheet2-计算明细'!AK75,"")</f>
        <v>100</v>
      </c>
      <c r="F452" s="13">
        <f>IF(ISNUMBER(对照快照!AK156),对照快照!AK156,"")</f>
        <v>100</v>
      </c>
      <c r="G452" s="13">
        <f t="shared" si="21"/>
        <v>10</v>
      </c>
      <c r="H452" s="13">
        <f t="shared" si="22"/>
        <v>10</v>
      </c>
      <c r="I452" s="13">
        <f t="shared" si="23"/>
        <v>0</v>
      </c>
      <c r="J452" s="15">
        <f>IF(ISNUMBER('Sheet2-计算明细'!AJ75),'Sheet2-计算明细'!AJ75,IF('Sheet2-计算明细'!AJ75="","",'Sheet2-计算明细'!AJ75))</f>
        <v>0.153258520854718</v>
      </c>
      <c r="K452" s="15">
        <f>IF(ISNUMBER(对照快照!AJ156),对照快照!AJ156,IF(对照快照!AJ156="","",对照快照!AJ156))</f>
        <v>0.1521</v>
      </c>
      <c r="L452" s="9" t="s">
        <v>1538</v>
      </c>
    </row>
    <row r="453" ht="25" customHeight="1" spans="1:12">
      <c r="A453" s="9" t="s">
        <v>392</v>
      </c>
      <c r="B453" s="9" t="s">
        <v>391</v>
      </c>
      <c r="C453" s="9" t="s">
        <v>538</v>
      </c>
      <c r="D453" s="12">
        <v>0.06</v>
      </c>
      <c r="E453" s="13">
        <f>IF(ISNUMBER('Sheet2-计算明细'!I76),'Sheet2-计算明细'!I76,"")</f>
        <v>80</v>
      </c>
      <c r="F453" s="13">
        <f>IF(ISNUMBER(对照快照!I137),对照快照!I137,"")</f>
        <v>80</v>
      </c>
      <c r="G453" s="13">
        <f t="shared" si="21"/>
        <v>4.8</v>
      </c>
      <c r="H453" s="13">
        <f t="shared" si="22"/>
        <v>4.8</v>
      </c>
      <c r="I453" s="13">
        <f t="shared" si="23"/>
        <v>0</v>
      </c>
      <c r="J453" s="15" t="str">
        <f>IF(ISNUMBER('Sheet2-计算明细'!H76),'Sheet2-计算明细'!H76,IF('Sheet2-计算明细'!H76="","",'Sheet2-计算明细'!H76))</f>
        <v>10-20亿元</v>
      </c>
      <c r="K453" s="15" t="str">
        <f>IF(ISNUMBER(对照快照!H137),对照快照!H137,IF(对照快照!H137="","",对照快照!H137))</f>
        <v>10-20亿元</v>
      </c>
      <c r="L453" s="9" t="s">
        <v>1538</v>
      </c>
    </row>
    <row r="454" ht="25" customHeight="1" spans="1:12">
      <c r="A454" s="9" t="s">
        <v>392</v>
      </c>
      <c r="B454" s="9" t="s">
        <v>391</v>
      </c>
      <c r="C454" s="9" t="s">
        <v>543</v>
      </c>
      <c r="D454" s="12">
        <v>0.045</v>
      </c>
      <c r="E454" s="13">
        <f>IF(ISNUMBER('Sheet2-计算明细'!K76),'Sheet2-计算明细'!K76,"")</f>
        <v>100</v>
      </c>
      <c r="F454" s="13">
        <f>IF(ISNUMBER(对照快照!K137),对照快照!K137,"")</f>
        <v>100</v>
      </c>
      <c r="G454" s="13">
        <f t="shared" si="21"/>
        <v>4.5</v>
      </c>
      <c r="H454" s="13">
        <f t="shared" si="22"/>
        <v>4.5</v>
      </c>
      <c r="I454" s="13">
        <f t="shared" si="23"/>
        <v>0</v>
      </c>
      <c r="J454" s="15" t="str">
        <f>IF(ISNUMBER('Sheet2-计算明细'!J76),'Sheet2-计算明细'!J76,IF('Sheet2-计算明细'!J76="","",'Sheet2-计算明细'!J76))</f>
        <v>无低于1000万元标识</v>
      </c>
      <c r="K454" s="15" t="str">
        <f>IF(ISNUMBER(对照快照!J137),对照快照!J137,IF(对照快照!J137="","",对照快照!J137))</f>
        <v>无低于1000万元标识</v>
      </c>
      <c r="L454" s="9" t="s">
        <v>1538</v>
      </c>
    </row>
    <row r="455" ht="25" customHeight="1" spans="1:12">
      <c r="A455" s="9" t="s">
        <v>392</v>
      </c>
      <c r="B455" s="9" t="s">
        <v>391</v>
      </c>
      <c r="C455" s="9" t="s">
        <v>547</v>
      </c>
      <c r="D455" s="12">
        <v>0.045</v>
      </c>
      <c r="E455" s="13">
        <f>IF(ISNUMBER('Sheet2-计算明细'!L76),'Sheet2-计算明细'!L76,"")</f>
        <v>100</v>
      </c>
      <c r="F455" s="13">
        <f>IF(ISNUMBER(对照快照!L137),对照快照!L137,"")</f>
        <v>100</v>
      </c>
      <c r="G455" s="13">
        <f t="shared" si="21"/>
        <v>4.5</v>
      </c>
      <c r="H455" s="13">
        <f t="shared" si="22"/>
        <v>4.5</v>
      </c>
      <c r="I455" s="13">
        <f t="shared" si="23"/>
        <v>0</v>
      </c>
      <c r="J455" s="15">
        <f>IF(ISNUMBER('Sheet2-计算明细'!F76),'Sheet2-计算明细'!F76,IF('Sheet2-计算明细'!F76="","",'Sheet2-计算明细'!F76))</f>
        <v>7.3648</v>
      </c>
      <c r="K455" s="15">
        <f>IF(ISNUMBER(对照快照!F137),对照快照!F137,IF(对照快照!F137="","",对照快照!F137))</f>
        <v>7.3566</v>
      </c>
      <c r="L455" s="9" t="s">
        <v>1538</v>
      </c>
    </row>
    <row r="456" ht="25" customHeight="1" spans="1:12">
      <c r="A456" s="9" t="s">
        <v>392</v>
      </c>
      <c r="B456" s="9" t="s">
        <v>391</v>
      </c>
      <c r="C456" s="9" t="s">
        <v>1539</v>
      </c>
      <c r="D456" s="12">
        <v>0.084</v>
      </c>
      <c r="E456" s="13">
        <f>IF(ISNUMBER('Sheet2-计算明细'!Q76),'Sheet2-计算明细'!Q76,"")</f>
        <v>57.64</v>
      </c>
      <c r="F456" s="13">
        <f>IF(ISNUMBER(对照快照!Q137),对照快照!Q137,"")</f>
        <v>72.52</v>
      </c>
      <c r="G456" s="13">
        <f t="shared" si="21"/>
        <v>4.84176</v>
      </c>
      <c r="H456" s="13">
        <f t="shared" si="22"/>
        <v>6.09168</v>
      </c>
      <c r="I456" s="13">
        <f t="shared" si="23"/>
        <v>-1.24992</v>
      </c>
      <c r="J456" s="15">
        <f>IF(ISNUMBER('Sheet2-计算明细'!M76),'Sheet2-计算明细'!M76,IF('Sheet2-计算明细'!M76="","",'Sheet2-计算明细'!M76))</f>
        <v>0.0944</v>
      </c>
      <c r="K456" s="15">
        <f>IF(ISNUMBER(对照快照!M137),对照快照!M137,IF(对照快照!M137="","",对照快照!M137))</f>
        <v>0.0973</v>
      </c>
      <c r="L456" s="9" t="s">
        <v>1540</v>
      </c>
    </row>
    <row r="457" ht="25" customHeight="1" spans="1:12">
      <c r="A457" s="9" t="s">
        <v>392</v>
      </c>
      <c r="B457" s="9" t="s">
        <v>391</v>
      </c>
      <c r="C457" s="9" t="s">
        <v>1541</v>
      </c>
      <c r="D457" s="12">
        <v>0.056</v>
      </c>
      <c r="E457" s="13">
        <f>IF(ISNUMBER('Sheet2-计算明细'!R76),'Sheet2-计算明细'!R76,"")</f>
        <v>22.73</v>
      </c>
      <c r="F457" s="13">
        <f>IF(ISNUMBER(对照快照!R137),对照快照!R137,"")</f>
        <v>36.67</v>
      </c>
      <c r="G457" s="13">
        <f t="shared" si="21"/>
        <v>1.27288</v>
      </c>
      <c r="H457" s="13">
        <f t="shared" si="22"/>
        <v>2.05352</v>
      </c>
      <c r="I457" s="13">
        <f t="shared" si="23"/>
        <v>-0.78064</v>
      </c>
      <c r="J457" s="15">
        <f>IF(ISNUMBER('Sheet2-计算明细'!P76),'Sheet2-计算明细'!P76,IF('Sheet2-计算明细'!P76="","",'Sheet2-计算明细'!P76))</f>
        <v>0.0534102273129364</v>
      </c>
      <c r="K457" s="15">
        <f>IF(ISNUMBER(对照快照!P137),对照快照!P137,IF(对照快照!P137="","",对照快照!P137))</f>
        <v>0.0537926933659447</v>
      </c>
      <c r="L457" s="9" t="s">
        <v>1540</v>
      </c>
    </row>
    <row r="458" ht="25" customHeight="1" spans="1:12">
      <c r="A458" s="9" t="s">
        <v>392</v>
      </c>
      <c r="B458" s="9" t="s">
        <v>391</v>
      </c>
      <c r="C458" s="9" t="s">
        <v>690</v>
      </c>
      <c r="D458" s="12">
        <v>0.036</v>
      </c>
      <c r="E458" s="13">
        <f>IF(ISNUMBER('Sheet2-计算明细'!W76),'Sheet2-计算明细'!W76,"")</f>
        <v>100</v>
      </c>
      <c r="F458" s="13">
        <f>IF(ISNUMBER(对照快照!W137),对照快照!W137,"")</f>
        <v>100</v>
      </c>
      <c r="G458" s="13">
        <f t="shared" si="21"/>
        <v>3.6</v>
      </c>
      <c r="H458" s="13">
        <f t="shared" si="22"/>
        <v>3.6</v>
      </c>
      <c r="I458" s="13">
        <f t="shared" si="23"/>
        <v>0</v>
      </c>
      <c r="J458" s="15">
        <f>IF(ISNUMBER('Sheet2-计算明细'!T76),'Sheet2-计算明细'!T76,IF('Sheet2-计算明细'!T76="","",'Sheet2-计算明细'!T76))</f>
        <v>1</v>
      </c>
      <c r="K458" s="15">
        <f>IF(ISNUMBER(对照快照!T137),对照快照!T137,IF(对照快照!T137="","",对照快照!T137))</f>
        <v>1</v>
      </c>
      <c r="L458" s="9" t="s">
        <v>1538</v>
      </c>
    </row>
    <row r="459" ht="25" customHeight="1" spans="1:12">
      <c r="A459" s="9" t="s">
        <v>392</v>
      </c>
      <c r="B459" s="9" t="s">
        <v>391</v>
      </c>
      <c r="C459" s="9" t="s">
        <v>692</v>
      </c>
      <c r="D459" s="12">
        <v>0.024</v>
      </c>
      <c r="E459" s="13">
        <f>IF(ISNUMBER('Sheet2-计算明细'!X76),'Sheet2-计算明细'!X76,"")</f>
        <v>70.8316666666667</v>
      </c>
      <c r="F459" s="13">
        <f>IF(ISNUMBER(对照快照!X137),对照快照!X137,"")</f>
        <v>70.03</v>
      </c>
      <c r="G459" s="13">
        <f t="shared" si="21"/>
        <v>1.69996</v>
      </c>
      <c r="H459" s="13">
        <f t="shared" si="22"/>
        <v>1.68072</v>
      </c>
      <c r="I459" s="13">
        <f t="shared" si="23"/>
        <v>0.0192399999999999</v>
      </c>
      <c r="J459" s="15">
        <f>IF(ISNUMBER('Sheet2-计算明细'!V76),'Sheet2-计算明细'!V76,IF('Sheet2-计算明细'!V76="","",'Sheet2-计算明细'!V76))</f>
        <v>0.708316666666667</v>
      </c>
      <c r="K459" s="15">
        <f>IF(ISNUMBER(对照快照!V137),对照快照!V137,IF(对照快照!V137="","",对照快照!V137))</f>
        <v>0.7003</v>
      </c>
      <c r="L459" s="9" t="s">
        <v>1538</v>
      </c>
    </row>
    <row r="460" ht="25" customHeight="1" spans="1:12">
      <c r="A460" s="9" t="s">
        <v>392</v>
      </c>
      <c r="B460" s="9" t="s">
        <v>391</v>
      </c>
      <c r="C460" s="9" t="s">
        <v>1542</v>
      </c>
      <c r="D460" s="12">
        <v>0.25</v>
      </c>
      <c r="E460" s="13">
        <f>IF(ISNUMBER('Sheet2-计算明细'!AC76),'Sheet2-计算明细'!AC76,"")</f>
        <v>17.57</v>
      </c>
      <c r="F460" s="13">
        <f>IF(ISNUMBER(对照快照!AC137),对照快照!AC137,"")</f>
        <v>44.55</v>
      </c>
      <c r="G460" s="13">
        <f t="shared" si="21"/>
        <v>4.3925</v>
      </c>
      <c r="H460" s="13">
        <f t="shared" si="22"/>
        <v>11.1375</v>
      </c>
      <c r="I460" s="13">
        <f t="shared" si="23"/>
        <v>-6.745</v>
      </c>
      <c r="J460" s="15">
        <f>IF(ISNUMBER('Sheet2-计算明细'!AB76),'Sheet2-计算明细'!AB76,IF('Sheet2-计算明细'!AB76="","",'Sheet2-计算明细'!AB76))</f>
        <v>0.0502</v>
      </c>
      <c r="K460" s="15">
        <f>IF(ISNUMBER(对照快照!AB137),对照快照!AB137,IF(对照快照!AB137="","",对照快照!AB137))</f>
        <v>0.0502</v>
      </c>
      <c r="L460" s="9" t="s">
        <v>1540</v>
      </c>
    </row>
    <row r="461" ht="25" customHeight="1" spans="1:12">
      <c r="A461" s="9" t="s">
        <v>392</v>
      </c>
      <c r="B461" s="9" t="s">
        <v>391</v>
      </c>
      <c r="C461" s="9" t="s">
        <v>1543</v>
      </c>
      <c r="D461" s="12">
        <v>0.18</v>
      </c>
      <c r="E461" s="13">
        <f>IF(ISNUMBER('Sheet2-计算明细'!AG76),'Sheet2-计算明细'!AG76,"")</f>
        <v>56.34</v>
      </c>
      <c r="F461" s="13">
        <f>IF(ISNUMBER(对照快照!AG137),对照快照!AG137,"")</f>
        <v>82.64</v>
      </c>
      <c r="G461" s="13">
        <f t="shared" si="21"/>
        <v>10.1412</v>
      </c>
      <c r="H461" s="13">
        <f t="shared" si="22"/>
        <v>14.8752</v>
      </c>
      <c r="I461" s="13">
        <f t="shared" si="23"/>
        <v>-4.734</v>
      </c>
      <c r="J461" s="15">
        <f>IF(ISNUMBER('Sheet2-计算明细'!AD76),'Sheet2-计算明细'!AD76,IF('Sheet2-计算明细'!AD76="","",'Sheet2-计算明细'!AD76))</f>
        <v>10.8113</v>
      </c>
      <c r="K461" s="15">
        <f>IF(ISNUMBER(对照快照!AD137),对照快照!AD137,IF(对照快照!AD137="","",对照快照!AD137))</f>
        <v>11.1456</v>
      </c>
      <c r="L461" s="9" t="s">
        <v>1540</v>
      </c>
    </row>
    <row r="462" ht="25" customHeight="1" spans="1:12">
      <c r="A462" s="9" t="s">
        <v>392</v>
      </c>
      <c r="B462" s="9" t="s">
        <v>391</v>
      </c>
      <c r="C462" s="9" t="s">
        <v>1544</v>
      </c>
      <c r="D462" s="12">
        <v>0.12</v>
      </c>
      <c r="E462" s="13">
        <f>IF(ISNUMBER('Sheet2-计算明细'!AH76),'Sheet2-计算明细'!AH76,"")</f>
        <v>9.38</v>
      </c>
      <c r="F462" s="13">
        <f>IF(ISNUMBER(对照快照!AH137),对照快照!AH137,"")</f>
        <v>39.01</v>
      </c>
      <c r="G462" s="13">
        <f t="shared" si="21"/>
        <v>1.1256</v>
      </c>
      <c r="H462" s="13">
        <f t="shared" si="22"/>
        <v>4.6812</v>
      </c>
      <c r="I462" s="13">
        <f t="shared" si="23"/>
        <v>-3.5556</v>
      </c>
      <c r="J462" s="15">
        <f>IF(ISNUMBER('Sheet2-计算明细'!AF76),'Sheet2-计算明细'!AF76,IF('Sheet2-计算明细'!AF76="","",'Sheet2-计算明细'!AF76))</f>
        <v>1.06394875125371</v>
      </c>
      <c r="K462" s="15">
        <f>IF(ISNUMBER(对照快照!AF137),对照快照!AF137,IF(对照快照!AF137="","",对照快照!AF137))</f>
        <v>1.07156759693117</v>
      </c>
      <c r="L462" s="9" t="s">
        <v>1540</v>
      </c>
    </row>
    <row r="463" ht="25" customHeight="1" spans="1:12">
      <c r="A463" s="9" t="s">
        <v>392</v>
      </c>
      <c r="B463" s="9" t="s">
        <v>391</v>
      </c>
      <c r="C463" s="9" t="s">
        <v>574</v>
      </c>
      <c r="D463" s="12">
        <v>0.1</v>
      </c>
      <c r="E463" s="13">
        <f>IF(ISNUMBER('Sheet2-计算明细'!AK76),'Sheet2-计算明细'!AK76,"")</f>
        <v>100</v>
      </c>
      <c r="F463" s="13">
        <f>IF(ISNUMBER(对照快照!AK137),对照快照!AK137,"")</f>
        <v>100</v>
      </c>
      <c r="G463" s="13">
        <f t="shared" si="21"/>
        <v>10</v>
      </c>
      <c r="H463" s="13">
        <f t="shared" si="22"/>
        <v>10</v>
      </c>
      <c r="I463" s="13">
        <f t="shared" si="23"/>
        <v>0</v>
      </c>
      <c r="J463" s="15">
        <f>IF(ISNUMBER('Sheet2-计算明细'!AJ76),'Sheet2-计算明细'!AJ76,IF('Sheet2-计算明细'!AJ76="","",'Sheet2-计算明细'!AJ76))</f>
        <v>0.0669</v>
      </c>
      <c r="K463" s="15">
        <f>IF(ISNUMBER(对照快照!AJ137),对照快照!AJ137,IF(对照快照!AJ137="","",对照快照!AJ137))</f>
        <v>0.0681</v>
      </c>
      <c r="L463" s="9" t="s">
        <v>1538</v>
      </c>
    </row>
    <row r="464" ht="25" customHeight="1" spans="1:12">
      <c r="A464" s="9" t="s">
        <v>397</v>
      </c>
      <c r="B464" s="9" t="s">
        <v>396</v>
      </c>
      <c r="C464" s="9" t="s">
        <v>538</v>
      </c>
      <c r="D464" s="12">
        <v>0.06</v>
      </c>
      <c r="E464" s="13">
        <f>IF(ISNUMBER('Sheet2-计算明细'!I77),'Sheet2-计算明细'!I77,"")</f>
        <v>80</v>
      </c>
      <c r="F464" s="13">
        <f>IF(ISNUMBER(对照快照!I229),对照快照!I229,"")</f>
        <v>80</v>
      </c>
      <c r="G464" s="13">
        <f t="shared" si="21"/>
        <v>4.8</v>
      </c>
      <c r="H464" s="13">
        <f t="shared" si="22"/>
        <v>4.8</v>
      </c>
      <c r="I464" s="13">
        <f t="shared" si="23"/>
        <v>0</v>
      </c>
      <c r="J464" s="15" t="str">
        <f>IF(ISNUMBER('Sheet2-计算明细'!H77),'Sheet2-计算明细'!H77,IF('Sheet2-计算明细'!H77="","",'Sheet2-计算明细'!H77))</f>
        <v>10-20亿元</v>
      </c>
      <c r="K464" s="15" t="str">
        <f>IF(ISNUMBER(对照快照!H229),对照快照!H229,IF(对照快照!H229="","",对照快照!H229))</f>
        <v>10-20亿元</v>
      </c>
      <c r="L464" s="9" t="s">
        <v>1538</v>
      </c>
    </row>
    <row r="465" ht="25" customHeight="1" spans="1:12">
      <c r="A465" s="9" t="s">
        <v>397</v>
      </c>
      <c r="B465" s="9" t="s">
        <v>396</v>
      </c>
      <c r="C465" s="9" t="s">
        <v>543</v>
      </c>
      <c r="D465" s="12">
        <v>0.045</v>
      </c>
      <c r="E465" s="13">
        <f>IF(ISNUMBER('Sheet2-计算明细'!K77),'Sheet2-计算明细'!K77,"")</f>
        <v>100</v>
      </c>
      <c r="F465" s="13">
        <f>IF(ISNUMBER(对照快照!K229),对照快照!K229,"")</f>
        <v>100</v>
      </c>
      <c r="G465" s="13">
        <f t="shared" si="21"/>
        <v>4.5</v>
      </c>
      <c r="H465" s="13">
        <f t="shared" si="22"/>
        <v>4.5</v>
      </c>
      <c r="I465" s="13">
        <f t="shared" si="23"/>
        <v>0</v>
      </c>
      <c r="J465" s="15" t="str">
        <f>IF(ISNUMBER('Sheet2-计算明细'!J77),'Sheet2-计算明细'!J77,IF('Sheet2-计算明细'!J77="","",'Sheet2-计算明细'!J77))</f>
        <v>无低于1000万元标识</v>
      </c>
      <c r="K465" s="15" t="str">
        <f>IF(ISNUMBER(对照快照!J229),对照快照!J229,IF(对照快照!J229="","",对照快照!J229))</f>
        <v>无低于1000万元标识</v>
      </c>
      <c r="L465" s="9" t="s">
        <v>1538</v>
      </c>
    </row>
    <row r="466" ht="25" customHeight="1" spans="1:12">
      <c r="A466" s="9" t="s">
        <v>397</v>
      </c>
      <c r="B466" s="9" t="s">
        <v>396</v>
      </c>
      <c r="C466" s="9" t="s">
        <v>547</v>
      </c>
      <c r="D466" s="12">
        <v>0.045</v>
      </c>
      <c r="E466" s="13">
        <f>IF(ISNUMBER('Sheet2-计算明细'!L77),'Sheet2-计算明细'!L77,"")</f>
        <v>100</v>
      </c>
      <c r="F466" s="13">
        <f>IF(ISNUMBER(对照快照!L229),对照快照!L229,"")</f>
        <v>100</v>
      </c>
      <c r="G466" s="13">
        <f t="shared" si="21"/>
        <v>4.5</v>
      </c>
      <c r="H466" s="13">
        <f t="shared" si="22"/>
        <v>4.5</v>
      </c>
      <c r="I466" s="13">
        <f t="shared" si="23"/>
        <v>0</v>
      </c>
      <c r="J466" s="15">
        <f>IF(ISNUMBER('Sheet2-计算明细'!F77),'Sheet2-计算明细'!F77,IF('Sheet2-计算明细'!F77="","",'Sheet2-计算明细'!F77))</f>
        <v>3.8549</v>
      </c>
      <c r="K466" s="15">
        <f>IF(ISNUMBER(对照快照!F229),对照快照!F229,IF(对照快照!F229="","",对照快照!F229))</f>
        <v>3.8467</v>
      </c>
      <c r="L466" s="9" t="s">
        <v>1538</v>
      </c>
    </row>
    <row r="467" ht="25" customHeight="1" spans="1:12">
      <c r="A467" s="9" t="s">
        <v>397</v>
      </c>
      <c r="B467" s="9" t="s">
        <v>396</v>
      </c>
      <c r="C467" s="9" t="s">
        <v>1539</v>
      </c>
      <c r="D467" s="12">
        <v>0.084</v>
      </c>
      <c r="E467" s="13">
        <f>IF(ISNUMBER('Sheet2-计算明细'!Q77),'Sheet2-计算明细'!Q77,"")</f>
        <v>38.89</v>
      </c>
      <c r="F467" s="13">
        <f>IF(ISNUMBER(对照快照!Q229),对照快照!Q229,"")</f>
        <v>59.58</v>
      </c>
      <c r="G467" s="13">
        <f t="shared" si="21"/>
        <v>3.26676</v>
      </c>
      <c r="H467" s="13">
        <f t="shared" si="22"/>
        <v>5.00472</v>
      </c>
      <c r="I467" s="13">
        <f t="shared" si="23"/>
        <v>-1.73796</v>
      </c>
      <c r="J467" s="15">
        <f>IF(ISNUMBER('Sheet2-计算明细'!M77),'Sheet2-计算明细'!M77,IF('Sheet2-计算明细'!M77="","",'Sheet2-计算明细'!M77))</f>
        <v>0.0779</v>
      </c>
      <c r="K467" s="15">
        <f>IF(ISNUMBER(对照快照!M229),对照快照!M229,IF(对照快照!M229="","",对照快照!M229))</f>
        <v>0.0782</v>
      </c>
      <c r="L467" s="9" t="s">
        <v>1540</v>
      </c>
    </row>
    <row r="468" ht="25" customHeight="1" spans="1:12">
      <c r="A468" s="9" t="s">
        <v>397</v>
      </c>
      <c r="B468" s="9" t="s">
        <v>396</v>
      </c>
      <c r="C468" s="9" t="s">
        <v>1541</v>
      </c>
      <c r="D468" s="12">
        <v>0.056</v>
      </c>
      <c r="E468" s="13">
        <f>IF(ISNUMBER('Sheet2-计算明细'!R77),'Sheet2-计算明细'!R77,"")</f>
        <v>28.79</v>
      </c>
      <c r="F468" s="13">
        <f>IF(ISNUMBER(对照快照!R229),对照快照!R229,"")</f>
        <v>51.43</v>
      </c>
      <c r="G468" s="13">
        <f t="shared" si="21"/>
        <v>1.61224</v>
      </c>
      <c r="H468" s="13">
        <f t="shared" si="22"/>
        <v>2.88008</v>
      </c>
      <c r="I468" s="13">
        <f t="shared" si="23"/>
        <v>-1.26784</v>
      </c>
      <c r="J468" s="15">
        <f>IF(ISNUMBER('Sheet2-计算明细'!P77),'Sheet2-计算明细'!P77,IF('Sheet2-计算明细'!P77="","",'Sheet2-计算明细'!P77))</f>
        <v>0.0587571130384437</v>
      </c>
      <c r="K468" s="15">
        <f>IF(ISNUMBER(对照快照!P229),对照快照!P229,IF(对照快照!P229="","",对照快照!P229))</f>
        <v>0.0705590534715728</v>
      </c>
      <c r="L468" s="9" t="s">
        <v>1540</v>
      </c>
    </row>
    <row r="469" ht="25" customHeight="1" spans="1:12">
      <c r="A469" s="9" t="s">
        <v>397</v>
      </c>
      <c r="B469" s="9" t="s">
        <v>396</v>
      </c>
      <c r="C469" s="9" t="s">
        <v>690</v>
      </c>
      <c r="D469" s="12">
        <v>0.036</v>
      </c>
      <c r="E469" s="13">
        <f>IF(ISNUMBER('Sheet2-计算明细'!W77),'Sheet2-计算明细'!W77,"")</f>
        <v>76.92</v>
      </c>
      <c r="F469" s="13">
        <f>IF(ISNUMBER(对照快照!W229),对照快照!W229,"")</f>
        <v>76.92</v>
      </c>
      <c r="G469" s="13">
        <f t="shared" si="21"/>
        <v>2.76912</v>
      </c>
      <c r="H469" s="13">
        <f t="shared" si="22"/>
        <v>2.76912</v>
      </c>
      <c r="I469" s="13">
        <f t="shared" si="23"/>
        <v>0</v>
      </c>
      <c r="J469" s="15">
        <f>IF(ISNUMBER('Sheet2-计算明细'!T77),'Sheet2-计算明细'!T77,IF('Sheet2-计算明细'!T77="","",'Sheet2-计算明细'!T77))</f>
        <v>0.7692</v>
      </c>
      <c r="K469" s="15">
        <f>IF(ISNUMBER(对照快照!T229),对照快照!T229,IF(对照快照!T229="","",对照快照!T229))</f>
        <v>0.7692</v>
      </c>
      <c r="L469" s="9" t="s">
        <v>1538</v>
      </c>
    </row>
    <row r="470" ht="25" customHeight="1" spans="1:12">
      <c r="A470" s="9" t="s">
        <v>397</v>
      </c>
      <c r="B470" s="9" t="s">
        <v>396</v>
      </c>
      <c r="C470" s="9" t="s">
        <v>692</v>
      </c>
      <c r="D470" s="12">
        <v>0.024</v>
      </c>
      <c r="E470" s="13">
        <f>IF(ISNUMBER('Sheet2-计算明细'!X77),'Sheet2-计算明细'!X77,"")</f>
        <v>83.3333333333333</v>
      </c>
      <c r="F470" s="13">
        <f>IF(ISNUMBER(对照快照!X229),对照快照!X229,"")</f>
        <v>82.5316666666667</v>
      </c>
      <c r="G470" s="13">
        <f t="shared" si="21"/>
        <v>2</v>
      </c>
      <c r="H470" s="13">
        <f t="shared" si="22"/>
        <v>1.98076</v>
      </c>
      <c r="I470" s="13">
        <f t="shared" si="23"/>
        <v>0.0192399999999997</v>
      </c>
      <c r="J470" s="15">
        <f>IF(ISNUMBER('Sheet2-计算明细'!V77),'Sheet2-计算明细'!V77,IF('Sheet2-计算明细'!V77="","",'Sheet2-计算明细'!V77))</f>
        <v>0.833333333333333</v>
      </c>
      <c r="K470" s="15">
        <f>IF(ISNUMBER(对照快照!V229),对照快照!V229,IF(对照快照!V229="","",对照快照!V229))</f>
        <v>0.825316666666667</v>
      </c>
      <c r="L470" s="9" t="s">
        <v>1538</v>
      </c>
    </row>
    <row r="471" ht="25" customHeight="1" spans="1:12">
      <c r="A471" s="9" t="s">
        <v>397</v>
      </c>
      <c r="B471" s="9" t="s">
        <v>396</v>
      </c>
      <c r="C471" s="9" t="s">
        <v>1542</v>
      </c>
      <c r="D471" s="12">
        <v>0.25</v>
      </c>
      <c r="E471" s="13">
        <f>IF(ISNUMBER('Sheet2-计算明细'!AC77),'Sheet2-计算明细'!AC77,"")</f>
        <v>55.41</v>
      </c>
      <c r="F471" s="13">
        <f>IF(ISNUMBER(对照快照!AC229),对照快照!AC229,"")</f>
        <v>74.04</v>
      </c>
      <c r="G471" s="13">
        <f t="shared" si="21"/>
        <v>13.8525</v>
      </c>
      <c r="H471" s="13">
        <f t="shared" si="22"/>
        <v>18.51</v>
      </c>
      <c r="I471" s="13">
        <f t="shared" si="23"/>
        <v>-4.6575</v>
      </c>
      <c r="J471" s="15">
        <f>IF(ISNUMBER('Sheet2-计算明细'!AB77),'Sheet2-计算明细'!AB77,IF('Sheet2-计算明细'!AB77="","",'Sheet2-计算明细'!AB77))</f>
        <v>0.0169384648836704</v>
      </c>
      <c r="K471" s="15">
        <f>IF(ISNUMBER(对照快照!AB229),对照快照!AB229,IF(对照快照!AB229="","",对照快照!AB229))</f>
        <v>0.0169432768557438</v>
      </c>
      <c r="L471" s="9" t="s">
        <v>1540</v>
      </c>
    </row>
    <row r="472" ht="25" customHeight="1" spans="1:12">
      <c r="A472" s="9" t="s">
        <v>397</v>
      </c>
      <c r="B472" s="9" t="s">
        <v>396</v>
      </c>
      <c r="C472" s="9" t="s">
        <v>1543</v>
      </c>
      <c r="D472" s="12">
        <v>0.18</v>
      </c>
      <c r="E472" s="13">
        <f>IF(ISNUMBER('Sheet2-计算明细'!AG77),'Sheet2-计算明细'!AG77,"")</f>
        <v>30.99</v>
      </c>
      <c r="F472" s="13">
        <f>IF(ISNUMBER(对照快照!AG229),对照快照!AG229,"")</f>
        <v>63.34</v>
      </c>
      <c r="G472" s="13">
        <f t="shared" si="21"/>
        <v>5.5782</v>
      </c>
      <c r="H472" s="13">
        <f t="shared" si="22"/>
        <v>11.4012</v>
      </c>
      <c r="I472" s="13">
        <f t="shared" si="23"/>
        <v>-5.823</v>
      </c>
      <c r="J472" s="15">
        <f>IF(ISNUMBER('Sheet2-计算明细'!AD77),'Sheet2-计算明细'!AD77,IF('Sheet2-计算明细'!AD77="","",'Sheet2-计算明细'!AD77))</f>
        <v>4.599</v>
      </c>
      <c r="K472" s="15">
        <f>IF(ISNUMBER(对照快照!AD229),对照快照!AD229,IF(对照快照!AD229="","",对照快照!AD229))</f>
        <v>4.6154</v>
      </c>
      <c r="L472" s="9" t="s">
        <v>1540</v>
      </c>
    </row>
    <row r="473" ht="25" customHeight="1" spans="1:12">
      <c r="A473" s="9" t="s">
        <v>397</v>
      </c>
      <c r="B473" s="9" t="s">
        <v>396</v>
      </c>
      <c r="C473" s="9" t="s">
        <v>1544</v>
      </c>
      <c r="D473" s="12">
        <v>0.12</v>
      </c>
      <c r="E473" s="13" t="str">
        <f>IF(ISNUMBER('Sheet2-计算明细'!AH77),'Sheet2-计算明细'!AH77,"")</f>
        <v/>
      </c>
      <c r="F473" s="13" t="str">
        <f>IF(ISNUMBER(对照快照!AH229),对照快照!AH229,"")</f>
        <v/>
      </c>
      <c r="G473" s="13">
        <f t="shared" si="21"/>
        <v>0</v>
      </c>
      <c r="H473" s="13">
        <f t="shared" si="22"/>
        <v>0</v>
      </c>
      <c r="I473" s="13">
        <f t="shared" si="23"/>
        <v>0</v>
      </c>
      <c r="J473" s="15" t="str">
        <f>IF(ISNUMBER('Sheet2-计算明细'!AF77),'Sheet2-计算明细'!AF77,IF('Sheet2-计算明细'!AF77="","",'Sheet2-计算明细'!AF77))</f>
        <v/>
      </c>
      <c r="K473" s="15" t="str">
        <f>IF(ISNUMBER(对照快照!AF229),对照快照!AF229,IF(对照快照!AF229="","",对照快照!AF229))</f>
        <v/>
      </c>
      <c r="L473" s="9" t="s">
        <v>1540</v>
      </c>
    </row>
    <row r="474" ht="25" customHeight="1" spans="1:12">
      <c r="A474" s="9" t="s">
        <v>397</v>
      </c>
      <c r="B474" s="9" t="s">
        <v>396</v>
      </c>
      <c r="C474" s="9" t="s">
        <v>574</v>
      </c>
      <c r="D474" s="12">
        <v>0.1</v>
      </c>
      <c r="E474" s="13">
        <f>IF(ISNUMBER('Sheet2-计算明细'!AK77),'Sheet2-计算明细'!AK77,"")</f>
        <v>100</v>
      </c>
      <c r="F474" s="13">
        <f>IF(ISNUMBER(对照快照!AK229),对照快照!AK229,"")</f>
        <v>100</v>
      </c>
      <c r="G474" s="13">
        <f t="shared" si="21"/>
        <v>10</v>
      </c>
      <c r="H474" s="13">
        <f t="shared" si="22"/>
        <v>10</v>
      </c>
      <c r="I474" s="13">
        <f t="shared" si="23"/>
        <v>0</v>
      </c>
      <c r="J474" s="15">
        <f>IF(ISNUMBER('Sheet2-计算明细'!AJ77),'Sheet2-计算明细'!AJ77,IF('Sheet2-计算明细'!AJ77="","",'Sheet2-计算明细'!AJ77))</f>
        <v>0.0651</v>
      </c>
      <c r="K474" s="15">
        <f>IF(ISNUMBER(对照快照!AJ229),对照快照!AJ229,IF(对照快照!AJ229="","",对照快照!AJ229))</f>
        <v>0.0731</v>
      </c>
      <c r="L474" s="9" t="s">
        <v>1538</v>
      </c>
    </row>
    <row r="475" ht="25" customHeight="1" spans="1:12">
      <c r="A475" s="9" t="s">
        <v>401</v>
      </c>
      <c r="B475" s="9" t="s">
        <v>400</v>
      </c>
      <c r="C475" s="9" t="s">
        <v>538</v>
      </c>
      <c r="D475" s="12">
        <v>0.06</v>
      </c>
      <c r="E475" s="13">
        <f>IF(ISNUMBER('Sheet2-计算明细'!I78),'Sheet2-计算明细'!I78,"")</f>
        <v>80</v>
      </c>
      <c r="F475" s="13">
        <f>IF(ISNUMBER(对照快照!I234),对照快照!I234,"")</f>
        <v>80</v>
      </c>
      <c r="G475" s="13">
        <f t="shared" si="21"/>
        <v>4.8</v>
      </c>
      <c r="H475" s="13">
        <f t="shared" si="22"/>
        <v>4.8</v>
      </c>
      <c r="I475" s="13">
        <f t="shared" si="23"/>
        <v>0</v>
      </c>
      <c r="J475" s="15" t="str">
        <f>IF(ISNUMBER('Sheet2-计算明细'!H78),'Sheet2-计算明细'!H78,IF('Sheet2-计算明细'!H78="","",'Sheet2-计算明细'!H78))</f>
        <v>10-20亿元</v>
      </c>
      <c r="K475" s="15" t="str">
        <f>IF(ISNUMBER(对照快照!H234),对照快照!H234,IF(对照快照!H234="","",对照快照!H234))</f>
        <v>10-20亿元</v>
      </c>
      <c r="L475" s="9" t="s">
        <v>1538</v>
      </c>
    </row>
    <row r="476" ht="25" customHeight="1" spans="1:12">
      <c r="A476" s="9" t="s">
        <v>401</v>
      </c>
      <c r="B476" s="9" t="s">
        <v>400</v>
      </c>
      <c r="C476" s="9" t="s">
        <v>543</v>
      </c>
      <c r="D476" s="12">
        <v>0.045</v>
      </c>
      <c r="E476" s="13">
        <f>IF(ISNUMBER('Sheet2-计算明细'!K78),'Sheet2-计算明细'!K78,"")</f>
        <v>100</v>
      </c>
      <c r="F476" s="13">
        <f>IF(ISNUMBER(对照快照!K234),对照快照!K234,"")</f>
        <v>100</v>
      </c>
      <c r="G476" s="13">
        <f t="shared" si="21"/>
        <v>4.5</v>
      </c>
      <c r="H476" s="13">
        <f t="shared" si="22"/>
        <v>4.5</v>
      </c>
      <c r="I476" s="13">
        <f t="shared" si="23"/>
        <v>0</v>
      </c>
      <c r="J476" s="15" t="str">
        <f>IF(ISNUMBER('Sheet2-计算明细'!J78),'Sheet2-计算明细'!J78,IF('Sheet2-计算明细'!J78="","",'Sheet2-计算明细'!J78))</f>
        <v>无低于1000万元标识</v>
      </c>
      <c r="K476" s="15" t="str">
        <f>IF(ISNUMBER(对照快照!J234),对照快照!J234,IF(对照快照!J234="","",对照快照!J234))</f>
        <v>无低于1000万元标识</v>
      </c>
      <c r="L476" s="9" t="s">
        <v>1538</v>
      </c>
    </row>
    <row r="477" ht="25" customHeight="1" spans="1:12">
      <c r="A477" s="9" t="s">
        <v>401</v>
      </c>
      <c r="B477" s="9" t="s">
        <v>400</v>
      </c>
      <c r="C477" s="9" t="s">
        <v>547</v>
      </c>
      <c r="D477" s="12">
        <v>0.045</v>
      </c>
      <c r="E477" s="13">
        <f>IF(ISNUMBER('Sheet2-计算明细'!L78),'Sheet2-计算明细'!L78,"")</f>
        <v>100</v>
      </c>
      <c r="F477" s="13">
        <f>IF(ISNUMBER(对照快照!L234),对照快照!L234,"")</f>
        <v>100</v>
      </c>
      <c r="G477" s="13">
        <f t="shared" si="21"/>
        <v>4.5</v>
      </c>
      <c r="H477" s="13">
        <f t="shared" si="22"/>
        <v>4.5</v>
      </c>
      <c r="I477" s="13">
        <f t="shared" si="23"/>
        <v>0</v>
      </c>
      <c r="J477" s="15">
        <f>IF(ISNUMBER('Sheet2-计算明细'!F78),'Sheet2-计算明细'!F78,IF('Sheet2-计算明细'!F78="","",'Sheet2-计算明细'!F78))</f>
        <v>3.781</v>
      </c>
      <c r="K477" s="15">
        <f>IF(ISNUMBER(对照快照!F234),对照快照!F234,IF(对照快照!F234="","",对照快照!F234))</f>
        <v>3.7728</v>
      </c>
      <c r="L477" s="9" t="s">
        <v>1538</v>
      </c>
    </row>
    <row r="478" ht="25" customHeight="1" spans="1:12">
      <c r="A478" s="9" t="s">
        <v>401</v>
      </c>
      <c r="B478" s="9" t="s">
        <v>400</v>
      </c>
      <c r="C478" s="9" t="s">
        <v>1539</v>
      </c>
      <c r="D478" s="12">
        <v>0.084</v>
      </c>
      <c r="E478" s="13">
        <f>IF(ISNUMBER('Sheet2-计算明细'!Q78),'Sheet2-计算明细'!Q78,"")</f>
        <v>31.94</v>
      </c>
      <c r="F478" s="13">
        <f>IF(ISNUMBER(对照快照!Q234),对照快照!Q234,"")</f>
        <v>56.55</v>
      </c>
      <c r="G478" s="13">
        <f t="shared" si="21"/>
        <v>2.68296</v>
      </c>
      <c r="H478" s="13">
        <f t="shared" si="22"/>
        <v>4.7502</v>
      </c>
      <c r="I478" s="13">
        <f t="shared" si="23"/>
        <v>-2.06724</v>
      </c>
      <c r="J478" s="15">
        <f>IF(ISNUMBER('Sheet2-计算明细'!M78),'Sheet2-计算明细'!M78,IF('Sheet2-计算明细'!M78="","",'Sheet2-计算明细'!M78))</f>
        <v>0.0715</v>
      </c>
      <c r="K478" s="15">
        <f>IF(ISNUMBER(对照快照!M234),对照快照!M234,IF(对照快照!M234="","",对照快照!M234))</f>
        <v>0.0733</v>
      </c>
      <c r="L478" s="9" t="s">
        <v>1540</v>
      </c>
    </row>
    <row r="479" ht="25" customHeight="1" spans="1:12">
      <c r="A479" s="9" t="s">
        <v>401</v>
      </c>
      <c r="B479" s="9" t="s">
        <v>400</v>
      </c>
      <c r="C479" s="9" t="s">
        <v>1541</v>
      </c>
      <c r="D479" s="12">
        <v>0.056</v>
      </c>
      <c r="E479" s="13">
        <f>IF(ISNUMBER('Sheet2-计算明细'!R78),'Sheet2-计算明细'!R78,"")</f>
        <v>56.06</v>
      </c>
      <c r="F479" s="13">
        <f>IF(ISNUMBER(对照快照!R234),对照快照!R234,"")</f>
        <v>65.71</v>
      </c>
      <c r="G479" s="13">
        <f t="shared" si="21"/>
        <v>3.13936</v>
      </c>
      <c r="H479" s="13">
        <f t="shared" si="22"/>
        <v>3.67976</v>
      </c>
      <c r="I479" s="13">
        <f t="shared" si="23"/>
        <v>-0.5404</v>
      </c>
      <c r="J479" s="15">
        <f>IF(ISNUMBER('Sheet2-计算明细'!P78),'Sheet2-计算明细'!P78,IF('Sheet2-计算明细'!P78="","",'Sheet2-计算明细'!P78))</f>
        <v>0.081866644549115</v>
      </c>
      <c r="K479" s="15">
        <f>IF(ISNUMBER(对照快照!P234),对照快照!P234,IF(对照快照!P234="","",对照快照!P234))</f>
        <v>0.0899929743947643</v>
      </c>
      <c r="L479" s="9" t="s">
        <v>1540</v>
      </c>
    </row>
    <row r="480" ht="25" customHeight="1" spans="1:12">
      <c r="A480" s="9" t="s">
        <v>401</v>
      </c>
      <c r="B480" s="9" t="s">
        <v>400</v>
      </c>
      <c r="C480" s="9" t="s">
        <v>690</v>
      </c>
      <c r="D480" s="12">
        <v>0.036</v>
      </c>
      <c r="E480" s="13">
        <f>IF(ISNUMBER('Sheet2-计算明细'!W78),'Sheet2-计算明细'!W78,"")</f>
        <v>84.62</v>
      </c>
      <c r="F480" s="13">
        <f>IF(ISNUMBER(对照快照!W234),对照快照!W234,"")</f>
        <v>84.62</v>
      </c>
      <c r="G480" s="13">
        <f t="shared" si="21"/>
        <v>3.04632</v>
      </c>
      <c r="H480" s="13">
        <f t="shared" si="22"/>
        <v>3.04632</v>
      </c>
      <c r="I480" s="13">
        <f t="shared" si="23"/>
        <v>0</v>
      </c>
      <c r="J480" s="15">
        <f>IF(ISNUMBER('Sheet2-计算明细'!T78),'Sheet2-计算明细'!T78,IF('Sheet2-计算明细'!T78="","",'Sheet2-计算明细'!T78))</f>
        <v>0.8462</v>
      </c>
      <c r="K480" s="15">
        <f>IF(ISNUMBER(对照快照!T234),对照快照!T234,IF(对照快照!T234="","",对照快照!T234))</f>
        <v>0.8462</v>
      </c>
      <c r="L480" s="9" t="s">
        <v>1538</v>
      </c>
    </row>
    <row r="481" ht="25" customHeight="1" spans="1:12">
      <c r="A481" s="9" t="s">
        <v>401</v>
      </c>
      <c r="B481" s="9" t="s">
        <v>400</v>
      </c>
      <c r="C481" s="9" t="s">
        <v>692</v>
      </c>
      <c r="D481" s="12">
        <v>0.024</v>
      </c>
      <c r="E481" s="13">
        <f>IF(ISNUMBER('Sheet2-计算明细'!X78),'Sheet2-计算明细'!X78,"")</f>
        <v>83.325</v>
      </c>
      <c r="F481" s="13">
        <f>IF(ISNUMBER(对照快照!X234),对照快照!X234,"")</f>
        <v>82.63125</v>
      </c>
      <c r="G481" s="13">
        <f t="shared" si="21"/>
        <v>1.9998</v>
      </c>
      <c r="H481" s="13">
        <f t="shared" si="22"/>
        <v>1.98315</v>
      </c>
      <c r="I481" s="13">
        <f t="shared" si="23"/>
        <v>0.0166500000000001</v>
      </c>
      <c r="J481" s="15">
        <f>IF(ISNUMBER('Sheet2-计算明细'!V78),'Sheet2-计算明细'!V78,IF('Sheet2-计算明细'!V78="","",'Sheet2-计算明细'!V78))</f>
        <v>0.83325</v>
      </c>
      <c r="K481" s="15">
        <f>IF(ISNUMBER(对照快照!V234),对照快照!V234,IF(对照快照!V234="","",对照快照!V234))</f>
        <v>0.8263125</v>
      </c>
      <c r="L481" s="9" t="s">
        <v>1538</v>
      </c>
    </row>
    <row r="482" ht="25" customHeight="1" spans="1:12">
      <c r="A482" s="9" t="s">
        <v>401</v>
      </c>
      <c r="B482" s="9" t="s">
        <v>400</v>
      </c>
      <c r="C482" s="9" t="s">
        <v>1542</v>
      </c>
      <c r="D482" s="12">
        <v>0.25</v>
      </c>
      <c r="E482" s="13">
        <f>IF(ISNUMBER('Sheet2-计算明细'!AC78),'Sheet2-计算明细'!AC78,"")</f>
        <v>78.38</v>
      </c>
      <c r="F482" s="13">
        <f>IF(ISNUMBER(对照快照!AC234),对照快照!AC234,"")</f>
        <v>87.18</v>
      </c>
      <c r="G482" s="13">
        <f t="shared" si="21"/>
        <v>19.595</v>
      </c>
      <c r="H482" s="13">
        <f t="shared" si="22"/>
        <v>21.795</v>
      </c>
      <c r="I482" s="13">
        <f t="shared" si="23"/>
        <v>-2.2</v>
      </c>
      <c r="J482" s="15">
        <f>IF(ISNUMBER('Sheet2-计算明细'!AB78),'Sheet2-计算明细'!AB78,IF('Sheet2-计算明细'!AB78="","",'Sheet2-计算明细'!AB78))</f>
        <v>0.0079</v>
      </c>
      <c r="K482" s="15">
        <f>IF(ISNUMBER(对照快照!AB234),对照快照!AB234,IF(对照快照!AB234="","",对照快照!AB234))</f>
        <v>0.0079</v>
      </c>
      <c r="L482" s="9" t="s">
        <v>1540</v>
      </c>
    </row>
    <row r="483" ht="25" customHeight="1" spans="1:12">
      <c r="A483" s="9" t="s">
        <v>401</v>
      </c>
      <c r="B483" s="9" t="s">
        <v>400</v>
      </c>
      <c r="C483" s="9" t="s">
        <v>1543</v>
      </c>
      <c r="D483" s="12">
        <v>0.18</v>
      </c>
      <c r="E483" s="13">
        <f>IF(ISNUMBER('Sheet2-计算明细'!AG78),'Sheet2-计算明细'!AG78,"")</f>
        <v>52.11</v>
      </c>
      <c r="F483" s="13">
        <f>IF(ISNUMBER(对照快照!AG234),对照快照!AG234,"")</f>
        <v>78.14</v>
      </c>
      <c r="G483" s="13">
        <f t="shared" si="21"/>
        <v>9.3798</v>
      </c>
      <c r="H483" s="13">
        <f t="shared" si="22"/>
        <v>14.0652</v>
      </c>
      <c r="I483" s="13">
        <f t="shared" si="23"/>
        <v>-4.6854</v>
      </c>
      <c r="J483" s="15">
        <f>IF(ISNUMBER('Sheet2-计算明细'!AD78),'Sheet2-计算明细'!AD78,IF('Sheet2-计算明细'!AD78="","",'Sheet2-计算明细'!AD78))</f>
        <v>9.0843</v>
      </c>
      <c r="K483" s="15">
        <f>IF(ISNUMBER(对照快照!AD234),对照快照!AD234,IF(对照快照!AD234="","",对照快照!AD234))</f>
        <v>9.3234</v>
      </c>
      <c r="L483" s="9" t="s">
        <v>1540</v>
      </c>
    </row>
    <row r="484" ht="25" customHeight="1" spans="1:12">
      <c r="A484" s="9" t="s">
        <v>401</v>
      </c>
      <c r="B484" s="9" t="s">
        <v>400</v>
      </c>
      <c r="C484" s="9" t="s">
        <v>1544</v>
      </c>
      <c r="D484" s="12">
        <v>0.12</v>
      </c>
      <c r="E484" s="13" t="str">
        <f>IF(ISNUMBER('Sheet2-计算明细'!AH78),'Sheet2-计算明细'!AH78,"")</f>
        <v/>
      </c>
      <c r="F484" s="13" t="str">
        <f>IF(ISNUMBER(对照快照!AH234),对照快照!AH234,"")</f>
        <v/>
      </c>
      <c r="G484" s="13">
        <f t="shared" si="21"/>
        <v>0</v>
      </c>
      <c r="H484" s="13">
        <f t="shared" si="22"/>
        <v>0</v>
      </c>
      <c r="I484" s="13">
        <f t="shared" si="23"/>
        <v>0</v>
      </c>
      <c r="J484" s="15" t="str">
        <f>IF(ISNUMBER('Sheet2-计算明细'!AF78),'Sheet2-计算明细'!AF78,IF('Sheet2-计算明细'!AF78="","",'Sheet2-计算明细'!AF78))</f>
        <v/>
      </c>
      <c r="K484" s="15" t="str">
        <f>IF(ISNUMBER(对照快照!AF234),对照快照!AF234,IF(对照快照!AF234="","",对照快照!AF234))</f>
        <v/>
      </c>
      <c r="L484" s="9" t="s">
        <v>1540</v>
      </c>
    </row>
    <row r="485" ht="25" customHeight="1" spans="1:12">
      <c r="A485" s="9" t="s">
        <v>401</v>
      </c>
      <c r="B485" s="9" t="s">
        <v>400</v>
      </c>
      <c r="C485" s="9" t="s">
        <v>574</v>
      </c>
      <c r="D485" s="12">
        <v>0.1</v>
      </c>
      <c r="E485" s="13">
        <f>IF(ISNUMBER('Sheet2-计算明细'!AK78),'Sheet2-计算明细'!AK78,"")</f>
        <v>80</v>
      </c>
      <c r="F485" s="13">
        <f>IF(ISNUMBER(对照快照!AK234),对照快照!AK234,"")</f>
        <v>80</v>
      </c>
      <c r="G485" s="13">
        <f t="shared" si="21"/>
        <v>8</v>
      </c>
      <c r="H485" s="13">
        <f t="shared" si="22"/>
        <v>8</v>
      </c>
      <c r="I485" s="13">
        <f t="shared" si="23"/>
        <v>0</v>
      </c>
      <c r="J485" s="15">
        <f>IF(ISNUMBER('Sheet2-计算明细'!AJ78),'Sheet2-计算明细'!AJ78,IF('Sheet2-计算明细'!AJ78="","",'Sheet2-计算明细'!AJ78))</f>
        <v>0.0784</v>
      </c>
      <c r="K485" s="15">
        <f>IF(ISNUMBER(对照快照!AJ234),对照快照!AJ234,IF(对照快照!AJ234="","",对照快照!AJ234))</f>
        <v>0.0844</v>
      </c>
      <c r="L485" s="9" t="s">
        <v>1538</v>
      </c>
    </row>
    <row r="486" ht="25" customHeight="1" spans="1:12">
      <c r="A486" s="9" t="s">
        <v>405</v>
      </c>
      <c r="B486" s="9" t="s">
        <v>404</v>
      </c>
      <c r="C486" s="9" t="s">
        <v>538</v>
      </c>
      <c r="D486" s="12">
        <v>0.06</v>
      </c>
      <c r="E486" s="13">
        <f>IF(ISNUMBER('Sheet2-计算明细'!I79),'Sheet2-计算明细'!I79,"")</f>
        <v>60</v>
      </c>
      <c r="F486" s="13">
        <f>IF(ISNUMBER(对照快照!I25),对照快照!I25,"")</f>
        <v>60</v>
      </c>
      <c r="G486" s="13">
        <f t="shared" si="21"/>
        <v>3.6</v>
      </c>
      <c r="H486" s="13">
        <f t="shared" si="22"/>
        <v>3.6</v>
      </c>
      <c r="I486" s="13">
        <f t="shared" si="23"/>
        <v>0</v>
      </c>
      <c r="J486" s="15" t="str">
        <f>IF(ISNUMBER('Sheet2-计算明细'!H79),'Sheet2-计算明细'!H79,IF('Sheet2-计算明细'!H79="","",'Sheet2-计算明细'!H79))</f>
        <v>0-5亿元</v>
      </c>
      <c r="K486" s="15" t="str">
        <f>IF(ISNUMBER(对照快照!H25),对照快照!H25,IF(对照快照!H25="","",对照快照!H25))</f>
        <v>0-5亿元</v>
      </c>
      <c r="L486" s="9" t="s">
        <v>1538</v>
      </c>
    </row>
    <row r="487" ht="25" customHeight="1" spans="1:12">
      <c r="A487" s="9" t="s">
        <v>405</v>
      </c>
      <c r="B487" s="9" t="s">
        <v>404</v>
      </c>
      <c r="C487" s="9" t="s">
        <v>543</v>
      </c>
      <c r="D487" s="12">
        <v>0.045</v>
      </c>
      <c r="E487" s="13">
        <f>IF(ISNUMBER('Sheet2-计算明细'!K79),'Sheet2-计算明细'!K79,"")</f>
        <v>0</v>
      </c>
      <c r="F487" s="13">
        <f>IF(ISNUMBER(对照快照!K25),对照快照!K25,"")</f>
        <v>0</v>
      </c>
      <c r="G487" s="13">
        <f t="shared" si="21"/>
        <v>0</v>
      </c>
      <c r="H487" s="13">
        <f t="shared" si="22"/>
        <v>0</v>
      </c>
      <c r="I487" s="13">
        <f t="shared" si="23"/>
        <v>0</v>
      </c>
      <c r="J487" s="15" t="str">
        <f>IF(ISNUMBER('Sheet2-计算明细'!J79),'Sheet2-计算明细'!J79,IF('Sheet2-计算明细'!J79="","",'Sheet2-计算明细'!J79))</f>
        <v>低于1000万元</v>
      </c>
      <c r="K487" s="15" t="str">
        <f>IF(ISNUMBER(对照快照!J25),对照快照!J25,IF(对照快照!J25="","",对照快照!J25))</f>
        <v>低于1000万元</v>
      </c>
      <c r="L487" s="9" t="s">
        <v>1538</v>
      </c>
    </row>
    <row r="488" ht="25" customHeight="1" spans="1:12">
      <c r="A488" s="9" t="s">
        <v>405</v>
      </c>
      <c r="B488" s="9" t="s">
        <v>404</v>
      </c>
      <c r="C488" s="9" t="s">
        <v>547</v>
      </c>
      <c r="D488" s="12">
        <v>0.045</v>
      </c>
      <c r="E488" s="13">
        <f>IF(ISNUMBER('Sheet2-计算明细'!L79),'Sheet2-计算明细'!L79,"")</f>
        <v>100</v>
      </c>
      <c r="F488" s="13">
        <f>IF(ISNUMBER(对照快照!L25),对照快照!L25,"")</f>
        <v>100</v>
      </c>
      <c r="G488" s="13">
        <f t="shared" si="21"/>
        <v>4.5</v>
      </c>
      <c r="H488" s="13">
        <f t="shared" si="22"/>
        <v>4.5</v>
      </c>
      <c r="I488" s="13">
        <f t="shared" si="23"/>
        <v>0</v>
      </c>
      <c r="J488" s="15">
        <f>IF(ISNUMBER('Sheet2-计算明细'!F79),'Sheet2-计算明细'!F79,IF('Sheet2-计算明细'!F79="","",'Sheet2-计算明细'!F79))</f>
        <v>5.8919</v>
      </c>
      <c r="K488" s="15">
        <f>IF(ISNUMBER(对照快照!F25),对照快照!F25,IF(对照快照!F25="","",对照快照!F25))</f>
        <v>5.8836</v>
      </c>
      <c r="L488" s="9" t="s">
        <v>1538</v>
      </c>
    </row>
    <row r="489" ht="25" customHeight="1" spans="1:12">
      <c r="A489" s="9" t="s">
        <v>405</v>
      </c>
      <c r="B489" s="9" t="s">
        <v>404</v>
      </c>
      <c r="C489" s="9" t="s">
        <v>1539</v>
      </c>
      <c r="D489" s="12">
        <v>0.084</v>
      </c>
      <c r="E489" s="13" t="str">
        <f>IF(ISNUMBER('Sheet2-计算明细'!Q79),'Sheet2-计算明细'!Q79,"")</f>
        <v/>
      </c>
      <c r="F489" s="13">
        <f>IF(ISNUMBER(对照快照!Q25),对照快照!Q25,"")</f>
        <v>0.64</v>
      </c>
      <c r="G489" s="13">
        <f t="shared" si="21"/>
        <v>0</v>
      </c>
      <c r="H489" s="13">
        <f t="shared" si="22"/>
        <v>0.05376</v>
      </c>
      <c r="I489" s="13">
        <f t="shared" si="23"/>
        <v>-0.05376</v>
      </c>
      <c r="J489" s="15" t="str">
        <f>IF(ISNUMBER('Sheet2-计算明细'!M79),'Sheet2-计算明细'!M79,IF('Sheet2-计算明细'!M79="","",'Sheet2-计算明细'!M79))</f>
        <v/>
      </c>
      <c r="K489" s="15">
        <f>IF(ISNUMBER(对照快照!M25),对照快照!M25,IF(对照快照!M25="","",对照快照!M25))</f>
        <v>-0.3307</v>
      </c>
      <c r="L489" s="9" t="s">
        <v>1540</v>
      </c>
    </row>
    <row r="490" ht="25" customHeight="1" spans="1:12">
      <c r="A490" s="9" t="s">
        <v>405</v>
      </c>
      <c r="B490" s="9" t="s">
        <v>404</v>
      </c>
      <c r="C490" s="9" t="s">
        <v>1541</v>
      </c>
      <c r="D490" s="12">
        <v>0.056</v>
      </c>
      <c r="E490" s="13" t="str">
        <f>IF(ISNUMBER('Sheet2-计算明细'!R79),'Sheet2-计算明细'!R79,"")</f>
        <v/>
      </c>
      <c r="F490" s="13">
        <f>IF(ISNUMBER(对照快照!R25),对照快照!R25,"")</f>
        <v>12.38</v>
      </c>
      <c r="G490" s="13">
        <f t="shared" si="21"/>
        <v>0</v>
      </c>
      <c r="H490" s="13">
        <f t="shared" si="22"/>
        <v>0.69328</v>
      </c>
      <c r="I490" s="13">
        <f t="shared" si="23"/>
        <v>-0.69328</v>
      </c>
      <c r="J490" s="15" t="str">
        <f>IF(ISNUMBER('Sheet2-计算明细'!P79),'Sheet2-计算明细'!P79,IF('Sheet2-计算明细'!P79="","",'Sheet2-计算明细'!P79))</f>
        <v/>
      </c>
      <c r="K490" s="15">
        <f>IF(ISNUMBER(对照快照!P25),对照快照!P25,IF(对照快照!P25="","",对照快照!P25))</f>
        <v>0.0257817623281262</v>
      </c>
      <c r="L490" s="9" t="s">
        <v>1540</v>
      </c>
    </row>
    <row r="491" ht="25" customHeight="1" spans="1:12">
      <c r="A491" s="9" t="s">
        <v>405</v>
      </c>
      <c r="B491" s="9" t="s">
        <v>404</v>
      </c>
      <c r="C491" s="9" t="s">
        <v>690</v>
      </c>
      <c r="D491" s="12">
        <v>0.036</v>
      </c>
      <c r="E491" s="13" t="str">
        <f>IF(ISNUMBER('Sheet2-计算明细'!W79),'Sheet2-计算明细'!W79,"")</f>
        <v/>
      </c>
      <c r="F491" s="13">
        <f>IF(ISNUMBER(对照快照!W25),对照快照!W25,"")</f>
        <v>25</v>
      </c>
      <c r="G491" s="13">
        <f t="shared" si="21"/>
        <v>0</v>
      </c>
      <c r="H491" s="13">
        <f t="shared" si="22"/>
        <v>0.9</v>
      </c>
      <c r="I491" s="13">
        <f t="shared" si="23"/>
        <v>-0.9</v>
      </c>
      <c r="J491" s="15" t="str">
        <f>IF(ISNUMBER('Sheet2-计算明细'!T79),'Sheet2-计算明细'!T79,IF('Sheet2-计算明细'!T79="","",'Sheet2-计算明细'!T79))</f>
        <v/>
      </c>
      <c r="K491" s="15">
        <f>IF(ISNUMBER(对照快照!T25),对照快照!T25,IF(对照快照!T25="","",对照快照!T25))</f>
        <v>0.25</v>
      </c>
      <c r="L491" s="9" t="s">
        <v>1538</v>
      </c>
    </row>
    <row r="492" ht="25" customHeight="1" spans="1:12">
      <c r="A492" s="9" t="s">
        <v>405</v>
      </c>
      <c r="B492" s="9" t="s">
        <v>404</v>
      </c>
      <c r="C492" s="9" t="s">
        <v>692</v>
      </c>
      <c r="D492" s="12">
        <v>0.024</v>
      </c>
      <c r="E492" s="13" t="str">
        <f>IF(ISNUMBER('Sheet2-计算明细'!X79),'Sheet2-计算明细'!X79,"")</f>
        <v/>
      </c>
      <c r="F492" s="13">
        <f>IF(ISNUMBER(对照快照!X25),对照快照!X25,"")</f>
        <v>46.41375</v>
      </c>
      <c r="G492" s="13">
        <f t="shared" si="21"/>
        <v>0</v>
      </c>
      <c r="H492" s="13">
        <f t="shared" si="22"/>
        <v>1.11393</v>
      </c>
      <c r="I492" s="13">
        <f t="shared" si="23"/>
        <v>-1.11393</v>
      </c>
      <c r="J492" s="15" t="str">
        <f>IF(ISNUMBER('Sheet2-计算明细'!V79),'Sheet2-计算明细'!V79,IF('Sheet2-计算明细'!V79="","",'Sheet2-计算明细'!V79))</f>
        <v/>
      </c>
      <c r="K492" s="15">
        <f>IF(ISNUMBER(对照快照!V25),对照快照!V25,IF(对照快照!V25="","",对照快照!V25))</f>
        <v>0.4641375</v>
      </c>
      <c r="L492" s="9" t="s">
        <v>1538</v>
      </c>
    </row>
    <row r="493" ht="25" customHeight="1" spans="1:12">
      <c r="A493" s="9" t="s">
        <v>405</v>
      </c>
      <c r="B493" s="9" t="s">
        <v>404</v>
      </c>
      <c r="C493" s="9" t="s">
        <v>1542</v>
      </c>
      <c r="D493" s="12">
        <v>0.25</v>
      </c>
      <c r="E493" s="13">
        <f>IF(ISNUMBER('Sheet2-计算明细'!AC79),'Sheet2-计算明细'!AC79,"")</f>
        <v>0</v>
      </c>
      <c r="F493" s="13">
        <f>IF(ISNUMBER(对照快照!AC25),对照快照!AC25,"")</f>
        <v>1.6</v>
      </c>
      <c r="G493" s="13">
        <f t="shared" si="21"/>
        <v>0</v>
      </c>
      <c r="H493" s="13">
        <f t="shared" si="22"/>
        <v>0.4</v>
      </c>
      <c r="I493" s="13">
        <f t="shared" si="23"/>
        <v>-0.4</v>
      </c>
      <c r="J493" s="15">
        <f>IF(ISNUMBER('Sheet2-计算明细'!AB79),'Sheet2-计算明细'!AB79,IF('Sheet2-计算明细'!AB79="","",'Sheet2-计算明细'!AB79))</f>
        <v>0.3667</v>
      </c>
      <c r="K493" s="15">
        <f>IF(ISNUMBER(对照快照!AB25),对照快照!AB25,IF(对照快照!AB25="","",对照快照!AB25))</f>
        <v>0.356127503769115</v>
      </c>
      <c r="L493" s="9" t="s">
        <v>1540</v>
      </c>
    </row>
    <row r="494" ht="25" customHeight="1" spans="1:12">
      <c r="A494" s="9" t="s">
        <v>405</v>
      </c>
      <c r="B494" s="9" t="s">
        <v>404</v>
      </c>
      <c r="C494" s="9" t="s">
        <v>1543</v>
      </c>
      <c r="D494" s="12">
        <v>0.18</v>
      </c>
      <c r="E494" s="13" t="str">
        <f>IF(ISNUMBER('Sheet2-计算明细'!AG79),'Sheet2-计算明细'!AG79,"")</f>
        <v/>
      </c>
      <c r="F494" s="13">
        <f>IF(ISNUMBER(对照快照!AG25),对照快照!AG25,"")</f>
        <v>0.32</v>
      </c>
      <c r="G494" s="13">
        <f t="shared" si="21"/>
        <v>0</v>
      </c>
      <c r="H494" s="13">
        <f t="shared" si="22"/>
        <v>0.0576</v>
      </c>
      <c r="I494" s="13">
        <f t="shared" si="23"/>
        <v>-0.0576</v>
      </c>
      <c r="J494" s="15" t="str">
        <f>IF(ISNUMBER('Sheet2-计算明细'!AD79),'Sheet2-计算明细'!AD79,IF('Sheet2-计算明细'!AD79="","",'Sheet2-计算明细'!AD79))</f>
        <v/>
      </c>
      <c r="K494" s="15">
        <f>IF(ISNUMBER(对照快照!AD25),对照快照!AD25,IF(对照快照!AD25="","",对照快照!AD25))</f>
        <v>-0.9286</v>
      </c>
      <c r="L494" s="9" t="s">
        <v>1540</v>
      </c>
    </row>
    <row r="495" ht="25" customHeight="1" spans="1:12">
      <c r="A495" s="9" t="s">
        <v>405</v>
      </c>
      <c r="B495" s="9" t="s">
        <v>404</v>
      </c>
      <c r="C495" s="9" t="s">
        <v>1544</v>
      </c>
      <c r="D495" s="12">
        <v>0.12</v>
      </c>
      <c r="E495" s="13" t="str">
        <f>IF(ISNUMBER('Sheet2-计算明细'!AH79),'Sheet2-计算明细'!AH79,"")</f>
        <v/>
      </c>
      <c r="F495" s="13" t="str">
        <f>IF(ISNUMBER(对照快照!AH25),对照快照!AH25,"")</f>
        <v/>
      </c>
      <c r="G495" s="13">
        <f t="shared" si="21"/>
        <v>0</v>
      </c>
      <c r="H495" s="13">
        <f t="shared" si="22"/>
        <v>0</v>
      </c>
      <c r="I495" s="13">
        <f t="shared" si="23"/>
        <v>0</v>
      </c>
      <c r="J495" s="15" t="str">
        <f>IF(ISNUMBER('Sheet2-计算明细'!AF79),'Sheet2-计算明细'!AF79,IF('Sheet2-计算明细'!AF79="","",'Sheet2-计算明细'!AF79))</f>
        <v/>
      </c>
      <c r="K495" s="15" t="str">
        <f>IF(ISNUMBER(对照快照!AF25),对照快照!AF25,IF(对照快照!AF25="","",对照快照!AF25))</f>
        <v/>
      </c>
      <c r="L495" s="9" t="s">
        <v>1540</v>
      </c>
    </row>
    <row r="496" ht="25" customHeight="1" spans="1:12">
      <c r="A496" s="9" t="s">
        <v>405</v>
      </c>
      <c r="B496" s="9" t="s">
        <v>404</v>
      </c>
      <c r="C496" s="9" t="s">
        <v>574</v>
      </c>
      <c r="D496" s="12">
        <v>0.1</v>
      </c>
      <c r="E496" s="13" t="str">
        <f>IF(ISNUMBER('Sheet2-计算明细'!AK79),'Sheet2-计算明细'!AK79,"")</f>
        <v/>
      </c>
      <c r="F496" s="13">
        <f>IF(ISNUMBER(对照快照!AK25),对照快照!AK25,"")</f>
        <v>60</v>
      </c>
      <c r="G496" s="13">
        <f t="shared" si="21"/>
        <v>0</v>
      </c>
      <c r="H496" s="13">
        <f t="shared" si="22"/>
        <v>6</v>
      </c>
      <c r="I496" s="13">
        <f t="shared" si="23"/>
        <v>-6</v>
      </c>
      <c r="J496" s="15">
        <f>IF(ISNUMBER('Sheet2-计算明细'!AJ79),'Sheet2-计算明细'!AJ79,IF('Sheet2-计算明细'!AJ79="","",'Sheet2-计算明细'!AJ79))</f>
        <v>-0.1145</v>
      </c>
      <c r="K496" s="15">
        <f>IF(ISNUMBER(对照快照!AJ25),对照快照!AJ25,IF(对照快照!AJ25="","",对照快照!AJ25))</f>
        <v>-0.1103</v>
      </c>
      <c r="L496" s="9" t="s">
        <v>1538</v>
      </c>
    </row>
    <row r="497" ht="25" customHeight="1" spans="1:12">
      <c r="A497" s="9" t="s">
        <v>410</v>
      </c>
      <c r="B497" s="9" t="s">
        <v>409</v>
      </c>
      <c r="C497" s="9" t="s">
        <v>538</v>
      </c>
      <c r="D497" s="12">
        <v>0.06</v>
      </c>
      <c r="E497" s="13">
        <f>IF(ISNUMBER('Sheet2-计算明细'!I80),'Sheet2-计算明细'!I80,"")</f>
        <v>60</v>
      </c>
      <c r="F497" s="13">
        <f>IF(ISNUMBER(对照快照!I88),对照快照!I88,"")</f>
        <v>60</v>
      </c>
      <c r="G497" s="13">
        <f t="shared" si="21"/>
        <v>3.6</v>
      </c>
      <c r="H497" s="13">
        <f t="shared" si="22"/>
        <v>3.6</v>
      </c>
      <c r="I497" s="13">
        <f t="shared" si="23"/>
        <v>0</v>
      </c>
      <c r="J497" s="15" t="str">
        <f>IF(ISNUMBER('Sheet2-计算明细'!H80),'Sheet2-计算明细'!H80,IF('Sheet2-计算明细'!H80="","",'Sheet2-计算明细'!H80))</f>
        <v>0-5亿元</v>
      </c>
      <c r="K497" s="15" t="str">
        <f>IF(ISNUMBER(对照快照!H88),对照快照!H88,IF(对照快照!H88="","",对照快照!H88))</f>
        <v>0-5亿元</v>
      </c>
      <c r="L497" s="9" t="s">
        <v>1538</v>
      </c>
    </row>
    <row r="498" ht="25" customHeight="1" spans="1:12">
      <c r="A498" s="9" t="s">
        <v>410</v>
      </c>
      <c r="B498" s="9" t="s">
        <v>409</v>
      </c>
      <c r="C498" s="9" t="s">
        <v>543</v>
      </c>
      <c r="D498" s="12">
        <v>0.045</v>
      </c>
      <c r="E498" s="13">
        <f>IF(ISNUMBER('Sheet2-计算明细'!K80),'Sheet2-计算明细'!K80,"")</f>
        <v>0</v>
      </c>
      <c r="F498" s="13">
        <f>IF(ISNUMBER(对照快照!K88),对照快照!K88,"")</f>
        <v>0</v>
      </c>
      <c r="G498" s="13">
        <f t="shared" si="21"/>
        <v>0</v>
      </c>
      <c r="H498" s="13">
        <f t="shared" si="22"/>
        <v>0</v>
      </c>
      <c r="I498" s="13">
        <f t="shared" si="23"/>
        <v>0</v>
      </c>
      <c r="J498" s="15" t="str">
        <f>IF(ISNUMBER('Sheet2-计算明细'!J80),'Sheet2-计算明细'!J80,IF('Sheet2-计算明细'!J80="","",'Sheet2-计算明细'!J80))</f>
        <v>低于1000万元</v>
      </c>
      <c r="K498" s="15" t="str">
        <f>IF(ISNUMBER(对照快照!J88),对照快照!J88,IF(对照快照!J88="","",对照快照!J88))</f>
        <v>低于1000万元</v>
      </c>
      <c r="L498" s="9" t="s">
        <v>1538</v>
      </c>
    </row>
    <row r="499" ht="25" customHeight="1" spans="1:12">
      <c r="A499" s="9" t="s">
        <v>410</v>
      </c>
      <c r="B499" s="9" t="s">
        <v>409</v>
      </c>
      <c r="C499" s="9" t="s">
        <v>547</v>
      </c>
      <c r="D499" s="12">
        <v>0.045</v>
      </c>
      <c r="E499" s="13">
        <f>IF(ISNUMBER('Sheet2-计算明细'!L80),'Sheet2-计算明细'!L80,"")</f>
        <v>70</v>
      </c>
      <c r="F499" s="13">
        <f>IF(ISNUMBER(对照快照!L88),对照快照!L88,"")</f>
        <v>70</v>
      </c>
      <c r="G499" s="13">
        <f t="shared" si="21"/>
        <v>3.15</v>
      </c>
      <c r="H499" s="13">
        <f t="shared" si="22"/>
        <v>3.15</v>
      </c>
      <c r="I499" s="13">
        <f t="shared" si="23"/>
        <v>0</v>
      </c>
      <c r="J499" s="15">
        <f>IF(ISNUMBER('Sheet2-计算明细'!F80),'Sheet2-计算明细'!F80,IF('Sheet2-计算明细'!F80="","",'Sheet2-计算明细'!F80))</f>
        <v>2.3737</v>
      </c>
      <c r="K499" s="15">
        <f>IF(ISNUMBER(对照快照!F88),对照快照!F88,IF(对照快照!F88="","",对照快照!F88))</f>
        <v>2.3655</v>
      </c>
      <c r="L499" s="9" t="s">
        <v>1538</v>
      </c>
    </row>
    <row r="500" ht="25" customHeight="1" spans="1:12">
      <c r="A500" s="9" t="s">
        <v>410</v>
      </c>
      <c r="B500" s="9" t="s">
        <v>409</v>
      </c>
      <c r="C500" s="9" t="s">
        <v>1539</v>
      </c>
      <c r="D500" s="12">
        <v>0.084</v>
      </c>
      <c r="E500" s="13">
        <f>IF(ISNUMBER('Sheet2-计算明细'!Q80),'Sheet2-计算明细'!Q80,"")</f>
        <v>45.83</v>
      </c>
      <c r="F500" s="13">
        <f>IF(ISNUMBER(对照快照!Q88),对照快照!Q88,"")</f>
        <v>66.61</v>
      </c>
      <c r="G500" s="13">
        <f t="shared" si="21"/>
        <v>3.84972</v>
      </c>
      <c r="H500" s="13">
        <f t="shared" si="22"/>
        <v>5.59524</v>
      </c>
      <c r="I500" s="13">
        <f t="shared" si="23"/>
        <v>-1.74552</v>
      </c>
      <c r="J500" s="15">
        <f>IF(ISNUMBER('Sheet2-计算明细'!M80),'Sheet2-计算明细'!M80,IF('Sheet2-计算明细'!M80="","",'Sheet2-计算明细'!M80))</f>
        <v>0.0858</v>
      </c>
      <c r="K500" s="15">
        <f>IF(ISNUMBER(对照快照!M88),对照快照!M88,IF(对照快照!M88="","",对照快照!M88))</f>
        <v>0.0864</v>
      </c>
      <c r="L500" s="9" t="s">
        <v>1540</v>
      </c>
    </row>
    <row r="501" ht="25" customHeight="1" spans="1:12">
      <c r="A501" s="9" t="s">
        <v>410</v>
      </c>
      <c r="B501" s="9" t="s">
        <v>409</v>
      </c>
      <c r="C501" s="9" t="s">
        <v>1541</v>
      </c>
      <c r="D501" s="12">
        <v>0.056</v>
      </c>
      <c r="E501" s="13">
        <f>IF(ISNUMBER('Sheet2-计算明细'!R80),'Sheet2-计算明细'!R80,"")</f>
        <v>45.45</v>
      </c>
      <c r="F501" s="13" t="str">
        <f>IF(ISNUMBER(对照快照!R88),对照快照!R88,"")</f>
        <v/>
      </c>
      <c r="G501" s="13">
        <f t="shared" si="21"/>
        <v>2.5452</v>
      </c>
      <c r="H501" s="13">
        <f t="shared" si="22"/>
        <v>0</v>
      </c>
      <c r="I501" s="13">
        <f t="shared" si="23"/>
        <v>2.5452</v>
      </c>
      <c r="J501" s="15">
        <f>IF(ISNUMBER('Sheet2-计算明细'!P80),'Sheet2-计算明细'!P80,IF('Sheet2-计算明细'!P80="","",'Sheet2-计算明细'!P80))</f>
        <v>0.0740766648513345</v>
      </c>
      <c r="K501" s="15" t="str">
        <f>IF(ISNUMBER(对照快照!P88),对照快照!P88,IF(对照快照!P88="","",对照快照!P88))</f>
        <v/>
      </c>
      <c r="L501" s="9" t="s">
        <v>1540</v>
      </c>
    </row>
    <row r="502" ht="25" customHeight="1" spans="1:12">
      <c r="A502" s="9" t="s">
        <v>410</v>
      </c>
      <c r="B502" s="9" t="s">
        <v>409</v>
      </c>
      <c r="C502" s="9" t="s">
        <v>690</v>
      </c>
      <c r="D502" s="12">
        <v>0.036</v>
      </c>
      <c r="E502" s="13">
        <f>IF(ISNUMBER('Sheet2-计算明细'!W80),'Sheet2-计算明细'!W80,"")</f>
        <v>84.62</v>
      </c>
      <c r="F502" s="13">
        <f>IF(ISNUMBER(对照快照!W88),对照快照!W88,"")</f>
        <v>92.31</v>
      </c>
      <c r="G502" s="13">
        <f t="shared" si="21"/>
        <v>3.04632</v>
      </c>
      <c r="H502" s="13">
        <f t="shared" si="22"/>
        <v>3.32316</v>
      </c>
      <c r="I502" s="13">
        <f t="shared" si="23"/>
        <v>-0.27684</v>
      </c>
      <c r="J502" s="15">
        <f>IF(ISNUMBER('Sheet2-计算明细'!T80),'Sheet2-计算明细'!T80,IF('Sheet2-计算明细'!T80="","",'Sheet2-计算明细'!T80))</f>
        <v>0.8462</v>
      </c>
      <c r="K502" s="15">
        <f>IF(ISNUMBER(对照快照!T88),对照快照!T88,IF(对照快照!T88="","",对照快照!T88))</f>
        <v>0.9231</v>
      </c>
      <c r="L502" s="9" t="s">
        <v>1538</v>
      </c>
    </row>
    <row r="503" ht="25" customHeight="1" spans="1:12">
      <c r="A503" s="9" t="s">
        <v>410</v>
      </c>
      <c r="B503" s="9" t="s">
        <v>409</v>
      </c>
      <c r="C503" s="9" t="s">
        <v>692</v>
      </c>
      <c r="D503" s="12">
        <v>0.024</v>
      </c>
      <c r="E503" s="13" t="str">
        <f>IF(ISNUMBER('Sheet2-计算明细'!X80),'Sheet2-计算明细'!X80,"")</f>
        <v/>
      </c>
      <c r="F503" s="13" t="str">
        <f>IF(ISNUMBER(对照快照!X88),对照快照!X88,"")</f>
        <v/>
      </c>
      <c r="G503" s="13">
        <f t="shared" si="21"/>
        <v>0</v>
      </c>
      <c r="H503" s="13">
        <f t="shared" si="22"/>
        <v>0</v>
      </c>
      <c r="I503" s="13">
        <f t="shared" si="23"/>
        <v>0</v>
      </c>
      <c r="J503" s="15" t="str">
        <f>IF(ISNUMBER('Sheet2-计算明细'!V80),'Sheet2-计算明细'!V80,IF('Sheet2-计算明细'!V80="","",'Sheet2-计算明细'!V80))</f>
        <v/>
      </c>
      <c r="K503" s="15" t="str">
        <f>IF(ISNUMBER(对照快照!V88),对照快照!V88,IF(对照快照!V88="","",对照快照!V88))</f>
        <v/>
      </c>
      <c r="L503" s="9" t="s">
        <v>1538</v>
      </c>
    </row>
    <row r="504" ht="25" customHeight="1" spans="1:12">
      <c r="A504" s="9" t="s">
        <v>410</v>
      </c>
      <c r="B504" s="9" t="s">
        <v>409</v>
      </c>
      <c r="C504" s="9" t="s">
        <v>1542</v>
      </c>
      <c r="D504" s="12">
        <v>0.25</v>
      </c>
      <c r="E504" s="13">
        <f>IF(ISNUMBER('Sheet2-计算明细'!AC80),'Sheet2-计算明细'!AC80,"")</f>
        <v>41.89</v>
      </c>
      <c r="F504" s="13">
        <f>IF(ISNUMBER(对照快照!AC88),对照快照!AC88,"")</f>
        <v>65.38</v>
      </c>
      <c r="G504" s="13">
        <f t="shared" si="21"/>
        <v>10.4725</v>
      </c>
      <c r="H504" s="13">
        <f t="shared" si="22"/>
        <v>16.345</v>
      </c>
      <c r="I504" s="13">
        <f t="shared" si="23"/>
        <v>-5.8725</v>
      </c>
      <c r="J504" s="15">
        <f>IF(ISNUMBER('Sheet2-计算明细'!AB80),'Sheet2-计算明细'!AB80,IF('Sheet2-计算明细'!AB80="","",'Sheet2-计算明细'!AB80))</f>
        <v>0.0253037631237466</v>
      </c>
      <c r="K504" s="15">
        <f>IF(ISNUMBER(对照快照!AB88),对照快照!AB88,IF(对照快照!AB88="","",对照快照!AB88))</f>
        <v>0.0253209073325128</v>
      </c>
      <c r="L504" s="9" t="s">
        <v>1540</v>
      </c>
    </row>
    <row r="505" ht="25" customHeight="1" spans="1:12">
      <c r="A505" s="9" t="s">
        <v>410</v>
      </c>
      <c r="B505" s="9" t="s">
        <v>409</v>
      </c>
      <c r="C505" s="9" t="s">
        <v>1543</v>
      </c>
      <c r="D505" s="12">
        <v>0.18</v>
      </c>
      <c r="E505" s="13">
        <f>IF(ISNUMBER('Sheet2-计算明细'!AG80),'Sheet2-计算明细'!AG80,"")</f>
        <v>28.17</v>
      </c>
      <c r="F505" s="13">
        <f>IF(ISNUMBER(对照快照!AG88),对照快照!AG88,"")</f>
        <v>57.56</v>
      </c>
      <c r="G505" s="13">
        <f t="shared" si="21"/>
        <v>5.0706</v>
      </c>
      <c r="H505" s="13">
        <f t="shared" si="22"/>
        <v>10.3608</v>
      </c>
      <c r="I505" s="13">
        <f t="shared" si="23"/>
        <v>-5.2902</v>
      </c>
      <c r="J505" s="15">
        <f>IF(ISNUMBER('Sheet2-计算明细'!AD80),'Sheet2-计算明细'!AD80,IF('Sheet2-计算明细'!AD80="","",'Sheet2-计算明细'!AD80))</f>
        <v>3.3908</v>
      </c>
      <c r="K505" s="15">
        <f>IF(ISNUMBER(对照快照!AD88),对照快照!AD88,IF(对照快照!AD88="","",对照快照!AD88))</f>
        <v>3.4122</v>
      </c>
      <c r="L505" s="9" t="s">
        <v>1540</v>
      </c>
    </row>
    <row r="506" ht="25" customHeight="1" spans="1:12">
      <c r="A506" s="9" t="s">
        <v>410</v>
      </c>
      <c r="B506" s="9" t="s">
        <v>409</v>
      </c>
      <c r="C506" s="9" t="s">
        <v>1544</v>
      </c>
      <c r="D506" s="12">
        <v>0.12</v>
      </c>
      <c r="E506" s="13" t="str">
        <f>IF(ISNUMBER('Sheet2-计算明细'!AH80),'Sheet2-计算明细'!AH80,"")</f>
        <v/>
      </c>
      <c r="F506" s="13" t="str">
        <f>IF(ISNUMBER(对照快照!AH88),对照快照!AH88,"")</f>
        <v/>
      </c>
      <c r="G506" s="13">
        <f t="shared" si="21"/>
        <v>0</v>
      </c>
      <c r="H506" s="13">
        <f t="shared" si="22"/>
        <v>0</v>
      </c>
      <c r="I506" s="13">
        <f t="shared" si="23"/>
        <v>0</v>
      </c>
      <c r="J506" s="15" t="str">
        <f>IF(ISNUMBER('Sheet2-计算明细'!AF80),'Sheet2-计算明细'!AF80,IF('Sheet2-计算明细'!AF80="","",'Sheet2-计算明细'!AF80))</f>
        <v/>
      </c>
      <c r="K506" s="15" t="str">
        <f>IF(ISNUMBER(对照快照!AF88),对照快照!AF88,IF(对照快照!AF88="","",对照快照!AF88))</f>
        <v/>
      </c>
      <c r="L506" s="9" t="s">
        <v>1540</v>
      </c>
    </row>
    <row r="507" ht="25" customHeight="1" spans="1:12">
      <c r="A507" s="9" t="s">
        <v>410</v>
      </c>
      <c r="B507" s="9" t="s">
        <v>409</v>
      </c>
      <c r="C507" s="9" t="s">
        <v>574</v>
      </c>
      <c r="D507" s="12">
        <v>0.1</v>
      </c>
      <c r="E507" s="13">
        <f>IF(ISNUMBER('Sheet2-计算明细'!AK80),'Sheet2-计算明细'!AK80,"")</f>
        <v>100</v>
      </c>
      <c r="F507" s="13" t="str">
        <f>IF(ISNUMBER(对照快照!AK88),对照快照!AK88,"")</f>
        <v/>
      </c>
      <c r="G507" s="13">
        <f t="shared" si="21"/>
        <v>10</v>
      </c>
      <c r="H507" s="13">
        <f t="shared" si="22"/>
        <v>0</v>
      </c>
      <c r="I507" s="13">
        <f t="shared" si="23"/>
        <v>10</v>
      </c>
      <c r="J507" s="15">
        <f>IF(ISNUMBER('Sheet2-计算明细'!AJ80),'Sheet2-计算明细'!AJ80,IF('Sheet2-计算明细'!AJ80="","",'Sheet2-计算明细'!AJ80))</f>
        <v>0.079</v>
      </c>
      <c r="K507" s="15" t="str">
        <f>IF(ISNUMBER(对照快照!AJ88),对照快照!AJ88,IF(对照快照!AJ88="","",对照快照!AJ88))</f>
        <v/>
      </c>
      <c r="L507" s="9" t="s">
        <v>1538</v>
      </c>
    </row>
    <row r="508" ht="25" customHeight="1" spans="1:12">
      <c r="A508" s="9" t="s">
        <v>417</v>
      </c>
      <c r="B508" s="9" t="s">
        <v>415</v>
      </c>
      <c r="C508" s="9" t="s">
        <v>538</v>
      </c>
      <c r="D508" s="12">
        <v>0.06</v>
      </c>
      <c r="E508" s="13">
        <f>IF(ISNUMBER('Sheet2-计算明细'!I81),'Sheet2-计算明细'!I81,"")</f>
        <v>70</v>
      </c>
      <c r="F508" s="13">
        <f>IF(ISNUMBER(对照快照!I18),对照快照!I18,"")</f>
        <v>70</v>
      </c>
      <c r="G508" s="13">
        <f t="shared" si="21"/>
        <v>4.2</v>
      </c>
      <c r="H508" s="13">
        <f t="shared" si="22"/>
        <v>4.2</v>
      </c>
      <c r="I508" s="13">
        <f t="shared" si="23"/>
        <v>0</v>
      </c>
      <c r="J508" s="15" t="str">
        <f>IF(ISNUMBER('Sheet2-计算明细'!H81),'Sheet2-计算明细'!H81,IF('Sheet2-计算明细'!H81="","",'Sheet2-计算明细'!H81))</f>
        <v>5-10亿元</v>
      </c>
      <c r="K508" s="15" t="str">
        <f>IF(ISNUMBER(对照快照!H18),对照快照!H18,IF(对照快照!H18="","",对照快照!H18))</f>
        <v>5-10亿元</v>
      </c>
      <c r="L508" s="9" t="s">
        <v>1538</v>
      </c>
    </row>
    <row r="509" ht="25" customHeight="1" spans="1:12">
      <c r="A509" s="9" t="s">
        <v>417</v>
      </c>
      <c r="B509" s="9" t="s">
        <v>415</v>
      </c>
      <c r="C509" s="9" t="s">
        <v>543</v>
      </c>
      <c r="D509" s="12">
        <v>0.045</v>
      </c>
      <c r="E509" s="13">
        <f>IF(ISNUMBER('Sheet2-计算明细'!K81),'Sheet2-计算明细'!K81,"")</f>
        <v>100</v>
      </c>
      <c r="F509" s="13">
        <f>IF(ISNUMBER(对照快照!K18),对照快照!K18,"")</f>
        <v>100</v>
      </c>
      <c r="G509" s="13">
        <f t="shared" si="21"/>
        <v>4.5</v>
      </c>
      <c r="H509" s="13">
        <f t="shared" si="22"/>
        <v>4.5</v>
      </c>
      <c r="I509" s="13">
        <f t="shared" si="23"/>
        <v>0</v>
      </c>
      <c r="J509" s="15" t="str">
        <f>IF(ISNUMBER('Sheet2-计算明细'!J81),'Sheet2-计算明细'!J81,IF('Sheet2-计算明细'!J81="","",'Sheet2-计算明细'!J81))</f>
        <v>无低于1000万元标识</v>
      </c>
      <c r="K509" s="15" t="str">
        <f>IF(ISNUMBER(对照快照!J18),对照快照!J18,IF(对照快照!J18="","",对照快照!J18))</f>
        <v>无低于1000万元标识</v>
      </c>
      <c r="L509" s="9" t="s">
        <v>1538</v>
      </c>
    </row>
    <row r="510" ht="25" customHeight="1" spans="1:12">
      <c r="A510" s="9" t="s">
        <v>417</v>
      </c>
      <c r="B510" s="9" t="s">
        <v>415</v>
      </c>
      <c r="C510" s="9" t="s">
        <v>547</v>
      </c>
      <c r="D510" s="12">
        <v>0.045</v>
      </c>
      <c r="E510" s="13">
        <f>IF(ISNUMBER('Sheet2-计算明细'!L81),'Sheet2-计算明细'!L81,"")</f>
        <v>100</v>
      </c>
      <c r="F510" s="13">
        <f>IF(ISNUMBER(对照快照!L18),对照快照!L18,"")</f>
        <v>100</v>
      </c>
      <c r="G510" s="13">
        <f t="shared" si="21"/>
        <v>4.5</v>
      </c>
      <c r="H510" s="13">
        <f t="shared" si="22"/>
        <v>4.5</v>
      </c>
      <c r="I510" s="13">
        <f t="shared" si="23"/>
        <v>0</v>
      </c>
      <c r="J510" s="15">
        <f>IF(ISNUMBER('Sheet2-计算明细'!F81),'Sheet2-计算明细'!F81,IF('Sheet2-计算明细'!F81="","",'Sheet2-计算明细'!F81))</f>
        <v>6.5435</v>
      </c>
      <c r="K510" s="15">
        <f>IF(ISNUMBER(对照快照!F18),对照快照!F18,IF(对照快照!F18="","",对照快照!F18))</f>
        <v>6.5352</v>
      </c>
      <c r="L510" s="9" t="s">
        <v>1538</v>
      </c>
    </row>
    <row r="511" ht="25" customHeight="1" spans="1:12">
      <c r="A511" s="9" t="s">
        <v>417</v>
      </c>
      <c r="B511" s="9" t="s">
        <v>415</v>
      </c>
      <c r="C511" s="9" t="s">
        <v>1539</v>
      </c>
      <c r="D511" s="12">
        <v>0.084</v>
      </c>
      <c r="E511" s="13">
        <f>IF(ISNUMBER('Sheet2-计算明细'!Q81),'Sheet2-计算明细'!Q81,"")</f>
        <v>6.94</v>
      </c>
      <c r="F511" s="13">
        <f>IF(ISNUMBER(对照快照!Q18),对照快照!Q18,"")</f>
        <v>22.04</v>
      </c>
      <c r="G511" s="13">
        <f t="shared" si="21"/>
        <v>0.58296</v>
      </c>
      <c r="H511" s="13">
        <f t="shared" si="22"/>
        <v>1.85136</v>
      </c>
      <c r="I511" s="13">
        <f t="shared" si="23"/>
        <v>-1.2684</v>
      </c>
      <c r="J511" s="15">
        <f>IF(ISNUMBER('Sheet2-计算明细'!M81),'Sheet2-计算明细'!M81,IF('Sheet2-计算明细'!M81="","",'Sheet2-计算明细'!M81))</f>
        <v>0.0195</v>
      </c>
      <c r="K511" s="15">
        <f>IF(ISNUMBER(对照快照!M18),对照快照!M18,IF(对照快照!M18="","",对照快照!M18))</f>
        <v>0.0205</v>
      </c>
      <c r="L511" s="9" t="s">
        <v>1540</v>
      </c>
    </row>
    <row r="512" ht="25" customHeight="1" spans="1:12">
      <c r="A512" s="9" t="s">
        <v>417</v>
      </c>
      <c r="B512" s="9" t="s">
        <v>415</v>
      </c>
      <c r="C512" s="9" t="s">
        <v>1541</v>
      </c>
      <c r="D512" s="12">
        <v>0.056</v>
      </c>
      <c r="E512" s="13">
        <f>IF(ISNUMBER('Sheet2-计算明细'!R81),'Sheet2-计算明细'!R81,"")</f>
        <v>19.7</v>
      </c>
      <c r="F512" s="13">
        <f>IF(ISNUMBER(对照快照!R18),对照快照!R18,"")</f>
        <v>45.71</v>
      </c>
      <c r="G512" s="13">
        <f t="shared" si="21"/>
        <v>1.1032</v>
      </c>
      <c r="H512" s="13">
        <f t="shared" si="22"/>
        <v>2.55976</v>
      </c>
      <c r="I512" s="13">
        <f t="shared" si="23"/>
        <v>-1.45656</v>
      </c>
      <c r="J512" s="15">
        <f>IF(ISNUMBER('Sheet2-计算明细'!P81),'Sheet2-计算明细'!P81,IF('Sheet2-计算明细'!P81="","",'Sheet2-计算明细'!P81))</f>
        <v>0.0510101258846718</v>
      </c>
      <c r="K512" s="15">
        <f>IF(ISNUMBER(对照快照!P18),对照快照!P18,IF(对照快照!P18="","",对照快照!P18))</f>
        <v>0.0615706709401378</v>
      </c>
      <c r="L512" s="9" t="s">
        <v>1540</v>
      </c>
    </row>
    <row r="513" ht="25" customHeight="1" spans="1:12">
      <c r="A513" s="9" t="s">
        <v>417</v>
      </c>
      <c r="B513" s="9" t="s">
        <v>415</v>
      </c>
      <c r="C513" s="9" t="s">
        <v>690</v>
      </c>
      <c r="D513" s="12">
        <v>0.036</v>
      </c>
      <c r="E513" s="13">
        <f>IF(ISNUMBER('Sheet2-计算明细'!W81),'Sheet2-计算明细'!W81,"")</f>
        <v>61.54</v>
      </c>
      <c r="F513" s="13">
        <f>IF(ISNUMBER(对照快照!W18),对照快照!W18,"")</f>
        <v>61.54</v>
      </c>
      <c r="G513" s="13">
        <f t="shared" si="21"/>
        <v>2.21544</v>
      </c>
      <c r="H513" s="13">
        <f t="shared" si="22"/>
        <v>2.21544</v>
      </c>
      <c r="I513" s="13">
        <f t="shared" si="23"/>
        <v>0</v>
      </c>
      <c r="J513" s="15">
        <f>IF(ISNUMBER('Sheet2-计算明细'!T81),'Sheet2-计算明细'!T81,IF('Sheet2-计算明细'!T81="","",'Sheet2-计算明细'!T81))</f>
        <v>0.6154</v>
      </c>
      <c r="K513" s="15">
        <f>IF(ISNUMBER(对照快照!T18),对照快照!T18,IF(对照快照!T18="","",对照快照!T18))</f>
        <v>0.6154</v>
      </c>
      <c r="L513" s="9" t="s">
        <v>1538</v>
      </c>
    </row>
    <row r="514" ht="25" customHeight="1" spans="1:12">
      <c r="A514" s="9" t="s">
        <v>417</v>
      </c>
      <c r="B514" s="9" t="s">
        <v>415</v>
      </c>
      <c r="C514" s="9" t="s">
        <v>692</v>
      </c>
      <c r="D514" s="12">
        <v>0.024</v>
      </c>
      <c r="E514" s="13">
        <f>IF(ISNUMBER('Sheet2-计算明细'!X81),'Sheet2-计算明细'!X81,"")</f>
        <v>66.6583333333333</v>
      </c>
      <c r="F514" s="13">
        <f>IF(ISNUMBER(对照快照!X18),对照快照!X18,"")</f>
        <v>69.44875</v>
      </c>
      <c r="G514" s="13">
        <f t="shared" ref="G514:G577" si="24">IF(ISNUMBER(E514),D514*E514,0)</f>
        <v>1.5998</v>
      </c>
      <c r="H514" s="13">
        <f t="shared" ref="H514:H577" si="25">IF(ISNUMBER(F514),D514*F514,0)</f>
        <v>1.66677</v>
      </c>
      <c r="I514" s="13">
        <f t="shared" ref="I514:I577" si="26">G514-H514</f>
        <v>-0.0669700000000004</v>
      </c>
      <c r="J514" s="15">
        <f>IF(ISNUMBER('Sheet2-计算明细'!V81),'Sheet2-计算明细'!V81,IF('Sheet2-计算明细'!V81="","",'Sheet2-计算明细'!V81))</f>
        <v>0.666583333333333</v>
      </c>
      <c r="K514" s="15">
        <f>IF(ISNUMBER(对照快照!V18),对照快照!V18,IF(对照快照!V18="","",对照快照!V18))</f>
        <v>0.6944875</v>
      </c>
      <c r="L514" s="9" t="s">
        <v>1538</v>
      </c>
    </row>
    <row r="515" ht="25" customHeight="1" spans="1:12">
      <c r="A515" s="9" t="s">
        <v>417</v>
      </c>
      <c r="B515" s="9" t="s">
        <v>415</v>
      </c>
      <c r="C515" s="9" t="s">
        <v>1542</v>
      </c>
      <c r="D515" s="12">
        <v>0.25</v>
      </c>
      <c r="E515" s="13">
        <f>IF(ISNUMBER('Sheet2-计算明细'!AC81),'Sheet2-计算明细'!AC81,"")</f>
        <v>2.7</v>
      </c>
      <c r="F515" s="13">
        <f>IF(ISNUMBER(对照快照!AC18),对照快照!AC18,"")</f>
        <v>16.03</v>
      </c>
      <c r="G515" s="13">
        <f t="shared" si="24"/>
        <v>0.675</v>
      </c>
      <c r="H515" s="13">
        <f t="shared" si="25"/>
        <v>4.0075</v>
      </c>
      <c r="I515" s="13">
        <f t="shared" si="26"/>
        <v>-3.3325</v>
      </c>
      <c r="J515" s="15">
        <f>IF(ISNUMBER('Sheet2-计算明细'!AB81),'Sheet2-计算明细'!AB81,IF('Sheet2-计算明细'!AB81="","",'Sheet2-计算明细'!AB81))</f>
        <v>0.1458</v>
      </c>
      <c r="K515" s="15">
        <f>IF(ISNUMBER(对照快照!AB18),对照快照!AB18,IF(对照快照!AB18="","",对照快照!AB18))</f>
        <v>0.1458</v>
      </c>
      <c r="L515" s="9" t="s">
        <v>1540</v>
      </c>
    </row>
    <row r="516" ht="25" customHeight="1" spans="1:12">
      <c r="A516" s="9" t="s">
        <v>417</v>
      </c>
      <c r="B516" s="9" t="s">
        <v>415</v>
      </c>
      <c r="C516" s="9" t="s">
        <v>1543</v>
      </c>
      <c r="D516" s="12">
        <v>0.18</v>
      </c>
      <c r="E516" s="13">
        <f>IF(ISNUMBER('Sheet2-计算明细'!AG81),'Sheet2-计算明细'!AG81,"")</f>
        <v>38.03</v>
      </c>
      <c r="F516" s="13">
        <f>IF(ISNUMBER(对照快照!AG18),对照快照!AG18,"")</f>
        <v>68.49</v>
      </c>
      <c r="G516" s="13">
        <f t="shared" si="24"/>
        <v>6.8454</v>
      </c>
      <c r="H516" s="13">
        <f t="shared" si="25"/>
        <v>12.3282</v>
      </c>
      <c r="I516" s="13">
        <f t="shared" si="26"/>
        <v>-5.4828</v>
      </c>
      <c r="J516" s="15">
        <f>IF(ISNUMBER('Sheet2-计算明细'!AD81),'Sheet2-计算明细'!AD81,IF('Sheet2-计算明细'!AD81="","",'Sheet2-计算明细'!AD81))</f>
        <v>5.898</v>
      </c>
      <c r="K516" s="15">
        <f>IF(ISNUMBER(对照快照!AD18),对照快照!AD18,IF(对照快照!AD18="","",对照快照!AD18))</f>
        <v>6.181</v>
      </c>
      <c r="L516" s="9" t="s">
        <v>1540</v>
      </c>
    </row>
    <row r="517" ht="25" customHeight="1" spans="1:12">
      <c r="A517" s="9" t="s">
        <v>417</v>
      </c>
      <c r="B517" s="9" t="s">
        <v>415</v>
      </c>
      <c r="C517" s="9" t="s">
        <v>1544</v>
      </c>
      <c r="D517" s="12">
        <v>0.12</v>
      </c>
      <c r="E517" s="13">
        <f>IF(ISNUMBER('Sheet2-计算明细'!AH81),'Sheet2-计算明细'!AH81,"")</f>
        <v>0</v>
      </c>
      <c r="F517" s="13">
        <f>IF(ISNUMBER(对照快照!AH18),对照快照!AH18,"")</f>
        <v>17.02</v>
      </c>
      <c r="G517" s="13">
        <f t="shared" si="24"/>
        <v>0</v>
      </c>
      <c r="H517" s="13">
        <f t="shared" si="25"/>
        <v>2.0424</v>
      </c>
      <c r="I517" s="13">
        <f t="shared" si="26"/>
        <v>-2.0424</v>
      </c>
      <c r="J517" s="15">
        <f>IF(ISNUMBER('Sheet2-计算明细'!AF81),'Sheet2-计算明细'!AF81,IF('Sheet2-计算明细'!AF81="","",'Sheet2-计算明细'!AF81))</f>
        <v>0.34986368919528</v>
      </c>
      <c r="K517" s="15">
        <f>IF(ISNUMBER(对照快照!AF18),对照快照!AF18,IF(对照快照!AF18="","",对照快照!AF18))</f>
        <v>0.422295411112056</v>
      </c>
      <c r="L517" s="9" t="s">
        <v>1540</v>
      </c>
    </row>
    <row r="518" ht="25" customHeight="1" spans="1:12">
      <c r="A518" s="9" t="s">
        <v>417</v>
      </c>
      <c r="B518" s="9" t="s">
        <v>415</v>
      </c>
      <c r="C518" s="9" t="s">
        <v>574</v>
      </c>
      <c r="D518" s="12">
        <v>0.1</v>
      </c>
      <c r="E518" s="13">
        <f>IF(ISNUMBER('Sheet2-计算明细'!AK81),'Sheet2-计算明细'!AK81,"")</f>
        <v>80</v>
      </c>
      <c r="F518" s="13">
        <f>IF(ISNUMBER(对照快照!AK18),对照快照!AK18,"")</f>
        <v>80</v>
      </c>
      <c r="G518" s="13">
        <f t="shared" si="24"/>
        <v>8</v>
      </c>
      <c r="H518" s="13">
        <f t="shared" si="25"/>
        <v>8</v>
      </c>
      <c r="I518" s="13">
        <f t="shared" si="26"/>
        <v>0</v>
      </c>
      <c r="J518" s="15">
        <f>IF(ISNUMBER('Sheet2-计算明细'!AJ81),'Sheet2-计算明细'!AJ81,IF('Sheet2-计算明细'!AJ81="","",'Sheet2-计算明细'!AJ81))</f>
        <v>0.0404</v>
      </c>
      <c r="K518" s="15">
        <f>IF(ISNUMBER(对照快照!AJ18),对照快照!AJ18,IF(对照快照!AJ18="","",对照快照!AJ18))</f>
        <v>0.0477</v>
      </c>
      <c r="L518" s="9" t="s">
        <v>1538</v>
      </c>
    </row>
    <row r="519" ht="25" customHeight="1" spans="1:12">
      <c r="A519" s="9" t="s">
        <v>422</v>
      </c>
      <c r="B519" s="9" t="s">
        <v>421</v>
      </c>
      <c r="C519" s="9" t="s">
        <v>538</v>
      </c>
      <c r="D519" s="12">
        <v>0.06</v>
      </c>
      <c r="E519" s="13">
        <f>IF(ISNUMBER('Sheet2-计算明细'!I82),'Sheet2-计算明细'!I82,"")</f>
        <v>60</v>
      </c>
      <c r="F519" s="13">
        <f>IF(ISNUMBER(对照快照!I154),对照快照!I154,"")</f>
        <v>60</v>
      </c>
      <c r="G519" s="13">
        <f t="shared" si="24"/>
        <v>3.6</v>
      </c>
      <c r="H519" s="13">
        <f t="shared" si="25"/>
        <v>3.6</v>
      </c>
      <c r="I519" s="13">
        <f t="shared" si="26"/>
        <v>0</v>
      </c>
      <c r="J519" s="15" t="str">
        <f>IF(ISNUMBER('Sheet2-计算明细'!H82),'Sheet2-计算明细'!H82,IF('Sheet2-计算明细'!H82="","",'Sheet2-计算明细'!H82))</f>
        <v>0-5亿元</v>
      </c>
      <c r="K519" s="15" t="str">
        <f>IF(ISNUMBER(对照快照!H154),对照快照!H154,IF(对照快照!H154="","",对照快照!H154))</f>
        <v>0-5亿元</v>
      </c>
      <c r="L519" s="9" t="s">
        <v>1538</v>
      </c>
    </row>
    <row r="520" ht="25" customHeight="1" spans="1:12">
      <c r="A520" s="9" t="s">
        <v>422</v>
      </c>
      <c r="B520" s="9" t="s">
        <v>421</v>
      </c>
      <c r="C520" s="9" t="s">
        <v>543</v>
      </c>
      <c r="D520" s="12">
        <v>0.045</v>
      </c>
      <c r="E520" s="13">
        <f>IF(ISNUMBER('Sheet2-计算明细'!K82),'Sheet2-计算明细'!K82,"")</f>
        <v>100</v>
      </c>
      <c r="F520" s="13">
        <f>IF(ISNUMBER(对照快照!K154),对照快照!K154,"")</f>
        <v>100</v>
      </c>
      <c r="G520" s="13">
        <f t="shared" si="24"/>
        <v>4.5</v>
      </c>
      <c r="H520" s="13">
        <f t="shared" si="25"/>
        <v>4.5</v>
      </c>
      <c r="I520" s="13">
        <f t="shared" si="26"/>
        <v>0</v>
      </c>
      <c r="J520" s="15" t="str">
        <f>IF(ISNUMBER('Sheet2-计算明细'!J82),'Sheet2-计算明细'!J82,IF('Sheet2-计算明细'!J82="","",'Sheet2-计算明细'!J82))</f>
        <v>无低于1000万元标识</v>
      </c>
      <c r="K520" s="15" t="str">
        <f>IF(ISNUMBER(对照快照!J154),对照快照!J154,IF(对照快照!J154="","",对照快照!J154))</f>
        <v>无低于1000万元标识</v>
      </c>
      <c r="L520" s="9" t="s">
        <v>1538</v>
      </c>
    </row>
    <row r="521" ht="25" customHeight="1" spans="1:12">
      <c r="A521" s="9" t="s">
        <v>422</v>
      </c>
      <c r="B521" s="9" t="s">
        <v>421</v>
      </c>
      <c r="C521" s="9" t="s">
        <v>547</v>
      </c>
      <c r="D521" s="12">
        <v>0.045</v>
      </c>
      <c r="E521" s="13">
        <f>IF(ISNUMBER('Sheet2-计算明细'!L82),'Sheet2-计算明细'!L82,"")</f>
        <v>100</v>
      </c>
      <c r="F521" s="13">
        <f>IF(ISNUMBER(对照快照!L154),对照快照!L154,"")</f>
        <v>100</v>
      </c>
      <c r="G521" s="13">
        <f t="shared" si="24"/>
        <v>4.5</v>
      </c>
      <c r="H521" s="13">
        <f t="shared" si="25"/>
        <v>4.5</v>
      </c>
      <c r="I521" s="13">
        <f t="shared" si="26"/>
        <v>0</v>
      </c>
      <c r="J521" s="15">
        <f>IF(ISNUMBER('Sheet2-计算明细'!F82),'Sheet2-计算明细'!F82,IF('Sheet2-计算明细'!F82="","",'Sheet2-计算明细'!F82))</f>
        <v>3.8166</v>
      </c>
      <c r="K521" s="15">
        <f>IF(ISNUMBER(对照快照!F154),对照快照!F154,IF(对照快照!F154="","",对照快照!F154))</f>
        <v>3.8084</v>
      </c>
      <c r="L521" s="9" t="s">
        <v>1538</v>
      </c>
    </row>
    <row r="522" ht="25" customHeight="1" spans="1:12">
      <c r="A522" s="9" t="s">
        <v>422</v>
      </c>
      <c r="B522" s="9" t="s">
        <v>421</v>
      </c>
      <c r="C522" s="9" t="s">
        <v>1539</v>
      </c>
      <c r="D522" s="12">
        <v>0.084</v>
      </c>
      <c r="E522" s="13">
        <f>IF(ISNUMBER('Sheet2-计算明细'!Q82),'Sheet2-计算明细'!Q82,"")</f>
        <v>4.17</v>
      </c>
      <c r="F522" s="13">
        <f>IF(ISNUMBER(对照快照!Q154),对照快照!Q154,"")</f>
        <v>15.97</v>
      </c>
      <c r="G522" s="13">
        <f t="shared" si="24"/>
        <v>0.35028</v>
      </c>
      <c r="H522" s="13">
        <f t="shared" si="25"/>
        <v>1.34148</v>
      </c>
      <c r="I522" s="13">
        <f t="shared" si="26"/>
        <v>-0.9912</v>
      </c>
      <c r="J522" s="15">
        <f>IF(ISNUMBER('Sheet2-计算明细'!M82),'Sheet2-计算明细'!M82,IF('Sheet2-计算明细'!M82="","",'Sheet2-计算明细'!M82))</f>
        <v>0.00652201582515199</v>
      </c>
      <c r="K522" s="15">
        <f>IF(ISNUMBER(对照快照!M154),对照快照!M154,IF(对照快照!M154="","",对照快照!M154))</f>
        <v>0.0025</v>
      </c>
      <c r="L522" s="9" t="s">
        <v>1540</v>
      </c>
    </row>
    <row r="523" ht="25" customHeight="1" spans="1:12">
      <c r="A523" s="9" t="s">
        <v>422</v>
      </c>
      <c r="B523" s="9" t="s">
        <v>421</v>
      </c>
      <c r="C523" s="9" t="s">
        <v>1541</v>
      </c>
      <c r="D523" s="12">
        <v>0.056</v>
      </c>
      <c r="E523" s="13">
        <f>IF(ISNUMBER('Sheet2-计算明细'!R82),'Sheet2-计算明细'!R82,"")</f>
        <v>84.85</v>
      </c>
      <c r="F523" s="13">
        <f>IF(ISNUMBER(对照快照!R154),对照快照!R154,"")</f>
        <v>82.86</v>
      </c>
      <c r="G523" s="13">
        <f t="shared" si="24"/>
        <v>4.7516</v>
      </c>
      <c r="H523" s="13">
        <f t="shared" si="25"/>
        <v>4.64016</v>
      </c>
      <c r="I523" s="13">
        <f t="shared" si="26"/>
        <v>0.11144</v>
      </c>
      <c r="J523" s="15">
        <f>IF(ISNUMBER('Sheet2-计算明细'!P82),'Sheet2-计算明细'!P82,IF('Sheet2-计算明细'!P82="","",'Sheet2-计算明细'!P82))</f>
        <v>0.138421435325445</v>
      </c>
      <c r="K523" s="15">
        <f>IF(ISNUMBER(对照快照!P154),对照快照!P154,IF(对照快照!P154="","",对照快照!P154))</f>
        <v>0.138607505187729</v>
      </c>
      <c r="L523" s="9" t="s">
        <v>1540</v>
      </c>
    </row>
    <row r="524" ht="25" customHeight="1" spans="1:12">
      <c r="A524" s="9" t="s">
        <v>422</v>
      </c>
      <c r="B524" s="9" t="s">
        <v>421</v>
      </c>
      <c r="C524" s="9" t="s">
        <v>690</v>
      </c>
      <c r="D524" s="12">
        <v>0.036</v>
      </c>
      <c r="E524" s="13">
        <f>IF(ISNUMBER('Sheet2-计算明细'!W82),'Sheet2-计算明细'!W82,"")</f>
        <v>46.1538461538462</v>
      </c>
      <c r="F524" s="13">
        <f>IF(ISNUMBER(对照快照!W154),对照快照!W154,"")</f>
        <v>38.46</v>
      </c>
      <c r="G524" s="13">
        <f t="shared" si="24"/>
        <v>1.66153846153846</v>
      </c>
      <c r="H524" s="13">
        <f t="shared" si="25"/>
        <v>1.38456</v>
      </c>
      <c r="I524" s="13">
        <f t="shared" si="26"/>
        <v>0.276978461538461</v>
      </c>
      <c r="J524" s="15">
        <f>IF(ISNUMBER('Sheet2-计算明细'!T82),'Sheet2-计算明细'!T82,IF('Sheet2-计算明细'!T82="","",'Sheet2-计算明细'!T82))</f>
        <v>0.461538461538462</v>
      </c>
      <c r="K524" s="15">
        <f>IF(ISNUMBER(对照快照!T154),对照快照!T154,IF(对照快照!T154="","",对照快照!T154))</f>
        <v>0.3846</v>
      </c>
      <c r="L524" s="9" t="s">
        <v>1538</v>
      </c>
    </row>
    <row r="525" ht="25" customHeight="1" spans="1:12">
      <c r="A525" s="9" t="s">
        <v>422</v>
      </c>
      <c r="B525" s="9" t="s">
        <v>421</v>
      </c>
      <c r="C525" s="9" t="s">
        <v>692</v>
      </c>
      <c r="D525" s="12">
        <v>0.024</v>
      </c>
      <c r="E525" s="13">
        <f>IF(ISNUMBER('Sheet2-计算明细'!X82),'Sheet2-计算明细'!X82,"")</f>
        <v>75</v>
      </c>
      <c r="F525" s="13">
        <f>IF(ISNUMBER(对照快照!X154),对照快照!X154,"")</f>
        <v>83.3379166666667</v>
      </c>
      <c r="G525" s="13">
        <f t="shared" si="24"/>
        <v>1.8</v>
      </c>
      <c r="H525" s="13">
        <f t="shared" si="25"/>
        <v>2.00011</v>
      </c>
      <c r="I525" s="13">
        <f t="shared" si="26"/>
        <v>-0.200110000000001</v>
      </c>
      <c r="J525" s="15">
        <f>IF(ISNUMBER('Sheet2-计算明细'!V82),'Sheet2-计算明细'!V82,IF('Sheet2-计算明细'!V82="","",'Sheet2-计算明细'!V82))</f>
        <v>0.75</v>
      </c>
      <c r="K525" s="15">
        <f>IF(ISNUMBER(对照快照!V154),对照快照!V154,IF(对照快照!V154="","",对照快照!V154))</f>
        <v>0.833379166666667</v>
      </c>
      <c r="L525" s="9" t="s">
        <v>1538</v>
      </c>
    </row>
    <row r="526" ht="25" customHeight="1" spans="1:12">
      <c r="A526" s="9" t="s">
        <v>422</v>
      </c>
      <c r="B526" s="9" t="s">
        <v>421</v>
      </c>
      <c r="C526" s="9" t="s">
        <v>1542</v>
      </c>
      <c r="D526" s="12">
        <v>0.25</v>
      </c>
      <c r="E526" s="13">
        <f>IF(ISNUMBER('Sheet2-计算明细'!AC82),'Sheet2-计算明细'!AC82,"")</f>
        <v>21.62</v>
      </c>
      <c r="F526" s="13">
        <f>IF(ISNUMBER(对照快照!AC154),对照快照!AC154,"")</f>
        <v>48.72</v>
      </c>
      <c r="G526" s="13">
        <f t="shared" si="24"/>
        <v>5.405</v>
      </c>
      <c r="H526" s="13">
        <f t="shared" si="25"/>
        <v>12.18</v>
      </c>
      <c r="I526" s="13">
        <f t="shared" si="26"/>
        <v>-6.775</v>
      </c>
      <c r="J526" s="15">
        <f>IF(ISNUMBER('Sheet2-计算明细'!AB82),'Sheet2-计算明细'!AB82,IF('Sheet2-计算明细'!AB82="","",'Sheet2-计算明细'!AB82))</f>
        <v>0.0431149238278361</v>
      </c>
      <c r="K526" s="15">
        <f>IF(ISNUMBER(对照快照!AB154),对照快照!AB154,IF(对照快照!AB154="","",对照快照!AB154))</f>
        <v>0.0431</v>
      </c>
      <c r="L526" s="9" t="s">
        <v>1540</v>
      </c>
    </row>
    <row r="527" ht="25" customHeight="1" spans="1:12">
      <c r="A527" s="9" t="s">
        <v>422</v>
      </c>
      <c r="B527" s="9" t="s">
        <v>421</v>
      </c>
      <c r="C527" s="9" t="s">
        <v>1543</v>
      </c>
      <c r="D527" s="12">
        <v>0.18</v>
      </c>
      <c r="E527" s="13">
        <f>IF(ISNUMBER('Sheet2-计算明细'!AG82),'Sheet2-计算明细'!AG82,"")</f>
        <v>2.82</v>
      </c>
      <c r="F527" s="13">
        <f>IF(ISNUMBER(对照快照!AG154),对照快照!AG154,"")</f>
        <v>16.4</v>
      </c>
      <c r="G527" s="13">
        <f t="shared" si="24"/>
        <v>0.5076</v>
      </c>
      <c r="H527" s="13">
        <f t="shared" si="25"/>
        <v>2.952</v>
      </c>
      <c r="I527" s="13">
        <f t="shared" si="26"/>
        <v>-2.4444</v>
      </c>
      <c r="J527" s="15">
        <f>IF(ISNUMBER('Sheet2-计算明细'!AD82),'Sheet2-计算明细'!AD82,IF('Sheet2-计算明细'!AD82="","",'Sheet2-计算明细'!AD82))</f>
        <v>0.151270493975481</v>
      </c>
      <c r="K527" s="15">
        <f>IF(ISNUMBER(对照快照!AD154),对照快照!AD154,IF(对照快照!AD154="","",对照快照!AD154))</f>
        <v>0.0589</v>
      </c>
      <c r="L527" s="9" t="s">
        <v>1540</v>
      </c>
    </row>
    <row r="528" ht="25" customHeight="1" spans="1:12">
      <c r="A528" s="9" t="s">
        <v>422</v>
      </c>
      <c r="B528" s="9" t="s">
        <v>421</v>
      </c>
      <c r="C528" s="9" t="s">
        <v>1544</v>
      </c>
      <c r="D528" s="12">
        <v>0.12</v>
      </c>
      <c r="E528" s="13" t="str">
        <f>IF(ISNUMBER('Sheet2-计算明细'!AH82),'Sheet2-计算明细'!AH82,"")</f>
        <v/>
      </c>
      <c r="F528" s="13">
        <f>IF(ISNUMBER(对照快照!AH154),对照快照!AH154,"")</f>
        <v>78.01</v>
      </c>
      <c r="G528" s="13">
        <f t="shared" si="24"/>
        <v>0</v>
      </c>
      <c r="H528" s="13">
        <f t="shared" si="25"/>
        <v>9.3612</v>
      </c>
      <c r="I528" s="13">
        <f t="shared" si="26"/>
        <v>-9.3612</v>
      </c>
      <c r="J528" s="15" t="str">
        <f>IF(ISNUMBER('Sheet2-计算明细'!AF82),'Sheet2-计算明细'!AF82,IF('Sheet2-计算明细'!AF82="","",'Sheet2-计算明细'!AF82))</f>
        <v/>
      </c>
      <c r="K528" s="15">
        <f>IF(ISNUMBER(对照快照!AF154),对照快照!AF154,IF(对照快照!AF154="","",对照快照!AF154))</f>
        <v>3.21595139646704</v>
      </c>
      <c r="L528" s="9" t="s">
        <v>1540</v>
      </c>
    </row>
    <row r="529" ht="25" customHeight="1" spans="1:12">
      <c r="A529" s="9" t="s">
        <v>422</v>
      </c>
      <c r="B529" s="9" t="s">
        <v>421</v>
      </c>
      <c r="C529" s="9" t="s">
        <v>574</v>
      </c>
      <c r="D529" s="12">
        <v>0.1</v>
      </c>
      <c r="E529" s="13">
        <f>IF(ISNUMBER('Sheet2-计算明细'!AK82),'Sheet2-计算明细'!AK82,"")</f>
        <v>80</v>
      </c>
      <c r="F529" s="13">
        <f>IF(ISNUMBER(对照快照!AK154),对照快照!AK154,"")</f>
        <v>80</v>
      </c>
      <c r="G529" s="13">
        <f t="shared" si="24"/>
        <v>8</v>
      </c>
      <c r="H529" s="13">
        <f t="shared" si="25"/>
        <v>8</v>
      </c>
      <c r="I529" s="13">
        <f t="shared" si="26"/>
        <v>0</v>
      </c>
      <c r="J529" s="15">
        <f>IF(ISNUMBER('Sheet2-计算明细'!AJ82),'Sheet2-计算明细'!AJ82,IF('Sheet2-计算明细'!AJ82="","",'Sheet2-计算明细'!AJ82))</f>
        <v>0.0926384246815495</v>
      </c>
      <c r="K529" s="15">
        <f>IF(ISNUMBER(对照快照!AJ154),对照快照!AJ154,IF(对照快照!AJ154="","",对照快照!AJ154))</f>
        <v>0.0913</v>
      </c>
      <c r="L529" s="9" t="s">
        <v>1538</v>
      </c>
    </row>
    <row r="530" ht="25" customHeight="1" spans="1:12">
      <c r="A530" s="9" t="s">
        <v>435</v>
      </c>
      <c r="B530" s="9" t="s">
        <v>434</v>
      </c>
      <c r="C530" s="9" t="s">
        <v>538</v>
      </c>
      <c r="D530" s="12">
        <v>0.06</v>
      </c>
      <c r="E530" s="13">
        <f>IF(ISNUMBER('Sheet2-计算明细'!I84),'Sheet2-计算明细'!I84,"")</f>
        <v>80</v>
      </c>
      <c r="F530" s="13">
        <f>IF(ISNUMBER(对照快照!I271),对照快照!I271,"")</f>
        <v>80</v>
      </c>
      <c r="G530" s="13">
        <f t="shared" si="24"/>
        <v>4.8</v>
      </c>
      <c r="H530" s="13">
        <f t="shared" si="25"/>
        <v>4.8</v>
      </c>
      <c r="I530" s="13">
        <f t="shared" si="26"/>
        <v>0</v>
      </c>
      <c r="J530" s="15" t="str">
        <f>IF(ISNUMBER('Sheet2-计算明细'!H84),'Sheet2-计算明细'!H84,IF('Sheet2-计算明细'!H84="","",'Sheet2-计算明细'!H84))</f>
        <v>10-20亿元</v>
      </c>
      <c r="K530" s="15" t="str">
        <f>IF(ISNUMBER(对照快照!H271),对照快照!H271,IF(对照快照!H271="","",对照快照!H271))</f>
        <v>10-20亿元</v>
      </c>
      <c r="L530" s="9" t="s">
        <v>1538</v>
      </c>
    </row>
    <row r="531" ht="25" customHeight="1" spans="1:12">
      <c r="A531" s="9" t="s">
        <v>435</v>
      </c>
      <c r="B531" s="9" t="s">
        <v>434</v>
      </c>
      <c r="C531" s="9" t="s">
        <v>543</v>
      </c>
      <c r="D531" s="12">
        <v>0.045</v>
      </c>
      <c r="E531" s="13" t="str">
        <f>IF(ISNUMBER('Sheet2-计算明细'!K84),'Sheet2-计算明细'!K84,"")</f>
        <v/>
      </c>
      <c r="F531" s="13">
        <f>IF(ISNUMBER(对照快照!K271),对照快照!K271,"")</f>
        <v>100</v>
      </c>
      <c r="G531" s="13">
        <f t="shared" si="24"/>
        <v>0</v>
      </c>
      <c r="H531" s="13">
        <f t="shared" si="25"/>
        <v>4.5</v>
      </c>
      <c r="I531" s="13">
        <f t="shared" si="26"/>
        <v>-4.5</v>
      </c>
      <c r="J531" s="15" t="str">
        <f>IF(ISNUMBER('Sheet2-计算明细'!J84),'Sheet2-计算明细'!J84,IF('Sheet2-计算明细'!J84="","",'Sheet2-计算明细'!J84))</f>
        <v/>
      </c>
      <c r="K531" s="15" t="str">
        <f>IF(ISNUMBER(对照快照!J271),对照快照!J271,IF(对照快照!J271="","",对照快照!J271))</f>
        <v>无低于1000万元标识</v>
      </c>
      <c r="L531" s="9" t="s">
        <v>1538</v>
      </c>
    </row>
    <row r="532" ht="25" customHeight="1" spans="1:12">
      <c r="A532" s="9" t="s">
        <v>435</v>
      </c>
      <c r="B532" s="9" t="s">
        <v>434</v>
      </c>
      <c r="C532" s="9" t="s">
        <v>547</v>
      </c>
      <c r="D532" s="12">
        <v>0.045</v>
      </c>
      <c r="E532" s="13">
        <f>IF(ISNUMBER('Sheet2-计算明细'!L84),'Sheet2-计算明细'!L84,"")</f>
        <v>70</v>
      </c>
      <c r="F532" s="13">
        <f>IF(ISNUMBER(对照快照!L271),对照快照!L271,"")</f>
        <v>70</v>
      </c>
      <c r="G532" s="13">
        <f t="shared" si="24"/>
        <v>3.15</v>
      </c>
      <c r="H532" s="13">
        <f t="shared" si="25"/>
        <v>3.15</v>
      </c>
      <c r="I532" s="13">
        <f t="shared" si="26"/>
        <v>0</v>
      </c>
      <c r="J532" s="15">
        <f>IF(ISNUMBER('Sheet2-计算明细'!F84),'Sheet2-计算明细'!F84,IF('Sheet2-计算明细'!F84="","",'Sheet2-计算明细'!F84))</f>
        <v>2.2834</v>
      </c>
      <c r="K532" s="15">
        <f>IF(ISNUMBER(对照快照!F271),对照快照!F271,IF(对照快照!F271="","",对照快照!F271))</f>
        <v>2.2752</v>
      </c>
      <c r="L532" s="9" t="s">
        <v>1538</v>
      </c>
    </row>
    <row r="533" ht="25" customHeight="1" spans="1:12">
      <c r="A533" s="9" t="s">
        <v>435</v>
      </c>
      <c r="B533" s="9" t="s">
        <v>434</v>
      </c>
      <c r="C533" s="9" t="s">
        <v>1539</v>
      </c>
      <c r="D533" s="12">
        <v>0.084</v>
      </c>
      <c r="E533" s="13">
        <f>IF(ISNUMBER('Sheet2-计算明细'!Q84),'Sheet2-计算明细'!Q84,"")</f>
        <v>50</v>
      </c>
      <c r="F533" s="13">
        <f>IF(ISNUMBER(对照快照!Q271),对照快照!Q271,"")</f>
        <v>67.57</v>
      </c>
      <c r="G533" s="13">
        <f t="shared" si="24"/>
        <v>4.2</v>
      </c>
      <c r="H533" s="13">
        <f t="shared" si="25"/>
        <v>5.67588</v>
      </c>
      <c r="I533" s="13">
        <f t="shared" si="26"/>
        <v>-1.47588</v>
      </c>
      <c r="J533" s="15">
        <f>IF(ISNUMBER('Sheet2-计算明细'!M84),'Sheet2-计算明细'!M84,IF('Sheet2-计算明细'!M84="","",'Sheet2-计算明细'!M84))</f>
        <v>0.087</v>
      </c>
      <c r="K533" s="15">
        <f>IF(ISNUMBER(对照快照!M271),对照快照!M271,IF(对照快照!M271="","",对照快照!M271))</f>
        <v>0.0878</v>
      </c>
      <c r="L533" s="9" t="s">
        <v>1540</v>
      </c>
    </row>
    <row r="534" ht="25" customHeight="1" spans="1:12">
      <c r="A534" s="9" t="s">
        <v>435</v>
      </c>
      <c r="B534" s="9" t="s">
        <v>434</v>
      </c>
      <c r="C534" s="9" t="s">
        <v>1541</v>
      </c>
      <c r="D534" s="12">
        <v>0.056</v>
      </c>
      <c r="E534" s="13">
        <f>IF(ISNUMBER('Sheet2-计算明细'!R84),'Sheet2-计算明细'!R84,"")</f>
        <v>39.39</v>
      </c>
      <c r="F534" s="13" t="str">
        <f>IF(ISNUMBER(对照快照!R271),对照快照!R271,"")</f>
        <v/>
      </c>
      <c r="G534" s="13">
        <f t="shared" si="24"/>
        <v>2.20584</v>
      </c>
      <c r="H534" s="13">
        <f t="shared" si="25"/>
        <v>0</v>
      </c>
      <c r="I534" s="13">
        <f t="shared" si="26"/>
        <v>2.20584</v>
      </c>
      <c r="J534" s="15">
        <f>IF(ISNUMBER('Sheet2-计算明细'!P84),'Sheet2-计算明细'!P84,IF('Sheet2-计算明细'!P84="","",'Sheet2-计算明细'!P84))</f>
        <v>0.0627450262635478</v>
      </c>
      <c r="K534" s="15" t="str">
        <f>IF(ISNUMBER(对照快照!P271),对照快照!P271,IF(对照快照!P271="","",对照快照!P271))</f>
        <v/>
      </c>
      <c r="L534" s="9" t="s">
        <v>1540</v>
      </c>
    </row>
    <row r="535" ht="25" customHeight="1" spans="1:12">
      <c r="A535" s="9" t="s">
        <v>435</v>
      </c>
      <c r="B535" s="9" t="s">
        <v>434</v>
      </c>
      <c r="C535" s="9" t="s">
        <v>690</v>
      </c>
      <c r="D535" s="12">
        <v>0.036</v>
      </c>
      <c r="E535" s="13">
        <f>IF(ISNUMBER('Sheet2-计算明细'!W84),'Sheet2-计算明细'!W84,"")</f>
        <v>76.92</v>
      </c>
      <c r="F535" s="13">
        <f>IF(ISNUMBER(对照快照!W271),对照快照!W271,"")</f>
        <v>84.62</v>
      </c>
      <c r="G535" s="13">
        <f t="shared" si="24"/>
        <v>2.76912</v>
      </c>
      <c r="H535" s="13">
        <f t="shared" si="25"/>
        <v>3.04632</v>
      </c>
      <c r="I535" s="13">
        <f t="shared" si="26"/>
        <v>-0.2772</v>
      </c>
      <c r="J535" s="15">
        <f>IF(ISNUMBER('Sheet2-计算明细'!T84),'Sheet2-计算明细'!T84,IF('Sheet2-计算明细'!T84="","",'Sheet2-计算明细'!T84))</f>
        <v>0.7692</v>
      </c>
      <c r="K535" s="15">
        <f>IF(ISNUMBER(对照快照!T271),对照快照!T271,IF(对照快照!T271="","",对照快照!T271))</f>
        <v>0.8462</v>
      </c>
      <c r="L535" s="9" t="s">
        <v>1538</v>
      </c>
    </row>
    <row r="536" ht="25" customHeight="1" spans="1:12">
      <c r="A536" s="9" t="s">
        <v>435</v>
      </c>
      <c r="B536" s="9" t="s">
        <v>434</v>
      </c>
      <c r="C536" s="9" t="s">
        <v>692</v>
      </c>
      <c r="D536" s="12">
        <v>0.024</v>
      </c>
      <c r="E536" s="13" t="str">
        <f>IF(ISNUMBER('Sheet2-计算明细'!X84),'Sheet2-计算明细'!X84,"")</f>
        <v/>
      </c>
      <c r="F536" s="13" t="str">
        <f>IF(ISNUMBER(对照快照!X271),对照快照!X271,"")</f>
        <v/>
      </c>
      <c r="G536" s="13">
        <f t="shared" si="24"/>
        <v>0</v>
      </c>
      <c r="H536" s="13">
        <f t="shared" si="25"/>
        <v>0</v>
      </c>
      <c r="I536" s="13">
        <f t="shared" si="26"/>
        <v>0</v>
      </c>
      <c r="J536" s="15" t="str">
        <f>IF(ISNUMBER('Sheet2-计算明细'!V84),'Sheet2-计算明细'!V84,IF('Sheet2-计算明细'!V84="","",'Sheet2-计算明细'!V84))</f>
        <v/>
      </c>
      <c r="K536" s="15" t="str">
        <f>IF(ISNUMBER(对照快照!V271),对照快照!V271,IF(对照快照!V271="","",对照快照!V271))</f>
        <v/>
      </c>
      <c r="L536" s="9" t="s">
        <v>1538</v>
      </c>
    </row>
    <row r="537" ht="25" customHeight="1" spans="1:12">
      <c r="A537" s="9" t="s">
        <v>435</v>
      </c>
      <c r="B537" s="9" t="s">
        <v>434</v>
      </c>
      <c r="C537" s="9" t="s">
        <v>1542</v>
      </c>
      <c r="D537" s="12">
        <v>0.25</v>
      </c>
      <c r="E537" s="13">
        <f>IF(ISNUMBER('Sheet2-计算明细'!AC84),'Sheet2-计算明细'!AC84,"")</f>
        <v>87.84</v>
      </c>
      <c r="F537" s="13">
        <f>IF(ISNUMBER(对照快照!AC271),对照快照!AC271,"")</f>
        <v>93.59</v>
      </c>
      <c r="G537" s="13">
        <f t="shared" si="24"/>
        <v>21.96</v>
      </c>
      <c r="H537" s="13">
        <f t="shared" si="25"/>
        <v>23.3975</v>
      </c>
      <c r="I537" s="13">
        <f t="shared" si="26"/>
        <v>-1.4375</v>
      </c>
      <c r="J537" s="15">
        <f>IF(ISNUMBER('Sheet2-计算明细'!AB84),'Sheet2-计算明细'!AB84,IF('Sheet2-计算明细'!AB84="","",'Sheet2-计算明细'!AB84))</f>
        <v>0.00475425423784386</v>
      </c>
      <c r="K537" s="15">
        <f>IF(ISNUMBER(对照快照!AB271),对照快照!AB271,IF(对照快照!AB271="","",对照快照!AB271))</f>
        <v>0.00475460704093403</v>
      </c>
      <c r="L537" s="9" t="s">
        <v>1540</v>
      </c>
    </row>
    <row r="538" ht="25" customHeight="1" spans="1:12">
      <c r="A538" s="9" t="s">
        <v>435</v>
      </c>
      <c r="B538" s="9" t="s">
        <v>434</v>
      </c>
      <c r="C538" s="9" t="s">
        <v>1543</v>
      </c>
      <c r="D538" s="12">
        <v>0.18</v>
      </c>
      <c r="E538" s="13">
        <f>IF(ISNUMBER('Sheet2-计算明细'!AG84),'Sheet2-计算明细'!AG84,"")</f>
        <v>70.42</v>
      </c>
      <c r="F538" s="13">
        <f>IF(ISNUMBER(对照快照!AG271),对照快照!AG271,"")</f>
        <v>89.07</v>
      </c>
      <c r="G538" s="13">
        <f t="shared" si="24"/>
        <v>12.6756</v>
      </c>
      <c r="H538" s="13">
        <f t="shared" si="25"/>
        <v>16.0326</v>
      </c>
      <c r="I538" s="13">
        <f t="shared" si="26"/>
        <v>-3.357</v>
      </c>
      <c r="J538" s="15">
        <f>IF(ISNUMBER('Sheet2-计算明细'!AD84),'Sheet2-计算明细'!AD84,IF('Sheet2-计算明细'!AD84="","",'Sheet2-计算明细'!AD84))</f>
        <v>18.2994</v>
      </c>
      <c r="K538" s="15">
        <f>IF(ISNUMBER(对照快照!AD271),对照快照!AD271,IF(对照快照!AD271="","",对照快照!AD271))</f>
        <v>18.4663</v>
      </c>
      <c r="L538" s="9" t="s">
        <v>1540</v>
      </c>
    </row>
    <row r="539" ht="25" customHeight="1" spans="1:12">
      <c r="A539" s="9" t="s">
        <v>435</v>
      </c>
      <c r="B539" s="9" t="s">
        <v>434</v>
      </c>
      <c r="C539" s="9" t="s">
        <v>1544</v>
      </c>
      <c r="D539" s="12">
        <v>0.12</v>
      </c>
      <c r="E539" s="13" t="str">
        <f>IF(ISNUMBER('Sheet2-计算明细'!AH84),'Sheet2-计算明细'!AH84,"")</f>
        <v/>
      </c>
      <c r="F539" s="13" t="str">
        <f>IF(ISNUMBER(对照快照!AH271),对照快照!AH271,"")</f>
        <v/>
      </c>
      <c r="G539" s="13">
        <f t="shared" si="24"/>
        <v>0</v>
      </c>
      <c r="H539" s="13">
        <f t="shared" si="25"/>
        <v>0</v>
      </c>
      <c r="I539" s="13">
        <f t="shared" si="26"/>
        <v>0</v>
      </c>
      <c r="J539" s="15" t="str">
        <f>IF(ISNUMBER('Sheet2-计算明细'!AF84),'Sheet2-计算明细'!AF84,IF('Sheet2-计算明细'!AF84="","",'Sheet2-计算明细'!AF84))</f>
        <v/>
      </c>
      <c r="K539" s="15" t="str">
        <f>IF(ISNUMBER(对照快照!AF271),对照快照!AF271,IF(对照快照!AF271="","",对照快照!AF271))</f>
        <v/>
      </c>
      <c r="L539" s="9" t="s">
        <v>1540</v>
      </c>
    </row>
    <row r="540" ht="25" customHeight="1" spans="1:12">
      <c r="A540" s="9" t="s">
        <v>435</v>
      </c>
      <c r="B540" s="9" t="s">
        <v>434</v>
      </c>
      <c r="C540" s="9" t="s">
        <v>574</v>
      </c>
      <c r="D540" s="12">
        <v>0.1</v>
      </c>
      <c r="E540" s="13">
        <f>IF(ISNUMBER('Sheet2-计算明细'!AK84),'Sheet2-计算明细'!AK84,"")</f>
        <v>100</v>
      </c>
      <c r="F540" s="13" t="str">
        <f>IF(ISNUMBER(对照快照!AK271),对照快照!AK271,"")</f>
        <v/>
      </c>
      <c r="G540" s="13">
        <f t="shared" si="24"/>
        <v>10</v>
      </c>
      <c r="H540" s="13">
        <f t="shared" si="25"/>
        <v>0</v>
      </c>
      <c r="I540" s="13">
        <f t="shared" si="26"/>
        <v>10</v>
      </c>
      <c r="J540" s="15">
        <f>IF(ISNUMBER('Sheet2-计算明细'!AJ84),'Sheet2-计算明细'!AJ84,IF('Sheet2-计算明细'!AJ84="","",'Sheet2-计算明细'!AJ84))</f>
        <v>0.0733</v>
      </c>
      <c r="K540" s="15" t="str">
        <f>IF(ISNUMBER(对照快照!AJ271),对照快照!AJ271,IF(对照快照!AJ271="","",对照快照!AJ271))</f>
        <v/>
      </c>
      <c r="L540" s="9" t="s">
        <v>1538</v>
      </c>
    </row>
    <row r="541" ht="25" customHeight="1" spans="1:12">
      <c r="A541" s="9" t="s">
        <v>441</v>
      </c>
      <c r="B541" s="9" t="s">
        <v>440</v>
      </c>
      <c r="C541" s="9" t="s">
        <v>538</v>
      </c>
      <c r="D541" s="12">
        <v>0.06</v>
      </c>
      <c r="E541" s="13">
        <f>IF(ISNUMBER('Sheet2-计算明细'!I85),'Sheet2-计算明细'!I85,"")</f>
        <v>60</v>
      </c>
      <c r="F541" s="13">
        <f>IF(ISNUMBER(对照快照!I200),对照快照!I200,"")</f>
        <v>60</v>
      </c>
      <c r="G541" s="13">
        <f t="shared" si="24"/>
        <v>3.6</v>
      </c>
      <c r="H541" s="13">
        <f t="shared" si="25"/>
        <v>3.6</v>
      </c>
      <c r="I541" s="13">
        <f t="shared" si="26"/>
        <v>0</v>
      </c>
      <c r="J541" s="15" t="str">
        <f>IF(ISNUMBER('Sheet2-计算明细'!H85),'Sheet2-计算明细'!H85,IF('Sheet2-计算明细'!H85="","",'Sheet2-计算明细'!H85))</f>
        <v>0-5亿元</v>
      </c>
      <c r="K541" s="15" t="str">
        <f>IF(ISNUMBER(对照快照!H200),对照快照!H200,IF(对照快照!H200="","",对照快照!H200))</f>
        <v>0-5亿元</v>
      </c>
      <c r="L541" s="9" t="s">
        <v>1538</v>
      </c>
    </row>
    <row r="542" ht="25" customHeight="1" spans="1:12">
      <c r="A542" s="9" t="s">
        <v>441</v>
      </c>
      <c r="B542" s="9" t="s">
        <v>440</v>
      </c>
      <c r="C542" s="9" t="s">
        <v>543</v>
      </c>
      <c r="D542" s="12">
        <v>0.045</v>
      </c>
      <c r="E542" s="13">
        <f>IF(ISNUMBER('Sheet2-计算明细'!K85),'Sheet2-计算明细'!K85,"")</f>
        <v>100</v>
      </c>
      <c r="F542" s="13">
        <f>IF(ISNUMBER(对照快照!K200),对照快照!K200,"")</f>
        <v>100</v>
      </c>
      <c r="G542" s="13">
        <f t="shared" si="24"/>
        <v>4.5</v>
      </c>
      <c r="H542" s="13">
        <f t="shared" si="25"/>
        <v>4.5</v>
      </c>
      <c r="I542" s="13">
        <f t="shared" si="26"/>
        <v>0</v>
      </c>
      <c r="J542" s="15" t="str">
        <f>IF(ISNUMBER('Sheet2-计算明细'!J85),'Sheet2-计算明细'!J85,IF('Sheet2-计算明细'!J85="","",'Sheet2-计算明细'!J85))</f>
        <v>无低于1000万元标识</v>
      </c>
      <c r="K542" s="15" t="str">
        <f>IF(ISNUMBER(对照快照!J200),对照快照!J200,IF(对照快照!J200="","",对照快照!J200))</f>
        <v>无低于1000万元标识</v>
      </c>
      <c r="L542" s="9" t="s">
        <v>1538</v>
      </c>
    </row>
    <row r="543" ht="25" customHeight="1" spans="1:12">
      <c r="A543" s="9" t="s">
        <v>441</v>
      </c>
      <c r="B543" s="9" t="s">
        <v>440</v>
      </c>
      <c r="C543" s="9" t="s">
        <v>547</v>
      </c>
      <c r="D543" s="12">
        <v>0.045</v>
      </c>
      <c r="E543" s="13">
        <f>IF(ISNUMBER('Sheet2-计算明细'!L85),'Sheet2-计算明细'!L85,"")</f>
        <v>100</v>
      </c>
      <c r="F543" s="13">
        <f>IF(ISNUMBER(对照快照!L200),对照快照!L200,"")</f>
        <v>100</v>
      </c>
      <c r="G543" s="13">
        <f t="shared" si="24"/>
        <v>4.5</v>
      </c>
      <c r="H543" s="13">
        <f t="shared" si="25"/>
        <v>4.5</v>
      </c>
      <c r="I543" s="13">
        <f t="shared" si="26"/>
        <v>0</v>
      </c>
      <c r="J543" s="15">
        <f>IF(ISNUMBER('Sheet2-计算明细'!F85),'Sheet2-计算明细'!F85,IF('Sheet2-计算明细'!F85="","",'Sheet2-计算明细'!F85))</f>
        <v>5.8042</v>
      </c>
      <c r="K543" s="15">
        <f>IF(ISNUMBER(对照快照!F200),对照快照!F200,IF(对照快照!F200="","",对照快照!F200))</f>
        <v>5.796</v>
      </c>
      <c r="L543" s="9" t="s">
        <v>1538</v>
      </c>
    </row>
    <row r="544" ht="25" customHeight="1" spans="1:12">
      <c r="A544" s="9" t="s">
        <v>441</v>
      </c>
      <c r="B544" s="9" t="s">
        <v>440</v>
      </c>
      <c r="C544" s="9" t="s">
        <v>1539</v>
      </c>
      <c r="D544" s="12">
        <v>0.084</v>
      </c>
      <c r="E544" s="13">
        <f>IF(ISNUMBER('Sheet2-计算明细'!Q85),'Sheet2-计算明细'!Q85,"")</f>
        <v>22.22</v>
      </c>
      <c r="F544" s="13">
        <f>IF(ISNUMBER(对照快照!Q200),对照快照!Q200,"")</f>
        <v>49.2</v>
      </c>
      <c r="G544" s="13">
        <f t="shared" si="24"/>
        <v>1.86648</v>
      </c>
      <c r="H544" s="13">
        <f t="shared" si="25"/>
        <v>4.1328</v>
      </c>
      <c r="I544" s="13">
        <f t="shared" si="26"/>
        <v>-2.26632</v>
      </c>
      <c r="J544" s="15">
        <f>IF(ISNUMBER('Sheet2-计算明细'!M85),'Sheet2-计算明细'!M85,IF('Sheet2-计算明细'!M85="","",'Sheet2-计算明细'!M85))</f>
        <v>0.0553</v>
      </c>
      <c r="K544" s="15">
        <f>IF(ISNUMBER(对照快照!M200),对照快照!M200,IF(对照快照!M200="","",对照快照!M200))</f>
        <v>0.0625</v>
      </c>
      <c r="L544" s="9" t="s">
        <v>1540</v>
      </c>
    </row>
    <row r="545" ht="25" customHeight="1" spans="1:12">
      <c r="A545" s="9" t="s">
        <v>441</v>
      </c>
      <c r="B545" s="9" t="s">
        <v>440</v>
      </c>
      <c r="C545" s="9" t="s">
        <v>1541</v>
      </c>
      <c r="D545" s="12">
        <v>0.056</v>
      </c>
      <c r="E545" s="13">
        <f>IF(ISNUMBER('Sheet2-计算明细'!R85),'Sheet2-计算明细'!R85,"")</f>
        <v>89.39</v>
      </c>
      <c r="F545" s="13">
        <f>IF(ISNUMBER(对照快照!R200),对照快照!R200,"")</f>
        <v>86.19</v>
      </c>
      <c r="G545" s="13">
        <f t="shared" si="24"/>
        <v>5.00584</v>
      </c>
      <c r="H545" s="13">
        <f t="shared" si="25"/>
        <v>4.82664</v>
      </c>
      <c r="I545" s="13">
        <f t="shared" si="26"/>
        <v>0.1792</v>
      </c>
      <c r="J545" s="15">
        <f>IF(ISNUMBER('Sheet2-计算明细'!P85),'Sheet2-计算明细'!P85,IF('Sheet2-计算明细'!P85="","",'Sheet2-计算明细'!P85))</f>
        <v>0.152586645115345</v>
      </c>
      <c r="K545" s="15">
        <f>IF(ISNUMBER(对照快照!P200),对照快照!P200,IF(对照快照!P200="","",对照快照!P200))</f>
        <v>0.146981734401361</v>
      </c>
      <c r="L545" s="9" t="s">
        <v>1540</v>
      </c>
    </row>
    <row r="546" ht="25" customHeight="1" spans="1:12">
      <c r="A546" s="9" t="s">
        <v>441</v>
      </c>
      <c r="B546" s="9" t="s">
        <v>440</v>
      </c>
      <c r="C546" s="9" t="s">
        <v>690</v>
      </c>
      <c r="D546" s="12">
        <v>0.036</v>
      </c>
      <c r="E546" s="13">
        <f>IF(ISNUMBER('Sheet2-计算明细'!W85),'Sheet2-计算明细'!W85,"")</f>
        <v>84.62</v>
      </c>
      <c r="F546" s="13">
        <f>IF(ISNUMBER(对照快照!W200),对照快照!W200,"")</f>
        <v>84.62</v>
      </c>
      <c r="G546" s="13">
        <f t="shared" si="24"/>
        <v>3.04632</v>
      </c>
      <c r="H546" s="13">
        <f t="shared" si="25"/>
        <v>3.04632</v>
      </c>
      <c r="I546" s="13">
        <f t="shared" si="26"/>
        <v>0</v>
      </c>
      <c r="J546" s="15">
        <f>IF(ISNUMBER('Sheet2-计算明细'!T85),'Sheet2-计算明细'!T85,IF('Sheet2-计算明细'!T85="","",'Sheet2-计算明细'!T85))</f>
        <v>0.8462</v>
      </c>
      <c r="K546" s="15">
        <f>IF(ISNUMBER(对照快照!T200),对照快照!T200,IF(对照快照!T200="","",对照快照!T200))</f>
        <v>0.8462</v>
      </c>
      <c r="L546" s="9" t="s">
        <v>1538</v>
      </c>
    </row>
    <row r="547" ht="25" customHeight="1" spans="1:12">
      <c r="A547" s="9" t="s">
        <v>441</v>
      </c>
      <c r="B547" s="9" t="s">
        <v>440</v>
      </c>
      <c r="C547" s="9" t="s">
        <v>692</v>
      </c>
      <c r="D547" s="12">
        <v>0.024</v>
      </c>
      <c r="E547" s="13">
        <f>IF(ISNUMBER('Sheet2-计算明细'!X85),'Sheet2-计算明细'!X85,"")</f>
        <v>79.1625</v>
      </c>
      <c r="F547" s="13">
        <f>IF(ISNUMBER(对照快照!X200),对照快照!X200,"")</f>
        <v>75</v>
      </c>
      <c r="G547" s="13">
        <f t="shared" si="24"/>
        <v>1.8999</v>
      </c>
      <c r="H547" s="13">
        <f t="shared" si="25"/>
        <v>1.8</v>
      </c>
      <c r="I547" s="13">
        <f t="shared" si="26"/>
        <v>0.0998999999999999</v>
      </c>
      <c r="J547" s="15">
        <f>IF(ISNUMBER('Sheet2-计算明细'!V85),'Sheet2-计算明细'!V85,IF('Sheet2-计算明细'!V85="","",'Sheet2-计算明细'!V85))</f>
        <v>0.791625</v>
      </c>
      <c r="K547" s="15">
        <f>IF(ISNUMBER(对照快照!V200),对照快照!V200,IF(对照快照!V200="","",对照快照!V200))</f>
        <v>0.75</v>
      </c>
      <c r="L547" s="9" t="s">
        <v>1538</v>
      </c>
    </row>
    <row r="548" ht="25" customHeight="1" spans="1:12">
      <c r="A548" s="9" t="s">
        <v>441</v>
      </c>
      <c r="B548" s="9" t="s">
        <v>440</v>
      </c>
      <c r="C548" s="9" t="s">
        <v>1542</v>
      </c>
      <c r="D548" s="12">
        <v>0.25</v>
      </c>
      <c r="E548" s="13">
        <f>IF(ISNUMBER('Sheet2-计算明细'!AC85),'Sheet2-计算明细'!AC85,"")</f>
        <v>68.92</v>
      </c>
      <c r="F548" s="13">
        <f>IF(ISNUMBER(对照快照!AC200),对照快照!AC200,"")</f>
        <v>83.33</v>
      </c>
      <c r="G548" s="13">
        <f t="shared" si="24"/>
        <v>17.23</v>
      </c>
      <c r="H548" s="13">
        <f t="shared" si="25"/>
        <v>20.8325</v>
      </c>
      <c r="I548" s="13">
        <f t="shared" si="26"/>
        <v>-3.6025</v>
      </c>
      <c r="J548" s="15">
        <f>IF(ISNUMBER('Sheet2-计算明细'!AB85),'Sheet2-计算明细'!AB85,IF('Sheet2-计算明细'!AB85="","",'Sheet2-计算明细'!AB85))</f>
        <v>0.0108</v>
      </c>
      <c r="K548" s="15">
        <f>IF(ISNUMBER(对照快照!AB200),对照快照!AB200,IF(对照快照!AB200="","",对照快照!AB200))</f>
        <v>0.0108</v>
      </c>
      <c r="L548" s="9" t="s">
        <v>1540</v>
      </c>
    </row>
    <row r="549" ht="25" customHeight="1" spans="1:12">
      <c r="A549" s="9" t="s">
        <v>441</v>
      </c>
      <c r="B549" s="9" t="s">
        <v>440</v>
      </c>
      <c r="C549" s="9" t="s">
        <v>1543</v>
      </c>
      <c r="D549" s="12">
        <v>0.18</v>
      </c>
      <c r="E549" s="13">
        <f>IF(ISNUMBER('Sheet2-计算明细'!AG85),'Sheet2-计算明细'!AG85,"")</f>
        <v>66.2</v>
      </c>
      <c r="F549" s="13">
        <f>IF(ISNUMBER(对照快照!AG200),对照快照!AG200,"")</f>
        <v>87.46</v>
      </c>
      <c r="G549" s="13">
        <f t="shared" si="24"/>
        <v>11.916</v>
      </c>
      <c r="H549" s="13">
        <f t="shared" si="25"/>
        <v>15.7428</v>
      </c>
      <c r="I549" s="13">
        <f t="shared" si="26"/>
        <v>-3.8268</v>
      </c>
      <c r="J549" s="15">
        <f>IF(ISNUMBER('Sheet2-计算明细'!AD85),'Sheet2-计算明细'!AD85,IF('Sheet2-计算明细'!AD85="","",'Sheet2-计算明细'!AD85))</f>
        <v>15.1012</v>
      </c>
      <c r="K549" s="15">
        <f>IF(ISNUMBER(对照快照!AD200),对照快照!AD200,IF(对照快照!AD200="","",对照快照!AD200))</f>
        <v>17.0739</v>
      </c>
      <c r="L549" s="9" t="s">
        <v>1540</v>
      </c>
    </row>
    <row r="550" ht="25" customHeight="1" spans="1:12">
      <c r="A550" s="9" t="s">
        <v>441</v>
      </c>
      <c r="B550" s="9" t="s">
        <v>440</v>
      </c>
      <c r="C550" s="9" t="s">
        <v>1544</v>
      </c>
      <c r="D550" s="12">
        <v>0.12</v>
      </c>
      <c r="E550" s="13">
        <f>IF(ISNUMBER('Sheet2-计算明细'!AH85),'Sheet2-计算明细'!AH85,"")</f>
        <v>87.5</v>
      </c>
      <c r="F550" s="13">
        <f>IF(ISNUMBER(对照快照!AH200),对照快照!AH200,"")</f>
        <v>93.62</v>
      </c>
      <c r="G550" s="13">
        <f t="shared" si="24"/>
        <v>10.5</v>
      </c>
      <c r="H550" s="13">
        <f t="shared" si="25"/>
        <v>11.2344</v>
      </c>
      <c r="I550" s="13">
        <f t="shared" si="26"/>
        <v>-0.734400000000001</v>
      </c>
      <c r="J550" s="15">
        <f>IF(ISNUMBER('Sheet2-计算明细'!AF85),'Sheet2-计算明细'!AF85,IF('Sheet2-计算明细'!AF85="","",'Sheet2-计算明细'!AF85))</f>
        <v>14.1283930662357</v>
      </c>
      <c r="K550" s="15">
        <f>IF(ISNUMBER(对照快照!AF200),对照快照!AF200,IF(对照快照!AF200="","",对照快照!AF200))</f>
        <v>13.6094198519778</v>
      </c>
      <c r="L550" s="9" t="s">
        <v>1540</v>
      </c>
    </row>
    <row r="551" ht="25" customHeight="1" spans="1:12">
      <c r="A551" s="9" t="s">
        <v>441</v>
      </c>
      <c r="B551" s="9" t="s">
        <v>440</v>
      </c>
      <c r="C551" s="9" t="s">
        <v>574</v>
      </c>
      <c r="D551" s="12">
        <v>0.1</v>
      </c>
      <c r="E551" s="13">
        <f>IF(ISNUMBER('Sheet2-计算明细'!AK85),'Sheet2-计算明细'!AK85,"")</f>
        <v>80</v>
      </c>
      <c r="F551" s="13">
        <f>IF(ISNUMBER(对照快照!AK200),对照快照!AK200,"")</f>
        <v>80</v>
      </c>
      <c r="G551" s="13">
        <f t="shared" si="24"/>
        <v>8</v>
      </c>
      <c r="H551" s="13">
        <f t="shared" si="25"/>
        <v>8</v>
      </c>
      <c r="I551" s="13">
        <f t="shared" si="26"/>
        <v>0</v>
      </c>
      <c r="J551" s="15">
        <f>IF(ISNUMBER('Sheet2-计算明细'!AJ85),'Sheet2-计算明细'!AJ85,IF('Sheet2-计算明细'!AJ85="","",'Sheet2-计算明细'!AJ85))</f>
        <v>0.1192</v>
      </c>
      <c r="K551" s="15">
        <f>IF(ISNUMBER(对照快照!AJ200),对照快照!AJ200,IF(对照快照!AJ200="","",对照快照!AJ200))</f>
        <v>0.1181</v>
      </c>
      <c r="L551" s="9" t="s">
        <v>1538</v>
      </c>
    </row>
    <row r="552" ht="25" customHeight="1" spans="1:12">
      <c r="A552" s="9" t="s">
        <v>446</v>
      </c>
      <c r="B552" s="9" t="s">
        <v>445</v>
      </c>
      <c r="C552" s="9" t="s">
        <v>538</v>
      </c>
      <c r="D552" s="12">
        <v>0.06</v>
      </c>
      <c r="E552" s="13">
        <f>IF(ISNUMBER('Sheet2-计算明细'!I86),'Sheet2-计算明细'!I86,"")</f>
        <v>60</v>
      </c>
      <c r="F552" s="13">
        <f>IF(ISNUMBER(对照快照!I187),对照快照!I187,"")</f>
        <v>60</v>
      </c>
      <c r="G552" s="13">
        <f t="shared" si="24"/>
        <v>3.6</v>
      </c>
      <c r="H552" s="13">
        <f t="shared" si="25"/>
        <v>3.6</v>
      </c>
      <c r="I552" s="13">
        <f t="shared" si="26"/>
        <v>0</v>
      </c>
      <c r="J552" s="15" t="str">
        <f>IF(ISNUMBER('Sheet2-计算明细'!H86),'Sheet2-计算明细'!H86,IF('Sheet2-计算明细'!H86="","",'Sheet2-计算明细'!H86))</f>
        <v>0-5亿元</v>
      </c>
      <c r="K552" s="15" t="str">
        <f>IF(ISNUMBER(对照快照!H187),对照快照!H187,IF(对照快照!H187="","",对照快照!H187))</f>
        <v>0-5亿元</v>
      </c>
      <c r="L552" s="9" t="s">
        <v>1538</v>
      </c>
    </row>
    <row r="553" ht="25" customHeight="1" spans="1:12">
      <c r="A553" s="9" t="s">
        <v>446</v>
      </c>
      <c r="B553" s="9" t="s">
        <v>445</v>
      </c>
      <c r="C553" s="9" t="s">
        <v>543</v>
      </c>
      <c r="D553" s="12">
        <v>0.045</v>
      </c>
      <c r="E553" s="13">
        <f>IF(ISNUMBER('Sheet2-计算明细'!K86),'Sheet2-计算明细'!K86,"")</f>
        <v>100</v>
      </c>
      <c r="F553" s="13">
        <f>IF(ISNUMBER(对照快照!K187),对照快照!K187,"")</f>
        <v>100</v>
      </c>
      <c r="G553" s="13">
        <f t="shared" si="24"/>
        <v>4.5</v>
      </c>
      <c r="H553" s="13">
        <f t="shared" si="25"/>
        <v>4.5</v>
      </c>
      <c r="I553" s="13">
        <f t="shared" si="26"/>
        <v>0</v>
      </c>
      <c r="J553" s="15" t="str">
        <f>IF(ISNUMBER('Sheet2-计算明细'!J86),'Sheet2-计算明细'!J86,IF('Sheet2-计算明细'!J86="","",'Sheet2-计算明细'!J86))</f>
        <v>无低于1000万元标识</v>
      </c>
      <c r="K553" s="15" t="str">
        <f>IF(ISNUMBER(对照快照!J187),对照快照!J187,IF(对照快照!J187="","",对照快照!J187))</f>
        <v>无低于1000万元标识</v>
      </c>
      <c r="L553" s="9" t="s">
        <v>1538</v>
      </c>
    </row>
    <row r="554" ht="25" customHeight="1" spans="1:12">
      <c r="A554" s="9" t="s">
        <v>446</v>
      </c>
      <c r="B554" s="9" t="s">
        <v>445</v>
      </c>
      <c r="C554" s="9" t="s">
        <v>547</v>
      </c>
      <c r="D554" s="12">
        <v>0.045</v>
      </c>
      <c r="E554" s="13">
        <f>IF(ISNUMBER('Sheet2-计算明细'!L86),'Sheet2-计算明细'!L86,"")</f>
        <v>100</v>
      </c>
      <c r="F554" s="13">
        <f>IF(ISNUMBER(对照快照!L187),对照快照!L187,"")</f>
        <v>100</v>
      </c>
      <c r="G554" s="13">
        <f t="shared" si="24"/>
        <v>4.5</v>
      </c>
      <c r="H554" s="13">
        <f t="shared" si="25"/>
        <v>4.5</v>
      </c>
      <c r="I554" s="13">
        <f t="shared" si="26"/>
        <v>0</v>
      </c>
      <c r="J554" s="15">
        <f>IF(ISNUMBER('Sheet2-计算明细'!F86),'Sheet2-计算明细'!F86,IF('Sheet2-计算明细'!F86="","",'Sheet2-计算明细'!F86))</f>
        <v>7.3648</v>
      </c>
      <c r="K554" s="15">
        <f>IF(ISNUMBER(对照快照!F187),对照快照!F187,IF(对照快照!F187="","",对照快照!F187))</f>
        <v>7.3566</v>
      </c>
      <c r="L554" s="9" t="s">
        <v>1538</v>
      </c>
    </row>
    <row r="555" ht="25" customHeight="1" spans="1:12">
      <c r="A555" s="9" t="s">
        <v>446</v>
      </c>
      <c r="B555" s="9" t="s">
        <v>445</v>
      </c>
      <c r="C555" s="9" t="s">
        <v>1539</v>
      </c>
      <c r="D555" s="12">
        <v>0.084</v>
      </c>
      <c r="E555" s="13">
        <f>IF(ISNUMBER('Sheet2-计算明细'!Q86),'Sheet2-计算明细'!Q86,"")</f>
        <v>26.39</v>
      </c>
      <c r="F555" s="13">
        <f>IF(ISNUMBER(对照快照!Q187),对照快照!Q187,"")</f>
        <v>50.48</v>
      </c>
      <c r="G555" s="13">
        <f t="shared" si="24"/>
        <v>2.21676</v>
      </c>
      <c r="H555" s="13">
        <f t="shared" si="25"/>
        <v>4.24032</v>
      </c>
      <c r="I555" s="13">
        <f t="shared" si="26"/>
        <v>-2.02356</v>
      </c>
      <c r="J555" s="15">
        <f>IF(ISNUMBER('Sheet2-计算明细'!M86),'Sheet2-计算明细'!M86,IF('Sheet2-计算明细'!M86="","",'Sheet2-计算明细'!M86))</f>
        <v>0.0609</v>
      </c>
      <c r="K555" s="15">
        <f>IF(ISNUMBER(对照快照!M187),对照快照!M187,IF(对照快照!M187="","",对照快照!M187))</f>
        <v>0.0642</v>
      </c>
      <c r="L555" s="9" t="s">
        <v>1540</v>
      </c>
    </row>
    <row r="556" ht="25" customHeight="1" spans="1:12">
      <c r="A556" s="9" t="s">
        <v>446</v>
      </c>
      <c r="B556" s="9" t="s">
        <v>445</v>
      </c>
      <c r="C556" s="9" t="s">
        <v>1541</v>
      </c>
      <c r="D556" s="12">
        <v>0.056</v>
      </c>
      <c r="E556" s="13">
        <f>IF(ISNUMBER('Sheet2-计算明细'!R86),'Sheet2-计算明细'!R86,"")</f>
        <v>74.24</v>
      </c>
      <c r="F556" s="13">
        <f>IF(ISNUMBER(对照快照!R187),对照快照!R187,"")</f>
        <v>71.43</v>
      </c>
      <c r="G556" s="13">
        <f t="shared" si="24"/>
        <v>4.15744</v>
      </c>
      <c r="H556" s="13">
        <f t="shared" si="25"/>
        <v>4.00008</v>
      </c>
      <c r="I556" s="13">
        <f t="shared" si="26"/>
        <v>0.157359999999999</v>
      </c>
      <c r="J556" s="15">
        <f>IF(ISNUMBER('Sheet2-计算明细'!P86),'Sheet2-计算明细'!P86,IF('Sheet2-计算明细'!P86="","",'Sheet2-计算明细'!P86))</f>
        <v>0.1094124063909</v>
      </c>
      <c r="K556" s="15">
        <f>IF(ISNUMBER(对照快照!P187),对照快照!P187,IF(对照快照!P187="","",对照快照!P187))</f>
        <v>0.106778999117961</v>
      </c>
      <c r="L556" s="9" t="s">
        <v>1540</v>
      </c>
    </row>
    <row r="557" ht="25" customHeight="1" spans="1:12">
      <c r="A557" s="9" t="s">
        <v>446</v>
      </c>
      <c r="B557" s="9" t="s">
        <v>445</v>
      </c>
      <c r="C557" s="9" t="s">
        <v>690</v>
      </c>
      <c r="D557" s="12">
        <v>0.036</v>
      </c>
      <c r="E557" s="13">
        <f>IF(ISNUMBER('Sheet2-计算明细'!W86),'Sheet2-计算明细'!W86,"")</f>
        <v>92.31</v>
      </c>
      <c r="F557" s="13">
        <f>IF(ISNUMBER(对照快照!W187),对照快照!W187,"")</f>
        <v>92.31</v>
      </c>
      <c r="G557" s="13">
        <f t="shared" si="24"/>
        <v>3.32316</v>
      </c>
      <c r="H557" s="13">
        <f t="shared" si="25"/>
        <v>3.32316</v>
      </c>
      <c r="I557" s="13">
        <f t="shared" si="26"/>
        <v>0</v>
      </c>
      <c r="J557" s="15">
        <f>IF(ISNUMBER('Sheet2-计算明细'!T86),'Sheet2-计算明细'!T86,IF('Sheet2-计算明细'!T86="","",'Sheet2-计算明细'!T86))</f>
        <v>0.9231</v>
      </c>
      <c r="K557" s="15">
        <f>IF(ISNUMBER(对照快照!T187),对照快照!T187,IF(对照快照!T187="","",对照快照!T187))</f>
        <v>0.9231</v>
      </c>
      <c r="L557" s="9" t="s">
        <v>1538</v>
      </c>
    </row>
    <row r="558" ht="25" customHeight="1" spans="1:12">
      <c r="A558" s="9" t="s">
        <v>446</v>
      </c>
      <c r="B558" s="9" t="s">
        <v>445</v>
      </c>
      <c r="C558" s="9" t="s">
        <v>692</v>
      </c>
      <c r="D558" s="12">
        <v>0.024</v>
      </c>
      <c r="E558" s="13">
        <f>IF(ISNUMBER('Sheet2-计算明细'!X86),'Sheet2-计算明细'!X86,"")</f>
        <v>83.3375</v>
      </c>
      <c r="F558" s="13">
        <f>IF(ISNUMBER(对照快照!X187),对照快照!X187,"")</f>
        <v>79.1595833333333</v>
      </c>
      <c r="G558" s="13">
        <f t="shared" si="24"/>
        <v>2.0001</v>
      </c>
      <c r="H558" s="13">
        <f t="shared" si="25"/>
        <v>1.89983</v>
      </c>
      <c r="I558" s="13">
        <f t="shared" si="26"/>
        <v>0.100270000000001</v>
      </c>
      <c r="J558" s="15">
        <f>IF(ISNUMBER('Sheet2-计算明细'!V86),'Sheet2-计算明细'!V86,IF('Sheet2-计算明细'!V86="","",'Sheet2-计算明细'!V86))</f>
        <v>0.833375</v>
      </c>
      <c r="K558" s="15">
        <f>IF(ISNUMBER(对照快照!V187),对照快照!V187,IF(对照快照!V187="","",对照快照!V187))</f>
        <v>0.791595833333333</v>
      </c>
      <c r="L558" s="9" t="s">
        <v>1538</v>
      </c>
    </row>
    <row r="559" ht="25" customHeight="1" spans="1:12">
      <c r="A559" s="9" t="s">
        <v>446</v>
      </c>
      <c r="B559" s="9" t="s">
        <v>445</v>
      </c>
      <c r="C559" s="9" t="s">
        <v>1542</v>
      </c>
      <c r="D559" s="12">
        <v>0.25</v>
      </c>
      <c r="E559" s="13">
        <f>IF(ISNUMBER('Sheet2-计算明细'!AC86),'Sheet2-计算明细'!AC86,"")</f>
        <v>58.11</v>
      </c>
      <c r="F559" s="13">
        <f>IF(ISNUMBER(对照快照!AC187),对照快照!AC187,"")</f>
        <v>78.21</v>
      </c>
      <c r="G559" s="13">
        <f t="shared" si="24"/>
        <v>14.5275</v>
      </c>
      <c r="H559" s="13">
        <f t="shared" si="25"/>
        <v>19.5525</v>
      </c>
      <c r="I559" s="13">
        <f t="shared" si="26"/>
        <v>-5.025</v>
      </c>
      <c r="J559" s="15">
        <f>IF(ISNUMBER('Sheet2-计算明细'!AB86),'Sheet2-计算明细'!AB86,IF('Sheet2-计算明细'!AB86="","",'Sheet2-计算明细'!AB86))</f>
        <v>0.0144</v>
      </c>
      <c r="K559" s="15">
        <f>IF(ISNUMBER(对照快照!AB187),对照快照!AB187,IF(对照快照!AB187="","",对照快照!AB187))</f>
        <v>0.0144</v>
      </c>
      <c r="L559" s="9" t="s">
        <v>1540</v>
      </c>
    </row>
    <row r="560" ht="25" customHeight="1" spans="1:12">
      <c r="A560" s="9" t="s">
        <v>446</v>
      </c>
      <c r="B560" s="9" t="s">
        <v>445</v>
      </c>
      <c r="C560" s="9" t="s">
        <v>1543</v>
      </c>
      <c r="D560" s="12">
        <v>0.18</v>
      </c>
      <c r="E560" s="13">
        <f>IF(ISNUMBER('Sheet2-计算明细'!AG86),'Sheet2-计算明细'!AG86,"")</f>
        <v>81.69</v>
      </c>
      <c r="F560" s="13">
        <f>IF(ISNUMBER(对照快照!AG187),对照快照!AG187,"")</f>
        <v>93.57</v>
      </c>
      <c r="G560" s="13">
        <f t="shared" si="24"/>
        <v>14.7042</v>
      </c>
      <c r="H560" s="13">
        <f t="shared" si="25"/>
        <v>16.8426</v>
      </c>
      <c r="I560" s="13">
        <f t="shared" si="26"/>
        <v>-2.1384</v>
      </c>
      <c r="J560" s="15">
        <f>IF(ISNUMBER('Sheet2-计算明细'!AD86),'Sheet2-计算明细'!AD86,IF('Sheet2-计算明细'!AD86="","",'Sheet2-计算明细'!AD86))</f>
        <v>25.854</v>
      </c>
      <c r="K560" s="15">
        <f>IF(ISNUMBER(对照快照!AD187),对照快照!AD187,IF(对照快照!AD187="","",对照快照!AD187))</f>
        <v>27.2394</v>
      </c>
      <c r="L560" s="9" t="s">
        <v>1540</v>
      </c>
    </row>
    <row r="561" ht="25" customHeight="1" spans="1:12">
      <c r="A561" s="9" t="s">
        <v>446</v>
      </c>
      <c r="B561" s="9" t="s">
        <v>445</v>
      </c>
      <c r="C561" s="9" t="s">
        <v>1544</v>
      </c>
      <c r="D561" s="12">
        <v>0.12</v>
      </c>
      <c r="E561" s="13">
        <f>IF(ISNUMBER('Sheet2-计算明细'!AH86),'Sheet2-计算明细'!AH86,"")</f>
        <v>68.75</v>
      </c>
      <c r="F561" s="13">
        <f>IF(ISNUMBER(对照快照!AH187),对照快照!AH187,"")</f>
        <v>87.23</v>
      </c>
      <c r="G561" s="13">
        <f t="shared" si="24"/>
        <v>8.25</v>
      </c>
      <c r="H561" s="13">
        <f t="shared" si="25"/>
        <v>10.4676</v>
      </c>
      <c r="I561" s="13">
        <f t="shared" si="26"/>
        <v>-2.2176</v>
      </c>
      <c r="J561" s="15">
        <f>IF(ISNUMBER('Sheet2-计算明细'!AF86),'Sheet2-计算明细'!AF86,IF('Sheet2-计算明细'!AF86="","",'Sheet2-计算明细'!AF86))</f>
        <v>7.59808377714586</v>
      </c>
      <c r="K561" s="15">
        <f>IF(ISNUMBER(对照快照!AF187),对照快照!AF187,IF(对照快照!AF187="","",对照快照!AF187))</f>
        <v>7.4152082720806</v>
      </c>
      <c r="L561" s="9" t="s">
        <v>1540</v>
      </c>
    </row>
    <row r="562" ht="25" customHeight="1" spans="1:12">
      <c r="A562" s="9" t="s">
        <v>446</v>
      </c>
      <c r="B562" s="9" t="s">
        <v>445</v>
      </c>
      <c r="C562" s="9" t="s">
        <v>574</v>
      </c>
      <c r="D562" s="12">
        <v>0.1</v>
      </c>
      <c r="E562" s="13">
        <f>IF(ISNUMBER('Sheet2-计算明细'!AK86),'Sheet2-计算明细'!AK86,"")</f>
        <v>80</v>
      </c>
      <c r="F562" s="13">
        <f>IF(ISNUMBER(对照快照!AK187),对照快照!AK187,"")</f>
        <v>80</v>
      </c>
      <c r="G562" s="13">
        <f t="shared" si="24"/>
        <v>8</v>
      </c>
      <c r="H562" s="13">
        <f t="shared" si="25"/>
        <v>8</v>
      </c>
      <c r="I562" s="13">
        <f t="shared" si="26"/>
        <v>0</v>
      </c>
      <c r="J562" s="15">
        <f>IF(ISNUMBER('Sheet2-计算明细'!AJ86),'Sheet2-计算明细'!AJ86,IF('Sheet2-计算明细'!AJ86="","",'Sheet2-计算明细'!AJ86))</f>
        <v>0.093</v>
      </c>
      <c r="K562" s="15">
        <f>IF(ISNUMBER(对照快照!AJ187),对照快照!AJ187,IF(对照快照!AJ187="","",对照快照!AJ187))</f>
        <v>0.0924</v>
      </c>
      <c r="L562" s="9" t="s">
        <v>1538</v>
      </c>
    </row>
    <row r="563" ht="25" customHeight="1" spans="1:12">
      <c r="A563" s="9" t="s">
        <v>450</v>
      </c>
      <c r="B563" s="9" t="s">
        <v>449</v>
      </c>
      <c r="C563" s="9" t="s">
        <v>538</v>
      </c>
      <c r="D563" s="12">
        <v>0.06</v>
      </c>
      <c r="E563" s="13">
        <f>IF(ISNUMBER('Sheet2-计算明细'!I87),'Sheet2-计算明细'!I87,"")</f>
        <v>60</v>
      </c>
      <c r="F563" s="13">
        <f>IF(ISNUMBER(对照快照!I189),对照快照!I189,"")</f>
        <v>60</v>
      </c>
      <c r="G563" s="13">
        <f t="shared" si="24"/>
        <v>3.6</v>
      </c>
      <c r="H563" s="13">
        <f t="shared" si="25"/>
        <v>3.6</v>
      </c>
      <c r="I563" s="13">
        <f t="shared" si="26"/>
        <v>0</v>
      </c>
      <c r="J563" s="15" t="str">
        <f>IF(ISNUMBER('Sheet2-计算明细'!H87),'Sheet2-计算明细'!H87,IF('Sheet2-计算明细'!H87="","",'Sheet2-计算明细'!H87))</f>
        <v>0-5亿元</v>
      </c>
      <c r="K563" s="15" t="str">
        <f>IF(ISNUMBER(对照快照!H189),对照快照!H189,IF(对照快照!H189="","",对照快照!H189))</f>
        <v>0-5亿元</v>
      </c>
      <c r="L563" s="9" t="s">
        <v>1538</v>
      </c>
    </row>
    <row r="564" ht="25" customHeight="1" spans="1:12">
      <c r="A564" s="9" t="s">
        <v>450</v>
      </c>
      <c r="B564" s="9" t="s">
        <v>449</v>
      </c>
      <c r="C564" s="9" t="s">
        <v>543</v>
      </c>
      <c r="D564" s="12">
        <v>0.045</v>
      </c>
      <c r="E564" s="13">
        <f>IF(ISNUMBER('Sheet2-计算明细'!K87),'Sheet2-计算明细'!K87,"")</f>
        <v>100</v>
      </c>
      <c r="F564" s="13">
        <f>IF(ISNUMBER(对照快照!K189),对照快照!K189,"")</f>
        <v>100</v>
      </c>
      <c r="G564" s="13">
        <f t="shared" si="24"/>
        <v>4.5</v>
      </c>
      <c r="H564" s="13">
        <f t="shared" si="25"/>
        <v>4.5</v>
      </c>
      <c r="I564" s="13">
        <f t="shared" si="26"/>
        <v>0</v>
      </c>
      <c r="J564" s="15" t="str">
        <f>IF(ISNUMBER('Sheet2-计算明细'!J87),'Sheet2-计算明细'!J87,IF('Sheet2-计算明细'!J87="","",'Sheet2-计算明细'!J87))</f>
        <v>无低于1000万元标识</v>
      </c>
      <c r="K564" s="15" t="str">
        <f>IF(ISNUMBER(对照快照!J189),对照快照!J189,IF(对照快照!J189="","",对照快照!J189))</f>
        <v>无低于1000万元标识</v>
      </c>
      <c r="L564" s="9" t="s">
        <v>1538</v>
      </c>
    </row>
    <row r="565" ht="25" customHeight="1" spans="1:12">
      <c r="A565" s="9" t="s">
        <v>450</v>
      </c>
      <c r="B565" s="9" t="s">
        <v>449</v>
      </c>
      <c r="C565" s="9" t="s">
        <v>547</v>
      </c>
      <c r="D565" s="12">
        <v>0.045</v>
      </c>
      <c r="E565" s="13">
        <f>IF(ISNUMBER('Sheet2-计算明细'!L87),'Sheet2-计算明细'!L87,"")</f>
        <v>100</v>
      </c>
      <c r="F565" s="13">
        <f>IF(ISNUMBER(对照快照!L189),对照快照!L189,"")</f>
        <v>100</v>
      </c>
      <c r="G565" s="13">
        <f t="shared" si="24"/>
        <v>4.5</v>
      </c>
      <c r="H565" s="13">
        <f t="shared" si="25"/>
        <v>4.5</v>
      </c>
      <c r="I565" s="13">
        <f t="shared" si="26"/>
        <v>0</v>
      </c>
      <c r="J565" s="15">
        <f>IF(ISNUMBER('Sheet2-计算明细'!F87),'Sheet2-计算明细'!F87,IF('Sheet2-计算明细'!F87="","",'Sheet2-计算明细'!F87))</f>
        <v>6.9733</v>
      </c>
      <c r="K565" s="15">
        <f>IF(ISNUMBER(对照快照!F189),对照快照!F189,IF(对照快照!F189="","",对照快照!F189))</f>
        <v>6.9651</v>
      </c>
      <c r="L565" s="9" t="s">
        <v>1538</v>
      </c>
    </row>
    <row r="566" ht="25" customHeight="1" spans="1:12">
      <c r="A566" s="9" t="s">
        <v>450</v>
      </c>
      <c r="B566" s="9" t="s">
        <v>449</v>
      </c>
      <c r="C566" s="9" t="s">
        <v>1539</v>
      </c>
      <c r="D566" s="12">
        <v>0.084</v>
      </c>
      <c r="E566" s="13">
        <f>IF(ISNUMBER('Sheet2-计算明细'!Q87),'Sheet2-计算明细'!Q87,"")</f>
        <v>23.61</v>
      </c>
      <c r="F566" s="13">
        <f>IF(ISNUMBER(对照快照!Q189),对照快照!Q189,"")</f>
        <v>53.67</v>
      </c>
      <c r="G566" s="13">
        <f t="shared" si="24"/>
        <v>1.98324</v>
      </c>
      <c r="H566" s="13">
        <f t="shared" si="25"/>
        <v>4.50828</v>
      </c>
      <c r="I566" s="13">
        <f t="shared" si="26"/>
        <v>-2.52504</v>
      </c>
      <c r="J566" s="15">
        <f>IF(ISNUMBER('Sheet2-计算明细'!M87),'Sheet2-计算明细'!M87,IF('Sheet2-计算明细'!M87="","",'Sheet2-计算明细'!M87))</f>
        <v>0.0583</v>
      </c>
      <c r="K566" s="15">
        <f>IF(ISNUMBER(对照快照!M189),对照快照!M189,IF(对照快照!M189="","",对照快照!M189))</f>
        <v>0.0676</v>
      </c>
      <c r="L566" s="9" t="s">
        <v>1540</v>
      </c>
    </row>
    <row r="567" ht="25" customHeight="1" spans="1:12">
      <c r="A567" s="9" t="s">
        <v>450</v>
      </c>
      <c r="B567" s="9" t="s">
        <v>449</v>
      </c>
      <c r="C567" s="9" t="s">
        <v>1541</v>
      </c>
      <c r="D567" s="12">
        <v>0.056</v>
      </c>
      <c r="E567" s="13">
        <f>IF(ISNUMBER('Sheet2-计算明细'!R87),'Sheet2-计算明细'!R87,"")</f>
        <v>92.42</v>
      </c>
      <c r="F567" s="13">
        <f>IF(ISNUMBER(对照快照!R189),对照快照!R189,"")</f>
        <v>86.67</v>
      </c>
      <c r="G567" s="13">
        <f t="shared" si="24"/>
        <v>5.17552</v>
      </c>
      <c r="H567" s="13">
        <f t="shared" si="25"/>
        <v>4.85352</v>
      </c>
      <c r="I567" s="13">
        <f t="shared" si="26"/>
        <v>0.322</v>
      </c>
      <c r="J567" s="15">
        <f>IF(ISNUMBER('Sheet2-计算明细'!P87),'Sheet2-计算明细'!P87,IF('Sheet2-计算明细'!P87="","",'Sheet2-计算明细'!P87))</f>
        <v>0.158673230630354</v>
      </c>
      <c r="K567" s="15">
        <f>IF(ISNUMBER(对照快照!P189),对照快照!P189,IF(对照快照!P189="","",对照快照!P189))</f>
        <v>0.15115359539999</v>
      </c>
      <c r="L567" s="9" t="s">
        <v>1540</v>
      </c>
    </row>
    <row r="568" ht="25" customHeight="1" spans="1:12">
      <c r="A568" s="9" t="s">
        <v>450</v>
      </c>
      <c r="B568" s="9" t="s">
        <v>449</v>
      </c>
      <c r="C568" s="9" t="s">
        <v>690</v>
      </c>
      <c r="D568" s="12">
        <v>0.036</v>
      </c>
      <c r="E568" s="13">
        <f>IF(ISNUMBER('Sheet2-计算明细'!W87),'Sheet2-计算明细'!W87,"")</f>
        <v>100</v>
      </c>
      <c r="F568" s="13">
        <f>IF(ISNUMBER(对照快照!W189),对照快照!W189,"")</f>
        <v>100</v>
      </c>
      <c r="G568" s="13">
        <f t="shared" si="24"/>
        <v>3.6</v>
      </c>
      <c r="H568" s="13">
        <f t="shared" si="25"/>
        <v>3.6</v>
      </c>
      <c r="I568" s="13">
        <f t="shared" si="26"/>
        <v>0</v>
      </c>
      <c r="J568" s="15">
        <f>IF(ISNUMBER('Sheet2-计算明细'!T87),'Sheet2-计算明细'!T87,IF('Sheet2-计算明细'!T87="","",'Sheet2-计算明细'!T87))</f>
        <v>1</v>
      </c>
      <c r="K568" s="15">
        <f>IF(ISNUMBER(对照快照!T189),对照快照!T189,IF(对照快照!T189="","",对照快照!T189))</f>
        <v>1</v>
      </c>
      <c r="L568" s="9" t="s">
        <v>1538</v>
      </c>
    </row>
    <row r="569" ht="25" customHeight="1" spans="1:12">
      <c r="A569" s="9" t="s">
        <v>450</v>
      </c>
      <c r="B569" s="9" t="s">
        <v>449</v>
      </c>
      <c r="C569" s="9" t="s">
        <v>692</v>
      </c>
      <c r="D569" s="12">
        <v>0.024</v>
      </c>
      <c r="E569" s="13">
        <f>IF(ISNUMBER('Sheet2-计算明细'!X87),'Sheet2-计算明细'!X87,"")</f>
        <v>79.1720833333333</v>
      </c>
      <c r="F569" s="13">
        <f>IF(ISNUMBER(对照快照!X189),对照快照!X189,"")</f>
        <v>74.9941666666667</v>
      </c>
      <c r="G569" s="13">
        <f t="shared" si="24"/>
        <v>1.90013</v>
      </c>
      <c r="H569" s="13">
        <f t="shared" si="25"/>
        <v>1.79986</v>
      </c>
      <c r="I569" s="13">
        <f t="shared" si="26"/>
        <v>0.100269999999999</v>
      </c>
      <c r="J569" s="15">
        <f>IF(ISNUMBER('Sheet2-计算明细'!V87),'Sheet2-计算明细'!V87,IF('Sheet2-计算明细'!V87="","",'Sheet2-计算明细'!V87))</f>
        <v>0.791720833333333</v>
      </c>
      <c r="K569" s="15">
        <f>IF(ISNUMBER(对照快照!V189),对照快照!V189,IF(对照快照!V189="","",对照快照!V189))</f>
        <v>0.749941666666667</v>
      </c>
      <c r="L569" s="9" t="s">
        <v>1538</v>
      </c>
    </row>
    <row r="570" ht="25" customHeight="1" spans="1:12">
      <c r="A570" s="9" t="s">
        <v>450</v>
      </c>
      <c r="B570" s="9" t="s">
        <v>449</v>
      </c>
      <c r="C570" s="9" t="s">
        <v>1542</v>
      </c>
      <c r="D570" s="12">
        <v>0.25</v>
      </c>
      <c r="E570" s="13">
        <f>IF(ISNUMBER('Sheet2-计算明细'!AC87),'Sheet2-计算明细'!AC87,"")</f>
        <v>48.65</v>
      </c>
      <c r="F570" s="13">
        <f>IF(ISNUMBER(对照快照!AC189),对照快照!AC189,"")</f>
        <v>68.91</v>
      </c>
      <c r="G570" s="13">
        <f t="shared" si="24"/>
        <v>12.1625</v>
      </c>
      <c r="H570" s="13">
        <f t="shared" si="25"/>
        <v>17.2275</v>
      </c>
      <c r="I570" s="13">
        <f t="shared" si="26"/>
        <v>-5.065</v>
      </c>
      <c r="J570" s="15">
        <f>IF(ISNUMBER('Sheet2-计算明细'!AB87),'Sheet2-计算明细'!AB87,IF('Sheet2-计算明细'!AB87="","",'Sheet2-计算明细'!AB87))</f>
        <v>0.0227</v>
      </c>
      <c r="K570" s="15">
        <f>IF(ISNUMBER(对照快照!AB189),对照快照!AB189,IF(对照快照!AB189="","",对照快照!AB189))</f>
        <v>0.0227</v>
      </c>
      <c r="L570" s="9" t="s">
        <v>1540</v>
      </c>
    </row>
    <row r="571" ht="25" customHeight="1" spans="1:12">
      <c r="A571" s="9" t="s">
        <v>450</v>
      </c>
      <c r="B571" s="9" t="s">
        <v>449</v>
      </c>
      <c r="C571" s="9" t="s">
        <v>1543</v>
      </c>
      <c r="D571" s="12">
        <v>0.18</v>
      </c>
      <c r="E571" s="13">
        <f>IF(ISNUMBER('Sheet2-计算明细'!AG87),'Sheet2-计算明细'!AG87,"")</f>
        <v>69.01</v>
      </c>
      <c r="F571" s="13">
        <f>IF(ISNUMBER(对照快照!AG189),对照快照!AG189,"")</f>
        <v>90.03</v>
      </c>
      <c r="G571" s="13">
        <f t="shared" si="24"/>
        <v>12.4218</v>
      </c>
      <c r="H571" s="13">
        <f t="shared" si="25"/>
        <v>16.2054</v>
      </c>
      <c r="I571" s="13">
        <f t="shared" si="26"/>
        <v>-3.7836</v>
      </c>
      <c r="J571" s="15">
        <f>IF(ISNUMBER('Sheet2-计算明细'!AD87),'Sheet2-计算明细'!AD87,IF('Sheet2-计算明细'!AD87="","",'Sheet2-计算明细'!AD87))</f>
        <v>18.2945</v>
      </c>
      <c r="K571" s="15">
        <f>IF(ISNUMBER(对照快照!AD189),对照快照!AD189,IF(对照快照!AD189="","",对照快照!AD189))</f>
        <v>21.2285</v>
      </c>
      <c r="L571" s="9" t="s">
        <v>1540</v>
      </c>
    </row>
    <row r="572" ht="25" customHeight="1" spans="1:12">
      <c r="A572" s="9" t="s">
        <v>450</v>
      </c>
      <c r="B572" s="9" t="s">
        <v>449</v>
      </c>
      <c r="C572" s="9" t="s">
        <v>1544</v>
      </c>
      <c r="D572" s="12">
        <v>0.12</v>
      </c>
      <c r="E572" s="13">
        <f>IF(ISNUMBER('Sheet2-计算明细'!AH87),'Sheet2-计算明细'!AH87,"")</f>
        <v>65.63</v>
      </c>
      <c r="F572" s="13">
        <f>IF(ISNUMBER(对照快照!AH189),对照快照!AH189,"")</f>
        <v>86.52</v>
      </c>
      <c r="G572" s="13">
        <f t="shared" si="24"/>
        <v>7.8756</v>
      </c>
      <c r="H572" s="13">
        <f t="shared" si="25"/>
        <v>10.3824</v>
      </c>
      <c r="I572" s="13">
        <f t="shared" si="26"/>
        <v>-2.5068</v>
      </c>
      <c r="J572" s="15">
        <f>IF(ISNUMBER('Sheet2-计算明细'!AF87),'Sheet2-计算明细'!AF87,IF('Sheet2-计算明细'!AF87="","",'Sheet2-计算明细'!AF87))</f>
        <v>6.99001015992751</v>
      </c>
      <c r="K572" s="15">
        <f>IF(ISNUMBER(对照快照!AF189),对照快照!AF189,IF(对照快照!AF189="","",对照快照!AF189))</f>
        <v>6.65874869603478</v>
      </c>
      <c r="L572" s="9" t="s">
        <v>1540</v>
      </c>
    </row>
    <row r="573" ht="25" customHeight="1" spans="1:12">
      <c r="A573" s="9" t="s">
        <v>450</v>
      </c>
      <c r="B573" s="9" t="s">
        <v>449</v>
      </c>
      <c r="C573" s="9" t="s">
        <v>574</v>
      </c>
      <c r="D573" s="12">
        <v>0.1</v>
      </c>
      <c r="E573" s="13">
        <f>IF(ISNUMBER('Sheet2-计算明细'!AK87),'Sheet2-计算明细'!AK87,"")</f>
        <v>80</v>
      </c>
      <c r="F573" s="13">
        <f>IF(ISNUMBER(对照快照!AK189),对照快照!AK189,"")</f>
        <v>80</v>
      </c>
      <c r="G573" s="13">
        <f t="shared" si="24"/>
        <v>8</v>
      </c>
      <c r="H573" s="13">
        <f t="shared" si="25"/>
        <v>8</v>
      </c>
      <c r="I573" s="13">
        <f t="shared" si="26"/>
        <v>0</v>
      </c>
      <c r="J573" s="15">
        <f>IF(ISNUMBER('Sheet2-计算明细'!AJ87),'Sheet2-计算明细'!AJ87,IF('Sheet2-计算明细'!AJ87="","",'Sheet2-计算明细'!AJ87))</f>
        <v>0.1242</v>
      </c>
      <c r="K573" s="15">
        <f>IF(ISNUMBER(对照快照!AJ189),对照快照!AJ189,IF(对照快照!AJ189="","",对照快照!AJ189))</f>
        <v>0.1226</v>
      </c>
      <c r="L573" s="9" t="s">
        <v>1538</v>
      </c>
    </row>
    <row r="574" ht="25" customHeight="1" spans="1:12">
      <c r="A574" s="9" t="s">
        <v>454</v>
      </c>
      <c r="B574" s="9" t="s">
        <v>453</v>
      </c>
      <c r="C574" s="9" t="s">
        <v>538</v>
      </c>
      <c r="D574" s="12">
        <v>0.06</v>
      </c>
      <c r="E574" s="13">
        <f>IF(ISNUMBER('Sheet2-计算明细'!I88),'Sheet2-计算明细'!I88,"")</f>
        <v>80</v>
      </c>
      <c r="F574" s="13">
        <f>IF(ISNUMBER(对照快照!I124),对照快照!I124,"")</f>
        <v>80</v>
      </c>
      <c r="G574" s="13">
        <f t="shared" si="24"/>
        <v>4.8</v>
      </c>
      <c r="H574" s="13">
        <f t="shared" si="25"/>
        <v>4.8</v>
      </c>
      <c r="I574" s="13">
        <f t="shared" si="26"/>
        <v>0</v>
      </c>
      <c r="J574" s="15" t="str">
        <f>IF(ISNUMBER('Sheet2-计算明细'!H88),'Sheet2-计算明细'!H88,IF('Sheet2-计算明细'!H88="","",'Sheet2-计算明细'!H88))</f>
        <v>10-20亿元</v>
      </c>
      <c r="K574" s="15" t="str">
        <f>IF(ISNUMBER(对照快照!H124),对照快照!H124,IF(对照快照!H124="","",对照快照!H124))</f>
        <v>10-20亿元</v>
      </c>
      <c r="L574" s="9" t="s">
        <v>1538</v>
      </c>
    </row>
    <row r="575" ht="25" customHeight="1" spans="1:12">
      <c r="A575" s="9" t="s">
        <v>454</v>
      </c>
      <c r="B575" s="9" t="s">
        <v>453</v>
      </c>
      <c r="C575" s="9" t="s">
        <v>543</v>
      </c>
      <c r="D575" s="12">
        <v>0.045</v>
      </c>
      <c r="E575" s="13">
        <f>IF(ISNUMBER('Sheet2-计算明细'!K88),'Sheet2-计算明细'!K88,"")</f>
        <v>100</v>
      </c>
      <c r="F575" s="13">
        <f>IF(ISNUMBER(对照快照!K124),对照快照!K124,"")</f>
        <v>100</v>
      </c>
      <c r="G575" s="13">
        <f t="shared" si="24"/>
        <v>4.5</v>
      </c>
      <c r="H575" s="13">
        <f t="shared" si="25"/>
        <v>4.5</v>
      </c>
      <c r="I575" s="13">
        <f t="shared" si="26"/>
        <v>0</v>
      </c>
      <c r="J575" s="15" t="str">
        <f>IF(ISNUMBER('Sheet2-计算明细'!J88),'Sheet2-计算明细'!J88,IF('Sheet2-计算明细'!J88="","",'Sheet2-计算明细'!J88))</f>
        <v>无低于1000万元标识</v>
      </c>
      <c r="K575" s="15" t="str">
        <f>IF(ISNUMBER(对照快照!J124),对照快照!J124,IF(对照快照!J124="","",对照快照!J124))</f>
        <v>无低于1000万元标识</v>
      </c>
      <c r="L575" s="9" t="s">
        <v>1538</v>
      </c>
    </row>
    <row r="576" ht="25" customHeight="1" spans="1:12">
      <c r="A576" s="9" t="s">
        <v>454</v>
      </c>
      <c r="B576" s="9" t="s">
        <v>453</v>
      </c>
      <c r="C576" s="9" t="s">
        <v>547</v>
      </c>
      <c r="D576" s="12">
        <v>0.045</v>
      </c>
      <c r="E576" s="13">
        <f>IF(ISNUMBER('Sheet2-计算明细'!L88),'Sheet2-计算明细'!L88,"")</f>
        <v>70</v>
      </c>
      <c r="F576" s="13">
        <f>IF(ISNUMBER(对照快照!L124),对照快照!L124,"")</f>
        <v>70</v>
      </c>
      <c r="G576" s="13">
        <f t="shared" si="24"/>
        <v>3.15</v>
      </c>
      <c r="H576" s="13">
        <f t="shared" si="25"/>
        <v>3.15</v>
      </c>
      <c r="I576" s="13">
        <f t="shared" si="26"/>
        <v>0</v>
      </c>
      <c r="J576" s="15">
        <f>IF(ISNUMBER('Sheet2-计算明细'!F88),'Sheet2-计算明细'!F88,IF('Sheet2-计算明细'!F88="","",'Sheet2-计算明细'!F88))</f>
        <v>1.2923</v>
      </c>
      <c r="K576" s="15">
        <f>IF(ISNUMBER(对照快照!F124),对照快照!F124,IF(对照快照!F124="","",对照快照!F124))</f>
        <v>1.2841</v>
      </c>
      <c r="L576" s="9" t="s">
        <v>1538</v>
      </c>
    </row>
    <row r="577" ht="25" customHeight="1" spans="1:12">
      <c r="A577" s="9" t="s">
        <v>454</v>
      </c>
      <c r="B577" s="9" t="s">
        <v>453</v>
      </c>
      <c r="C577" s="9" t="s">
        <v>1539</v>
      </c>
      <c r="D577" s="12">
        <v>0.084</v>
      </c>
      <c r="E577" s="13">
        <f>IF(ISNUMBER('Sheet2-计算明细'!Q88),'Sheet2-计算明细'!Q88,"")</f>
        <v>90.28</v>
      </c>
      <c r="F577" s="13">
        <f>IF(ISNUMBER(对照快照!Q124),对照快照!Q124,"")</f>
        <v>94.25</v>
      </c>
      <c r="G577" s="13">
        <f t="shared" si="24"/>
        <v>7.58352</v>
      </c>
      <c r="H577" s="13">
        <f t="shared" si="25"/>
        <v>7.917</v>
      </c>
      <c r="I577" s="13">
        <f t="shared" si="26"/>
        <v>-0.33348</v>
      </c>
      <c r="J577" s="15">
        <f>IF(ISNUMBER('Sheet2-计算明细'!M88),'Sheet2-计算明细'!M88,IF('Sheet2-计算明细'!M88="","",'Sheet2-计算明细'!M88))</f>
        <v>0.2405</v>
      </c>
      <c r="K577" s="15">
        <f>IF(ISNUMBER(对照快照!M124),对照快照!M124,IF(对照快照!M124="","",对照快照!M124))</f>
        <v>0.2775</v>
      </c>
      <c r="L577" s="9" t="s">
        <v>1540</v>
      </c>
    </row>
    <row r="578" ht="25" customHeight="1" spans="1:12">
      <c r="A578" s="9" t="s">
        <v>454</v>
      </c>
      <c r="B578" s="9" t="s">
        <v>453</v>
      </c>
      <c r="C578" s="9" t="s">
        <v>1541</v>
      </c>
      <c r="D578" s="12">
        <v>0.056</v>
      </c>
      <c r="E578" s="13">
        <f>IF(ISNUMBER('Sheet2-计算明细'!R88),'Sheet2-计算明细'!R88,"")</f>
        <v>0</v>
      </c>
      <c r="F578" s="13" t="str">
        <f>IF(ISNUMBER(对照快照!R124),对照快照!R124,"")</f>
        <v/>
      </c>
      <c r="G578" s="13">
        <f t="shared" ref="G578:G628" si="27">IF(ISNUMBER(E578),D578*E578,0)</f>
        <v>0</v>
      </c>
      <c r="H578" s="13">
        <f t="shared" ref="H578:H628" si="28">IF(ISNUMBER(F578),D578*F578,0)</f>
        <v>0</v>
      </c>
      <c r="I578" s="13">
        <f t="shared" ref="I578:I628" si="29">G578-H578</f>
        <v>0</v>
      </c>
      <c r="J578" s="15">
        <f>IF(ISNUMBER('Sheet2-计算明细'!P88),'Sheet2-计算明细'!P88,IF('Sheet2-计算明细'!P88="","",'Sheet2-计算明细'!P88))</f>
        <v>-0.0641318343725928</v>
      </c>
      <c r="K578" s="15" t="str">
        <f>IF(ISNUMBER(对照快照!P124),对照快照!P124,IF(对照快照!P124="","",对照快照!P124))</f>
        <v/>
      </c>
      <c r="L578" s="9" t="s">
        <v>1540</v>
      </c>
    </row>
    <row r="579" ht="25" customHeight="1" spans="1:12">
      <c r="A579" s="9" t="s">
        <v>454</v>
      </c>
      <c r="B579" s="9" t="s">
        <v>453</v>
      </c>
      <c r="C579" s="9" t="s">
        <v>690</v>
      </c>
      <c r="D579" s="12">
        <v>0.036</v>
      </c>
      <c r="E579" s="13">
        <f>IF(ISNUMBER('Sheet2-计算明细'!W88),'Sheet2-计算明细'!W88,"")</f>
        <v>46.15</v>
      </c>
      <c r="F579" s="13">
        <f>IF(ISNUMBER(对照快照!W124),对照快照!W124,"")</f>
        <v>46.15</v>
      </c>
      <c r="G579" s="13">
        <f t="shared" si="27"/>
        <v>1.6614</v>
      </c>
      <c r="H579" s="13">
        <f t="shared" si="28"/>
        <v>1.6614</v>
      </c>
      <c r="I579" s="13">
        <f t="shared" si="29"/>
        <v>0</v>
      </c>
      <c r="J579" s="15">
        <f>IF(ISNUMBER('Sheet2-计算明细'!T88),'Sheet2-计算明细'!T88,IF('Sheet2-计算明细'!T88="","",'Sheet2-计算明细'!T88))</f>
        <v>0.4615</v>
      </c>
      <c r="K579" s="15">
        <f>IF(ISNUMBER(对照快照!T124),对照快照!T124,IF(对照快照!T124="","",对照快照!T124))</f>
        <v>0.4615</v>
      </c>
      <c r="L579" s="9" t="s">
        <v>1538</v>
      </c>
    </row>
    <row r="580" ht="25" customHeight="1" spans="1:12">
      <c r="A580" s="9" t="s">
        <v>454</v>
      </c>
      <c r="B580" s="9" t="s">
        <v>453</v>
      </c>
      <c r="C580" s="9" t="s">
        <v>692</v>
      </c>
      <c r="D580" s="12">
        <v>0.024</v>
      </c>
      <c r="E580" s="13">
        <f>IF(ISNUMBER('Sheet2-计算明细'!X88),'Sheet2-计算明细'!X88,"")</f>
        <v>100</v>
      </c>
      <c r="F580" s="13">
        <f>IF(ISNUMBER(对照快照!X124),对照快照!X124,"")</f>
        <v>100</v>
      </c>
      <c r="G580" s="13">
        <f t="shared" si="27"/>
        <v>2.4</v>
      </c>
      <c r="H580" s="13">
        <f t="shared" si="28"/>
        <v>2.4</v>
      </c>
      <c r="I580" s="13">
        <f t="shared" si="29"/>
        <v>0</v>
      </c>
      <c r="J580" s="15" t="str">
        <f>IF(ISNUMBER('Sheet2-计算明细'!V88),'Sheet2-计算明细'!V88,IF('Sheet2-计算明细'!V88="","",'Sheet2-计算明细'!V88))</f>
        <v/>
      </c>
      <c r="K580" s="15" t="str">
        <f>IF(ISNUMBER(对照快照!V124),对照快照!V124,IF(对照快照!V124="","",对照快照!V124))</f>
        <v/>
      </c>
      <c r="L580" s="9" t="s">
        <v>1538</v>
      </c>
    </row>
    <row r="581" ht="25" customHeight="1" spans="1:12">
      <c r="A581" s="9" t="s">
        <v>454</v>
      </c>
      <c r="B581" s="9" t="s">
        <v>453</v>
      </c>
      <c r="C581" s="9" t="s">
        <v>1542</v>
      </c>
      <c r="D581" s="12">
        <v>0.25</v>
      </c>
      <c r="E581" s="13">
        <f>IF(ISNUMBER('Sheet2-计算明细'!AC88),'Sheet2-计算明细'!AC88,"")</f>
        <v>1.35</v>
      </c>
      <c r="F581" s="13">
        <f>IF(ISNUMBER(对照快照!AC124),对照快照!AC124,"")</f>
        <v>10.58</v>
      </c>
      <c r="G581" s="13">
        <f t="shared" si="27"/>
        <v>0.3375</v>
      </c>
      <c r="H581" s="13">
        <f t="shared" si="28"/>
        <v>2.645</v>
      </c>
      <c r="I581" s="13">
        <f t="shared" si="29"/>
        <v>-2.3075</v>
      </c>
      <c r="J581" s="15">
        <f>IF(ISNUMBER('Sheet2-计算明细'!AB88),'Sheet2-计算明细'!AB88,IF('Sheet2-计算明细'!AB88="","",'Sheet2-计算明细'!AB88))</f>
        <v>0.196454827642542</v>
      </c>
      <c r="K581" s="15">
        <f>IF(ISNUMBER(对照快照!AB124),对照快照!AB124,IF(对照快照!AB124="","",对照快照!AB124))</f>
        <v>0.196515827490971</v>
      </c>
      <c r="L581" s="9" t="s">
        <v>1540</v>
      </c>
    </row>
    <row r="582" ht="25" customHeight="1" spans="1:12">
      <c r="A582" s="9" t="s">
        <v>454</v>
      </c>
      <c r="B582" s="9" t="s">
        <v>453</v>
      </c>
      <c r="C582" s="9" t="s">
        <v>1543</v>
      </c>
      <c r="D582" s="12">
        <v>0.18</v>
      </c>
      <c r="E582" s="13">
        <f>IF(ISNUMBER('Sheet2-计算明细'!AG88),'Sheet2-计算明细'!AG88,"")</f>
        <v>8.45</v>
      </c>
      <c r="F582" s="13">
        <f>IF(ISNUMBER(对照快照!AG124),对照快照!AG124,"")</f>
        <v>36.01</v>
      </c>
      <c r="G582" s="13">
        <f t="shared" si="27"/>
        <v>1.521</v>
      </c>
      <c r="H582" s="13">
        <f t="shared" si="28"/>
        <v>6.4818</v>
      </c>
      <c r="I582" s="13">
        <f t="shared" si="29"/>
        <v>-4.9608</v>
      </c>
      <c r="J582" s="15">
        <f>IF(ISNUMBER('Sheet2-计算明细'!AD88),'Sheet2-计算明细'!AD88,IF('Sheet2-计算明细'!AD88="","",'Sheet2-计算明细'!AD88))</f>
        <v>1.2242</v>
      </c>
      <c r="K582" s="15">
        <f>IF(ISNUMBER(对照快照!AD124),对照快照!AD124,IF(对照快照!AD124="","",对照快照!AD124))</f>
        <v>1.4121</v>
      </c>
      <c r="L582" s="9" t="s">
        <v>1540</v>
      </c>
    </row>
    <row r="583" ht="25" customHeight="1" spans="1:12">
      <c r="A583" s="9" t="s">
        <v>454</v>
      </c>
      <c r="B583" s="9" t="s">
        <v>453</v>
      </c>
      <c r="C583" s="9" t="s">
        <v>1544</v>
      </c>
      <c r="D583" s="12">
        <v>0.12</v>
      </c>
      <c r="E583" s="13" t="str">
        <f>IF(ISNUMBER('Sheet2-计算明细'!AH88),'Sheet2-计算明细'!AH88,"")</f>
        <v/>
      </c>
      <c r="F583" s="13" t="str">
        <f>IF(ISNUMBER(对照快照!AH124),对照快照!AH124,"")</f>
        <v/>
      </c>
      <c r="G583" s="13">
        <f t="shared" si="27"/>
        <v>0</v>
      </c>
      <c r="H583" s="13">
        <f t="shared" si="28"/>
        <v>0</v>
      </c>
      <c r="I583" s="13">
        <f t="shared" si="29"/>
        <v>0</v>
      </c>
      <c r="J583" s="15" t="str">
        <f>IF(ISNUMBER('Sheet2-计算明细'!AF88),'Sheet2-计算明细'!AF88,IF('Sheet2-计算明细'!AF88="","",'Sheet2-计算明细'!AF88))</f>
        <v/>
      </c>
      <c r="K583" s="15" t="str">
        <f>IF(ISNUMBER(对照快照!AF124),对照快照!AF124,IF(对照快照!AF124="","",对照快照!AF124))</f>
        <v/>
      </c>
      <c r="L583" s="9" t="s">
        <v>1540</v>
      </c>
    </row>
    <row r="584" ht="25" customHeight="1" spans="1:12">
      <c r="A584" s="9" t="s">
        <v>454</v>
      </c>
      <c r="B584" s="9" t="s">
        <v>453</v>
      </c>
      <c r="C584" s="9" t="s">
        <v>574</v>
      </c>
      <c r="D584" s="12">
        <v>0.1</v>
      </c>
      <c r="E584" s="13">
        <f>IF(ISNUMBER('Sheet2-计算明细'!AK88),'Sheet2-计算明细'!AK88,"")</f>
        <v>100</v>
      </c>
      <c r="F584" s="13" t="str">
        <f>IF(ISNUMBER(对照快照!AK124),对照快照!AK124,"")</f>
        <v/>
      </c>
      <c r="G584" s="13">
        <f t="shared" si="27"/>
        <v>10</v>
      </c>
      <c r="H584" s="13">
        <f t="shared" si="28"/>
        <v>0</v>
      </c>
      <c r="I584" s="13">
        <f t="shared" si="29"/>
        <v>10</v>
      </c>
      <c r="J584" s="15">
        <f>IF(ISNUMBER('Sheet2-计算明细'!AJ88),'Sheet2-计算明细'!AJ88,IF('Sheet2-计算明细'!AJ88="","",'Sheet2-计算明细'!AJ88))</f>
        <v>0.1639</v>
      </c>
      <c r="K584" s="15" t="str">
        <f>IF(ISNUMBER(对照快照!AJ124),对照快照!AJ124,IF(对照快照!AJ124="","",对照快照!AJ124))</f>
        <v/>
      </c>
      <c r="L584" s="9" t="s">
        <v>1538</v>
      </c>
    </row>
    <row r="585" ht="25" customHeight="1" spans="1:12">
      <c r="A585" s="9" t="s">
        <v>460</v>
      </c>
      <c r="B585" s="9" t="s">
        <v>459</v>
      </c>
      <c r="C585" s="9" t="s">
        <v>538</v>
      </c>
      <c r="D585" s="12">
        <v>0.06</v>
      </c>
      <c r="E585" s="13">
        <f>IF(ISNUMBER('Sheet2-计算明细'!I89),'Sheet2-计算明细'!I89,"")</f>
        <v>80</v>
      </c>
      <c r="F585" s="13">
        <f>IF(ISNUMBER(对照快照!I29),对照快照!I29,"")</f>
        <v>80</v>
      </c>
      <c r="G585" s="13">
        <f t="shared" si="27"/>
        <v>4.8</v>
      </c>
      <c r="H585" s="13">
        <f t="shared" si="28"/>
        <v>4.8</v>
      </c>
      <c r="I585" s="13">
        <f t="shared" si="29"/>
        <v>0</v>
      </c>
      <c r="J585" s="15" t="str">
        <f>IF(ISNUMBER('Sheet2-计算明细'!H89),'Sheet2-计算明细'!H89,IF('Sheet2-计算明细'!H89="","",'Sheet2-计算明细'!H89))</f>
        <v>10-20亿元</v>
      </c>
      <c r="K585" s="15" t="str">
        <f>IF(ISNUMBER(对照快照!H29),对照快照!H29,IF(对照快照!H29="","",对照快照!H29))</f>
        <v>10-20亿元</v>
      </c>
      <c r="L585" s="9" t="s">
        <v>1538</v>
      </c>
    </row>
    <row r="586" ht="25" customHeight="1" spans="1:12">
      <c r="A586" s="9" t="s">
        <v>460</v>
      </c>
      <c r="B586" s="9" t="s">
        <v>459</v>
      </c>
      <c r="C586" s="9" t="s">
        <v>543</v>
      </c>
      <c r="D586" s="12">
        <v>0.045</v>
      </c>
      <c r="E586" s="13">
        <f>IF(ISNUMBER('Sheet2-计算明细'!K89),'Sheet2-计算明细'!K89,"")</f>
        <v>100</v>
      </c>
      <c r="F586" s="13">
        <f>IF(ISNUMBER(对照快照!K29),对照快照!K29,"")</f>
        <v>100</v>
      </c>
      <c r="G586" s="13">
        <f t="shared" si="27"/>
        <v>4.5</v>
      </c>
      <c r="H586" s="13">
        <f t="shared" si="28"/>
        <v>4.5</v>
      </c>
      <c r="I586" s="13">
        <f t="shared" si="29"/>
        <v>0</v>
      </c>
      <c r="J586" s="15" t="str">
        <f>IF(ISNUMBER('Sheet2-计算明细'!J89),'Sheet2-计算明细'!J89,IF('Sheet2-计算明细'!J89="","",'Sheet2-计算明细'!J89))</f>
        <v>无低于1000万元标识</v>
      </c>
      <c r="K586" s="15" t="str">
        <f>IF(ISNUMBER(对照快照!J29),对照快照!J29,IF(对照快照!J29="","",对照快照!J29))</f>
        <v>无低于1000万元标识</v>
      </c>
      <c r="L586" s="9" t="s">
        <v>1538</v>
      </c>
    </row>
    <row r="587" ht="25" customHeight="1" spans="1:12">
      <c r="A587" s="9" t="s">
        <v>460</v>
      </c>
      <c r="B587" s="9" t="s">
        <v>459</v>
      </c>
      <c r="C587" s="9" t="s">
        <v>547</v>
      </c>
      <c r="D587" s="12">
        <v>0.045</v>
      </c>
      <c r="E587" s="13">
        <f>IF(ISNUMBER('Sheet2-计算明细'!L89),'Sheet2-计算明细'!L89,"")</f>
        <v>100</v>
      </c>
      <c r="F587" s="13">
        <f>IF(ISNUMBER(对照快照!L29),对照快照!L29,"")</f>
        <v>100</v>
      </c>
      <c r="G587" s="13">
        <f t="shared" si="27"/>
        <v>4.5</v>
      </c>
      <c r="H587" s="13">
        <f t="shared" si="28"/>
        <v>4.5</v>
      </c>
      <c r="I587" s="13">
        <f t="shared" si="29"/>
        <v>0</v>
      </c>
      <c r="J587" s="15">
        <f>IF(ISNUMBER('Sheet2-计算明细'!F89),'Sheet2-计算明细'!F89,IF('Sheet2-计算明细'!F89="","",'Sheet2-计算明细'!F89))</f>
        <v>5.7741</v>
      </c>
      <c r="K587" s="15">
        <f>IF(ISNUMBER(对照快照!F29),对照快照!F29,IF(对照快照!F29="","",对照快照!F29))</f>
        <v>5.7659</v>
      </c>
      <c r="L587" s="9" t="s">
        <v>1538</v>
      </c>
    </row>
    <row r="588" ht="25" customHeight="1" spans="1:12">
      <c r="A588" s="9" t="s">
        <v>460</v>
      </c>
      <c r="B588" s="9" t="s">
        <v>459</v>
      </c>
      <c r="C588" s="9" t="s">
        <v>1539</v>
      </c>
      <c r="D588" s="12">
        <v>0.084</v>
      </c>
      <c r="E588" s="13">
        <f>IF(ISNUMBER('Sheet2-计算明细'!Q89),'Sheet2-计算明细'!Q89,"")</f>
        <v>84.72</v>
      </c>
      <c r="F588" s="13">
        <f>IF(ISNUMBER(对照快照!Q29),对照快照!Q29,"")</f>
        <v>86.9</v>
      </c>
      <c r="G588" s="13">
        <f t="shared" si="27"/>
        <v>7.11648</v>
      </c>
      <c r="H588" s="13">
        <f t="shared" si="28"/>
        <v>7.2996</v>
      </c>
      <c r="I588" s="13">
        <f t="shared" si="29"/>
        <v>-0.183120000000001</v>
      </c>
      <c r="J588" s="15">
        <f>IF(ISNUMBER('Sheet2-计算明细'!M89),'Sheet2-计算明细'!M89,IF('Sheet2-计算明细'!M89="","",'Sheet2-计算明细'!M89))</f>
        <v>0.1855</v>
      </c>
      <c r="K588" s="15">
        <f>IF(ISNUMBER(对照快照!M29),对照快照!M29,IF(对照快照!M29="","",对照快照!M29))</f>
        <v>0.1888</v>
      </c>
      <c r="L588" s="9" t="s">
        <v>1540</v>
      </c>
    </row>
    <row r="589" ht="25" customHeight="1" spans="1:12">
      <c r="A589" s="9" t="s">
        <v>460</v>
      </c>
      <c r="B589" s="9" t="s">
        <v>459</v>
      </c>
      <c r="C589" s="9" t="s">
        <v>1541</v>
      </c>
      <c r="D589" s="12">
        <v>0.056</v>
      </c>
      <c r="E589" s="13">
        <f>IF(ISNUMBER('Sheet2-计算明细'!R89),'Sheet2-计算明细'!R89,"")</f>
        <v>95.45</v>
      </c>
      <c r="F589" s="13">
        <f>IF(ISNUMBER(对照快照!R29),对照快照!R29,"")</f>
        <v>88.57</v>
      </c>
      <c r="G589" s="13">
        <f t="shared" si="27"/>
        <v>5.3452</v>
      </c>
      <c r="H589" s="13">
        <f t="shared" si="28"/>
        <v>4.95992</v>
      </c>
      <c r="I589" s="13">
        <f t="shared" si="29"/>
        <v>0.385280000000001</v>
      </c>
      <c r="J589" s="15">
        <f>IF(ISNUMBER('Sheet2-计算明细'!P89),'Sheet2-计算明细'!P89,IF('Sheet2-计算明细'!P89="","",'Sheet2-计算明细'!P89))</f>
        <v>0.165307759611112</v>
      </c>
      <c r="K589" s="15">
        <f>IF(ISNUMBER(对照快照!P29),对照快照!P29,IF(对照快照!P29="","",对照快照!P29))</f>
        <v>0.165924001482663</v>
      </c>
      <c r="L589" s="9" t="s">
        <v>1540</v>
      </c>
    </row>
    <row r="590" ht="25" customHeight="1" spans="1:12">
      <c r="A590" s="9" t="s">
        <v>460</v>
      </c>
      <c r="B590" s="9" t="s">
        <v>459</v>
      </c>
      <c r="C590" s="9" t="s">
        <v>690</v>
      </c>
      <c r="D590" s="12">
        <v>0.036</v>
      </c>
      <c r="E590" s="13">
        <f>IF(ISNUMBER('Sheet2-计算明细'!W89),'Sheet2-计算明细'!W89,"")</f>
        <v>76.92</v>
      </c>
      <c r="F590" s="13">
        <f>IF(ISNUMBER(对照快照!W29),对照快照!W29,"")</f>
        <v>76.92</v>
      </c>
      <c r="G590" s="13">
        <f t="shared" si="27"/>
        <v>2.76912</v>
      </c>
      <c r="H590" s="13">
        <f t="shared" si="28"/>
        <v>2.76912</v>
      </c>
      <c r="I590" s="13">
        <f t="shared" si="29"/>
        <v>0</v>
      </c>
      <c r="J590" s="15">
        <f>IF(ISNUMBER('Sheet2-计算明细'!T89),'Sheet2-计算明细'!T89,IF('Sheet2-计算明细'!T89="","",'Sheet2-计算明细'!T89))</f>
        <v>0.7692</v>
      </c>
      <c r="K590" s="15">
        <f>IF(ISNUMBER(对照快照!T29),对照快照!T29,IF(对照快照!T29="","",对照快照!T29))</f>
        <v>0.7692</v>
      </c>
      <c r="L590" s="9" t="s">
        <v>1538</v>
      </c>
    </row>
    <row r="591" ht="25" customHeight="1" spans="1:12">
      <c r="A591" s="9" t="s">
        <v>460</v>
      </c>
      <c r="B591" s="9" t="s">
        <v>459</v>
      </c>
      <c r="C591" s="9" t="s">
        <v>692</v>
      </c>
      <c r="D591" s="12">
        <v>0.024</v>
      </c>
      <c r="E591" s="13">
        <f>IF(ISNUMBER('Sheet2-计算明细'!X89),'Sheet2-计算明细'!X89,"")</f>
        <v>87.4958333333333</v>
      </c>
      <c r="F591" s="13">
        <f>IF(ISNUMBER(对照快照!X29),对照快照!X29,"")</f>
        <v>87.4958333333333</v>
      </c>
      <c r="G591" s="13">
        <f t="shared" si="27"/>
        <v>2.0999</v>
      </c>
      <c r="H591" s="13">
        <f t="shared" si="28"/>
        <v>2.0999</v>
      </c>
      <c r="I591" s="13">
        <f t="shared" si="29"/>
        <v>0</v>
      </c>
      <c r="J591" s="15">
        <f>IF(ISNUMBER('Sheet2-计算明细'!V89),'Sheet2-计算明细'!V89,IF('Sheet2-计算明细'!V89="","",'Sheet2-计算明细'!V89))</f>
        <v>0.874958333333333</v>
      </c>
      <c r="K591" s="15">
        <f>IF(ISNUMBER(对照快照!V29),对照快照!V29,IF(对照快照!V29="","",对照快照!V29))</f>
        <v>0.874958333333333</v>
      </c>
      <c r="L591" s="9" t="s">
        <v>1538</v>
      </c>
    </row>
    <row r="592" ht="25" customHeight="1" spans="1:12">
      <c r="A592" s="9" t="s">
        <v>460</v>
      </c>
      <c r="B592" s="9" t="s">
        <v>459</v>
      </c>
      <c r="C592" s="9" t="s">
        <v>1542</v>
      </c>
      <c r="D592" s="12">
        <v>0.25</v>
      </c>
      <c r="E592" s="13">
        <f>IF(ISNUMBER('Sheet2-计算明细'!AC89),'Sheet2-计算明细'!AC89,"")</f>
        <v>71.62</v>
      </c>
      <c r="F592" s="13">
        <f>IF(ISNUMBER(对照快照!AC29),对照快照!AC29,"")</f>
        <v>84.62</v>
      </c>
      <c r="G592" s="13">
        <f t="shared" si="27"/>
        <v>17.905</v>
      </c>
      <c r="H592" s="13">
        <f t="shared" si="28"/>
        <v>21.155</v>
      </c>
      <c r="I592" s="13">
        <f t="shared" si="29"/>
        <v>-3.25</v>
      </c>
      <c r="J592" s="15">
        <f>IF(ISNUMBER('Sheet2-计算明细'!AB89),'Sheet2-计算明细'!AB89,IF('Sheet2-计算明细'!AB89="","",'Sheet2-计算明细'!AB89))</f>
        <v>0.0105</v>
      </c>
      <c r="K592" s="15">
        <f>IF(ISNUMBER(对照快照!AB29),对照快照!AB29,IF(对照快照!AB29="","",对照快照!AB29))</f>
        <v>0.0105</v>
      </c>
      <c r="L592" s="9" t="s">
        <v>1540</v>
      </c>
    </row>
    <row r="593" ht="25" customHeight="1" spans="1:12">
      <c r="A593" s="9" t="s">
        <v>460</v>
      </c>
      <c r="B593" s="9" t="s">
        <v>459</v>
      </c>
      <c r="C593" s="9" t="s">
        <v>1543</v>
      </c>
      <c r="D593" s="12">
        <v>0.18</v>
      </c>
      <c r="E593" s="13">
        <f>IF(ISNUMBER('Sheet2-计算明细'!AG89),'Sheet2-计算明细'!AG89,"")</f>
        <v>90.14</v>
      </c>
      <c r="F593" s="13">
        <f>IF(ISNUMBER(对照快照!AG29),对照快照!AG29,"")</f>
        <v>96.14</v>
      </c>
      <c r="G593" s="13">
        <f t="shared" si="27"/>
        <v>16.2252</v>
      </c>
      <c r="H593" s="13">
        <f t="shared" si="28"/>
        <v>17.3052</v>
      </c>
      <c r="I593" s="13">
        <f t="shared" si="29"/>
        <v>-1.08</v>
      </c>
      <c r="J593" s="15">
        <f>IF(ISNUMBER('Sheet2-计算明细'!AD89),'Sheet2-计算明细'!AD89,IF('Sheet2-计算明细'!AD89="","",'Sheet2-计算明细'!AD89))</f>
        <v>39.9118</v>
      </c>
      <c r="K593" s="15">
        <f>IF(ISNUMBER(对照快照!AD29),对照快照!AD29,IF(对照快照!AD29="","",对照快照!AD29))</f>
        <v>40.6377</v>
      </c>
      <c r="L593" s="9" t="s">
        <v>1540</v>
      </c>
    </row>
    <row r="594" ht="25" customHeight="1" spans="1:12">
      <c r="A594" s="9" t="s">
        <v>460</v>
      </c>
      <c r="B594" s="9" t="s">
        <v>459</v>
      </c>
      <c r="C594" s="9" t="s">
        <v>1544</v>
      </c>
      <c r="D594" s="12">
        <v>0.12</v>
      </c>
      <c r="E594" s="13">
        <f>IF(ISNUMBER('Sheet2-计算明细'!AH89),'Sheet2-计算明细'!AH89,"")</f>
        <v>90.63</v>
      </c>
      <c r="F594" s="13">
        <f>IF(ISNUMBER(对照快照!AH29),对照快照!AH29,"")</f>
        <v>94.33</v>
      </c>
      <c r="G594" s="13">
        <f t="shared" si="27"/>
        <v>10.8756</v>
      </c>
      <c r="H594" s="13">
        <f t="shared" si="28"/>
        <v>11.3196</v>
      </c>
      <c r="I594" s="13">
        <f t="shared" si="29"/>
        <v>-0.444000000000001</v>
      </c>
      <c r="J594" s="15">
        <f>IF(ISNUMBER('Sheet2-计算明细'!AF89),'Sheet2-计算明细'!AF89,IF('Sheet2-计算明细'!AF89="","",'Sheet2-计算明细'!AF89))</f>
        <v>15.7435961534392</v>
      </c>
      <c r="K594" s="15">
        <f>IF(ISNUMBER(对照快照!AF29),对照快照!AF29,IF(对照快照!AF29="","",对照快照!AF29))</f>
        <v>15.8022858554917</v>
      </c>
      <c r="L594" s="9" t="s">
        <v>1540</v>
      </c>
    </row>
    <row r="595" ht="25" customHeight="1" spans="1:12">
      <c r="A595" s="9" t="s">
        <v>460</v>
      </c>
      <c r="B595" s="9" t="s">
        <v>459</v>
      </c>
      <c r="C595" s="9" t="s">
        <v>574</v>
      </c>
      <c r="D595" s="12">
        <v>0.1</v>
      </c>
      <c r="E595" s="13">
        <f>IF(ISNUMBER('Sheet2-计算明细'!AK89),'Sheet2-计算明细'!AK89,"")</f>
        <v>100</v>
      </c>
      <c r="F595" s="13">
        <f>IF(ISNUMBER(对照快照!AK29),对照快照!AK29,"")</f>
        <v>100</v>
      </c>
      <c r="G595" s="13">
        <f t="shared" si="27"/>
        <v>10</v>
      </c>
      <c r="H595" s="13">
        <f t="shared" si="28"/>
        <v>10</v>
      </c>
      <c r="I595" s="13">
        <f t="shared" si="29"/>
        <v>0</v>
      </c>
      <c r="J595" s="15">
        <f>IF(ISNUMBER('Sheet2-计算明细'!AJ89),'Sheet2-计算明细'!AJ89,IF('Sheet2-计算明细'!AJ89="","",'Sheet2-计算明细'!AJ89))</f>
        <v>0.172</v>
      </c>
      <c r="K595" s="15">
        <f>IF(ISNUMBER(对照快照!AJ29),对照快照!AJ29,IF(对照快照!AJ29="","",对照快照!AJ29))</f>
        <v>0.1735</v>
      </c>
      <c r="L595" s="9" t="s">
        <v>1538</v>
      </c>
    </row>
    <row r="596" ht="25" customHeight="1" spans="1:12">
      <c r="A596" s="9" t="s">
        <v>488</v>
      </c>
      <c r="B596" s="9" t="s">
        <v>486</v>
      </c>
      <c r="C596" s="9" t="s">
        <v>538</v>
      </c>
      <c r="D596" s="12">
        <v>0.06</v>
      </c>
      <c r="E596" s="13">
        <f>IF(ISNUMBER('Sheet2-计算明细'!I94),'Sheet2-计算明细'!I94,"")</f>
        <v>90</v>
      </c>
      <c r="F596" s="13">
        <f>IF(ISNUMBER(对照快照!I6),对照快照!I6,"")</f>
        <v>90</v>
      </c>
      <c r="G596" s="13">
        <f t="shared" si="27"/>
        <v>5.4</v>
      </c>
      <c r="H596" s="13">
        <f t="shared" si="28"/>
        <v>5.4</v>
      </c>
      <c r="I596" s="13">
        <f t="shared" si="29"/>
        <v>0</v>
      </c>
      <c r="J596" s="15" t="str">
        <f>IF(ISNUMBER('Sheet2-计算明细'!H94),'Sheet2-计算明细'!H94,IF('Sheet2-计算明细'!H94="","",'Sheet2-计算明细'!H94))</f>
        <v>20-50亿元</v>
      </c>
      <c r="K596" s="15" t="str">
        <f>IF(ISNUMBER(对照快照!H6),对照快照!H6,IF(对照快照!H6="","",对照快照!H6))</f>
        <v>20-50亿元</v>
      </c>
      <c r="L596" s="9" t="s">
        <v>1538</v>
      </c>
    </row>
    <row r="597" ht="25" customHeight="1" spans="1:12">
      <c r="A597" s="9" t="s">
        <v>488</v>
      </c>
      <c r="B597" s="9" t="s">
        <v>486</v>
      </c>
      <c r="C597" s="9" t="s">
        <v>543</v>
      </c>
      <c r="D597" s="12">
        <v>0.045</v>
      </c>
      <c r="E597" s="13">
        <f>IF(ISNUMBER('Sheet2-计算明细'!K94),'Sheet2-计算明细'!K94,"")</f>
        <v>100</v>
      </c>
      <c r="F597" s="13">
        <f>IF(ISNUMBER(对照快照!K6),对照快照!K6,"")</f>
        <v>100</v>
      </c>
      <c r="G597" s="13">
        <f t="shared" si="27"/>
        <v>4.5</v>
      </c>
      <c r="H597" s="13">
        <f t="shared" si="28"/>
        <v>4.5</v>
      </c>
      <c r="I597" s="13">
        <f t="shared" si="29"/>
        <v>0</v>
      </c>
      <c r="J597" s="15" t="str">
        <f>IF(ISNUMBER('Sheet2-计算明细'!J94),'Sheet2-计算明细'!J94,IF('Sheet2-计算明细'!J94="","",'Sheet2-计算明细'!J94))</f>
        <v>无低于1000万元标识</v>
      </c>
      <c r="K597" s="15" t="str">
        <f>IF(ISNUMBER(对照快照!J6),对照快照!J6,IF(对照快照!J6="","",对照快照!J6))</f>
        <v>无低于1000万元标识</v>
      </c>
      <c r="L597" s="9" t="s">
        <v>1538</v>
      </c>
    </row>
    <row r="598" ht="25" customHeight="1" spans="1:12">
      <c r="A598" s="9" t="s">
        <v>488</v>
      </c>
      <c r="B598" s="9" t="s">
        <v>486</v>
      </c>
      <c r="C598" s="9" t="s">
        <v>547</v>
      </c>
      <c r="D598" s="12">
        <v>0.045</v>
      </c>
      <c r="E598" s="13">
        <f>IF(ISNUMBER('Sheet2-计算明细'!L94),'Sheet2-计算明细'!L94,"")</f>
        <v>100</v>
      </c>
      <c r="F598" s="13">
        <f>IF(ISNUMBER(对照快照!L6),对照快照!L6,"")</f>
        <v>100</v>
      </c>
      <c r="G598" s="13">
        <f t="shared" si="27"/>
        <v>4.5</v>
      </c>
      <c r="H598" s="13">
        <f t="shared" si="28"/>
        <v>4.5</v>
      </c>
      <c r="I598" s="13">
        <f t="shared" si="29"/>
        <v>0</v>
      </c>
      <c r="J598" s="15">
        <f>IF(ISNUMBER('Sheet2-计算明细'!F94),'Sheet2-计算明细'!F94,IF('Sheet2-计算明细'!F94="","",'Sheet2-计算明细'!F94))</f>
        <v>9.358</v>
      </c>
      <c r="K598" s="15">
        <f>IF(ISNUMBER(对照快照!F6),对照快照!F6,IF(对照快照!F6="","",对照快照!F6))</f>
        <v>9.3498</v>
      </c>
      <c r="L598" s="9" t="s">
        <v>1538</v>
      </c>
    </row>
    <row r="599" ht="25" customHeight="1" spans="1:12">
      <c r="A599" s="9" t="s">
        <v>488</v>
      </c>
      <c r="B599" s="9" t="s">
        <v>486</v>
      </c>
      <c r="C599" s="9" t="s">
        <v>1539</v>
      </c>
      <c r="D599" s="12">
        <v>0.084</v>
      </c>
      <c r="E599" s="13">
        <f>IF(ISNUMBER('Sheet2-计算明细'!Q94),'Sheet2-计算明细'!Q94,"")</f>
        <v>16.67</v>
      </c>
      <c r="F599" s="13">
        <f>IF(ISNUMBER(对照快照!Q6),对照快照!Q6,"")</f>
        <v>31.95</v>
      </c>
      <c r="G599" s="13">
        <f t="shared" si="27"/>
        <v>1.40028</v>
      </c>
      <c r="H599" s="13">
        <f t="shared" si="28"/>
        <v>2.6838</v>
      </c>
      <c r="I599" s="13">
        <f t="shared" si="29"/>
        <v>-1.28352</v>
      </c>
      <c r="J599" s="15">
        <f>IF(ISNUMBER('Sheet2-计算明细'!M94),'Sheet2-计算明细'!M94,IF('Sheet2-计算明细'!M94="","",'Sheet2-计算明细'!M94))</f>
        <v>0.0381</v>
      </c>
      <c r="K599" s="15">
        <f>IF(ISNUMBER(对照快照!M6),对照快照!M6,IF(对照快照!M6="","",对照快照!M6))</f>
        <v>0.0369</v>
      </c>
      <c r="L599" s="9" t="s">
        <v>1540</v>
      </c>
    </row>
    <row r="600" ht="25" customHeight="1" spans="1:12">
      <c r="A600" s="9" t="s">
        <v>488</v>
      </c>
      <c r="B600" s="9" t="s">
        <v>486</v>
      </c>
      <c r="C600" s="9" t="s">
        <v>1541</v>
      </c>
      <c r="D600" s="12">
        <v>0.056</v>
      </c>
      <c r="E600" s="13">
        <f>IF(ISNUMBER('Sheet2-计算明细'!R94),'Sheet2-计算明细'!R94,"")</f>
        <v>21.21</v>
      </c>
      <c r="F600" s="13">
        <f>IF(ISNUMBER(对照快照!R6),对照快照!R6,"")</f>
        <v>37.62</v>
      </c>
      <c r="G600" s="13">
        <f t="shared" si="27"/>
        <v>1.18776</v>
      </c>
      <c r="H600" s="13">
        <f t="shared" si="28"/>
        <v>2.10672</v>
      </c>
      <c r="I600" s="13">
        <f t="shared" si="29"/>
        <v>-0.91896</v>
      </c>
      <c r="J600" s="15">
        <f>IF(ISNUMBER('Sheet2-计算明细'!P94),'Sheet2-计算明细'!P94,IF('Sheet2-计算明细'!P94="","",'Sheet2-计算明细'!P94))</f>
        <v>0.0529853487524932</v>
      </c>
      <c r="K600" s="15">
        <f>IF(ISNUMBER(对照快照!P6),对照快照!P6,IF(对照快照!P6="","",对照快照!P6))</f>
        <v>0.0548011164146098</v>
      </c>
      <c r="L600" s="9" t="s">
        <v>1540</v>
      </c>
    </row>
    <row r="601" ht="25" customHeight="1" spans="1:12">
      <c r="A601" s="9" t="s">
        <v>488</v>
      </c>
      <c r="B601" s="9" t="s">
        <v>486</v>
      </c>
      <c r="C601" s="9" t="s">
        <v>690</v>
      </c>
      <c r="D601" s="12">
        <v>0.036</v>
      </c>
      <c r="E601" s="13">
        <f>IF(ISNUMBER('Sheet2-计算明细'!W94),'Sheet2-计算明细'!W94,"")</f>
        <v>69.23</v>
      </c>
      <c r="F601" s="13">
        <f>IF(ISNUMBER(对照快照!W6),对照快照!W6,"")</f>
        <v>61.54</v>
      </c>
      <c r="G601" s="13">
        <f t="shared" si="27"/>
        <v>2.49228</v>
      </c>
      <c r="H601" s="13">
        <f t="shared" si="28"/>
        <v>2.21544</v>
      </c>
      <c r="I601" s="13">
        <f t="shared" si="29"/>
        <v>0.27684</v>
      </c>
      <c r="J601" s="15">
        <f>IF(ISNUMBER('Sheet2-计算明细'!T94),'Sheet2-计算明细'!T94,IF('Sheet2-计算明细'!T94="","",'Sheet2-计算明细'!T94))</f>
        <v>0.6923</v>
      </c>
      <c r="K601" s="15">
        <f>IF(ISNUMBER(对照快照!T6),对照快照!T6,IF(对照快照!T6="","",对照快照!T6))</f>
        <v>0.6154</v>
      </c>
      <c r="L601" s="9" t="s">
        <v>1538</v>
      </c>
    </row>
    <row r="602" ht="25" customHeight="1" spans="1:12">
      <c r="A602" s="9" t="s">
        <v>488</v>
      </c>
      <c r="B602" s="9" t="s">
        <v>486</v>
      </c>
      <c r="C602" s="9" t="s">
        <v>692</v>
      </c>
      <c r="D602" s="12">
        <v>0.024</v>
      </c>
      <c r="E602" s="13">
        <f>IF(ISNUMBER('Sheet2-计算明细'!X94),'Sheet2-计算明细'!X94,"")</f>
        <v>83.33625</v>
      </c>
      <c r="F602" s="13">
        <f>IF(ISNUMBER(对照快照!X6),对照快照!X6,"")</f>
        <v>87.5016666666667</v>
      </c>
      <c r="G602" s="13">
        <f t="shared" si="27"/>
        <v>2.00007</v>
      </c>
      <c r="H602" s="13">
        <f t="shared" si="28"/>
        <v>2.10004</v>
      </c>
      <c r="I602" s="13">
        <f t="shared" si="29"/>
        <v>-0.0999700000000008</v>
      </c>
      <c r="J602" s="15">
        <f>IF(ISNUMBER('Sheet2-计算明细'!V94),'Sheet2-计算明细'!V94,IF('Sheet2-计算明细'!V94="","",'Sheet2-计算明细'!V94))</f>
        <v>0.8333625</v>
      </c>
      <c r="K602" s="15">
        <f>IF(ISNUMBER(对照快照!V6),对照快照!V6,IF(对照快照!V6="","",对照快照!V6))</f>
        <v>0.875016666666667</v>
      </c>
      <c r="L602" s="9" t="s">
        <v>1538</v>
      </c>
    </row>
    <row r="603" ht="25" customHeight="1" spans="1:12">
      <c r="A603" s="9" t="s">
        <v>488</v>
      </c>
      <c r="B603" s="9" t="s">
        <v>486</v>
      </c>
      <c r="C603" s="9" t="s">
        <v>1542</v>
      </c>
      <c r="D603" s="12">
        <v>0.25</v>
      </c>
      <c r="E603" s="13">
        <f>IF(ISNUMBER('Sheet2-计算明细'!AC94),'Sheet2-计算明细'!AC94,"")</f>
        <v>59.46</v>
      </c>
      <c r="F603" s="13">
        <f>IF(ISNUMBER(对照快照!AC6),对照快照!AC6,"")</f>
        <v>79.81</v>
      </c>
      <c r="G603" s="13">
        <f t="shared" si="27"/>
        <v>14.865</v>
      </c>
      <c r="H603" s="13">
        <f t="shared" si="28"/>
        <v>19.9525</v>
      </c>
      <c r="I603" s="13">
        <f t="shared" si="29"/>
        <v>-5.0875</v>
      </c>
      <c r="J603" s="15">
        <f>IF(ISNUMBER('Sheet2-计算明细'!AB94),'Sheet2-计算明细'!AB94,IF('Sheet2-计算明细'!AB94="","",'Sheet2-计算明细'!AB94))</f>
        <v>0.0134</v>
      </c>
      <c r="K603" s="15">
        <f>IF(ISNUMBER(对照快照!AB6),对照快照!AB6,IF(对照快照!AB6="","",对照快照!AB6))</f>
        <v>0.0134</v>
      </c>
      <c r="L603" s="9" t="s">
        <v>1540</v>
      </c>
    </row>
    <row r="604" ht="25" customHeight="1" spans="1:12">
      <c r="A604" s="9" t="s">
        <v>488</v>
      </c>
      <c r="B604" s="9" t="s">
        <v>486</v>
      </c>
      <c r="C604" s="9" t="s">
        <v>1543</v>
      </c>
      <c r="D604" s="12">
        <v>0.18</v>
      </c>
      <c r="E604" s="13">
        <f>IF(ISNUMBER('Sheet2-计算明细'!AG94),'Sheet2-计算明细'!AG94,"")</f>
        <v>25.35</v>
      </c>
      <c r="F604" s="13">
        <f>IF(ISNUMBER(对照快照!AG6),对照快照!AG6,"")</f>
        <v>52.09</v>
      </c>
      <c r="G604" s="13">
        <f t="shared" si="27"/>
        <v>4.563</v>
      </c>
      <c r="H604" s="13">
        <f t="shared" si="28"/>
        <v>9.3762</v>
      </c>
      <c r="I604" s="13">
        <f t="shared" si="29"/>
        <v>-4.8132</v>
      </c>
      <c r="J604" s="15">
        <f>IF(ISNUMBER('Sheet2-计算明细'!AD94),'Sheet2-计算明细'!AD94,IF('Sheet2-计算明细'!AD94="","",'Sheet2-计算明细'!AD94))</f>
        <v>2.8512</v>
      </c>
      <c r="K604" s="15">
        <f>IF(ISNUMBER(对照快照!AD6),对照快照!AD6,IF(对照快照!AD6="","",对照快照!AD6))</f>
        <v>2.7646</v>
      </c>
      <c r="L604" s="9" t="s">
        <v>1540</v>
      </c>
    </row>
    <row r="605" ht="25" customHeight="1" spans="1:12">
      <c r="A605" s="9" t="s">
        <v>488</v>
      </c>
      <c r="B605" s="9" t="s">
        <v>486</v>
      </c>
      <c r="C605" s="9" t="s">
        <v>1544</v>
      </c>
      <c r="D605" s="12">
        <v>0.12</v>
      </c>
      <c r="E605" s="13" t="str">
        <f>IF(ISNUMBER('Sheet2-计算明细'!AH94),'Sheet2-计算明细'!AH94,"")</f>
        <v/>
      </c>
      <c r="F605" s="13" t="str">
        <f>IF(ISNUMBER(对照快照!AH6),对照快照!AH6,"")</f>
        <v/>
      </c>
      <c r="G605" s="13">
        <f t="shared" si="27"/>
        <v>0</v>
      </c>
      <c r="H605" s="13">
        <f t="shared" si="28"/>
        <v>0</v>
      </c>
      <c r="I605" s="13">
        <f t="shared" si="29"/>
        <v>0</v>
      </c>
      <c r="J605" s="15" t="str">
        <f>IF(ISNUMBER('Sheet2-计算明细'!AF94),'Sheet2-计算明细'!AF94,IF('Sheet2-计算明细'!AF94="","",'Sheet2-计算明细'!AF94))</f>
        <v/>
      </c>
      <c r="K605" s="15" t="str">
        <f>IF(ISNUMBER(对照快照!AF6),对照快照!AF6,IF(对照快照!AF6="","",对照快照!AF6))</f>
        <v/>
      </c>
      <c r="L605" s="9" t="s">
        <v>1540</v>
      </c>
    </row>
    <row r="606" ht="25" customHeight="1" spans="1:12">
      <c r="A606" s="9" t="s">
        <v>488</v>
      </c>
      <c r="B606" s="9" t="s">
        <v>486</v>
      </c>
      <c r="C606" s="9" t="s">
        <v>574</v>
      </c>
      <c r="D606" s="12">
        <v>0.1</v>
      </c>
      <c r="E606" s="13">
        <f>IF(ISNUMBER('Sheet2-计算明细'!AK94),'Sheet2-计算明细'!AK94,"")</f>
        <v>80</v>
      </c>
      <c r="F606" s="13">
        <f>IF(ISNUMBER(对照快照!AK6),对照快照!AK6,"")</f>
        <v>80</v>
      </c>
      <c r="G606" s="13">
        <f t="shared" si="27"/>
        <v>8</v>
      </c>
      <c r="H606" s="13">
        <f t="shared" si="28"/>
        <v>8</v>
      </c>
      <c r="I606" s="13">
        <f t="shared" si="29"/>
        <v>0</v>
      </c>
      <c r="J606" s="15">
        <f>IF(ISNUMBER('Sheet2-计算明细'!AJ94),'Sheet2-计算明细'!AJ94,IF('Sheet2-计算明细'!AJ94="","",'Sheet2-计算明细'!AJ94))</f>
        <v>0.048</v>
      </c>
      <c r="K606" s="15">
        <f>IF(ISNUMBER(对照快照!AJ6),对照快照!AJ6,IF(对照快照!AJ6="","",对照快照!AJ6))</f>
        <v>0.0488</v>
      </c>
      <c r="L606" s="9" t="s">
        <v>1538</v>
      </c>
    </row>
    <row r="607" ht="25" customHeight="1" spans="1:12">
      <c r="A607" s="9" t="s">
        <v>502</v>
      </c>
      <c r="B607" s="9" t="s">
        <v>499</v>
      </c>
      <c r="C607" s="9" t="s">
        <v>538</v>
      </c>
      <c r="D607" s="12">
        <v>0.06</v>
      </c>
      <c r="E607" s="13">
        <f>IF(ISNUMBER('Sheet2-计算明细'!I96),'Sheet2-计算明细'!I96,"")</f>
        <v>90</v>
      </c>
      <c r="F607" s="13">
        <f>IF(ISNUMBER(对照快照!I292),对照快照!I292,"")</f>
        <v>90</v>
      </c>
      <c r="G607" s="13">
        <f t="shared" si="27"/>
        <v>5.4</v>
      </c>
      <c r="H607" s="13">
        <f t="shared" si="28"/>
        <v>5.4</v>
      </c>
      <c r="I607" s="13">
        <f t="shared" si="29"/>
        <v>0</v>
      </c>
      <c r="J607" s="15" t="str">
        <f>IF(ISNUMBER('Sheet2-计算明细'!H96),'Sheet2-计算明细'!H96,IF('Sheet2-计算明细'!H96="","",'Sheet2-计算明细'!H96))</f>
        <v>20-50亿元</v>
      </c>
      <c r="K607" s="15" t="str">
        <f>IF(ISNUMBER(对照快照!H292),对照快照!H292,IF(对照快照!H292="","",对照快照!H292))</f>
        <v>20-50亿元</v>
      </c>
      <c r="L607" s="9" t="s">
        <v>1538</v>
      </c>
    </row>
    <row r="608" ht="25" customHeight="1" spans="1:12">
      <c r="A608" s="9" t="s">
        <v>502</v>
      </c>
      <c r="B608" s="9" t="s">
        <v>499</v>
      </c>
      <c r="C608" s="9" t="s">
        <v>543</v>
      </c>
      <c r="D608" s="12">
        <v>0.045</v>
      </c>
      <c r="E608" s="13">
        <f>IF(ISNUMBER('Sheet2-计算明细'!K96),'Sheet2-计算明细'!K96,"")</f>
        <v>100</v>
      </c>
      <c r="F608" s="13">
        <f>IF(ISNUMBER(对照快照!K292),对照快照!K292,"")</f>
        <v>100</v>
      </c>
      <c r="G608" s="13">
        <f t="shared" si="27"/>
        <v>4.5</v>
      </c>
      <c r="H608" s="13">
        <f t="shared" si="28"/>
        <v>4.5</v>
      </c>
      <c r="I608" s="13">
        <f t="shared" si="29"/>
        <v>0</v>
      </c>
      <c r="J608" s="15" t="str">
        <f>IF(ISNUMBER('Sheet2-计算明细'!J96),'Sheet2-计算明细'!J96,IF('Sheet2-计算明细'!J96="","",'Sheet2-计算明细'!J96))</f>
        <v>无低于1000万元标识</v>
      </c>
      <c r="K608" s="15" t="str">
        <f>IF(ISNUMBER(对照快照!J292),对照快照!J292,IF(对照快照!J292="","",对照快照!J292))</f>
        <v>无低于1000万元标识</v>
      </c>
      <c r="L608" s="9" t="s">
        <v>1538</v>
      </c>
    </row>
    <row r="609" ht="25" customHeight="1" spans="1:12">
      <c r="A609" s="9" t="s">
        <v>502</v>
      </c>
      <c r="B609" s="9" t="s">
        <v>499</v>
      </c>
      <c r="C609" s="9" t="s">
        <v>547</v>
      </c>
      <c r="D609" s="12">
        <v>0.045</v>
      </c>
      <c r="E609" s="13">
        <f>IF(ISNUMBER('Sheet2-计算明细'!L96),'Sheet2-计算明细'!L96,"")</f>
        <v>70</v>
      </c>
      <c r="F609" s="13">
        <f>IF(ISNUMBER(对照快照!L292),对照快照!L292,"")</f>
        <v>70</v>
      </c>
      <c r="G609" s="13">
        <f t="shared" si="27"/>
        <v>3.15</v>
      </c>
      <c r="H609" s="13">
        <f t="shared" si="28"/>
        <v>3.15</v>
      </c>
      <c r="I609" s="13">
        <f t="shared" si="29"/>
        <v>0</v>
      </c>
      <c r="J609" s="15">
        <f>IF(ISNUMBER('Sheet2-计算明细'!F96),'Sheet2-计算明细'!F96,IF('Sheet2-计算明细'!F96="","",'Sheet2-计算明细'!F96))</f>
        <v>1.3005</v>
      </c>
      <c r="K609" s="15">
        <f>IF(ISNUMBER(对照快照!F292),对照快照!F292,IF(对照快照!F292="","",对照快照!F292))</f>
        <v>1.2923</v>
      </c>
      <c r="L609" s="9" t="s">
        <v>1538</v>
      </c>
    </row>
    <row r="610" ht="25" customHeight="1" spans="1:12">
      <c r="A610" s="9" t="s">
        <v>502</v>
      </c>
      <c r="B610" s="9" t="s">
        <v>499</v>
      </c>
      <c r="C610" s="9" t="s">
        <v>1539</v>
      </c>
      <c r="D610" s="12">
        <v>0.084</v>
      </c>
      <c r="E610" s="13">
        <f>IF(ISNUMBER('Sheet2-计算明细'!Q96),'Sheet2-计算明细'!Q96,"")</f>
        <v>70.83</v>
      </c>
      <c r="F610" s="13">
        <f>IF(ISNUMBER(对照快照!Q292),对照快照!Q292,"")</f>
        <v>78.59</v>
      </c>
      <c r="G610" s="13">
        <f t="shared" si="27"/>
        <v>5.94972</v>
      </c>
      <c r="H610" s="13">
        <f t="shared" si="28"/>
        <v>6.60156</v>
      </c>
      <c r="I610" s="13">
        <f t="shared" si="29"/>
        <v>-0.651840000000001</v>
      </c>
      <c r="J610" s="15">
        <f>IF(ISNUMBER('Sheet2-计算明细'!M96),'Sheet2-计算明细'!M96,IF('Sheet2-计算明细'!M96="","",'Sheet2-计算明细'!M96))</f>
        <v>0.1172</v>
      </c>
      <c r="K610" s="15">
        <f>IF(ISNUMBER(对照快照!M292),对照快照!M292,IF(对照快照!M292="","",对照快照!M292))</f>
        <v>0.1199</v>
      </c>
      <c r="L610" s="9" t="s">
        <v>1540</v>
      </c>
    </row>
    <row r="611" ht="25" customHeight="1" spans="1:12">
      <c r="A611" s="9" t="s">
        <v>502</v>
      </c>
      <c r="B611" s="9" t="s">
        <v>499</v>
      </c>
      <c r="C611" s="9" t="s">
        <v>1541</v>
      </c>
      <c r="D611" s="12">
        <v>0.056</v>
      </c>
      <c r="E611" s="13">
        <f>IF(ISNUMBER('Sheet2-计算明细'!R96),'Sheet2-计算明细'!R96,"")</f>
        <v>86.36</v>
      </c>
      <c r="F611" s="13" t="str">
        <f>IF(ISNUMBER(对照快照!R292),对照快照!R292,"")</f>
        <v/>
      </c>
      <c r="G611" s="13">
        <f t="shared" si="27"/>
        <v>4.83616</v>
      </c>
      <c r="H611" s="13">
        <f t="shared" si="28"/>
        <v>0</v>
      </c>
      <c r="I611" s="13">
        <f t="shared" si="29"/>
        <v>4.83616</v>
      </c>
      <c r="J611" s="15">
        <f>IF(ISNUMBER('Sheet2-计算明细'!P96),'Sheet2-计算明细'!P96,IF('Sheet2-计算明细'!P96="","",'Sheet2-计算明细'!P96))</f>
        <v>0.139439957488652</v>
      </c>
      <c r="K611" s="15" t="str">
        <f>IF(ISNUMBER(对照快照!P292),对照快照!P292,IF(对照快照!P292="","",对照快照!P292))</f>
        <v/>
      </c>
      <c r="L611" s="9" t="s">
        <v>1540</v>
      </c>
    </row>
    <row r="612" ht="25" customHeight="1" spans="1:12">
      <c r="A612" s="9" t="s">
        <v>502</v>
      </c>
      <c r="B612" s="9" t="s">
        <v>499</v>
      </c>
      <c r="C612" s="9" t="s">
        <v>690</v>
      </c>
      <c r="D612" s="12">
        <v>0.036</v>
      </c>
      <c r="E612" s="13">
        <f>IF(ISNUMBER('Sheet2-计算明细'!W96),'Sheet2-计算明细'!W96,"")</f>
        <v>92.31</v>
      </c>
      <c r="F612" s="13">
        <f>IF(ISNUMBER(对照快照!W292),对照快照!W292,"")</f>
        <v>92.31</v>
      </c>
      <c r="G612" s="13">
        <f t="shared" si="27"/>
        <v>3.32316</v>
      </c>
      <c r="H612" s="13">
        <f t="shared" si="28"/>
        <v>3.32316</v>
      </c>
      <c r="I612" s="13">
        <f t="shared" si="29"/>
        <v>0</v>
      </c>
      <c r="J612" s="15">
        <f>IF(ISNUMBER('Sheet2-计算明细'!T96),'Sheet2-计算明细'!T96,IF('Sheet2-计算明细'!T96="","",'Sheet2-计算明细'!T96))</f>
        <v>0.9231</v>
      </c>
      <c r="K612" s="15">
        <f>IF(ISNUMBER(对照快照!T292),对照快照!T292,IF(对照快照!T292="","",对照快照!T292))</f>
        <v>0.9231</v>
      </c>
      <c r="L612" s="9" t="s">
        <v>1538</v>
      </c>
    </row>
    <row r="613" ht="25" customHeight="1" spans="1:12">
      <c r="A613" s="9" t="s">
        <v>502</v>
      </c>
      <c r="B613" s="9" t="s">
        <v>499</v>
      </c>
      <c r="C613" s="9" t="s">
        <v>692</v>
      </c>
      <c r="D613" s="12">
        <v>0.024</v>
      </c>
      <c r="E613" s="13">
        <f>IF(ISNUMBER('Sheet2-计算明细'!X96),'Sheet2-计算明细'!X96,"")</f>
        <v>100</v>
      </c>
      <c r="F613" s="13">
        <f>IF(ISNUMBER(对照快照!X292),对照快照!X292,"")</f>
        <v>100</v>
      </c>
      <c r="G613" s="13">
        <f t="shared" si="27"/>
        <v>2.4</v>
      </c>
      <c r="H613" s="13">
        <f t="shared" si="28"/>
        <v>2.4</v>
      </c>
      <c r="I613" s="13">
        <f t="shared" si="29"/>
        <v>0</v>
      </c>
      <c r="J613" s="15" t="str">
        <f>IF(ISNUMBER('Sheet2-计算明细'!V96),'Sheet2-计算明细'!V96,IF('Sheet2-计算明细'!V96="","",'Sheet2-计算明细'!V96))</f>
        <v/>
      </c>
      <c r="K613" s="15" t="str">
        <f>IF(ISNUMBER(对照快照!V292),对照快照!V292,IF(对照快照!V292="","",对照快照!V292))</f>
        <v/>
      </c>
      <c r="L613" s="9" t="s">
        <v>1538</v>
      </c>
    </row>
    <row r="614" ht="25" customHeight="1" spans="1:12">
      <c r="A614" s="9" t="s">
        <v>502</v>
      </c>
      <c r="B614" s="9" t="s">
        <v>499</v>
      </c>
      <c r="C614" s="9" t="s">
        <v>1542</v>
      </c>
      <c r="D614" s="12">
        <v>0.25</v>
      </c>
      <c r="E614" s="13">
        <f>IF(ISNUMBER('Sheet2-计算明细'!AC96),'Sheet2-计算明细'!AC96,"")</f>
        <v>85.14</v>
      </c>
      <c r="F614" s="13">
        <f>IF(ISNUMBER(对照快照!AC292),对照快照!AC292,"")</f>
        <v>92.63</v>
      </c>
      <c r="G614" s="13">
        <f t="shared" si="27"/>
        <v>21.285</v>
      </c>
      <c r="H614" s="13">
        <f t="shared" si="28"/>
        <v>23.1575</v>
      </c>
      <c r="I614" s="13">
        <f t="shared" si="29"/>
        <v>-1.8725</v>
      </c>
      <c r="J614" s="15">
        <f>IF(ISNUMBER('Sheet2-计算明细'!AB96),'Sheet2-计算明细'!AB96,IF('Sheet2-计算明细'!AB96="","",'Sheet2-计算明细'!AB96))</f>
        <v>0.00556433885494262</v>
      </c>
      <c r="K614" s="15">
        <f>IF(ISNUMBER(对照快照!AB292),对照快照!AB292,IF(对照快照!AB292="","",对照快照!AB292))</f>
        <v>0.00556734443706672</v>
      </c>
      <c r="L614" s="9" t="s">
        <v>1540</v>
      </c>
    </row>
    <row r="615" ht="25" customHeight="1" spans="1:12">
      <c r="A615" s="9" t="s">
        <v>502</v>
      </c>
      <c r="B615" s="9" t="s">
        <v>499</v>
      </c>
      <c r="C615" s="9" t="s">
        <v>1543</v>
      </c>
      <c r="D615" s="12">
        <v>0.18</v>
      </c>
      <c r="E615" s="13">
        <f>IF(ISNUMBER('Sheet2-计算明细'!AG96),'Sheet2-计算明细'!AG96,"")</f>
        <v>76.06</v>
      </c>
      <c r="F615" s="13">
        <f>IF(ISNUMBER(对照快照!AG292),对照快照!AG292,"")</f>
        <v>91</v>
      </c>
      <c r="G615" s="13">
        <f t="shared" si="27"/>
        <v>13.6908</v>
      </c>
      <c r="H615" s="13">
        <f t="shared" si="28"/>
        <v>16.38</v>
      </c>
      <c r="I615" s="13">
        <f t="shared" si="29"/>
        <v>-2.6892</v>
      </c>
      <c r="J615" s="15">
        <f>IF(ISNUMBER('Sheet2-计算明细'!AD96),'Sheet2-计算明细'!AD96,IF('Sheet2-计算明细'!AD96="","",'Sheet2-计算明细'!AD96))</f>
        <v>21.0627</v>
      </c>
      <c r="K615" s="15">
        <f>IF(ISNUMBER(对照快照!AD292),对照快照!AD292,IF(对照快照!AD292="","",对照快照!AD292))</f>
        <v>21.5363</v>
      </c>
      <c r="L615" s="9" t="s">
        <v>1540</v>
      </c>
    </row>
    <row r="616" ht="25" customHeight="1" spans="1:12">
      <c r="A616" s="9" t="s">
        <v>502</v>
      </c>
      <c r="B616" s="9" t="s">
        <v>499</v>
      </c>
      <c r="C616" s="9" t="s">
        <v>1544</v>
      </c>
      <c r="D616" s="12">
        <v>0.12</v>
      </c>
      <c r="E616" s="13" t="str">
        <f>IF(ISNUMBER('Sheet2-计算明细'!AH96),'Sheet2-计算明细'!AH96,"")</f>
        <v/>
      </c>
      <c r="F616" s="13" t="str">
        <f>IF(ISNUMBER(对照快照!AH292),对照快照!AH292,"")</f>
        <v/>
      </c>
      <c r="G616" s="13">
        <f t="shared" si="27"/>
        <v>0</v>
      </c>
      <c r="H616" s="13">
        <f t="shared" si="28"/>
        <v>0</v>
      </c>
      <c r="I616" s="13">
        <f t="shared" si="29"/>
        <v>0</v>
      </c>
      <c r="J616" s="15" t="str">
        <f>IF(ISNUMBER('Sheet2-计算明细'!AF96),'Sheet2-计算明细'!AF96,IF('Sheet2-计算明细'!AF96="","",'Sheet2-计算明细'!AF96))</f>
        <v/>
      </c>
      <c r="K616" s="15" t="str">
        <f>IF(ISNUMBER(对照快照!AF292),对照快照!AF292,IF(对照快照!AF292="","",对照快照!AF292))</f>
        <v/>
      </c>
      <c r="L616" s="9" t="s">
        <v>1540</v>
      </c>
    </row>
    <row r="617" ht="25" customHeight="1" spans="1:12">
      <c r="A617" s="9" t="s">
        <v>502</v>
      </c>
      <c r="B617" s="9" t="s">
        <v>499</v>
      </c>
      <c r="C617" s="9" t="s">
        <v>574</v>
      </c>
      <c r="D617" s="12">
        <v>0.1</v>
      </c>
      <c r="E617" s="13">
        <f>IF(ISNUMBER('Sheet2-计算明细'!AK96),'Sheet2-计算明细'!AK96,"")</f>
        <v>80</v>
      </c>
      <c r="F617" s="13" t="str">
        <f>IF(ISNUMBER(对照快照!AK292),对照快照!AK292,"")</f>
        <v/>
      </c>
      <c r="G617" s="13">
        <f t="shared" si="27"/>
        <v>8</v>
      </c>
      <c r="H617" s="13">
        <f t="shared" si="28"/>
        <v>0</v>
      </c>
      <c r="I617" s="13">
        <f t="shared" si="29"/>
        <v>8</v>
      </c>
      <c r="J617" s="15">
        <f>IF(ISNUMBER('Sheet2-计算明细'!AJ96),'Sheet2-计算明细'!AJ96,IF('Sheet2-计算明细'!AJ96="","",'Sheet2-计算明细'!AJ96))</f>
        <v>0.1223</v>
      </c>
      <c r="K617" s="15" t="str">
        <f>IF(ISNUMBER(对照快照!AJ292),对照快照!AJ292,IF(对照快照!AJ292="","",对照快照!AJ292))</f>
        <v/>
      </c>
      <c r="L617" s="9" t="s">
        <v>1538</v>
      </c>
    </row>
    <row r="618" ht="25" customHeight="1" spans="1:12">
      <c r="A618" s="9" t="s">
        <v>508</v>
      </c>
      <c r="B618" s="9" t="s">
        <v>507</v>
      </c>
      <c r="C618" s="9" t="s">
        <v>538</v>
      </c>
      <c r="D618" s="12">
        <v>0.06</v>
      </c>
      <c r="E618" s="13">
        <f>IF(ISNUMBER('Sheet2-计算明细'!I97),'Sheet2-计算明细'!I97,"")</f>
        <v>80</v>
      </c>
      <c r="F618" s="13">
        <f>IF(ISNUMBER(对照快照!I293),对照快照!I293,"")</f>
        <v>80</v>
      </c>
      <c r="G618" s="13">
        <f t="shared" si="27"/>
        <v>4.8</v>
      </c>
      <c r="H618" s="13">
        <f t="shared" si="28"/>
        <v>4.8</v>
      </c>
      <c r="I618" s="13">
        <f t="shared" si="29"/>
        <v>0</v>
      </c>
      <c r="J618" s="15" t="str">
        <f>IF(ISNUMBER('Sheet2-计算明细'!H97),'Sheet2-计算明细'!H97,IF('Sheet2-计算明细'!H97="","",'Sheet2-计算明细'!H97))</f>
        <v>10-20亿元</v>
      </c>
      <c r="K618" s="15" t="str">
        <f>IF(ISNUMBER(对照快照!H293),对照快照!H293,IF(对照快照!H293="","",对照快照!H293))</f>
        <v>10-20亿元</v>
      </c>
      <c r="L618" s="9" t="s">
        <v>1538</v>
      </c>
    </row>
    <row r="619" ht="25" customHeight="1" spans="1:12">
      <c r="A619" s="9" t="s">
        <v>508</v>
      </c>
      <c r="B619" s="9" t="s">
        <v>507</v>
      </c>
      <c r="C619" s="9" t="s">
        <v>543</v>
      </c>
      <c r="D619" s="12">
        <v>0.045</v>
      </c>
      <c r="E619" s="13">
        <f>IF(ISNUMBER('Sheet2-计算明细'!K97),'Sheet2-计算明细'!K97,"")</f>
        <v>0</v>
      </c>
      <c r="F619" s="13">
        <f>IF(ISNUMBER(对照快照!K293),对照快照!K293,"")</f>
        <v>0</v>
      </c>
      <c r="G619" s="13">
        <f t="shared" si="27"/>
        <v>0</v>
      </c>
      <c r="H619" s="13">
        <f t="shared" si="28"/>
        <v>0</v>
      </c>
      <c r="I619" s="13">
        <f t="shared" si="29"/>
        <v>0</v>
      </c>
      <c r="J619" s="15" t="str">
        <f>IF(ISNUMBER('Sheet2-计算明细'!J97),'Sheet2-计算明细'!J97,IF('Sheet2-计算明细'!J97="","",'Sheet2-计算明细'!J97))</f>
        <v>低于1000万元</v>
      </c>
      <c r="K619" s="15" t="str">
        <f>IF(ISNUMBER(对照快照!J293),对照快照!J293,IF(对照快照!J293="","",对照快照!J293))</f>
        <v>低于1000万元</v>
      </c>
      <c r="L619" s="9" t="s">
        <v>1538</v>
      </c>
    </row>
    <row r="620" ht="25" customHeight="1" spans="1:12">
      <c r="A620" s="9" t="s">
        <v>508</v>
      </c>
      <c r="B620" s="9" t="s">
        <v>507</v>
      </c>
      <c r="C620" s="9" t="s">
        <v>547</v>
      </c>
      <c r="D620" s="12">
        <v>0.045</v>
      </c>
      <c r="E620" s="13">
        <f>IF(ISNUMBER('Sheet2-计算明细'!L97),'Sheet2-计算明细'!L97,"")</f>
        <v>70</v>
      </c>
      <c r="F620" s="13">
        <f>IF(ISNUMBER(对照快照!L293),对照快照!L293,"")</f>
        <v>70</v>
      </c>
      <c r="G620" s="13">
        <f t="shared" si="27"/>
        <v>3.15</v>
      </c>
      <c r="H620" s="13">
        <f t="shared" si="28"/>
        <v>3.15</v>
      </c>
      <c r="I620" s="13">
        <f t="shared" si="29"/>
        <v>0</v>
      </c>
      <c r="J620" s="15">
        <f>IF(ISNUMBER('Sheet2-计算明细'!F97),'Sheet2-计算明细'!F97,IF('Sheet2-计算明细'!F97="","",'Sheet2-计算明细'!F97))</f>
        <v>1.2293</v>
      </c>
      <c r="K620" s="15">
        <f>IF(ISNUMBER(对照快照!F293),对照快照!F293,IF(对照快照!F293="","",对照快照!F293))</f>
        <v>1.2211</v>
      </c>
      <c r="L620" s="9" t="s">
        <v>1538</v>
      </c>
    </row>
    <row r="621" ht="25" customHeight="1" spans="1:12">
      <c r="A621" s="9" t="s">
        <v>508</v>
      </c>
      <c r="B621" s="9" t="s">
        <v>507</v>
      </c>
      <c r="C621" s="9" t="s">
        <v>1539</v>
      </c>
      <c r="D621" s="12">
        <v>0.084</v>
      </c>
      <c r="E621" s="13">
        <f>IF(ISNUMBER('Sheet2-计算明细'!Q97),'Sheet2-计算明细'!Q97,"")</f>
        <v>94.44</v>
      </c>
      <c r="F621" s="13">
        <f>IF(ISNUMBER(对照快照!Q293),对照快照!Q293,"")</f>
        <v>95.85</v>
      </c>
      <c r="G621" s="13">
        <f t="shared" si="27"/>
        <v>7.93296</v>
      </c>
      <c r="H621" s="13">
        <f t="shared" si="28"/>
        <v>8.0514</v>
      </c>
      <c r="I621" s="13">
        <f t="shared" si="29"/>
        <v>-0.118439999999999</v>
      </c>
      <c r="J621" s="15">
        <f>IF(ISNUMBER('Sheet2-计算明细'!M97),'Sheet2-计算明细'!M97,IF('Sheet2-计算明细'!M97="","",'Sheet2-计算明细'!M97))</f>
        <v>0.3154</v>
      </c>
      <c r="K621" s="15">
        <f>IF(ISNUMBER(对照快照!M293),对照快照!M293,IF(对照快照!M293="","",对照快照!M293))</f>
        <v>0.3135</v>
      </c>
      <c r="L621" s="9" t="s">
        <v>1540</v>
      </c>
    </row>
    <row r="622" ht="25" customHeight="1" spans="1:12">
      <c r="A622" s="9" t="s">
        <v>508</v>
      </c>
      <c r="B622" s="9" t="s">
        <v>507</v>
      </c>
      <c r="C622" s="9" t="s">
        <v>1541</v>
      </c>
      <c r="D622" s="12">
        <v>0.056</v>
      </c>
      <c r="E622" s="13">
        <f>IF(ISNUMBER('Sheet2-计算明细'!R97),'Sheet2-计算明细'!R97,"")</f>
        <v>54.55</v>
      </c>
      <c r="F622" s="13" t="str">
        <f>IF(ISNUMBER(对照快照!R293),对照快照!R293,"")</f>
        <v/>
      </c>
      <c r="G622" s="13">
        <f t="shared" si="27"/>
        <v>3.0548</v>
      </c>
      <c r="H622" s="13">
        <f t="shared" si="28"/>
        <v>0</v>
      </c>
      <c r="I622" s="13">
        <f t="shared" si="29"/>
        <v>3.0548</v>
      </c>
      <c r="J622" s="15">
        <f>IF(ISNUMBER('Sheet2-计算明细'!P97),'Sheet2-计算明细'!P97,IF('Sheet2-计算明细'!P97="","",'Sheet2-计算明细'!P97))</f>
        <v>0.0818331979554598</v>
      </c>
      <c r="K622" s="15" t="str">
        <f>IF(ISNUMBER(对照快照!P293),对照快照!P293,IF(对照快照!P293="","",对照快照!P293))</f>
        <v/>
      </c>
      <c r="L622" s="9" t="s">
        <v>1540</v>
      </c>
    </row>
    <row r="623" ht="25" customHeight="1" spans="1:12">
      <c r="A623" s="9" t="s">
        <v>508</v>
      </c>
      <c r="B623" s="9" t="s">
        <v>507</v>
      </c>
      <c r="C623" s="9" t="s">
        <v>690</v>
      </c>
      <c r="D623" s="12">
        <v>0.036</v>
      </c>
      <c r="E623" s="13">
        <f>IF(ISNUMBER('Sheet2-计算明细'!W97),'Sheet2-计算明细'!W97,"")</f>
        <v>84.62</v>
      </c>
      <c r="F623" s="13">
        <f>IF(ISNUMBER(对照快照!W293),对照快照!W293,"")</f>
        <v>84.62</v>
      </c>
      <c r="G623" s="13">
        <f t="shared" si="27"/>
        <v>3.04632</v>
      </c>
      <c r="H623" s="13">
        <f t="shared" si="28"/>
        <v>3.04632</v>
      </c>
      <c r="I623" s="13">
        <f t="shared" si="29"/>
        <v>0</v>
      </c>
      <c r="J623" s="15">
        <f>IF(ISNUMBER('Sheet2-计算明细'!T97),'Sheet2-计算明细'!T97,IF('Sheet2-计算明细'!T97="","",'Sheet2-计算明细'!T97))</f>
        <v>0.8462</v>
      </c>
      <c r="K623" s="15">
        <f>IF(ISNUMBER(对照快照!T293),对照快照!T293,IF(对照快照!T293="","",对照快照!T293))</f>
        <v>0.8462</v>
      </c>
      <c r="L623" s="9" t="s">
        <v>1538</v>
      </c>
    </row>
    <row r="624" ht="25" customHeight="1" spans="1:12">
      <c r="A624" s="9" t="s">
        <v>508</v>
      </c>
      <c r="B624" s="9" t="s">
        <v>507</v>
      </c>
      <c r="C624" s="9" t="s">
        <v>692</v>
      </c>
      <c r="D624" s="12">
        <v>0.024</v>
      </c>
      <c r="E624" s="13">
        <f>IF(ISNUMBER('Sheet2-计算明细'!X97),'Sheet2-计算明细'!X97,"")</f>
        <v>100</v>
      </c>
      <c r="F624" s="13">
        <f>IF(ISNUMBER(对照快照!X293),对照快照!X293,"")</f>
        <v>100</v>
      </c>
      <c r="G624" s="13">
        <f t="shared" si="27"/>
        <v>2.4</v>
      </c>
      <c r="H624" s="13">
        <f t="shared" si="28"/>
        <v>2.4</v>
      </c>
      <c r="I624" s="13">
        <f t="shared" si="29"/>
        <v>0</v>
      </c>
      <c r="J624" s="15" t="str">
        <f>IF(ISNUMBER('Sheet2-计算明细'!V97),'Sheet2-计算明细'!V97,IF('Sheet2-计算明细'!V97="","",'Sheet2-计算明细'!V97))</f>
        <v/>
      </c>
      <c r="K624" s="15" t="str">
        <f>IF(ISNUMBER(对照快照!V293),对照快照!V293,IF(对照快照!V293="","",对照快照!V293))</f>
        <v/>
      </c>
      <c r="L624" s="9" t="s">
        <v>1538</v>
      </c>
    </row>
    <row r="625" ht="25" customHeight="1" spans="1:12">
      <c r="A625" s="9" t="s">
        <v>508</v>
      </c>
      <c r="B625" s="9" t="s">
        <v>507</v>
      </c>
      <c r="C625" s="9" t="s">
        <v>1542</v>
      </c>
      <c r="D625" s="12">
        <v>0.25</v>
      </c>
      <c r="E625" s="13">
        <f>IF(ISNUMBER('Sheet2-计算明细'!AC97),'Sheet2-计算明细'!AC97,"")</f>
        <v>10.81</v>
      </c>
      <c r="F625" s="13">
        <f>IF(ISNUMBER(对照快照!AC293),对照快照!AC293,"")</f>
        <v>36.22</v>
      </c>
      <c r="G625" s="13">
        <f t="shared" si="27"/>
        <v>2.7025</v>
      </c>
      <c r="H625" s="13">
        <f t="shared" si="28"/>
        <v>9.055</v>
      </c>
      <c r="I625" s="13">
        <f t="shared" si="29"/>
        <v>-6.3525</v>
      </c>
      <c r="J625" s="15">
        <f>IF(ISNUMBER('Sheet2-计算明细'!AB97),'Sheet2-计算明细'!AB97,IF('Sheet2-计算明细'!AB97="","",'Sheet2-计算明细'!AB97))</f>
        <v>0.0668432764649783</v>
      </c>
      <c r="K625" s="15">
        <f>IF(ISNUMBER(对照快照!AB293),对照快照!AB293,IF(对照快照!AB293="","",对照快照!AB293))</f>
        <v>0.0668500511770727</v>
      </c>
      <c r="L625" s="9" t="s">
        <v>1540</v>
      </c>
    </row>
    <row r="626" ht="25" customHeight="1" spans="1:12">
      <c r="A626" s="9" t="s">
        <v>508</v>
      </c>
      <c r="B626" s="9" t="s">
        <v>507</v>
      </c>
      <c r="C626" s="9" t="s">
        <v>1543</v>
      </c>
      <c r="D626" s="12">
        <v>0.18</v>
      </c>
      <c r="E626" s="13">
        <f>IF(ISNUMBER('Sheet2-计算明细'!AG97),'Sheet2-计算明细'!AG97,"")</f>
        <v>32.39</v>
      </c>
      <c r="F626" s="13">
        <f>IF(ISNUMBER(对照快照!AG293),对照快照!AG293,"")</f>
        <v>63.99</v>
      </c>
      <c r="G626" s="13">
        <f t="shared" si="27"/>
        <v>5.8302</v>
      </c>
      <c r="H626" s="13">
        <f t="shared" si="28"/>
        <v>11.5182</v>
      </c>
      <c r="I626" s="13">
        <f t="shared" si="29"/>
        <v>-5.688</v>
      </c>
      <c r="J626" s="15">
        <f>IF(ISNUMBER('Sheet2-计算明细'!AD97),'Sheet2-计算明细'!AD97,IF('Sheet2-计算明细'!AD97="","",'Sheet2-计算明细'!AD97))</f>
        <v>4.7185</v>
      </c>
      <c r="K626" s="15">
        <f>IF(ISNUMBER(对照快照!AD293),对照快照!AD293,IF(对照快照!AD293="","",对照快照!AD293))</f>
        <v>4.6896</v>
      </c>
      <c r="L626" s="9" t="s">
        <v>1540</v>
      </c>
    </row>
    <row r="627" ht="25" customHeight="1" spans="1:12">
      <c r="A627" s="9" t="s">
        <v>508</v>
      </c>
      <c r="B627" s="9" t="s">
        <v>507</v>
      </c>
      <c r="C627" s="9" t="s">
        <v>1544</v>
      </c>
      <c r="D627" s="12">
        <v>0.12</v>
      </c>
      <c r="E627" s="13" t="str">
        <f>IF(ISNUMBER('Sheet2-计算明细'!AH97),'Sheet2-计算明细'!AH97,"")</f>
        <v/>
      </c>
      <c r="F627" s="13" t="str">
        <f>IF(ISNUMBER(对照快照!AH293),对照快照!AH293,"")</f>
        <v/>
      </c>
      <c r="G627" s="13">
        <f t="shared" si="27"/>
        <v>0</v>
      </c>
      <c r="H627" s="13">
        <f t="shared" si="28"/>
        <v>0</v>
      </c>
      <c r="I627" s="13">
        <f t="shared" si="29"/>
        <v>0</v>
      </c>
      <c r="J627" s="15" t="str">
        <f>IF(ISNUMBER('Sheet2-计算明细'!AF97),'Sheet2-计算明细'!AF97,IF('Sheet2-计算明细'!AF97="","",'Sheet2-计算明细'!AF97))</f>
        <v/>
      </c>
      <c r="K627" s="15" t="str">
        <f>IF(ISNUMBER(对照快照!AF293),对照快照!AF293,IF(对照快照!AF293="","",对照快照!AF293))</f>
        <v/>
      </c>
      <c r="L627" s="9" t="s">
        <v>1540</v>
      </c>
    </row>
    <row r="628" ht="25" customHeight="1" spans="1:12">
      <c r="A628" s="9" t="s">
        <v>508</v>
      </c>
      <c r="B628" s="9" t="s">
        <v>507</v>
      </c>
      <c r="C628" s="9" t="s">
        <v>574</v>
      </c>
      <c r="D628" s="12">
        <v>0.1</v>
      </c>
      <c r="E628" s="13">
        <f>IF(ISNUMBER('Sheet2-计算明细'!AK97),'Sheet2-计算明细'!AK97,"")</f>
        <v>100</v>
      </c>
      <c r="F628" s="13" t="str">
        <f>IF(ISNUMBER(对照快照!AK293),对照快照!AK293,"")</f>
        <v/>
      </c>
      <c r="G628" s="13">
        <f t="shared" si="27"/>
        <v>10</v>
      </c>
      <c r="H628" s="13">
        <f t="shared" si="28"/>
        <v>0</v>
      </c>
      <c r="I628" s="13">
        <f t="shared" si="29"/>
        <v>10</v>
      </c>
      <c r="J628" s="15">
        <f>IF(ISNUMBER('Sheet2-计算明细'!AJ97),'Sheet2-计算明细'!AJ97,IF('Sheet2-计算明细'!AJ97="","",'Sheet2-计算明细'!AJ97))</f>
        <v>0.2683</v>
      </c>
      <c r="K628" s="15" t="str">
        <f>IF(ISNUMBER(对照快照!AJ293),对照快照!AJ293,IF(对照快照!AJ293="","",对照快照!AJ293))</f>
        <v/>
      </c>
      <c r="L628" s="9" t="s">
        <v>1538</v>
      </c>
    </row>
  </sheetData>
  <pageMargins left="0.7" right="0.7" top="0.75" bottom="0.75" header="0.3" footer="0.3"/>
  <headerFooter/>
  <tableParts count="1">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315"/>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6.8"/>
  <cols>
    <col min="1" max="1" width="15" customWidth="1"/>
    <col min="2" max="2" width="30" customWidth="1"/>
    <col min="3" max="61" width="15" customWidth="1"/>
    <col min="62" max="63" width="60" customWidth="1"/>
  </cols>
  <sheetData>
    <row r="1" ht="43" customHeight="1" spans="1:63">
      <c r="A1" s="7" t="s">
        <v>0</v>
      </c>
      <c r="B1" s="8" t="s">
        <v>2</v>
      </c>
      <c r="C1" s="8" t="s">
        <v>673</v>
      </c>
      <c r="D1" s="8" t="s">
        <v>674</v>
      </c>
      <c r="E1" s="8" t="s">
        <v>675</v>
      </c>
      <c r="F1" s="8" t="s">
        <v>676</v>
      </c>
      <c r="G1" s="8" t="s">
        <v>677</v>
      </c>
      <c r="H1" s="8" t="s">
        <v>1545</v>
      </c>
      <c r="I1" s="8" t="s">
        <v>679</v>
      </c>
      <c r="J1" s="8" t="s">
        <v>680</v>
      </c>
      <c r="K1" s="8" t="s">
        <v>681</v>
      </c>
      <c r="L1" s="8" t="s">
        <v>682</v>
      </c>
      <c r="M1" s="8" t="s">
        <v>683</v>
      </c>
      <c r="N1" s="8" t="s">
        <v>684</v>
      </c>
      <c r="O1" s="8" t="s">
        <v>685</v>
      </c>
      <c r="P1" s="8" t="s">
        <v>686</v>
      </c>
      <c r="Q1" s="8" t="s">
        <v>687</v>
      </c>
      <c r="R1" s="8" t="s">
        <v>688</v>
      </c>
      <c r="S1" s="8" t="s">
        <v>689</v>
      </c>
      <c r="T1" s="8" t="s">
        <v>690</v>
      </c>
      <c r="U1" s="8" t="s">
        <v>691</v>
      </c>
      <c r="V1" s="8" t="s">
        <v>692</v>
      </c>
      <c r="W1" s="8" t="s">
        <v>693</v>
      </c>
      <c r="X1" s="8" t="s">
        <v>694</v>
      </c>
      <c r="Y1" s="8" t="s">
        <v>695</v>
      </c>
      <c r="Z1" s="8" t="s">
        <v>696</v>
      </c>
      <c r="AA1" s="8" t="s">
        <v>697</v>
      </c>
      <c r="AB1" s="8" t="s">
        <v>698</v>
      </c>
      <c r="AC1" s="8" t="s">
        <v>699</v>
      </c>
      <c r="AD1" s="8" t="s">
        <v>700</v>
      </c>
      <c r="AE1" s="8" t="s">
        <v>701</v>
      </c>
      <c r="AF1" s="8" t="s">
        <v>702</v>
      </c>
      <c r="AG1" s="8" t="s">
        <v>703</v>
      </c>
      <c r="AH1" s="8" t="s">
        <v>704</v>
      </c>
      <c r="AI1" s="8" t="s">
        <v>705</v>
      </c>
      <c r="AJ1" s="8" t="s">
        <v>706</v>
      </c>
      <c r="AK1" s="8" t="s">
        <v>707</v>
      </c>
      <c r="AL1" s="8" t="s">
        <v>708</v>
      </c>
      <c r="AM1" s="8" t="s">
        <v>709</v>
      </c>
      <c r="AN1" s="8" t="s">
        <v>710</v>
      </c>
      <c r="AO1" s="8" t="s">
        <v>711</v>
      </c>
      <c r="AP1" s="8" t="s">
        <v>712</v>
      </c>
      <c r="AQ1" s="8" t="s">
        <v>713</v>
      </c>
      <c r="AR1" s="8" t="s">
        <v>714</v>
      </c>
      <c r="AS1" s="8" t="s">
        <v>715</v>
      </c>
      <c r="AT1" s="8" t="s">
        <v>716</v>
      </c>
      <c r="AU1" s="8" t="s">
        <v>717</v>
      </c>
      <c r="AV1" s="8" t="s">
        <v>1546</v>
      </c>
      <c r="AW1" s="8" t="s">
        <v>1547</v>
      </c>
      <c r="AX1" s="8" t="s">
        <v>1548</v>
      </c>
      <c r="AY1" s="8" t="s">
        <v>1228</v>
      </c>
      <c r="AZ1" s="8" t="s">
        <v>830</v>
      </c>
      <c r="BA1" s="8" t="s">
        <v>1549</v>
      </c>
      <c r="BB1" s="8" t="s">
        <v>1550</v>
      </c>
      <c r="BC1" s="8" t="s">
        <v>1229</v>
      </c>
      <c r="BD1" s="8" t="s">
        <v>1551</v>
      </c>
      <c r="BE1" s="8" t="s">
        <v>1552</v>
      </c>
      <c r="BF1" s="8" t="s">
        <v>1553</v>
      </c>
      <c r="BG1" s="8" t="s">
        <v>1554</v>
      </c>
      <c r="BH1" s="8" t="s">
        <v>1555</v>
      </c>
      <c r="BI1" s="14" t="s">
        <v>1556</v>
      </c>
      <c r="BJ1" t="s">
        <v>1557</v>
      </c>
      <c r="BK1" t="s">
        <v>1558</v>
      </c>
    </row>
    <row r="2" ht="25" customHeight="1" spans="1:61">
      <c r="A2" s="9">
        <v>1</v>
      </c>
      <c r="B2" s="9" t="s">
        <v>1559</v>
      </c>
      <c r="C2" s="9" t="s">
        <v>1560</v>
      </c>
      <c r="D2" s="9" t="s">
        <v>167</v>
      </c>
      <c r="E2" s="10">
        <v>42744</v>
      </c>
      <c r="F2" s="9">
        <v>9.6591</v>
      </c>
      <c r="G2" s="9" t="s">
        <v>1561</v>
      </c>
      <c r="H2" s="9" t="s">
        <v>542</v>
      </c>
      <c r="I2" s="9">
        <v>60</v>
      </c>
      <c r="J2" s="9" t="s">
        <v>1562</v>
      </c>
      <c r="K2" s="9">
        <v>100</v>
      </c>
      <c r="L2" s="9">
        <v>100</v>
      </c>
      <c r="M2" s="11">
        <v>-0.0236</v>
      </c>
      <c r="N2" s="11">
        <v>0.0267</v>
      </c>
      <c r="O2" s="11"/>
      <c r="P2" s="11">
        <v>0.0528135302797677</v>
      </c>
      <c r="Q2" s="9">
        <v>10.22</v>
      </c>
      <c r="R2" s="9">
        <v>34.76</v>
      </c>
      <c r="S2" s="9">
        <v>20.04</v>
      </c>
      <c r="T2" s="11">
        <v>0.3846</v>
      </c>
      <c r="U2" s="11">
        <v>0.5405</v>
      </c>
      <c r="V2" s="11">
        <v>0.624945833333333</v>
      </c>
      <c r="W2" s="9">
        <v>38.46</v>
      </c>
      <c r="X2" s="9">
        <v>62.4945833333333</v>
      </c>
      <c r="Y2" s="9">
        <v>48.07</v>
      </c>
      <c r="Z2" s="9">
        <v>0.0453497309761722</v>
      </c>
      <c r="AA2" s="9">
        <v>0.0453</v>
      </c>
      <c r="AB2" s="9">
        <v>0.0453497309761722</v>
      </c>
      <c r="AC2" s="9">
        <v>46.79</v>
      </c>
      <c r="AD2" s="9">
        <v>-0.5204</v>
      </c>
      <c r="AE2" s="9"/>
      <c r="AF2" s="9"/>
      <c r="AG2" s="9">
        <v>6.75</v>
      </c>
      <c r="AH2" s="9"/>
      <c r="AI2" s="9">
        <v>6.75</v>
      </c>
      <c r="AJ2" s="9">
        <v>0.0267</v>
      </c>
      <c r="AK2" s="9">
        <v>80</v>
      </c>
      <c r="AL2" s="9">
        <v>84</v>
      </c>
      <c r="AM2" s="9">
        <v>28.45</v>
      </c>
      <c r="AN2" s="9">
        <v>46.79</v>
      </c>
      <c r="AO2" s="9">
        <v>6.75</v>
      </c>
      <c r="AP2" s="9">
        <v>80</v>
      </c>
      <c r="AQ2" s="12">
        <v>0.88</v>
      </c>
      <c r="AR2" s="9">
        <v>39.20197</v>
      </c>
      <c r="AS2" s="9">
        <v>44.55</v>
      </c>
      <c r="AT2" s="9">
        <v>251</v>
      </c>
      <c r="AU2" s="9" t="s">
        <v>1563</v>
      </c>
      <c r="AV2" s="9">
        <v>0</v>
      </c>
      <c r="AW2" s="9" t="s">
        <v>1285</v>
      </c>
      <c r="AX2" s="9">
        <v>45799</v>
      </c>
      <c r="AY2" s="9" t="s">
        <v>1287</v>
      </c>
      <c r="AZ2" s="9" t="s">
        <v>1564</v>
      </c>
      <c r="BA2" s="9">
        <v>46154</v>
      </c>
      <c r="BB2" s="9" t="s">
        <v>785</v>
      </c>
      <c r="BC2" s="9" t="s">
        <v>1565</v>
      </c>
      <c r="BD2" s="9" t="s">
        <v>1566</v>
      </c>
      <c r="BE2" s="13"/>
      <c r="BF2" s="13">
        <v>44.55</v>
      </c>
      <c r="BG2" s="12">
        <v>0.88</v>
      </c>
      <c r="BH2" s="9">
        <v>39.20197</v>
      </c>
      <c r="BI2" s="9" t="s">
        <v>1567</v>
      </c>
    </row>
    <row r="3" ht="25" customHeight="1" spans="1:61">
      <c r="A3" s="9">
        <v>2</v>
      </c>
      <c r="B3" s="9" t="s">
        <v>1568</v>
      </c>
      <c r="C3" s="9" t="s">
        <v>1569</v>
      </c>
      <c r="D3" s="9" t="s">
        <v>167</v>
      </c>
      <c r="E3" s="10">
        <v>42635</v>
      </c>
      <c r="F3" s="9">
        <v>9.9576</v>
      </c>
      <c r="G3" s="9" t="s">
        <v>1561</v>
      </c>
      <c r="H3" s="9" t="s">
        <v>542</v>
      </c>
      <c r="I3" s="9">
        <v>60</v>
      </c>
      <c r="J3" s="9" t="s">
        <v>1562</v>
      </c>
      <c r="K3" s="9">
        <v>100</v>
      </c>
      <c r="L3" s="9">
        <v>100</v>
      </c>
      <c r="M3" s="11">
        <v>-0.0051</v>
      </c>
      <c r="N3" s="11">
        <v>0.0152</v>
      </c>
      <c r="O3" s="11"/>
      <c r="P3" s="11">
        <v>0.0255048016998156</v>
      </c>
      <c r="Q3" s="9">
        <v>13.42</v>
      </c>
      <c r="R3" s="9">
        <v>11.9</v>
      </c>
      <c r="S3" s="9">
        <v>12.81</v>
      </c>
      <c r="T3" s="11">
        <v>0.3846</v>
      </c>
      <c r="U3" s="11">
        <v>0.5676</v>
      </c>
      <c r="V3" s="11">
        <v>0.666725</v>
      </c>
      <c r="W3" s="9">
        <v>38.46</v>
      </c>
      <c r="X3" s="9">
        <v>66.6725</v>
      </c>
      <c r="Y3" s="9">
        <v>49.75</v>
      </c>
      <c r="Z3" s="9">
        <v>0.0186950146627566</v>
      </c>
      <c r="AA3" s="9">
        <v>0.0186</v>
      </c>
      <c r="AB3" s="9">
        <v>0.0186950146627566</v>
      </c>
      <c r="AC3" s="9">
        <v>72.44</v>
      </c>
      <c r="AD3" s="9">
        <v>-0.2728</v>
      </c>
      <c r="AE3" s="9"/>
      <c r="AF3" s="9"/>
      <c r="AG3" s="9">
        <v>10.61</v>
      </c>
      <c r="AH3" s="9"/>
      <c r="AI3" s="9">
        <v>10.61</v>
      </c>
      <c r="AJ3" s="9">
        <v>0.0152</v>
      </c>
      <c r="AK3" s="9">
        <v>80</v>
      </c>
      <c r="AL3" s="9">
        <v>84</v>
      </c>
      <c r="AM3" s="9">
        <v>23.89</v>
      </c>
      <c r="AN3" s="9">
        <v>72.44</v>
      </c>
      <c r="AO3" s="9">
        <v>10.61</v>
      </c>
      <c r="AP3" s="9">
        <v>80</v>
      </c>
      <c r="AQ3" s="12">
        <v>0.88</v>
      </c>
      <c r="AR3" s="9">
        <v>45.39818</v>
      </c>
      <c r="AS3" s="9">
        <v>51.59</v>
      </c>
      <c r="AT3" s="9">
        <v>211</v>
      </c>
      <c r="AU3" s="9" t="s">
        <v>1563</v>
      </c>
      <c r="AV3" s="9">
        <v>0</v>
      </c>
      <c r="AW3" s="9" t="s">
        <v>1285</v>
      </c>
      <c r="AX3" s="9">
        <v>45799</v>
      </c>
      <c r="AY3" s="9" t="s">
        <v>1287</v>
      </c>
      <c r="AZ3" s="9" t="s">
        <v>1570</v>
      </c>
      <c r="BA3" s="9">
        <v>46167</v>
      </c>
      <c r="BB3" s="9" t="s">
        <v>785</v>
      </c>
      <c r="BC3" s="9" t="s">
        <v>1571</v>
      </c>
      <c r="BD3" s="9" t="s">
        <v>1566</v>
      </c>
      <c r="BE3" s="13"/>
      <c r="BF3" s="13">
        <v>51.59</v>
      </c>
      <c r="BG3" s="12">
        <v>0.88</v>
      </c>
      <c r="BH3" s="9">
        <v>45.39818</v>
      </c>
      <c r="BI3" s="9" t="s">
        <v>1567</v>
      </c>
    </row>
    <row r="4" ht="25" customHeight="1" spans="1:61">
      <c r="A4" s="9">
        <v>3</v>
      </c>
      <c r="B4" s="9" t="s">
        <v>1572</v>
      </c>
      <c r="C4" s="9" t="s">
        <v>1573</v>
      </c>
      <c r="D4" s="9" t="s">
        <v>1574</v>
      </c>
      <c r="E4" s="10">
        <v>42627</v>
      </c>
      <c r="F4" s="9">
        <v>9.9795</v>
      </c>
      <c r="G4" s="9" t="s">
        <v>1561</v>
      </c>
      <c r="H4" s="9" t="s">
        <v>572</v>
      </c>
      <c r="I4" s="9">
        <v>100</v>
      </c>
      <c r="J4" s="9" t="s">
        <v>1562</v>
      </c>
      <c r="K4" s="9">
        <v>100</v>
      </c>
      <c r="L4" s="9">
        <v>100</v>
      </c>
      <c r="M4" s="11">
        <v>-0.002</v>
      </c>
      <c r="N4" s="11">
        <v>0.0493</v>
      </c>
      <c r="O4" s="11"/>
      <c r="P4" s="11">
        <v>0.075930548989803</v>
      </c>
      <c r="Q4" s="9">
        <v>14.7</v>
      </c>
      <c r="R4" s="9">
        <v>56.19</v>
      </c>
      <c r="S4" s="9">
        <v>31.3</v>
      </c>
      <c r="T4" s="11">
        <v>0.5385</v>
      </c>
      <c r="U4" s="11">
        <v>0.7778</v>
      </c>
      <c r="V4" s="11">
        <v>0.907420833333333</v>
      </c>
      <c r="W4" s="9">
        <v>53.85</v>
      </c>
      <c r="X4" s="9">
        <v>90.7420833333333</v>
      </c>
      <c r="Y4" s="9">
        <v>68.61</v>
      </c>
      <c r="Z4" s="9">
        <v>0.024390243902439</v>
      </c>
      <c r="AA4" s="9">
        <v>0.0246</v>
      </c>
      <c r="AB4" s="9">
        <v>0.0246</v>
      </c>
      <c r="AC4" s="9">
        <v>67.31</v>
      </c>
      <c r="AD4" s="9">
        <v>-0.082</v>
      </c>
      <c r="AE4" s="9">
        <v>0.0246</v>
      </c>
      <c r="AF4" s="9">
        <v>3.08660768251232</v>
      </c>
      <c r="AG4" s="9">
        <v>13.18</v>
      </c>
      <c r="AH4" s="9">
        <v>76.6</v>
      </c>
      <c r="AI4" s="9">
        <v>38.55</v>
      </c>
      <c r="AJ4" s="9">
        <v>0.0493</v>
      </c>
      <c r="AK4" s="9">
        <v>80</v>
      </c>
      <c r="AL4" s="9">
        <v>100</v>
      </c>
      <c r="AM4" s="9">
        <v>42.49</v>
      </c>
      <c r="AN4" s="9">
        <v>67.31</v>
      </c>
      <c r="AO4" s="9">
        <v>38.55</v>
      </c>
      <c r="AP4" s="9">
        <v>80</v>
      </c>
      <c r="AQ4" s="12">
        <v>1</v>
      </c>
      <c r="AR4" s="9">
        <v>59.88975</v>
      </c>
      <c r="AS4" s="9">
        <v>59.89</v>
      </c>
      <c r="AT4" s="9">
        <v>157</v>
      </c>
      <c r="AU4" s="9"/>
      <c r="AV4" s="9">
        <v>100</v>
      </c>
      <c r="AW4" s="9" t="s">
        <v>1575</v>
      </c>
      <c r="AX4" s="9">
        <v>46140</v>
      </c>
      <c r="AY4" s="9" t="s">
        <v>1576</v>
      </c>
      <c r="AZ4" s="9" t="s">
        <v>1572</v>
      </c>
      <c r="BA4" s="9">
        <v>45749</v>
      </c>
      <c r="BB4" s="9" t="s">
        <v>785</v>
      </c>
      <c r="BC4" s="9" t="s">
        <v>1577</v>
      </c>
      <c r="BD4" s="9" t="s">
        <v>1566</v>
      </c>
      <c r="BE4" s="13">
        <v>59.88975</v>
      </c>
      <c r="BF4" s="13">
        <v>59.89</v>
      </c>
      <c r="BG4" s="12">
        <v>1</v>
      </c>
      <c r="BH4" s="9">
        <v>59.88975</v>
      </c>
      <c r="BI4" s="9" t="s">
        <v>1567</v>
      </c>
    </row>
    <row r="5" ht="25" customHeight="1" spans="1:61">
      <c r="A5" s="9">
        <v>4</v>
      </c>
      <c r="B5" s="9" t="s">
        <v>321</v>
      </c>
      <c r="C5" s="9" t="s">
        <v>322</v>
      </c>
      <c r="D5" s="9" t="s">
        <v>314</v>
      </c>
      <c r="E5" s="10">
        <v>42479</v>
      </c>
      <c r="F5" s="9">
        <v>10.3847</v>
      </c>
      <c r="G5" s="9" t="s">
        <v>1561</v>
      </c>
      <c r="H5" s="9" t="s">
        <v>561</v>
      </c>
      <c r="I5" s="9">
        <v>90</v>
      </c>
      <c r="J5" s="9" t="s">
        <v>1562</v>
      </c>
      <c r="K5" s="9">
        <v>100</v>
      </c>
      <c r="L5" s="9">
        <v>100</v>
      </c>
      <c r="M5" s="11">
        <v>0.0729</v>
      </c>
      <c r="N5" s="11">
        <v>0.0656</v>
      </c>
      <c r="O5" s="11"/>
      <c r="P5" s="11">
        <v>0.0619686470962391</v>
      </c>
      <c r="Q5" s="9">
        <v>55.91</v>
      </c>
      <c r="R5" s="9">
        <v>46.67</v>
      </c>
      <c r="S5" s="9">
        <v>52.21</v>
      </c>
      <c r="T5" s="11">
        <v>0.9231</v>
      </c>
      <c r="U5" s="11">
        <v>0.8889</v>
      </c>
      <c r="V5" s="11">
        <v>0.870375</v>
      </c>
      <c r="W5" s="9">
        <v>92.31</v>
      </c>
      <c r="X5" s="9">
        <v>87.0375</v>
      </c>
      <c r="Y5" s="9">
        <v>90.2</v>
      </c>
      <c r="Z5" s="9">
        <v>0.00971546611581262</v>
      </c>
      <c r="AA5" s="9">
        <v>0.0097</v>
      </c>
      <c r="AB5" s="9">
        <v>0.00971546611581262</v>
      </c>
      <c r="AC5" s="9">
        <v>84.94</v>
      </c>
      <c r="AD5" s="9">
        <v>7.5035</v>
      </c>
      <c r="AE5" s="9"/>
      <c r="AF5" s="9"/>
      <c r="AG5" s="9">
        <v>72.03</v>
      </c>
      <c r="AH5" s="9"/>
      <c r="AI5" s="9">
        <v>72.03</v>
      </c>
      <c r="AJ5" s="9">
        <v>0.0656</v>
      </c>
      <c r="AK5" s="9">
        <v>100</v>
      </c>
      <c r="AL5" s="9">
        <v>96</v>
      </c>
      <c r="AM5" s="9">
        <v>63.61</v>
      </c>
      <c r="AN5" s="9">
        <v>84.94</v>
      </c>
      <c r="AO5" s="9">
        <v>72.03</v>
      </c>
      <c r="AP5" s="9">
        <v>100</v>
      </c>
      <c r="AQ5" s="12">
        <v>0.88</v>
      </c>
      <c r="AR5" s="9">
        <v>71.32242</v>
      </c>
      <c r="AS5" s="9">
        <v>81.05</v>
      </c>
      <c r="AT5" s="9">
        <v>44</v>
      </c>
      <c r="AU5" s="9" t="s">
        <v>1563</v>
      </c>
      <c r="AV5" s="9">
        <v>50</v>
      </c>
      <c r="AW5" s="9" t="s">
        <v>1356</v>
      </c>
      <c r="AX5" s="9">
        <v>46239</v>
      </c>
      <c r="AY5" s="9" t="s">
        <v>1358</v>
      </c>
      <c r="AZ5" s="9" t="s">
        <v>1578</v>
      </c>
      <c r="BA5" s="9">
        <v>46169</v>
      </c>
      <c r="BB5" s="9" t="s">
        <v>785</v>
      </c>
      <c r="BC5" s="9" t="s">
        <v>930</v>
      </c>
      <c r="BD5" s="9" t="s">
        <v>1566</v>
      </c>
      <c r="BE5" s="13"/>
      <c r="BF5" s="13">
        <v>81.05</v>
      </c>
      <c r="BG5" s="12">
        <v>0.88</v>
      </c>
      <c r="BH5" s="9">
        <v>71.32242</v>
      </c>
      <c r="BI5" s="9" t="s">
        <v>1567</v>
      </c>
    </row>
    <row r="6" ht="25" customHeight="1" spans="1:61">
      <c r="A6" s="9">
        <v>5</v>
      </c>
      <c r="B6" s="9" t="s">
        <v>486</v>
      </c>
      <c r="C6" s="9" t="s">
        <v>488</v>
      </c>
      <c r="D6" s="9" t="s">
        <v>489</v>
      </c>
      <c r="E6" s="10">
        <v>42857</v>
      </c>
      <c r="F6" s="9">
        <v>9.3498</v>
      </c>
      <c r="G6" s="9" t="s">
        <v>1561</v>
      </c>
      <c r="H6" s="9" t="s">
        <v>557</v>
      </c>
      <c r="I6" s="9">
        <v>90</v>
      </c>
      <c r="J6" s="9" t="s">
        <v>1562</v>
      </c>
      <c r="K6" s="9">
        <v>100</v>
      </c>
      <c r="L6" s="9">
        <v>100</v>
      </c>
      <c r="M6" s="11">
        <v>0.0369</v>
      </c>
      <c r="N6" s="11">
        <v>0.0488</v>
      </c>
      <c r="O6" s="11"/>
      <c r="P6" s="11">
        <v>0.0548011164146098</v>
      </c>
      <c r="Q6" s="9">
        <v>31.95</v>
      </c>
      <c r="R6" s="9">
        <v>37.62</v>
      </c>
      <c r="S6" s="9">
        <v>34.22</v>
      </c>
      <c r="T6" s="11">
        <v>0.6154</v>
      </c>
      <c r="U6" s="11">
        <v>0.7838</v>
      </c>
      <c r="V6" s="11">
        <v>0.875016666666667</v>
      </c>
      <c r="W6" s="9">
        <v>61.54</v>
      </c>
      <c r="X6" s="9">
        <v>87.5016666666667</v>
      </c>
      <c r="Y6" s="9">
        <v>71.92</v>
      </c>
      <c r="Z6" s="9">
        <v>0.0133473196845837</v>
      </c>
      <c r="AA6" s="9">
        <v>0.0134</v>
      </c>
      <c r="AB6" s="9">
        <v>0.0134</v>
      </c>
      <c r="AC6" s="9">
        <v>79.81</v>
      </c>
      <c r="AD6" s="9">
        <v>2.7646</v>
      </c>
      <c r="AE6" s="9"/>
      <c r="AF6" s="9"/>
      <c r="AG6" s="9">
        <v>52.09</v>
      </c>
      <c r="AH6" s="9"/>
      <c r="AI6" s="9">
        <v>52.09</v>
      </c>
      <c r="AJ6" s="9">
        <v>0.0488</v>
      </c>
      <c r="AK6" s="9">
        <v>80</v>
      </c>
      <c r="AL6" s="9">
        <v>96</v>
      </c>
      <c r="AM6" s="9">
        <v>45.53</v>
      </c>
      <c r="AN6" s="9">
        <v>79.81</v>
      </c>
      <c r="AO6" s="9">
        <v>52.09</v>
      </c>
      <c r="AP6" s="9">
        <v>80</v>
      </c>
      <c r="AQ6" s="12">
        <v>0.88</v>
      </c>
      <c r="AR6" s="9">
        <v>60.8347</v>
      </c>
      <c r="AS6" s="9">
        <v>69.13</v>
      </c>
      <c r="AT6" s="9">
        <v>111</v>
      </c>
      <c r="AU6" s="9" t="s">
        <v>1563</v>
      </c>
      <c r="AV6" s="9">
        <v>20</v>
      </c>
      <c r="AW6" s="9" t="s">
        <v>1430</v>
      </c>
      <c r="AX6" s="9">
        <v>46097</v>
      </c>
      <c r="AY6" s="9" t="s">
        <v>1433</v>
      </c>
      <c r="AZ6" s="9" t="s">
        <v>1579</v>
      </c>
      <c r="BA6" s="9">
        <v>46209</v>
      </c>
      <c r="BB6" s="9" t="s">
        <v>785</v>
      </c>
      <c r="BC6" s="9" t="s">
        <v>986</v>
      </c>
      <c r="BD6" s="9" t="s">
        <v>1566</v>
      </c>
      <c r="BE6" s="13"/>
      <c r="BF6" s="13">
        <v>69.13</v>
      </c>
      <c r="BG6" s="12">
        <v>0.88</v>
      </c>
      <c r="BH6" s="9">
        <v>60.8347</v>
      </c>
      <c r="BI6" s="9" t="s">
        <v>1567</v>
      </c>
    </row>
    <row r="7" ht="25" customHeight="1" spans="1:61">
      <c r="A7" s="9">
        <v>6</v>
      </c>
      <c r="B7" s="9" t="s">
        <v>1580</v>
      </c>
      <c r="C7" s="9" t="s">
        <v>1581</v>
      </c>
      <c r="D7" s="9" t="s">
        <v>1582</v>
      </c>
      <c r="E7" s="10">
        <v>42865</v>
      </c>
      <c r="F7" s="9">
        <v>9.3279</v>
      </c>
      <c r="G7" s="9" t="s">
        <v>1561</v>
      </c>
      <c r="H7" s="9" t="s">
        <v>542</v>
      </c>
      <c r="I7" s="9">
        <v>60</v>
      </c>
      <c r="J7" s="9" t="s">
        <v>1562</v>
      </c>
      <c r="K7" s="9">
        <v>100</v>
      </c>
      <c r="L7" s="9">
        <v>100</v>
      </c>
      <c r="M7" s="11">
        <v>0.0287</v>
      </c>
      <c r="N7" s="11">
        <v>0.0253</v>
      </c>
      <c r="O7" s="11"/>
      <c r="P7" s="11">
        <v>0.0236042163808012</v>
      </c>
      <c r="Q7" s="9">
        <v>26.52</v>
      </c>
      <c r="R7" s="9">
        <v>10.48</v>
      </c>
      <c r="S7" s="9">
        <v>20.1</v>
      </c>
      <c r="T7" s="11">
        <v>0.6923</v>
      </c>
      <c r="U7" s="11">
        <v>0.7027</v>
      </c>
      <c r="V7" s="11">
        <v>0.708333333333333</v>
      </c>
      <c r="W7" s="9">
        <v>69.23</v>
      </c>
      <c r="X7" s="9">
        <v>70.8333333333333</v>
      </c>
      <c r="Y7" s="9">
        <v>69.87</v>
      </c>
      <c r="Z7" s="9">
        <v>0.02835127926504</v>
      </c>
      <c r="AA7" s="9">
        <v>0.068</v>
      </c>
      <c r="AB7" s="9">
        <v>0.068</v>
      </c>
      <c r="AC7" s="9">
        <v>35.26</v>
      </c>
      <c r="AD7" s="9">
        <v>1.0123</v>
      </c>
      <c r="AE7" s="9">
        <v>0.068</v>
      </c>
      <c r="AF7" s="9">
        <v>0.34712082912943</v>
      </c>
      <c r="AG7" s="9">
        <v>31.51</v>
      </c>
      <c r="AH7" s="9">
        <v>14.18</v>
      </c>
      <c r="AI7" s="9">
        <v>24.58</v>
      </c>
      <c r="AJ7" s="9">
        <v>0.0253</v>
      </c>
      <c r="AK7" s="9">
        <v>100</v>
      </c>
      <c r="AL7" s="9">
        <v>84</v>
      </c>
      <c r="AM7" s="9">
        <v>35.03</v>
      </c>
      <c r="AN7" s="9">
        <v>35.26</v>
      </c>
      <c r="AO7" s="9">
        <v>24.58</v>
      </c>
      <c r="AP7" s="9">
        <v>100</v>
      </c>
      <c r="AQ7" s="12">
        <v>1</v>
      </c>
      <c r="AR7" s="9">
        <v>45.79524</v>
      </c>
      <c r="AS7" s="9">
        <v>45.8</v>
      </c>
      <c r="AT7" s="9">
        <v>242</v>
      </c>
      <c r="AU7" s="9"/>
      <c r="AV7" s="9">
        <v>0</v>
      </c>
      <c r="AW7" s="9" t="s">
        <v>1583</v>
      </c>
      <c r="AX7" s="9">
        <v>46178</v>
      </c>
      <c r="AY7" s="9" t="s">
        <v>1584</v>
      </c>
      <c r="AZ7" s="9" t="s">
        <v>1585</v>
      </c>
      <c r="BA7" s="9">
        <v>45594</v>
      </c>
      <c r="BB7" s="9" t="s">
        <v>785</v>
      </c>
      <c r="BC7" s="9" t="s">
        <v>1586</v>
      </c>
      <c r="BD7" s="9" t="s">
        <v>1566</v>
      </c>
      <c r="BE7" s="13">
        <v>45.79524</v>
      </c>
      <c r="BF7" s="13">
        <v>45.8</v>
      </c>
      <c r="BG7" s="12">
        <v>1</v>
      </c>
      <c r="BH7" s="9">
        <v>45.79524</v>
      </c>
      <c r="BI7" s="9" t="s">
        <v>1567</v>
      </c>
    </row>
    <row r="8" ht="25" customHeight="1" spans="1:61">
      <c r="A8" s="9">
        <v>7</v>
      </c>
      <c r="B8" s="9" t="s">
        <v>1587</v>
      </c>
      <c r="C8" s="9" t="s">
        <v>1588</v>
      </c>
      <c r="D8" s="9" t="s">
        <v>1589</v>
      </c>
      <c r="E8" s="10">
        <v>42867</v>
      </c>
      <c r="F8" s="9">
        <v>9.3224</v>
      </c>
      <c r="G8" s="9" t="s">
        <v>1561</v>
      </c>
      <c r="H8" s="9" t="s">
        <v>572</v>
      </c>
      <c r="I8" s="9">
        <v>100</v>
      </c>
      <c r="J8" s="9" t="s">
        <v>1562</v>
      </c>
      <c r="K8" s="9">
        <v>100</v>
      </c>
      <c r="L8" s="9">
        <v>100</v>
      </c>
      <c r="M8" s="11">
        <v>0.0439</v>
      </c>
      <c r="N8" s="11">
        <v>0.0428</v>
      </c>
      <c r="O8" s="11"/>
      <c r="P8" s="11">
        <v>0.0422504347444397</v>
      </c>
      <c r="Q8" s="9">
        <v>36.74</v>
      </c>
      <c r="R8" s="9">
        <v>27.62</v>
      </c>
      <c r="S8" s="9">
        <v>33.09</v>
      </c>
      <c r="T8" s="11">
        <v>0.3846</v>
      </c>
      <c r="U8" s="11">
        <v>0.5135</v>
      </c>
      <c r="V8" s="11">
        <v>0.583320833333333</v>
      </c>
      <c r="W8" s="9">
        <v>38.46</v>
      </c>
      <c r="X8" s="9">
        <v>58.3320833333333</v>
      </c>
      <c r="Y8" s="9">
        <v>46.41</v>
      </c>
      <c r="Z8" s="9">
        <v>0.153981059277447</v>
      </c>
      <c r="AA8" s="9">
        <v>0.154</v>
      </c>
      <c r="AB8" s="9">
        <v>0.154</v>
      </c>
      <c r="AC8" s="9">
        <v>15.38</v>
      </c>
      <c r="AD8" s="9">
        <v>0.2851</v>
      </c>
      <c r="AE8" s="9"/>
      <c r="AF8" s="9"/>
      <c r="AG8" s="9">
        <v>20.58</v>
      </c>
      <c r="AH8" s="9"/>
      <c r="AI8" s="9">
        <v>20.58</v>
      </c>
      <c r="AJ8" s="9">
        <v>0.0428</v>
      </c>
      <c r="AK8" s="9">
        <v>100</v>
      </c>
      <c r="AL8" s="9">
        <v>100</v>
      </c>
      <c r="AM8" s="9">
        <v>37.09</v>
      </c>
      <c r="AN8" s="9">
        <v>15.38</v>
      </c>
      <c r="AO8" s="9">
        <v>20.58</v>
      </c>
      <c r="AP8" s="9">
        <v>100</v>
      </c>
      <c r="AQ8" s="12">
        <v>0.88</v>
      </c>
      <c r="AR8" s="9">
        <v>39.96681</v>
      </c>
      <c r="AS8" s="9">
        <v>45.42</v>
      </c>
      <c r="AT8" s="9">
        <v>246</v>
      </c>
      <c r="AU8" s="9" t="s">
        <v>1563</v>
      </c>
      <c r="AV8" s="9">
        <v>100</v>
      </c>
      <c r="AW8" s="9" t="s">
        <v>1590</v>
      </c>
      <c r="AX8" s="9">
        <v>46150</v>
      </c>
      <c r="AY8" s="9" t="s">
        <v>1591</v>
      </c>
      <c r="AZ8" s="9" t="s">
        <v>1592</v>
      </c>
      <c r="BA8" s="9">
        <v>45603</v>
      </c>
      <c r="BB8" s="9" t="s">
        <v>785</v>
      </c>
      <c r="BC8" s="9" t="s">
        <v>1593</v>
      </c>
      <c r="BD8" s="9" t="s">
        <v>1566</v>
      </c>
      <c r="BE8" s="13"/>
      <c r="BF8" s="13">
        <v>45.42</v>
      </c>
      <c r="BG8" s="12">
        <v>0.88</v>
      </c>
      <c r="BH8" s="9">
        <v>39.96681</v>
      </c>
      <c r="BI8" s="9" t="s">
        <v>1567</v>
      </c>
    </row>
    <row r="9" ht="25" customHeight="1" spans="1:61">
      <c r="A9" s="9">
        <v>8</v>
      </c>
      <c r="B9" s="9" t="s">
        <v>1594</v>
      </c>
      <c r="C9" s="9" t="s">
        <v>1595</v>
      </c>
      <c r="D9" s="9" t="s">
        <v>1596</v>
      </c>
      <c r="E9" s="10">
        <v>43257</v>
      </c>
      <c r="F9" s="9">
        <v>8.2546</v>
      </c>
      <c r="G9" s="9" t="s">
        <v>1561</v>
      </c>
      <c r="H9" s="9" t="s">
        <v>542</v>
      </c>
      <c r="I9" s="9">
        <v>60</v>
      </c>
      <c r="J9" s="9" t="s">
        <v>1562</v>
      </c>
      <c r="K9" s="9">
        <v>100</v>
      </c>
      <c r="L9" s="9">
        <v>100</v>
      </c>
      <c r="M9" s="11">
        <v>0.082</v>
      </c>
      <c r="N9" s="11">
        <v>0.0518</v>
      </c>
      <c r="O9" s="11"/>
      <c r="P9" s="11">
        <v>0.0370175812397637</v>
      </c>
      <c r="Q9" s="9">
        <v>62.3</v>
      </c>
      <c r="R9" s="9">
        <v>19.52</v>
      </c>
      <c r="S9" s="9">
        <v>45.19</v>
      </c>
      <c r="T9" s="11">
        <v>0.9231</v>
      </c>
      <c r="U9" s="11">
        <v>0.8378</v>
      </c>
      <c r="V9" s="11">
        <v>0.791595833333333</v>
      </c>
      <c r="W9" s="9">
        <v>92.31</v>
      </c>
      <c r="X9" s="9">
        <v>79.1595833333333</v>
      </c>
      <c r="Y9" s="9">
        <v>87.05</v>
      </c>
      <c r="Z9" s="9">
        <v>0.00689353688882911</v>
      </c>
      <c r="AA9" s="9">
        <v>0.0069</v>
      </c>
      <c r="AB9" s="9">
        <v>0.0069</v>
      </c>
      <c r="AC9" s="9">
        <v>88.46</v>
      </c>
      <c r="AD9" s="9">
        <v>11.8952</v>
      </c>
      <c r="AE9" s="9"/>
      <c r="AF9" s="9"/>
      <c r="AG9" s="9">
        <v>84.24</v>
      </c>
      <c r="AH9" s="9"/>
      <c r="AI9" s="9">
        <v>84.24</v>
      </c>
      <c r="AJ9" s="9">
        <v>0.0518</v>
      </c>
      <c r="AK9" s="9">
        <v>100</v>
      </c>
      <c r="AL9" s="9">
        <v>84</v>
      </c>
      <c r="AM9" s="9">
        <v>57.75</v>
      </c>
      <c r="AN9" s="9">
        <v>88.46</v>
      </c>
      <c r="AO9" s="9">
        <v>84.24</v>
      </c>
      <c r="AP9" s="9">
        <v>100</v>
      </c>
      <c r="AQ9" s="12">
        <v>0.88</v>
      </c>
      <c r="AR9" s="9">
        <v>71.42751</v>
      </c>
      <c r="AS9" s="9">
        <v>81.17</v>
      </c>
      <c r="AT9" s="9">
        <v>41</v>
      </c>
      <c r="AU9" s="9" t="s">
        <v>1563</v>
      </c>
      <c r="AV9" s="9">
        <v>0</v>
      </c>
      <c r="AW9" s="9" t="s">
        <v>1597</v>
      </c>
      <c r="AX9" s="9">
        <v>46240</v>
      </c>
      <c r="AY9" s="9" t="s">
        <v>1598</v>
      </c>
      <c r="AZ9" s="9" t="s">
        <v>1599</v>
      </c>
      <c r="BA9" s="9">
        <v>44942</v>
      </c>
      <c r="BB9" s="9" t="s">
        <v>785</v>
      </c>
      <c r="BC9" s="9" t="s">
        <v>1600</v>
      </c>
      <c r="BD9" s="9" t="s">
        <v>1566</v>
      </c>
      <c r="BE9" s="13"/>
      <c r="BF9" s="13">
        <v>81.17</v>
      </c>
      <c r="BG9" s="12">
        <v>0.88</v>
      </c>
      <c r="BH9" s="9">
        <v>71.42751</v>
      </c>
      <c r="BI9" s="9" t="s">
        <v>1567</v>
      </c>
    </row>
    <row r="10" ht="25" customHeight="1" spans="1:61">
      <c r="A10" s="9">
        <v>9</v>
      </c>
      <c r="B10" s="9" t="s">
        <v>1601</v>
      </c>
      <c r="C10" s="9" t="s">
        <v>1602</v>
      </c>
      <c r="D10" s="9" t="s">
        <v>167</v>
      </c>
      <c r="E10" s="10">
        <v>43402</v>
      </c>
      <c r="F10" s="9">
        <v>7.8576</v>
      </c>
      <c r="G10" s="9" t="s">
        <v>1561</v>
      </c>
      <c r="H10" s="9" t="s">
        <v>542</v>
      </c>
      <c r="I10" s="9">
        <v>60</v>
      </c>
      <c r="J10" s="9" t="s">
        <v>1562</v>
      </c>
      <c r="K10" s="9">
        <v>100</v>
      </c>
      <c r="L10" s="9">
        <v>100</v>
      </c>
      <c r="M10" s="11">
        <v>0.0021</v>
      </c>
      <c r="N10" s="11">
        <v>0.0358</v>
      </c>
      <c r="O10" s="11"/>
      <c r="P10" s="11">
        <v>0.0530726387807481</v>
      </c>
      <c r="Q10" s="9">
        <v>15.65</v>
      </c>
      <c r="R10" s="9">
        <v>35.71</v>
      </c>
      <c r="S10" s="9">
        <v>23.67</v>
      </c>
      <c r="T10" s="11">
        <v>0.3846</v>
      </c>
      <c r="U10" s="11">
        <v>0.5676</v>
      </c>
      <c r="V10" s="11">
        <v>0.666725</v>
      </c>
      <c r="W10" s="9">
        <v>38.46</v>
      </c>
      <c r="X10" s="9">
        <v>66.6725</v>
      </c>
      <c r="Y10" s="9">
        <v>49.75</v>
      </c>
      <c r="Z10" s="9">
        <v>0.0337620578778135</v>
      </c>
      <c r="AA10" s="9">
        <v>0.033</v>
      </c>
      <c r="AB10" s="9">
        <v>0.0337620578778135</v>
      </c>
      <c r="AC10" s="9">
        <v>57.05</v>
      </c>
      <c r="AD10" s="9">
        <v>0.0622</v>
      </c>
      <c r="AE10" s="9"/>
      <c r="AF10" s="9"/>
      <c r="AG10" s="9">
        <v>16.72</v>
      </c>
      <c r="AH10" s="9"/>
      <c r="AI10" s="9">
        <v>16.72</v>
      </c>
      <c r="AJ10" s="9">
        <v>0.0358</v>
      </c>
      <c r="AK10" s="9">
        <v>80</v>
      </c>
      <c r="AL10" s="9">
        <v>84</v>
      </c>
      <c r="AM10" s="9">
        <v>31.5</v>
      </c>
      <c r="AN10" s="9">
        <v>57.05</v>
      </c>
      <c r="AO10" s="9">
        <v>16.72</v>
      </c>
      <c r="AP10" s="9">
        <v>80</v>
      </c>
      <c r="AQ10" s="12">
        <v>0.88</v>
      </c>
      <c r="AR10" s="9">
        <v>44.17116</v>
      </c>
      <c r="AS10" s="9">
        <v>50.19</v>
      </c>
      <c r="AT10" s="9">
        <v>217</v>
      </c>
      <c r="AU10" s="9" t="s">
        <v>1563</v>
      </c>
      <c r="AV10" s="9">
        <v>0</v>
      </c>
      <c r="AW10" s="9" t="s">
        <v>1285</v>
      </c>
      <c r="AX10" s="9">
        <v>45799</v>
      </c>
      <c r="AY10" s="9" t="s">
        <v>1287</v>
      </c>
      <c r="AZ10" s="9" t="s">
        <v>1603</v>
      </c>
      <c r="BA10" s="9">
        <v>46154</v>
      </c>
      <c r="BB10" s="9" t="s">
        <v>785</v>
      </c>
      <c r="BC10" s="9" t="s">
        <v>1604</v>
      </c>
      <c r="BD10" s="9" t="s">
        <v>1566</v>
      </c>
      <c r="BE10" s="13"/>
      <c r="BF10" s="13">
        <v>50.19</v>
      </c>
      <c r="BG10" s="12">
        <v>0.88</v>
      </c>
      <c r="BH10" s="9">
        <v>44.17116</v>
      </c>
      <c r="BI10" s="9" t="s">
        <v>1567</v>
      </c>
    </row>
    <row r="11" ht="25" customHeight="1" spans="1:61">
      <c r="A11" s="9">
        <v>10</v>
      </c>
      <c r="B11" s="9" t="s">
        <v>1605</v>
      </c>
      <c r="C11" s="9" t="s">
        <v>1606</v>
      </c>
      <c r="D11" s="9" t="s">
        <v>430</v>
      </c>
      <c r="E11" s="10">
        <v>43579</v>
      </c>
      <c r="F11" s="9">
        <v>7.373</v>
      </c>
      <c r="G11" s="9" t="s">
        <v>1561</v>
      </c>
      <c r="H11" s="9" t="s">
        <v>557</v>
      </c>
      <c r="I11" s="9">
        <v>90</v>
      </c>
      <c r="J11" s="9" t="s">
        <v>1562</v>
      </c>
      <c r="K11" s="9">
        <v>100</v>
      </c>
      <c r="L11" s="9">
        <v>100</v>
      </c>
      <c r="M11" s="11">
        <v>-0.0893</v>
      </c>
      <c r="N11" s="11">
        <v>0.0216</v>
      </c>
      <c r="O11" s="11"/>
      <c r="P11" s="11">
        <v>0.082015938393073</v>
      </c>
      <c r="Q11" s="9">
        <v>5.11</v>
      </c>
      <c r="R11" s="9">
        <v>61.9</v>
      </c>
      <c r="S11" s="9">
        <v>27.83</v>
      </c>
      <c r="T11" s="11">
        <v>0.3077</v>
      </c>
      <c r="U11" s="11">
        <v>0.5946</v>
      </c>
      <c r="V11" s="11">
        <v>0.750004166666667</v>
      </c>
      <c r="W11" s="9">
        <v>30.77</v>
      </c>
      <c r="X11" s="9">
        <v>75.0004166666667</v>
      </c>
      <c r="Y11" s="9">
        <v>48.46</v>
      </c>
      <c r="Z11" s="9">
        <v>0.0969387755102041</v>
      </c>
      <c r="AA11" s="9">
        <v>0.1306</v>
      </c>
      <c r="AB11" s="9">
        <v>0.1306</v>
      </c>
      <c r="AC11" s="9">
        <v>18.91</v>
      </c>
      <c r="AD11" s="9">
        <v>-0.9212</v>
      </c>
      <c r="AE11" s="9">
        <v>0.1306</v>
      </c>
      <c r="AF11" s="9">
        <v>0.627993402703468</v>
      </c>
      <c r="AG11" s="9">
        <v>0.64</v>
      </c>
      <c r="AH11" s="9">
        <v>21.99</v>
      </c>
      <c r="AI11" s="9">
        <v>9.18</v>
      </c>
      <c r="AJ11" s="9">
        <v>0.0216</v>
      </c>
      <c r="AK11" s="9">
        <v>80</v>
      </c>
      <c r="AL11" s="9">
        <v>96</v>
      </c>
      <c r="AM11" s="9">
        <v>34.02</v>
      </c>
      <c r="AN11" s="9">
        <v>18.91</v>
      </c>
      <c r="AO11" s="9">
        <v>9.18</v>
      </c>
      <c r="AP11" s="9">
        <v>80</v>
      </c>
      <c r="AQ11" s="12">
        <v>1</v>
      </c>
      <c r="AR11" s="9">
        <v>36.68487</v>
      </c>
      <c r="AS11" s="9">
        <v>36.68</v>
      </c>
      <c r="AT11" s="9">
        <v>279</v>
      </c>
      <c r="AU11" s="9"/>
      <c r="AV11" s="9">
        <v>20</v>
      </c>
      <c r="AW11" s="9" t="s">
        <v>1405</v>
      </c>
      <c r="AX11" s="9">
        <v>46216</v>
      </c>
      <c r="AY11" s="9" t="s">
        <v>1407</v>
      </c>
      <c r="AZ11" s="9" t="s">
        <v>1607</v>
      </c>
      <c r="BA11" s="9">
        <v>45728</v>
      </c>
      <c r="BB11" s="9" t="s">
        <v>785</v>
      </c>
      <c r="BC11" s="9" t="s">
        <v>1608</v>
      </c>
      <c r="BD11" s="9" t="s">
        <v>1566</v>
      </c>
      <c r="BE11" s="13">
        <v>36.68487</v>
      </c>
      <c r="BF11" s="13">
        <v>36.68</v>
      </c>
      <c r="BG11" s="12">
        <v>1</v>
      </c>
      <c r="BH11" s="9">
        <v>36.68487</v>
      </c>
      <c r="BI11" s="9" t="s">
        <v>1567</v>
      </c>
    </row>
    <row r="12" ht="25" customHeight="1" spans="1:61">
      <c r="A12" s="9">
        <v>11</v>
      </c>
      <c r="B12" s="9" t="s">
        <v>33</v>
      </c>
      <c r="C12" s="9" t="s">
        <v>40</v>
      </c>
      <c r="D12" s="9" t="s">
        <v>41</v>
      </c>
      <c r="E12" s="10">
        <v>43710</v>
      </c>
      <c r="F12" s="9">
        <v>7.0144</v>
      </c>
      <c r="G12" s="9" t="s">
        <v>1561</v>
      </c>
      <c r="H12" s="9" t="s">
        <v>557</v>
      </c>
      <c r="I12" s="9">
        <v>90</v>
      </c>
      <c r="J12" s="9" t="s">
        <v>1562</v>
      </c>
      <c r="K12" s="9">
        <v>100</v>
      </c>
      <c r="L12" s="9">
        <v>100</v>
      </c>
      <c r="M12" s="11">
        <v>0.1281</v>
      </c>
      <c r="N12" s="11">
        <v>0.1214</v>
      </c>
      <c r="O12" s="11"/>
      <c r="P12" s="11">
        <v>0.118064937018316</v>
      </c>
      <c r="Q12" s="9">
        <v>80.19</v>
      </c>
      <c r="R12" s="9">
        <v>75.71</v>
      </c>
      <c r="S12" s="9">
        <v>78.4</v>
      </c>
      <c r="T12" s="11">
        <v>0.9231</v>
      </c>
      <c r="U12" s="11">
        <v>0.9167</v>
      </c>
      <c r="V12" s="11">
        <v>0.913233333333333</v>
      </c>
      <c r="W12" s="9">
        <v>92.31</v>
      </c>
      <c r="X12" s="9">
        <v>91.3233333333333</v>
      </c>
      <c r="Y12" s="9">
        <v>91.92</v>
      </c>
      <c r="Z12" s="9">
        <v>0.00358428956358966</v>
      </c>
      <c r="AA12" s="9">
        <v>0.0129</v>
      </c>
      <c r="AB12" s="9">
        <v>0.0129</v>
      </c>
      <c r="AC12" s="9">
        <v>80.77</v>
      </c>
      <c r="AD12" s="9">
        <v>35.7393</v>
      </c>
      <c r="AE12" s="9">
        <v>0.0129</v>
      </c>
      <c r="AF12" s="9">
        <v>9.15232069909425</v>
      </c>
      <c r="AG12" s="9">
        <v>94.86</v>
      </c>
      <c r="AH12" s="9">
        <v>89.36</v>
      </c>
      <c r="AI12" s="9">
        <v>92.66</v>
      </c>
      <c r="AJ12" s="9">
        <v>0.1214</v>
      </c>
      <c r="AK12" s="9">
        <v>100</v>
      </c>
      <c r="AL12" s="9">
        <v>96</v>
      </c>
      <c r="AM12" s="9">
        <v>82.45</v>
      </c>
      <c r="AN12" s="9">
        <v>80.77</v>
      </c>
      <c r="AO12" s="9">
        <v>92.66</v>
      </c>
      <c r="AP12" s="9">
        <v>100</v>
      </c>
      <c r="AQ12" s="12">
        <v>1</v>
      </c>
      <c r="AR12" s="9">
        <v>88.88114</v>
      </c>
      <c r="AS12" s="9">
        <v>88.88</v>
      </c>
      <c r="AT12" s="9">
        <v>14</v>
      </c>
      <c r="AU12" s="9"/>
      <c r="AV12" s="9">
        <v>20</v>
      </c>
      <c r="AW12" s="9" t="s">
        <v>1235</v>
      </c>
      <c r="AX12" s="9">
        <v>45777</v>
      </c>
      <c r="AY12" s="9" t="s">
        <v>1243</v>
      </c>
      <c r="AZ12" s="9" t="s">
        <v>1609</v>
      </c>
      <c r="BA12" s="9">
        <v>46240</v>
      </c>
      <c r="BB12" s="9" t="s">
        <v>785</v>
      </c>
      <c r="BC12" s="9" t="s">
        <v>834</v>
      </c>
      <c r="BD12" s="9" t="s">
        <v>1566</v>
      </c>
      <c r="BE12" s="13">
        <v>88.88114</v>
      </c>
      <c r="BF12" s="13">
        <v>88.88</v>
      </c>
      <c r="BG12" s="12">
        <v>1</v>
      </c>
      <c r="BH12" s="9">
        <v>88.88114</v>
      </c>
      <c r="BI12" s="9" t="s">
        <v>1567</v>
      </c>
    </row>
    <row r="13" ht="25" customHeight="1" spans="1:61">
      <c r="A13" s="9">
        <v>12</v>
      </c>
      <c r="B13" s="9" t="s">
        <v>1610</v>
      </c>
      <c r="C13" s="9" t="s">
        <v>1611</v>
      </c>
      <c r="D13" s="9" t="s">
        <v>1612</v>
      </c>
      <c r="E13" s="10">
        <v>43727</v>
      </c>
      <c r="F13" s="9">
        <v>6.9678</v>
      </c>
      <c r="G13" s="9" t="s">
        <v>1561</v>
      </c>
      <c r="H13" s="9" t="s">
        <v>546</v>
      </c>
      <c r="I13" s="9">
        <v>70</v>
      </c>
      <c r="J13" s="9" t="s">
        <v>1562</v>
      </c>
      <c r="K13" s="9">
        <v>100</v>
      </c>
      <c r="L13" s="9">
        <v>100</v>
      </c>
      <c r="M13" s="11">
        <v>0.0208</v>
      </c>
      <c r="N13" s="11">
        <v>0.0591</v>
      </c>
      <c r="O13" s="11"/>
      <c r="P13" s="11">
        <v>0.078785551958779</v>
      </c>
      <c r="Q13" s="9">
        <v>22.36</v>
      </c>
      <c r="R13" s="9">
        <v>59.05</v>
      </c>
      <c r="S13" s="9">
        <v>37.04</v>
      </c>
      <c r="T13" s="11">
        <v>0.6154</v>
      </c>
      <c r="U13" s="11">
        <v>0.7568</v>
      </c>
      <c r="V13" s="11">
        <v>0.833391666666667</v>
      </c>
      <c r="W13" s="9">
        <v>61.54</v>
      </c>
      <c r="X13" s="9">
        <v>83.3391666666667</v>
      </c>
      <c r="Y13" s="9">
        <v>70.26</v>
      </c>
      <c r="Z13" s="9">
        <v>0.00873179127660468</v>
      </c>
      <c r="AA13" s="9">
        <v>0.015</v>
      </c>
      <c r="AB13" s="9">
        <v>0.015</v>
      </c>
      <c r="AC13" s="9">
        <v>76.6</v>
      </c>
      <c r="AD13" s="9">
        <v>2.3821</v>
      </c>
      <c r="AE13" s="9">
        <v>0.015</v>
      </c>
      <c r="AF13" s="9">
        <v>5.25237013058527</v>
      </c>
      <c r="AG13" s="9">
        <v>49.52</v>
      </c>
      <c r="AH13" s="9">
        <v>84.4</v>
      </c>
      <c r="AI13" s="9">
        <v>63.47</v>
      </c>
      <c r="AJ13" s="9">
        <v>0.0591</v>
      </c>
      <c r="AK13" s="9">
        <v>80</v>
      </c>
      <c r="AL13" s="9">
        <v>88</v>
      </c>
      <c r="AM13" s="9">
        <v>47</v>
      </c>
      <c r="AN13" s="9">
        <v>76.6</v>
      </c>
      <c r="AO13" s="9">
        <v>63.47</v>
      </c>
      <c r="AP13" s="9">
        <v>80</v>
      </c>
      <c r="AQ13" s="12">
        <v>1</v>
      </c>
      <c r="AR13" s="9">
        <v>68.79222</v>
      </c>
      <c r="AS13" s="9">
        <v>68.79</v>
      </c>
      <c r="AT13" s="9">
        <v>115</v>
      </c>
      <c r="AU13" s="9"/>
      <c r="AV13" s="9">
        <v>5</v>
      </c>
      <c r="AW13" s="9" t="s">
        <v>1613</v>
      </c>
      <c r="AX13" s="9">
        <v>46170</v>
      </c>
      <c r="AY13" s="9" t="s">
        <v>1614</v>
      </c>
      <c r="AZ13" s="9" t="s">
        <v>1615</v>
      </c>
      <c r="BA13" s="9">
        <v>45617</v>
      </c>
      <c r="BB13" s="9" t="s">
        <v>785</v>
      </c>
      <c r="BC13" s="9" t="s">
        <v>1616</v>
      </c>
      <c r="BD13" s="9" t="s">
        <v>1566</v>
      </c>
      <c r="BE13" s="13">
        <v>68.79222</v>
      </c>
      <c r="BF13" s="13">
        <v>68.79</v>
      </c>
      <c r="BG13" s="12">
        <v>1</v>
      </c>
      <c r="BH13" s="9">
        <v>68.79222</v>
      </c>
      <c r="BI13" s="9" t="s">
        <v>1567</v>
      </c>
    </row>
    <row r="14" ht="25" customHeight="1" spans="1:61">
      <c r="A14" s="9">
        <v>13</v>
      </c>
      <c r="B14" s="9" t="s">
        <v>1617</v>
      </c>
      <c r="C14" s="9" t="s">
        <v>1618</v>
      </c>
      <c r="D14" s="9" t="s">
        <v>1619</v>
      </c>
      <c r="E14" s="10">
        <v>43755</v>
      </c>
      <c r="F14" s="9">
        <v>6.8912</v>
      </c>
      <c r="G14" s="9" t="s">
        <v>1561</v>
      </c>
      <c r="H14" s="9" t="s">
        <v>561</v>
      </c>
      <c r="I14" s="9">
        <v>90</v>
      </c>
      <c r="J14" s="9" t="s">
        <v>1620</v>
      </c>
      <c r="K14" s="9">
        <v>0</v>
      </c>
      <c r="L14" s="9">
        <v>100</v>
      </c>
      <c r="M14" s="11">
        <v>0.0394</v>
      </c>
      <c r="N14" s="11">
        <v>0.0255</v>
      </c>
      <c r="O14" s="11"/>
      <c r="P14" s="11">
        <v>0.0186198634345274</v>
      </c>
      <c r="Q14" s="9">
        <v>33.87</v>
      </c>
      <c r="R14" s="9">
        <v>7.14</v>
      </c>
      <c r="S14" s="9">
        <v>23.18</v>
      </c>
      <c r="T14" s="11">
        <v>0.9231</v>
      </c>
      <c r="U14" s="11">
        <v>0.8056</v>
      </c>
      <c r="V14" s="11">
        <v>0.741954166666667</v>
      </c>
      <c r="W14" s="9">
        <v>92.31</v>
      </c>
      <c r="X14" s="9">
        <v>74.1954166666667</v>
      </c>
      <c r="Y14" s="9">
        <v>85.06</v>
      </c>
      <c r="Z14" s="9">
        <v>0.000216652553090873</v>
      </c>
      <c r="AA14" s="9">
        <v>0.0463</v>
      </c>
      <c r="AB14" s="9">
        <v>0.0463</v>
      </c>
      <c r="AC14" s="9">
        <v>46.15</v>
      </c>
      <c r="AD14" s="9">
        <v>181.858</v>
      </c>
      <c r="AE14" s="9">
        <v>0.0463</v>
      </c>
      <c r="AF14" s="9">
        <v>0.40215687763558</v>
      </c>
      <c r="AG14" s="9">
        <v>100</v>
      </c>
      <c r="AH14" s="9">
        <v>16.31</v>
      </c>
      <c r="AI14" s="9">
        <v>66.52</v>
      </c>
      <c r="AJ14" s="9">
        <v>0.0255</v>
      </c>
      <c r="AK14" s="9">
        <v>100</v>
      </c>
      <c r="AL14" s="9">
        <v>66</v>
      </c>
      <c r="AM14" s="9">
        <v>41.74</v>
      </c>
      <c r="AN14" s="9">
        <v>46.15</v>
      </c>
      <c r="AO14" s="9">
        <v>66.52</v>
      </c>
      <c r="AP14" s="9">
        <v>100</v>
      </c>
      <c r="AQ14" s="12">
        <v>1</v>
      </c>
      <c r="AR14" s="9">
        <v>59.74347</v>
      </c>
      <c r="AS14" s="9">
        <v>59.74</v>
      </c>
      <c r="AT14" s="9">
        <v>158</v>
      </c>
      <c r="AU14" s="9"/>
      <c r="AV14" s="9">
        <v>50</v>
      </c>
      <c r="AW14" s="9" t="s">
        <v>1621</v>
      </c>
      <c r="AX14" s="9">
        <v>45667</v>
      </c>
      <c r="AY14" s="9" t="s">
        <v>1622</v>
      </c>
      <c r="AZ14" s="9" t="s">
        <v>1623</v>
      </c>
      <c r="BA14" s="9">
        <v>46218</v>
      </c>
      <c r="BB14" s="9" t="s">
        <v>1624</v>
      </c>
      <c r="BC14" s="9" t="s">
        <v>1625</v>
      </c>
      <c r="BD14" s="9" t="s">
        <v>1566</v>
      </c>
      <c r="BE14" s="13">
        <v>59.74347</v>
      </c>
      <c r="BF14" s="13">
        <v>59.74</v>
      </c>
      <c r="BG14" s="12">
        <v>1</v>
      </c>
      <c r="BH14" s="9">
        <v>59.74347</v>
      </c>
      <c r="BI14" s="9" t="s">
        <v>1567</v>
      </c>
    </row>
    <row r="15" ht="25" customHeight="1" spans="1:61">
      <c r="A15" s="9">
        <v>14</v>
      </c>
      <c r="B15" s="9" t="s">
        <v>1626</v>
      </c>
      <c r="C15" s="9" t="s">
        <v>1627</v>
      </c>
      <c r="D15" s="9" t="s">
        <v>1628</v>
      </c>
      <c r="E15" s="10">
        <v>43770</v>
      </c>
      <c r="F15" s="9">
        <v>6.8501</v>
      </c>
      <c r="G15" s="9" t="s">
        <v>1561</v>
      </c>
      <c r="H15" s="9" t="s">
        <v>542</v>
      </c>
      <c r="I15" s="9">
        <v>60</v>
      </c>
      <c r="J15" s="9" t="s">
        <v>1562</v>
      </c>
      <c r="K15" s="9">
        <v>100</v>
      </c>
      <c r="L15" s="9">
        <v>100</v>
      </c>
      <c r="M15" s="11">
        <v>0.0842</v>
      </c>
      <c r="N15" s="11">
        <v>0.118</v>
      </c>
      <c r="O15" s="11"/>
      <c r="P15" s="11">
        <v>0.135293114413847</v>
      </c>
      <c r="Q15" s="9">
        <v>63.9</v>
      </c>
      <c r="R15" s="9">
        <v>82.38</v>
      </c>
      <c r="S15" s="9">
        <v>71.29</v>
      </c>
      <c r="T15" s="11">
        <v>0.6923</v>
      </c>
      <c r="U15" s="11">
        <v>0.6757</v>
      </c>
      <c r="V15" s="11">
        <v>0.666708333333333</v>
      </c>
      <c r="W15" s="9">
        <v>69.23</v>
      </c>
      <c r="X15" s="9">
        <v>66.6708333333333</v>
      </c>
      <c r="Y15" s="9">
        <v>68.21</v>
      </c>
      <c r="Z15" s="9">
        <v>0.113553607552259</v>
      </c>
      <c r="AA15" s="9">
        <v>0.1144</v>
      </c>
      <c r="AB15" s="9">
        <v>0.1144</v>
      </c>
      <c r="AC15" s="9">
        <v>23.4</v>
      </c>
      <c r="AD15" s="9">
        <v>0.7415</v>
      </c>
      <c r="AE15" s="9">
        <v>0.1144</v>
      </c>
      <c r="AF15" s="9">
        <v>1.18263211900215</v>
      </c>
      <c r="AG15" s="9">
        <v>27.01</v>
      </c>
      <c r="AH15" s="9">
        <v>43.26</v>
      </c>
      <c r="AI15" s="9">
        <v>33.51</v>
      </c>
      <c r="AJ15" s="9">
        <v>0.118</v>
      </c>
      <c r="AK15" s="9">
        <v>80</v>
      </c>
      <c r="AL15" s="9">
        <v>84</v>
      </c>
      <c r="AM15" s="9">
        <v>70.37</v>
      </c>
      <c r="AN15" s="9">
        <v>23.4</v>
      </c>
      <c r="AO15" s="9">
        <v>33.51</v>
      </c>
      <c r="AP15" s="9">
        <v>80</v>
      </c>
      <c r="AQ15" s="12">
        <v>1</v>
      </c>
      <c r="AR15" s="9">
        <v>50.57626</v>
      </c>
      <c r="AS15" s="9">
        <v>50.58</v>
      </c>
      <c r="AT15" s="9">
        <v>216</v>
      </c>
      <c r="AU15" s="9"/>
      <c r="AV15" s="9">
        <v>0</v>
      </c>
      <c r="AW15" s="9" t="s">
        <v>1629</v>
      </c>
      <c r="AX15" s="9">
        <v>46189</v>
      </c>
      <c r="AY15" s="9" t="s">
        <v>1630</v>
      </c>
      <c r="AZ15" s="9" t="s">
        <v>1631</v>
      </c>
      <c r="BA15" s="9">
        <v>45748</v>
      </c>
      <c r="BB15" s="9" t="s">
        <v>785</v>
      </c>
      <c r="BC15" s="9" t="s">
        <v>1632</v>
      </c>
      <c r="BD15" s="9" t="s">
        <v>1566</v>
      </c>
      <c r="BE15" s="13">
        <v>50.57626</v>
      </c>
      <c r="BF15" s="13">
        <v>50.58</v>
      </c>
      <c r="BG15" s="12">
        <v>1</v>
      </c>
      <c r="BH15" s="9">
        <v>50.57626</v>
      </c>
      <c r="BI15" s="9" t="s">
        <v>1567</v>
      </c>
    </row>
    <row r="16" ht="25" customHeight="1" spans="1:61">
      <c r="A16" s="9">
        <v>15</v>
      </c>
      <c r="B16" s="9" t="s">
        <v>1633</v>
      </c>
      <c r="C16" s="9" t="s">
        <v>1634</v>
      </c>
      <c r="D16" s="9" t="s">
        <v>1635</v>
      </c>
      <c r="E16" s="10">
        <v>43783</v>
      </c>
      <c r="F16" s="9">
        <v>6.8145</v>
      </c>
      <c r="G16" s="9" t="s">
        <v>1561</v>
      </c>
      <c r="H16" s="9" t="s">
        <v>546</v>
      </c>
      <c r="I16" s="9">
        <v>70</v>
      </c>
      <c r="J16" s="9" t="s">
        <v>1562</v>
      </c>
      <c r="K16" s="9">
        <v>100</v>
      </c>
      <c r="L16" s="9">
        <v>100</v>
      </c>
      <c r="M16" s="11">
        <v>0.0188</v>
      </c>
      <c r="N16" s="11">
        <v>0.0331</v>
      </c>
      <c r="O16" s="11"/>
      <c r="P16" s="11">
        <v>0.0403250935387303</v>
      </c>
      <c r="Q16" s="9">
        <v>21.41</v>
      </c>
      <c r="R16" s="9">
        <v>24.76</v>
      </c>
      <c r="S16" s="9">
        <v>22.75</v>
      </c>
      <c r="T16" s="11">
        <v>0.5385</v>
      </c>
      <c r="U16" s="11">
        <v>0.5</v>
      </c>
      <c r="V16" s="11">
        <v>0.479145833333333</v>
      </c>
      <c r="W16" s="9">
        <v>53.85</v>
      </c>
      <c r="X16" s="9">
        <v>47.9145833333333</v>
      </c>
      <c r="Y16" s="9">
        <v>51.48</v>
      </c>
      <c r="Z16" s="9">
        <v>0.0804794520547945</v>
      </c>
      <c r="AA16" s="9">
        <v>0.0804</v>
      </c>
      <c r="AB16" s="9">
        <v>0.0804794520547945</v>
      </c>
      <c r="AC16" s="9">
        <v>31.09</v>
      </c>
      <c r="AD16" s="9">
        <v>0.2336</v>
      </c>
      <c r="AE16" s="9"/>
      <c r="AF16" s="9"/>
      <c r="AG16" s="9">
        <v>19.61</v>
      </c>
      <c r="AH16" s="9"/>
      <c r="AI16" s="9">
        <v>19.61</v>
      </c>
      <c r="AJ16" s="9">
        <v>0.0331</v>
      </c>
      <c r="AK16" s="9">
        <v>80</v>
      </c>
      <c r="AL16" s="9">
        <v>88</v>
      </c>
      <c r="AM16" s="9">
        <v>31.37</v>
      </c>
      <c r="AN16" s="9">
        <v>31.09</v>
      </c>
      <c r="AO16" s="9">
        <v>19.61</v>
      </c>
      <c r="AP16" s="9">
        <v>80</v>
      </c>
      <c r="AQ16" s="12">
        <v>0.88</v>
      </c>
      <c r="AR16" s="9">
        <v>38.77585</v>
      </c>
      <c r="AS16" s="9">
        <v>44.06</v>
      </c>
      <c r="AT16" s="9">
        <v>252</v>
      </c>
      <c r="AU16" s="9" t="s">
        <v>1563</v>
      </c>
      <c r="AV16" s="9">
        <v>5</v>
      </c>
      <c r="AW16" s="9" t="s">
        <v>1636</v>
      </c>
      <c r="AX16" s="9">
        <v>46063</v>
      </c>
      <c r="AY16" s="9" t="s">
        <v>1637</v>
      </c>
      <c r="AZ16" s="9" t="s">
        <v>1638</v>
      </c>
      <c r="BA16" s="9">
        <v>45736</v>
      </c>
      <c r="BB16" s="9" t="s">
        <v>785</v>
      </c>
      <c r="BC16" s="9" t="s">
        <v>1639</v>
      </c>
      <c r="BD16" s="9" t="s">
        <v>1566</v>
      </c>
      <c r="BE16" s="13"/>
      <c r="BF16" s="13">
        <v>44.06</v>
      </c>
      <c r="BG16" s="12">
        <v>0.88</v>
      </c>
      <c r="BH16" s="9">
        <v>38.77585</v>
      </c>
      <c r="BI16" s="9" t="s">
        <v>1567</v>
      </c>
    </row>
    <row r="17" ht="25" customHeight="1" spans="1:61">
      <c r="A17" s="9">
        <v>16</v>
      </c>
      <c r="B17" s="9" t="s">
        <v>1640</v>
      </c>
      <c r="C17" s="9" t="s">
        <v>1641</v>
      </c>
      <c r="D17" s="9" t="s">
        <v>1619</v>
      </c>
      <c r="E17" s="10">
        <v>43801</v>
      </c>
      <c r="F17" s="9">
        <v>6.7652</v>
      </c>
      <c r="G17" s="9" t="s">
        <v>1561</v>
      </c>
      <c r="H17" s="9" t="s">
        <v>561</v>
      </c>
      <c r="I17" s="9">
        <v>90</v>
      </c>
      <c r="J17" s="9" t="s">
        <v>1562</v>
      </c>
      <c r="K17" s="9">
        <v>100</v>
      </c>
      <c r="L17" s="9">
        <v>100</v>
      </c>
      <c r="M17" s="11">
        <v>0.0304</v>
      </c>
      <c r="N17" s="11">
        <v>0.036</v>
      </c>
      <c r="O17" s="11"/>
      <c r="P17" s="11">
        <v>0.0388114027265887</v>
      </c>
      <c r="Q17" s="9">
        <v>27.48</v>
      </c>
      <c r="R17" s="9">
        <v>21.43</v>
      </c>
      <c r="S17" s="9">
        <v>25.06</v>
      </c>
      <c r="T17" s="11">
        <v>1</v>
      </c>
      <c r="U17" s="11">
        <v>0.9189</v>
      </c>
      <c r="V17" s="11">
        <v>0.874970833333334</v>
      </c>
      <c r="W17" s="9">
        <v>100</v>
      </c>
      <c r="X17" s="9">
        <v>87.4970833333334</v>
      </c>
      <c r="Y17" s="9">
        <v>95</v>
      </c>
      <c r="Z17" s="9">
        <v>0.000792781515673082</v>
      </c>
      <c r="AA17" s="9">
        <v>0.0009</v>
      </c>
      <c r="AB17" s="9">
        <v>0.0009</v>
      </c>
      <c r="AC17" s="9">
        <v>99.36</v>
      </c>
      <c r="AD17" s="9">
        <v>38.346</v>
      </c>
      <c r="AE17" s="9">
        <v>0.0009</v>
      </c>
      <c r="AF17" s="9">
        <v>43.1237808073207</v>
      </c>
      <c r="AG17" s="9">
        <v>95.82</v>
      </c>
      <c r="AH17" s="9">
        <v>99.29</v>
      </c>
      <c r="AI17" s="9">
        <v>97.21</v>
      </c>
      <c r="AJ17" s="9">
        <v>0.036</v>
      </c>
      <c r="AK17" s="9">
        <v>80</v>
      </c>
      <c r="AL17" s="9">
        <v>96</v>
      </c>
      <c r="AM17" s="9">
        <v>46.04</v>
      </c>
      <c r="AN17" s="9">
        <v>99.36</v>
      </c>
      <c r="AO17" s="9">
        <v>97.21</v>
      </c>
      <c r="AP17" s="9">
        <v>80</v>
      </c>
      <c r="AQ17" s="12">
        <v>1</v>
      </c>
      <c r="AR17" s="9">
        <v>85.61073</v>
      </c>
      <c r="AS17" s="9">
        <v>85.61</v>
      </c>
      <c r="AT17" s="9">
        <v>24</v>
      </c>
      <c r="AU17" s="9"/>
      <c r="AV17" s="9">
        <v>50</v>
      </c>
      <c r="AW17" s="9" t="s">
        <v>1621</v>
      </c>
      <c r="AX17" s="9">
        <v>45667</v>
      </c>
      <c r="AY17" s="9" t="s">
        <v>1622</v>
      </c>
      <c r="AZ17" s="9" t="s">
        <v>1642</v>
      </c>
      <c r="BA17" s="9">
        <v>46217</v>
      </c>
      <c r="BB17" s="9" t="s">
        <v>785</v>
      </c>
      <c r="BC17" s="9" t="s">
        <v>1643</v>
      </c>
      <c r="BD17" s="9" t="s">
        <v>1566</v>
      </c>
      <c r="BE17" s="13">
        <v>85.61073</v>
      </c>
      <c r="BF17" s="13">
        <v>85.61</v>
      </c>
      <c r="BG17" s="12">
        <v>1</v>
      </c>
      <c r="BH17" s="9">
        <v>85.61073</v>
      </c>
      <c r="BI17" s="9" t="s">
        <v>1567</v>
      </c>
    </row>
    <row r="18" ht="25" customHeight="1" spans="1:61">
      <c r="A18" s="9">
        <v>17</v>
      </c>
      <c r="B18" s="9" t="s">
        <v>415</v>
      </c>
      <c r="C18" s="9" t="s">
        <v>417</v>
      </c>
      <c r="D18" s="9" t="s">
        <v>418</v>
      </c>
      <c r="E18" s="10">
        <v>43885</v>
      </c>
      <c r="F18" s="9">
        <v>6.5352</v>
      </c>
      <c r="G18" s="9" t="s">
        <v>1561</v>
      </c>
      <c r="H18" s="9" t="s">
        <v>546</v>
      </c>
      <c r="I18" s="9">
        <v>70</v>
      </c>
      <c r="J18" s="9" t="s">
        <v>1562</v>
      </c>
      <c r="K18" s="9">
        <v>100</v>
      </c>
      <c r="L18" s="9">
        <v>100</v>
      </c>
      <c r="M18" s="11">
        <v>0.0205</v>
      </c>
      <c r="N18" s="11">
        <v>0.0477</v>
      </c>
      <c r="O18" s="11"/>
      <c r="P18" s="11">
        <v>0.0615706709401378</v>
      </c>
      <c r="Q18" s="9">
        <v>22.04</v>
      </c>
      <c r="R18" s="9">
        <v>45.71</v>
      </c>
      <c r="S18" s="9">
        <v>31.51</v>
      </c>
      <c r="T18" s="11">
        <v>0.6154</v>
      </c>
      <c r="U18" s="11">
        <v>0.6667</v>
      </c>
      <c r="V18" s="11">
        <v>0.6944875</v>
      </c>
      <c r="W18" s="9">
        <v>61.54</v>
      </c>
      <c r="X18" s="9">
        <v>69.44875</v>
      </c>
      <c r="Y18" s="9">
        <v>64.7</v>
      </c>
      <c r="Z18" s="9">
        <v>0.00331661543439573</v>
      </c>
      <c r="AA18" s="9">
        <v>0.1458</v>
      </c>
      <c r="AB18" s="9">
        <v>0.1458</v>
      </c>
      <c r="AC18" s="9">
        <v>16.03</v>
      </c>
      <c r="AD18" s="9">
        <v>6.181</v>
      </c>
      <c r="AE18" s="9">
        <v>0.1458</v>
      </c>
      <c r="AF18" s="9">
        <v>0.422295411112056</v>
      </c>
      <c r="AG18" s="9">
        <v>68.49</v>
      </c>
      <c r="AH18" s="9">
        <v>17.02</v>
      </c>
      <c r="AI18" s="9">
        <v>47.9</v>
      </c>
      <c r="AJ18" s="9">
        <v>0.0477</v>
      </c>
      <c r="AK18" s="9">
        <v>80</v>
      </c>
      <c r="AL18" s="9">
        <v>88</v>
      </c>
      <c r="AM18" s="9">
        <v>41.47</v>
      </c>
      <c r="AN18" s="9">
        <v>16.03</v>
      </c>
      <c r="AO18" s="9">
        <v>47.9</v>
      </c>
      <c r="AP18" s="9">
        <v>80</v>
      </c>
      <c r="AQ18" s="12">
        <v>1</v>
      </c>
      <c r="AR18" s="9">
        <v>47.87143</v>
      </c>
      <c r="AS18" s="9">
        <v>47.87</v>
      </c>
      <c r="AT18" s="9">
        <v>230</v>
      </c>
      <c r="AU18" s="9"/>
      <c r="AV18" s="9">
        <v>5</v>
      </c>
      <c r="AW18" s="9" t="s">
        <v>1399</v>
      </c>
      <c r="AX18" s="9">
        <v>46112</v>
      </c>
      <c r="AY18" s="9" t="s">
        <v>1401</v>
      </c>
      <c r="AZ18" s="9" t="s">
        <v>1644</v>
      </c>
      <c r="BA18" s="9">
        <v>45259</v>
      </c>
      <c r="BB18" s="9" t="s">
        <v>785</v>
      </c>
      <c r="BC18" s="9" t="s">
        <v>961</v>
      </c>
      <c r="BD18" s="9" t="s">
        <v>1566</v>
      </c>
      <c r="BE18" s="13">
        <v>47.87143</v>
      </c>
      <c r="BF18" s="13">
        <v>47.87</v>
      </c>
      <c r="BG18" s="12">
        <v>1</v>
      </c>
      <c r="BH18" s="9">
        <v>47.87143</v>
      </c>
      <c r="BI18" s="9" t="s">
        <v>1567</v>
      </c>
    </row>
    <row r="19" ht="25" customHeight="1" spans="1:61">
      <c r="A19" s="9">
        <v>18</v>
      </c>
      <c r="B19" s="9" t="s">
        <v>1645</v>
      </c>
      <c r="C19" s="9" t="s">
        <v>1646</v>
      </c>
      <c r="D19" s="9" t="s">
        <v>1647</v>
      </c>
      <c r="E19" s="10">
        <v>43892</v>
      </c>
      <c r="F19" s="9">
        <v>6.5161</v>
      </c>
      <c r="G19" s="9" t="s">
        <v>1561</v>
      </c>
      <c r="H19" s="9" t="s">
        <v>546</v>
      </c>
      <c r="I19" s="9">
        <v>70</v>
      </c>
      <c r="J19" s="9" t="s">
        <v>1562</v>
      </c>
      <c r="K19" s="9">
        <v>100</v>
      </c>
      <c r="L19" s="9">
        <v>100</v>
      </c>
      <c r="M19" s="11">
        <v>-0.024</v>
      </c>
      <c r="N19" s="11">
        <v>0.0382</v>
      </c>
      <c r="O19" s="11"/>
      <c r="P19" s="11">
        <v>0.0707710676286</v>
      </c>
      <c r="Q19" s="9">
        <v>9.9</v>
      </c>
      <c r="R19" s="9">
        <v>51.9</v>
      </c>
      <c r="S19" s="9">
        <v>26.7</v>
      </c>
      <c r="T19" s="11">
        <v>0.4615</v>
      </c>
      <c r="U19" s="11">
        <v>0.5556</v>
      </c>
      <c r="V19" s="11">
        <v>0.606570833333333</v>
      </c>
      <c r="W19" s="9">
        <v>46.15</v>
      </c>
      <c r="X19" s="9">
        <v>60.6570833333333</v>
      </c>
      <c r="Y19" s="9">
        <v>51.95</v>
      </c>
      <c r="Z19" s="9">
        <v>0.122699386503067</v>
      </c>
      <c r="AA19" s="9">
        <v>0.1226</v>
      </c>
      <c r="AB19" s="9">
        <v>0.122699386503067</v>
      </c>
      <c r="AC19" s="9">
        <v>20.51</v>
      </c>
      <c r="AD19" s="9">
        <v>-0.1956</v>
      </c>
      <c r="AE19" s="9"/>
      <c r="AF19" s="9"/>
      <c r="AG19" s="9">
        <v>10.93</v>
      </c>
      <c r="AH19" s="9"/>
      <c r="AI19" s="9">
        <v>10.93</v>
      </c>
      <c r="AJ19" s="9">
        <v>0.0382</v>
      </c>
      <c r="AK19" s="9">
        <v>80</v>
      </c>
      <c r="AL19" s="9">
        <v>88</v>
      </c>
      <c r="AM19" s="9">
        <v>34.28</v>
      </c>
      <c r="AN19" s="9">
        <v>20.51</v>
      </c>
      <c r="AO19" s="9">
        <v>10.93</v>
      </c>
      <c r="AP19" s="9">
        <v>80</v>
      </c>
      <c r="AQ19" s="12">
        <v>0.88</v>
      </c>
      <c r="AR19" s="9">
        <v>35.15007</v>
      </c>
      <c r="AS19" s="9">
        <v>39.94</v>
      </c>
      <c r="AT19" s="9">
        <v>269</v>
      </c>
      <c r="AU19" s="9" t="s">
        <v>1563</v>
      </c>
      <c r="AV19" s="9">
        <v>5</v>
      </c>
      <c r="AW19" s="9" t="s">
        <v>1648</v>
      </c>
      <c r="AX19" s="9">
        <v>46127</v>
      </c>
      <c r="AY19" s="9" t="s">
        <v>1649</v>
      </c>
      <c r="AZ19" s="9" t="s">
        <v>1650</v>
      </c>
      <c r="BA19" s="9">
        <v>45743</v>
      </c>
      <c r="BB19" s="9" t="s">
        <v>785</v>
      </c>
      <c r="BC19" s="9" t="s">
        <v>1651</v>
      </c>
      <c r="BD19" s="9" t="s">
        <v>1566</v>
      </c>
      <c r="BE19" s="13"/>
      <c r="BF19" s="13">
        <v>39.94</v>
      </c>
      <c r="BG19" s="12">
        <v>0.88</v>
      </c>
      <c r="BH19" s="9">
        <v>35.15007</v>
      </c>
      <c r="BI19" s="9" t="s">
        <v>1567</v>
      </c>
    </row>
    <row r="20" ht="25" customHeight="1" spans="1:61">
      <c r="A20" s="9">
        <v>19</v>
      </c>
      <c r="B20" s="9" t="s">
        <v>1652</v>
      </c>
      <c r="C20" s="9" t="s">
        <v>1653</v>
      </c>
      <c r="D20" s="9" t="s">
        <v>1654</v>
      </c>
      <c r="E20" s="10">
        <v>43913</v>
      </c>
      <c r="F20" s="9">
        <v>6.4586</v>
      </c>
      <c r="G20" s="9" t="s">
        <v>1561</v>
      </c>
      <c r="H20" s="9" t="s">
        <v>542</v>
      </c>
      <c r="I20" s="9">
        <v>60</v>
      </c>
      <c r="J20" s="9" t="s">
        <v>1562</v>
      </c>
      <c r="K20" s="9">
        <v>100</v>
      </c>
      <c r="L20" s="9">
        <v>100</v>
      </c>
      <c r="M20" s="11">
        <v>0.1273</v>
      </c>
      <c r="N20" s="11">
        <v>0.0558</v>
      </c>
      <c r="O20" s="11"/>
      <c r="P20" s="11">
        <v>0.0217690252792639</v>
      </c>
      <c r="Q20" s="9">
        <v>79.55</v>
      </c>
      <c r="R20" s="9">
        <v>9.05</v>
      </c>
      <c r="S20" s="9">
        <v>51.35</v>
      </c>
      <c r="T20" s="11">
        <v>0.5385</v>
      </c>
      <c r="U20" s="11">
        <v>0.6216</v>
      </c>
      <c r="V20" s="11">
        <v>0.6666125</v>
      </c>
      <c r="W20" s="9">
        <v>53.85</v>
      </c>
      <c r="X20" s="9">
        <v>66.66125</v>
      </c>
      <c r="Y20" s="9">
        <v>58.97</v>
      </c>
      <c r="Z20" s="9">
        <v>0.044378595084539</v>
      </c>
      <c r="AA20" s="9">
        <v>0.1117</v>
      </c>
      <c r="AB20" s="9">
        <v>0.1117</v>
      </c>
      <c r="AC20" s="9">
        <v>24.04</v>
      </c>
      <c r="AD20" s="9">
        <v>2.8685</v>
      </c>
      <c r="AE20" s="9">
        <v>0.1117</v>
      </c>
      <c r="AF20" s="9">
        <v>0.194888319420447</v>
      </c>
      <c r="AG20" s="9">
        <v>53.05</v>
      </c>
      <c r="AH20" s="9">
        <v>9.93</v>
      </c>
      <c r="AI20" s="9">
        <v>35.8</v>
      </c>
      <c r="AJ20" s="9">
        <v>0.0558</v>
      </c>
      <c r="AK20" s="9">
        <v>100</v>
      </c>
      <c r="AL20" s="9">
        <v>84</v>
      </c>
      <c r="AM20" s="9">
        <v>53.64</v>
      </c>
      <c r="AN20" s="9">
        <v>24.04</v>
      </c>
      <c r="AO20" s="9">
        <v>35.8</v>
      </c>
      <c r="AP20" s="9">
        <v>100</v>
      </c>
      <c r="AQ20" s="12">
        <v>1</v>
      </c>
      <c r="AR20" s="9">
        <v>50.07807</v>
      </c>
      <c r="AS20" s="9">
        <v>50.08</v>
      </c>
      <c r="AT20" s="9">
        <v>218</v>
      </c>
      <c r="AU20" s="9"/>
      <c r="AV20" s="9">
        <v>0</v>
      </c>
      <c r="AW20" s="9" t="s">
        <v>1655</v>
      </c>
      <c r="AX20" s="9">
        <v>46227</v>
      </c>
      <c r="AY20" s="9" t="s">
        <v>1656</v>
      </c>
      <c r="AZ20" s="9" t="s">
        <v>1657</v>
      </c>
      <c r="BA20" s="9">
        <v>45771</v>
      </c>
      <c r="BB20" s="9" t="s">
        <v>785</v>
      </c>
      <c r="BC20" s="9" t="s">
        <v>1658</v>
      </c>
      <c r="BD20" s="9" t="s">
        <v>1566</v>
      </c>
      <c r="BE20" s="13">
        <v>50.07807</v>
      </c>
      <c r="BF20" s="13">
        <v>50.08</v>
      </c>
      <c r="BG20" s="12">
        <v>1</v>
      </c>
      <c r="BH20" s="9">
        <v>50.07807</v>
      </c>
      <c r="BI20" s="9" t="s">
        <v>1567</v>
      </c>
    </row>
    <row r="21" ht="25" customHeight="1" spans="1:61">
      <c r="A21" s="9">
        <v>20</v>
      </c>
      <c r="B21" s="9" t="s">
        <v>1659</v>
      </c>
      <c r="C21" s="9" t="s">
        <v>1660</v>
      </c>
      <c r="D21" s="9" t="s">
        <v>1661</v>
      </c>
      <c r="E21" s="10">
        <v>43924</v>
      </c>
      <c r="F21" s="9">
        <v>6.4285</v>
      </c>
      <c r="G21" s="9" t="s">
        <v>1561</v>
      </c>
      <c r="H21" s="9" t="s">
        <v>542</v>
      </c>
      <c r="I21" s="9">
        <v>60</v>
      </c>
      <c r="J21" s="9" t="s">
        <v>1562</v>
      </c>
      <c r="K21" s="9">
        <v>100</v>
      </c>
      <c r="L21" s="9">
        <v>100</v>
      </c>
      <c r="M21" s="11">
        <v>0.0761</v>
      </c>
      <c r="N21" s="11">
        <v>0.0733</v>
      </c>
      <c r="O21" s="11"/>
      <c r="P21" s="11">
        <v>0.0719027332740636</v>
      </c>
      <c r="Q21" s="9">
        <v>58.47</v>
      </c>
      <c r="R21" s="9">
        <v>53.81</v>
      </c>
      <c r="S21" s="9">
        <v>56.61</v>
      </c>
      <c r="T21" s="11">
        <v>0.3846</v>
      </c>
      <c r="U21" s="11">
        <v>0.5135</v>
      </c>
      <c r="V21" s="11">
        <v>0.583320833333333</v>
      </c>
      <c r="W21" s="9">
        <v>38.46</v>
      </c>
      <c r="X21" s="9">
        <v>58.3320833333333</v>
      </c>
      <c r="Y21" s="9">
        <v>46.41</v>
      </c>
      <c r="Z21" s="9">
        <v>0.0306854838709677</v>
      </c>
      <c r="AA21" s="9">
        <v>0.0797</v>
      </c>
      <c r="AB21" s="9">
        <v>0.0797</v>
      </c>
      <c r="AC21" s="9">
        <v>31.73</v>
      </c>
      <c r="AD21" s="9">
        <v>2.48</v>
      </c>
      <c r="AE21" s="9">
        <v>0.0797</v>
      </c>
      <c r="AF21" s="9">
        <v>0.902167293275579</v>
      </c>
      <c r="AG21" s="9">
        <v>49.84</v>
      </c>
      <c r="AH21" s="9">
        <v>32.62</v>
      </c>
      <c r="AI21" s="9">
        <v>42.95</v>
      </c>
      <c r="AJ21" s="9">
        <v>0.0733</v>
      </c>
      <c r="AK21" s="9">
        <v>100</v>
      </c>
      <c r="AL21" s="9">
        <v>84</v>
      </c>
      <c r="AM21" s="9">
        <v>53.55</v>
      </c>
      <c r="AN21" s="9">
        <v>31.73</v>
      </c>
      <c r="AO21" s="9">
        <v>42.95</v>
      </c>
      <c r="AP21" s="9">
        <v>100</v>
      </c>
      <c r="AQ21" s="12">
        <v>1</v>
      </c>
      <c r="AR21" s="9">
        <v>54.12747</v>
      </c>
      <c r="AS21" s="9">
        <v>54.13</v>
      </c>
      <c r="AT21" s="9">
        <v>196</v>
      </c>
      <c r="AU21" s="9"/>
      <c r="AV21" s="9">
        <v>0</v>
      </c>
      <c r="AW21" s="9" t="s">
        <v>1662</v>
      </c>
      <c r="AX21" s="9">
        <v>46111</v>
      </c>
      <c r="AY21" s="9" t="s">
        <v>1663</v>
      </c>
      <c r="AZ21" s="9" t="s">
        <v>1664</v>
      </c>
      <c r="BA21" s="9">
        <v>45784</v>
      </c>
      <c r="BB21" s="9" t="s">
        <v>785</v>
      </c>
      <c r="BC21" s="9" t="s">
        <v>1665</v>
      </c>
      <c r="BD21" s="9" t="s">
        <v>1566</v>
      </c>
      <c r="BE21" s="13">
        <v>54.12747</v>
      </c>
      <c r="BF21" s="13">
        <v>54.13</v>
      </c>
      <c r="BG21" s="12">
        <v>1</v>
      </c>
      <c r="BH21" s="9">
        <v>54.12747</v>
      </c>
      <c r="BI21" s="9" t="s">
        <v>1567</v>
      </c>
    </row>
    <row r="22" ht="25" customHeight="1" spans="1:61">
      <c r="A22" s="9">
        <v>21</v>
      </c>
      <c r="B22" s="9" t="s">
        <v>1666</v>
      </c>
      <c r="C22" s="9" t="s">
        <v>1667</v>
      </c>
      <c r="D22" s="9" t="s">
        <v>1668</v>
      </c>
      <c r="E22" s="10">
        <v>43998</v>
      </c>
      <c r="F22" s="9">
        <v>6.2259</v>
      </c>
      <c r="G22" s="9" t="s">
        <v>1561</v>
      </c>
      <c r="H22" s="9" t="s">
        <v>542</v>
      </c>
      <c r="I22" s="9">
        <v>60</v>
      </c>
      <c r="J22" s="9" t="s">
        <v>1620</v>
      </c>
      <c r="K22" s="9">
        <v>0</v>
      </c>
      <c r="L22" s="9">
        <v>100</v>
      </c>
      <c r="M22" s="11">
        <v>-0.0555</v>
      </c>
      <c r="N22" s="11">
        <v>0</v>
      </c>
      <c r="O22" s="11"/>
      <c r="P22" s="11">
        <v>0.0289612477339827</v>
      </c>
      <c r="Q22" s="9">
        <v>7.03</v>
      </c>
      <c r="R22" s="9">
        <v>15.71</v>
      </c>
      <c r="S22" s="9">
        <v>10.5</v>
      </c>
      <c r="T22" s="11">
        <v>0.6154</v>
      </c>
      <c r="U22" s="11">
        <v>0.5405</v>
      </c>
      <c r="V22" s="11">
        <v>0.499929166666667</v>
      </c>
      <c r="W22" s="9">
        <v>61.54</v>
      </c>
      <c r="X22" s="9">
        <v>49.9929166666667</v>
      </c>
      <c r="Y22" s="9">
        <v>56.92</v>
      </c>
      <c r="Z22" s="9">
        <v>0.102911181160764</v>
      </c>
      <c r="AA22" s="9">
        <v>0.113</v>
      </c>
      <c r="AB22" s="9">
        <v>0.113</v>
      </c>
      <c r="AC22" s="9">
        <v>23.72</v>
      </c>
      <c r="AD22" s="9">
        <v>-0.5393</v>
      </c>
      <c r="AE22" s="9">
        <v>0.113</v>
      </c>
      <c r="AF22" s="9">
        <v>0.25629422773436</v>
      </c>
      <c r="AG22" s="9">
        <v>6.43</v>
      </c>
      <c r="AH22" s="9">
        <v>11.35</v>
      </c>
      <c r="AI22" s="9">
        <v>8.4</v>
      </c>
      <c r="AJ22" s="9">
        <v>0</v>
      </c>
      <c r="AK22" s="9">
        <v>80</v>
      </c>
      <c r="AL22" s="9">
        <v>54</v>
      </c>
      <c r="AM22" s="9">
        <v>24.43</v>
      </c>
      <c r="AN22" s="9">
        <v>23.72</v>
      </c>
      <c r="AO22" s="9">
        <v>8.4</v>
      </c>
      <c r="AP22" s="9">
        <v>80</v>
      </c>
      <c r="AQ22" s="12">
        <v>1</v>
      </c>
      <c r="AR22" s="9">
        <v>29.43495</v>
      </c>
      <c r="AS22" s="9">
        <v>29.43</v>
      </c>
      <c r="AT22" s="9">
        <v>300</v>
      </c>
      <c r="AU22" s="9"/>
      <c r="AV22" s="9">
        <v>0</v>
      </c>
      <c r="AW22" s="9" t="s">
        <v>1669</v>
      </c>
      <c r="AX22" s="9">
        <v>46212</v>
      </c>
      <c r="AY22" s="9" t="s">
        <v>1670</v>
      </c>
      <c r="AZ22" s="9" t="s">
        <v>1671</v>
      </c>
      <c r="BA22" s="9">
        <v>45630</v>
      </c>
      <c r="BB22" s="9" t="s">
        <v>1624</v>
      </c>
      <c r="BC22" s="9" t="s">
        <v>1672</v>
      </c>
      <c r="BD22" s="9" t="s">
        <v>1566</v>
      </c>
      <c r="BE22" s="13">
        <v>29.43495</v>
      </c>
      <c r="BF22" s="13">
        <v>29.43</v>
      </c>
      <c r="BG22" s="12">
        <v>1</v>
      </c>
      <c r="BH22" s="9">
        <v>29.43495</v>
      </c>
      <c r="BI22" s="9" t="s">
        <v>1567</v>
      </c>
    </row>
    <row r="23" ht="25" customHeight="1" spans="1:61">
      <c r="A23" s="9">
        <v>22</v>
      </c>
      <c r="B23" s="9" t="s">
        <v>1673</v>
      </c>
      <c r="C23" s="9" t="s">
        <v>1674</v>
      </c>
      <c r="D23" s="9" t="s">
        <v>1668</v>
      </c>
      <c r="E23" s="10">
        <v>43998</v>
      </c>
      <c r="F23" s="9">
        <v>6.2259</v>
      </c>
      <c r="G23" s="9" t="s">
        <v>1561</v>
      </c>
      <c r="H23" s="9" t="s">
        <v>542</v>
      </c>
      <c r="I23" s="9">
        <v>60</v>
      </c>
      <c r="J23" s="9" t="s">
        <v>1562</v>
      </c>
      <c r="K23" s="9">
        <v>100</v>
      </c>
      <c r="L23" s="9">
        <v>100</v>
      </c>
      <c r="M23" s="11">
        <v>-0.027</v>
      </c>
      <c r="N23" s="11">
        <v>-0.0118</v>
      </c>
      <c r="O23" s="11"/>
      <c r="P23" s="11">
        <v>-0.00411118629740348</v>
      </c>
      <c r="Q23" s="9">
        <v>8.95</v>
      </c>
      <c r="R23" s="9">
        <v>3.81</v>
      </c>
      <c r="S23" s="9">
        <v>6.89</v>
      </c>
      <c r="T23" s="11">
        <v>0.3077</v>
      </c>
      <c r="U23" s="11">
        <v>0.4324</v>
      </c>
      <c r="V23" s="11">
        <v>0.499945833333333</v>
      </c>
      <c r="W23" s="9">
        <v>30.77</v>
      </c>
      <c r="X23" s="9">
        <v>49.9945833333333</v>
      </c>
      <c r="Y23" s="9">
        <v>38.46</v>
      </c>
      <c r="Z23" s="9">
        <v>0.0761206653510008</v>
      </c>
      <c r="AA23" s="9">
        <v>0.1738</v>
      </c>
      <c r="AB23" s="9">
        <v>0.1738</v>
      </c>
      <c r="AC23" s="9">
        <v>13.14</v>
      </c>
      <c r="AD23" s="9">
        <v>-0.3547</v>
      </c>
      <c r="AE23" s="9">
        <v>0.1738</v>
      </c>
      <c r="AF23" s="9">
        <v>-0.0236546967629659</v>
      </c>
      <c r="AG23" s="9">
        <v>9.97</v>
      </c>
      <c r="AH23" s="9">
        <v>4.96</v>
      </c>
      <c r="AI23" s="9">
        <v>7.97</v>
      </c>
      <c r="AJ23" s="9">
        <v>-0.0118</v>
      </c>
      <c r="AK23" s="9">
        <v>80</v>
      </c>
      <c r="AL23" s="9">
        <v>84</v>
      </c>
      <c r="AM23" s="9">
        <v>16.36</v>
      </c>
      <c r="AN23" s="9">
        <v>13.14</v>
      </c>
      <c r="AO23" s="9">
        <v>7.97</v>
      </c>
      <c r="AP23" s="9">
        <v>80</v>
      </c>
      <c r="AQ23" s="12">
        <v>1</v>
      </c>
      <c r="AR23" s="9">
        <v>29.54755</v>
      </c>
      <c r="AS23" s="9">
        <v>29.55</v>
      </c>
      <c r="AT23" s="9">
        <v>297</v>
      </c>
      <c r="AU23" s="9"/>
      <c r="AV23" s="9">
        <v>0</v>
      </c>
      <c r="AW23" s="9" t="s">
        <v>1669</v>
      </c>
      <c r="AX23" s="9">
        <v>46212</v>
      </c>
      <c r="AY23" s="9" t="s">
        <v>1670</v>
      </c>
      <c r="AZ23" s="9" t="s">
        <v>1675</v>
      </c>
      <c r="BA23" s="9">
        <v>45630</v>
      </c>
      <c r="BB23" s="9" t="s">
        <v>785</v>
      </c>
      <c r="BC23" s="9" t="s">
        <v>1676</v>
      </c>
      <c r="BD23" s="9" t="s">
        <v>1566</v>
      </c>
      <c r="BE23" s="13">
        <v>29.54755</v>
      </c>
      <c r="BF23" s="13">
        <v>29.55</v>
      </c>
      <c r="BG23" s="12">
        <v>1</v>
      </c>
      <c r="BH23" s="9">
        <v>29.54755</v>
      </c>
      <c r="BI23" s="9" t="s">
        <v>1567</v>
      </c>
    </row>
    <row r="24" ht="25" customHeight="1" spans="1:61">
      <c r="A24" s="9">
        <v>23</v>
      </c>
      <c r="B24" s="9" t="s">
        <v>269</v>
      </c>
      <c r="C24" s="9" t="s">
        <v>271</v>
      </c>
      <c r="D24" s="9" t="s">
        <v>272</v>
      </c>
      <c r="E24" s="10">
        <v>44088</v>
      </c>
      <c r="F24" s="9">
        <v>5.9795</v>
      </c>
      <c r="G24" s="9" t="s">
        <v>1561</v>
      </c>
      <c r="H24" s="9" t="s">
        <v>542</v>
      </c>
      <c r="I24" s="9">
        <v>60</v>
      </c>
      <c r="J24" s="9" t="s">
        <v>1620</v>
      </c>
      <c r="K24" s="9">
        <v>0</v>
      </c>
      <c r="L24" s="9">
        <v>100</v>
      </c>
      <c r="M24" s="11">
        <v>0.0521</v>
      </c>
      <c r="N24" s="11">
        <v>0.0566</v>
      </c>
      <c r="O24" s="11"/>
      <c r="P24" s="11">
        <v>0.0588572125704623</v>
      </c>
      <c r="Q24" s="9">
        <v>43.13</v>
      </c>
      <c r="R24" s="9">
        <v>42.86</v>
      </c>
      <c r="S24" s="9">
        <v>43.02</v>
      </c>
      <c r="T24" s="11">
        <v>0.7692</v>
      </c>
      <c r="U24" s="11">
        <v>0.8649</v>
      </c>
      <c r="V24" s="11">
        <v>0.9167375</v>
      </c>
      <c r="W24" s="9">
        <v>76.92</v>
      </c>
      <c r="X24" s="9">
        <v>91.67375</v>
      </c>
      <c r="Y24" s="9">
        <v>82.82</v>
      </c>
      <c r="Z24" s="9">
        <v>0.0251217512898404</v>
      </c>
      <c r="AA24" s="9">
        <v>0.0251</v>
      </c>
      <c r="AB24" s="9">
        <v>0.0251217512898404</v>
      </c>
      <c r="AC24" s="9">
        <v>66.03</v>
      </c>
      <c r="AD24" s="9">
        <v>2.0739</v>
      </c>
      <c r="AE24" s="9"/>
      <c r="AF24" s="9"/>
      <c r="AG24" s="9">
        <v>46.62</v>
      </c>
      <c r="AH24" s="9"/>
      <c r="AI24" s="9">
        <v>46.62</v>
      </c>
      <c r="AJ24" s="9">
        <v>0.0566</v>
      </c>
      <c r="AK24" s="9">
        <v>80</v>
      </c>
      <c r="AL24" s="9">
        <v>54</v>
      </c>
      <c r="AM24" s="9">
        <v>54.96</v>
      </c>
      <c r="AN24" s="9">
        <v>66.03</v>
      </c>
      <c r="AO24" s="9">
        <v>46.62</v>
      </c>
      <c r="AP24" s="9">
        <v>80</v>
      </c>
      <c r="AQ24" s="12">
        <v>0.88</v>
      </c>
      <c r="AR24" s="9">
        <v>51.99147</v>
      </c>
      <c r="AS24" s="9">
        <v>59.08</v>
      </c>
      <c r="AT24" s="9">
        <v>163</v>
      </c>
      <c r="AU24" s="9" t="s">
        <v>1563</v>
      </c>
      <c r="AV24" s="9">
        <v>0</v>
      </c>
      <c r="AW24" s="9" t="s">
        <v>1343</v>
      </c>
      <c r="AX24" s="9">
        <v>45797</v>
      </c>
      <c r="AY24" s="9" t="s">
        <v>1346</v>
      </c>
      <c r="AZ24" s="9" t="s">
        <v>1677</v>
      </c>
      <c r="BA24" s="9">
        <v>46211</v>
      </c>
      <c r="BB24" s="9" t="s">
        <v>1624</v>
      </c>
      <c r="BC24" s="9" t="s">
        <v>910</v>
      </c>
      <c r="BD24" s="9" t="s">
        <v>1566</v>
      </c>
      <c r="BE24" s="13"/>
      <c r="BF24" s="13">
        <v>59.08</v>
      </c>
      <c r="BG24" s="12">
        <v>0.88</v>
      </c>
      <c r="BH24" s="9">
        <v>51.99147</v>
      </c>
      <c r="BI24" s="9" t="s">
        <v>1567</v>
      </c>
    </row>
    <row r="25" ht="25" customHeight="1" spans="1:61">
      <c r="A25" s="9">
        <v>24</v>
      </c>
      <c r="B25" s="9" t="s">
        <v>404</v>
      </c>
      <c r="C25" s="9" t="s">
        <v>405</v>
      </c>
      <c r="D25" s="9" t="s">
        <v>406</v>
      </c>
      <c r="E25" s="10">
        <v>44123</v>
      </c>
      <c r="F25" s="9">
        <v>5.8836</v>
      </c>
      <c r="G25" s="9" t="s">
        <v>1561</v>
      </c>
      <c r="H25" s="9" t="s">
        <v>542</v>
      </c>
      <c r="I25" s="9">
        <v>60</v>
      </c>
      <c r="J25" s="9" t="s">
        <v>1620</v>
      </c>
      <c r="K25" s="9">
        <v>0</v>
      </c>
      <c r="L25" s="9">
        <v>100</v>
      </c>
      <c r="M25" s="11">
        <v>-0.3307</v>
      </c>
      <c r="N25" s="11">
        <v>-0.1103</v>
      </c>
      <c r="O25" s="11"/>
      <c r="P25" s="11">
        <v>0.0257817623281262</v>
      </c>
      <c r="Q25" s="9">
        <v>0.64</v>
      </c>
      <c r="R25" s="9">
        <v>12.38</v>
      </c>
      <c r="S25" s="9">
        <v>5.34</v>
      </c>
      <c r="T25" s="11">
        <v>0.25</v>
      </c>
      <c r="U25" s="11">
        <v>0.3889</v>
      </c>
      <c r="V25" s="11">
        <v>0.4641375</v>
      </c>
      <c r="W25" s="9">
        <v>25</v>
      </c>
      <c r="X25" s="9">
        <v>46.41375</v>
      </c>
      <c r="Y25" s="9">
        <v>33.57</v>
      </c>
      <c r="Z25" s="9">
        <v>0.356127503769115</v>
      </c>
      <c r="AA25" s="9">
        <v>0.3561</v>
      </c>
      <c r="AB25" s="9">
        <v>0.356127503769115</v>
      </c>
      <c r="AC25" s="9">
        <v>1.6</v>
      </c>
      <c r="AD25" s="9">
        <v>-0.9286</v>
      </c>
      <c r="AE25" s="9"/>
      <c r="AF25" s="9"/>
      <c r="AG25" s="9">
        <v>0.32</v>
      </c>
      <c r="AH25" s="9"/>
      <c r="AI25" s="9">
        <v>0.32</v>
      </c>
      <c r="AJ25" s="9">
        <v>-0.1103</v>
      </c>
      <c r="AK25" s="9">
        <v>60</v>
      </c>
      <c r="AL25" s="9">
        <v>54</v>
      </c>
      <c r="AM25" s="9">
        <v>13.8</v>
      </c>
      <c r="AN25" s="9">
        <v>1.6</v>
      </c>
      <c r="AO25" s="9">
        <v>0.32</v>
      </c>
      <c r="AP25" s="9">
        <v>60</v>
      </c>
      <c r="AQ25" s="12">
        <v>0.88</v>
      </c>
      <c r="AR25" s="9">
        <v>17.31857</v>
      </c>
      <c r="AS25" s="9">
        <v>19.68</v>
      </c>
      <c r="AT25" s="9">
        <v>314</v>
      </c>
      <c r="AU25" s="9" t="s">
        <v>1563</v>
      </c>
      <c r="AV25" s="9">
        <v>0</v>
      </c>
      <c r="AW25" s="9" t="s">
        <v>1393</v>
      </c>
      <c r="AX25" s="9">
        <v>45869</v>
      </c>
      <c r="AY25" s="9" t="s">
        <v>1395</v>
      </c>
      <c r="AZ25" s="9" t="s">
        <v>1678</v>
      </c>
      <c r="BA25" s="9">
        <v>45845</v>
      </c>
      <c r="BB25" s="9" t="s">
        <v>1624</v>
      </c>
      <c r="BC25" s="9" t="s">
        <v>957</v>
      </c>
      <c r="BD25" s="9" t="s">
        <v>1566</v>
      </c>
      <c r="BE25" s="13"/>
      <c r="BF25" s="13">
        <v>19.68</v>
      </c>
      <c r="BG25" s="12">
        <v>0.88</v>
      </c>
      <c r="BH25" s="9">
        <v>17.31857</v>
      </c>
      <c r="BI25" s="9" t="s">
        <v>1567</v>
      </c>
    </row>
    <row r="26" ht="25" customHeight="1" spans="1:61">
      <c r="A26" s="9">
        <v>25</v>
      </c>
      <c r="B26" s="9" t="s">
        <v>1679</v>
      </c>
      <c r="C26" s="9" t="s">
        <v>1680</v>
      </c>
      <c r="D26" s="9" t="s">
        <v>1681</v>
      </c>
      <c r="E26" s="10">
        <v>44144</v>
      </c>
      <c r="F26" s="9">
        <v>5.8261</v>
      </c>
      <c r="G26" s="9" t="s">
        <v>1561</v>
      </c>
      <c r="H26" s="9" t="s">
        <v>551</v>
      </c>
      <c r="I26" s="9">
        <v>80</v>
      </c>
      <c r="J26" s="9" t="s">
        <v>1562</v>
      </c>
      <c r="K26" s="9">
        <v>100</v>
      </c>
      <c r="L26" s="9">
        <v>100</v>
      </c>
      <c r="M26" s="11">
        <v>0.0405</v>
      </c>
      <c r="N26" s="11">
        <v>0.0457</v>
      </c>
      <c r="O26" s="11"/>
      <c r="P26" s="11">
        <v>0.0483097372127341</v>
      </c>
      <c r="Q26" s="9">
        <v>35.14</v>
      </c>
      <c r="R26" s="9">
        <v>30.95</v>
      </c>
      <c r="S26" s="9">
        <v>33.46</v>
      </c>
      <c r="T26" s="11">
        <v>0.7692</v>
      </c>
      <c r="U26" s="11">
        <v>0.6111</v>
      </c>
      <c r="V26" s="11">
        <v>0.5254625</v>
      </c>
      <c r="W26" s="9">
        <v>76.92</v>
      </c>
      <c r="X26" s="9">
        <v>52.54625</v>
      </c>
      <c r="Y26" s="9">
        <v>67.17</v>
      </c>
      <c r="Z26" s="9">
        <v>0.00842626498002663</v>
      </c>
      <c r="AA26" s="9">
        <v>0.0265</v>
      </c>
      <c r="AB26" s="9">
        <v>0.0265</v>
      </c>
      <c r="AC26" s="9">
        <v>62.82</v>
      </c>
      <c r="AD26" s="9">
        <v>4.8064</v>
      </c>
      <c r="AE26" s="9">
        <v>0.0265</v>
      </c>
      <c r="AF26" s="9">
        <v>1.82300895142393</v>
      </c>
      <c r="AG26" s="9">
        <v>64.63</v>
      </c>
      <c r="AH26" s="9">
        <v>58.16</v>
      </c>
      <c r="AI26" s="9">
        <v>62.04</v>
      </c>
      <c r="AJ26" s="9">
        <v>0.0457</v>
      </c>
      <c r="AK26" s="9">
        <v>80</v>
      </c>
      <c r="AL26" s="9">
        <v>92</v>
      </c>
      <c r="AM26" s="9">
        <v>43.58</v>
      </c>
      <c r="AN26" s="9">
        <v>62.82</v>
      </c>
      <c r="AO26" s="9">
        <v>62.04</v>
      </c>
      <c r="AP26" s="9">
        <v>80</v>
      </c>
      <c r="AQ26" s="12">
        <v>1</v>
      </c>
      <c r="AR26" s="9">
        <v>64.83279</v>
      </c>
      <c r="AS26" s="9">
        <v>64.83</v>
      </c>
      <c r="AT26" s="9">
        <v>131</v>
      </c>
      <c r="AU26" s="9"/>
      <c r="AV26" s="9">
        <v>10</v>
      </c>
      <c r="AW26" s="9" t="s">
        <v>1682</v>
      </c>
      <c r="AX26" s="9">
        <v>46211</v>
      </c>
      <c r="AY26" s="9" t="s">
        <v>1683</v>
      </c>
      <c r="AZ26" s="9" t="s">
        <v>1684</v>
      </c>
      <c r="BA26" s="9">
        <v>45789</v>
      </c>
      <c r="BB26" s="9" t="s">
        <v>785</v>
      </c>
      <c r="BC26" s="9" t="s">
        <v>1685</v>
      </c>
      <c r="BD26" s="9" t="s">
        <v>1566</v>
      </c>
      <c r="BE26" s="13">
        <v>64.83279</v>
      </c>
      <c r="BF26" s="13">
        <v>64.83</v>
      </c>
      <c r="BG26" s="12">
        <v>1</v>
      </c>
      <c r="BH26" s="9">
        <v>64.83279</v>
      </c>
      <c r="BI26" s="9" t="s">
        <v>1567</v>
      </c>
    </row>
    <row r="27" ht="25" customHeight="1" spans="1:61">
      <c r="A27" s="9">
        <v>26</v>
      </c>
      <c r="B27" s="9" t="s">
        <v>1686</v>
      </c>
      <c r="C27" s="9" t="s">
        <v>1687</v>
      </c>
      <c r="D27" s="9" t="s">
        <v>489</v>
      </c>
      <c r="E27" s="10">
        <v>44145</v>
      </c>
      <c r="F27" s="9">
        <v>5.8234</v>
      </c>
      <c r="G27" s="9" t="s">
        <v>1561</v>
      </c>
      <c r="H27" s="9" t="s">
        <v>557</v>
      </c>
      <c r="I27" s="9">
        <v>90</v>
      </c>
      <c r="J27" s="9" t="s">
        <v>1562</v>
      </c>
      <c r="K27" s="9">
        <v>100</v>
      </c>
      <c r="L27" s="9">
        <v>100</v>
      </c>
      <c r="M27" s="11">
        <v>0.0373</v>
      </c>
      <c r="N27" s="11">
        <v>0.0419</v>
      </c>
      <c r="O27" s="11"/>
      <c r="P27" s="11">
        <v>0.0442076440229311</v>
      </c>
      <c r="Q27" s="9">
        <v>32.27</v>
      </c>
      <c r="R27" s="9">
        <v>30</v>
      </c>
      <c r="S27" s="9">
        <v>31.36</v>
      </c>
      <c r="T27" s="11">
        <v>0.6154</v>
      </c>
      <c r="U27" s="11">
        <v>0.7297</v>
      </c>
      <c r="V27" s="11">
        <v>0.7916125</v>
      </c>
      <c r="W27" s="9">
        <v>61.54</v>
      </c>
      <c r="X27" s="9">
        <v>79.16125</v>
      </c>
      <c r="Y27" s="9">
        <v>68.59</v>
      </c>
      <c r="Z27" s="9">
        <v>0.014530014413151</v>
      </c>
      <c r="AA27" s="9">
        <v>0.0145</v>
      </c>
      <c r="AB27" s="9">
        <v>0.014530014413151</v>
      </c>
      <c r="AC27" s="9">
        <v>77.56</v>
      </c>
      <c r="AD27" s="9">
        <v>2.5671</v>
      </c>
      <c r="AE27" s="9"/>
      <c r="AF27" s="9"/>
      <c r="AG27" s="9">
        <v>50.48</v>
      </c>
      <c r="AH27" s="9"/>
      <c r="AI27" s="9">
        <v>50.48</v>
      </c>
      <c r="AJ27" s="9">
        <v>0.0419</v>
      </c>
      <c r="AK27" s="9">
        <v>80</v>
      </c>
      <c r="AL27" s="9">
        <v>96</v>
      </c>
      <c r="AM27" s="9">
        <v>42.53</v>
      </c>
      <c r="AN27" s="9">
        <v>77.56</v>
      </c>
      <c r="AO27" s="9">
        <v>50.48</v>
      </c>
      <c r="AP27" s="9">
        <v>80</v>
      </c>
      <c r="AQ27" s="12">
        <v>0.88</v>
      </c>
      <c r="AR27" s="9">
        <v>59.38239</v>
      </c>
      <c r="AS27" s="9">
        <v>67.48</v>
      </c>
      <c r="AT27" s="9">
        <v>117</v>
      </c>
      <c r="AU27" s="9" t="s">
        <v>1563</v>
      </c>
      <c r="AV27" s="9">
        <v>20</v>
      </c>
      <c r="AW27" s="9" t="s">
        <v>1430</v>
      </c>
      <c r="AX27" s="9">
        <v>46097</v>
      </c>
      <c r="AY27" s="9" t="s">
        <v>1433</v>
      </c>
      <c r="AZ27" s="9" t="s">
        <v>1688</v>
      </c>
      <c r="BA27" s="9">
        <v>45804</v>
      </c>
      <c r="BB27" s="9" t="s">
        <v>785</v>
      </c>
      <c r="BC27" s="9" t="s">
        <v>1689</v>
      </c>
      <c r="BD27" s="9" t="s">
        <v>1566</v>
      </c>
      <c r="BE27" s="13"/>
      <c r="BF27" s="13">
        <v>67.48</v>
      </c>
      <c r="BG27" s="12">
        <v>0.88</v>
      </c>
      <c r="BH27" s="9">
        <v>59.38239</v>
      </c>
      <c r="BI27" s="9" t="s">
        <v>1567</v>
      </c>
    </row>
    <row r="28" ht="25" customHeight="1" spans="1:61">
      <c r="A28" s="9">
        <v>27</v>
      </c>
      <c r="B28" s="9" t="s">
        <v>1690</v>
      </c>
      <c r="C28" s="9" t="s">
        <v>1691</v>
      </c>
      <c r="D28" s="9" t="s">
        <v>1692</v>
      </c>
      <c r="E28" s="10">
        <v>44159</v>
      </c>
      <c r="F28" s="9">
        <v>5.7851</v>
      </c>
      <c r="G28" s="9" t="s">
        <v>1561</v>
      </c>
      <c r="H28" s="9" t="s">
        <v>546</v>
      </c>
      <c r="I28" s="9">
        <v>70</v>
      </c>
      <c r="J28" s="9" t="s">
        <v>1562</v>
      </c>
      <c r="K28" s="9">
        <v>100</v>
      </c>
      <c r="L28" s="9">
        <v>100</v>
      </c>
      <c r="M28" s="11">
        <v>0.0473</v>
      </c>
      <c r="N28" s="11">
        <v>0.0304</v>
      </c>
      <c r="O28" s="11"/>
      <c r="P28" s="11">
        <v>0.0220525432617524</v>
      </c>
      <c r="Q28" s="9">
        <v>40.73</v>
      </c>
      <c r="R28" s="9">
        <v>9.52</v>
      </c>
      <c r="S28" s="9">
        <v>28.25</v>
      </c>
      <c r="T28" s="11">
        <v>0.6154</v>
      </c>
      <c r="U28" s="11">
        <v>0.6111</v>
      </c>
      <c r="V28" s="11">
        <v>0.608770833333333</v>
      </c>
      <c r="W28" s="9">
        <v>61.54</v>
      </c>
      <c r="X28" s="9">
        <v>60.8770833333333</v>
      </c>
      <c r="Y28" s="9">
        <v>61.27</v>
      </c>
      <c r="Z28" s="9">
        <v>0.00875844829182483</v>
      </c>
      <c r="AA28" s="9">
        <v>0.0088</v>
      </c>
      <c r="AB28" s="9">
        <v>0.0088</v>
      </c>
      <c r="AC28" s="9">
        <v>85.9</v>
      </c>
      <c r="AD28" s="9">
        <v>5.4005</v>
      </c>
      <c r="AE28" s="9"/>
      <c r="AF28" s="9"/>
      <c r="AG28" s="9">
        <v>66.24</v>
      </c>
      <c r="AH28" s="9"/>
      <c r="AI28" s="9">
        <v>66.24</v>
      </c>
      <c r="AJ28" s="9">
        <v>0.0304</v>
      </c>
      <c r="AK28" s="9">
        <v>100</v>
      </c>
      <c r="AL28" s="9">
        <v>88</v>
      </c>
      <c r="AM28" s="9">
        <v>38.15</v>
      </c>
      <c r="AN28" s="9">
        <v>85.9</v>
      </c>
      <c r="AO28" s="9">
        <v>66.24</v>
      </c>
      <c r="AP28" s="9">
        <v>100</v>
      </c>
      <c r="AQ28" s="12">
        <v>0.88</v>
      </c>
      <c r="AR28" s="9">
        <v>64.22913</v>
      </c>
      <c r="AS28" s="9">
        <v>72.99</v>
      </c>
      <c r="AT28" s="9">
        <v>85</v>
      </c>
      <c r="AU28" s="9" t="s">
        <v>1563</v>
      </c>
      <c r="AV28" s="9">
        <v>5</v>
      </c>
      <c r="AW28" s="9" t="s">
        <v>1693</v>
      </c>
      <c r="AX28" s="9">
        <v>46065</v>
      </c>
      <c r="AY28" s="9" t="s">
        <v>1694</v>
      </c>
      <c r="AZ28" s="9" t="s">
        <v>1695</v>
      </c>
      <c r="BA28" s="9">
        <v>46232</v>
      </c>
      <c r="BB28" s="9" t="s">
        <v>785</v>
      </c>
      <c r="BC28" s="9" t="s">
        <v>1696</v>
      </c>
      <c r="BD28" s="9" t="s">
        <v>1566</v>
      </c>
      <c r="BE28" s="13"/>
      <c r="BF28" s="13">
        <v>72.99</v>
      </c>
      <c r="BG28" s="12">
        <v>0.88</v>
      </c>
      <c r="BH28" s="9">
        <v>64.22913</v>
      </c>
      <c r="BI28" s="9" t="s">
        <v>1567</v>
      </c>
    </row>
    <row r="29" ht="25" customHeight="1" spans="1:61">
      <c r="A29" s="9">
        <v>28</v>
      </c>
      <c r="B29" s="9" t="s">
        <v>459</v>
      </c>
      <c r="C29" s="9" t="s">
        <v>460</v>
      </c>
      <c r="D29" s="9" t="s">
        <v>461</v>
      </c>
      <c r="E29" s="10">
        <v>44166</v>
      </c>
      <c r="F29" s="9">
        <v>5.7659</v>
      </c>
      <c r="G29" s="9" t="s">
        <v>1561</v>
      </c>
      <c r="H29" s="9" t="s">
        <v>551</v>
      </c>
      <c r="I29" s="9">
        <v>80</v>
      </c>
      <c r="J29" s="9" t="s">
        <v>1562</v>
      </c>
      <c r="K29" s="9">
        <v>100</v>
      </c>
      <c r="L29" s="9">
        <v>100</v>
      </c>
      <c r="M29" s="11">
        <v>0.1888</v>
      </c>
      <c r="N29" s="11">
        <v>0.1735</v>
      </c>
      <c r="O29" s="11"/>
      <c r="P29" s="11">
        <v>0.165924001482663</v>
      </c>
      <c r="Q29" s="9">
        <v>86.9</v>
      </c>
      <c r="R29" s="9">
        <v>88.57</v>
      </c>
      <c r="S29" s="9">
        <v>87.57</v>
      </c>
      <c r="T29" s="11">
        <v>0.7692</v>
      </c>
      <c r="U29" s="11">
        <v>0.8378</v>
      </c>
      <c r="V29" s="11">
        <v>0.874958333333333</v>
      </c>
      <c r="W29" s="9">
        <v>76.92</v>
      </c>
      <c r="X29" s="9">
        <v>87.4958333333333</v>
      </c>
      <c r="Y29" s="9">
        <v>81.15</v>
      </c>
      <c r="Z29" s="9">
        <v>0.00464593222549504</v>
      </c>
      <c r="AA29" s="9">
        <v>0.0105</v>
      </c>
      <c r="AB29" s="9">
        <v>0.0105</v>
      </c>
      <c r="AC29" s="9">
        <v>84.62</v>
      </c>
      <c r="AD29" s="9">
        <v>40.6377</v>
      </c>
      <c r="AE29" s="9">
        <v>0.0105</v>
      </c>
      <c r="AF29" s="9">
        <v>15.8022858554917</v>
      </c>
      <c r="AG29" s="9">
        <v>96.14</v>
      </c>
      <c r="AH29" s="9">
        <v>94.33</v>
      </c>
      <c r="AI29" s="9">
        <v>95.42</v>
      </c>
      <c r="AJ29" s="9">
        <v>0.1735</v>
      </c>
      <c r="AK29" s="9">
        <v>100</v>
      </c>
      <c r="AL29" s="9">
        <v>92</v>
      </c>
      <c r="AM29" s="9">
        <v>85.64</v>
      </c>
      <c r="AN29" s="9">
        <v>84.62</v>
      </c>
      <c r="AO29" s="9">
        <v>95.42</v>
      </c>
      <c r="AP29" s="9">
        <v>100</v>
      </c>
      <c r="AQ29" s="12">
        <v>1</v>
      </c>
      <c r="AR29" s="9">
        <v>90.70834</v>
      </c>
      <c r="AS29" s="9">
        <v>90.71</v>
      </c>
      <c r="AT29" s="9">
        <v>9</v>
      </c>
      <c r="AU29" s="9"/>
      <c r="AV29" s="9">
        <v>10</v>
      </c>
      <c r="AW29" s="9" t="s">
        <v>1418</v>
      </c>
      <c r="AX29" s="9">
        <v>45072</v>
      </c>
      <c r="AY29" s="9" t="s">
        <v>1420</v>
      </c>
      <c r="AZ29" s="9" t="s">
        <v>1697</v>
      </c>
      <c r="BA29" s="9">
        <v>46223</v>
      </c>
      <c r="BB29" s="9" t="s">
        <v>785</v>
      </c>
      <c r="BC29" s="9" t="s">
        <v>976</v>
      </c>
      <c r="BD29" s="9" t="s">
        <v>1566</v>
      </c>
      <c r="BE29" s="13">
        <v>90.70834</v>
      </c>
      <c r="BF29" s="13">
        <v>90.71</v>
      </c>
      <c r="BG29" s="12">
        <v>1</v>
      </c>
      <c r="BH29" s="9">
        <v>90.70834</v>
      </c>
      <c r="BI29" s="9" t="s">
        <v>1567</v>
      </c>
    </row>
    <row r="30" ht="25" customHeight="1" spans="1:61">
      <c r="A30" s="9">
        <v>29</v>
      </c>
      <c r="B30" s="9" t="s">
        <v>165</v>
      </c>
      <c r="C30" s="9" t="s">
        <v>166</v>
      </c>
      <c r="D30" s="9" t="s">
        <v>167</v>
      </c>
      <c r="E30" s="10">
        <v>44305</v>
      </c>
      <c r="F30" s="9">
        <v>5.3854</v>
      </c>
      <c r="G30" s="9" t="s">
        <v>1561</v>
      </c>
      <c r="H30" s="9" t="s">
        <v>542</v>
      </c>
      <c r="I30" s="9">
        <v>60</v>
      </c>
      <c r="J30" s="9" t="s">
        <v>1562</v>
      </c>
      <c r="K30" s="9">
        <v>100</v>
      </c>
      <c r="L30" s="9">
        <v>100</v>
      </c>
      <c r="M30" s="11">
        <v>-0.0016</v>
      </c>
      <c r="N30" s="11">
        <v>0.0412</v>
      </c>
      <c r="O30" s="11"/>
      <c r="P30" s="11">
        <v>0.0632832023489487</v>
      </c>
      <c r="Q30" s="9">
        <v>15.02</v>
      </c>
      <c r="R30" s="9">
        <v>47.62</v>
      </c>
      <c r="S30" s="9">
        <v>28.06</v>
      </c>
      <c r="T30" s="11">
        <v>0.3846</v>
      </c>
      <c r="U30" s="11">
        <v>0.6486</v>
      </c>
      <c r="V30" s="11">
        <v>0.7916</v>
      </c>
      <c r="W30" s="9">
        <v>38.46</v>
      </c>
      <c r="X30" s="9">
        <v>79.16</v>
      </c>
      <c r="Y30" s="9">
        <v>54.74</v>
      </c>
      <c r="Z30" s="9">
        <v>0.0183066361556064</v>
      </c>
      <c r="AA30" s="9">
        <v>0.0184</v>
      </c>
      <c r="AB30" s="9">
        <v>0.0184</v>
      </c>
      <c r="AC30" s="9">
        <v>72.76</v>
      </c>
      <c r="AD30" s="9">
        <v>-0.0874</v>
      </c>
      <c r="AE30" s="9"/>
      <c r="AF30" s="9"/>
      <c r="AG30" s="9">
        <v>12.86</v>
      </c>
      <c r="AH30" s="9"/>
      <c r="AI30" s="9">
        <v>12.86</v>
      </c>
      <c r="AJ30" s="9">
        <v>0.0412</v>
      </c>
      <c r="AK30" s="9">
        <v>80</v>
      </c>
      <c r="AL30" s="9">
        <v>84</v>
      </c>
      <c r="AM30" s="9">
        <v>36.06</v>
      </c>
      <c r="AN30" s="9">
        <v>72.76</v>
      </c>
      <c r="AO30" s="9">
        <v>12.86</v>
      </c>
      <c r="AP30" s="9">
        <v>80</v>
      </c>
      <c r="AQ30" s="12">
        <v>0.88</v>
      </c>
      <c r="AR30" s="9">
        <v>48.3176</v>
      </c>
      <c r="AS30" s="9">
        <v>54.91</v>
      </c>
      <c r="AT30" s="9">
        <v>190</v>
      </c>
      <c r="AU30" s="9" t="s">
        <v>1563</v>
      </c>
      <c r="AV30" s="9">
        <v>0</v>
      </c>
      <c r="AW30" s="9" t="s">
        <v>1285</v>
      </c>
      <c r="AX30" s="9">
        <v>45799</v>
      </c>
      <c r="AY30" s="9" t="s">
        <v>1287</v>
      </c>
      <c r="AZ30" s="9" t="s">
        <v>1698</v>
      </c>
      <c r="BA30" s="9">
        <v>46154</v>
      </c>
      <c r="BB30" s="9" t="s">
        <v>785</v>
      </c>
      <c r="BC30" s="9" t="s">
        <v>872</v>
      </c>
      <c r="BD30" s="9" t="s">
        <v>1566</v>
      </c>
      <c r="BE30" s="13"/>
      <c r="BF30" s="13">
        <v>54.91</v>
      </c>
      <c r="BG30" s="12">
        <v>0.88</v>
      </c>
      <c r="BH30" s="9">
        <v>48.3176</v>
      </c>
      <c r="BI30" s="9" t="s">
        <v>1567</v>
      </c>
    </row>
    <row r="31" ht="25" customHeight="1" spans="1:61">
      <c r="A31" s="9">
        <v>30</v>
      </c>
      <c r="B31" s="9" t="s">
        <v>1699</v>
      </c>
      <c r="C31" s="9" t="s">
        <v>1700</v>
      </c>
      <c r="D31" s="9" t="s">
        <v>314</v>
      </c>
      <c r="E31" s="10">
        <v>44315</v>
      </c>
      <c r="F31" s="9">
        <v>5.358</v>
      </c>
      <c r="G31" s="9" t="s">
        <v>1561</v>
      </c>
      <c r="H31" s="9" t="s">
        <v>561</v>
      </c>
      <c r="I31" s="9">
        <v>90</v>
      </c>
      <c r="J31" s="9" t="s">
        <v>1562</v>
      </c>
      <c r="K31" s="9">
        <v>100</v>
      </c>
      <c r="L31" s="9">
        <v>100</v>
      </c>
      <c r="M31" s="11">
        <v>0.0958</v>
      </c>
      <c r="N31" s="11">
        <v>0.0367</v>
      </c>
      <c r="O31" s="11"/>
      <c r="P31" s="11">
        <v>0.00835626223150543</v>
      </c>
      <c r="Q31" s="9">
        <v>71.57</v>
      </c>
      <c r="R31" s="9">
        <v>6.19</v>
      </c>
      <c r="S31" s="9">
        <v>45.42</v>
      </c>
      <c r="T31" s="11">
        <v>0.7692</v>
      </c>
      <c r="U31" s="11">
        <v>0.5833</v>
      </c>
      <c r="V31" s="11">
        <v>0.482604166666667</v>
      </c>
      <c r="W31" s="9">
        <v>76.92</v>
      </c>
      <c r="X31" s="9">
        <v>48.2604166666667</v>
      </c>
      <c r="Y31" s="9">
        <v>65.46</v>
      </c>
      <c r="Z31" s="9">
        <v>0.0796541115822732</v>
      </c>
      <c r="AA31" s="9">
        <v>0.0796</v>
      </c>
      <c r="AB31" s="9">
        <v>0.0796541115822732</v>
      </c>
      <c r="AC31" s="9">
        <v>32.37</v>
      </c>
      <c r="AD31" s="9">
        <v>1.2027</v>
      </c>
      <c r="AE31" s="9"/>
      <c r="AF31" s="9"/>
      <c r="AG31" s="9">
        <v>34.08</v>
      </c>
      <c r="AH31" s="9"/>
      <c r="AI31" s="9">
        <v>34.08</v>
      </c>
      <c r="AJ31" s="9">
        <v>0.0367</v>
      </c>
      <c r="AK31" s="9">
        <v>100</v>
      </c>
      <c r="AL31" s="9">
        <v>96</v>
      </c>
      <c r="AM31" s="9">
        <v>51.43</v>
      </c>
      <c r="AN31" s="9">
        <v>32.37</v>
      </c>
      <c r="AO31" s="9">
        <v>34.08</v>
      </c>
      <c r="AP31" s="9">
        <v>100</v>
      </c>
      <c r="AQ31" s="12">
        <v>0.88</v>
      </c>
      <c r="AR31" s="9">
        <v>48.91279</v>
      </c>
      <c r="AS31" s="9">
        <v>55.58</v>
      </c>
      <c r="AT31" s="9">
        <v>184</v>
      </c>
      <c r="AU31" s="9" t="s">
        <v>1563</v>
      </c>
      <c r="AV31" s="9">
        <v>50</v>
      </c>
      <c r="AW31" s="9" t="s">
        <v>1356</v>
      </c>
      <c r="AX31" s="9">
        <v>46239</v>
      </c>
      <c r="AY31" s="9" t="s">
        <v>1358</v>
      </c>
      <c r="AZ31" s="9" t="s">
        <v>1701</v>
      </c>
      <c r="BA31" s="9">
        <v>45139</v>
      </c>
      <c r="BB31" s="9" t="s">
        <v>785</v>
      </c>
      <c r="BC31" s="9" t="s">
        <v>1702</v>
      </c>
      <c r="BD31" s="9" t="s">
        <v>1566</v>
      </c>
      <c r="BE31" s="13"/>
      <c r="BF31" s="13">
        <v>55.58</v>
      </c>
      <c r="BG31" s="12">
        <v>0.88</v>
      </c>
      <c r="BH31" s="9">
        <v>48.91279</v>
      </c>
      <c r="BI31" s="9" t="s">
        <v>1567</v>
      </c>
    </row>
    <row r="32" ht="25" customHeight="1" spans="1:61">
      <c r="A32" s="9">
        <v>31</v>
      </c>
      <c r="B32" s="9" t="s">
        <v>1703</v>
      </c>
      <c r="C32" s="9" t="s">
        <v>1704</v>
      </c>
      <c r="D32" s="9" t="s">
        <v>1668</v>
      </c>
      <c r="E32" s="10">
        <v>44329</v>
      </c>
      <c r="F32" s="9">
        <v>5.3196</v>
      </c>
      <c r="G32" s="9" t="s">
        <v>1561</v>
      </c>
      <c r="H32" s="9" t="s">
        <v>542</v>
      </c>
      <c r="I32" s="9">
        <v>60</v>
      </c>
      <c r="J32" s="9" t="s">
        <v>1620</v>
      </c>
      <c r="K32" s="9">
        <v>0</v>
      </c>
      <c r="L32" s="9">
        <v>100</v>
      </c>
      <c r="M32" s="11">
        <v>0.0087</v>
      </c>
      <c r="N32" s="11">
        <v>0.0203</v>
      </c>
      <c r="O32" s="11"/>
      <c r="P32" s="11">
        <v>0.0261499293150733</v>
      </c>
      <c r="Q32" s="9">
        <v>17.57</v>
      </c>
      <c r="R32" s="9">
        <v>12.86</v>
      </c>
      <c r="S32" s="9">
        <v>15.69</v>
      </c>
      <c r="T32" s="11">
        <v>0.5385</v>
      </c>
      <c r="U32" s="11">
        <v>0.5676</v>
      </c>
      <c r="V32" s="11">
        <v>0.5833625</v>
      </c>
      <c r="W32" s="9">
        <v>53.85</v>
      </c>
      <c r="X32" s="9">
        <v>58.33625</v>
      </c>
      <c r="Y32" s="9">
        <v>55.64</v>
      </c>
      <c r="Z32" s="9">
        <v>0.0692675159235669</v>
      </c>
      <c r="AA32" s="9">
        <v>0.069</v>
      </c>
      <c r="AB32" s="9">
        <v>0.0692675159235669</v>
      </c>
      <c r="AC32" s="9">
        <v>34.29</v>
      </c>
      <c r="AD32" s="9">
        <v>0.1256</v>
      </c>
      <c r="AE32" s="9"/>
      <c r="AF32" s="9"/>
      <c r="AG32" s="9">
        <v>17.36</v>
      </c>
      <c r="AH32" s="9"/>
      <c r="AI32" s="9">
        <v>17.36</v>
      </c>
      <c r="AJ32" s="9">
        <v>0.0203</v>
      </c>
      <c r="AK32" s="9">
        <v>80</v>
      </c>
      <c r="AL32" s="9">
        <v>54</v>
      </c>
      <c r="AM32" s="9">
        <v>27.67</v>
      </c>
      <c r="AN32" s="9">
        <v>34.29</v>
      </c>
      <c r="AO32" s="9">
        <v>17.36</v>
      </c>
      <c r="AP32" s="9">
        <v>80</v>
      </c>
      <c r="AQ32" s="12">
        <v>0.88</v>
      </c>
      <c r="AR32" s="9">
        <v>33.33201</v>
      </c>
      <c r="AS32" s="9">
        <v>37.88</v>
      </c>
      <c r="AT32" s="9">
        <v>274</v>
      </c>
      <c r="AU32" s="9" t="s">
        <v>1563</v>
      </c>
      <c r="AV32" s="9">
        <v>0</v>
      </c>
      <c r="AW32" s="9" t="s">
        <v>1669</v>
      </c>
      <c r="AX32" s="9">
        <v>46212</v>
      </c>
      <c r="AY32" s="9" t="s">
        <v>1670</v>
      </c>
      <c r="AZ32" s="9" t="s">
        <v>1705</v>
      </c>
      <c r="BA32" s="9">
        <v>45868</v>
      </c>
      <c r="BB32" s="9" t="s">
        <v>1624</v>
      </c>
      <c r="BC32" s="9" t="s">
        <v>1706</v>
      </c>
      <c r="BD32" s="9" t="s">
        <v>1566</v>
      </c>
      <c r="BE32" s="13"/>
      <c r="BF32" s="13">
        <v>37.88</v>
      </c>
      <c r="BG32" s="12">
        <v>0.88</v>
      </c>
      <c r="BH32" s="9">
        <v>33.33201</v>
      </c>
      <c r="BI32" s="9" t="s">
        <v>1567</v>
      </c>
    </row>
    <row r="33" ht="25" customHeight="1" spans="1:61">
      <c r="A33" s="9">
        <v>32</v>
      </c>
      <c r="B33" s="9" t="s">
        <v>1707</v>
      </c>
      <c r="C33" s="9" t="s">
        <v>1708</v>
      </c>
      <c r="D33" s="9" t="s">
        <v>1709</v>
      </c>
      <c r="E33" s="10">
        <v>44357</v>
      </c>
      <c r="F33" s="9">
        <v>5.243</v>
      </c>
      <c r="G33" s="9" t="s">
        <v>1561</v>
      </c>
      <c r="H33" s="9" t="s">
        <v>546</v>
      </c>
      <c r="I33" s="9">
        <v>70</v>
      </c>
      <c r="J33" s="9" t="s">
        <v>1562</v>
      </c>
      <c r="K33" s="9">
        <v>100</v>
      </c>
      <c r="L33" s="9">
        <v>100</v>
      </c>
      <c r="M33" s="11">
        <v>0.0495</v>
      </c>
      <c r="N33" s="11">
        <v>0.0783</v>
      </c>
      <c r="O33" s="11"/>
      <c r="P33" s="11">
        <v>0.0929950279818061</v>
      </c>
      <c r="Q33" s="9">
        <v>42.17</v>
      </c>
      <c r="R33" s="9">
        <v>68.1</v>
      </c>
      <c r="S33" s="9">
        <v>52.54</v>
      </c>
      <c r="T33" s="11">
        <v>0.5385</v>
      </c>
      <c r="U33" s="11">
        <v>0.5676</v>
      </c>
      <c r="V33" s="11">
        <v>0.5833625</v>
      </c>
      <c r="W33" s="9">
        <v>53.85</v>
      </c>
      <c r="X33" s="9">
        <v>58.33625</v>
      </c>
      <c r="Y33" s="9">
        <v>55.64</v>
      </c>
      <c r="Z33" s="9">
        <v>0.0530205655526992</v>
      </c>
      <c r="AA33" s="9">
        <v>0.0586</v>
      </c>
      <c r="AB33" s="9">
        <v>0.0586</v>
      </c>
      <c r="AC33" s="9">
        <v>39.74</v>
      </c>
      <c r="AD33" s="9">
        <v>0.9336</v>
      </c>
      <c r="AE33" s="9">
        <v>0.0586</v>
      </c>
      <c r="AF33" s="9">
        <v>1.58694586999669</v>
      </c>
      <c r="AG33" s="9">
        <v>30.87</v>
      </c>
      <c r="AH33" s="9">
        <v>54.61</v>
      </c>
      <c r="AI33" s="9">
        <v>40.37</v>
      </c>
      <c r="AJ33" s="9">
        <v>0.0783</v>
      </c>
      <c r="AK33" s="9">
        <v>80</v>
      </c>
      <c r="AL33" s="9">
        <v>88</v>
      </c>
      <c r="AM33" s="9">
        <v>53.47</v>
      </c>
      <c r="AN33" s="9">
        <v>39.74</v>
      </c>
      <c r="AO33" s="9">
        <v>40.37</v>
      </c>
      <c r="AP33" s="9">
        <v>80</v>
      </c>
      <c r="AQ33" s="12">
        <v>1</v>
      </c>
      <c r="AR33" s="9">
        <v>53.93935</v>
      </c>
      <c r="AS33" s="9">
        <v>53.94</v>
      </c>
      <c r="AT33" s="9">
        <v>197</v>
      </c>
      <c r="AU33" s="9"/>
      <c r="AV33" s="9">
        <v>5</v>
      </c>
      <c r="AW33" s="9" t="s">
        <v>1710</v>
      </c>
      <c r="AX33" s="9">
        <v>46225</v>
      </c>
      <c r="AY33" s="9" t="s">
        <v>1711</v>
      </c>
      <c r="AZ33" s="9" t="s">
        <v>1712</v>
      </c>
      <c r="BA33" s="9">
        <v>44573</v>
      </c>
      <c r="BB33" s="9" t="s">
        <v>785</v>
      </c>
      <c r="BC33" s="9" t="s">
        <v>1713</v>
      </c>
      <c r="BD33" s="9" t="s">
        <v>1566</v>
      </c>
      <c r="BE33" s="13">
        <v>53.93935</v>
      </c>
      <c r="BF33" s="13">
        <v>53.94</v>
      </c>
      <c r="BG33" s="12">
        <v>1</v>
      </c>
      <c r="BH33" s="9">
        <v>53.93935</v>
      </c>
      <c r="BI33" s="9" t="s">
        <v>1567</v>
      </c>
    </row>
    <row r="34" ht="25" customHeight="1" spans="1:61">
      <c r="A34" s="9">
        <v>33</v>
      </c>
      <c r="B34" s="9" t="s">
        <v>1714</v>
      </c>
      <c r="C34" s="9" t="s">
        <v>1715</v>
      </c>
      <c r="D34" s="9" t="s">
        <v>1668</v>
      </c>
      <c r="E34" s="10">
        <v>44382</v>
      </c>
      <c r="F34" s="9">
        <v>5.1745</v>
      </c>
      <c r="G34" s="9" t="s">
        <v>1561</v>
      </c>
      <c r="H34" s="9" t="s">
        <v>542</v>
      </c>
      <c r="I34" s="9">
        <v>60</v>
      </c>
      <c r="J34" s="9" t="s">
        <v>1620</v>
      </c>
      <c r="K34" s="9">
        <v>0</v>
      </c>
      <c r="L34" s="9">
        <v>100</v>
      </c>
      <c r="M34" s="11">
        <v>-0.0308</v>
      </c>
      <c r="N34" s="11">
        <v>-0.0195</v>
      </c>
      <c r="O34" s="11"/>
      <c r="P34" s="11">
        <v>-0.0138006901490368</v>
      </c>
      <c r="Q34" s="9">
        <v>8.31</v>
      </c>
      <c r="R34" s="9">
        <v>1.9</v>
      </c>
      <c r="S34" s="9">
        <v>5.75</v>
      </c>
      <c r="T34" s="11">
        <v>0.4615</v>
      </c>
      <c r="U34" s="11">
        <v>0.4865</v>
      </c>
      <c r="V34" s="11">
        <v>0.500041666666667</v>
      </c>
      <c r="W34" s="9">
        <v>46.15</v>
      </c>
      <c r="X34" s="9">
        <v>50.0041666666667</v>
      </c>
      <c r="Y34" s="9">
        <v>47.69</v>
      </c>
      <c r="Z34" s="9">
        <v>0.161679790026247</v>
      </c>
      <c r="AA34" s="9">
        <v>0.2391</v>
      </c>
      <c r="AB34" s="9">
        <v>0.2391</v>
      </c>
      <c r="AC34" s="9">
        <v>8.01</v>
      </c>
      <c r="AD34" s="9">
        <v>-0.1905</v>
      </c>
      <c r="AE34" s="9">
        <v>0.2391</v>
      </c>
      <c r="AF34" s="9">
        <v>-0.0577193230825464</v>
      </c>
      <c r="AG34" s="9">
        <v>11.25</v>
      </c>
      <c r="AH34" s="9">
        <v>2.84</v>
      </c>
      <c r="AI34" s="9">
        <v>7.89</v>
      </c>
      <c r="AJ34" s="9">
        <v>-0.0195</v>
      </c>
      <c r="AK34" s="9">
        <v>80</v>
      </c>
      <c r="AL34" s="9">
        <v>54</v>
      </c>
      <c r="AM34" s="9">
        <v>18.33</v>
      </c>
      <c r="AN34" s="9">
        <v>8.01</v>
      </c>
      <c r="AO34" s="9">
        <v>7.89</v>
      </c>
      <c r="AP34" s="9">
        <v>80</v>
      </c>
      <c r="AQ34" s="12">
        <v>1</v>
      </c>
      <c r="AR34" s="9">
        <v>24.13424</v>
      </c>
      <c r="AS34" s="9">
        <v>24.13</v>
      </c>
      <c r="AT34" s="9">
        <v>310</v>
      </c>
      <c r="AU34" s="9"/>
      <c r="AV34" s="9">
        <v>0</v>
      </c>
      <c r="AW34" s="9" t="s">
        <v>1669</v>
      </c>
      <c r="AX34" s="9">
        <v>46212</v>
      </c>
      <c r="AY34" s="9" t="s">
        <v>1670</v>
      </c>
      <c r="AZ34" s="9" t="s">
        <v>1716</v>
      </c>
      <c r="BA34" s="9">
        <v>46006</v>
      </c>
      <c r="BB34" s="9" t="s">
        <v>1624</v>
      </c>
      <c r="BC34" s="9" t="s">
        <v>1717</v>
      </c>
      <c r="BD34" s="9" t="s">
        <v>1566</v>
      </c>
      <c r="BE34" s="13">
        <v>24.13424</v>
      </c>
      <c r="BF34" s="13">
        <v>24.13</v>
      </c>
      <c r="BG34" s="12">
        <v>1</v>
      </c>
      <c r="BH34" s="9">
        <v>24.13424</v>
      </c>
      <c r="BI34" s="9" t="s">
        <v>1567</v>
      </c>
    </row>
    <row r="35" ht="25" customHeight="1" spans="1:61">
      <c r="A35" s="9">
        <v>34</v>
      </c>
      <c r="B35" s="9" t="s">
        <v>1718</v>
      </c>
      <c r="C35" s="9" t="s">
        <v>1719</v>
      </c>
      <c r="D35" s="9" t="s">
        <v>1668</v>
      </c>
      <c r="E35" s="10">
        <v>44392</v>
      </c>
      <c r="F35" s="9">
        <v>5.1472</v>
      </c>
      <c r="G35" s="9" t="s">
        <v>1561</v>
      </c>
      <c r="H35" s="9" t="s">
        <v>542</v>
      </c>
      <c r="I35" s="9">
        <v>60</v>
      </c>
      <c r="J35" s="9" t="s">
        <v>1620</v>
      </c>
      <c r="K35" s="9">
        <v>0</v>
      </c>
      <c r="L35" s="9">
        <v>100</v>
      </c>
      <c r="M35" s="11">
        <v>-0.0906</v>
      </c>
      <c r="N35" s="11">
        <v>-0.0358</v>
      </c>
      <c r="O35" s="11"/>
      <c r="P35" s="11">
        <v>-0.0071738310639603</v>
      </c>
      <c r="Q35" s="9">
        <v>4.47</v>
      </c>
      <c r="R35" s="9">
        <v>3.33</v>
      </c>
      <c r="S35" s="9">
        <v>4.01</v>
      </c>
      <c r="T35" s="11">
        <v>0.4615</v>
      </c>
      <c r="U35" s="11">
        <v>0.4865</v>
      </c>
      <c r="V35" s="11">
        <v>0.500041666666667</v>
      </c>
      <c r="W35" s="9">
        <v>46.15</v>
      </c>
      <c r="X35" s="9">
        <v>50.0041666666667</v>
      </c>
      <c r="Y35" s="9">
        <v>47.69</v>
      </c>
      <c r="Z35" s="9">
        <v>0.160496014171833</v>
      </c>
      <c r="AA35" s="9">
        <v>0.1989</v>
      </c>
      <c r="AB35" s="9">
        <v>0.1989</v>
      </c>
      <c r="AC35" s="9">
        <v>10.26</v>
      </c>
      <c r="AD35" s="9">
        <v>-0.5645</v>
      </c>
      <c r="AE35" s="9">
        <v>0.1989</v>
      </c>
      <c r="AF35" s="9">
        <v>-0.0360675267167436</v>
      </c>
      <c r="AG35" s="9">
        <v>5.79</v>
      </c>
      <c r="AH35" s="9">
        <v>4.26</v>
      </c>
      <c r="AI35" s="9">
        <v>5.18</v>
      </c>
      <c r="AJ35" s="9">
        <v>-0.0358</v>
      </c>
      <c r="AK35" s="9">
        <v>80</v>
      </c>
      <c r="AL35" s="9">
        <v>54</v>
      </c>
      <c r="AM35" s="9">
        <v>17.12</v>
      </c>
      <c r="AN35" s="9">
        <v>10.26</v>
      </c>
      <c r="AO35" s="9">
        <v>5.18</v>
      </c>
      <c r="AP35" s="9">
        <v>80</v>
      </c>
      <c r="AQ35" s="12">
        <v>1</v>
      </c>
      <c r="AR35" s="9">
        <v>23.64186</v>
      </c>
      <c r="AS35" s="9">
        <v>23.64</v>
      </c>
      <c r="AT35" s="9">
        <v>312</v>
      </c>
      <c r="AU35" s="9"/>
      <c r="AV35" s="9">
        <v>0</v>
      </c>
      <c r="AW35" s="9" t="s">
        <v>1669</v>
      </c>
      <c r="AX35" s="9">
        <v>46212</v>
      </c>
      <c r="AY35" s="9" t="s">
        <v>1670</v>
      </c>
      <c r="AZ35" s="9" t="s">
        <v>1720</v>
      </c>
      <c r="BA35" s="9">
        <v>46106</v>
      </c>
      <c r="BB35" s="9" t="s">
        <v>1624</v>
      </c>
      <c r="BC35" s="9" t="s">
        <v>1721</v>
      </c>
      <c r="BD35" s="9" t="s">
        <v>1566</v>
      </c>
      <c r="BE35" s="13">
        <v>23.64186</v>
      </c>
      <c r="BF35" s="13">
        <v>23.64</v>
      </c>
      <c r="BG35" s="12">
        <v>1</v>
      </c>
      <c r="BH35" s="9">
        <v>23.64186</v>
      </c>
      <c r="BI35" s="9" t="s">
        <v>1567</v>
      </c>
    </row>
    <row r="36" ht="25" customHeight="1" spans="1:61">
      <c r="A36" s="9">
        <v>35</v>
      </c>
      <c r="B36" s="9" t="s">
        <v>1722</v>
      </c>
      <c r="C36" s="9" t="s">
        <v>1723</v>
      </c>
      <c r="D36" s="9" t="s">
        <v>1668</v>
      </c>
      <c r="E36" s="10">
        <v>44392</v>
      </c>
      <c r="F36" s="9">
        <v>5.1472</v>
      </c>
      <c r="G36" s="9" t="s">
        <v>1561</v>
      </c>
      <c r="H36" s="9" t="s">
        <v>542</v>
      </c>
      <c r="I36" s="9">
        <v>60</v>
      </c>
      <c r="J36" s="9" t="s">
        <v>1620</v>
      </c>
      <c r="K36" s="9">
        <v>0</v>
      </c>
      <c r="L36" s="9">
        <v>100</v>
      </c>
      <c r="M36" s="11">
        <v>0.0177</v>
      </c>
      <c r="N36" s="11">
        <v>0.0521</v>
      </c>
      <c r="O36" s="11"/>
      <c r="P36" s="11">
        <v>0.0697336161826623</v>
      </c>
      <c r="Q36" s="9">
        <v>20.77</v>
      </c>
      <c r="R36" s="9">
        <v>50.48</v>
      </c>
      <c r="S36" s="9">
        <v>32.65</v>
      </c>
      <c r="T36" s="11">
        <v>0.5385</v>
      </c>
      <c r="U36" s="11">
        <v>0.6216</v>
      </c>
      <c r="V36" s="11">
        <v>0.6666125</v>
      </c>
      <c r="W36" s="9">
        <v>53.85</v>
      </c>
      <c r="X36" s="9">
        <v>66.66125</v>
      </c>
      <c r="Y36" s="9">
        <v>58.97</v>
      </c>
      <c r="Z36" s="9">
        <v>0.0615866388308977</v>
      </c>
      <c r="AA36" s="9">
        <v>0.0788</v>
      </c>
      <c r="AB36" s="9">
        <v>0.0788</v>
      </c>
      <c r="AC36" s="9">
        <v>33.01</v>
      </c>
      <c r="AD36" s="9">
        <v>0.2874</v>
      </c>
      <c r="AE36" s="9">
        <v>0.0788</v>
      </c>
      <c r="AF36" s="9">
        <v>0.884944367800283</v>
      </c>
      <c r="AG36" s="9">
        <v>20.9</v>
      </c>
      <c r="AH36" s="9">
        <v>30.5</v>
      </c>
      <c r="AI36" s="9">
        <v>24.74</v>
      </c>
      <c r="AJ36" s="9">
        <v>0.0521</v>
      </c>
      <c r="AK36" s="9">
        <v>80</v>
      </c>
      <c r="AL36" s="9">
        <v>54</v>
      </c>
      <c r="AM36" s="9">
        <v>40.55</v>
      </c>
      <c r="AN36" s="9">
        <v>33.01</v>
      </c>
      <c r="AO36" s="9">
        <v>24.74</v>
      </c>
      <c r="AP36" s="9">
        <v>80</v>
      </c>
      <c r="AQ36" s="12">
        <v>1</v>
      </c>
      <c r="AR36" s="9">
        <v>39.88453</v>
      </c>
      <c r="AS36" s="9">
        <v>39.88</v>
      </c>
      <c r="AT36" s="9">
        <v>270</v>
      </c>
      <c r="AU36" s="9"/>
      <c r="AV36" s="9">
        <v>0</v>
      </c>
      <c r="AW36" s="9" t="s">
        <v>1669</v>
      </c>
      <c r="AX36" s="9">
        <v>46212</v>
      </c>
      <c r="AY36" s="9" t="s">
        <v>1670</v>
      </c>
      <c r="AZ36" s="9" t="s">
        <v>1724</v>
      </c>
      <c r="BA36" s="9">
        <v>46190</v>
      </c>
      <c r="BB36" s="9" t="s">
        <v>1624</v>
      </c>
      <c r="BC36" s="9" t="s">
        <v>1725</v>
      </c>
      <c r="BD36" s="9" t="s">
        <v>1566</v>
      </c>
      <c r="BE36" s="13">
        <v>39.88453</v>
      </c>
      <c r="BF36" s="13">
        <v>39.88</v>
      </c>
      <c r="BG36" s="12">
        <v>1</v>
      </c>
      <c r="BH36" s="9">
        <v>39.88453</v>
      </c>
      <c r="BI36" s="9" t="s">
        <v>1567</v>
      </c>
    </row>
    <row r="37" ht="25" customHeight="1" spans="1:61">
      <c r="A37" s="9">
        <v>36</v>
      </c>
      <c r="B37" s="9" t="s">
        <v>1726</v>
      </c>
      <c r="C37" s="9" t="s">
        <v>1727</v>
      </c>
      <c r="D37" s="9" t="s">
        <v>1728</v>
      </c>
      <c r="E37" s="10">
        <v>44432</v>
      </c>
      <c r="F37" s="9">
        <v>5.0376</v>
      </c>
      <c r="G37" s="9" t="s">
        <v>1561</v>
      </c>
      <c r="H37" s="9" t="s">
        <v>542</v>
      </c>
      <c r="I37" s="9">
        <v>60</v>
      </c>
      <c r="J37" s="9" t="s">
        <v>1562</v>
      </c>
      <c r="K37" s="9">
        <v>100</v>
      </c>
      <c r="L37" s="9">
        <v>100</v>
      </c>
      <c r="M37" s="11">
        <v>0.2053</v>
      </c>
      <c r="N37" s="11">
        <v>0.086</v>
      </c>
      <c r="O37" s="11"/>
      <c r="P37" s="11">
        <v>0.0308539979812388</v>
      </c>
      <c r="Q37" s="9">
        <v>89.14</v>
      </c>
      <c r="R37" s="9">
        <v>17.14</v>
      </c>
      <c r="S37" s="9">
        <v>60.34</v>
      </c>
      <c r="T37" s="11">
        <v>0.5385</v>
      </c>
      <c r="U37" s="11">
        <v>0.5278</v>
      </c>
      <c r="V37" s="11">
        <v>0.522004166666667</v>
      </c>
      <c r="W37" s="9">
        <v>53.85</v>
      </c>
      <c r="X37" s="9">
        <v>52.2004166666667</v>
      </c>
      <c r="Y37" s="9">
        <v>53.19</v>
      </c>
      <c r="Z37" s="9">
        <v>0.200331772053084</v>
      </c>
      <c r="AA37" s="9">
        <v>0.2004</v>
      </c>
      <c r="AB37" s="9">
        <v>0.2004</v>
      </c>
      <c r="AC37" s="9">
        <v>9.94</v>
      </c>
      <c r="AD37" s="9">
        <v>1.0248</v>
      </c>
      <c r="AE37" s="9"/>
      <c r="AF37" s="9"/>
      <c r="AG37" s="9">
        <v>32.32</v>
      </c>
      <c r="AH37" s="9"/>
      <c r="AI37" s="9">
        <v>32.32</v>
      </c>
      <c r="AJ37" s="9">
        <v>0.086</v>
      </c>
      <c r="AK37" s="9">
        <v>100</v>
      </c>
      <c r="AL37" s="9">
        <v>84</v>
      </c>
      <c r="AM37" s="9">
        <v>58.2</v>
      </c>
      <c r="AN37" s="9">
        <v>9.94</v>
      </c>
      <c r="AO37" s="9">
        <v>32.32</v>
      </c>
      <c r="AP37" s="9">
        <v>100</v>
      </c>
      <c r="AQ37" s="12">
        <v>0.88</v>
      </c>
      <c r="AR37" s="9">
        <v>42.54161</v>
      </c>
      <c r="AS37" s="9">
        <v>48.34</v>
      </c>
      <c r="AT37" s="9">
        <v>229</v>
      </c>
      <c r="AU37" s="9" t="s">
        <v>1563</v>
      </c>
      <c r="AV37" s="9">
        <v>0</v>
      </c>
      <c r="AW37" s="9" t="s">
        <v>1729</v>
      </c>
      <c r="AX37" s="9">
        <v>46062</v>
      </c>
      <c r="AY37" s="9" t="s">
        <v>1730</v>
      </c>
      <c r="AZ37" s="9" t="s">
        <v>1731</v>
      </c>
      <c r="BA37" s="9">
        <v>45743</v>
      </c>
      <c r="BB37" s="9" t="s">
        <v>785</v>
      </c>
      <c r="BC37" s="9" t="s">
        <v>1732</v>
      </c>
      <c r="BD37" s="9" t="s">
        <v>1566</v>
      </c>
      <c r="BE37" s="13"/>
      <c r="BF37" s="13">
        <v>48.34</v>
      </c>
      <c r="BG37" s="12">
        <v>0.88</v>
      </c>
      <c r="BH37" s="9">
        <v>42.54161</v>
      </c>
      <c r="BI37" s="9" t="s">
        <v>1567</v>
      </c>
    </row>
    <row r="38" ht="25" customHeight="1" spans="1:61">
      <c r="A38" s="9">
        <v>37</v>
      </c>
      <c r="B38" s="9" t="s">
        <v>1733</v>
      </c>
      <c r="C38" s="9" t="s">
        <v>1734</v>
      </c>
      <c r="D38" s="9" t="s">
        <v>1668</v>
      </c>
      <c r="E38" s="10">
        <v>44440</v>
      </c>
      <c r="F38" s="9">
        <v>5.0157</v>
      </c>
      <c r="G38" s="9" t="s">
        <v>1561</v>
      </c>
      <c r="H38" s="9" t="s">
        <v>542</v>
      </c>
      <c r="I38" s="9">
        <v>60</v>
      </c>
      <c r="J38" s="9" t="s">
        <v>1620</v>
      </c>
      <c r="K38" s="9">
        <v>0</v>
      </c>
      <c r="L38" s="9">
        <v>100</v>
      </c>
      <c r="M38" s="11">
        <v>0.1904</v>
      </c>
      <c r="N38" s="11">
        <v>0.0524</v>
      </c>
      <c r="O38" s="11"/>
      <c r="P38" s="11">
        <v>-0.0104794907502894</v>
      </c>
      <c r="Q38" s="9">
        <v>87.22</v>
      </c>
      <c r="R38" s="9">
        <v>2.38</v>
      </c>
      <c r="S38" s="9">
        <v>53.28</v>
      </c>
      <c r="T38" s="11">
        <v>0.3077</v>
      </c>
      <c r="U38" s="11">
        <v>0.3784</v>
      </c>
      <c r="V38" s="11">
        <v>0.416695833333333</v>
      </c>
      <c r="W38" s="9">
        <v>30.77</v>
      </c>
      <c r="X38" s="9">
        <v>41.6695833333333</v>
      </c>
      <c r="Y38" s="9">
        <v>35.13</v>
      </c>
      <c r="Z38" s="9">
        <v>0.116938950988822</v>
      </c>
      <c r="AA38" s="9">
        <v>0.1169</v>
      </c>
      <c r="AB38" s="9">
        <v>0.116938950988822</v>
      </c>
      <c r="AC38" s="9">
        <v>22.44</v>
      </c>
      <c r="AD38" s="9">
        <v>1.6282</v>
      </c>
      <c r="AE38" s="9"/>
      <c r="AF38" s="9"/>
      <c r="AG38" s="9">
        <v>37.94</v>
      </c>
      <c r="AH38" s="9"/>
      <c r="AI38" s="9">
        <v>37.94</v>
      </c>
      <c r="AJ38" s="9">
        <v>0.0524</v>
      </c>
      <c r="AK38" s="9">
        <v>100</v>
      </c>
      <c r="AL38" s="9">
        <v>54</v>
      </c>
      <c r="AM38" s="9">
        <v>47.84</v>
      </c>
      <c r="AN38" s="9">
        <v>22.44</v>
      </c>
      <c r="AO38" s="9">
        <v>37.94</v>
      </c>
      <c r="AP38" s="9">
        <v>100</v>
      </c>
      <c r="AQ38" s="12">
        <v>0.88</v>
      </c>
      <c r="AR38" s="9">
        <v>40.10675</v>
      </c>
      <c r="AS38" s="9">
        <v>45.58</v>
      </c>
      <c r="AT38" s="9">
        <v>245</v>
      </c>
      <c r="AU38" s="9" t="s">
        <v>1563</v>
      </c>
      <c r="AV38" s="9">
        <v>0</v>
      </c>
      <c r="AW38" s="9" t="s">
        <v>1669</v>
      </c>
      <c r="AX38" s="9">
        <v>46212</v>
      </c>
      <c r="AY38" s="9" t="s">
        <v>1670</v>
      </c>
      <c r="AZ38" s="9" t="s">
        <v>1735</v>
      </c>
      <c r="BA38" s="9">
        <v>45832</v>
      </c>
      <c r="BB38" s="9" t="s">
        <v>1624</v>
      </c>
      <c r="BC38" s="9" t="s">
        <v>1736</v>
      </c>
      <c r="BD38" s="9" t="s">
        <v>1566</v>
      </c>
      <c r="BE38" s="13"/>
      <c r="BF38" s="13">
        <v>45.58</v>
      </c>
      <c r="BG38" s="12">
        <v>0.88</v>
      </c>
      <c r="BH38" s="9">
        <v>40.10675</v>
      </c>
      <c r="BI38" s="9" t="s">
        <v>1567</v>
      </c>
    </row>
    <row r="39" ht="25" customHeight="1" spans="1:61">
      <c r="A39" s="9">
        <v>38</v>
      </c>
      <c r="B39" s="9" t="s">
        <v>1737</v>
      </c>
      <c r="C39" s="9" t="s">
        <v>1738</v>
      </c>
      <c r="D39" s="9" t="s">
        <v>1739</v>
      </c>
      <c r="E39" s="10">
        <v>44447</v>
      </c>
      <c r="F39" s="9">
        <v>4.9966</v>
      </c>
      <c r="G39" s="9" t="s">
        <v>1561</v>
      </c>
      <c r="H39" s="9" t="s">
        <v>542</v>
      </c>
      <c r="I39" s="9">
        <v>60</v>
      </c>
      <c r="J39" s="9" t="s">
        <v>1562</v>
      </c>
      <c r="K39" s="9">
        <v>100</v>
      </c>
      <c r="L39" s="9">
        <v>100</v>
      </c>
      <c r="M39" s="11">
        <v>0.0218</v>
      </c>
      <c r="N39" s="11">
        <v>0.0306</v>
      </c>
      <c r="O39" s="11"/>
      <c r="P39" s="11">
        <v>0.0350283797717159</v>
      </c>
      <c r="Q39" s="9">
        <v>23.16</v>
      </c>
      <c r="R39" s="9">
        <v>18.57</v>
      </c>
      <c r="S39" s="9">
        <v>21.32</v>
      </c>
      <c r="T39" s="11">
        <v>0.6154</v>
      </c>
      <c r="U39" s="11">
        <v>0.7027</v>
      </c>
      <c r="V39" s="11">
        <v>0.7499875</v>
      </c>
      <c r="W39" s="9">
        <v>61.54</v>
      </c>
      <c r="X39" s="9">
        <v>74.99875</v>
      </c>
      <c r="Y39" s="9">
        <v>66.92</v>
      </c>
      <c r="Z39" s="9">
        <v>0.0288741721854305</v>
      </c>
      <c r="AA39" s="9">
        <v>0.0464</v>
      </c>
      <c r="AB39" s="9">
        <v>0.0464</v>
      </c>
      <c r="AC39" s="9">
        <v>45.83</v>
      </c>
      <c r="AD39" s="9">
        <v>0.755</v>
      </c>
      <c r="AE39" s="9">
        <v>0.0464</v>
      </c>
      <c r="AF39" s="9">
        <v>0.754921977838705</v>
      </c>
      <c r="AG39" s="9">
        <v>27.65</v>
      </c>
      <c r="AH39" s="9">
        <v>25.53</v>
      </c>
      <c r="AI39" s="9">
        <v>26.8</v>
      </c>
      <c r="AJ39" s="9">
        <v>0.0306</v>
      </c>
      <c r="AK39" s="9">
        <v>80</v>
      </c>
      <c r="AL39" s="9">
        <v>84</v>
      </c>
      <c r="AM39" s="9">
        <v>35</v>
      </c>
      <c r="AN39" s="9">
        <v>45.83</v>
      </c>
      <c r="AO39" s="9">
        <v>26.8</v>
      </c>
      <c r="AP39" s="9">
        <v>80</v>
      </c>
      <c r="AQ39" s="12">
        <v>1</v>
      </c>
      <c r="AR39" s="9">
        <v>47.09887</v>
      </c>
      <c r="AS39" s="9">
        <v>47.1</v>
      </c>
      <c r="AT39" s="9">
        <v>234</v>
      </c>
      <c r="AU39" s="9"/>
      <c r="AV39" s="9">
        <v>0</v>
      </c>
      <c r="AW39" s="9" t="s">
        <v>1740</v>
      </c>
      <c r="AX39" s="9">
        <v>46037</v>
      </c>
      <c r="AY39" s="9" t="s">
        <v>1741</v>
      </c>
      <c r="AZ39" s="9" t="s">
        <v>1742</v>
      </c>
      <c r="BA39" s="9">
        <v>45729</v>
      </c>
      <c r="BB39" s="9" t="s">
        <v>785</v>
      </c>
      <c r="BC39" s="9" t="s">
        <v>1743</v>
      </c>
      <c r="BD39" s="9" t="s">
        <v>1566</v>
      </c>
      <c r="BE39" s="13">
        <v>47.09887</v>
      </c>
      <c r="BF39" s="13">
        <v>47.1</v>
      </c>
      <c r="BG39" s="12">
        <v>1</v>
      </c>
      <c r="BH39" s="9">
        <v>47.09887</v>
      </c>
      <c r="BI39" s="9" t="s">
        <v>1567</v>
      </c>
    </row>
    <row r="40" ht="25" customHeight="1" spans="1:61">
      <c r="A40" s="9">
        <v>39</v>
      </c>
      <c r="B40" s="9" t="s">
        <v>1744</v>
      </c>
      <c r="C40" s="9" t="s">
        <v>1745</v>
      </c>
      <c r="D40" s="9" t="s">
        <v>256</v>
      </c>
      <c r="E40" s="10">
        <v>44462</v>
      </c>
      <c r="F40" s="9">
        <v>4.9555</v>
      </c>
      <c r="G40" s="9" t="s">
        <v>1561</v>
      </c>
      <c r="H40" s="9" t="s">
        <v>546</v>
      </c>
      <c r="I40" s="9">
        <v>70</v>
      </c>
      <c r="J40" s="9" t="s">
        <v>1562</v>
      </c>
      <c r="K40" s="9">
        <v>100</v>
      </c>
      <c r="L40" s="9">
        <v>100</v>
      </c>
      <c r="M40" s="11">
        <v>0.111</v>
      </c>
      <c r="N40" s="11">
        <v>0.0506</v>
      </c>
      <c r="O40" s="11"/>
      <c r="P40" s="11">
        <v>0.0216427683828722</v>
      </c>
      <c r="Q40" s="9">
        <v>76.36</v>
      </c>
      <c r="R40" s="9">
        <v>8.57</v>
      </c>
      <c r="S40" s="9">
        <v>49.24</v>
      </c>
      <c r="T40" s="11">
        <v>0.8462</v>
      </c>
      <c r="U40" s="11">
        <v>0.7222</v>
      </c>
      <c r="V40" s="11">
        <v>0.655033333333333</v>
      </c>
      <c r="W40" s="9">
        <v>84.62</v>
      </c>
      <c r="X40" s="9">
        <v>65.5033333333333</v>
      </c>
      <c r="Y40" s="9">
        <v>76.97</v>
      </c>
      <c r="Z40" s="9">
        <v>0.0142943608102713</v>
      </c>
      <c r="AA40" s="9">
        <v>0.0543</v>
      </c>
      <c r="AB40" s="9">
        <v>0.0543</v>
      </c>
      <c r="AC40" s="9">
        <v>41.83</v>
      </c>
      <c r="AD40" s="9">
        <v>7.7653</v>
      </c>
      <c r="AE40" s="9">
        <v>0.0543</v>
      </c>
      <c r="AF40" s="9">
        <v>0.398577686609064</v>
      </c>
      <c r="AG40" s="9">
        <v>73.63</v>
      </c>
      <c r="AH40" s="9">
        <v>15.6</v>
      </c>
      <c r="AI40" s="9">
        <v>50.42</v>
      </c>
      <c r="AJ40" s="9">
        <v>0.0506</v>
      </c>
      <c r="AK40" s="9">
        <v>100</v>
      </c>
      <c r="AL40" s="9">
        <v>88</v>
      </c>
      <c r="AM40" s="9">
        <v>57.56</v>
      </c>
      <c r="AN40" s="9">
        <v>41.83</v>
      </c>
      <c r="AO40" s="9">
        <v>50.42</v>
      </c>
      <c r="AP40" s="9">
        <v>100</v>
      </c>
      <c r="AQ40" s="12">
        <v>1</v>
      </c>
      <c r="AR40" s="9">
        <v>60.29546</v>
      </c>
      <c r="AS40" s="9">
        <v>60.3</v>
      </c>
      <c r="AT40" s="9">
        <v>155</v>
      </c>
      <c r="AU40" s="9"/>
      <c r="AV40" s="9">
        <v>5</v>
      </c>
      <c r="AW40" s="9" t="s">
        <v>1334</v>
      </c>
      <c r="AX40" s="9">
        <v>46092</v>
      </c>
      <c r="AY40" s="9" t="s">
        <v>1336</v>
      </c>
      <c r="AZ40" s="9" t="s">
        <v>1746</v>
      </c>
      <c r="BA40" s="9">
        <v>46230</v>
      </c>
      <c r="BB40" s="9" t="s">
        <v>785</v>
      </c>
      <c r="BC40" s="9" t="s">
        <v>1747</v>
      </c>
      <c r="BD40" s="9" t="s">
        <v>1566</v>
      </c>
      <c r="BE40" s="13">
        <v>60.29546</v>
      </c>
      <c r="BF40" s="13">
        <v>60.3</v>
      </c>
      <c r="BG40" s="12">
        <v>1</v>
      </c>
      <c r="BH40" s="9">
        <v>60.29546</v>
      </c>
      <c r="BI40" s="9" t="s">
        <v>1567</v>
      </c>
    </row>
    <row r="41" ht="25" customHeight="1" spans="1:61">
      <c r="A41" s="9">
        <v>40</v>
      </c>
      <c r="B41" s="9" t="s">
        <v>254</v>
      </c>
      <c r="C41" s="9" t="s">
        <v>255</v>
      </c>
      <c r="D41" s="9" t="s">
        <v>256</v>
      </c>
      <c r="E41" s="10">
        <v>44489</v>
      </c>
      <c r="F41" s="9">
        <v>4.8816</v>
      </c>
      <c r="G41" s="9" t="s">
        <v>1561</v>
      </c>
      <c r="H41" s="9" t="s">
        <v>546</v>
      </c>
      <c r="I41" s="9">
        <v>70</v>
      </c>
      <c r="J41" s="9" t="s">
        <v>1562</v>
      </c>
      <c r="K41" s="9">
        <v>100</v>
      </c>
      <c r="L41" s="9">
        <v>100</v>
      </c>
      <c r="M41" s="11">
        <v>0.0859</v>
      </c>
      <c r="N41" s="11">
        <v>0.0507</v>
      </c>
      <c r="O41" s="11"/>
      <c r="P41" s="11">
        <v>0.0335302249518994</v>
      </c>
      <c r="Q41" s="9">
        <v>65.81</v>
      </c>
      <c r="R41" s="9">
        <v>17.62</v>
      </c>
      <c r="S41" s="9">
        <v>46.53</v>
      </c>
      <c r="T41" s="11">
        <v>0.7692</v>
      </c>
      <c r="U41" s="11">
        <v>0.75</v>
      </c>
      <c r="V41" s="11">
        <v>0.7396</v>
      </c>
      <c r="W41" s="9">
        <v>76.92</v>
      </c>
      <c r="X41" s="9">
        <v>73.96</v>
      </c>
      <c r="Y41" s="9">
        <v>75.74</v>
      </c>
      <c r="Z41" s="9">
        <v>0.00439926252176585</v>
      </c>
      <c r="AA41" s="9">
        <v>0.013</v>
      </c>
      <c r="AB41" s="9">
        <v>0.013</v>
      </c>
      <c r="AC41" s="9">
        <v>80.45</v>
      </c>
      <c r="AD41" s="9">
        <v>19.526</v>
      </c>
      <c r="AE41" s="9">
        <v>0.013</v>
      </c>
      <c r="AF41" s="9">
        <v>2.57924807322303</v>
      </c>
      <c r="AG41" s="9">
        <v>89.39</v>
      </c>
      <c r="AH41" s="9">
        <v>70.21</v>
      </c>
      <c r="AI41" s="9">
        <v>81.72</v>
      </c>
      <c r="AJ41" s="9">
        <v>0.0507</v>
      </c>
      <c r="AK41" s="9">
        <v>100</v>
      </c>
      <c r="AL41" s="9">
        <v>88</v>
      </c>
      <c r="AM41" s="9">
        <v>55.29</v>
      </c>
      <c r="AN41" s="9">
        <v>80.45</v>
      </c>
      <c r="AO41" s="9">
        <v>81.72</v>
      </c>
      <c r="AP41" s="9">
        <v>100</v>
      </c>
      <c r="AQ41" s="12">
        <v>1</v>
      </c>
      <c r="AR41" s="9">
        <v>78.88682</v>
      </c>
      <c r="AS41" s="9">
        <v>78.89</v>
      </c>
      <c r="AT41" s="9">
        <v>54</v>
      </c>
      <c r="AU41" s="9"/>
      <c r="AV41" s="9">
        <v>5</v>
      </c>
      <c r="AW41" s="9" t="s">
        <v>1334</v>
      </c>
      <c r="AX41" s="9">
        <v>46092</v>
      </c>
      <c r="AY41" s="9" t="s">
        <v>1336</v>
      </c>
      <c r="AZ41" s="9" t="s">
        <v>1748</v>
      </c>
      <c r="BA41" s="9">
        <v>46230</v>
      </c>
      <c r="BB41" s="9" t="s">
        <v>785</v>
      </c>
      <c r="BC41" s="9" t="s">
        <v>904</v>
      </c>
      <c r="BD41" s="9" t="s">
        <v>1566</v>
      </c>
      <c r="BE41" s="13">
        <v>78.88682</v>
      </c>
      <c r="BF41" s="13">
        <v>78.89</v>
      </c>
      <c r="BG41" s="12">
        <v>1</v>
      </c>
      <c r="BH41" s="9">
        <v>78.88682</v>
      </c>
      <c r="BI41" s="9" t="s">
        <v>1567</v>
      </c>
    </row>
    <row r="42" ht="25" customHeight="1" spans="1:61">
      <c r="A42" s="9">
        <v>41</v>
      </c>
      <c r="B42" s="9" t="s">
        <v>1749</v>
      </c>
      <c r="C42" s="9" t="s">
        <v>1750</v>
      </c>
      <c r="D42" s="9" t="s">
        <v>1751</v>
      </c>
      <c r="E42" s="10">
        <v>44526</v>
      </c>
      <c r="F42" s="9">
        <v>4.7803</v>
      </c>
      <c r="G42" s="9" t="s">
        <v>1561</v>
      </c>
      <c r="H42" s="9" t="s">
        <v>542</v>
      </c>
      <c r="I42" s="9">
        <v>60</v>
      </c>
      <c r="J42" s="9" t="s">
        <v>1562</v>
      </c>
      <c r="K42" s="9">
        <v>100</v>
      </c>
      <c r="L42" s="9">
        <v>100</v>
      </c>
      <c r="M42" s="11">
        <v>-0.0897</v>
      </c>
      <c r="N42" s="11">
        <v>0.0181</v>
      </c>
      <c r="O42" s="11"/>
      <c r="P42" s="11">
        <v>0.0766967070176074</v>
      </c>
      <c r="Q42" s="9">
        <v>4.79</v>
      </c>
      <c r="R42" s="9">
        <v>57.14</v>
      </c>
      <c r="S42" s="9">
        <v>25.73</v>
      </c>
      <c r="T42" s="11">
        <v>0.3077</v>
      </c>
      <c r="U42" s="11">
        <v>0.4595</v>
      </c>
      <c r="V42" s="11">
        <v>0.541725</v>
      </c>
      <c r="W42" s="9">
        <v>30.77</v>
      </c>
      <c r="X42" s="9">
        <v>54.1725</v>
      </c>
      <c r="Y42" s="9">
        <v>40.13</v>
      </c>
      <c r="Z42" s="9">
        <v>0.104120719674985</v>
      </c>
      <c r="AA42" s="9">
        <v>0.1042</v>
      </c>
      <c r="AB42" s="9">
        <v>0.1042</v>
      </c>
      <c r="AC42" s="9">
        <v>25</v>
      </c>
      <c r="AD42" s="9">
        <v>-0.8615</v>
      </c>
      <c r="AE42" s="9"/>
      <c r="AF42" s="9"/>
      <c r="AG42" s="9">
        <v>1.29</v>
      </c>
      <c r="AH42" s="9"/>
      <c r="AI42" s="9">
        <v>1.29</v>
      </c>
      <c r="AJ42" s="9">
        <v>0.0181</v>
      </c>
      <c r="AK42" s="9">
        <v>80</v>
      </c>
      <c r="AL42" s="9">
        <v>84</v>
      </c>
      <c r="AM42" s="9">
        <v>30.05</v>
      </c>
      <c r="AN42" s="9">
        <v>25</v>
      </c>
      <c r="AO42" s="9">
        <v>1.29</v>
      </c>
      <c r="AP42" s="9">
        <v>80</v>
      </c>
      <c r="AQ42" s="12">
        <v>0.88</v>
      </c>
      <c r="AR42" s="9">
        <v>33.09226</v>
      </c>
      <c r="AS42" s="9">
        <v>37.6</v>
      </c>
      <c r="AT42" s="9">
        <v>275</v>
      </c>
      <c r="AU42" s="9" t="s">
        <v>1563</v>
      </c>
      <c r="AV42" s="9">
        <v>0</v>
      </c>
      <c r="AW42" s="9" t="s">
        <v>1752</v>
      </c>
      <c r="AX42" s="9">
        <v>46065</v>
      </c>
      <c r="AY42" s="9" t="s">
        <v>1753</v>
      </c>
      <c r="AZ42" s="9" t="s">
        <v>1754</v>
      </c>
      <c r="BA42" s="9">
        <v>46014</v>
      </c>
      <c r="BB42" s="9" t="s">
        <v>785</v>
      </c>
      <c r="BC42" s="9" t="s">
        <v>1755</v>
      </c>
      <c r="BD42" s="9" t="s">
        <v>1566</v>
      </c>
      <c r="BE42" s="13"/>
      <c r="BF42" s="13">
        <v>37.6</v>
      </c>
      <c r="BG42" s="12">
        <v>0.88</v>
      </c>
      <c r="BH42" s="9">
        <v>33.09226</v>
      </c>
      <c r="BI42" s="9" t="s">
        <v>1567</v>
      </c>
    </row>
    <row r="43" ht="25" customHeight="1" spans="1:61">
      <c r="A43" s="9">
        <v>42</v>
      </c>
      <c r="B43" s="9" t="s">
        <v>1756</v>
      </c>
      <c r="C43" s="9" t="s">
        <v>1757</v>
      </c>
      <c r="D43" s="9" t="s">
        <v>219</v>
      </c>
      <c r="E43" s="10">
        <v>44543</v>
      </c>
      <c r="F43" s="9">
        <v>4.7337</v>
      </c>
      <c r="G43" s="9" t="s">
        <v>1561</v>
      </c>
      <c r="H43" s="9" t="s">
        <v>546</v>
      </c>
      <c r="I43" s="9">
        <v>70</v>
      </c>
      <c r="J43" s="9" t="s">
        <v>1562</v>
      </c>
      <c r="K43" s="9">
        <v>100</v>
      </c>
      <c r="L43" s="9">
        <v>100</v>
      </c>
      <c r="M43" s="11">
        <v>0.0976</v>
      </c>
      <c r="N43" s="11">
        <v>0.0847</v>
      </c>
      <c r="O43" s="11"/>
      <c r="P43" s="11">
        <v>0.0783069665903766</v>
      </c>
      <c r="Q43" s="9">
        <v>72.84</v>
      </c>
      <c r="R43" s="9">
        <v>58.1</v>
      </c>
      <c r="S43" s="9">
        <v>66.94</v>
      </c>
      <c r="T43" s="11">
        <v>0.5385</v>
      </c>
      <c r="U43" s="11">
        <v>0.6757</v>
      </c>
      <c r="V43" s="11">
        <v>0.750016666666667</v>
      </c>
      <c r="W43" s="9">
        <v>53.85</v>
      </c>
      <c r="X43" s="9">
        <v>75.0016666666667</v>
      </c>
      <c r="Y43" s="9">
        <v>62.31</v>
      </c>
      <c r="Z43" s="9">
        <v>0.0257506200200517</v>
      </c>
      <c r="AA43" s="9">
        <v>0.0322</v>
      </c>
      <c r="AB43" s="9">
        <v>0.0322</v>
      </c>
      <c r="AC43" s="9">
        <v>57.37</v>
      </c>
      <c r="AD43" s="9">
        <v>3.7902</v>
      </c>
      <c r="AE43" s="9">
        <v>0.0322</v>
      </c>
      <c r="AF43" s="9">
        <v>2.43189337237194</v>
      </c>
      <c r="AG43" s="9">
        <v>59.16</v>
      </c>
      <c r="AH43" s="9">
        <v>68.09</v>
      </c>
      <c r="AI43" s="9">
        <v>62.73</v>
      </c>
      <c r="AJ43" s="9">
        <v>0.0847</v>
      </c>
      <c r="AK43" s="9">
        <v>100</v>
      </c>
      <c r="AL43" s="9">
        <v>88</v>
      </c>
      <c r="AM43" s="9">
        <v>65.55</v>
      </c>
      <c r="AN43" s="9">
        <v>57.37</v>
      </c>
      <c r="AO43" s="9">
        <v>62.73</v>
      </c>
      <c r="AP43" s="9">
        <v>100</v>
      </c>
      <c r="AQ43" s="12">
        <v>1</v>
      </c>
      <c r="AR43" s="9">
        <v>69.4729</v>
      </c>
      <c r="AS43" s="9">
        <v>69.47</v>
      </c>
      <c r="AT43" s="9">
        <v>106</v>
      </c>
      <c r="AU43" s="9"/>
      <c r="AV43" s="9">
        <v>5</v>
      </c>
      <c r="AW43" s="9" t="s">
        <v>1313</v>
      </c>
      <c r="AX43" s="9">
        <v>46224</v>
      </c>
      <c r="AY43" s="9" t="s">
        <v>1317</v>
      </c>
      <c r="AZ43" s="9" t="s">
        <v>1758</v>
      </c>
      <c r="BA43" s="9">
        <v>45873</v>
      </c>
      <c r="BB43" s="9" t="s">
        <v>785</v>
      </c>
      <c r="BC43" s="9" t="s">
        <v>1759</v>
      </c>
      <c r="BD43" s="9" t="s">
        <v>1566</v>
      </c>
      <c r="BE43" s="13">
        <v>69.4729</v>
      </c>
      <c r="BF43" s="13">
        <v>69.47</v>
      </c>
      <c r="BG43" s="12">
        <v>1</v>
      </c>
      <c r="BH43" s="9">
        <v>69.4729</v>
      </c>
      <c r="BI43" s="9" t="s">
        <v>1567</v>
      </c>
    </row>
    <row r="44" ht="25" customHeight="1" spans="1:61">
      <c r="A44" s="9">
        <v>43</v>
      </c>
      <c r="B44" s="9" t="s">
        <v>69</v>
      </c>
      <c r="C44" s="9" t="s">
        <v>72</v>
      </c>
      <c r="D44" s="9" t="s">
        <v>73</v>
      </c>
      <c r="E44" s="10">
        <v>44624</v>
      </c>
      <c r="F44" s="9">
        <v>4.512</v>
      </c>
      <c r="G44" s="9" t="s">
        <v>1561</v>
      </c>
      <c r="H44" s="9" t="s">
        <v>572</v>
      </c>
      <c r="I44" s="9">
        <v>100</v>
      </c>
      <c r="J44" s="9" t="s">
        <v>1562</v>
      </c>
      <c r="K44" s="9">
        <v>100</v>
      </c>
      <c r="L44" s="9">
        <v>100</v>
      </c>
      <c r="M44" s="11">
        <v>0.1503</v>
      </c>
      <c r="N44" s="11">
        <v>0.1679</v>
      </c>
      <c r="O44" s="11"/>
      <c r="P44" s="11">
        <v>0.176800726307733</v>
      </c>
      <c r="Q44" s="9">
        <v>84.66</v>
      </c>
      <c r="R44" s="9">
        <v>89.52</v>
      </c>
      <c r="S44" s="9">
        <v>86.6</v>
      </c>
      <c r="T44" s="11">
        <v>0.8462</v>
      </c>
      <c r="U44" s="11">
        <v>0.8649</v>
      </c>
      <c r="V44" s="11">
        <v>0.875029166666667</v>
      </c>
      <c r="W44" s="9">
        <v>84.62</v>
      </c>
      <c r="X44" s="9">
        <v>87.5029166666667</v>
      </c>
      <c r="Y44" s="9">
        <v>85.77</v>
      </c>
      <c r="Z44" s="9">
        <v>0.0215203104193812</v>
      </c>
      <c r="AA44" s="9">
        <v>0.0223</v>
      </c>
      <c r="AB44" s="9">
        <v>0.0223</v>
      </c>
      <c r="AC44" s="9">
        <v>69.87</v>
      </c>
      <c r="AD44" s="9">
        <v>6.9841</v>
      </c>
      <c r="AE44" s="9">
        <v>0.0223</v>
      </c>
      <c r="AF44" s="9">
        <v>7.92828369092972</v>
      </c>
      <c r="AG44" s="9">
        <v>71.38</v>
      </c>
      <c r="AH44" s="9">
        <v>87.94</v>
      </c>
      <c r="AI44" s="9">
        <v>78</v>
      </c>
      <c r="AJ44" s="9">
        <v>0.1679</v>
      </c>
      <c r="AK44" s="9">
        <v>80</v>
      </c>
      <c r="AL44" s="9">
        <v>100</v>
      </c>
      <c r="AM44" s="9">
        <v>86.35</v>
      </c>
      <c r="AN44" s="9">
        <v>69.87</v>
      </c>
      <c r="AO44" s="9">
        <v>78</v>
      </c>
      <c r="AP44" s="9">
        <v>80</v>
      </c>
      <c r="AQ44" s="12">
        <v>1</v>
      </c>
      <c r="AR44" s="9">
        <v>81.13965</v>
      </c>
      <c r="AS44" s="9">
        <v>81.14</v>
      </c>
      <c r="AT44" s="9">
        <v>42</v>
      </c>
      <c r="AU44" s="9"/>
      <c r="AV44" s="9">
        <v>100</v>
      </c>
      <c r="AW44" s="9" t="s">
        <v>1253</v>
      </c>
      <c r="AX44" s="9">
        <v>46063</v>
      </c>
      <c r="AY44" s="9" t="s">
        <v>1255</v>
      </c>
      <c r="AZ44" s="9" t="s">
        <v>1760</v>
      </c>
      <c r="BA44" s="9">
        <v>46197</v>
      </c>
      <c r="BB44" s="9" t="s">
        <v>785</v>
      </c>
      <c r="BC44" s="9" t="s">
        <v>842</v>
      </c>
      <c r="BD44" s="9" t="s">
        <v>1566</v>
      </c>
      <c r="BE44" s="13">
        <v>81.13965</v>
      </c>
      <c r="BF44" s="13">
        <v>81.14</v>
      </c>
      <c r="BG44" s="12">
        <v>1</v>
      </c>
      <c r="BH44" s="9">
        <v>81.13965</v>
      </c>
      <c r="BI44" s="9" t="s">
        <v>1567</v>
      </c>
    </row>
    <row r="45" ht="25" customHeight="1" spans="1:61">
      <c r="A45" s="9">
        <v>44</v>
      </c>
      <c r="B45" s="9" t="s">
        <v>1761</v>
      </c>
      <c r="C45" s="9" t="s">
        <v>1762</v>
      </c>
      <c r="D45" s="9" t="s">
        <v>1763</v>
      </c>
      <c r="E45" s="10">
        <v>44617</v>
      </c>
      <c r="F45" s="9">
        <v>4.5311</v>
      </c>
      <c r="G45" s="9" t="s">
        <v>1561</v>
      </c>
      <c r="H45" s="9" t="s">
        <v>542</v>
      </c>
      <c r="I45" s="9">
        <v>60</v>
      </c>
      <c r="J45" s="9" t="s">
        <v>1562</v>
      </c>
      <c r="K45" s="9">
        <v>100</v>
      </c>
      <c r="L45" s="9">
        <v>100</v>
      </c>
      <c r="M45" s="11">
        <v>0.0309</v>
      </c>
      <c r="N45" s="11">
        <v>0.0508</v>
      </c>
      <c r="O45" s="11"/>
      <c r="P45" s="11">
        <v>0.0608935923962537</v>
      </c>
      <c r="Q45" s="9">
        <v>27.96</v>
      </c>
      <c r="R45" s="9">
        <v>45.24</v>
      </c>
      <c r="S45" s="9">
        <v>34.87</v>
      </c>
      <c r="T45" s="11">
        <v>0.6923</v>
      </c>
      <c r="U45" s="11">
        <v>0.7222</v>
      </c>
      <c r="V45" s="11">
        <v>0.738395833333333</v>
      </c>
      <c r="W45" s="9">
        <v>69.23</v>
      </c>
      <c r="X45" s="9">
        <v>73.8395833333333</v>
      </c>
      <c r="Y45" s="9">
        <v>71.07</v>
      </c>
      <c r="Z45" s="9">
        <v>0.190270935960591</v>
      </c>
      <c r="AA45" s="9">
        <v>0.1904</v>
      </c>
      <c r="AB45" s="9">
        <v>0.1904</v>
      </c>
      <c r="AC45" s="9">
        <v>11.38</v>
      </c>
      <c r="AD45" s="9">
        <v>0.1624</v>
      </c>
      <c r="AE45" s="9">
        <v>0.1904</v>
      </c>
      <c r="AF45" s="9">
        <v>0.31981928779545</v>
      </c>
      <c r="AG45" s="9">
        <v>18.01</v>
      </c>
      <c r="AH45" s="9">
        <v>12.77</v>
      </c>
      <c r="AI45" s="9">
        <v>15.91</v>
      </c>
      <c r="AJ45" s="9">
        <v>0.0508</v>
      </c>
      <c r="AK45" s="9">
        <v>80</v>
      </c>
      <c r="AL45" s="9">
        <v>84</v>
      </c>
      <c r="AM45" s="9">
        <v>45.73</v>
      </c>
      <c r="AN45" s="9">
        <v>11.38</v>
      </c>
      <c r="AO45" s="9">
        <v>15.91</v>
      </c>
      <c r="AP45" s="9">
        <v>80</v>
      </c>
      <c r="AQ45" s="12">
        <v>1</v>
      </c>
      <c r="AR45" s="9">
        <v>37.36571</v>
      </c>
      <c r="AS45" s="9">
        <v>37.37</v>
      </c>
      <c r="AT45" s="9">
        <v>277</v>
      </c>
      <c r="AU45" s="9"/>
      <c r="AV45" s="9">
        <v>0</v>
      </c>
      <c r="AW45" s="9" t="s">
        <v>1764</v>
      </c>
      <c r="AX45" s="9">
        <v>46087</v>
      </c>
      <c r="AY45" s="9" t="s">
        <v>1765</v>
      </c>
      <c r="AZ45" s="9" t="s">
        <v>1766</v>
      </c>
      <c r="BA45" s="9">
        <v>46241</v>
      </c>
      <c r="BB45" s="9" t="s">
        <v>785</v>
      </c>
      <c r="BC45" s="9" t="s">
        <v>1767</v>
      </c>
      <c r="BD45" s="9" t="s">
        <v>1566</v>
      </c>
      <c r="BE45" s="13">
        <v>37.36571</v>
      </c>
      <c r="BF45" s="13">
        <v>37.37</v>
      </c>
      <c r="BG45" s="12">
        <v>1</v>
      </c>
      <c r="BH45" s="9">
        <v>37.36571</v>
      </c>
      <c r="BI45" s="9" t="s">
        <v>1567</v>
      </c>
    </row>
    <row r="46" ht="25" customHeight="1" spans="1:61">
      <c r="A46" s="9">
        <v>45</v>
      </c>
      <c r="B46" s="9" t="s">
        <v>1768</v>
      </c>
      <c r="C46" s="9" t="s">
        <v>1769</v>
      </c>
      <c r="D46" s="9" t="s">
        <v>430</v>
      </c>
      <c r="E46" s="10">
        <v>44671</v>
      </c>
      <c r="F46" s="9">
        <v>4.3833</v>
      </c>
      <c r="G46" s="9" t="s">
        <v>1561</v>
      </c>
      <c r="H46" s="9" t="s">
        <v>557</v>
      </c>
      <c r="I46" s="9">
        <v>90</v>
      </c>
      <c r="J46" s="9" t="s">
        <v>1562</v>
      </c>
      <c r="K46" s="9">
        <v>100</v>
      </c>
      <c r="L46" s="9">
        <v>100</v>
      </c>
      <c r="M46" s="11">
        <v>0.0635</v>
      </c>
      <c r="N46" s="11">
        <v>0.1057</v>
      </c>
      <c r="O46" s="11"/>
      <c r="P46" s="11">
        <v>0.127423848544567</v>
      </c>
      <c r="Q46" s="9">
        <v>49.84</v>
      </c>
      <c r="R46" s="9">
        <v>78.57</v>
      </c>
      <c r="S46" s="9">
        <v>61.33</v>
      </c>
      <c r="T46" s="11">
        <v>0.6923</v>
      </c>
      <c r="U46" s="11">
        <v>0.7222</v>
      </c>
      <c r="V46" s="11">
        <v>0.738395833333333</v>
      </c>
      <c r="W46" s="9">
        <v>69.23</v>
      </c>
      <c r="X46" s="9">
        <v>73.8395833333333</v>
      </c>
      <c r="Y46" s="9">
        <v>71.07</v>
      </c>
      <c r="Z46" s="9">
        <v>0.0356241234221599</v>
      </c>
      <c r="AA46" s="9">
        <v>0.083</v>
      </c>
      <c r="AB46" s="9">
        <v>0.083</v>
      </c>
      <c r="AC46" s="9">
        <v>29.81</v>
      </c>
      <c r="AD46" s="9">
        <v>1.7825</v>
      </c>
      <c r="AE46" s="9">
        <v>0.083</v>
      </c>
      <c r="AF46" s="9">
        <v>1.5352270908984</v>
      </c>
      <c r="AG46" s="9">
        <v>41.48</v>
      </c>
      <c r="AH46" s="9">
        <v>53.19</v>
      </c>
      <c r="AI46" s="9">
        <v>46.16</v>
      </c>
      <c r="AJ46" s="9">
        <v>0.1057</v>
      </c>
      <c r="AK46" s="9">
        <v>80</v>
      </c>
      <c r="AL46" s="9">
        <v>96</v>
      </c>
      <c r="AM46" s="9">
        <v>64.25</v>
      </c>
      <c r="AN46" s="9">
        <v>29.81</v>
      </c>
      <c r="AO46" s="9">
        <v>46.16</v>
      </c>
      <c r="AP46" s="9">
        <v>80</v>
      </c>
      <c r="AQ46" s="12">
        <v>1</v>
      </c>
      <c r="AR46" s="9">
        <v>56.55261</v>
      </c>
      <c r="AS46" s="9">
        <v>56.55</v>
      </c>
      <c r="AT46" s="9">
        <v>179</v>
      </c>
      <c r="AU46" s="9"/>
      <c r="AV46" s="9">
        <v>20</v>
      </c>
      <c r="AW46" s="9" t="s">
        <v>1405</v>
      </c>
      <c r="AX46" s="9">
        <v>46216</v>
      </c>
      <c r="AY46" s="9" t="s">
        <v>1407</v>
      </c>
      <c r="AZ46" s="9" t="s">
        <v>1770</v>
      </c>
      <c r="BA46" s="9">
        <v>45828</v>
      </c>
      <c r="BB46" s="9" t="s">
        <v>785</v>
      </c>
      <c r="BC46" s="9" t="s">
        <v>1771</v>
      </c>
      <c r="BD46" s="9" t="s">
        <v>1566</v>
      </c>
      <c r="BE46" s="13">
        <v>56.55261</v>
      </c>
      <c r="BF46" s="13">
        <v>56.55</v>
      </c>
      <c r="BG46" s="12">
        <v>1</v>
      </c>
      <c r="BH46" s="9">
        <v>56.55261</v>
      </c>
      <c r="BI46" s="9" t="s">
        <v>1567</v>
      </c>
    </row>
    <row r="47" ht="25" customHeight="1" spans="1:61">
      <c r="A47" s="9">
        <v>46</v>
      </c>
      <c r="B47" s="9" t="s">
        <v>1772</v>
      </c>
      <c r="C47" s="9" t="s">
        <v>1773</v>
      </c>
      <c r="D47" s="9" t="s">
        <v>41</v>
      </c>
      <c r="E47" s="10">
        <v>44673</v>
      </c>
      <c r="F47" s="9">
        <v>4.3778</v>
      </c>
      <c r="G47" s="9" t="s">
        <v>1561</v>
      </c>
      <c r="H47" s="9" t="s">
        <v>557</v>
      </c>
      <c r="I47" s="9">
        <v>90</v>
      </c>
      <c r="J47" s="9" t="s">
        <v>1562</v>
      </c>
      <c r="K47" s="9">
        <v>100</v>
      </c>
      <c r="L47" s="9">
        <v>100</v>
      </c>
      <c r="M47" s="11">
        <v>0.0828</v>
      </c>
      <c r="N47" s="11">
        <v>0.1012</v>
      </c>
      <c r="O47" s="11"/>
      <c r="P47" s="11">
        <v>0.110516921592688</v>
      </c>
      <c r="Q47" s="9">
        <v>62.78</v>
      </c>
      <c r="R47" s="9">
        <v>73.81</v>
      </c>
      <c r="S47" s="9">
        <v>67.19</v>
      </c>
      <c r="T47" s="11">
        <v>0.9231</v>
      </c>
      <c r="U47" s="11">
        <v>0.8649</v>
      </c>
      <c r="V47" s="11">
        <v>0.833375</v>
      </c>
      <c r="W47" s="9">
        <v>92.31</v>
      </c>
      <c r="X47" s="9">
        <v>83.3375</v>
      </c>
      <c r="Y47" s="9">
        <v>88.72</v>
      </c>
      <c r="Z47" s="9">
        <v>0.0127175265332453</v>
      </c>
      <c r="AA47" s="9">
        <v>0.0204</v>
      </c>
      <c r="AB47" s="9">
        <v>0.0204</v>
      </c>
      <c r="AC47" s="9">
        <v>71.15</v>
      </c>
      <c r="AD47" s="9">
        <v>6.5107</v>
      </c>
      <c r="AE47" s="9">
        <v>0.0204</v>
      </c>
      <c r="AF47" s="9">
        <v>5.41749615650433</v>
      </c>
      <c r="AG47" s="9">
        <v>69.45</v>
      </c>
      <c r="AH47" s="9">
        <v>85.82</v>
      </c>
      <c r="AI47" s="9">
        <v>76</v>
      </c>
      <c r="AJ47" s="9">
        <v>0.1012</v>
      </c>
      <c r="AK47" s="9">
        <v>80</v>
      </c>
      <c r="AL47" s="9">
        <v>96</v>
      </c>
      <c r="AM47" s="9">
        <v>73.65</v>
      </c>
      <c r="AN47" s="9">
        <v>71.15</v>
      </c>
      <c r="AO47" s="9">
        <v>76</v>
      </c>
      <c r="AP47" s="9">
        <v>80</v>
      </c>
      <c r="AQ47" s="12">
        <v>1</v>
      </c>
      <c r="AR47" s="9">
        <v>77.71704</v>
      </c>
      <c r="AS47" s="9">
        <v>77.72</v>
      </c>
      <c r="AT47" s="9">
        <v>60</v>
      </c>
      <c r="AU47" s="9"/>
      <c r="AV47" s="9">
        <v>20</v>
      </c>
      <c r="AW47" s="9" t="s">
        <v>1235</v>
      </c>
      <c r="AX47" s="9">
        <v>45777</v>
      </c>
      <c r="AY47" s="9" t="s">
        <v>1243</v>
      </c>
      <c r="AZ47" s="9" t="s">
        <v>1774</v>
      </c>
      <c r="BA47" s="9">
        <v>46230</v>
      </c>
      <c r="BB47" s="9" t="s">
        <v>785</v>
      </c>
      <c r="BC47" s="9" t="s">
        <v>1775</v>
      </c>
      <c r="BD47" s="9" t="s">
        <v>1566</v>
      </c>
      <c r="BE47" s="13">
        <v>77.71704</v>
      </c>
      <c r="BF47" s="13">
        <v>77.72</v>
      </c>
      <c r="BG47" s="12">
        <v>1</v>
      </c>
      <c r="BH47" s="9">
        <v>77.71704</v>
      </c>
      <c r="BI47" s="9" t="s">
        <v>1567</v>
      </c>
    </row>
    <row r="48" ht="25" customHeight="1" spans="1:61">
      <c r="A48" s="9">
        <v>47</v>
      </c>
      <c r="B48" s="9" t="s">
        <v>1776</v>
      </c>
      <c r="C48" s="9" t="s">
        <v>1777</v>
      </c>
      <c r="D48" s="9" t="s">
        <v>232</v>
      </c>
      <c r="E48" s="10">
        <v>44686</v>
      </c>
      <c r="F48" s="9">
        <v>4.3422</v>
      </c>
      <c r="G48" s="9" t="s">
        <v>1561</v>
      </c>
      <c r="H48" s="9" t="s">
        <v>542</v>
      </c>
      <c r="I48" s="9">
        <v>60</v>
      </c>
      <c r="J48" s="9" t="s">
        <v>1562</v>
      </c>
      <c r="K48" s="9">
        <v>100</v>
      </c>
      <c r="L48" s="9">
        <v>100</v>
      </c>
      <c r="M48" s="11">
        <v>0.0741</v>
      </c>
      <c r="N48" s="11">
        <v>0.0518</v>
      </c>
      <c r="O48" s="11"/>
      <c r="P48" s="11">
        <v>0.040824224103156</v>
      </c>
      <c r="Q48" s="9">
        <v>56.87</v>
      </c>
      <c r="R48" s="9">
        <v>25.71</v>
      </c>
      <c r="S48" s="9">
        <v>44.41</v>
      </c>
      <c r="T48" s="11">
        <v>0.9231</v>
      </c>
      <c r="U48" s="11">
        <v>0.7027</v>
      </c>
      <c r="V48" s="11">
        <v>0.583316666666667</v>
      </c>
      <c r="W48" s="9">
        <v>92.31</v>
      </c>
      <c r="X48" s="9">
        <v>58.3316666666667</v>
      </c>
      <c r="Y48" s="9">
        <v>78.72</v>
      </c>
      <c r="Z48" s="9">
        <v>0.0109401759877163</v>
      </c>
      <c r="AA48" s="9">
        <v>0.0136</v>
      </c>
      <c r="AB48" s="9">
        <v>0.0136</v>
      </c>
      <c r="AC48" s="9">
        <v>79.49</v>
      </c>
      <c r="AD48" s="9">
        <v>6.7732</v>
      </c>
      <c r="AE48" s="9">
        <v>0.0136</v>
      </c>
      <c r="AF48" s="9">
        <v>3.00178118405559</v>
      </c>
      <c r="AG48" s="9">
        <v>70.1</v>
      </c>
      <c r="AH48" s="9">
        <v>73.76</v>
      </c>
      <c r="AI48" s="9">
        <v>71.56</v>
      </c>
      <c r="AJ48" s="9">
        <v>0.0518</v>
      </c>
      <c r="AK48" s="9">
        <v>100</v>
      </c>
      <c r="AL48" s="9">
        <v>84</v>
      </c>
      <c r="AM48" s="9">
        <v>54.7</v>
      </c>
      <c r="AN48" s="9">
        <v>79.49</v>
      </c>
      <c r="AO48" s="9">
        <v>71.56</v>
      </c>
      <c r="AP48" s="9">
        <v>100</v>
      </c>
      <c r="AQ48" s="12">
        <v>1</v>
      </c>
      <c r="AR48" s="9">
        <v>74.88166</v>
      </c>
      <c r="AS48" s="9">
        <v>74.88</v>
      </c>
      <c r="AT48" s="9">
        <v>76</v>
      </c>
      <c r="AU48" s="9"/>
      <c r="AV48" s="9">
        <v>0</v>
      </c>
      <c r="AW48" s="9" t="s">
        <v>1322</v>
      </c>
      <c r="AX48" s="9">
        <v>45471</v>
      </c>
      <c r="AY48" s="9" t="s">
        <v>1324</v>
      </c>
      <c r="AZ48" s="9" t="s">
        <v>1778</v>
      </c>
      <c r="BA48" s="9">
        <v>45952</v>
      </c>
      <c r="BB48" s="9" t="s">
        <v>785</v>
      </c>
      <c r="BC48" s="9" t="s">
        <v>1779</v>
      </c>
      <c r="BD48" s="9" t="s">
        <v>1566</v>
      </c>
      <c r="BE48" s="13">
        <v>74.88166</v>
      </c>
      <c r="BF48" s="13">
        <v>74.88</v>
      </c>
      <c r="BG48" s="12">
        <v>1</v>
      </c>
      <c r="BH48" s="9">
        <v>74.88166</v>
      </c>
      <c r="BI48" s="9" t="s">
        <v>1567</v>
      </c>
    </row>
    <row r="49" ht="25" customHeight="1" spans="1:61">
      <c r="A49" s="9">
        <v>48</v>
      </c>
      <c r="B49" s="9" t="s">
        <v>1780</v>
      </c>
      <c r="C49" s="9" t="s">
        <v>1781</v>
      </c>
      <c r="D49" s="9" t="s">
        <v>1782</v>
      </c>
      <c r="E49" s="10">
        <v>44693</v>
      </c>
      <c r="F49" s="9">
        <v>4.3231</v>
      </c>
      <c r="G49" s="9" t="s">
        <v>1561</v>
      </c>
      <c r="H49" s="9" t="s">
        <v>557</v>
      </c>
      <c r="I49" s="9">
        <v>90</v>
      </c>
      <c r="J49" s="9" t="s">
        <v>1562</v>
      </c>
      <c r="K49" s="9">
        <v>100</v>
      </c>
      <c r="L49" s="9">
        <v>100</v>
      </c>
      <c r="M49" s="11">
        <v>0.245</v>
      </c>
      <c r="N49" s="11">
        <v>0.0836</v>
      </c>
      <c r="O49" s="11"/>
      <c r="P49" s="11">
        <v>0.0109247256092773</v>
      </c>
      <c r="Q49" s="9">
        <v>92.33</v>
      </c>
      <c r="R49" s="9">
        <v>6.67</v>
      </c>
      <c r="S49" s="9">
        <v>58.07</v>
      </c>
      <c r="T49" s="11">
        <v>0.7692</v>
      </c>
      <c r="U49" s="11">
        <v>0.7778</v>
      </c>
      <c r="V49" s="11">
        <v>0.782458333333333</v>
      </c>
      <c r="W49" s="9">
        <v>76.92</v>
      </c>
      <c r="X49" s="9">
        <v>78.2458333333334</v>
      </c>
      <c r="Y49" s="9">
        <v>77.45</v>
      </c>
      <c r="Z49" s="9">
        <v>0.0288147154987886</v>
      </c>
      <c r="AA49" s="9">
        <v>0.0575</v>
      </c>
      <c r="AB49" s="9">
        <v>0.0575</v>
      </c>
      <c r="AC49" s="9">
        <v>40.38</v>
      </c>
      <c r="AD49" s="9">
        <v>8.5026</v>
      </c>
      <c r="AE49" s="9">
        <v>0.0575</v>
      </c>
      <c r="AF49" s="9">
        <v>0.189995227987431</v>
      </c>
      <c r="AG49" s="9">
        <v>74.6</v>
      </c>
      <c r="AH49" s="9">
        <v>9.22</v>
      </c>
      <c r="AI49" s="9">
        <v>48.45</v>
      </c>
      <c r="AJ49" s="9">
        <v>0.0836</v>
      </c>
      <c r="AK49" s="9">
        <v>100</v>
      </c>
      <c r="AL49" s="9">
        <v>96</v>
      </c>
      <c r="AM49" s="9">
        <v>63.88</v>
      </c>
      <c r="AN49" s="9">
        <v>40.38</v>
      </c>
      <c r="AO49" s="9">
        <v>48.45</v>
      </c>
      <c r="AP49" s="9">
        <v>100</v>
      </c>
      <c r="AQ49" s="12">
        <v>1</v>
      </c>
      <c r="AR49" s="9">
        <v>61.80566</v>
      </c>
      <c r="AS49" s="9">
        <v>61.81</v>
      </c>
      <c r="AT49" s="9">
        <v>146</v>
      </c>
      <c r="AU49" s="9"/>
      <c r="AV49" s="9">
        <v>20</v>
      </c>
      <c r="AW49" s="9" t="s">
        <v>1783</v>
      </c>
      <c r="AX49" s="9">
        <v>45982</v>
      </c>
      <c r="AY49" s="9" t="s">
        <v>1784</v>
      </c>
      <c r="AZ49" s="9" t="s">
        <v>1785</v>
      </c>
      <c r="BA49" s="9">
        <v>45915</v>
      </c>
      <c r="BB49" s="9" t="s">
        <v>785</v>
      </c>
      <c r="BC49" s="9" t="s">
        <v>1786</v>
      </c>
      <c r="BD49" s="9" t="s">
        <v>1566</v>
      </c>
      <c r="BE49" s="13">
        <v>61.80566</v>
      </c>
      <c r="BF49" s="13">
        <v>61.81</v>
      </c>
      <c r="BG49" s="12">
        <v>1</v>
      </c>
      <c r="BH49" s="9">
        <v>61.80566</v>
      </c>
      <c r="BI49" s="9" t="s">
        <v>1567</v>
      </c>
    </row>
    <row r="50" ht="25" customHeight="1" spans="1:61">
      <c r="A50" s="9">
        <v>49</v>
      </c>
      <c r="B50" s="9" t="s">
        <v>1787</v>
      </c>
      <c r="C50" s="9" t="s">
        <v>1788</v>
      </c>
      <c r="D50" s="9" t="s">
        <v>1789</v>
      </c>
      <c r="E50" s="10">
        <v>44690</v>
      </c>
      <c r="F50" s="9">
        <v>4.3313</v>
      </c>
      <c r="G50" s="9" t="s">
        <v>1561</v>
      </c>
      <c r="H50" s="9" t="s">
        <v>542</v>
      </c>
      <c r="I50" s="9">
        <v>60</v>
      </c>
      <c r="J50" s="9" t="s">
        <v>1562</v>
      </c>
      <c r="K50" s="9">
        <v>100</v>
      </c>
      <c r="L50" s="9">
        <v>100</v>
      </c>
      <c r="M50" s="11">
        <v>-0.0034</v>
      </c>
      <c r="N50" s="11">
        <v>0.0422</v>
      </c>
      <c r="O50" s="11"/>
      <c r="P50" s="11">
        <v>0.0657765536451904</v>
      </c>
      <c r="Q50" s="9">
        <v>14.06</v>
      </c>
      <c r="R50" s="9">
        <v>48.1</v>
      </c>
      <c r="S50" s="9">
        <v>27.68</v>
      </c>
      <c r="T50" s="11">
        <v>0.6154</v>
      </c>
      <c r="U50" s="11">
        <v>0.7297</v>
      </c>
      <c r="V50" s="11">
        <v>0.7916125</v>
      </c>
      <c r="W50" s="9">
        <v>61.54</v>
      </c>
      <c r="X50" s="9">
        <v>79.16125</v>
      </c>
      <c r="Y50" s="9">
        <v>68.59</v>
      </c>
      <c r="Z50" s="9">
        <v>0.0657640232108317</v>
      </c>
      <c r="AA50" s="9">
        <v>0.0653</v>
      </c>
      <c r="AB50" s="9">
        <v>0.0657640232108317</v>
      </c>
      <c r="AC50" s="9">
        <v>37.18</v>
      </c>
      <c r="AD50" s="9">
        <v>-0.0517</v>
      </c>
      <c r="AE50" s="9"/>
      <c r="AF50" s="9"/>
      <c r="AG50" s="9">
        <v>14.15</v>
      </c>
      <c r="AH50" s="9"/>
      <c r="AI50" s="9">
        <v>14.15</v>
      </c>
      <c r="AJ50" s="9">
        <v>0.0422</v>
      </c>
      <c r="AK50" s="9">
        <v>80</v>
      </c>
      <c r="AL50" s="9">
        <v>84</v>
      </c>
      <c r="AM50" s="9">
        <v>39.95</v>
      </c>
      <c r="AN50" s="9">
        <v>37.18</v>
      </c>
      <c r="AO50" s="9">
        <v>14.15</v>
      </c>
      <c r="AP50" s="9">
        <v>80</v>
      </c>
      <c r="AQ50" s="12">
        <v>0.88</v>
      </c>
      <c r="AR50" s="9">
        <v>40.43195</v>
      </c>
      <c r="AS50" s="9">
        <v>45.95</v>
      </c>
      <c r="AT50" s="9">
        <v>241</v>
      </c>
      <c r="AU50" s="9" t="s">
        <v>1563</v>
      </c>
      <c r="AV50" s="9">
        <v>0</v>
      </c>
      <c r="AW50" s="9" t="s">
        <v>1790</v>
      </c>
      <c r="AX50" s="9">
        <v>45966</v>
      </c>
      <c r="AY50" s="9" t="s">
        <v>1791</v>
      </c>
      <c r="AZ50" s="9" t="s">
        <v>1792</v>
      </c>
      <c r="BA50" s="9">
        <v>45574</v>
      </c>
      <c r="BB50" s="9" t="s">
        <v>785</v>
      </c>
      <c r="BC50" s="9" t="s">
        <v>1793</v>
      </c>
      <c r="BD50" s="9" t="s">
        <v>1566</v>
      </c>
      <c r="BE50" s="13"/>
      <c r="BF50" s="13">
        <v>45.95</v>
      </c>
      <c r="BG50" s="12">
        <v>0.88</v>
      </c>
      <c r="BH50" s="9">
        <v>40.43195</v>
      </c>
      <c r="BI50" s="9" t="s">
        <v>1567</v>
      </c>
    </row>
    <row r="51" ht="25" customHeight="1" spans="1:61">
      <c r="A51" s="9">
        <v>50</v>
      </c>
      <c r="B51" s="9" t="s">
        <v>110</v>
      </c>
      <c r="C51" s="9" t="s">
        <v>112</v>
      </c>
      <c r="D51" s="9" t="s">
        <v>113</v>
      </c>
      <c r="E51" s="10">
        <v>44722</v>
      </c>
      <c r="F51" s="9">
        <v>4.2437</v>
      </c>
      <c r="G51" s="9" t="s">
        <v>1561</v>
      </c>
      <c r="H51" s="9" t="s">
        <v>546</v>
      </c>
      <c r="I51" s="9">
        <v>70</v>
      </c>
      <c r="J51" s="9" t="s">
        <v>1562</v>
      </c>
      <c r="K51" s="9">
        <v>100</v>
      </c>
      <c r="L51" s="9">
        <v>100</v>
      </c>
      <c r="M51" s="11">
        <v>0.0346</v>
      </c>
      <c r="N51" s="11">
        <v>0.0349</v>
      </c>
      <c r="O51" s="11"/>
      <c r="P51" s="11">
        <v>0.0350500326197265</v>
      </c>
      <c r="Q51" s="9">
        <v>30.03</v>
      </c>
      <c r="R51" s="9">
        <v>19.05</v>
      </c>
      <c r="S51" s="9">
        <v>25.64</v>
      </c>
      <c r="T51" s="11">
        <v>0.5385</v>
      </c>
      <c r="U51" s="11">
        <v>0.6486</v>
      </c>
      <c r="V51" s="11">
        <v>0.7082375</v>
      </c>
      <c r="W51" s="9">
        <v>53.85</v>
      </c>
      <c r="X51" s="9">
        <v>70.82375</v>
      </c>
      <c r="Y51" s="9">
        <v>60.64</v>
      </c>
      <c r="Z51" s="9">
        <v>0.0152476643751102</v>
      </c>
      <c r="AA51" s="9">
        <v>0.0239</v>
      </c>
      <c r="AB51" s="9">
        <v>0.0239</v>
      </c>
      <c r="AC51" s="9">
        <v>68.27</v>
      </c>
      <c r="AD51" s="9">
        <v>2.2692</v>
      </c>
      <c r="AE51" s="9">
        <v>0.0239</v>
      </c>
      <c r="AF51" s="9">
        <v>1.46652856149483</v>
      </c>
      <c r="AG51" s="9">
        <v>48.55</v>
      </c>
      <c r="AH51" s="9">
        <v>51.06</v>
      </c>
      <c r="AI51" s="9">
        <v>49.55</v>
      </c>
      <c r="AJ51" s="9">
        <v>0.0349</v>
      </c>
      <c r="AK51" s="9">
        <v>80</v>
      </c>
      <c r="AL51" s="9">
        <v>88</v>
      </c>
      <c r="AM51" s="9">
        <v>36.14</v>
      </c>
      <c r="AN51" s="9">
        <v>68.27</v>
      </c>
      <c r="AO51" s="9">
        <v>49.55</v>
      </c>
      <c r="AP51" s="9">
        <v>80</v>
      </c>
      <c r="AQ51" s="12">
        <v>1</v>
      </c>
      <c r="AR51" s="9">
        <v>60.36139</v>
      </c>
      <c r="AS51" s="9">
        <v>60.36</v>
      </c>
      <c r="AT51" s="9">
        <v>153</v>
      </c>
      <c r="AU51" s="9"/>
      <c r="AV51" s="9">
        <v>5</v>
      </c>
      <c r="AW51" s="9" t="s">
        <v>1265</v>
      </c>
      <c r="AX51" s="9">
        <v>46234</v>
      </c>
      <c r="AY51" s="9" t="s">
        <v>1267</v>
      </c>
      <c r="AZ51" s="9" t="s">
        <v>1794</v>
      </c>
      <c r="BA51" s="9">
        <v>46169</v>
      </c>
      <c r="BB51" s="9" t="s">
        <v>785</v>
      </c>
      <c r="BC51" s="9" t="s">
        <v>854</v>
      </c>
      <c r="BD51" s="9" t="s">
        <v>1566</v>
      </c>
      <c r="BE51" s="13">
        <v>60.36139</v>
      </c>
      <c r="BF51" s="13">
        <v>60.36</v>
      </c>
      <c r="BG51" s="12">
        <v>1</v>
      </c>
      <c r="BH51" s="9">
        <v>60.36139</v>
      </c>
      <c r="BI51" s="9" t="s">
        <v>1567</v>
      </c>
    </row>
    <row r="52" ht="25" customHeight="1" spans="1:61">
      <c r="A52" s="9">
        <v>51</v>
      </c>
      <c r="B52" s="9" t="s">
        <v>1795</v>
      </c>
      <c r="C52" s="9" t="s">
        <v>1796</v>
      </c>
      <c r="D52" s="9" t="s">
        <v>489</v>
      </c>
      <c r="E52" s="10">
        <v>44770</v>
      </c>
      <c r="F52" s="9">
        <v>4.1123</v>
      </c>
      <c r="G52" s="9" t="s">
        <v>1561</v>
      </c>
      <c r="H52" s="9" t="s">
        <v>557</v>
      </c>
      <c r="I52" s="9">
        <v>90</v>
      </c>
      <c r="J52" s="9" t="s">
        <v>1562</v>
      </c>
      <c r="K52" s="9">
        <v>100</v>
      </c>
      <c r="L52" s="9">
        <v>100</v>
      </c>
      <c r="M52" s="11">
        <v>0.0264</v>
      </c>
      <c r="N52" s="11">
        <v>0.0352</v>
      </c>
      <c r="O52" s="11"/>
      <c r="P52" s="11">
        <v>0.0396282527634007</v>
      </c>
      <c r="Q52" s="9">
        <v>25.24</v>
      </c>
      <c r="R52" s="9">
        <v>23.81</v>
      </c>
      <c r="S52" s="9">
        <v>24.67</v>
      </c>
      <c r="T52" s="11">
        <v>0.7692</v>
      </c>
      <c r="U52" s="11">
        <v>0.7568</v>
      </c>
      <c r="V52" s="11">
        <v>0.750083333333333</v>
      </c>
      <c r="W52" s="9">
        <v>76.92</v>
      </c>
      <c r="X52" s="9">
        <v>75.0083333333333</v>
      </c>
      <c r="Y52" s="9">
        <v>76.16</v>
      </c>
      <c r="Z52" s="9">
        <v>0.00846208090262196</v>
      </c>
      <c r="AA52" s="9">
        <v>0.0085</v>
      </c>
      <c r="AB52" s="9">
        <v>0.0085</v>
      </c>
      <c r="AC52" s="9">
        <v>86.54</v>
      </c>
      <c r="AD52" s="9">
        <v>3.1198</v>
      </c>
      <c r="AE52" s="9"/>
      <c r="AF52" s="9"/>
      <c r="AG52" s="9">
        <v>54.66</v>
      </c>
      <c r="AH52" s="9"/>
      <c r="AI52" s="9">
        <v>54.66</v>
      </c>
      <c r="AJ52" s="9">
        <v>0.0352</v>
      </c>
      <c r="AK52" s="9">
        <v>80</v>
      </c>
      <c r="AL52" s="9">
        <v>96</v>
      </c>
      <c r="AM52" s="9">
        <v>40.11</v>
      </c>
      <c r="AN52" s="9">
        <v>86.54</v>
      </c>
      <c r="AO52" s="9">
        <v>54.66</v>
      </c>
      <c r="AP52" s="9">
        <v>80</v>
      </c>
      <c r="AQ52" s="12">
        <v>0.88</v>
      </c>
      <c r="AR52" s="9">
        <v>61.89664</v>
      </c>
      <c r="AS52" s="9">
        <v>70.34</v>
      </c>
      <c r="AT52" s="9">
        <v>102</v>
      </c>
      <c r="AU52" s="9" t="s">
        <v>1563</v>
      </c>
      <c r="AV52" s="9">
        <v>20</v>
      </c>
      <c r="AW52" s="9" t="s">
        <v>1430</v>
      </c>
      <c r="AX52" s="9">
        <v>46097</v>
      </c>
      <c r="AY52" s="9" t="s">
        <v>1433</v>
      </c>
      <c r="AZ52" s="9" t="s">
        <v>1797</v>
      </c>
      <c r="BA52" s="9">
        <v>44775</v>
      </c>
      <c r="BB52" s="9" t="s">
        <v>785</v>
      </c>
      <c r="BC52" s="9" t="s">
        <v>1798</v>
      </c>
      <c r="BD52" s="9" t="s">
        <v>1566</v>
      </c>
      <c r="BE52" s="13"/>
      <c r="BF52" s="13">
        <v>70.34</v>
      </c>
      <c r="BG52" s="12">
        <v>0.88</v>
      </c>
      <c r="BH52" s="9">
        <v>61.89664</v>
      </c>
      <c r="BI52" s="9" t="s">
        <v>1567</v>
      </c>
    </row>
    <row r="53" ht="25" customHeight="1" spans="1:61">
      <c r="A53" s="9">
        <v>52</v>
      </c>
      <c r="B53" s="9" t="s">
        <v>60</v>
      </c>
      <c r="C53" s="9" t="s">
        <v>63</v>
      </c>
      <c r="D53" s="9" t="s">
        <v>64</v>
      </c>
      <c r="E53" s="10">
        <v>44788</v>
      </c>
      <c r="F53" s="9">
        <v>4.063</v>
      </c>
      <c r="G53" s="9" t="s">
        <v>1561</v>
      </c>
      <c r="H53" s="9" t="s">
        <v>546</v>
      </c>
      <c r="I53" s="9">
        <v>70</v>
      </c>
      <c r="J53" s="9" t="s">
        <v>1562</v>
      </c>
      <c r="K53" s="9">
        <v>100</v>
      </c>
      <c r="L53" s="9">
        <v>100</v>
      </c>
      <c r="M53" s="11">
        <v>-0.0069</v>
      </c>
      <c r="N53" s="11">
        <v>0.046</v>
      </c>
      <c r="O53" s="11"/>
      <c r="P53" s="11">
        <v>0.0734974962400201</v>
      </c>
      <c r="Q53" s="9">
        <v>12.78</v>
      </c>
      <c r="R53" s="9">
        <v>54.29</v>
      </c>
      <c r="S53" s="9">
        <v>29.38</v>
      </c>
      <c r="T53" s="11">
        <v>0.3846</v>
      </c>
      <c r="U53" s="11">
        <v>0.6216</v>
      </c>
      <c r="V53" s="11">
        <v>0.749975</v>
      </c>
      <c r="W53" s="9">
        <v>38.46</v>
      </c>
      <c r="X53" s="9">
        <v>74.9975</v>
      </c>
      <c r="Y53" s="9">
        <v>53.08</v>
      </c>
      <c r="Z53" s="9">
        <v>0.0448634590377113</v>
      </c>
      <c r="AA53" s="9">
        <v>0.045</v>
      </c>
      <c r="AB53" s="9">
        <v>0.045</v>
      </c>
      <c r="AC53" s="9">
        <v>48.08</v>
      </c>
      <c r="AD53" s="9">
        <v>-0.1538</v>
      </c>
      <c r="AE53" s="9">
        <v>0.045</v>
      </c>
      <c r="AF53" s="9">
        <v>1.63327769422267</v>
      </c>
      <c r="AG53" s="9">
        <v>11.9</v>
      </c>
      <c r="AH53" s="9">
        <v>55.32</v>
      </c>
      <c r="AI53" s="9">
        <v>29.27</v>
      </c>
      <c r="AJ53" s="9">
        <v>0.046</v>
      </c>
      <c r="AK53" s="9">
        <v>80</v>
      </c>
      <c r="AL53" s="9">
        <v>88</v>
      </c>
      <c r="AM53" s="9">
        <v>36.49</v>
      </c>
      <c r="AN53" s="9">
        <v>48.08</v>
      </c>
      <c r="AO53" s="9">
        <v>29.27</v>
      </c>
      <c r="AP53" s="9">
        <v>80</v>
      </c>
      <c r="AQ53" s="12">
        <v>1</v>
      </c>
      <c r="AR53" s="9">
        <v>49.29866</v>
      </c>
      <c r="AS53" s="9">
        <v>49.3</v>
      </c>
      <c r="AT53" s="9">
        <v>224</v>
      </c>
      <c r="AU53" s="9"/>
      <c r="AV53" s="9">
        <v>5</v>
      </c>
      <c r="AW53" s="9" t="s">
        <v>1248</v>
      </c>
      <c r="AX53" s="9">
        <v>46163</v>
      </c>
      <c r="AY53" s="9" t="s">
        <v>1252</v>
      </c>
      <c r="AZ53" s="9" t="s">
        <v>1799</v>
      </c>
      <c r="BA53" s="9">
        <v>44788</v>
      </c>
      <c r="BB53" s="9" t="s">
        <v>785</v>
      </c>
      <c r="BC53" s="9" t="s">
        <v>840</v>
      </c>
      <c r="BD53" s="9" t="s">
        <v>1566</v>
      </c>
      <c r="BE53" s="13">
        <v>49.29866</v>
      </c>
      <c r="BF53" s="13">
        <v>49.3</v>
      </c>
      <c r="BG53" s="12">
        <v>1</v>
      </c>
      <c r="BH53" s="9">
        <v>49.29866</v>
      </c>
      <c r="BI53" s="9" t="s">
        <v>1567</v>
      </c>
    </row>
    <row r="54" ht="25" customHeight="1" spans="1:61">
      <c r="A54" s="9">
        <v>53</v>
      </c>
      <c r="B54" s="9" t="s">
        <v>1800</v>
      </c>
      <c r="C54" s="9" t="s">
        <v>1801</v>
      </c>
      <c r="D54" s="9" t="s">
        <v>1668</v>
      </c>
      <c r="E54" s="10">
        <v>44804</v>
      </c>
      <c r="F54" s="9">
        <v>4.0192</v>
      </c>
      <c r="G54" s="9" t="s">
        <v>1561</v>
      </c>
      <c r="H54" s="9" t="s">
        <v>542</v>
      </c>
      <c r="I54" s="9">
        <v>60</v>
      </c>
      <c r="J54" s="9" t="s">
        <v>1620</v>
      </c>
      <c r="K54" s="9">
        <v>0</v>
      </c>
      <c r="L54" s="9">
        <v>100</v>
      </c>
      <c r="M54" s="11">
        <v>-0.053</v>
      </c>
      <c r="N54" s="11">
        <v>0.0298</v>
      </c>
      <c r="O54" s="11"/>
      <c r="P54" s="11">
        <v>0.0738765075785202</v>
      </c>
      <c r="Q54" s="9">
        <v>7.67</v>
      </c>
      <c r="R54" s="9">
        <v>54.76</v>
      </c>
      <c r="S54" s="9">
        <v>26.51</v>
      </c>
      <c r="T54" s="11">
        <v>0.3077</v>
      </c>
      <c r="U54" s="11">
        <v>0.5135</v>
      </c>
      <c r="V54" s="11">
        <v>0.624975</v>
      </c>
      <c r="W54" s="9">
        <v>30.77</v>
      </c>
      <c r="X54" s="9">
        <v>62.4975</v>
      </c>
      <c r="Y54" s="9">
        <v>43.46</v>
      </c>
      <c r="Z54" s="9">
        <v>0.0792938360263315</v>
      </c>
      <c r="AA54" s="9">
        <v>0.0858</v>
      </c>
      <c r="AB54" s="9">
        <v>0.0858</v>
      </c>
      <c r="AC54" s="9">
        <v>29.49</v>
      </c>
      <c r="AD54" s="9">
        <v>-0.6684</v>
      </c>
      <c r="AE54" s="9">
        <v>0.0858</v>
      </c>
      <c r="AF54" s="9">
        <v>0.861031556859209</v>
      </c>
      <c r="AG54" s="9">
        <v>3.86</v>
      </c>
      <c r="AH54" s="9">
        <v>29.08</v>
      </c>
      <c r="AI54" s="9">
        <v>13.95</v>
      </c>
      <c r="AJ54" s="9">
        <v>0.0298</v>
      </c>
      <c r="AK54" s="9">
        <v>80</v>
      </c>
      <c r="AL54" s="9">
        <v>54</v>
      </c>
      <c r="AM54" s="9">
        <v>31.59</v>
      </c>
      <c r="AN54" s="9">
        <v>29.49</v>
      </c>
      <c r="AO54" s="9">
        <v>13.95</v>
      </c>
      <c r="AP54" s="9">
        <v>80</v>
      </c>
      <c r="AQ54" s="12">
        <v>1</v>
      </c>
      <c r="AR54" s="9">
        <v>33.9754</v>
      </c>
      <c r="AS54" s="9">
        <v>33.98</v>
      </c>
      <c r="AT54" s="9">
        <v>287</v>
      </c>
      <c r="AU54" s="9"/>
      <c r="AV54" s="9">
        <v>0</v>
      </c>
      <c r="AW54" s="9" t="s">
        <v>1669</v>
      </c>
      <c r="AX54" s="9">
        <v>46212</v>
      </c>
      <c r="AY54" s="9" t="s">
        <v>1670</v>
      </c>
      <c r="AZ54" s="9" t="s">
        <v>1802</v>
      </c>
      <c r="BA54" s="9">
        <v>45803</v>
      </c>
      <c r="BB54" s="9" t="s">
        <v>1624</v>
      </c>
      <c r="BC54" s="9" t="s">
        <v>1803</v>
      </c>
      <c r="BD54" s="9" t="s">
        <v>1566</v>
      </c>
      <c r="BE54" s="13">
        <v>33.9754</v>
      </c>
      <c r="BF54" s="13">
        <v>33.98</v>
      </c>
      <c r="BG54" s="12">
        <v>1</v>
      </c>
      <c r="BH54" s="9">
        <v>33.9754</v>
      </c>
      <c r="BI54" s="9" t="s">
        <v>1567</v>
      </c>
    </row>
    <row r="55" ht="25" customHeight="1" spans="1:61">
      <c r="A55" s="9">
        <v>54</v>
      </c>
      <c r="B55" s="9" t="s">
        <v>1804</v>
      </c>
      <c r="C55" s="9" t="s">
        <v>1805</v>
      </c>
      <c r="D55" s="9" t="s">
        <v>1806</v>
      </c>
      <c r="E55" s="10">
        <v>44810</v>
      </c>
      <c r="F55" s="9">
        <v>4.0027</v>
      </c>
      <c r="G55" s="9" t="s">
        <v>1561</v>
      </c>
      <c r="H55" s="9" t="s">
        <v>551</v>
      </c>
      <c r="I55" s="9">
        <v>80</v>
      </c>
      <c r="J55" s="9" t="s">
        <v>1562</v>
      </c>
      <c r="K55" s="9">
        <v>100</v>
      </c>
      <c r="L55" s="9">
        <v>100</v>
      </c>
      <c r="M55" s="11">
        <v>0.0139</v>
      </c>
      <c r="N55" s="11">
        <v>0.1701</v>
      </c>
      <c r="O55" s="11"/>
      <c r="P55" s="11">
        <v>0.257004717238044</v>
      </c>
      <c r="Q55" s="9">
        <v>19.49</v>
      </c>
      <c r="R55" s="9">
        <v>96.19</v>
      </c>
      <c r="S55" s="9">
        <v>50.17</v>
      </c>
      <c r="T55" s="11">
        <v>0.6154</v>
      </c>
      <c r="U55" s="11">
        <v>0.7568</v>
      </c>
      <c r="V55" s="11">
        <v>0.833391666666667</v>
      </c>
      <c r="W55" s="9">
        <v>61.54</v>
      </c>
      <c r="X55" s="9">
        <v>83.3391666666667</v>
      </c>
      <c r="Y55" s="9">
        <v>70.26</v>
      </c>
      <c r="Z55" s="9">
        <v>0.0918097754293263</v>
      </c>
      <c r="AA55" s="9">
        <v>0.1179</v>
      </c>
      <c r="AB55" s="9">
        <v>0.1179</v>
      </c>
      <c r="AC55" s="9">
        <v>21.79</v>
      </c>
      <c r="AD55" s="9">
        <v>0.1514</v>
      </c>
      <c r="AE55" s="9">
        <v>0.1179</v>
      </c>
      <c r="AF55" s="9">
        <v>2.17985341168824</v>
      </c>
      <c r="AG55" s="9">
        <v>17.68</v>
      </c>
      <c r="AH55" s="9">
        <v>65.25</v>
      </c>
      <c r="AI55" s="9">
        <v>36.71</v>
      </c>
      <c r="AJ55" s="9">
        <v>0.1701</v>
      </c>
      <c r="AK55" s="9">
        <v>80</v>
      </c>
      <c r="AL55" s="9">
        <v>92</v>
      </c>
      <c r="AM55" s="9">
        <v>56.2</v>
      </c>
      <c r="AN55" s="9">
        <v>21.79</v>
      </c>
      <c r="AO55" s="9">
        <v>36.71</v>
      </c>
      <c r="AP55" s="9">
        <v>80</v>
      </c>
      <c r="AQ55" s="12">
        <v>1</v>
      </c>
      <c r="AR55" s="9">
        <v>49.49928</v>
      </c>
      <c r="AS55" s="9">
        <v>49.5</v>
      </c>
      <c r="AT55" s="9">
        <v>223</v>
      </c>
      <c r="AU55" s="9"/>
      <c r="AV55" s="9">
        <v>10</v>
      </c>
      <c r="AW55" s="9" t="s">
        <v>1807</v>
      </c>
      <c r="AX55" s="9">
        <v>46230</v>
      </c>
      <c r="AY55" s="9" t="s">
        <v>1808</v>
      </c>
      <c r="AZ55" s="9" t="s">
        <v>1809</v>
      </c>
      <c r="BA55" s="9">
        <v>46132</v>
      </c>
      <c r="BB55" s="9" t="s">
        <v>785</v>
      </c>
      <c r="BC55" s="9" t="s">
        <v>1810</v>
      </c>
      <c r="BD55" s="9" t="s">
        <v>1566</v>
      </c>
      <c r="BE55" s="13">
        <v>49.49928</v>
      </c>
      <c r="BF55" s="13">
        <v>49.5</v>
      </c>
      <c r="BG55" s="12">
        <v>1</v>
      </c>
      <c r="BH55" s="9">
        <v>49.49928</v>
      </c>
      <c r="BI55" s="9" t="s">
        <v>1567</v>
      </c>
    </row>
    <row r="56" ht="25" customHeight="1" spans="1:61">
      <c r="A56" s="9">
        <v>55</v>
      </c>
      <c r="B56" s="9" t="s">
        <v>1811</v>
      </c>
      <c r="C56" s="9" t="s">
        <v>1812</v>
      </c>
      <c r="D56" s="9" t="s">
        <v>1813</v>
      </c>
      <c r="E56" s="10">
        <v>44851</v>
      </c>
      <c r="F56" s="9">
        <v>3.8905</v>
      </c>
      <c r="G56" s="9" t="s">
        <v>1561</v>
      </c>
      <c r="H56" s="9" t="s">
        <v>551</v>
      </c>
      <c r="I56" s="9">
        <v>80</v>
      </c>
      <c r="J56" s="9" t="s">
        <v>1562</v>
      </c>
      <c r="K56" s="9">
        <v>100</v>
      </c>
      <c r="L56" s="9">
        <v>100</v>
      </c>
      <c r="M56" s="11">
        <v>0.0417</v>
      </c>
      <c r="N56" s="11">
        <v>0.2534</v>
      </c>
      <c r="O56" s="11"/>
      <c r="P56" s="11">
        <v>0.374874963309235</v>
      </c>
      <c r="Q56" s="9">
        <v>36.1</v>
      </c>
      <c r="R56" s="9">
        <v>98.57</v>
      </c>
      <c r="S56" s="9">
        <v>61.09</v>
      </c>
      <c r="T56" s="11">
        <v>0.7692</v>
      </c>
      <c r="U56" s="11">
        <v>0.8108</v>
      </c>
      <c r="V56" s="11">
        <v>0.833333333333333</v>
      </c>
      <c r="W56" s="9">
        <v>76.92</v>
      </c>
      <c r="X56" s="9">
        <v>83.3333333333333</v>
      </c>
      <c r="Y56" s="9">
        <v>79.49</v>
      </c>
      <c r="Z56" s="9">
        <v>0.00368791566435546</v>
      </c>
      <c r="AA56" s="9">
        <v>0.0347</v>
      </c>
      <c r="AB56" s="9">
        <v>0.0347</v>
      </c>
      <c r="AC56" s="9">
        <v>55.29</v>
      </c>
      <c r="AD56" s="9">
        <v>11.3072</v>
      </c>
      <c r="AE56" s="9">
        <v>0.0347</v>
      </c>
      <c r="AF56" s="9">
        <v>10.8033130636667</v>
      </c>
      <c r="AG56" s="9">
        <v>83.92</v>
      </c>
      <c r="AH56" s="9">
        <v>90.78</v>
      </c>
      <c r="AI56" s="9">
        <v>86.66</v>
      </c>
      <c r="AJ56" s="9">
        <v>0.2534</v>
      </c>
      <c r="AK56" s="9">
        <v>60</v>
      </c>
      <c r="AL56" s="9">
        <v>92</v>
      </c>
      <c r="AM56" s="9">
        <v>66.61</v>
      </c>
      <c r="AN56" s="9">
        <v>55.29</v>
      </c>
      <c r="AO56" s="9">
        <v>86.66</v>
      </c>
      <c r="AP56" s="9">
        <v>60</v>
      </c>
      <c r="AQ56" s="12">
        <v>1</v>
      </c>
      <c r="AR56" s="9">
        <v>72.94314</v>
      </c>
      <c r="AS56" s="9">
        <v>72.94</v>
      </c>
      <c r="AT56" s="9">
        <v>86</v>
      </c>
      <c r="AU56" s="9"/>
      <c r="AV56" s="9">
        <v>10</v>
      </c>
      <c r="AW56" s="9" t="s">
        <v>1814</v>
      </c>
      <c r="AX56" s="9">
        <v>46086</v>
      </c>
      <c r="AY56" s="9" t="s">
        <v>1815</v>
      </c>
      <c r="AZ56" s="9" t="s">
        <v>1816</v>
      </c>
      <c r="BA56" s="9">
        <v>46066</v>
      </c>
      <c r="BB56" s="9" t="s">
        <v>785</v>
      </c>
      <c r="BC56" s="9" t="s">
        <v>1817</v>
      </c>
      <c r="BD56" s="9" t="s">
        <v>1566</v>
      </c>
      <c r="BE56" s="13">
        <v>72.94314</v>
      </c>
      <c r="BF56" s="13">
        <v>72.94</v>
      </c>
      <c r="BG56" s="12">
        <v>1</v>
      </c>
      <c r="BH56" s="9">
        <v>72.94314</v>
      </c>
      <c r="BI56" s="9" t="s">
        <v>1567</v>
      </c>
    </row>
    <row r="57" ht="25" customHeight="1" spans="1:61">
      <c r="A57" s="9">
        <v>56</v>
      </c>
      <c r="B57" s="9" t="s">
        <v>1818</v>
      </c>
      <c r="C57" s="9" t="s">
        <v>1819</v>
      </c>
      <c r="D57" s="9" t="s">
        <v>1763</v>
      </c>
      <c r="E57" s="10">
        <v>44853</v>
      </c>
      <c r="F57" s="9">
        <v>3.885</v>
      </c>
      <c r="G57" s="9" t="s">
        <v>1561</v>
      </c>
      <c r="H57" s="9" t="s">
        <v>542</v>
      </c>
      <c r="I57" s="9">
        <v>60</v>
      </c>
      <c r="J57" s="9" t="s">
        <v>1562</v>
      </c>
      <c r="K57" s="9">
        <v>100</v>
      </c>
      <c r="L57" s="9">
        <v>100</v>
      </c>
      <c r="M57" s="11">
        <v>0.0654</v>
      </c>
      <c r="N57" s="11">
        <v>0.0729</v>
      </c>
      <c r="O57" s="11"/>
      <c r="P57" s="11">
        <v>0.0766697757335053</v>
      </c>
      <c r="Q57" s="9">
        <v>51.76</v>
      </c>
      <c r="R57" s="9">
        <v>56.67</v>
      </c>
      <c r="S57" s="9">
        <v>53.72</v>
      </c>
      <c r="T57" s="11">
        <v>0.6154</v>
      </c>
      <c r="U57" s="11">
        <v>0.7222</v>
      </c>
      <c r="V57" s="11">
        <v>0.78005</v>
      </c>
      <c r="W57" s="9">
        <v>61.54</v>
      </c>
      <c r="X57" s="9">
        <v>78.005</v>
      </c>
      <c r="Y57" s="9">
        <v>68.13</v>
      </c>
      <c r="Z57" s="9">
        <v>0.0225198856788678</v>
      </c>
      <c r="AA57" s="9">
        <v>0.0253</v>
      </c>
      <c r="AB57" s="9">
        <v>0.0253</v>
      </c>
      <c r="AC57" s="9">
        <v>65.71</v>
      </c>
      <c r="AD57" s="9">
        <v>2.9041</v>
      </c>
      <c r="AE57" s="9">
        <v>0.0253</v>
      </c>
      <c r="AF57" s="9">
        <v>3.03042591832037</v>
      </c>
      <c r="AG57" s="9">
        <v>54.02</v>
      </c>
      <c r="AH57" s="9">
        <v>74.47</v>
      </c>
      <c r="AI57" s="9">
        <v>62.2</v>
      </c>
      <c r="AJ57" s="9">
        <v>0.0729</v>
      </c>
      <c r="AK57" s="9">
        <v>80</v>
      </c>
      <c r="AL57" s="9">
        <v>84</v>
      </c>
      <c r="AM57" s="9">
        <v>58.04</v>
      </c>
      <c r="AN57" s="9">
        <v>65.71</v>
      </c>
      <c r="AO57" s="9">
        <v>62.2</v>
      </c>
      <c r="AP57" s="9">
        <v>80</v>
      </c>
      <c r="AQ57" s="12">
        <v>1</v>
      </c>
      <c r="AR57" s="9">
        <v>67.29642</v>
      </c>
      <c r="AS57" s="9">
        <v>67.3</v>
      </c>
      <c r="AT57" s="9">
        <v>119</v>
      </c>
      <c r="AU57" s="9"/>
      <c r="AV57" s="9">
        <v>0</v>
      </c>
      <c r="AW57" s="9" t="s">
        <v>1764</v>
      </c>
      <c r="AX57" s="9">
        <v>46087</v>
      </c>
      <c r="AY57" s="9" t="s">
        <v>1765</v>
      </c>
      <c r="AZ57" s="9" t="s">
        <v>1820</v>
      </c>
      <c r="BA57" s="9">
        <v>45847</v>
      </c>
      <c r="BB57" s="9" t="s">
        <v>785</v>
      </c>
      <c r="BC57" s="9" t="s">
        <v>1821</v>
      </c>
      <c r="BD57" s="9" t="s">
        <v>1566</v>
      </c>
      <c r="BE57" s="13">
        <v>67.29642</v>
      </c>
      <c r="BF57" s="13">
        <v>67.3</v>
      </c>
      <c r="BG57" s="12">
        <v>1</v>
      </c>
      <c r="BH57" s="9">
        <v>67.29642</v>
      </c>
      <c r="BI57" s="9" t="s">
        <v>1567</v>
      </c>
    </row>
    <row r="58" ht="25" customHeight="1" spans="1:61">
      <c r="A58" s="9">
        <v>57</v>
      </c>
      <c r="B58" s="9" t="s">
        <v>1822</v>
      </c>
      <c r="C58" s="9" t="s">
        <v>1823</v>
      </c>
      <c r="D58" s="9" t="s">
        <v>1763</v>
      </c>
      <c r="E58" s="10">
        <v>44875</v>
      </c>
      <c r="F58" s="9">
        <v>3.8248</v>
      </c>
      <c r="G58" s="9" t="s">
        <v>1561</v>
      </c>
      <c r="H58" s="9" t="s">
        <v>542</v>
      </c>
      <c r="I58" s="9">
        <v>60</v>
      </c>
      <c r="J58" s="9" t="s">
        <v>1620</v>
      </c>
      <c r="K58" s="9">
        <v>0</v>
      </c>
      <c r="L58" s="9">
        <v>100</v>
      </c>
      <c r="M58" s="11">
        <v>0.0321</v>
      </c>
      <c r="N58" s="11">
        <v>0.0699</v>
      </c>
      <c r="O58" s="11"/>
      <c r="P58" s="11">
        <v>0.0893160240939426</v>
      </c>
      <c r="Q58" s="9">
        <v>28.75</v>
      </c>
      <c r="R58" s="9">
        <v>65.24</v>
      </c>
      <c r="S58" s="9">
        <v>43.35</v>
      </c>
      <c r="T58" s="11">
        <v>0.6923</v>
      </c>
      <c r="U58" s="11">
        <v>0.7222</v>
      </c>
      <c r="V58" s="11">
        <v>0.738395833333333</v>
      </c>
      <c r="W58" s="9">
        <v>69.23</v>
      </c>
      <c r="X58" s="9">
        <v>73.8395833333333</v>
      </c>
      <c r="Y58" s="9">
        <v>71.07</v>
      </c>
      <c r="Z58" s="9">
        <v>0.0209571064829927</v>
      </c>
      <c r="AA58" s="9">
        <v>0.0424</v>
      </c>
      <c r="AB58" s="9">
        <v>0.0424</v>
      </c>
      <c r="AC58" s="9">
        <v>49.04</v>
      </c>
      <c r="AD58" s="9">
        <v>1.5317</v>
      </c>
      <c r="AE58" s="9">
        <v>0.0424</v>
      </c>
      <c r="AF58" s="9">
        <v>2.10651000221563</v>
      </c>
      <c r="AG58" s="9">
        <v>36.98</v>
      </c>
      <c r="AH58" s="9">
        <v>63.83</v>
      </c>
      <c r="AI58" s="9">
        <v>47.72</v>
      </c>
      <c r="AJ58" s="9">
        <v>0.0699</v>
      </c>
      <c r="AK58" s="9">
        <v>80</v>
      </c>
      <c r="AL58" s="9">
        <v>54</v>
      </c>
      <c r="AM58" s="9">
        <v>51.66</v>
      </c>
      <c r="AN58" s="9">
        <v>49.04</v>
      </c>
      <c r="AO58" s="9">
        <v>47.72</v>
      </c>
      <c r="AP58" s="9">
        <v>80</v>
      </c>
      <c r="AQ58" s="12">
        <v>1</v>
      </c>
      <c r="AR58" s="9">
        <v>53.00887</v>
      </c>
      <c r="AS58" s="9">
        <v>53.01</v>
      </c>
      <c r="AT58" s="9">
        <v>202</v>
      </c>
      <c r="AU58" s="9"/>
      <c r="AV58" s="9">
        <v>0</v>
      </c>
      <c r="AW58" s="9" t="s">
        <v>1764</v>
      </c>
      <c r="AX58" s="9">
        <v>46087</v>
      </c>
      <c r="AY58" s="9" t="s">
        <v>1765</v>
      </c>
      <c r="AZ58" s="9" t="s">
        <v>1824</v>
      </c>
      <c r="BA58" s="9">
        <v>46245</v>
      </c>
      <c r="BB58" s="9" t="s">
        <v>1624</v>
      </c>
      <c r="BC58" s="9" t="s">
        <v>1825</v>
      </c>
      <c r="BD58" s="9" t="s">
        <v>1566</v>
      </c>
      <c r="BE58" s="13">
        <v>53.00887</v>
      </c>
      <c r="BF58" s="13">
        <v>53.01</v>
      </c>
      <c r="BG58" s="12">
        <v>1</v>
      </c>
      <c r="BH58" s="9">
        <v>53.00887</v>
      </c>
      <c r="BI58" s="9" t="s">
        <v>1567</v>
      </c>
    </row>
    <row r="59" ht="25" customHeight="1" spans="1:61">
      <c r="A59" s="9">
        <v>58</v>
      </c>
      <c r="B59" s="9" t="s">
        <v>77</v>
      </c>
      <c r="C59" s="9" t="s">
        <v>78</v>
      </c>
      <c r="D59" s="9" t="s">
        <v>73</v>
      </c>
      <c r="E59" s="10">
        <v>44895</v>
      </c>
      <c r="F59" s="9">
        <v>3.77</v>
      </c>
      <c r="G59" s="9" t="s">
        <v>1561</v>
      </c>
      <c r="H59" s="9" t="s">
        <v>572</v>
      </c>
      <c r="I59" s="9">
        <v>100</v>
      </c>
      <c r="J59" s="9" t="s">
        <v>1562</v>
      </c>
      <c r="K59" s="9">
        <v>100</v>
      </c>
      <c r="L59" s="9">
        <v>100</v>
      </c>
      <c r="M59" s="11">
        <v>0.0809</v>
      </c>
      <c r="N59" s="11">
        <v>0.0564</v>
      </c>
      <c r="O59" s="11"/>
      <c r="P59" s="11">
        <v>0.0443590400602003</v>
      </c>
      <c r="Q59" s="9">
        <v>61.02</v>
      </c>
      <c r="R59" s="9">
        <v>30.48</v>
      </c>
      <c r="S59" s="9">
        <v>48.8</v>
      </c>
      <c r="T59" s="11">
        <v>0.5385</v>
      </c>
      <c r="U59" s="11">
        <v>0.6486</v>
      </c>
      <c r="V59" s="11">
        <v>0.7082375</v>
      </c>
      <c r="W59" s="9">
        <v>53.85</v>
      </c>
      <c r="X59" s="9">
        <v>70.82375</v>
      </c>
      <c r="Y59" s="9">
        <v>60.64</v>
      </c>
      <c r="Z59" s="9">
        <v>0.036606334841629</v>
      </c>
      <c r="AA59" s="9">
        <v>0.0366</v>
      </c>
      <c r="AB59" s="9">
        <v>0.036606334841629</v>
      </c>
      <c r="AC59" s="9">
        <v>53.53</v>
      </c>
      <c r="AD59" s="9">
        <v>2.21</v>
      </c>
      <c r="AE59" s="9"/>
      <c r="AF59" s="9"/>
      <c r="AG59" s="9">
        <v>47.91</v>
      </c>
      <c r="AH59" s="9"/>
      <c r="AI59" s="9">
        <v>47.91</v>
      </c>
      <c r="AJ59" s="9">
        <v>0.0564</v>
      </c>
      <c r="AK59" s="9">
        <v>100</v>
      </c>
      <c r="AL59" s="9">
        <v>100</v>
      </c>
      <c r="AM59" s="9">
        <v>52.35</v>
      </c>
      <c r="AN59" s="9">
        <v>53.53</v>
      </c>
      <c r="AO59" s="9">
        <v>47.91</v>
      </c>
      <c r="AP59" s="9">
        <v>100</v>
      </c>
      <c r="AQ59" s="12">
        <v>0.88</v>
      </c>
      <c r="AR59" s="9">
        <v>57.47723</v>
      </c>
      <c r="AS59" s="9">
        <v>65.32</v>
      </c>
      <c r="AT59" s="9">
        <v>129</v>
      </c>
      <c r="AU59" s="9" t="s">
        <v>1563</v>
      </c>
      <c r="AV59" s="9">
        <v>100</v>
      </c>
      <c r="AW59" s="9" t="s">
        <v>1253</v>
      </c>
      <c r="AX59" s="9">
        <v>46063</v>
      </c>
      <c r="AY59" s="9" t="s">
        <v>1255</v>
      </c>
      <c r="AZ59" s="9" t="s">
        <v>1826</v>
      </c>
      <c r="BA59" s="9">
        <v>45835</v>
      </c>
      <c r="BB59" s="9" t="s">
        <v>785</v>
      </c>
      <c r="BC59" s="9" t="s">
        <v>844</v>
      </c>
      <c r="BD59" s="9" t="s">
        <v>1566</v>
      </c>
      <c r="BE59" s="13"/>
      <c r="BF59" s="13">
        <v>65.32</v>
      </c>
      <c r="BG59" s="12">
        <v>0.88</v>
      </c>
      <c r="BH59" s="9">
        <v>57.47723</v>
      </c>
      <c r="BI59" s="9" t="s">
        <v>1567</v>
      </c>
    </row>
    <row r="60" ht="25" customHeight="1" spans="1:61">
      <c r="A60" s="9">
        <v>59</v>
      </c>
      <c r="B60" s="9" t="s">
        <v>1827</v>
      </c>
      <c r="C60" s="9" t="s">
        <v>1828</v>
      </c>
      <c r="D60" s="9" t="s">
        <v>1829</v>
      </c>
      <c r="E60" s="10">
        <v>44896</v>
      </c>
      <c r="F60" s="9">
        <v>3.7673</v>
      </c>
      <c r="G60" s="9" t="s">
        <v>1561</v>
      </c>
      <c r="H60" s="9" t="s">
        <v>542</v>
      </c>
      <c r="I60" s="9">
        <v>60</v>
      </c>
      <c r="J60" s="9" t="s">
        <v>1620</v>
      </c>
      <c r="K60" s="9">
        <v>0</v>
      </c>
      <c r="L60" s="9">
        <v>100</v>
      </c>
      <c r="M60" s="11">
        <v>0.081</v>
      </c>
      <c r="N60" s="11">
        <v>0.1</v>
      </c>
      <c r="O60" s="11"/>
      <c r="P60" s="11">
        <v>0.109624866813501</v>
      </c>
      <c r="Q60" s="9">
        <v>61.34</v>
      </c>
      <c r="R60" s="9">
        <v>72.86</v>
      </c>
      <c r="S60" s="9">
        <v>65.95</v>
      </c>
      <c r="T60" s="11">
        <v>0.5385</v>
      </c>
      <c r="U60" s="11">
        <v>0.6757</v>
      </c>
      <c r="V60" s="11">
        <v>0.750016666666667</v>
      </c>
      <c r="W60" s="9">
        <v>53.85</v>
      </c>
      <c r="X60" s="9">
        <v>75.0016666666667</v>
      </c>
      <c r="Y60" s="9">
        <v>62.31</v>
      </c>
      <c r="Z60" s="9">
        <v>0.0435999569383141</v>
      </c>
      <c r="AA60" s="9">
        <v>0.0739</v>
      </c>
      <c r="AB60" s="9">
        <v>0.0739</v>
      </c>
      <c r="AC60" s="9">
        <v>33.65</v>
      </c>
      <c r="AD60" s="9">
        <v>1.8578</v>
      </c>
      <c r="AE60" s="9">
        <v>0.0739</v>
      </c>
      <c r="AF60" s="9">
        <v>1.48342174307849</v>
      </c>
      <c r="AG60" s="9">
        <v>43.41</v>
      </c>
      <c r="AH60" s="9">
        <v>51.77</v>
      </c>
      <c r="AI60" s="9">
        <v>46.75</v>
      </c>
      <c r="AJ60" s="9">
        <v>0.1</v>
      </c>
      <c r="AK60" s="9">
        <v>80</v>
      </c>
      <c r="AL60" s="9">
        <v>54</v>
      </c>
      <c r="AM60" s="9">
        <v>64.86</v>
      </c>
      <c r="AN60" s="9">
        <v>33.65</v>
      </c>
      <c r="AO60" s="9">
        <v>46.75</v>
      </c>
      <c r="AP60" s="9">
        <v>80</v>
      </c>
      <c r="AQ60" s="12">
        <v>1</v>
      </c>
      <c r="AR60" s="9">
        <v>51.51006</v>
      </c>
      <c r="AS60" s="9">
        <v>51.51</v>
      </c>
      <c r="AT60" s="9">
        <v>212</v>
      </c>
      <c r="AU60" s="9"/>
      <c r="AV60" s="9">
        <v>0</v>
      </c>
      <c r="AW60" s="9" t="s">
        <v>1830</v>
      </c>
      <c r="AX60" s="9">
        <v>46142</v>
      </c>
      <c r="AY60" s="9" t="s">
        <v>1831</v>
      </c>
      <c r="AZ60" s="9" t="s">
        <v>1832</v>
      </c>
      <c r="BA60" s="9">
        <v>44903</v>
      </c>
      <c r="BB60" s="9" t="s">
        <v>1624</v>
      </c>
      <c r="BC60" s="9" t="s">
        <v>1833</v>
      </c>
      <c r="BD60" s="9" t="s">
        <v>1566</v>
      </c>
      <c r="BE60" s="13">
        <v>51.51006</v>
      </c>
      <c r="BF60" s="13">
        <v>51.51</v>
      </c>
      <c r="BG60" s="12">
        <v>1</v>
      </c>
      <c r="BH60" s="9">
        <v>51.51006</v>
      </c>
      <c r="BI60" s="9" t="s">
        <v>1567</v>
      </c>
    </row>
    <row r="61" ht="25" customHeight="1" spans="1:61">
      <c r="A61" s="9">
        <v>60</v>
      </c>
      <c r="B61" s="9" t="s">
        <v>1834</v>
      </c>
      <c r="C61" s="9" t="s">
        <v>1835</v>
      </c>
      <c r="D61" s="9" t="s">
        <v>284</v>
      </c>
      <c r="E61" s="10">
        <v>44908</v>
      </c>
      <c r="F61" s="9">
        <v>3.7344</v>
      </c>
      <c r="G61" s="9" t="s">
        <v>1561</v>
      </c>
      <c r="H61" s="9" t="s">
        <v>551</v>
      </c>
      <c r="I61" s="9">
        <v>80</v>
      </c>
      <c r="J61" s="9" t="s">
        <v>1562</v>
      </c>
      <c r="K61" s="9">
        <v>100</v>
      </c>
      <c r="L61" s="9">
        <v>100</v>
      </c>
      <c r="M61" s="11">
        <v>0.0795</v>
      </c>
      <c r="N61" s="11">
        <v>0.0761</v>
      </c>
      <c r="O61" s="11"/>
      <c r="P61" s="11">
        <v>0.0744040178585295</v>
      </c>
      <c r="Q61" s="9">
        <v>60.06</v>
      </c>
      <c r="R61" s="9">
        <v>55.24</v>
      </c>
      <c r="S61" s="9">
        <v>58.13</v>
      </c>
      <c r="T61" s="11">
        <v>0.9231</v>
      </c>
      <c r="U61" s="11">
        <v>0.9459</v>
      </c>
      <c r="V61" s="11">
        <v>0.95825</v>
      </c>
      <c r="W61" s="9">
        <v>92.31</v>
      </c>
      <c r="X61" s="9">
        <v>95.825</v>
      </c>
      <c r="Y61" s="9">
        <v>93.72</v>
      </c>
      <c r="Z61" s="9">
        <v>0.00771447701668074</v>
      </c>
      <c r="AA61" s="9">
        <v>0.0077</v>
      </c>
      <c r="AB61" s="9">
        <v>0.00771447701668074</v>
      </c>
      <c r="AC61" s="9">
        <v>87.5</v>
      </c>
      <c r="AD61" s="9">
        <v>10.3053</v>
      </c>
      <c r="AE61" s="9"/>
      <c r="AF61" s="9"/>
      <c r="AG61" s="9">
        <v>80.06</v>
      </c>
      <c r="AH61" s="9"/>
      <c r="AI61" s="9">
        <v>80.06</v>
      </c>
      <c r="AJ61" s="9">
        <v>0.0761</v>
      </c>
      <c r="AK61" s="9">
        <v>100</v>
      </c>
      <c r="AL61" s="9">
        <v>92</v>
      </c>
      <c r="AM61" s="9">
        <v>68.81</v>
      </c>
      <c r="AN61" s="9">
        <v>87.5</v>
      </c>
      <c r="AO61" s="9">
        <v>80.06</v>
      </c>
      <c r="AP61" s="9">
        <v>100</v>
      </c>
      <c r="AQ61" s="12">
        <v>0.88</v>
      </c>
      <c r="AR61" s="9">
        <v>73.84724</v>
      </c>
      <c r="AS61" s="9">
        <v>83.92</v>
      </c>
      <c r="AT61" s="9">
        <v>32</v>
      </c>
      <c r="AU61" s="9" t="s">
        <v>1563</v>
      </c>
      <c r="AV61" s="9">
        <v>10</v>
      </c>
      <c r="AW61" s="9" t="s">
        <v>1350</v>
      </c>
      <c r="AX61" s="9">
        <v>46185</v>
      </c>
      <c r="AY61" s="9" t="s">
        <v>1352</v>
      </c>
      <c r="AZ61" s="9" t="s">
        <v>1836</v>
      </c>
      <c r="BA61" s="9">
        <v>46156</v>
      </c>
      <c r="BB61" s="9" t="s">
        <v>785</v>
      </c>
      <c r="BC61" s="9" t="s">
        <v>1837</v>
      </c>
      <c r="BD61" s="9" t="s">
        <v>1566</v>
      </c>
      <c r="BE61" s="13"/>
      <c r="BF61" s="13">
        <v>83.92</v>
      </c>
      <c r="BG61" s="12">
        <v>0.88</v>
      </c>
      <c r="BH61" s="9">
        <v>73.84724</v>
      </c>
      <c r="BI61" s="9" t="s">
        <v>1567</v>
      </c>
    </row>
    <row r="62" ht="25" customHeight="1" spans="1:63">
      <c r="A62" s="9">
        <v>61</v>
      </c>
      <c r="B62" s="9" t="s">
        <v>1838</v>
      </c>
      <c r="C62" s="9" t="s">
        <v>1839</v>
      </c>
      <c r="D62" s="9" t="s">
        <v>1840</v>
      </c>
      <c r="E62" s="10">
        <v>44911</v>
      </c>
      <c r="F62" s="9">
        <v>3.7262</v>
      </c>
      <c r="G62" s="9" t="s">
        <v>1561</v>
      </c>
      <c r="H62" s="9" t="s">
        <v>551</v>
      </c>
      <c r="I62" s="9">
        <v>80</v>
      </c>
      <c r="J62" s="9" t="s">
        <v>1562</v>
      </c>
      <c r="K62" s="9">
        <v>100</v>
      </c>
      <c r="L62" s="9">
        <v>100</v>
      </c>
      <c r="M62" s="11">
        <v>0.0517</v>
      </c>
      <c r="N62" s="11"/>
      <c r="O62" s="11"/>
      <c r="P62" s="11" t="s">
        <v>1841</v>
      </c>
      <c r="Q62" s="9">
        <v>42.81</v>
      </c>
      <c r="R62" s="9" t="s">
        <v>1841</v>
      </c>
      <c r="S62" s="9" t="s">
        <v>1841</v>
      </c>
      <c r="T62" s="11">
        <v>0.6923</v>
      </c>
      <c r="U62" s="11"/>
      <c r="V62" s="11"/>
      <c r="W62" s="9">
        <v>69.23</v>
      </c>
      <c r="X62" s="9"/>
      <c r="Y62" s="9">
        <v>69.23</v>
      </c>
      <c r="Z62" s="9">
        <v>0.0248295072519451</v>
      </c>
      <c r="AA62" s="9"/>
      <c r="AB62" s="9">
        <v>0.0248295072519451</v>
      </c>
      <c r="AC62" s="9">
        <v>66.67</v>
      </c>
      <c r="AD62" s="9">
        <v>2.0822</v>
      </c>
      <c r="AE62" s="9" t="s">
        <v>1841</v>
      </c>
      <c r="AF62" s="9" t="s">
        <v>1841</v>
      </c>
      <c r="AG62" s="9">
        <v>46.95</v>
      </c>
      <c r="AH62" s="9" t="s">
        <v>1841</v>
      </c>
      <c r="AI62" s="9" t="s">
        <v>1841</v>
      </c>
      <c r="AJ62" s="9"/>
      <c r="AK62" s="9"/>
      <c r="AL62" s="9">
        <v>92</v>
      </c>
      <c r="AM62" s="9">
        <v>50.74</v>
      </c>
      <c r="AN62" s="9">
        <v>66.67</v>
      </c>
      <c r="AO62" s="9">
        <v>46.95</v>
      </c>
      <c r="AP62" s="9"/>
      <c r="AQ62" s="12">
        <v>0.7</v>
      </c>
      <c r="AR62" s="9">
        <v>45.00682</v>
      </c>
      <c r="AS62" s="9">
        <v>64.3</v>
      </c>
      <c r="AT62" s="9">
        <v>134</v>
      </c>
      <c r="AU62" s="9" t="s">
        <v>1841</v>
      </c>
      <c r="AV62" s="9">
        <v>10</v>
      </c>
      <c r="AW62" s="9" t="s">
        <v>1842</v>
      </c>
      <c r="AX62" s="9">
        <v>46246</v>
      </c>
      <c r="AY62" s="9" t="s">
        <v>1843</v>
      </c>
      <c r="AZ62" s="9" t="s">
        <v>1844</v>
      </c>
      <c r="BA62" s="9">
        <v>46234</v>
      </c>
      <c r="BB62" s="9" t="s">
        <v>785</v>
      </c>
      <c r="BC62" s="9" t="s">
        <v>1845</v>
      </c>
      <c r="BD62" s="9" t="s">
        <v>1566</v>
      </c>
      <c r="BE62" s="13"/>
      <c r="BF62" s="13">
        <v>64.3</v>
      </c>
      <c r="BG62" s="12">
        <v>0.7</v>
      </c>
      <c r="BH62" s="9">
        <v>45.00682</v>
      </c>
      <c r="BI62" s="9" t="s">
        <v>1567</v>
      </c>
      <c r="BJ62" t="s">
        <v>1846</v>
      </c>
      <c r="BK62" t="s">
        <v>1847</v>
      </c>
    </row>
    <row r="63" ht="25" customHeight="1" spans="1:61">
      <c r="A63" s="9">
        <v>62</v>
      </c>
      <c r="B63" s="9" t="s">
        <v>1848</v>
      </c>
      <c r="C63" s="9" t="s">
        <v>1849</v>
      </c>
      <c r="D63" s="9" t="s">
        <v>183</v>
      </c>
      <c r="E63" s="10">
        <v>44936</v>
      </c>
      <c r="F63" s="9">
        <v>3.6578</v>
      </c>
      <c r="G63" s="9" t="s">
        <v>1561</v>
      </c>
      <c r="H63" s="9" t="s">
        <v>542</v>
      </c>
      <c r="I63" s="9">
        <v>60</v>
      </c>
      <c r="J63" s="9" t="s">
        <v>1562</v>
      </c>
      <c r="K63" s="9">
        <v>100</v>
      </c>
      <c r="L63" s="9">
        <v>100</v>
      </c>
      <c r="M63" s="11">
        <v>0.0652</v>
      </c>
      <c r="N63" s="11">
        <v>0.0495</v>
      </c>
      <c r="O63" s="11"/>
      <c r="P63" s="11">
        <v>0.0417369903098912</v>
      </c>
      <c r="Q63" s="9">
        <v>51.28</v>
      </c>
      <c r="R63" s="9">
        <v>27.14</v>
      </c>
      <c r="S63" s="9">
        <v>41.62</v>
      </c>
      <c r="T63" s="11">
        <v>0.7692</v>
      </c>
      <c r="U63" s="11">
        <v>0.7027</v>
      </c>
      <c r="V63" s="11">
        <v>0.666679166666667</v>
      </c>
      <c r="W63" s="9">
        <v>76.92</v>
      </c>
      <c r="X63" s="9">
        <v>66.6679166666667</v>
      </c>
      <c r="Y63" s="9">
        <v>72.82</v>
      </c>
      <c r="Z63" s="9">
        <v>0.00939738545134835</v>
      </c>
      <c r="AA63" s="9">
        <v>0.0248</v>
      </c>
      <c r="AB63" s="9">
        <v>0.0248</v>
      </c>
      <c r="AC63" s="9">
        <v>66.99</v>
      </c>
      <c r="AD63" s="9">
        <v>6.9381</v>
      </c>
      <c r="AE63" s="9">
        <v>0.0248</v>
      </c>
      <c r="AF63" s="9">
        <v>1.6829431576569</v>
      </c>
      <c r="AG63" s="9">
        <v>71.06</v>
      </c>
      <c r="AH63" s="9">
        <v>56.74</v>
      </c>
      <c r="AI63" s="9">
        <v>65.33</v>
      </c>
      <c r="AJ63" s="9">
        <v>0.0495</v>
      </c>
      <c r="AK63" s="9">
        <v>100</v>
      </c>
      <c r="AL63" s="9">
        <v>84</v>
      </c>
      <c r="AM63" s="9">
        <v>50.98</v>
      </c>
      <c r="AN63" s="9">
        <v>66.99</v>
      </c>
      <c r="AO63" s="9">
        <v>65.33</v>
      </c>
      <c r="AP63" s="9">
        <v>100</v>
      </c>
      <c r="AQ63" s="12">
        <v>1</v>
      </c>
      <c r="AR63" s="9">
        <v>69.14361</v>
      </c>
      <c r="AS63" s="9">
        <v>69.14</v>
      </c>
      <c r="AT63" s="9">
        <v>110</v>
      </c>
      <c r="AU63" s="9"/>
      <c r="AV63" s="9">
        <v>0</v>
      </c>
      <c r="AW63" s="9" t="s">
        <v>1294</v>
      </c>
      <c r="AX63" s="9">
        <v>46241</v>
      </c>
      <c r="AY63" s="9" t="s">
        <v>1298</v>
      </c>
      <c r="AZ63" s="9" t="s">
        <v>1850</v>
      </c>
      <c r="BA63" s="9">
        <v>45849</v>
      </c>
      <c r="BB63" s="9" t="s">
        <v>785</v>
      </c>
      <c r="BC63" s="9" t="s">
        <v>1851</v>
      </c>
      <c r="BD63" s="9" t="s">
        <v>1566</v>
      </c>
      <c r="BE63" s="13">
        <v>69.14361</v>
      </c>
      <c r="BF63" s="13">
        <v>69.14</v>
      </c>
      <c r="BG63" s="12">
        <v>1</v>
      </c>
      <c r="BH63" s="9">
        <v>69.14361</v>
      </c>
      <c r="BI63" s="9" t="s">
        <v>1567</v>
      </c>
    </row>
    <row r="64" ht="25" customHeight="1" spans="1:61">
      <c r="A64" s="9">
        <v>63</v>
      </c>
      <c r="B64" s="9" t="s">
        <v>1852</v>
      </c>
      <c r="C64" s="9" t="s">
        <v>1853</v>
      </c>
      <c r="D64" s="9" t="s">
        <v>1854</v>
      </c>
      <c r="E64" s="10">
        <v>44959</v>
      </c>
      <c r="F64" s="9">
        <v>3.5948</v>
      </c>
      <c r="G64" s="9" t="s">
        <v>1561</v>
      </c>
      <c r="H64" s="9" t="s">
        <v>542</v>
      </c>
      <c r="I64" s="9">
        <v>60</v>
      </c>
      <c r="J64" s="9" t="s">
        <v>1620</v>
      </c>
      <c r="K64" s="9">
        <v>0</v>
      </c>
      <c r="L64" s="9">
        <v>100</v>
      </c>
      <c r="M64" s="11">
        <v>-0.0685</v>
      </c>
      <c r="N64" s="11">
        <v>0.0225</v>
      </c>
      <c r="O64" s="11"/>
      <c r="P64" s="11">
        <v>0.071281352671082</v>
      </c>
      <c r="Q64" s="9">
        <v>6.39</v>
      </c>
      <c r="R64" s="9">
        <v>52.38</v>
      </c>
      <c r="S64" s="9">
        <v>24.79</v>
      </c>
      <c r="T64" s="11">
        <v>0.3077</v>
      </c>
      <c r="U64" s="11">
        <v>0.6111</v>
      </c>
      <c r="V64" s="11">
        <v>0.775441666666667</v>
      </c>
      <c r="W64" s="9">
        <v>30.77</v>
      </c>
      <c r="X64" s="9">
        <v>77.5441666666667</v>
      </c>
      <c r="Y64" s="9">
        <v>49.48</v>
      </c>
      <c r="Z64" s="9">
        <v>0.0841626735471188</v>
      </c>
      <c r="AA64" s="9">
        <v>0.0942</v>
      </c>
      <c r="AB64" s="9">
        <v>0.0942</v>
      </c>
      <c r="AC64" s="9">
        <v>27.88</v>
      </c>
      <c r="AD64" s="9">
        <v>-0.8139</v>
      </c>
      <c r="AE64" s="9">
        <v>0.0942</v>
      </c>
      <c r="AF64" s="9">
        <v>0.756702257654799</v>
      </c>
      <c r="AG64" s="9">
        <v>1.93</v>
      </c>
      <c r="AH64" s="9">
        <v>26.24</v>
      </c>
      <c r="AI64" s="9">
        <v>11.65</v>
      </c>
      <c r="AJ64" s="9">
        <v>0.0225</v>
      </c>
      <c r="AK64" s="9">
        <v>80</v>
      </c>
      <c r="AL64" s="9">
        <v>54</v>
      </c>
      <c r="AM64" s="9">
        <v>32.19</v>
      </c>
      <c r="AN64" s="9">
        <v>27.88</v>
      </c>
      <c r="AO64" s="9">
        <v>11.65</v>
      </c>
      <c r="AP64" s="9">
        <v>80</v>
      </c>
      <c r="AQ64" s="12">
        <v>1</v>
      </c>
      <c r="AR64" s="9">
        <v>33.00502</v>
      </c>
      <c r="AS64" s="9">
        <v>33.01</v>
      </c>
      <c r="AT64" s="9">
        <v>289</v>
      </c>
      <c r="AU64" s="9"/>
      <c r="AV64" s="9">
        <v>0</v>
      </c>
      <c r="AW64" s="9" t="s">
        <v>1855</v>
      </c>
      <c r="AX64" s="9">
        <v>46260</v>
      </c>
      <c r="AY64" s="9" t="s">
        <v>1856</v>
      </c>
      <c r="AZ64" s="9" t="s">
        <v>1857</v>
      </c>
      <c r="BA64" s="9">
        <v>45674</v>
      </c>
      <c r="BB64" s="9" t="s">
        <v>1624</v>
      </c>
      <c r="BC64" s="9" t="s">
        <v>1858</v>
      </c>
      <c r="BD64" s="9" t="s">
        <v>1566</v>
      </c>
      <c r="BE64" s="13">
        <v>33.00502</v>
      </c>
      <c r="BF64" s="13">
        <v>33.01</v>
      </c>
      <c r="BG64" s="12">
        <v>1</v>
      </c>
      <c r="BH64" s="9">
        <v>33.00502</v>
      </c>
      <c r="BI64" s="9" t="s">
        <v>1567</v>
      </c>
    </row>
    <row r="65" ht="25" customHeight="1" spans="1:61">
      <c r="A65" s="9">
        <v>64</v>
      </c>
      <c r="B65" s="9" t="s">
        <v>1859</v>
      </c>
      <c r="C65" s="9" t="s">
        <v>1860</v>
      </c>
      <c r="D65" s="9" t="s">
        <v>1668</v>
      </c>
      <c r="E65" s="10">
        <v>45006</v>
      </c>
      <c r="F65" s="9">
        <v>3.4661</v>
      </c>
      <c r="G65" s="9" t="s">
        <v>1561</v>
      </c>
      <c r="H65" s="9" t="s">
        <v>542</v>
      </c>
      <c r="I65" s="9">
        <v>60</v>
      </c>
      <c r="J65" s="9" t="s">
        <v>1620</v>
      </c>
      <c r="K65" s="9">
        <v>0</v>
      </c>
      <c r="L65" s="9">
        <v>100</v>
      </c>
      <c r="M65" s="11">
        <v>-0.0584</v>
      </c>
      <c r="N65" s="11">
        <v>0.0822</v>
      </c>
      <c r="O65" s="11"/>
      <c r="P65" s="11">
        <v>0.160187199361205</v>
      </c>
      <c r="Q65" s="9">
        <v>6.71</v>
      </c>
      <c r="R65" s="9">
        <v>87.62</v>
      </c>
      <c r="S65" s="9">
        <v>39.07</v>
      </c>
      <c r="T65" s="11">
        <v>0.5385</v>
      </c>
      <c r="U65" s="11">
        <v>0.5676</v>
      </c>
      <c r="V65" s="11">
        <v>0.5833625</v>
      </c>
      <c r="W65" s="9">
        <v>53.85</v>
      </c>
      <c r="X65" s="9">
        <v>58.33625</v>
      </c>
      <c r="Y65" s="9">
        <v>55.64</v>
      </c>
      <c r="Z65" s="9">
        <v>0.151846073842954</v>
      </c>
      <c r="AA65" s="9">
        <v>0.1832</v>
      </c>
      <c r="AB65" s="9">
        <v>0.1832</v>
      </c>
      <c r="AC65" s="9">
        <v>12.5</v>
      </c>
      <c r="AD65" s="9">
        <v>-0.3846</v>
      </c>
      <c r="AE65" s="9">
        <v>0.1832</v>
      </c>
      <c r="AF65" s="9">
        <v>0.874384275989112</v>
      </c>
      <c r="AG65" s="9">
        <v>9.32</v>
      </c>
      <c r="AH65" s="9">
        <v>29.79</v>
      </c>
      <c r="AI65" s="9">
        <v>17.51</v>
      </c>
      <c r="AJ65" s="9">
        <v>0.0822</v>
      </c>
      <c r="AK65" s="9">
        <v>80</v>
      </c>
      <c r="AL65" s="9">
        <v>54</v>
      </c>
      <c r="AM65" s="9">
        <v>44.05</v>
      </c>
      <c r="AN65" s="9">
        <v>12.5</v>
      </c>
      <c r="AO65" s="9">
        <v>17.51</v>
      </c>
      <c r="AP65" s="9">
        <v>80</v>
      </c>
      <c r="AQ65" s="12">
        <v>1</v>
      </c>
      <c r="AR65" s="9">
        <v>33.28643</v>
      </c>
      <c r="AS65" s="9">
        <v>33.29</v>
      </c>
      <c r="AT65" s="9">
        <v>288</v>
      </c>
      <c r="AU65" s="9"/>
      <c r="AV65" s="9">
        <v>0</v>
      </c>
      <c r="AW65" s="9" t="s">
        <v>1669</v>
      </c>
      <c r="AX65" s="9">
        <v>46212</v>
      </c>
      <c r="AY65" s="9" t="s">
        <v>1670</v>
      </c>
      <c r="AZ65" s="9" t="s">
        <v>1861</v>
      </c>
      <c r="BA65" s="9">
        <v>45554</v>
      </c>
      <c r="BB65" s="9" t="s">
        <v>1624</v>
      </c>
      <c r="BC65" s="9" t="s">
        <v>1862</v>
      </c>
      <c r="BD65" s="9" t="s">
        <v>1566</v>
      </c>
      <c r="BE65" s="13">
        <v>33.28643</v>
      </c>
      <c r="BF65" s="13">
        <v>33.29</v>
      </c>
      <c r="BG65" s="12">
        <v>1</v>
      </c>
      <c r="BH65" s="9">
        <v>33.28643</v>
      </c>
      <c r="BI65" s="9" t="s">
        <v>1567</v>
      </c>
    </row>
    <row r="66" ht="25" customHeight="1" spans="1:61">
      <c r="A66" s="9">
        <v>65</v>
      </c>
      <c r="B66" s="9" t="s">
        <v>1863</v>
      </c>
      <c r="C66" s="9" t="s">
        <v>1864</v>
      </c>
      <c r="D66" s="9" t="s">
        <v>1865</v>
      </c>
      <c r="E66" s="10">
        <v>44992</v>
      </c>
      <c r="F66" s="9">
        <v>3.5044</v>
      </c>
      <c r="G66" s="9" t="s">
        <v>1561</v>
      </c>
      <c r="H66" s="9" t="s">
        <v>551</v>
      </c>
      <c r="I66" s="9">
        <v>80</v>
      </c>
      <c r="J66" s="9" t="s">
        <v>1562</v>
      </c>
      <c r="K66" s="9">
        <v>100</v>
      </c>
      <c r="L66" s="9">
        <v>100</v>
      </c>
      <c r="M66" s="11">
        <v>0.0262</v>
      </c>
      <c r="N66" s="11">
        <v>0.0228</v>
      </c>
      <c r="O66" s="11"/>
      <c r="P66" s="11">
        <v>0.0211042266583139</v>
      </c>
      <c r="Q66" s="9">
        <v>24.92</v>
      </c>
      <c r="R66" s="9">
        <v>8.1</v>
      </c>
      <c r="S66" s="9">
        <v>18.19</v>
      </c>
      <c r="T66" s="11">
        <v>0.6154</v>
      </c>
      <c r="U66" s="11">
        <v>0.6667</v>
      </c>
      <c r="V66" s="11">
        <v>0.6944875</v>
      </c>
      <c r="W66" s="9">
        <v>61.54</v>
      </c>
      <c r="X66" s="9">
        <v>69.44875</v>
      </c>
      <c r="Y66" s="9">
        <v>64.7</v>
      </c>
      <c r="Z66" s="9">
        <v>0.0224854102300034</v>
      </c>
      <c r="AA66" s="9">
        <v>0.0539</v>
      </c>
      <c r="AB66" s="9">
        <v>0.0539</v>
      </c>
      <c r="AC66" s="9">
        <v>42.31</v>
      </c>
      <c r="AD66" s="9">
        <v>1.1652</v>
      </c>
      <c r="AE66" s="9">
        <v>0.0539</v>
      </c>
      <c r="AF66" s="9">
        <v>0.391544093846269</v>
      </c>
      <c r="AG66" s="9">
        <v>33.76</v>
      </c>
      <c r="AH66" s="9">
        <v>14.89</v>
      </c>
      <c r="AI66" s="9">
        <v>26.21</v>
      </c>
      <c r="AJ66" s="9">
        <v>0.0228</v>
      </c>
      <c r="AK66" s="9">
        <v>100</v>
      </c>
      <c r="AL66" s="9">
        <v>92</v>
      </c>
      <c r="AM66" s="9">
        <v>32.15</v>
      </c>
      <c r="AN66" s="9">
        <v>42.31</v>
      </c>
      <c r="AO66" s="9">
        <v>26.21</v>
      </c>
      <c r="AP66" s="9">
        <v>100</v>
      </c>
      <c r="AQ66" s="12">
        <v>1</v>
      </c>
      <c r="AR66" s="9">
        <v>48.67019</v>
      </c>
      <c r="AS66" s="9">
        <v>48.67</v>
      </c>
      <c r="AT66" s="9">
        <v>228</v>
      </c>
      <c r="AU66" s="9"/>
      <c r="AV66" s="9">
        <v>10</v>
      </c>
      <c r="AW66" s="9" t="s">
        <v>1866</v>
      </c>
      <c r="AX66" s="9">
        <v>46246</v>
      </c>
      <c r="AY66" s="9" t="s">
        <v>1867</v>
      </c>
      <c r="AZ66" s="9" t="s">
        <v>1868</v>
      </c>
      <c r="BA66" s="9">
        <v>45636</v>
      </c>
      <c r="BB66" s="9" t="s">
        <v>785</v>
      </c>
      <c r="BC66" s="9" t="s">
        <v>1869</v>
      </c>
      <c r="BD66" s="9" t="s">
        <v>1566</v>
      </c>
      <c r="BE66" s="13">
        <v>48.67019</v>
      </c>
      <c r="BF66" s="13">
        <v>48.67</v>
      </c>
      <c r="BG66" s="12">
        <v>1</v>
      </c>
      <c r="BH66" s="9">
        <v>48.67019</v>
      </c>
      <c r="BI66" s="9" t="s">
        <v>1567</v>
      </c>
    </row>
    <row r="67" ht="25" customHeight="1" spans="1:61">
      <c r="A67" s="9">
        <v>66</v>
      </c>
      <c r="B67" s="9" t="s">
        <v>312</v>
      </c>
      <c r="C67" s="9" t="s">
        <v>313</v>
      </c>
      <c r="D67" s="9" t="s">
        <v>314</v>
      </c>
      <c r="E67" s="10">
        <v>45023</v>
      </c>
      <c r="F67" s="9">
        <v>3.4196</v>
      </c>
      <c r="G67" s="9" t="s">
        <v>1561</v>
      </c>
      <c r="H67" s="9" t="s">
        <v>561</v>
      </c>
      <c r="I67" s="9">
        <v>90</v>
      </c>
      <c r="J67" s="9" t="s">
        <v>1562</v>
      </c>
      <c r="K67" s="9">
        <v>100</v>
      </c>
      <c r="L67" s="9">
        <v>100</v>
      </c>
      <c r="M67" s="11">
        <v>0.0967</v>
      </c>
      <c r="N67" s="11">
        <v>0.0492</v>
      </c>
      <c r="O67" s="11"/>
      <c r="P67" s="11">
        <v>0.0262271521726054</v>
      </c>
      <c r="Q67" s="9">
        <v>72.2</v>
      </c>
      <c r="R67" s="9">
        <v>13.33</v>
      </c>
      <c r="S67" s="9">
        <v>48.65</v>
      </c>
      <c r="T67" s="11">
        <v>1</v>
      </c>
      <c r="U67" s="11">
        <v>0.8611</v>
      </c>
      <c r="V67" s="11">
        <v>0.7858625</v>
      </c>
      <c r="W67" s="9">
        <v>100</v>
      </c>
      <c r="X67" s="9">
        <v>78.58625</v>
      </c>
      <c r="Y67" s="9">
        <v>91.43</v>
      </c>
      <c r="Z67" s="9">
        <v>0.0013014909945437</v>
      </c>
      <c r="AA67" s="9">
        <v>0.0068</v>
      </c>
      <c r="AB67" s="9">
        <v>0.0068</v>
      </c>
      <c r="AC67" s="9">
        <v>88.78</v>
      </c>
      <c r="AD67" s="9">
        <v>74.2994</v>
      </c>
      <c r="AE67" s="9">
        <v>0.0068</v>
      </c>
      <c r="AF67" s="9">
        <v>3.85693414303021</v>
      </c>
      <c r="AG67" s="9">
        <v>99.36</v>
      </c>
      <c r="AH67" s="9">
        <v>80.85</v>
      </c>
      <c r="AI67" s="9">
        <v>91.96</v>
      </c>
      <c r="AJ67" s="9">
        <v>0.0492</v>
      </c>
      <c r="AK67" s="9">
        <v>100</v>
      </c>
      <c r="AL67" s="9">
        <v>96</v>
      </c>
      <c r="AM67" s="9">
        <v>61.49</v>
      </c>
      <c r="AN67" s="9">
        <v>88.78</v>
      </c>
      <c r="AO67" s="9">
        <v>91.96</v>
      </c>
      <c r="AP67" s="9">
        <v>100</v>
      </c>
      <c r="AQ67" s="12">
        <v>1</v>
      </c>
      <c r="AR67" s="9">
        <v>86.47915</v>
      </c>
      <c r="AS67" s="9">
        <v>86.48</v>
      </c>
      <c r="AT67" s="9">
        <v>21</v>
      </c>
      <c r="AU67" s="9"/>
      <c r="AV67" s="9">
        <v>50</v>
      </c>
      <c r="AW67" s="9" t="s">
        <v>1356</v>
      </c>
      <c r="AX67" s="9">
        <v>46239</v>
      </c>
      <c r="AY67" s="9" t="s">
        <v>1358</v>
      </c>
      <c r="AZ67" s="9" t="s">
        <v>1870</v>
      </c>
      <c r="BA67" s="9">
        <v>45742</v>
      </c>
      <c r="BB67" s="9" t="s">
        <v>785</v>
      </c>
      <c r="BC67" s="9" t="s">
        <v>926</v>
      </c>
      <c r="BD67" s="9" t="s">
        <v>1566</v>
      </c>
      <c r="BE67" s="13">
        <v>86.47915</v>
      </c>
      <c r="BF67" s="13">
        <v>86.48</v>
      </c>
      <c r="BG67" s="12">
        <v>1</v>
      </c>
      <c r="BH67" s="9">
        <v>86.47915</v>
      </c>
      <c r="BI67" s="9" t="s">
        <v>1567</v>
      </c>
    </row>
    <row r="68" ht="25" customHeight="1" spans="1:63">
      <c r="A68" s="9">
        <v>67</v>
      </c>
      <c r="B68" s="9" t="s">
        <v>1871</v>
      </c>
      <c r="C68" s="9" t="s">
        <v>1872</v>
      </c>
      <c r="D68" s="9" t="s">
        <v>1668</v>
      </c>
      <c r="E68" s="10">
        <v>45061</v>
      </c>
      <c r="F68" s="9">
        <v>3.3155</v>
      </c>
      <c r="G68" s="9" t="s">
        <v>1561</v>
      </c>
      <c r="H68" s="9" t="s">
        <v>542</v>
      </c>
      <c r="I68" s="9">
        <v>60</v>
      </c>
      <c r="J68" s="9" t="s">
        <v>1620</v>
      </c>
      <c r="K68" s="9">
        <v>0</v>
      </c>
      <c r="L68" s="9">
        <v>100</v>
      </c>
      <c r="M68" s="11">
        <v>0.0078</v>
      </c>
      <c r="N68" s="11"/>
      <c r="O68" s="11"/>
      <c r="P68" s="11" t="s">
        <v>1841</v>
      </c>
      <c r="Q68" s="9">
        <v>17.25</v>
      </c>
      <c r="R68" s="9" t="s">
        <v>1841</v>
      </c>
      <c r="S68" s="9" t="s">
        <v>1841</v>
      </c>
      <c r="T68" s="11">
        <v>0.4615</v>
      </c>
      <c r="U68" s="11"/>
      <c r="V68" s="11"/>
      <c r="W68" s="9">
        <v>46.15</v>
      </c>
      <c r="X68" s="9"/>
      <c r="Y68" s="9">
        <v>46.15</v>
      </c>
      <c r="Z68" s="9">
        <v>0.195</v>
      </c>
      <c r="AA68" s="9"/>
      <c r="AB68" s="9">
        <v>0.195</v>
      </c>
      <c r="AC68" s="9">
        <v>10.9</v>
      </c>
      <c r="AD68" s="9">
        <v>0.04</v>
      </c>
      <c r="AE68" s="9" t="s">
        <v>1841</v>
      </c>
      <c r="AF68" s="9" t="s">
        <v>1841</v>
      </c>
      <c r="AG68" s="9">
        <v>15.76</v>
      </c>
      <c r="AH68" s="9" t="s">
        <v>1841</v>
      </c>
      <c r="AI68" s="9" t="s">
        <v>1841</v>
      </c>
      <c r="AJ68" s="9"/>
      <c r="AK68" s="9"/>
      <c r="AL68" s="9">
        <v>54</v>
      </c>
      <c r="AM68" s="9">
        <v>25.92</v>
      </c>
      <c r="AN68" s="9">
        <v>10.9</v>
      </c>
      <c r="AO68" s="9">
        <v>15.76</v>
      </c>
      <c r="AP68" s="9"/>
      <c r="AQ68" s="12">
        <v>0.7</v>
      </c>
      <c r="AR68" s="9">
        <v>16.7722</v>
      </c>
      <c r="AS68" s="9">
        <v>23.96</v>
      </c>
      <c r="AT68" s="9">
        <v>311</v>
      </c>
      <c r="AU68" s="9" t="s">
        <v>1841</v>
      </c>
      <c r="AV68" s="9">
        <v>0</v>
      </c>
      <c r="AW68" s="9" t="s">
        <v>1669</v>
      </c>
      <c r="AX68" s="9">
        <v>46212</v>
      </c>
      <c r="AY68" s="9" t="s">
        <v>1670</v>
      </c>
      <c r="AZ68" s="9" t="s">
        <v>1873</v>
      </c>
      <c r="BA68" s="9">
        <v>45979</v>
      </c>
      <c r="BB68" s="9" t="s">
        <v>1624</v>
      </c>
      <c r="BC68" s="9" t="s">
        <v>1874</v>
      </c>
      <c r="BD68" s="9" t="s">
        <v>1566</v>
      </c>
      <c r="BE68" s="13"/>
      <c r="BF68" s="13">
        <v>23.96</v>
      </c>
      <c r="BG68" s="12">
        <v>0.7</v>
      </c>
      <c r="BH68" s="9">
        <v>16.7722</v>
      </c>
      <c r="BI68" s="9" t="s">
        <v>1567</v>
      </c>
      <c r="BJ68" t="s">
        <v>1875</v>
      </c>
      <c r="BK68" t="s">
        <v>1847</v>
      </c>
    </row>
    <row r="69" ht="25" customHeight="1" spans="1:61">
      <c r="A69" s="9">
        <v>68</v>
      </c>
      <c r="B69" s="9" t="s">
        <v>1876</v>
      </c>
      <c r="C69" s="9" t="s">
        <v>1877</v>
      </c>
      <c r="D69" s="9" t="s">
        <v>1878</v>
      </c>
      <c r="E69" s="10">
        <v>44998</v>
      </c>
      <c r="F69" s="9">
        <v>3.488</v>
      </c>
      <c r="G69" s="9" t="s">
        <v>1561</v>
      </c>
      <c r="H69" s="9" t="s">
        <v>542</v>
      </c>
      <c r="I69" s="9">
        <v>60</v>
      </c>
      <c r="J69" s="9" t="s">
        <v>1620</v>
      </c>
      <c r="K69" s="9">
        <v>0</v>
      </c>
      <c r="L69" s="9">
        <v>100</v>
      </c>
      <c r="M69" s="11">
        <v>0.0488</v>
      </c>
      <c r="N69" s="11">
        <v>0.1031</v>
      </c>
      <c r="O69" s="11"/>
      <c r="P69" s="11">
        <v>0.131295312248507</v>
      </c>
      <c r="Q69" s="9">
        <v>41.85</v>
      </c>
      <c r="R69" s="9">
        <v>80.95</v>
      </c>
      <c r="S69" s="9">
        <v>57.49</v>
      </c>
      <c r="T69" s="11">
        <v>0.7692</v>
      </c>
      <c r="U69" s="11">
        <v>0.7027</v>
      </c>
      <c r="V69" s="11">
        <v>0.666679166666667</v>
      </c>
      <c r="W69" s="9">
        <v>76.92</v>
      </c>
      <c r="X69" s="9">
        <v>66.6679166666667</v>
      </c>
      <c r="Y69" s="9">
        <v>72.82</v>
      </c>
      <c r="Z69" s="9">
        <v>0.00640344316288103</v>
      </c>
      <c r="AA69" s="9">
        <v>0.0922</v>
      </c>
      <c r="AB69" s="9">
        <v>0.0922</v>
      </c>
      <c r="AC69" s="9">
        <v>28.21</v>
      </c>
      <c r="AD69" s="9">
        <v>7.6209</v>
      </c>
      <c r="AE69" s="9">
        <v>0.0922</v>
      </c>
      <c r="AF69" s="9">
        <v>1.42402724781461</v>
      </c>
      <c r="AG69" s="9">
        <v>72.67</v>
      </c>
      <c r="AH69" s="9">
        <v>50.35</v>
      </c>
      <c r="AI69" s="9">
        <v>63.74</v>
      </c>
      <c r="AJ69" s="9">
        <v>0.1031</v>
      </c>
      <c r="AK69" s="9">
        <v>80</v>
      </c>
      <c r="AL69" s="9">
        <v>54</v>
      </c>
      <c r="AM69" s="9">
        <v>62.09</v>
      </c>
      <c r="AN69" s="9">
        <v>28.21</v>
      </c>
      <c r="AO69" s="9">
        <v>63.74</v>
      </c>
      <c r="AP69" s="9">
        <v>80</v>
      </c>
      <c r="AQ69" s="12">
        <v>1</v>
      </c>
      <c r="AR69" s="9">
        <v>54.69285</v>
      </c>
      <c r="AS69" s="9">
        <v>54.69</v>
      </c>
      <c r="AT69" s="9">
        <v>191</v>
      </c>
      <c r="AU69" s="9"/>
      <c r="AV69" s="9">
        <v>0</v>
      </c>
      <c r="AW69" s="9" t="s">
        <v>1879</v>
      </c>
      <c r="AX69" s="9">
        <v>46258</v>
      </c>
      <c r="AY69" s="9" t="s">
        <v>1880</v>
      </c>
      <c r="AZ69" s="9" t="s">
        <v>1881</v>
      </c>
      <c r="BA69" s="9">
        <v>45548</v>
      </c>
      <c r="BB69" s="9" t="s">
        <v>1624</v>
      </c>
      <c r="BC69" s="9" t="s">
        <v>1882</v>
      </c>
      <c r="BD69" s="9" t="s">
        <v>1566</v>
      </c>
      <c r="BE69" s="13">
        <v>54.69285</v>
      </c>
      <c r="BF69" s="13">
        <v>54.69</v>
      </c>
      <c r="BG69" s="12">
        <v>1</v>
      </c>
      <c r="BH69" s="9">
        <v>54.69285</v>
      </c>
      <c r="BI69" s="9" t="s">
        <v>1567</v>
      </c>
    </row>
    <row r="70" ht="25" customHeight="1" spans="1:61">
      <c r="A70" s="9">
        <v>69</v>
      </c>
      <c r="B70" s="9" t="s">
        <v>1883</v>
      </c>
      <c r="C70" s="9" t="s">
        <v>1884</v>
      </c>
      <c r="D70" s="9" t="s">
        <v>1885</v>
      </c>
      <c r="E70" s="10">
        <v>45042</v>
      </c>
      <c r="F70" s="9">
        <v>3.3676</v>
      </c>
      <c r="G70" s="9" t="s">
        <v>1561</v>
      </c>
      <c r="H70" s="9" t="s">
        <v>557</v>
      </c>
      <c r="I70" s="9">
        <v>90</v>
      </c>
      <c r="J70" s="9" t="s">
        <v>1562</v>
      </c>
      <c r="K70" s="9">
        <v>100</v>
      </c>
      <c r="L70" s="9">
        <v>100</v>
      </c>
      <c r="M70" s="11">
        <v>0.0466</v>
      </c>
      <c r="N70" s="11">
        <v>0.1109</v>
      </c>
      <c r="O70" s="11"/>
      <c r="P70" s="11">
        <v>0.144516570785917</v>
      </c>
      <c r="Q70" s="9">
        <v>39.3</v>
      </c>
      <c r="R70" s="9">
        <v>84.76</v>
      </c>
      <c r="S70" s="9">
        <v>57.48</v>
      </c>
      <c r="T70" s="11">
        <v>0.8462</v>
      </c>
      <c r="U70" s="11">
        <v>0.8649</v>
      </c>
      <c r="V70" s="11">
        <v>0.875029166666667</v>
      </c>
      <c r="W70" s="9">
        <v>84.62</v>
      </c>
      <c r="X70" s="9">
        <v>87.5029166666667</v>
      </c>
      <c r="Y70" s="9">
        <v>85.77</v>
      </c>
      <c r="Z70" s="9">
        <v>0.0115992532669571</v>
      </c>
      <c r="AA70" s="9">
        <v>0.0116</v>
      </c>
      <c r="AB70" s="9">
        <v>0.0116</v>
      </c>
      <c r="AC70" s="9">
        <v>82.05</v>
      </c>
      <c r="AD70" s="9">
        <v>4.0175</v>
      </c>
      <c r="AE70" s="9"/>
      <c r="AF70" s="9"/>
      <c r="AG70" s="9">
        <v>59.81</v>
      </c>
      <c r="AH70" s="9"/>
      <c r="AI70" s="9">
        <v>59.81</v>
      </c>
      <c r="AJ70" s="9">
        <v>0.1109</v>
      </c>
      <c r="AK70" s="9">
        <v>80</v>
      </c>
      <c r="AL70" s="9">
        <v>96</v>
      </c>
      <c r="AM70" s="9">
        <v>65.97</v>
      </c>
      <c r="AN70" s="9">
        <v>82.05</v>
      </c>
      <c r="AO70" s="9">
        <v>59.81</v>
      </c>
      <c r="AP70" s="9">
        <v>80</v>
      </c>
      <c r="AQ70" s="12">
        <v>0.88</v>
      </c>
      <c r="AR70" s="9">
        <v>66.87245</v>
      </c>
      <c r="AS70" s="9">
        <v>75.99</v>
      </c>
      <c r="AT70" s="9">
        <v>67</v>
      </c>
      <c r="AU70" s="9" t="s">
        <v>1563</v>
      </c>
      <c r="AV70" s="9">
        <v>20</v>
      </c>
      <c r="AW70" s="9" t="s">
        <v>1886</v>
      </c>
      <c r="AX70" s="9">
        <v>46108</v>
      </c>
      <c r="AY70" s="9" t="s">
        <v>1887</v>
      </c>
      <c r="AZ70" s="9" t="s">
        <v>1888</v>
      </c>
      <c r="BA70" s="9">
        <v>46238</v>
      </c>
      <c r="BB70" s="9" t="s">
        <v>785</v>
      </c>
      <c r="BC70" s="9" t="s">
        <v>1889</v>
      </c>
      <c r="BD70" s="9" t="s">
        <v>1566</v>
      </c>
      <c r="BE70" s="13"/>
      <c r="BF70" s="13">
        <v>75.99</v>
      </c>
      <c r="BG70" s="12">
        <v>0.88</v>
      </c>
      <c r="BH70" s="9">
        <v>66.87245</v>
      </c>
      <c r="BI70" s="9" t="s">
        <v>1567</v>
      </c>
    </row>
    <row r="71" ht="25" customHeight="1" spans="1:61">
      <c r="A71" s="9">
        <v>70</v>
      </c>
      <c r="B71" s="9" t="s">
        <v>1890</v>
      </c>
      <c r="C71" s="9" t="s">
        <v>1891</v>
      </c>
      <c r="D71" s="9" t="s">
        <v>1668</v>
      </c>
      <c r="E71" s="10">
        <v>45065</v>
      </c>
      <c r="F71" s="9">
        <v>3.3046</v>
      </c>
      <c r="G71" s="9" t="s">
        <v>1561</v>
      </c>
      <c r="H71" s="9" t="s">
        <v>542</v>
      </c>
      <c r="I71" s="9">
        <v>60</v>
      </c>
      <c r="J71" s="9" t="s">
        <v>1620</v>
      </c>
      <c r="K71" s="9">
        <v>0</v>
      </c>
      <c r="L71" s="9">
        <v>100</v>
      </c>
      <c r="M71" s="11">
        <v>-0.081</v>
      </c>
      <c r="N71" s="11">
        <v>0.0092</v>
      </c>
      <c r="O71" s="11"/>
      <c r="P71" s="11">
        <v>0.0575675267584439</v>
      </c>
      <c r="Q71" s="9">
        <v>6.07</v>
      </c>
      <c r="R71" s="9">
        <v>39.52</v>
      </c>
      <c r="S71" s="9">
        <v>19.45</v>
      </c>
      <c r="T71" s="11">
        <v>0.3077</v>
      </c>
      <c r="U71" s="11">
        <v>0.5135</v>
      </c>
      <c r="V71" s="11">
        <v>0.624975</v>
      </c>
      <c r="W71" s="9">
        <v>30.77</v>
      </c>
      <c r="X71" s="9">
        <v>62.4975</v>
      </c>
      <c r="Y71" s="9">
        <v>43.46</v>
      </c>
      <c r="Z71" s="9">
        <v>0.122801697998787</v>
      </c>
      <c r="AA71" s="9">
        <v>0.1227</v>
      </c>
      <c r="AB71" s="9">
        <v>0.122801697998787</v>
      </c>
      <c r="AC71" s="9">
        <v>19.87</v>
      </c>
      <c r="AD71" s="9">
        <v>-0.6596</v>
      </c>
      <c r="AE71" s="9"/>
      <c r="AF71" s="9"/>
      <c r="AG71" s="9">
        <v>4.18</v>
      </c>
      <c r="AH71" s="9"/>
      <c r="AI71" s="9">
        <v>4.18</v>
      </c>
      <c r="AJ71" s="9">
        <v>0.0092</v>
      </c>
      <c r="AK71" s="9">
        <v>80</v>
      </c>
      <c r="AL71" s="9">
        <v>54</v>
      </c>
      <c r="AM71" s="9">
        <v>26.65</v>
      </c>
      <c r="AN71" s="9">
        <v>19.87</v>
      </c>
      <c r="AO71" s="9">
        <v>4.18</v>
      </c>
      <c r="AP71" s="9">
        <v>80</v>
      </c>
      <c r="AQ71" s="12">
        <v>0.88</v>
      </c>
      <c r="AR71" s="9">
        <v>27.15056</v>
      </c>
      <c r="AS71" s="9">
        <v>30.85</v>
      </c>
      <c r="AT71" s="9">
        <v>294</v>
      </c>
      <c r="AU71" s="9" t="s">
        <v>1563</v>
      </c>
      <c r="AV71" s="9">
        <v>0</v>
      </c>
      <c r="AW71" s="9" t="s">
        <v>1669</v>
      </c>
      <c r="AX71" s="9">
        <v>46212</v>
      </c>
      <c r="AY71" s="9" t="s">
        <v>1670</v>
      </c>
      <c r="AZ71" s="9" t="s">
        <v>1892</v>
      </c>
      <c r="BA71" s="9">
        <v>45554</v>
      </c>
      <c r="BB71" s="9" t="s">
        <v>1624</v>
      </c>
      <c r="BC71" s="9" t="s">
        <v>1893</v>
      </c>
      <c r="BD71" s="9" t="s">
        <v>1566</v>
      </c>
      <c r="BE71" s="13"/>
      <c r="BF71" s="13">
        <v>30.85</v>
      </c>
      <c r="BG71" s="12">
        <v>0.88</v>
      </c>
      <c r="BH71" s="9">
        <v>27.15056</v>
      </c>
      <c r="BI71" s="9" t="s">
        <v>1567</v>
      </c>
    </row>
    <row r="72" ht="25" customHeight="1" spans="1:61">
      <c r="A72" s="9">
        <v>71</v>
      </c>
      <c r="B72" s="9" t="s">
        <v>306</v>
      </c>
      <c r="C72" s="9" t="s">
        <v>308</v>
      </c>
      <c r="D72" s="9" t="s">
        <v>309</v>
      </c>
      <c r="E72" s="10">
        <v>45092</v>
      </c>
      <c r="F72" s="9">
        <v>3.2307</v>
      </c>
      <c r="G72" s="9" t="s">
        <v>1561</v>
      </c>
      <c r="H72" s="9" t="s">
        <v>551</v>
      </c>
      <c r="I72" s="9">
        <v>80</v>
      </c>
      <c r="J72" s="9" t="s">
        <v>1562</v>
      </c>
      <c r="K72" s="9">
        <v>100</v>
      </c>
      <c r="L72" s="9">
        <v>100</v>
      </c>
      <c r="M72" s="11">
        <v>0.0666</v>
      </c>
      <c r="N72" s="11">
        <v>0.0475</v>
      </c>
      <c r="O72" s="11"/>
      <c r="P72" s="11">
        <v>0.0380786469302981</v>
      </c>
      <c r="Q72" s="9">
        <v>53.04</v>
      </c>
      <c r="R72" s="9">
        <v>20</v>
      </c>
      <c r="S72" s="9">
        <v>39.82</v>
      </c>
      <c r="T72" s="11">
        <v>1</v>
      </c>
      <c r="U72" s="11">
        <v>1</v>
      </c>
      <c r="V72" s="11">
        <v>1</v>
      </c>
      <c r="W72" s="9">
        <v>100</v>
      </c>
      <c r="X72" s="9">
        <v>100</v>
      </c>
      <c r="Y72" s="9">
        <v>100</v>
      </c>
      <c r="Z72" s="9"/>
      <c r="AA72" s="9">
        <v>0</v>
      </c>
      <c r="AB72" s="9">
        <v>0</v>
      </c>
      <c r="AC72" s="9">
        <v>99.84</v>
      </c>
      <c r="AD72" s="9"/>
      <c r="AE72" s="9"/>
      <c r="AF72" s="9"/>
      <c r="AG72" s="9"/>
      <c r="AH72" s="9"/>
      <c r="AI72" s="9"/>
      <c r="AJ72" s="9">
        <v>0.0475</v>
      </c>
      <c r="AK72" s="9">
        <v>100</v>
      </c>
      <c r="AL72" s="9">
        <v>92</v>
      </c>
      <c r="AM72" s="9">
        <v>57.88</v>
      </c>
      <c r="AN72" s="9">
        <v>99.84</v>
      </c>
      <c r="AO72" s="9"/>
      <c r="AP72" s="9">
        <v>100</v>
      </c>
      <c r="AQ72" s="12">
        <v>0.7</v>
      </c>
      <c r="AR72" s="9">
        <v>60.33536</v>
      </c>
      <c r="AS72" s="9">
        <v>86.19</v>
      </c>
      <c r="AT72" s="9">
        <v>23</v>
      </c>
      <c r="AU72" s="9" t="s">
        <v>1894</v>
      </c>
      <c r="AV72" s="9">
        <v>10</v>
      </c>
      <c r="AW72" s="9" t="s">
        <v>1353</v>
      </c>
      <c r="AX72" s="9">
        <v>46020</v>
      </c>
      <c r="AY72" s="9" t="s">
        <v>1355</v>
      </c>
      <c r="AZ72" s="9" t="s">
        <v>1895</v>
      </c>
      <c r="BA72" s="9">
        <v>46052</v>
      </c>
      <c r="BB72" s="9" t="s">
        <v>785</v>
      </c>
      <c r="BC72" s="9" t="s">
        <v>924</v>
      </c>
      <c r="BD72" s="9" t="s">
        <v>1566</v>
      </c>
      <c r="BE72" s="13"/>
      <c r="BF72" s="13">
        <v>86.19</v>
      </c>
      <c r="BG72" s="12">
        <v>0.7</v>
      </c>
      <c r="BH72" s="9">
        <v>60.33536</v>
      </c>
      <c r="BI72" s="9" t="s">
        <v>1567</v>
      </c>
    </row>
    <row r="73" ht="25" customHeight="1" spans="1:61">
      <c r="A73" s="9">
        <v>72</v>
      </c>
      <c r="B73" s="9" t="s">
        <v>1896</v>
      </c>
      <c r="C73" s="9" t="s">
        <v>1897</v>
      </c>
      <c r="D73" s="9" t="s">
        <v>1739</v>
      </c>
      <c r="E73" s="10">
        <v>44447</v>
      </c>
      <c r="F73" s="9">
        <v>4.9966</v>
      </c>
      <c r="G73" s="9" t="s">
        <v>1561</v>
      </c>
      <c r="H73" s="9" t="s">
        <v>542</v>
      </c>
      <c r="I73" s="9">
        <v>60</v>
      </c>
      <c r="J73" s="9" t="s">
        <v>1562</v>
      </c>
      <c r="K73" s="9">
        <v>100</v>
      </c>
      <c r="L73" s="9">
        <v>100</v>
      </c>
      <c r="M73" s="11">
        <v>0.0128</v>
      </c>
      <c r="N73" s="11">
        <v>0.0232</v>
      </c>
      <c r="O73" s="11"/>
      <c r="P73" s="11">
        <v>0.0284399791177459</v>
      </c>
      <c r="Q73" s="9">
        <v>18.53</v>
      </c>
      <c r="R73" s="9">
        <v>15.24</v>
      </c>
      <c r="S73" s="9">
        <v>17.21</v>
      </c>
      <c r="T73" s="11">
        <v>0.6154</v>
      </c>
      <c r="U73" s="11">
        <v>0.7297</v>
      </c>
      <c r="V73" s="11">
        <v>0.7916125</v>
      </c>
      <c r="W73" s="9">
        <v>61.54</v>
      </c>
      <c r="X73" s="9">
        <v>79.16125</v>
      </c>
      <c r="Y73" s="9">
        <v>68.59</v>
      </c>
      <c r="Z73" s="9">
        <v>0.0336487907465825</v>
      </c>
      <c r="AA73" s="9">
        <v>0.0475</v>
      </c>
      <c r="AB73" s="9">
        <v>0.0475</v>
      </c>
      <c r="AC73" s="9">
        <v>45.19</v>
      </c>
      <c r="AD73" s="9">
        <v>0.3804</v>
      </c>
      <c r="AE73" s="9">
        <v>0.0475</v>
      </c>
      <c r="AF73" s="9">
        <v>0.598736402478861</v>
      </c>
      <c r="AG73" s="9">
        <v>22.19</v>
      </c>
      <c r="AH73" s="9">
        <v>21.28</v>
      </c>
      <c r="AI73" s="9">
        <v>21.83</v>
      </c>
      <c r="AJ73" s="9">
        <v>0.0232</v>
      </c>
      <c r="AK73" s="9">
        <v>80</v>
      </c>
      <c r="AL73" s="9">
        <v>84</v>
      </c>
      <c r="AM73" s="9">
        <v>32.63</v>
      </c>
      <c r="AN73" s="9">
        <v>45.19</v>
      </c>
      <c r="AO73" s="9">
        <v>21.83</v>
      </c>
      <c r="AP73" s="9">
        <v>80</v>
      </c>
      <c r="AQ73" s="12">
        <v>1</v>
      </c>
      <c r="AR73" s="9">
        <v>44.97057</v>
      </c>
      <c r="AS73" s="9">
        <v>44.97</v>
      </c>
      <c r="AT73" s="9">
        <v>247</v>
      </c>
      <c r="AU73" s="9"/>
      <c r="AV73" s="9">
        <v>0</v>
      </c>
      <c r="AW73" s="9" t="s">
        <v>1740</v>
      </c>
      <c r="AX73" s="9">
        <v>46037</v>
      </c>
      <c r="AY73" s="9" t="s">
        <v>1741</v>
      </c>
      <c r="AZ73" s="9" t="s">
        <v>785</v>
      </c>
      <c r="BA73" s="9" t="s">
        <v>785</v>
      </c>
      <c r="BB73" s="9" t="s">
        <v>785</v>
      </c>
      <c r="BC73" s="9" t="s">
        <v>785</v>
      </c>
      <c r="BD73" s="9" t="s">
        <v>1898</v>
      </c>
      <c r="BE73" s="13">
        <v>44.97057</v>
      </c>
      <c r="BF73" s="13">
        <v>44.97</v>
      </c>
      <c r="BG73" s="12">
        <v>1</v>
      </c>
      <c r="BH73" s="9">
        <v>44.97057</v>
      </c>
      <c r="BI73" s="9" t="s">
        <v>1567</v>
      </c>
    </row>
    <row r="74" ht="25" customHeight="1" spans="1:61">
      <c r="A74" s="9">
        <v>73</v>
      </c>
      <c r="B74" s="9" t="s">
        <v>1899</v>
      </c>
      <c r="C74" s="9" t="s">
        <v>1900</v>
      </c>
      <c r="D74" s="9" t="s">
        <v>1901</v>
      </c>
      <c r="E74" s="10">
        <v>45141</v>
      </c>
      <c r="F74" s="9">
        <v>3.0965</v>
      </c>
      <c r="G74" s="9" t="s">
        <v>1561</v>
      </c>
      <c r="H74" s="9" t="s">
        <v>546</v>
      </c>
      <c r="I74" s="9">
        <v>70</v>
      </c>
      <c r="J74" s="9" t="s">
        <v>1562</v>
      </c>
      <c r="K74" s="9">
        <v>100</v>
      </c>
      <c r="L74" s="9">
        <v>100</v>
      </c>
      <c r="M74" s="11">
        <v>-0.0856</v>
      </c>
      <c r="N74" s="11">
        <v>-0.0407</v>
      </c>
      <c r="O74" s="11"/>
      <c r="P74" s="11">
        <v>-0.0174298688556542</v>
      </c>
      <c r="Q74" s="9">
        <v>5.43</v>
      </c>
      <c r="R74" s="9">
        <v>1.43</v>
      </c>
      <c r="S74" s="9">
        <v>3.83</v>
      </c>
      <c r="T74" s="11">
        <v>0.4615</v>
      </c>
      <c r="U74" s="11">
        <v>0.5946</v>
      </c>
      <c r="V74" s="11">
        <v>0.666695833333333</v>
      </c>
      <c r="W74" s="9">
        <v>46.15</v>
      </c>
      <c r="X74" s="9">
        <v>66.6695833333333</v>
      </c>
      <c r="Y74" s="9">
        <v>54.36</v>
      </c>
      <c r="Z74" s="9">
        <v>0.152231904677219</v>
      </c>
      <c r="AA74" s="9">
        <v>0.1904</v>
      </c>
      <c r="AB74" s="9">
        <v>0.1904</v>
      </c>
      <c r="AC74" s="9">
        <v>11.38</v>
      </c>
      <c r="AD74" s="9">
        <v>-0.5623</v>
      </c>
      <c r="AE74" s="9">
        <v>0.1904</v>
      </c>
      <c r="AF74" s="9">
        <v>-0.0915434288637302</v>
      </c>
      <c r="AG74" s="9">
        <v>6.11</v>
      </c>
      <c r="AH74" s="9">
        <v>1.42</v>
      </c>
      <c r="AI74" s="9">
        <v>4.23</v>
      </c>
      <c r="AJ74" s="9">
        <v>-0.0407</v>
      </c>
      <c r="AK74" s="9">
        <v>80</v>
      </c>
      <c r="AL74" s="9">
        <v>88</v>
      </c>
      <c r="AM74" s="9">
        <v>18.99</v>
      </c>
      <c r="AN74" s="9">
        <v>11.38</v>
      </c>
      <c r="AO74" s="9">
        <v>4.23</v>
      </c>
      <c r="AP74" s="9">
        <v>80</v>
      </c>
      <c r="AQ74" s="12">
        <v>1</v>
      </c>
      <c r="AR74" s="9">
        <v>29.11287</v>
      </c>
      <c r="AS74" s="9">
        <v>29.11</v>
      </c>
      <c r="AT74" s="9">
        <v>302</v>
      </c>
      <c r="AU74" s="9"/>
      <c r="AV74" s="9">
        <v>5</v>
      </c>
      <c r="AW74" s="9" t="s">
        <v>1902</v>
      </c>
      <c r="AX74" s="9">
        <v>46150</v>
      </c>
      <c r="AY74" s="9" t="s">
        <v>1903</v>
      </c>
      <c r="AZ74" s="9" t="s">
        <v>1904</v>
      </c>
      <c r="BA74" s="9">
        <v>45149</v>
      </c>
      <c r="BB74" s="9" t="s">
        <v>785</v>
      </c>
      <c r="BC74" s="9" t="s">
        <v>1905</v>
      </c>
      <c r="BD74" s="9" t="s">
        <v>1566</v>
      </c>
      <c r="BE74" s="13">
        <v>29.11287</v>
      </c>
      <c r="BF74" s="13">
        <v>29.11</v>
      </c>
      <c r="BG74" s="12">
        <v>1</v>
      </c>
      <c r="BH74" s="9">
        <v>29.11287</v>
      </c>
      <c r="BI74" s="9" t="s">
        <v>1567</v>
      </c>
    </row>
    <row r="75" ht="25" customHeight="1" spans="1:61">
      <c r="A75" s="9">
        <v>74</v>
      </c>
      <c r="B75" s="9" t="s">
        <v>1906</v>
      </c>
      <c r="C75" s="9" t="s">
        <v>1907</v>
      </c>
      <c r="D75" s="9" t="s">
        <v>1908</v>
      </c>
      <c r="E75" s="10">
        <v>45156</v>
      </c>
      <c r="F75" s="9">
        <v>3.0554</v>
      </c>
      <c r="G75" s="9" t="s">
        <v>1561</v>
      </c>
      <c r="H75" s="9" t="s">
        <v>551</v>
      </c>
      <c r="I75" s="9">
        <v>80</v>
      </c>
      <c r="J75" s="9" t="s">
        <v>1562</v>
      </c>
      <c r="K75" s="9">
        <v>100</v>
      </c>
      <c r="L75" s="9">
        <v>100</v>
      </c>
      <c r="M75" s="11">
        <v>0.0571</v>
      </c>
      <c r="N75" s="11">
        <v>0.0797</v>
      </c>
      <c r="O75" s="11"/>
      <c r="P75" s="11">
        <v>0.0911805486092707</v>
      </c>
      <c r="Q75" s="9">
        <v>46.01</v>
      </c>
      <c r="R75" s="9">
        <v>67.14</v>
      </c>
      <c r="S75" s="9">
        <v>54.46</v>
      </c>
      <c r="T75" s="11">
        <v>0.6923</v>
      </c>
      <c r="U75" s="11">
        <v>0.8378</v>
      </c>
      <c r="V75" s="11">
        <v>0.9166125</v>
      </c>
      <c r="W75" s="9">
        <v>69.23</v>
      </c>
      <c r="X75" s="9">
        <v>91.66125</v>
      </c>
      <c r="Y75" s="9">
        <v>78.2</v>
      </c>
      <c r="Z75" s="9">
        <v>0.0220344215481979</v>
      </c>
      <c r="AA75" s="9">
        <v>0.023</v>
      </c>
      <c r="AB75" s="9">
        <v>0.023</v>
      </c>
      <c r="AC75" s="9">
        <v>68.59</v>
      </c>
      <c r="AD75" s="9">
        <v>2.5914</v>
      </c>
      <c r="AE75" s="9">
        <v>0.023</v>
      </c>
      <c r="AF75" s="9">
        <v>3.96437167866394</v>
      </c>
      <c r="AG75" s="9">
        <v>51.13</v>
      </c>
      <c r="AH75" s="9">
        <v>81.56</v>
      </c>
      <c r="AI75" s="9">
        <v>63.3</v>
      </c>
      <c r="AJ75" s="9">
        <v>0.0797</v>
      </c>
      <c r="AK75" s="9">
        <v>80</v>
      </c>
      <c r="AL75" s="9">
        <v>92</v>
      </c>
      <c r="AM75" s="9">
        <v>61.58</v>
      </c>
      <c r="AN75" s="9">
        <v>68.59</v>
      </c>
      <c r="AO75" s="9">
        <v>63.3</v>
      </c>
      <c r="AP75" s="9">
        <v>80</v>
      </c>
      <c r="AQ75" s="12">
        <v>1</v>
      </c>
      <c r="AR75" s="9">
        <v>70.25493</v>
      </c>
      <c r="AS75" s="9">
        <v>70.25</v>
      </c>
      <c r="AT75" s="9">
        <v>104</v>
      </c>
      <c r="AU75" s="9"/>
      <c r="AV75" s="9">
        <v>10</v>
      </c>
      <c r="AW75" s="9" t="s">
        <v>1909</v>
      </c>
      <c r="AX75" s="9">
        <v>46198</v>
      </c>
      <c r="AY75" s="9" t="s">
        <v>1910</v>
      </c>
      <c r="AZ75" s="9" t="s">
        <v>1911</v>
      </c>
      <c r="BA75" s="9">
        <v>46217</v>
      </c>
      <c r="BB75" s="9" t="s">
        <v>785</v>
      </c>
      <c r="BC75" s="9" t="s">
        <v>1912</v>
      </c>
      <c r="BD75" s="9" t="s">
        <v>1566</v>
      </c>
      <c r="BE75" s="13">
        <v>70.25493</v>
      </c>
      <c r="BF75" s="13">
        <v>70.25</v>
      </c>
      <c r="BG75" s="12">
        <v>1</v>
      </c>
      <c r="BH75" s="9">
        <v>70.25493</v>
      </c>
      <c r="BI75" s="9" t="s">
        <v>1567</v>
      </c>
    </row>
    <row r="76" ht="25" customHeight="1" spans="1:63">
      <c r="A76" s="9">
        <v>75</v>
      </c>
      <c r="B76" s="9" t="s">
        <v>1913</v>
      </c>
      <c r="C76" s="9" t="s">
        <v>1914</v>
      </c>
      <c r="D76" s="9" t="s">
        <v>309</v>
      </c>
      <c r="E76" s="10">
        <v>45174</v>
      </c>
      <c r="F76" s="9">
        <v>3.0062</v>
      </c>
      <c r="G76" s="9" t="s">
        <v>1561</v>
      </c>
      <c r="H76" s="9" t="s">
        <v>551</v>
      </c>
      <c r="I76" s="9">
        <v>80</v>
      </c>
      <c r="J76" s="9" t="s">
        <v>1562</v>
      </c>
      <c r="K76" s="9">
        <v>100</v>
      </c>
      <c r="L76" s="9">
        <v>100</v>
      </c>
      <c r="M76" s="11">
        <v>0.0763</v>
      </c>
      <c r="N76" s="11"/>
      <c r="O76" s="11"/>
      <c r="P76" s="11" t="s">
        <v>1841</v>
      </c>
      <c r="Q76" s="9">
        <v>58.79</v>
      </c>
      <c r="R76" s="9" t="s">
        <v>1841</v>
      </c>
      <c r="S76" s="9" t="s">
        <v>1841</v>
      </c>
      <c r="T76" s="11">
        <v>0.9231</v>
      </c>
      <c r="U76" s="11"/>
      <c r="V76" s="11"/>
      <c r="W76" s="9">
        <v>92.31</v>
      </c>
      <c r="X76" s="9"/>
      <c r="Y76" s="9">
        <v>92.31</v>
      </c>
      <c r="Z76" s="9">
        <v>0.00246380976676149</v>
      </c>
      <c r="AA76" s="9"/>
      <c r="AB76" s="9">
        <v>0.00246380976676149</v>
      </c>
      <c r="AC76" s="9">
        <v>99.04</v>
      </c>
      <c r="AD76" s="9">
        <v>30.9683</v>
      </c>
      <c r="AE76" s="9" t="s">
        <v>1841</v>
      </c>
      <c r="AF76" s="9" t="s">
        <v>1841</v>
      </c>
      <c r="AG76" s="9">
        <v>94.21</v>
      </c>
      <c r="AH76" s="9" t="s">
        <v>1841</v>
      </c>
      <c r="AI76" s="9" t="s">
        <v>1841</v>
      </c>
      <c r="AJ76" s="9"/>
      <c r="AK76" s="9"/>
      <c r="AL76" s="9">
        <v>92</v>
      </c>
      <c r="AM76" s="9">
        <v>68.85</v>
      </c>
      <c r="AN76" s="9">
        <v>99.04</v>
      </c>
      <c r="AO76" s="9">
        <v>94.21</v>
      </c>
      <c r="AP76" s="9"/>
      <c r="AQ76" s="12">
        <v>0.7</v>
      </c>
      <c r="AR76" s="9">
        <v>63.77932</v>
      </c>
      <c r="AS76" s="9">
        <v>91.11</v>
      </c>
      <c r="AT76" s="9">
        <v>8</v>
      </c>
      <c r="AU76" s="9" t="s">
        <v>1841</v>
      </c>
      <c r="AV76" s="9">
        <v>10</v>
      </c>
      <c r="AW76" s="9" t="s">
        <v>1353</v>
      </c>
      <c r="AX76" s="9">
        <v>46020</v>
      </c>
      <c r="AY76" s="9" t="s">
        <v>1355</v>
      </c>
      <c r="AZ76" s="9" t="s">
        <v>1915</v>
      </c>
      <c r="BA76" s="9">
        <v>46128</v>
      </c>
      <c r="BB76" s="9" t="s">
        <v>785</v>
      </c>
      <c r="BC76" s="9" t="s">
        <v>1916</v>
      </c>
      <c r="BD76" s="9" t="s">
        <v>1566</v>
      </c>
      <c r="BE76" s="13"/>
      <c r="BF76" s="13">
        <v>91.11</v>
      </c>
      <c r="BG76" s="12">
        <v>0.7</v>
      </c>
      <c r="BH76" s="9">
        <v>63.77932</v>
      </c>
      <c r="BI76" s="9" t="s">
        <v>1567</v>
      </c>
      <c r="BJ76" t="s">
        <v>1917</v>
      </c>
      <c r="BK76" t="s">
        <v>1847</v>
      </c>
    </row>
    <row r="77" ht="25" customHeight="1" spans="1:61">
      <c r="A77" s="9">
        <v>76</v>
      </c>
      <c r="B77" s="9" t="s">
        <v>1918</v>
      </c>
      <c r="C77" s="9" t="s">
        <v>1919</v>
      </c>
      <c r="D77" s="9" t="s">
        <v>1920</v>
      </c>
      <c r="E77" s="10">
        <v>45155</v>
      </c>
      <c r="F77" s="9">
        <v>3.0582</v>
      </c>
      <c r="G77" s="9" t="s">
        <v>1561</v>
      </c>
      <c r="H77" s="9" t="s">
        <v>557</v>
      </c>
      <c r="I77" s="9">
        <v>90</v>
      </c>
      <c r="J77" s="9" t="s">
        <v>1562</v>
      </c>
      <c r="K77" s="9">
        <v>100</v>
      </c>
      <c r="L77" s="9">
        <v>100</v>
      </c>
      <c r="M77" s="11">
        <v>0.1082</v>
      </c>
      <c r="N77" s="11">
        <v>0.0634</v>
      </c>
      <c r="O77" s="11"/>
      <c r="P77" s="11">
        <v>0.0416838021058752</v>
      </c>
      <c r="Q77" s="9">
        <v>75.72</v>
      </c>
      <c r="R77" s="9">
        <v>26.19</v>
      </c>
      <c r="S77" s="9">
        <v>55.91</v>
      </c>
      <c r="T77" s="11">
        <v>0.5385</v>
      </c>
      <c r="U77" s="11">
        <v>0.5135</v>
      </c>
      <c r="V77" s="11">
        <v>0.499958333333333</v>
      </c>
      <c r="W77" s="9">
        <v>53.85</v>
      </c>
      <c r="X77" s="9">
        <v>49.9958333333333</v>
      </c>
      <c r="Y77" s="9">
        <v>52.31</v>
      </c>
      <c r="Z77" s="9">
        <v>0.05773129868744</v>
      </c>
      <c r="AA77" s="9">
        <v>0.0791</v>
      </c>
      <c r="AB77" s="9">
        <v>0.0791</v>
      </c>
      <c r="AC77" s="9">
        <v>32.69</v>
      </c>
      <c r="AD77" s="9">
        <v>1.8742</v>
      </c>
      <c r="AE77" s="9">
        <v>0.0791</v>
      </c>
      <c r="AF77" s="9">
        <v>0.526976006395388</v>
      </c>
      <c r="AG77" s="9">
        <v>43.73</v>
      </c>
      <c r="AH77" s="9">
        <v>18.44</v>
      </c>
      <c r="AI77" s="9">
        <v>33.61</v>
      </c>
      <c r="AJ77" s="9">
        <v>0.0634</v>
      </c>
      <c r="AK77" s="9">
        <v>100</v>
      </c>
      <c r="AL77" s="9">
        <v>96</v>
      </c>
      <c r="AM77" s="9">
        <v>54.83</v>
      </c>
      <c r="AN77" s="9">
        <v>32.69</v>
      </c>
      <c r="AO77" s="9">
        <v>33.61</v>
      </c>
      <c r="AP77" s="9">
        <v>100</v>
      </c>
      <c r="AQ77" s="12">
        <v>1</v>
      </c>
      <c r="AR77" s="9">
        <v>53.62232</v>
      </c>
      <c r="AS77" s="9">
        <v>53.62</v>
      </c>
      <c r="AT77" s="9">
        <v>199</v>
      </c>
      <c r="AU77" s="9"/>
      <c r="AV77" s="9">
        <v>20</v>
      </c>
      <c r="AW77" s="9" t="s">
        <v>1921</v>
      </c>
      <c r="AX77" s="9">
        <v>46182</v>
      </c>
      <c r="AY77" s="9" t="s">
        <v>1922</v>
      </c>
      <c r="AZ77" s="9" t="s">
        <v>1923</v>
      </c>
      <c r="BA77" s="9">
        <v>46198</v>
      </c>
      <c r="BB77" s="9" t="s">
        <v>785</v>
      </c>
      <c r="BC77" s="9" t="s">
        <v>1924</v>
      </c>
      <c r="BD77" s="9" t="s">
        <v>1566</v>
      </c>
      <c r="BE77" s="13">
        <v>53.62232</v>
      </c>
      <c r="BF77" s="13">
        <v>53.62</v>
      </c>
      <c r="BG77" s="12">
        <v>1</v>
      </c>
      <c r="BH77" s="9">
        <v>53.62232</v>
      </c>
      <c r="BI77" s="9" t="s">
        <v>1567</v>
      </c>
    </row>
    <row r="78" ht="25" customHeight="1" spans="1:61">
      <c r="A78" s="9">
        <v>77</v>
      </c>
      <c r="B78" s="9" t="s">
        <v>180</v>
      </c>
      <c r="C78" s="9" t="s">
        <v>182</v>
      </c>
      <c r="D78" s="9" t="s">
        <v>183</v>
      </c>
      <c r="E78" s="10">
        <v>44936</v>
      </c>
      <c r="F78" s="9">
        <v>3.6578</v>
      </c>
      <c r="G78" s="9" t="s">
        <v>1561</v>
      </c>
      <c r="H78" s="9" t="s">
        <v>542</v>
      </c>
      <c r="I78" s="9">
        <v>60</v>
      </c>
      <c r="J78" s="9" t="s">
        <v>1562</v>
      </c>
      <c r="K78" s="9">
        <v>100</v>
      </c>
      <c r="L78" s="9">
        <v>100</v>
      </c>
      <c r="M78" s="11">
        <v>0.0754</v>
      </c>
      <c r="N78" s="11">
        <v>0.0597</v>
      </c>
      <c r="O78" s="11"/>
      <c r="P78" s="11">
        <v>0.0519361631955311</v>
      </c>
      <c r="Q78" s="9">
        <v>58.15</v>
      </c>
      <c r="R78" s="9">
        <v>34.29</v>
      </c>
      <c r="S78" s="9">
        <v>48.61</v>
      </c>
      <c r="T78" s="11">
        <v>0.8462</v>
      </c>
      <c r="U78" s="11">
        <v>0.8108</v>
      </c>
      <c r="V78" s="11">
        <v>0.791625</v>
      </c>
      <c r="W78" s="9">
        <v>84.62</v>
      </c>
      <c r="X78" s="9">
        <v>79.1625</v>
      </c>
      <c r="Y78" s="9">
        <v>82.44</v>
      </c>
      <c r="Z78" s="9">
        <v>0.00459103834186796</v>
      </c>
      <c r="AA78" s="9">
        <v>0.0244</v>
      </c>
      <c r="AB78" s="9">
        <v>0.0244</v>
      </c>
      <c r="AC78" s="9">
        <v>67.63</v>
      </c>
      <c r="AD78" s="9">
        <v>16.4233</v>
      </c>
      <c r="AE78" s="9">
        <v>0.0244</v>
      </c>
      <c r="AF78" s="9">
        <v>2.12853127850537</v>
      </c>
      <c r="AG78" s="9">
        <v>86.5</v>
      </c>
      <c r="AH78" s="9">
        <v>64.54</v>
      </c>
      <c r="AI78" s="9">
        <v>77.72</v>
      </c>
      <c r="AJ78" s="9">
        <v>0.0597</v>
      </c>
      <c r="AK78" s="9">
        <v>100</v>
      </c>
      <c r="AL78" s="9">
        <v>84</v>
      </c>
      <c r="AM78" s="9">
        <v>58.76</v>
      </c>
      <c r="AN78" s="9">
        <v>67.63</v>
      </c>
      <c r="AO78" s="9">
        <v>77.72</v>
      </c>
      <c r="AP78" s="9">
        <v>100</v>
      </c>
      <c r="AQ78" s="12">
        <v>1</v>
      </c>
      <c r="AR78" s="9">
        <v>74.57336</v>
      </c>
      <c r="AS78" s="9">
        <v>74.57</v>
      </c>
      <c r="AT78" s="9">
        <v>78</v>
      </c>
      <c r="AU78" s="9"/>
      <c r="AV78" s="9">
        <v>0</v>
      </c>
      <c r="AW78" s="9" t="s">
        <v>1294</v>
      </c>
      <c r="AX78" s="9">
        <v>46241</v>
      </c>
      <c r="AY78" s="9" t="s">
        <v>1298</v>
      </c>
      <c r="AZ78" s="9" t="s">
        <v>785</v>
      </c>
      <c r="BA78" s="9" t="s">
        <v>785</v>
      </c>
      <c r="BB78" s="9" t="s">
        <v>785</v>
      </c>
      <c r="BC78" s="9" t="s">
        <v>785</v>
      </c>
      <c r="BD78" s="9" t="s">
        <v>1898</v>
      </c>
      <c r="BE78" s="13">
        <v>74.57336</v>
      </c>
      <c r="BF78" s="13">
        <v>74.57</v>
      </c>
      <c r="BG78" s="12">
        <v>1</v>
      </c>
      <c r="BH78" s="9">
        <v>74.57336</v>
      </c>
      <c r="BI78" s="9" t="s">
        <v>1567</v>
      </c>
    </row>
    <row r="79" ht="25" customHeight="1" spans="1:63">
      <c r="A79" s="9">
        <v>78</v>
      </c>
      <c r="B79" s="9" t="s">
        <v>1925</v>
      </c>
      <c r="C79" s="9" t="s">
        <v>1926</v>
      </c>
      <c r="D79" s="9" t="s">
        <v>183</v>
      </c>
      <c r="E79" s="10">
        <v>44936</v>
      </c>
      <c r="F79" s="9">
        <v>3.6578</v>
      </c>
      <c r="G79" s="9" t="s">
        <v>1561</v>
      </c>
      <c r="H79" s="9" t="s">
        <v>542</v>
      </c>
      <c r="I79" s="9">
        <v>60</v>
      </c>
      <c r="J79" s="9" t="s">
        <v>1562</v>
      </c>
      <c r="K79" s="9">
        <v>100</v>
      </c>
      <c r="L79" s="9">
        <v>100</v>
      </c>
      <c r="M79" s="11">
        <v>0.0647</v>
      </c>
      <c r="N79" s="11"/>
      <c r="O79" s="11"/>
      <c r="P79" s="11" t="s">
        <v>1841</v>
      </c>
      <c r="Q79" s="9">
        <v>50.8</v>
      </c>
      <c r="R79" s="9" t="s">
        <v>1841</v>
      </c>
      <c r="S79" s="9" t="s">
        <v>1841</v>
      </c>
      <c r="T79" s="11">
        <v>0.7692</v>
      </c>
      <c r="U79" s="11"/>
      <c r="V79" s="11"/>
      <c r="W79" s="9">
        <v>76.92</v>
      </c>
      <c r="X79" s="9"/>
      <c r="Y79" s="9">
        <v>76.92</v>
      </c>
      <c r="Z79" s="9">
        <v>0.00488360858669726</v>
      </c>
      <c r="AA79" s="9"/>
      <c r="AB79" s="9">
        <v>0.00488360858669726</v>
      </c>
      <c r="AC79" s="9">
        <v>92.95</v>
      </c>
      <c r="AD79" s="9">
        <v>13.2484</v>
      </c>
      <c r="AE79" s="9" t="s">
        <v>1841</v>
      </c>
      <c r="AF79" s="9" t="s">
        <v>1841</v>
      </c>
      <c r="AG79" s="9">
        <v>85.53</v>
      </c>
      <c r="AH79" s="9" t="s">
        <v>1841</v>
      </c>
      <c r="AI79" s="9" t="s">
        <v>1841</v>
      </c>
      <c r="AJ79" s="9"/>
      <c r="AK79" s="9"/>
      <c r="AL79" s="9">
        <v>84</v>
      </c>
      <c r="AM79" s="9">
        <v>58.64</v>
      </c>
      <c r="AN79" s="9">
        <v>92.95</v>
      </c>
      <c r="AO79" s="9">
        <v>85.53</v>
      </c>
      <c r="AP79" s="9"/>
      <c r="AQ79" s="12">
        <v>0.7</v>
      </c>
      <c r="AR79" s="9">
        <v>58.26922</v>
      </c>
      <c r="AS79" s="9">
        <v>83.24</v>
      </c>
      <c r="AT79" s="9">
        <v>36</v>
      </c>
      <c r="AU79" s="9" t="s">
        <v>1841</v>
      </c>
      <c r="AV79" s="9">
        <v>0</v>
      </c>
      <c r="AW79" s="9" t="s">
        <v>1294</v>
      </c>
      <c r="AX79" s="9">
        <v>46241</v>
      </c>
      <c r="AY79" s="9" t="s">
        <v>1298</v>
      </c>
      <c r="AZ79" s="9" t="s">
        <v>785</v>
      </c>
      <c r="BA79" s="9" t="s">
        <v>785</v>
      </c>
      <c r="BB79" s="9" t="s">
        <v>785</v>
      </c>
      <c r="BC79" s="9" t="s">
        <v>785</v>
      </c>
      <c r="BD79" s="9" t="s">
        <v>1898</v>
      </c>
      <c r="BE79" s="13"/>
      <c r="BF79" s="13">
        <v>83.24</v>
      </c>
      <c r="BG79" s="12">
        <v>0.7</v>
      </c>
      <c r="BH79" s="9">
        <v>58.26922</v>
      </c>
      <c r="BI79" s="9" t="s">
        <v>1567</v>
      </c>
      <c r="BJ79" t="s">
        <v>1927</v>
      </c>
      <c r="BK79" t="s">
        <v>1847</v>
      </c>
    </row>
    <row r="80" ht="25" customHeight="1" spans="1:61">
      <c r="A80" s="9">
        <v>79</v>
      </c>
      <c r="B80" s="9" t="s">
        <v>1928</v>
      </c>
      <c r="C80" s="9" t="s">
        <v>1929</v>
      </c>
      <c r="D80" s="9" t="s">
        <v>1930</v>
      </c>
      <c r="E80" s="10">
        <v>45191</v>
      </c>
      <c r="F80" s="9">
        <v>2.9596</v>
      </c>
      <c r="G80" s="9" t="s">
        <v>1561</v>
      </c>
      <c r="H80" s="9" t="s">
        <v>546</v>
      </c>
      <c r="I80" s="9">
        <v>70</v>
      </c>
      <c r="J80" s="9" t="s">
        <v>1562</v>
      </c>
      <c r="K80" s="9">
        <v>100</v>
      </c>
      <c r="L80" s="9">
        <v>70</v>
      </c>
      <c r="M80" s="11">
        <v>0.1057</v>
      </c>
      <c r="N80" s="11"/>
      <c r="O80" s="11"/>
      <c r="P80" s="11"/>
      <c r="Q80" s="9">
        <v>74.44</v>
      </c>
      <c r="R80" s="9"/>
      <c r="S80" s="9">
        <v>74.44</v>
      </c>
      <c r="T80" s="11">
        <v>0.9231</v>
      </c>
      <c r="U80" s="11"/>
      <c r="V80" s="11"/>
      <c r="W80" s="9">
        <v>92.31</v>
      </c>
      <c r="X80" s="9"/>
      <c r="Y80" s="9">
        <v>92.31</v>
      </c>
      <c r="Z80" s="9">
        <v>0.0253264645980592</v>
      </c>
      <c r="AA80" s="9"/>
      <c r="AB80" s="9">
        <v>0.0253264645980592</v>
      </c>
      <c r="AC80" s="9">
        <v>64.74</v>
      </c>
      <c r="AD80" s="9">
        <v>4.1735</v>
      </c>
      <c r="AE80" s="9"/>
      <c r="AF80" s="9"/>
      <c r="AG80" s="9">
        <v>61.09</v>
      </c>
      <c r="AH80" s="9"/>
      <c r="AI80" s="9">
        <v>61.09</v>
      </c>
      <c r="AJ80" s="9"/>
      <c r="AK80" s="9"/>
      <c r="AL80" s="9">
        <v>79</v>
      </c>
      <c r="AM80" s="9">
        <v>79.8</v>
      </c>
      <c r="AN80" s="9">
        <v>64.74</v>
      </c>
      <c r="AO80" s="9">
        <v>61.09</v>
      </c>
      <c r="AP80" s="9"/>
      <c r="AQ80" s="12">
        <v>0.7</v>
      </c>
      <c r="AR80" s="9">
        <v>48.60732</v>
      </c>
      <c r="AS80" s="9">
        <v>69.44</v>
      </c>
      <c r="AT80" s="9">
        <v>107</v>
      </c>
      <c r="AU80" s="9" t="s">
        <v>1931</v>
      </c>
      <c r="AV80" s="9">
        <v>5</v>
      </c>
      <c r="AW80" s="9" t="s">
        <v>1932</v>
      </c>
      <c r="AX80" s="9">
        <v>46258</v>
      </c>
      <c r="AY80" s="9" t="s">
        <v>1933</v>
      </c>
      <c r="AZ80" s="9" t="s">
        <v>1934</v>
      </c>
      <c r="BA80" s="9">
        <v>45728</v>
      </c>
      <c r="BB80" s="9" t="s">
        <v>785</v>
      </c>
      <c r="BC80" s="9" t="s">
        <v>1935</v>
      </c>
      <c r="BD80" s="9" t="s">
        <v>1566</v>
      </c>
      <c r="BE80" s="13"/>
      <c r="BF80" s="13">
        <v>69.44</v>
      </c>
      <c r="BG80" s="12">
        <v>0.7</v>
      </c>
      <c r="BH80" s="9">
        <v>48.60732</v>
      </c>
      <c r="BI80" s="9" t="s">
        <v>1567</v>
      </c>
    </row>
    <row r="81" ht="25" customHeight="1" spans="1:61">
      <c r="A81" s="9">
        <v>80</v>
      </c>
      <c r="B81" s="9" t="s">
        <v>1936</v>
      </c>
      <c r="C81" s="9" t="s">
        <v>1937</v>
      </c>
      <c r="D81" s="9" t="s">
        <v>189</v>
      </c>
      <c r="E81" s="10">
        <v>45244</v>
      </c>
      <c r="F81" s="9">
        <v>2.8145</v>
      </c>
      <c r="G81" s="9" t="s">
        <v>1561</v>
      </c>
      <c r="H81" s="9" t="s">
        <v>546</v>
      </c>
      <c r="I81" s="9">
        <v>70</v>
      </c>
      <c r="J81" s="9" t="s">
        <v>1562</v>
      </c>
      <c r="K81" s="9">
        <v>100</v>
      </c>
      <c r="L81" s="9">
        <v>70</v>
      </c>
      <c r="M81" s="11">
        <v>0.2445</v>
      </c>
      <c r="N81" s="11"/>
      <c r="O81" s="11"/>
      <c r="P81" s="11"/>
      <c r="Q81" s="9">
        <v>92.01</v>
      </c>
      <c r="R81" s="9"/>
      <c r="S81" s="9">
        <v>92.01</v>
      </c>
      <c r="T81" s="11">
        <v>0.6923</v>
      </c>
      <c r="U81" s="11"/>
      <c r="V81" s="11"/>
      <c r="W81" s="9">
        <v>69.23</v>
      </c>
      <c r="X81" s="9"/>
      <c r="Y81" s="9">
        <v>69.23</v>
      </c>
      <c r="Z81" s="9">
        <v>0.132462888720338</v>
      </c>
      <c r="AA81" s="9"/>
      <c r="AB81" s="9">
        <v>0.132462888720338</v>
      </c>
      <c r="AC81" s="9">
        <v>17.95</v>
      </c>
      <c r="AD81" s="9">
        <v>1.8458</v>
      </c>
      <c r="AE81" s="9"/>
      <c r="AF81" s="9"/>
      <c r="AG81" s="9">
        <v>42.77</v>
      </c>
      <c r="AH81" s="9"/>
      <c r="AI81" s="9">
        <v>42.77</v>
      </c>
      <c r="AJ81" s="9"/>
      <c r="AK81" s="9"/>
      <c r="AL81" s="9">
        <v>79</v>
      </c>
      <c r="AM81" s="9">
        <v>85.18</v>
      </c>
      <c r="AN81" s="9">
        <v>17.95</v>
      </c>
      <c r="AO81" s="9">
        <v>42.77</v>
      </c>
      <c r="AP81" s="9"/>
      <c r="AQ81" s="12">
        <v>0.7</v>
      </c>
      <c r="AR81" s="9">
        <v>34.25722</v>
      </c>
      <c r="AS81" s="9">
        <v>48.94</v>
      </c>
      <c r="AT81" s="9">
        <v>227</v>
      </c>
      <c r="AU81" s="9" t="s">
        <v>1931</v>
      </c>
      <c r="AV81" s="9">
        <v>5</v>
      </c>
      <c r="AW81" s="9" t="s">
        <v>1299</v>
      </c>
      <c r="AX81" s="9">
        <v>45877</v>
      </c>
      <c r="AY81" s="9" t="s">
        <v>1301</v>
      </c>
      <c r="AZ81" s="9" t="s">
        <v>1938</v>
      </c>
      <c r="BA81" s="9">
        <v>46178</v>
      </c>
      <c r="BB81" s="9" t="s">
        <v>785</v>
      </c>
      <c r="BC81" s="9" t="s">
        <v>1939</v>
      </c>
      <c r="BD81" s="9" t="s">
        <v>1566</v>
      </c>
      <c r="BE81" s="13"/>
      <c r="BF81" s="13">
        <v>48.94</v>
      </c>
      <c r="BG81" s="12">
        <v>0.7</v>
      </c>
      <c r="BH81" s="9">
        <v>34.25722</v>
      </c>
      <c r="BI81" s="9" t="s">
        <v>1567</v>
      </c>
    </row>
    <row r="82" ht="25" customHeight="1" spans="1:61">
      <c r="A82" s="9">
        <v>81</v>
      </c>
      <c r="B82" s="9" t="s">
        <v>1940</v>
      </c>
      <c r="C82" s="9" t="s">
        <v>1941</v>
      </c>
      <c r="D82" s="9" t="s">
        <v>189</v>
      </c>
      <c r="E82" s="10">
        <v>45244</v>
      </c>
      <c r="F82" s="9">
        <v>2.8145</v>
      </c>
      <c r="G82" s="9" t="s">
        <v>1561</v>
      </c>
      <c r="H82" s="9" t="s">
        <v>546</v>
      </c>
      <c r="I82" s="9">
        <v>70</v>
      </c>
      <c r="J82" s="9" t="s">
        <v>1562</v>
      </c>
      <c r="K82" s="9">
        <v>100</v>
      </c>
      <c r="L82" s="9">
        <v>70</v>
      </c>
      <c r="M82" s="11">
        <v>0.2452</v>
      </c>
      <c r="N82" s="11"/>
      <c r="O82" s="11"/>
      <c r="P82" s="11"/>
      <c r="Q82" s="9">
        <v>92.65</v>
      </c>
      <c r="R82" s="9"/>
      <c r="S82" s="9">
        <v>92.65</v>
      </c>
      <c r="T82" s="11">
        <v>0.6923</v>
      </c>
      <c r="U82" s="11"/>
      <c r="V82" s="11"/>
      <c r="W82" s="9">
        <v>69.23</v>
      </c>
      <c r="X82" s="9"/>
      <c r="Y82" s="9">
        <v>69.23</v>
      </c>
      <c r="Z82" s="9">
        <v>0.132433162300837</v>
      </c>
      <c r="AA82" s="9"/>
      <c r="AB82" s="9">
        <v>0.132433162300837</v>
      </c>
      <c r="AC82" s="9">
        <v>18.27</v>
      </c>
      <c r="AD82" s="9">
        <v>1.8515</v>
      </c>
      <c r="AE82" s="9"/>
      <c r="AF82" s="9"/>
      <c r="AG82" s="9">
        <v>43.09</v>
      </c>
      <c r="AH82" s="9"/>
      <c r="AI82" s="9">
        <v>43.09</v>
      </c>
      <c r="AJ82" s="9"/>
      <c r="AK82" s="9"/>
      <c r="AL82" s="9">
        <v>79</v>
      </c>
      <c r="AM82" s="9">
        <v>85.62</v>
      </c>
      <c r="AN82" s="9">
        <v>18.27</v>
      </c>
      <c r="AO82" s="9">
        <v>43.09</v>
      </c>
      <c r="AP82" s="9"/>
      <c r="AQ82" s="12">
        <v>0.7</v>
      </c>
      <c r="AR82" s="9">
        <v>34.44858</v>
      </c>
      <c r="AS82" s="9">
        <v>49.21</v>
      </c>
      <c r="AT82" s="9">
        <v>225</v>
      </c>
      <c r="AU82" s="9" t="s">
        <v>1931</v>
      </c>
      <c r="AV82" s="9">
        <v>5</v>
      </c>
      <c r="AW82" s="9" t="s">
        <v>1299</v>
      </c>
      <c r="AX82" s="9">
        <v>45877</v>
      </c>
      <c r="AY82" s="9" t="s">
        <v>1301</v>
      </c>
      <c r="AZ82" s="9" t="s">
        <v>785</v>
      </c>
      <c r="BA82" s="9" t="s">
        <v>785</v>
      </c>
      <c r="BB82" s="9" t="s">
        <v>785</v>
      </c>
      <c r="BC82" s="9" t="s">
        <v>785</v>
      </c>
      <c r="BD82" s="9" t="s">
        <v>1898</v>
      </c>
      <c r="BE82" s="13"/>
      <c r="BF82" s="13">
        <v>49.21</v>
      </c>
      <c r="BG82" s="12">
        <v>0.7</v>
      </c>
      <c r="BH82" s="9">
        <v>34.44858</v>
      </c>
      <c r="BI82" s="9" t="s">
        <v>1567</v>
      </c>
    </row>
    <row r="83" ht="25" customHeight="1" spans="1:61">
      <c r="A83" s="9">
        <v>82</v>
      </c>
      <c r="B83" s="9" t="s">
        <v>155</v>
      </c>
      <c r="C83" s="9" t="s">
        <v>157</v>
      </c>
      <c r="D83" s="9" t="s">
        <v>158</v>
      </c>
      <c r="E83" s="10">
        <v>45322</v>
      </c>
      <c r="F83" s="9">
        <v>2.601</v>
      </c>
      <c r="G83" s="9" t="s">
        <v>1561</v>
      </c>
      <c r="H83" s="9" t="s">
        <v>546</v>
      </c>
      <c r="I83" s="9">
        <v>70</v>
      </c>
      <c r="J83" s="9" t="s">
        <v>1562</v>
      </c>
      <c r="K83" s="9">
        <v>100</v>
      </c>
      <c r="L83" s="9">
        <v>70</v>
      </c>
      <c r="M83" s="11">
        <v>0.3924</v>
      </c>
      <c r="N83" s="11"/>
      <c r="O83" s="11"/>
      <c r="P83" s="11"/>
      <c r="Q83" s="9">
        <v>97.44</v>
      </c>
      <c r="R83" s="9"/>
      <c r="S83" s="9">
        <v>97.44</v>
      </c>
      <c r="T83" s="11">
        <v>0.7692</v>
      </c>
      <c r="U83" s="11"/>
      <c r="V83" s="11"/>
      <c r="W83" s="9">
        <v>76.92</v>
      </c>
      <c r="X83" s="9"/>
      <c r="Y83" s="9">
        <v>76.92</v>
      </c>
      <c r="Z83" s="9">
        <v>0.0514022976460263</v>
      </c>
      <c r="AA83" s="9"/>
      <c r="AB83" s="9">
        <v>0.0514022976460263</v>
      </c>
      <c r="AC83" s="9">
        <v>43.59</v>
      </c>
      <c r="AD83" s="9">
        <v>7.6339</v>
      </c>
      <c r="AE83" s="9"/>
      <c r="AF83" s="9"/>
      <c r="AG83" s="9">
        <v>72.99</v>
      </c>
      <c r="AH83" s="9"/>
      <c r="AI83" s="9">
        <v>72.99</v>
      </c>
      <c r="AJ83" s="9"/>
      <c r="AK83" s="9"/>
      <c r="AL83" s="9">
        <v>79</v>
      </c>
      <c r="AM83" s="9">
        <v>91.28</v>
      </c>
      <c r="AN83" s="9">
        <v>43.59</v>
      </c>
      <c r="AO83" s="9">
        <v>72.99</v>
      </c>
      <c r="AP83" s="9"/>
      <c r="AQ83" s="12">
        <v>0.7</v>
      </c>
      <c r="AR83" s="9">
        <v>46.83978</v>
      </c>
      <c r="AS83" s="9">
        <v>66.91</v>
      </c>
      <c r="AT83" s="9">
        <v>122</v>
      </c>
      <c r="AU83" s="9" t="s">
        <v>1931</v>
      </c>
      <c r="AV83" s="9">
        <v>5</v>
      </c>
      <c r="AW83" s="9" t="s">
        <v>1280</v>
      </c>
      <c r="AX83" s="9">
        <v>45910</v>
      </c>
      <c r="AY83" s="9" t="s">
        <v>1284</v>
      </c>
      <c r="AZ83" s="9" t="s">
        <v>1942</v>
      </c>
      <c r="BA83" s="9">
        <v>45328</v>
      </c>
      <c r="BB83" s="9" t="s">
        <v>785</v>
      </c>
      <c r="BC83" s="9" t="s">
        <v>868</v>
      </c>
      <c r="BD83" s="9" t="s">
        <v>1566</v>
      </c>
      <c r="BE83" s="13"/>
      <c r="BF83" s="13">
        <v>66.91</v>
      </c>
      <c r="BG83" s="12">
        <v>0.7</v>
      </c>
      <c r="BH83" s="9">
        <v>46.83978</v>
      </c>
      <c r="BI83" s="9" t="s">
        <v>1567</v>
      </c>
    </row>
    <row r="84" ht="25" customHeight="1" spans="1:61">
      <c r="A84" s="9">
        <v>83</v>
      </c>
      <c r="B84" s="9" t="s">
        <v>1943</v>
      </c>
      <c r="C84" s="9" t="s">
        <v>1944</v>
      </c>
      <c r="D84" s="9" t="s">
        <v>1945</v>
      </c>
      <c r="E84" s="10">
        <v>45320</v>
      </c>
      <c r="F84" s="9">
        <v>2.6064</v>
      </c>
      <c r="G84" s="9" t="s">
        <v>1561</v>
      </c>
      <c r="H84" s="9" t="s">
        <v>551</v>
      </c>
      <c r="I84" s="9">
        <v>80</v>
      </c>
      <c r="J84" s="9" t="s">
        <v>1562</v>
      </c>
      <c r="K84" s="9">
        <v>100</v>
      </c>
      <c r="L84" s="9">
        <v>70</v>
      </c>
      <c r="M84" s="11">
        <v>0.1134</v>
      </c>
      <c r="N84" s="11"/>
      <c r="O84" s="11"/>
      <c r="P84" s="11"/>
      <c r="Q84" s="9">
        <v>77.32</v>
      </c>
      <c r="R84" s="9"/>
      <c r="S84" s="9">
        <v>77.32</v>
      </c>
      <c r="T84" s="11">
        <v>0.6154</v>
      </c>
      <c r="U84" s="11"/>
      <c r="V84" s="11"/>
      <c r="W84" s="9">
        <v>61.54</v>
      </c>
      <c r="X84" s="9"/>
      <c r="Y84" s="9">
        <v>61.54</v>
      </c>
      <c r="Z84" s="9">
        <v>0.102941176470588</v>
      </c>
      <c r="AA84" s="9"/>
      <c r="AB84" s="9">
        <v>0.102941176470588</v>
      </c>
      <c r="AC84" s="9">
        <v>25.32</v>
      </c>
      <c r="AD84" s="9">
        <v>1.1016</v>
      </c>
      <c r="AE84" s="9"/>
      <c r="AF84" s="9"/>
      <c r="AG84" s="9">
        <v>33.12</v>
      </c>
      <c r="AH84" s="9"/>
      <c r="AI84" s="9">
        <v>33.12</v>
      </c>
      <c r="AJ84" s="9"/>
      <c r="AK84" s="9"/>
      <c r="AL84" s="9">
        <v>83</v>
      </c>
      <c r="AM84" s="9">
        <v>72.59</v>
      </c>
      <c r="AN84" s="9">
        <v>25.32</v>
      </c>
      <c r="AO84" s="9">
        <v>33.12</v>
      </c>
      <c r="AP84" s="9"/>
      <c r="AQ84" s="12">
        <v>0.7</v>
      </c>
      <c r="AR84" s="9">
        <v>33.45192</v>
      </c>
      <c r="AS84" s="9">
        <v>47.79</v>
      </c>
      <c r="AT84" s="9">
        <v>231</v>
      </c>
      <c r="AU84" s="9" t="s">
        <v>1931</v>
      </c>
      <c r="AV84" s="9">
        <v>10</v>
      </c>
      <c r="AW84" s="9" t="s">
        <v>1946</v>
      </c>
      <c r="AX84" s="9">
        <v>45770</v>
      </c>
      <c r="AY84" s="9" t="s">
        <v>1947</v>
      </c>
      <c r="AZ84" s="9" t="s">
        <v>1948</v>
      </c>
      <c r="BA84" s="9">
        <v>46013</v>
      </c>
      <c r="BB84" s="9" t="s">
        <v>785</v>
      </c>
      <c r="BC84" s="9" t="s">
        <v>1949</v>
      </c>
      <c r="BD84" s="9" t="s">
        <v>1566</v>
      </c>
      <c r="BE84" s="13"/>
      <c r="BF84" s="13">
        <v>47.79</v>
      </c>
      <c r="BG84" s="12">
        <v>0.7</v>
      </c>
      <c r="BH84" s="9">
        <v>33.45192</v>
      </c>
      <c r="BI84" s="9" t="s">
        <v>1567</v>
      </c>
    </row>
    <row r="85" ht="25" customHeight="1" spans="1:61">
      <c r="A85" s="9">
        <v>84</v>
      </c>
      <c r="B85" s="9" t="s">
        <v>1950</v>
      </c>
      <c r="C85" s="9" t="s">
        <v>1951</v>
      </c>
      <c r="D85" s="9" t="s">
        <v>1952</v>
      </c>
      <c r="E85" s="10">
        <v>45379</v>
      </c>
      <c r="F85" s="9">
        <v>2.4449</v>
      </c>
      <c r="G85" s="9" t="s">
        <v>1561</v>
      </c>
      <c r="H85" s="9" t="s">
        <v>557</v>
      </c>
      <c r="I85" s="9">
        <v>90</v>
      </c>
      <c r="J85" s="9" t="s">
        <v>1620</v>
      </c>
      <c r="K85" s="9">
        <v>0</v>
      </c>
      <c r="L85" s="9">
        <v>70</v>
      </c>
      <c r="M85" s="11">
        <v>0.0828</v>
      </c>
      <c r="N85" s="11"/>
      <c r="O85" s="11"/>
      <c r="P85" s="11"/>
      <c r="Q85" s="9">
        <v>62.78</v>
      </c>
      <c r="R85" s="9"/>
      <c r="S85" s="9">
        <v>62.78</v>
      </c>
      <c r="T85" s="11">
        <v>0.7692</v>
      </c>
      <c r="U85" s="11"/>
      <c r="V85" s="11"/>
      <c r="W85" s="9">
        <v>76.92</v>
      </c>
      <c r="X85" s="9"/>
      <c r="Y85" s="9">
        <v>76.92</v>
      </c>
      <c r="Z85" s="9">
        <v>0.0168169631976602</v>
      </c>
      <c r="AA85" s="9"/>
      <c r="AB85" s="9">
        <v>0.0168169631976602</v>
      </c>
      <c r="AC85" s="9">
        <v>74.36</v>
      </c>
      <c r="AD85" s="9">
        <v>4.9236</v>
      </c>
      <c r="AE85" s="9"/>
      <c r="AF85" s="9"/>
      <c r="AG85" s="9">
        <v>64.95</v>
      </c>
      <c r="AH85" s="9"/>
      <c r="AI85" s="9">
        <v>64.95</v>
      </c>
      <c r="AJ85" s="9"/>
      <c r="AK85" s="9"/>
      <c r="AL85" s="9">
        <v>57</v>
      </c>
      <c r="AM85" s="9">
        <v>67.02</v>
      </c>
      <c r="AN85" s="9">
        <v>74.36</v>
      </c>
      <c r="AO85" s="9">
        <v>64.95</v>
      </c>
      <c r="AP85" s="9"/>
      <c r="AQ85" s="12">
        <v>0.7</v>
      </c>
      <c r="AR85" s="9">
        <v>46.87364</v>
      </c>
      <c r="AS85" s="9">
        <v>66.96</v>
      </c>
      <c r="AT85" s="9">
        <v>121</v>
      </c>
      <c r="AU85" s="9" t="s">
        <v>1931</v>
      </c>
      <c r="AV85" s="9">
        <v>20</v>
      </c>
      <c r="AW85" s="9" t="s">
        <v>1953</v>
      </c>
      <c r="AX85" s="9">
        <v>45784</v>
      </c>
      <c r="AY85" s="9" t="s">
        <v>1954</v>
      </c>
      <c r="AZ85" s="9" t="s">
        <v>1955</v>
      </c>
      <c r="BA85" s="9">
        <v>45678</v>
      </c>
      <c r="BB85" s="9" t="s">
        <v>1624</v>
      </c>
      <c r="BC85" s="9" t="s">
        <v>1956</v>
      </c>
      <c r="BD85" s="9" t="s">
        <v>1566</v>
      </c>
      <c r="BE85" s="13"/>
      <c r="BF85" s="13">
        <v>66.96</v>
      </c>
      <c r="BG85" s="12">
        <v>0.7</v>
      </c>
      <c r="BH85" s="9">
        <v>46.87364</v>
      </c>
      <c r="BI85" s="9" t="s">
        <v>1567</v>
      </c>
    </row>
    <row r="86" ht="25" customHeight="1" spans="1:61">
      <c r="A86" s="9">
        <v>85</v>
      </c>
      <c r="B86" s="9" t="s">
        <v>292</v>
      </c>
      <c r="C86" s="9" t="s">
        <v>293</v>
      </c>
      <c r="D86" s="9" t="s">
        <v>284</v>
      </c>
      <c r="E86" s="10">
        <v>45376</v>
      </c>
      <c r="F86" s="9">
        <v>2.4531</v>
      </c>
      <c r="G86" s="9" t="s">
        <v>1561</v>
      </c>
      <c r="H86" s="9" t="s">
        <v>551</v>
      </c>
      <c r="I86" s="9">
        <v>80</v>
      </c>
      <c r="J86" s="9" t="s">
        <v>1562</v>
      </c>
      <c r="K86" s="9">
        <v>100</v>
      </c>
      <c r="L86" s="9">
        <v>70</v>
      </c>
      <c r="M86" s="11">
        <v>0.142</v>
      </c>
      <c r="N86" s="11"/>
      <c r="O86" s="11"/>
      <c r="P86" s="11"/>
      <c r="Q86" s="9">
        <v>83.71</v>
      </c>
      <c r="R86" s="9"/>
      <c r="S86" s="9">
        <v>83.71</v>
      </c>
      <c r="T86" s="11">
        <v>0.9231</v>
      </c>
      <c r="U86" s="11"/>
      <c r="V86" s="11"/>
      <c r="W86" s="9">
        <v>92.31</v>
      </c>
      <c r="X86" s="9"/>
      <c r="Y86" s="9">
        <v>92.31</v>
      </c>
      <c r="Z86" s="9">
        <v>0.0125921130807225</v>
      </c>
      <c r="AA86" s="9"/>
      <c r="AB86" s="9">
        <v>0.0125921130807225</v>
      </c>
      <c r="AC86" s="9">
        <v>81.41</v>
      </c>
      <c r="AD86" s="9">
        <v>11.2769</v>
      </c>
      <c r="AE86" s="9"/>
      <c r="AF86" s="9"/>
      <c r="AG86" s="9">
        <v>83.6</v>
      </c>
      <c r="AH86" s="9"/>
      <c r="AI86" s="9">
        <v>83.6</v>
      </c>
      <c r="AJ86" s="9"/>
      <c r="AK86" s="9"/>
      <c r="AL86" s="9">
        <v>83</v>
      </c>
      <c r="AM86" s="9">
        <v>86.29</v>
      </c>
      <c r="AN86" s="9">
        <v>81.41</v>
      </c>
      <c r="AO86" s="9">
        <v>83.6</v>
      </c>
      <c r="AP86" s="9"/>
      <c r="AQ86" s="12">
        <v>0.7</v>
      </c>
      <c r="AR86" s="9">
        <v>58.2053</v>
      </c>
      <c r="AS86" s="9">
        <v>83.15</v>
      </c>
      <c r="AT86" s="9">
        <v>37</v>
      </c>
      <c r="AU86" s="9" t="s">
        <v>1931</v>
      </c>
      <c r="AV86" s="9">
        <v>10</v>
      </c>
      <c r="AW86" s="9" t="s">
        <v>1350</v>
      </c>
      <c r="AX86" s="9">
        <v>46185</v>
      </c>
      <c r="AY86" s="9" t="s">
        <v>1352</v>
      </c>
      <c r="AZ86" s="9" t="s">
        <v>1957</v>
      </c>
      <c r="BA86" s="9">
        <v>46209</v>
      </c>
      <c r="BB86" s="9" t="s">
        <v>785</v>
      </c>
      <c r="BC86" s="9" t="s">
        <v>918</v>
      </c>
      <c r="BD86" s="9" t="s">
        <v>1566</v>
      </c>
      <c r="BE86" s="13"/>
      <c r="BF86" s="13">
        <v>83.15</v>
      </c>
      <c r="BG86" s="12">
        <v>0.7</v>
      </c>
      <c r="BH86" s="9">
        <v>58.2053</v>
      </c>
      <c r="BI86" s="9" t="s">
        <v>1567</v>
      </c>
    </row>
    <row r="87" ht="25" customHeight="1" spans="1:61">
      <c r="A87" s="9">
        <v>86</v>
      </c>
      <c r="B87" s="9" t="s">
        <v>1958</v>
      </c>
      <c r="C87" s="9" t="s">
        <v>1959</v>
      </c>
      <c r="D87" s="9" t="s">
        <v>1589</v>
      </c>
      <c r="E87" s="10">
        <v>45373</v>
      </c>
      <c r="F87" s="9">
        <v>2.4613</v>
      </c>
      <c r="G87" s="9" t="s">
        <v>1561</v>
      </c>
      <c r="H87" s="9" t="s">
        <v>572</v>
      </c>
      <c r="I87" s="9">
        <v>100</v>
      </c>
      <c r="J87" s="9" t="s">
        <v>1620</v>
      </c>
      <c r="K87" s="9">
        <v>0</v>
      </c>
      <c r="L87" s="9">
        <v>70</v>
      </c>
      <c r="M87" s="11">
        <v>0.3965</v>
      </c>
      <c r="N87" s="11"/>
      <c r="O87" s="11"/>
      <c r="P87" s="11"/>
      <c r="Q87" s="9">
        <v>97.76</v>
      </c>
      <c r="R87" s="9"/>
      <c r="S87" s="9">
        <v>97.76</v>
      </c>
      <c r="T87" s="11">
        <v>0.3846</v>
      </c>
      <c r="U87" s="11"/>
      <c r="V87" s="11"/>
      <c r="W87" s="9">
        <v>38.46</v>
      </c>
      <c r="X87" s="9"/>
      <c r="Y87" s="9">
        <v>38.46</v>
      </c>
      <c r="Z87" s="9">
        <v>0.183496853017401</v>
      </c>
      <c r="AA87" s="9"/>
      <c r="AB87" s="9">
        <v>0.183496853017401</v>
      </c>
      <c r="AC87" s="9">
        <v>11.86</v>
      </c>
      <c r="AD87" s="9">
        <v>2.1608</v>
      </c>
      <c r="AE87" s="9"/>
      <c r="AF87" s="9"/>
      <c r="AG87" s="9">
        <v>47.59</v>
      </c>
      <c r="AH87" s="9"/>
      <c r="AI87" s="9">
        <v>47.59</v>
      </c>
      <c r="AJ87" s="9"/>
      <c r="AK87" s="9"/>
      <c r="AL87" s="9">
        <v>61</v>
      </c>
      <c r="AM87" s="9">
        <v>79.97</v>
      </c>
      <c r="AN87" s="9">
        <v>11.86</v>
      </c>
      <c r="AO87" s="9">
        <v>47.59</v>
      </c>
      <c r="AP87" s="9"/>
      <c r="AQ87" s="12">
        <v>0.7</v>
      </c>
      <c r="AR87" s="9">
        <v>30.2776</v>
      </c>
      <c r="AS87" s="9">
        <v>43.25</v>
      </c>
      <c r="AT87" s="9">
        <v>257</v>
      </c>
      <c r="AU87" s="9" t="s">
        <v>1931</v>
      </c>
      <c r="AV87" s="9">
        <v>100</v>
      </c>
      <c r="AW87" s="9" t="s">
        <v>1590</v>
      </c>
      <c r="AX87" s="9">
        <v>46150</v>
      </c>
      <c r="AY87" s="9" t="s">
        <v>1591</v>
      </c>
      <c r="AZ87" s="9" t="s">
        <v>1960</v>
      </c>
      <c r="BA87" s="9">
        <v>45392</v>
      </c>
      <c r="BB87" s="9" t="s">
        <v>1624</v>
      </c>
      <c r="BC87" s="9" t="s">
        <v>1961</v>
      </c>
      <c r="BD87" s="9" t="s">
        <v>1566</v>
      </c>
      <c r="BE87" s="13"/>
      <c r="BF87" s="13">
        <v>43.25</v>
      </c>
      <c r="BG87" s="12">
        <v>0.7</v>
      </c>
      <c r="BH87" s="9">
        <v>30.2776</v>
      </c>
      <c r="BI87" s="9" t="s">
        <v>1567</v>
      </c>
    </row>
    <row r="88" ht="25" customHeight="1" spans="1:61">
      <c r="A88" s="9">
        <v>87</v>
      </c>
      <c r="B88" s="9" t="s">
        <v>409</v>
      </c>
      <c r="C88" s="9" t="s">
        <v>410</v>
      </c>
      <c r="D88" s="9" t="s">
        <v>411</v>
      </c>
      <c r="E88" s="10">
        <v>45408</v>
      </c>
      <c r="F88" s="9">
        <v>2.3655</v>
      </c>
      <c r="G88" s="9" t="s">
        <v>1561</v>
      </c>
      <c r="H88" s="9" t="s">
        <v>542</v>
      </c>
      <c r="I88" s="9">
        <v>60</v>
      </c>
      <c r="J88" s="9" t="s">
        <v>1620</v>
      </c>
      <c r="K88" s="9">
        <v>0</v>
      </c>
      <c r="L88" s="9">
        <v>70</v>
      </c>
      <c r="M88" s="11">
        <v>0.0864</v>
      </c>
      <c r="N88" s="11"/>
      <c r="O88" s="11"/>
      <c r="P88" s="11"/>
      <c r="Q88" s="9">
        <v>66.61</v>
      </c>
      <c r="R88" s="9"/>
      <c r="S88" s="9">
        <v>66.61</v>
      </c>
      <c r="T88" s="11">
        <v>0.9231</v>
      </c>
      <c r="U88" s="11"/>
      <c r="V88" s="11"/>
      <c r="W88" s="9">
        <v>92.31</v>
      </c>
      <c r="X88" s="9"/>
      <c r="Y88" s="9">
        <v>92.31</v>
      </c>
      <c r="Z88" s="9">
        <v>0.0253209073325128</v>
      </c>
      <c r="AA88" s="9"/>
      <c r="AB88" s="9">
        <v>0.0253209073325128</v>
      </c>
      <c r="AC88" s="9">
        <v>65.38</v>
      </c>
      <c r="AD88" s="9">
        <v>3.4122</v>
      </c>
      <c r="AE88" s="9"/>
      <c r="AF88" s="9"/>
      <c r="AG88" s="9">
        <v>57.56</v>
      </c>
      <c r="AH88" s="9"/>
      <c r="AI88" s="9">
        <v>57.56</v>
      </c>
      <c r="AJ88" s="9"/>
      <c r="AK88" s="9"/>
      <c r="AL88" s="9">
        <v>45</v>
      </c>
      <c r="AM88" s="9">
        <v>74.32</v>
      </c>
      <c r="AN88" s="9">
        <v>65.38</v>
      </c>
      <c r="AO88" s="9">
        <v>57.56</v>
      </c>
      <c r="AP88" s="9"/>
      <c r="AQ88" s="12">
        <v>0.7</v>
      </c>
      <c r="AR88" s="9">
        <v>42.3742</v>
      </c>
      <c r="AS88" s="9">
        <v>60.53</v>
      </c>
      <c r="AT88" s="9">
        <v>152</v>
      </c>
      <c r="AU88" s="9" t="s">
        <v>1931</v>
      </c>
      <c r="AV88" s="9">
        <v>0</v>
      </c>
      <c r="AW88" s="9" t="s">
        <v>1396</v>
      </c>
      <c r="AX88" s="9">
        <v>46063</v>
      </c>
      <c r="AY88" s="9" t="s">
        <v>1398</v>
      </c>
      <c r="AZ88" s="9" t="s">
        <v>1962</v>
      </c>
      <c r="BA88" s="9">
        <v>45616</v>
      </c>
      <c r="BB88" s="9" t="s">
        <v>1624</v>
      </c>
      <c r="BC88" s="9" t="s">
        <v>959</v>
      </c>
      <c r="BD88" s="9" t="s">
        <v>1566</v>
      </c>
      <c r="BE88" s="13"/>
      <c r="BF88" s="13">
        <v>60.53</v>
      </c>
      <c r="BG88" s="12">
        <v>0.7</v>
      </c>
      <c r="BH88" s="9">
        <v>42.3742</v>
      </c>
      <c r="BI88" s="9" t="s">
        <v>1567</v>
      </c>
    </row>
    <row r="89" ht="25" customHeight="1" spans="1:61">
      <c r="A89" s="9">
        <v>88</v>
      </c>
      <c r="B89" s="9" t="s">
        <v>1963</v>
      </c>
      <c r="C89" s="9" t="s">
        <v>1964</v>
      </c>
      <c r="D89" s="9" t="s">
        <v>158</v>
      </c>
      <c r="E89" s="10">
        <v>45421</v>
      </c>
      <c r="F89" s="9">
        <v>2.3299</v>
      </c>
      <c r="G89" s="9" t="s">
        <v>1561</v>
      </c>
      <c r="H89" s="9" t="s">
        <v>546</v>
      </c>
      <c r="I89" s="9">
        <v>70</v>
      </c>
      <c r="J89" s="9" t="s">
        <v>1562</v>
      </c>
      <c r="K89" s="9">
        <v>100</v>
      </c>
      <c r="L89" s="9">
        <v>70</v>
      </c>
      <c r="M89" s="11">
        <v>0.134</v>
      </c>
      <c r="N89" s="11"/>
      <c r="O89" s="11"/>
      <c r="P89" s="11"/>
      <c r="Q89" s="9">
        <v>81.15</v>
      </c>
      <c r="R89" s="9"/>
      <c r="S89" s="9">
        <v>81.15</v>
      </c>
      <c r="T89" s="11">
        <v>0.6923</v>
      </c>
      <c r="U89" s="11"/>
      <c r="V89" s="11"/>
      <c r="W89" s="9">
        <v>69.23</v>
      </c>
      <c r="X89" s="9"/>
      <c r="Y89" s="9">
        <v>69.23</v>
      </c>
      <c r="Z89" s="9">
        <v>0.0604966139954853</v>
      </c>
      <c r="AA89" s="9"/>
      <c r="AB89" s="9">
        <v>0.0604966139954853</v>
      </c>
      <c r="AC89" s="9">
        <v>39.42</v>
      </c>
      <c r="AD89" s="9">
        <v>2.215</v>
      </c>
      <c r="AE89" s="9"/>
      <c r="AF89" s="9"/>
      <c r="AG89" s="9">
        <v>48.23</v>
      </c>
      <c r="AH89" s="9"/>
      <c r="AI89" s="9">
        <v>48.23</v>
      </c>
      <c r="AJ89" s="9"/>
      <c r="AK89" s="9"/>
      <c r="AL89" s="9">
        <v>79</v>
      </c>
      <c r="AM89" s="9">
        <v>77.57</v>
      </c>
      <c r="AN89" s="9">
        <v>39.42</v>
      </c>
      <c r="AO89" s="9">
        <v>48.23</v>
      </c>
      <c r="AP89" s="9"/>
      <c r="AQ89" s="12">
        <v>0.7</v>
      </c>
      <c r="AR89" s="9">
        <v>39.69528</v>
      </c>
      <c r="AS89" s="9">
        <v>56.71</v>
      </c>
      <c r="AT89" s="9">
        <v>177</v>
      </c>
      <c r="AU89" s="9" t="s">
        <v>1931</v>
      </c>
      <c r="AV89" s="9">
        <v>5</v>
      </c>
      <c r="AW89" s="9" t="s">
        <v>1280</v>
      </c>
      <c r="AX89" s="9">
        <v>45910</v>
      </c>
      <c r="AY89" s="9" t="s">
        <v>1284</v>
      </c>
      <c r="AZ89" s="9" t="s">
        <v>1965</v>
      </c>
      <c r="BA89" s="9">
        <v>46157</v>
      </c>
      <c r="BB89" s="9" t="s">
        <v>785</v>
      </c>
      <c r="BC89" s="9" t="s">
        <v>1966</v>
      </c>
      <c r="BD89" s="9" t="s">
        <v>1566</v>
      </c>
      <c r="BE89" s="13"/>
      <c r="BF89" s="13">
        <v>56.71</v>
      </c>
      <c r="BG89" s="12">
        <v>0.7</v>
      </c>
      <c r="BH89" s="9">
        <v>39.69528</v>
      </c>
      <c r="BI89" s="9" t="s">
        <v>1567</v>
      </c>
    </row>
    <row r="90" ht="25" customHeight="1" spans="1:61">
      <c r="A90" s="9">
        <v>89</v>
      </c>
      <c r="B90" s="9" t="s">
        <v>1967</v>
      </c>
      <c r="C90" s="9" t="s">
        <v>1968</v>
      </c>
      <c r="D90" s="9" t="s">
        <v>1969</v>
      </c>
      <c r="E90" s="10">
        <v>45401</v>
      </c>
      <c r="F90" s="9">
        <v>2.3847</v>
      </c>
      <c r="G90" s="9" t="s">
        <v>1561</v>
      </c>
      <c r="H90" s="9" t="s">
        <v>551</v>
      </c>
      <c r="I90" s="9">
        <v>80</v>
      </c>
      <c r="J90" s="9" t="s">
        <v>1562</v>
      </c>
      <c r="K90" s="9">
        <v>100</v>
      </c>
      <c r="L90" s="9">
        <v>70</v>
      </c>
      <c r="M90" s="11">
        <v>0.0404</v>
      </c>
      <c r="N90" s="11"/>
      <c r="O90" s="11"/>
      <c r="P90" s="11"/>
      <c r="Q90" s="9">
        <v>34.5</v>
      </c>
      <c r="R90" s="9"/>
      <c r="S90" s="9">
        <v>34.5</v>
      </c>
      <c r="T90" s="11">
        <v>0.6923</v>
      </c>
      <c r="U90" s="11"/>
      <c r="V90" s="11"/>
      <c r="W90" s="9">
        <v>69.23</v>
      </c>
      <c r="X90" s="9"/>
      <c r="Y90" s="9">
        <v>69.23</v>
      </c>
      <c r="Z90" s="9">
        <v>0.00590056668808787</v>
      </c>
      <c r="AA90" s="9"/>
      <c r="AB90" s="9">
        <v>0.00590056668808787</v>
      </c>
      <c r="AC90" s="9">
        <v>91.35</v>
      </c>
      <c r="AD90" s="9">
        <v>6.8468</v>
      </c>
      <c r="AE90" s="9"/>
      <c r="AF90" s="9"/>
      <c r="AG90" s="9">
        <v>70.74</v>
      </c>
      <c r="AH90" s="9"/>
      <c r="AI90" s="9">
        <v>70.74</v>
      </c>
      <c r="AJ90" s="9"/>
      <c r="AK90" s="9"/>
      <c r="AL90" s="9">
        <v>83</v>
      </c>
      <c r="AM90" s="9">
        <v>44.92</v>
      </c>
      <c r="AN90" s="9">
        <v>91.35</v>
      </c>
      <c r="AO90" s="9">
        <v>70.74</v>
      </c>
      <c r="AP90" s="9"/>
      <c r="AQ90" s="12">
        <v>0.7</v>
      </c>
      <c r="AR90" s="9">
        <v>53.41098</v>
      </c>
      <c r="AS90" s="9">
        <v>76.3</v>
      </c>
      <c r="AT90" s="9">
        <v>66</v>
      </c>
      <c r="AU90" s="9" t="s">
        <v>1931</v>
      </c>
      <c r="AV90" s="9">
        <v>10</v>
      </c>
      <c r="AW90" s="9" t="s">
        <v>1970</v>
      </c>
      <c r="AX90" s="9">
        <v>46181</v>
      </c>
      <c r="AY90" s="9" t="s">
        <v>1971</v>
      </c>
      <c r="AZ90" s="9" t="s">
        <v>1972</v>
      </c>
      <c r="BA90" s="9">
        <v>45642</v>
      </c>
      <c r="BB90" s="9" t="s">
        <v>785</v>
      </c>
      <c r="BC90" s="9" t="s">
        <v>1973</v>
      </c>
      <c r="BD90" s="9" t="s">
        <v>1566</v>
      </c>
      <c r="BE90" s="13"/>
      <c r="BF90" s="13">
        <v>76.3</v>
      </c>
      <c r="BG90" s="12">
        <v>0.7</v>
      </c>
      <c r="BH90" s="9">
        <v>53.41098</v>
      </c>
      <c r="BI90" s="9" t="s">
        <v>1567</v>
      </c>
    </row>
    <row r="91" ht="25" customHeight="1" spans="1:61">
      <c r="A91" s="9">
        <v>90</v>
      </c>
      <c r="B91" s="9" t="s">
        <v>1974</v>
      </c>
      <c r="C91" s="9" t="s">
        <v>1975</v>
      </c>
      <c r="D91" s="9" t="s">
        <v>1976</v>
      </c>
      <c r="E91" s="10">
        <v>45373</v>
      </c>
      <c r="F91" s="9">
        <v>2.4613</v>
      </c>
      <c r="G91" s="9" t="s">
        <v>1561</v>
      </c>
      <c r="H91" s="9" t="s">
        <v>561</v>
      </c>
      <c r="I91" s="9">
        <v>90</v>
      </c>
      <c r="J91" s="9" t="s">
        <v>1562</v>
      </c>
      <c r="K91" s="9">
        <v>100</v>
      </c>
      <c r="L91" s="9">
        <v>70</v>
      </c>
      <c r="M91" s="11">
        <v>0.0598</v>
      </c>
      <c r="N91" s="11"/>
      <c r="O91" s="11"/>
      <c r="P91" s="11"/>
      <c r="Q91" s="9">
        <v>48.4</v>
      </c>
      <c r="R91" s="9"/>
      <c r="S91" s="9">
        <v>48.4</v>
      </c>
      <c r="T91" s="11">
        <v>0.9231</v>
      </c>
      <c r="U91" s="11"/>
      <c r="V91" s="11"/>
      <c r="W91" s="9">
        <v>92.31</v>
      </c>
      <c r="X91" s="9"/>
      <c r="Y91" s="9">
        <v>92.31</v>
      </c>
      <c r="Z91" s="9">
        <v>0.00653109368515323</v>
      </c>
      <c r="AA91" s="9"/>
      <c r="AB91" s="9">
        <v>0.00653109368515323</v>
      </c>
      <c r="AC91" s="9">
        <v>89.74</v>
      </c>
      <c r="AD91" s="9">
        <v>9.1562</v>
      </c>
      <c r="AE91" s="9"/>
      <c r="AF91" s="9"/>
      <c r="AG91" s="9">
        <v>77.17</v>
      </c>
      <c r="AH91" s="9"/>
      <c r="AI91" s="9">
        <v>77.17</v>
      </c>
      <c r="AJ91" s="9"/>
      <c r="AK91" s="9"/>
      <c r="AL91" s="9">
        <v>87</v>
      </c>
      <c r="AM91" s="9">
        <v>61.57</v>
      </c>
      <c r="AN91" s="9">
        <v>89.74</v>
      </c>
      <c r="AO91" s="9">
        <v>77.17</v>
      </c>
      <c r="AP91" s="9"/>
      <c r="AQ91" s="12">
        <v>0.7</v>
      </c>
      <c r="AR91" s="9">
        <v>56.76436</v>
      </c>
      <c r="AS91" s="9">
        <v>81.09</v>
      </c>
      <c r="AT91" s="9">
        <v>43</v>
      </c>
      <c r="AU91" s="9" t="s">
        <v>1931</v>
      </c>
      <c r="AV91" s="9">
        <v>50</v>
      </c>
      <c r="AW91" s="9" t="s">
        <v>1977</v>
      </c>
      <c r="AX91" s="9">
        <v>45219</v>
      </c>
      <c r="AY91" s="9" t="s">
        <v>1978</v>
      </c>
      <c r="AZ91" s="9" t="s">
        <v>785</v>
      </c>
      <c r="BA91" s="9" t="s">
        <v>785</v>
      </c>
      <c r="BB91" s="9" t="s">
        <v>785</v>
      </c>
      <c r="BC91" s="9" t="s">
        <v>785</v>
      </c>
      <c r="BD91" s="9" t="s">
        <v>1898</v>
      </c>
      <c r="BE91" s="13"/>
      <c r="BF91" s="13">
        <v>81.09</v>
      </c>
      <c r="BG91" s="12">
        <v>0.7</v>
      </c>
      <c r="BH91" s="9">
        <v>56.76436</v>
      </c>
      <c r="BI91" s="9" t="s">
        <v>1567</v>
      </c>
    </row>
    <row r="92" ht="25" customHeight="1" spans="1:61">
      <c r="A92" s="9">
        <v>91</v>
      </c>
      <c r="B92" s="9" t="s">
        <v>1979</v>
      </c>
      <c r="C92" s="9" t="s">
        <v>1980</v>
      </c>
      <c r="D92" s="9" t="s">
        <v>1981</v>
      </c>
      <c r="E92" s="10">
        <v>45448</v>
      </c>
      <c r="F92" s="9">
        <v>2.256</v>
      </c>
      <c r="G92" s="9" t="s">
        <v>1561</v>
      </c>
      <c r="H92" s="9" t="s">
        <v>542</v>
      </c>
      <c r="I92" s="9">
        <v>60</v>
      </c>
      <c r="J92" s="9" t="s">
        <v>1562</v>
      </c>
      <c r="K92" s="9">
        <v>100</v>
      </c>
      <c r="L92" s="9">
        <v>70</v>
      </c>
      <c r="M92" s="11">
        <v>0.0136</v>
      </c>
      <c r="N92" s="11"/>
      <c r="O92" s="11"/>
      <c r="P92" s="11"/>
      <c r="Q92" s="9">
        <v>18.85</v>
      </c>
      <c r="R92" s="9"/>
      <c r="S92" s="9">
        <v>18.85</v>
      </c>
      <c r="T92" s="11">
        <v>0.6923</v>
      </c>
      <c r="U92" s="11"/>
      <c r="V92" s="11"/>
      <c r="W92" s="9">
        <v>69.23</v>
      </c>
      <c r="X92" s="9"/>
      <c r="Y92" s="9">
        <v>69.23</v>
      </c>
      <c r="Z92" s="9">
        <v>0.0132708821233411</v>
      </c>
      <c r="AA92" s="9"/>
      <c r="AB92" s="9">
        <v>0.0132708821233411</v>
      </c>
      <c r="AC92" s="9">
        <v>80.13</v>
      </c>
      <c r="AD92" s="9">
        <v>1.0248</v>
      </c>
      <c r="AE92" s="9"/>
      <c r="AF92" s="9"/>
      <c r="AG92" s="9">
        <v>32.32</v>
      </c>
      <c r="AH92" s="9"/>
      <c r="AI92" s="9">
        <v>32.32</v>
      </c>
      <c r="AJ92" s="9"/>
      <c r="AK92" s="9"/>
      <c r="AL92" s="9">
        <v>75</v>
      </c>
      <c r="AM92" s="9">
        <v>33.96</v>
      </c>
      <c r="AN92" s="9">
        <v>80.13</v>
      </c>
      <c r="AO92" s="9">
        <v>32.32</v>
      </c>
      <c r="AP92" s="9"/>
      <c r="AQ92" s="12">
        <v>0.7</v>
      </c>
      <c r="AR92" s="9">
        <v>41.17578</v>
      </c>
      <c r="AS92" s="9">
        <v>58.82</v>
      </c>
      <c r="AT92" s="9">
        <v>166</v>
      </c>
      <c r="AU92" s="9" t="s">
        <v>1931</v>
      </c>
      <c r="AV92" s="9">
        <v>0</v>
      </c>
      <c r="AW92" s="9" t="s">
        <v>1982</v>
      </c>
      <c r="AX92" s="9">
        <v>43980</v>
      </c>
      <c r="AY92" s="9" t="s">
        <v>1983</v>
      </c>
      <c r="AZ92" s="9" t="s">
        <v>1984</v>
      </c>
      <c r="BA92" s="9">
        <v>45679</v>
      </c>
      <c r="BB92" s="9" t="s">
        <v>785</v>
      </c>
      <c r="BC92" s="9" t="s">
        <v>1985</v>
      </c>
      <c r="BD92" s="9" t="s">
        <v>1566</v>
      </c>
      <c r="BE92" s="13"/>
      <c r="BF92" s="13">
        <v>58.82</v>
      </c>
      <c r="BG92" s="12">
        <v>0.7</v>
      </c>
      <c r="BH92" s="9">
        <v>41.17578</v>
      </c>
      <c r="BI92" s="9" t="s">
        <v>1567</v>
      </c>
    </row>
    <row r="93" ht="25" customHeight="1" spans="1:61">
      <c r="A93" s="9">
        <v>92</v>
      </c>
      <c r="B93" s="9" t="s">
        <v>1986</v>
      </c>
      <c r="C93" s="9" t="s">
        <v>1987</v>
      </c>
      <c r="D93" s="9" t="s">
        <v>189</v>
      </c>
      <c r="E93" s="10">
        <v>45404</v>
      </c>
      <c r="F93" s="9">
        <v>2.3765</v>
      </c>
      <c r="G93" s="9" t="s">
        <v>1561</v>
      </c>
      <c r="H93" s="9" t="s">
        <v>546</v>
      </c>
      <c r="I93" s="9">
        <v>70</v>
      </c>
      <c r="J93" s="9" t="s">
        <v>1562</v>
      </c>
      <c r="K93" s="9">
        <v>100</v>
      </c>
      <c r="L93" s="9">
        <v>70</v>
      </c>
      <c r="M93" s="11">
        <v>0.2611</v>
      </c>
      <c r="N93" s="11"/>
      <c r="O93" s="11"/>
      <c r="P93" s="11"/>
      <c r="Q93" s="9">
        <v>93.29</v>
      </c>
      <c r="R93" s="9"/>
      <c r="S93" s="9">
        <v>93.29</v>
      </c>
      <c r="T93" s="11">
        <v>0.6154</v>
      </c>
      <c r="U93" s="11"/>
      <c r="V93" s="11"/>
      <c r="W93" s="9">
        <v>61.54</v>
      </c>
      <c r="X93" s="9"/>
      <c r="Y93" s="9">
        <v>61.54</v>
      </c>
      <c r="Z93" s="9">
        <v>0.170731707317073</v>
      </c>
      <c r="AA93" s="9"/>
      <c r="AB93" s="9">
        <v>0.170731707317073</v>
      </c>
      <c r="AC93" s="9">
        <v>13.78</v>
      </c>
      <c r="AD93" s="9">
        <v>1.5293</v>
      </c>
      <c r="AE93" s="9"/>
      <c r="AF93" s="9"/>
      <c r="AG93" s="9">
        <v>36.66</v>
      </c>
      <c r="AH93" s="9"/>
      <c r="AI93" s="9">
        <v>36.66</v>
      </c>
      <c r="AJ93" s="9"/>
      <c r="AK93" s="9"/>
      <c r="AL93" s="9">
        <v>79</v>
      </c>
      <c r="AM93" s="9">
        <v>83.77</v>
      </c>
      <c r="AN93" s="9">
        <v>13.78</v>
      </c>
      <c r="AO93" s="9">
        <v>36.66</v>
      </c>
      <c r="AP93" s="9"/>
      <c r="AQ93" s="12">
        <v>0.7</v>
      </c>
      <c r="AR93" s="9">
        <v>31.9456</v>
      </c>
      <c r="AS93" s="9">
        <v>45.64</v>
      </c>
      <c r="AT93" s="9">
        <v>244</v>
      </c>
      <c r="AU93" s="9" t="s">
        <v>1931</v>
      </c>
      <c r="AV93" s="9">
        <v>5</v>
      </c>
      <c r="AW93" s="9" t="s">
        <v>1299</v>
      </c>
      <c r="AX93" s="9">
        <v>45877</v>
      </c>
      <c r="AY93" s="9" t="s">
        <v>1301</v>
      </c>
      <c r="AZ93" s="9" t="s">
        <v>785</v>
      </c>
      <c r="BA93" s="9" t="s">
        <v>785</v>
      </c>
      <c r="BB93" s="9" t="s">
        <v>785</v>
      </c>
      <c r="BC93" s="9" t="s">
        <v>785</v>
      </c>
      <c r="BD93" s="9" t="s">
        <v>1898</v>
      </c>
      <c r="BE93" s="13"/>
      <c r="BF93" s="13">
        <v>45.64</v>
      </c>
      <c r="BG93" s="12">
        <v>0.7</v>
      </c>
      <c r="BH93" s="9">
        <v>31.9456</v>
      </c>
      <c r="BI93" s="9" t="s">
        <v>1567</v>
      </c>
    </row>
    <row r="94" ht="25" customHeight="1" spans="1:61">
      <c r="A94" s="9">
        <v>93</v>
      </c>
      <c r="B94" s="9" t="s">
        <v>1988</v>
      </c>
      <c r="C94" s="9" t="s">
        <v>1989</v>
      </c>
      <c r="D94" s="9" t="s">
        <v>1990</v>
      </c>
      <c r="E94" s="10">
        <v>45490</v>
      </c>
      <c r="F94" s="9">
        <v>2.141</v>
      </c>
      <c r="G94" s="9" t="s">
        <v>1561</v>
      </c>
      <c r="H94" s="9" t="s">
        <v>542</v>
      </c>
      <c r="I94" s="9">
        <v>60</v>
      </c>
      <c r="J94" s="9" t="s">
        <v>1562</v>
      </c>
      <c r="K94" s="9">
        <v>100</v>
      </c>
      <c r="L94" s="9">
        <v>70</v>
      </c>
      <c r="M94" s="11">
        <v>-0.0198</v>
      </c>
      <c r="N94" s="11"/>
      <c r="O94" s="11"/>
      <c r="P94" s="11"/>
      <c r="Q94" s="9">
        <v>10.54</v>
      </c>
      <c r="R94" s="9"/>
      <c r="S94" s="9">
        <v>10.54</v>
      </c>
      <c r="T94" s="11">
        <v>0.5385</v>
      </c>
      <c r="U94" s="11"/>
      <c r="V94" s="11"/>
      <c r="W94" s="9">
        <v>53.85</v>
      </c>
      <c r="X94" s="9"/>
      <c r="Y94" s="9">
        <v>53.85</v>
      </c>
      <c r="Z94" s="9">
        <v>0.0549694614103276</v>
      </c>
      <c r="AA94" s="9"/>
      <c r="AB94" s="9">
        <v>0.0549694614103276</v>
      </c>
      <c r="AC94" s="9">
        <v>41.35</v>
      </c>
      <c r="AD94" s="9">
        <v>-0.3602</v>
      </c>
      <c r="AE94" s="9"/>
      <c r="AF94" s="9"/>
      <c r="AG94" s="9">
        <v>9.65</v>
      </c>
      <c r="AH94" s="9"/>
      <c r="AI94" s="9">
        <v>9.65</v>
      </c>
      <c r="AJ94" s="9"/>
      <c r="AK94" s="9"/>
      <c r="AL94" s="9">
        <v>75</v>
      </c>
      <c r="AM94" s="9">
        <v>23.53</v>
      </c>
      <c r="AN94" s="9">
        <v>41.35</v>
      </c>
      <c r="AO94" s="9">
        <v>9.65</v>
      </c>
      <c r="AP94" s="9"/>
      <c r="AQ94" s="12">
        <v>0.7</v>
      </c>
      <c r="AR94" s="9">
        <v>26.14846</v>
      </c>
      <c r="AS94" s="9">
        <v>37.35</v>
      </c>
      <c r="AT94" s="9">
        <v>278</v>
      </c>
      <c r="AU94" s="9" t="s">
        <v>1931</v>
      </c>
      <c r="AV94" s="9">
        <v>0</v>
      </c>
      <c r="AW94" s="9" t="s">
        <v>1991</v>
      </c>
      <c r="AX94" s="9">
        <v>46125</v>
      </c>
      <c r="AY94" s="9" t="s">
        <v>1992</v>
      </c>
      <c r="AZ94" s="9" t="s">
        <v>1993</v>
      </c>
      <c r="BA94" s="9">
        <v>45869</v>
      </c>
      <c r="BB94" s="9" t="s">
        <v>785</v>
      </c>
      <c r="BC94" s="9" t="s">
        <v>1994</v>
      </c>
      <c r="BD94" s="9" t="s">
        <v>1566</v>
      </c>
      <c r="BE94" s="13"/>
      <c r="BF94" s="13">
        <v>37.35</v>
      </c>
      <c r="BG94" s="12">
        <v>0.7</v>
      </c>
      <c r="BH94" s="9">
        <v>26.14846</v>
      </c>
      <c r="BI94" s="9" t="s">
        <v>1567</v>
      </c>
    </row>
    <row r="95" ht="25" customHeight="1" spans="1:61">
      <c r="A95" s="9">
        <v>94</v>
      </c>
      <c r="B95" s="9" t="s">
        <v>1995</v>
      </c>
      <c r="C95" s="9" t="s">
        <v>1996</v>
      </c>
      <c r="D95" s="9" t="s">
        <v>1976</v>
      </c>
      <c r="E95" s="10">
        <v>45373</v>
      </c>
      <c r="F95" s="9">
        <v>2.4613</v>
      </c>
      <c r="G95" s="9" t="s">
        <v>1561</v>
      </c>
      <c r="H95" s="9" t="s">
        <v>561</v>
      </c>
      <c r="I95" s="9">
        <v>90</v>
      </c>
      <c r="J95" s="9" t="s">
        <v>1562</v>
      </c>
      <c r="K95" s="9">
        <v>100</v>
      </c>
      <c r="L95" s="9">
        <v>70</v>
      </c>
      <c r="M95" s="11">
        <v>0.0705</v>
      </c>
      <c r="N95" s="11"/>
      <c r="O95" s="11"/>
      <c r="P95" s="11"/>
      <c r="Q95" s="9">
        <v>55.27</v>
      </c>
      <c r="R95" s="9"/>
      <c r="S95" s="9">
        <v>55.27</v>
      </c>
      <c r="T95" s="11">
        <v>0.9231</v>
      </c>
      <c r="U95" s="11"/>
      <c r="V95" s="11"/>
      <c r="W95" s="9">
        <v>92.31</v>
      </c>
      <c r="X95" s="9"/>
      <c r="Y95" s="9">
        <v>92.31</v>
      </c>
      <c r="Z95" s="9">
        <v>0.00629711672442745</v>
      </c>
      <c r="AA95" s="9"/>
      <c r="AB95" s="9">
        <v>0.00629711672442745</v>
      </c>
      <c r="AC95" s="9">
        <v>90.38</v>
      </c>
      <c r="AD95" s="9">
        <v>11.1956</v>
      </c>
      <c r="AE95" s="9"/>
      <c r="AF95" s="9"/>
      <c r="AG95" s="9">
        <v>82.96</v>
      </c>
      <c r="AH95" s="9"/>
      <c r="AI95" s="9">
        <v>82.96</v>
      </c>
      <c r="AJ95" s="9"/>
      <c r="AK95" s="9"/>
      <c r="AL95" s="9">
        <v>87</v>
      </c>
      <c r="AM95" s="9">
        <v>66.38</v>
      </c>
      <c r="AN95" s="9">
        <v>90.38</v>
      </c>
      <c r="AO95" s="9">
        <v>82.96</v>
      </c>
      <c r="AP95" s="9"/>
      <c r="AQ95" s="12">
        <v>0.7</v>
      </c>
      <c r="AR95" s="9">
        <v>58.54364</v>
      </c>
      <c r="AS95" s="9">
        <v>83.63</v>
      </c>
      <c r="AT95" s="9">
        <v>35</v>
      </c>
      <c r="AU95" s="9" t="s">
        <v>1931</v>
      </c>
      <c r="AV95" s="9">
        <v>50</v>
      </c>
      <c r="AW95" s="9" t="s">
        <v>1977</v>
      </c>
      <c r="AX95" s="9">
        <v>45219</v>
      </c>
      <c r="AY95" s="9" t="s">
        <v>1978</v>
      </c>
      <c r="AZ95" s="9" t="s">
        <v>785</v>
      </c>
      <c r="BA95" s="9" t="s">
        <v>785</v>
      </c>
      <c r="BB95" s="9" t="s">
        <v>785</v>
      </c>
      <c r="BC95" s="9" t="s">
        <v>785</v>
      </c>
      <c r="BD95" s="9" t="s">
        <v>1898</v>
      </c>
      <c r="BE95" s="13"/>
      <c r="BF95" s="13">
        <v>83.63</v>
      </c>
      <c r="BG95" s="12">
        <v>0.7</v>
      </c>
      <c r="BH95" s="9">
        <v>58.54364</v>
      </c>
      <c r="BI95" s="9" t="s">
        <v>1567</v>
      </c>
    </row>
    <row r="96" ht="25" customHeight="1" spans="1:61">
      <c r="A96" s="9">
        <v>95</v>
      </c>
      <c r="B96" s="9" t="s">
        <v>1997</v>
      </c>
      <c r="C96" s="9" t="s">
        <v>1998</v>
      </c>
      <c r="D96" s="9" t="s">
        <v>1878</v>
      </c>
      <c r="E96" s="10">
        <v>45586</v>
      </c>
      <c r="F96" s="9">
        <v>1.8782</v>
      </c>
      <c r="G96" s="9" t="s">
        <v>1561</v>
      </c>
      <c r="H96" s="9" t="s">
        <v>542</v>
      </c>
      <c r="I96" s="9">
        <v>60</v>
      </c>
      <c r="J96" s="9" t="s">
        <v>1620</v>
      </c>
      <c r="K96" s="9">
        <v>0</v>
      </c>
      <c r="L96" s="9">
        <v>70</v>
      </c>
      <c r="M96" s="11">
        <v>0.0745</v>
      </c>
      <c r="N96" s="11"/>
      <c r="O96" s="11"/>
      <c r="P96" s="11"/>
      <c r="Q96" s="9">
        <v>57.83</v>
      </c>
      <c r="R96" s="9"/>
      <c r="S96" s="9">
        <v>57.83</v>
      </c>
      <c r="T96" s="11">
        <v>0.6923</v>
      </c>
      <c r="U96" s="11"/>
      <c r="V96" s="11"/>
      <c r="W96" s="9">
        <v>69.23</v>
      </c>
      <c r="X96" s="9"/>
      <c r="Y96" s="9">
        <v>69.23</v>
      </c>
      <c r="Z96" s="9">
        <v>0.0675430643699003</v>
      </c>
      <c r="AA96" s="9"/>
      <c r="AB96" s="9">
        <v>0.0675430643699003</v>
      </c>
      <c r="AC96" s="9">
        <v>35.58</v>
      </c>
      <c r="AD96" s="9">
        <v>1.103</v>
      </c>
      <c r="AE96" s="9"/>
      <c r="AF96" s="9"/>
      <c r="AG96" s="9">
        <v>33.44</v>
      </c>
      <c r="AH96" s="9"/>
      <c r="AI96" s="9">
        <v>33.44</v>
      </c>
      <c r="AJ96" s="9"/>
      <c r="AK96" s="9"/>
      <c r="AL96" s="9">
        <v>45</v>
      </c>
      <c r="AM96" s="9">
        <v>61.25</v>
      </c>
      <c r="AN96" s="9">
        <v>35.58</v>
      </c>
      <c r="AO96" s="9">
        <v>33.44</v>
      </c>
      <c r="AP96" s="9"/>
      <c r="AQ96" s="12">
        <v>0.7</v>
      </c>
      <c r="AR96" s="9">
        <v>29.0142</v>
      </c>
      <c r="AS96" s="9">
        <v>41.45</v>
      </c>
      <c r="AT96" s="9">
        <v>265</v>
      </c>
      <c r="AU96" s="9" t="s">
        <v>1931</v>
      </c>
      <c r="AV96" s="9">
        <v>0</v>
      </c>
      <c r="AW96" s="9" t="s">
        <v>1879</v>
      </c>
      <c r="AX96" s="9">
        <v>46258</v>
      </c>
      <c r="AY96" s="9" t="s">
        <v>1880</v>
      </c>
      <c r="AZ96" s="9" t="s">
        <v>1999</v>
      </c>
      <c r="BA96" s="9">
        <v>46198</v>
      </c>
      <c r="BB96" s="9" t="s">
        <v>1624</v>
      </c>
      <c r="BC96" s="9" t="s">
        <v>2000</v>
      </c>
      <c r="BD96" s="9" t="s">
        <v>1566</v>
      </c>
      <c r="BE96" s="13"/>
      <c r="BF96" s="13">
        <v>41.45</v>
      </c>
      <c r="BG96" s="12">
        <v>0.7</v>
      </c>
      <c r="BH96" s="9">
        <v>29.0142</v>
      </c>
      <c r="BI96" s="9" t="s">
        <v>1567</v>
      </c>
    </row>
    <row r="97" ht="25" customHeight="1" spans="1:61">
      <c r="A97" s="9">
        <v>96</v>
      </c>
      <c r="B97" s="9" t="s">
        <v>302</v>
      </c>
      <c r="C97" s="9" t="s">
        <v>303</v>
      </c>
      <c r="D97" s="9" t="s">
        <v>284</v>
      </c>
      <c r="E97" s="10">
        <v>45621</v>
      </c>
      <c r="F97" s="9">
        <v>1.7823</v>
      </c>
      <c r="G97" s="9" t="s">
        <v>1561</v>
      </c>
      <c r="H97" s="9" t="s">
        <v>551</v>
      </c>
      <c r="I97" s="9">
        <v>80</v>
      </c>
      <c r="J97" s="9" t="s">
        <v>1562</v>
      </c>
      <c r="K97" s="9">
        <v>100</v>
      </c>
      <c r="L97" s="9">
        <v>70</v>
      </c>
      <c r="M97" s="11">
        <v>0.1476</v>
      </c>
      <c r="N97" s="11"/>
      <c r="O97" s="11"/>
      <c r="P97" s="11"/>
      <c r="Q97" s="9">
        <v>84.35</v>
      </c>
      <c r="R97" s="9"/>
      <c r="S97" s="9">
        <v>84.35</v>
      </c>
      <c r="T97" s="11">
        <v>0.8462</v>
      </c>
      <c r="U97" s="11"/>
      <c r="V97" s="11"/>
      <c r="W97" s="9">
        <v>84.62</v>
      </c>
      <c r="X97" s="9"/>
      <c r="Y97" s="9">
        <v>84.62</v>
      </c>
      <c r="Z97" s="9">
        <v>0.0225708780622075</v>
      </c>
      <c r="AA97" s="9"/>
      <c r="AB97" s="9">
        <v>0.0225708780622075</v>
      </c>
      <c r="AC97" s="9">
        <v>69.23</v>
      </c>
      <c r="AD97" s="9">
        <v>6.5394</v>
      </c>
      <c r="AE97" s="9"/>
      <c r="AF97" s="9"/>
      <c r="AG97" s="9">
        <v>69.77</v>
      </c>
      <c r="AH97" s="9"/>
      <c r="AI97" s="9">
        <v>69.77</v>
      </c>
      <c r="AJ97" s="9"/>
      <c r="AK97" s="9"/>
      <c r="AL97" s="9">
        <v>83</v>
      </c>
      <c r="AM97" s="9">
        <v>84.43</v>
      </c>
      <c r="AN97" s="9">
        <v>69.23</v>
      </c>
      <c r="AO97" s="9">
        <v>69.77</v>
      </c>
      <c r="AP97" s="9"/>
      <c r="AQ97" s="12">
        <v>0.7</v>
      </c>
      <c r="AR97" s="9">
        <v>52.44782</v>
      </c>
      <c r="AS97" s="9">
        <v>74.93</v>
      </c>
      <c r="AT97" s="9">
        <v>75</v>
      </c>
      <c r="AU97" s="9" t="s">
        <v>1931</v>
      </c>
      <c r="AV97" s="9">
        <v>10</v>
      </c>
      <c r="AW97" s="9" t="s">
        <v>1350</v>
      </c>
      <c r="AX97" s="9">
        <v>46185</v>
      </c>
      <c r="AY97" s="9" t="s">
        <v>1352</v>
      </c>
      <c r="AZ97" s="9" t="s">
        <v>2001</v>
      </c>
      <c r="BA97" s="9">
        <v>45636</v>
      </c>
      <c r="BB97" s="9" t="s">
        <v>785</v>
      </c>
      <c r="BC97" s="9" t="s">
        <v>922</v>
      </c>
      <c r="BD97" s="9" t="s">
        <v>1566</v>
      </c>
      <c r="BE97" s="13"/>
      <c r="BF97" s="13">
        <v>74.93</v>
      </c>
      <c r="BG97" s="12">
        <v>0.7</v>
      </c>
      <c r="BH97" s="9">
        <v>52.44782</v>
      </c>
      <c r="BI97" s="9" t="s">
        <v>1567</v>
      </c>
    </row>
    <row r="98" ht="25" customHeight="1" spans="1:61">
      <c r="A98" s="9">
        <v>97</v>
      </c>
      <c r="B98" s="9" t="s">
        <v>2002</v>
      </c>
      <c r="C98" s="9" t="s">
        <v>2003</v>
      </c>
      <c r="D98" s="9" t="s">
        <v>1990</v>
      </c>
      <c r="E98" s="10">
        <v>45629</v>
      </c>
      <c r="F98" s="9">
        <v>1.7604</v>
      </c>
      <c r="G98" s="9" t="s">
        <v>1561</v>
      </c>
      <c r="H98" s="9" t="s">
        <v>542</v>
      </c>
      <c r="I98" s="9">
        <v>60</v>
      </c>
      <c r="J98" s="9" t="s">
        <v>1562</v>
      </c>
      <c r="K98" s="9">
        <v>100</v>
      </c>
      <c r="L98" s="9">
        <v>70</v>
      </c>
      <c r="M98" s="11">
        <v>0.0535</v>
      </c>
      <c r="N98" s="11"/>
      <c r="O98" s="11"/>
      <c r="P98" s="11"/>
      <c r="Q98" s="9">
        <v>44.09</v>
      </c>
      <c r="R98" s="9"/>
      <c r="S98" s="9">
        <v>44.09</v>
      </c>
      <c r="T98" s="11">
        <v>0.6154</v>
      </c>
      <c r="U98" s="11"/>
      <c r="V98" s="11"/>
      <c r="W98" s="9">
        <v>61.54</v>
      </c>
      <c r="X98" s="9"/>
      <c r="Y98" s="9">
        <v>61.54</v>
      </c>
      <c r="Z98" s="9">
        <v>0.0167506809856289</v>
      </c>
      <c r="AA98" s="9"/>
      <c r="AB98" s="9">
        <v>0.0167506809856289</v>
      </c>
      <c r="AC98" s="9">
        <v>74.68</v>
      </c>
      <c r="AD98" s="9">
        <v>3.1939</v>
      </c>
      <c r="AE98" s="9"/>
      <c r="AF98" s="9"/>
      <c r="AG98" s="9">
        <v>55.95</v>
      </c>
      <c r="AH98" s="9"/>
      <c r="AI98" s="9">
        <v>55.95</v>
      </c>
      <c r="AJ98" s="9"/>
      <c r="AK98" s="9"/>
      <c r="AL98" s="9">
        <v>75</v>
      </c>
      <c r="AM98" s="9">
        <v>49.33</v>
      </c>
      <c r="AN98" s="9">
        <v>74.68</v>
      </c>
      <c r="AO98" s="9">
        <v>55.95</v>
      </c>
      <c r="AP98" s="9"/>
      <c r="AQ98" s="12">
        <v>0.7</v>
      </c>
      <c r="AR98" s="9">
        <v>45.91</v>
      </c>
      <c r="AS98" s="9">
        <v>65.59</v>
      </c>
      <c r="AT98" s="9">
        <v>128</v>
      </c>
      <c r="AU98" s="9" t="s">
        <v>1931</v>
      </c>
      <c r="AV98" s="9">
        <v>0</v>
      </c>
      <c r="AW98" s="9" t="s">
        <v>1991</v>
      </c>
      <c r="AX98" s="9">
        <v>46125</v>
      </c>
      <c r="AY98" s="9" t="s">
        <v>1992</v>
      </c>
      <c r="AZ98" s="9" t="s">
        <v>2004</v>
      </c>
      <c r="BA98" s="9">
        <v>45637</v>
      </c>
      <c r="BB98" s="9" t="s">
        <v>785</v>
      </c>
      <c r="BC98" s="9" t="s">
        <v>2005</v>
      </c>
      <c r="BD98" s="9" t="s">
        <v>1566</v>
      </c>
      <c r="BE98" s="13"/>
      <c r="BF98" s="13">
        <v>65.59</v>
      </c>
      <c r="BG98" s="12">
        <v>0.7</v>
      </c>
      <c r="BH98" s="9">
        <v>45.91</v>
      </c>
      <c r="BI98" s="9" t="s">
        <v>1567</v>
      </c>
    </row>
    <row r="99" ht="25" customHeight="1" spans="1:61">
      <c r="A99" s="9">
        <v>98</v>
      </c>
      <c r="B99" s="9" t="s">
        <v>2006</v>
      </c>
      <c r="C99" s="9" t="s">
        <v>2007</v>
      </c>
      <c r="D99" s="9" t="s">
        <v>411</v>
      </c>
      <c r="E99" s="10">
        <v>45408</v>
      </c>
      <c r="F99" s="9">
        <v>2.3655</v>
      </c>
      <c r="G99" s="9" t="s">
        <v>1561</v>
      </c>
      <c r="H99" s="9" t="s">
        <v>542</v>
      </c>
      <c r="I99" s="9">
        <v>60</v>
      </c>
      <c r="J99" s="9" t="s">
        <v>1562</v>
      </c>
      <c r="K99" s="9">
        <v>100</v>
      </c>
      <c r="L99" s="9">
        <v>70</v>
      </c>
      <c r="M99" s="11">
        <v>0.0862</v>
      </c>
      <c r="N99" s="11"/>
      <c r="O99" s="11"/>
      <c r="P99" s="11"/>
      <c r="Q99" s="9">
        <v>66.13</v>
      </c>
      <c r="R99" s="9"/>
      <c r="S99" s="9">
        <v>66.13</v>
      </c>
      <c r="T99" s="11">
        <v>0.9231</v>
      </c>
      <c r="U99" s="11"/>
      <c r="V99" s="11"/>
      <c r="W99" s="9">
        <v>92.31</v>
      </c>
      <c r="X99" s="9"/>
      <c r="Y99" s="9">
        <v>92.31</v>
      </c>
      <c r="Z99" s="9">
        <v>0.0253224053347434</v>
      </c>
      <c r="AA99" s="9"/>
      <c r="AB99" s="9">
        <v>0.0253224053347434</v>
      </c>
      <c r="AC99" s="9">
        <v>65.06</v>
      </c>
      <c r="AD99" s="9">
        <v>3.4041</v>
      </c>
      <c r="AE99" s="9"/>
      <c r="AF99" s="9"/>
      <c r="AG99" s="9">
        <v>57.23</v>
      </c>
      <c r="AH99" s="9"/>
      <c r="AI99" s="9">
        <v>57.23</v>
      </c>
      <c r="AJ99" s="9"/>
      <c r="AK99" s="9"/>
      <c r="AL99" s="9">
        <v>75</v>
      </c>
      <c r="AM99" s="9">
        <v>73.98</v>
      </c>
      <c r="AN99" s="9">
        <v>65.06</v>
      </c>
      <c r="AO99" s="9">
        <v>57.23</v>
      </c>
      <c r="AP99" s="9"/>
      <c r="AQ99" s="12">
        <v>0.7</v>
      </c>
      <c r="AR99" s="9">
        <v>46.69448</v>
      </c>
      <c r="AS99" s="9">
        <v>66.71</v>
      </c>
      <c r="AT99" s="9">
        <v>123</v>
      </c>
      <c r="AU99" s="9" t="s">
        <v>1931</v>
      </c>
      <c r="AV99" s="9">
        <v>0</v>
      </c>
      <c r="AW99" s="9" t="s">
        <v>1396</v>
      </c>
      <c r="AX99" s="9">
        <v>46063</v>
      </c>
      <c r="AY99" s="9" t="s">
        <v>1398</v>
      </c>
      <c r="AZ99" s="9" t="s">
        <v>785</v>
      </c>
      <c r="BA99" s="9" t="s">
        <v>785</v>
      </c>
      <c r="BB99" s="9" t="s">
        <v>785</v>
      </c>
      <c r="BC99" s="9" t="s">
        <v>785</v>
      </c>
      <c r="BD99" s="9" t="s">
        <v>1898</v>
      </c>
      <c r="BE99" s="13"/>
      <c r="BF99" s="13">
        <v>66.71</v>
      </c>
      <c r="BG99" s="12">
        <v>0.7</v>
      </c>
      <c r="BH99" s="9">
        <v>46.69448</v>
      </c>
      <c r="BI99" s="9" t="s">
        <v>1567</v>
      </c>
    </row>
    <row r="100" ht="25" customHeight="1" spans="1:61">
      <c r="A100" s="9">
        <v>99</v>
      </c>
      <c r="B100" s="9" t="s">
        <v>2008</v>
      </c>
      <c r="C100" s="9" t="s">
        <v>2009</v>
      </c>
      <c r="D100" s="9" t="s">
        <v>2010</v>
      </c>
      <c r="E100" s="10">
        <v>45643</v>
      </c>
      <c r="F100" s="9">
        <v>1.7221</v>
      </c>
      <c r="G100" s="9" t="s">
        <v>1561</v>
      </c>
      <c r="H100" s="9" t="s">
        <v>557</v>
      </c>
      <c r="I100" s="9">
        <v>90</v>
      </c>
      <c r="J100" s="9" t="s">
        <v>1562</v>
      </c>
      <c r="K100" s="9">
        <v>100</v>
      </c>
      <c r="L100" s="9">
        <v>70</v>
      </c>
      <c r="M100" s="11">
        <v>0.0117</v>
      </c>
      <c r="N100" s="11"/>
      <c r="O100" s="11"/>
      <c r="P100" s="11"/>
      <c r="Q100" s="9">
        <v>18.21</v>
      </c>
      <c r="R100" s="9"/>
      <c r="S100" s="9">
        <v>18.21</v>
      </c>
      <c r="T100" s="11">
        <v>0.6154</v>
      </c>
      <c r="U100" s="11"/>
      <c r="V100" s="11"/>
      <c r="W100" s="9">
        <v>61.54</v>
      </c>
      <c r="X100" s="9"/>
      <c r="Y100" s="9">
        <v>61.54</v>
      </c>
      <c r="Z100" s="9">
        <v>0.178899082568807</v>
      </c>
      <c r="AA100" s="9"/>
      <c r="AB100" s="9">
        <v>0.178899082568807</v>
      </c>
      <c r="AC100" s="9">
        <v>12.82</v>
      </c>
      <c r="AD100" s="9">
        <v>0.0654</v>
      </c>
      <c r="AE100" s="9"/>
      <c r="AF100" s="9"/>
      <c r="AG100" s="9">
        <v>17.04</v>
      </c>
      <c r="AH100" s="9"/>
      <c r="AI100" s="9">
        <v>17.04</v>
      </c>
      <c r="AJ100" s="9"/>
      <c r="AK100" s="9"/>
      <c r="AL100" s="9">
        <v>87</v>
      </c>
      <c r="AM100" s="9">
        <v>31.21</v>
      </c>
      <c r="AN100" s="9">
        <v>12.82</v>
      </c>
      <c r="AO100" s="9">
        <v>17.04</v>
      </c>
      <c r="AP100" s="9"/>
      <c r="AQ100" s="12">
        <v>0.7</v>
      </c>
      <c r="AR100" s="9">
        <v>23.06728</v>
      </c>
      <c r="AS100" s="9">
        <v>32.95</v>
      </c>
      <c r="AT100" s="9">
        <v>290</v>
      </c>
      <c r="AU100" s="9" t="s">
        <v>1931</v>
      </c>
      <c r="AV100" s="9">
        <v>20</v>
      </c>
      <c r="AW100" s="9" t="s">
        <v>2011</v>
      </c>
      <c r="AX100" s="9">
        <v>46063</v>
      </c>
      <c r="AY100" s="9" t="s">
        <v>2012</v>
      </c>
      <c r="AZ100" s="9" t="s">
        <v>2013</v>
      </c>
      <c r="BA100" s="9">
        <v>46042</v>
      </c>
      <c r="BB100" s="9" t="s">
        <v>785</v>
      </c>
      <c r="BC100" s="9" t="s">
        <v>2014</v>
      </c>
      <c r="BD100" s="9" t="s">
        <v>1566</v>
      </c>
      <c r="BE100" s="13"/>
      <c r="BF100" s="13">
        <v>32.95</v>
      </c>
      <c r="BG100" s="12">
        <v>0.7</v>
      </c>
      <c r="BH100" s="9">
        <v>23.06728</v>
      </c>
      <c r="BI100" s="9" t="s">
        <v>1567</v>
      </c>
    </row>
    <row r="101" ht="25" customHeight="1" spans="1:61">
      <c r="A101" s="9">
        <v>100</v>
      </c>
      <c r="B101" s="9" t="s">
        <v>2015</v>
      </c>
      <c r="C101" s="9" t="s">
        <v>2016</v>
      </c>
      <c r="D101" s="9" t="s">
        <v>2017</v>
      </c>
      <c r="E101" s="10">
        <v>45642</v>
      </c>
      <c r="F101" s="9">
        <v>1.7248</v>
      </c>
      <c r="G101" s="9" t="s">
        <v>1561</v>
      </c>
      <c r="H101" s="9" t="s">
        <v>557</v>
      </c>
      <c r="I101" s="9">
        <v>90</v>
      </c>
      <c r="J101" s="9" t="s">
        <v>1562</v>
      </c>
      <c r="K101" s="9">
        <v>100</v>
      </c>
      <c r="L101" s="9">
        <v>70</v>
      </c>
      <c r="M101" s="11">
        <v>0.1564</v>
      </c>
      <c r="N101" s="11"/>
      <c r="O101" s="11"/>
      <c r="P101" s="11"/>
      <c r="Q101" s="9">
        <v>85.62</v>
      </c>
      <c r="R101" s="9"/>
      <c r="S101" s="9">
        <v>85.62</v>
      </c>
      <c r="T101" s="11">
        <v>0.6923</v>
      </c>
      <c r="U101" s="11"/>
      <c r="V101" s="11"/>
      <c r="W101" s="9">
        <v>69.23</v>
      </c>
      <c r="X101" s="9"/>
      <c r="Y101" s="9">
        <v>69.23</v>
      </c>
      <c r="Z101" s="9">
        <v>0.082246529238536</v>
      </c>
      <c r="AA101" s="9"/>
      <c r="AB101" s="9">
        <v>0.082246529238536</v>
      </c>
      <c r="AC101" s="9">
        <v>30.45</v>
      </c>
      <c r="AD101" s="9">
        <v>1.9016</v>
      </c>
      <c r="AE101" s="9"/>
      <c r="AF101" s="9"/>
      <c r="AG101" s="9">
        <v>45.34</v>
      </c>
      <c r="AH101" s="9"/>
      <c r="AI101" s="9">
        <v>45.34</v>
      </c>
      <c r="AJ101" s="9"/>
      <c r="AK101" s="9"/>
      <c r="AL101" s="9">
        <v>87</v>
      </c>
      <c r="AM101" s="9">
        <v>80.7</v>
      </c>
      <c r="AN101" s="9">
        <v>30.45</v>
      </c>
      <c r="AO101" s="9">
        <v>45.34</v>
      </c>
      <c r="AP101" s="9"/>
      <c r="AQ101" s="12">
        <v>0.7</v>
      </c>
      <c r="AR101" s="9">
        <v>38.50806</v>
      </c>
      <c r="AS101" s="9">
        <v>55.01</v>
      </c>
      <c r="AT101" s="9">
        <v>189</v>
      </c>
      <c r="AU101" s="9" t="s">
        <v>1931</v>
      </c>
      <c r="AV101" s="9">
        <v>20</v>
      </c>
      <c r="AW101" s="9" t="s">
        <v>2018</v>
      </c>
      <c r="AX101" s="9">
        <v>46136</v>
      </c>
      <c r="AY101" s="9" t="s">
        <v>2019</v>
      </c>
      <c r="AZ101" s="9" t="s">
        <v>2020</v>
      </c>
      <c r="BA101" s="9">
        <v>45968</v>
      </c>
      <c r="BB101" s="9" t="s">
        <v>785</v>
      </c>
      <c r="BC101" s="9" t="s">
        <v>2021</v>
      </c>
      <c r="BD101" s="9" t="s">
        <v>1566</v>
      </c>
      <c r="BE101" s="13"/>
      <c r="BF101" s="13">
        <v>55.01</v>
      </c>
      <c r="BG101" s="12">
        <v>0.7</v>
      </c>
      <c r="BH101" s="9">
        <v>38.50806</v>
      </c>
      <c r="BI101" s="9" t="s">
        <v>1567</v>
      </c>
    </row>
    <row r="102" ht="25" customHeight="1" spans="1:61">
      <c r="A102" s="9">
        <v>101</v>
      </c>
      <c r="B102" s="9" t="s">
        <v>2022</v>
      </c>
      <c r="C102" s="9" t="s">
        <v>2023</v>
      </c>
      <c r="D102" s="9" t="s">
        <v>2024</v>
      </c>
      <c r="E102" s="10">
        <v>45650</v>
      </c>
      <c r="F102" s="9">
        <v>1.7029</v>
      </c>
      <c r="G102" s="9" t="s">
        <v>1561</v>
      </c>
      <c r="H102" s="9" t="s">
        <v>542</v>
      </c>
      <c r="I102" s="9">
        <v>60</v>
      </c>
      <c r="J102" s="9" t="s">
        <v>1562</v>
      </c>
      <c r="K102" s="9">
        <v>100</v>
      </c>
      <c r="L102" s="9">
        <v>70</v>
      </c>
      <c r="M102" s="11">
        <v>0.0657</v>
      </c>
      <c r="N102" s="11"/>
      <c r="O102" s="11"/>
      <c r="P102" s="11"/>
      <c r="Q102" s="9">
        <v>52.08</v>
      </c>
      <c r="R102" s="9"/>
      <c r="S102" s="9">
        <v>52.08</v>
      </c>
      <c r="T102" s="11">
        <v>0.6923</v>
      </c>
      <c r="U102" s="11"/>
      <c r="V102" s="11"/>
      <c r="W102" s="9">
        <v>69.23</v>
      </c>
      <c r="X102" s="9"/>
      <c r="Y102" s="9">
        <v>69.23</v>
      </c>
      <c r="Z102" s="9">
        <v>0.0473479388872874</v>
      </c>
      <c r="AA102" s="9"/>
      <c r="AB102" s="9">
        <v>0.0473479388872874</v>
      </c>
      <c r="AC102" s="9">
        <v>45.51</v>
      </c>
      <c r="AD102" s="9">
        <v>1.3876</v>
      </c>
      <c r="AE102" s="9"/>
      <c r="AF102" s="9"/>
      <c r="AG102" s="9">
        <v>35.37</v>
      </c>
      <c r="AH102" s="9"/>
      <c r="AI102" s="9">
        <v>35.37</v>
      </c>
      <c r="AJ102" s="9"/>
      <c r="AK102" s="9"/>
      <c r="AL102" s="9">
        <v>75</v>
      </c>
      <c r="AM102" s="9">
        <v>57.23</v>
      </c>
      <c r="AN102" s="9">
        <v>45.51</v>
      </c>
      <c r="AO102" s="9">
        <v>35.37</v>
      </c>
      <c r="AP102" s="9"/>
      <c r="AQ102" s="12">
        <v>0.7</v>
      </c>
      <c r="AR102" s="9">
        <v>35.8611</v>
      </c>
      <c r="AS102" s="9">
        <v>51.23</v>
      </c>
      <c r="AT102" s="9">
        <v>215</v>
      </c>
      <c r="AU102" s="9" t="s">
        <v>1931</v>
      </c>
      <c r="AV102" s="9">
        <v>0</v>
      </c>
      <c r="AW102" s="9" t="s">
        <v>2025</v>
      </c>
      <c r="AX102" s="9">
        <v>46268</v>
      </c>
      <c r="AY102" s="9" t="s">
        <v>2026</v>
      </c>
      <c r="AZ102" s="9" t="s">
        <v>2027</v>
      </c>
      <c r="BA102" s="9">
        <v>45653</v>
      </c>
      <c r="BB102" s="9" t="s">
        <v>785</v>
      </c>
      <c r="BC102" s="9" t="s">
        <v>2028</v>
      </c>
      <c r="BD102" s="9" t="s">
        <v>1566</v>
      </c>
      <c r="BE102" s="13"/>
      <c r="BF102" s="13">
        <v>51.23</v>
      </c>
      <c r="BG102" s="12">
        <v>0.7</v>
      </c>
      <c r="BH102" s="9">
        <v>35.8611</v>
      </c>
      <c r="BI102" s="9" t="s">
        <v>1567</v>
      </c>
    </row>
    <row r="103" ht="25" customHeight="1" spans="1:61">
      <c r="A103" s="9">
        <v>102</v>
      </c>
      <c r="B103" s="9" t="s">
        <v>2029</v>
      </c>
      <c r="C103" s="9" t="s">
        <v>2030</v>
      </c>
      <c r="D103" s="9" t="s">
        <v>2024</v>
      </c>
      <c r="E103" s="10">
        <v>45657</v>
      </c>
      <c r="F103" s="9">
        <v>1.6838</v>
      </c>
      <c r="G103" s="9" t="s">
        <v>1561</v>
      </c>
      <c r="H103" s="9" t="s">
        <v>542</v>
      </c>
      <c r="I103" s="9">
        <v>60</v>
      </c>
      <c r="J103" s="9" t="s">
        <v>1562</v>
      </c>
      <c r="K103" s="9">
        <v>100</v>
      </c>
      <c r="L103" s="9">
        <v>70</v>
      </c>
      <c r="M103" s="11">
        <v>0.084</v>
      </c>
      <c r="N103" s="11"/>
      <c r="O103" s="11"/>
      <c r="P103" s="11"/>
      <c r="Q103" s="9">
        <v>63.58</v>
      </c>
      <c r="R103" s="9"/>
      <c r="S103" s="9">
        <v>63.58</v>
      </c>
      <c r="T103" s="11">
        <v>0.7692</v>
      </c>
      <c r="U103" s="11"/>
      <c r="V103" s="11"/>
      <c r="W103" s="9">
        <v>76.92</v>
      </c>
      <c r="X103" s="9"/>
      <c r="Y103" s="9">
        <v>76.92</v>
      </c>
      <c r="Z103" s="9">
        <v>0.0285694850690429</v>
      </c>
      <c r="AA103" s="9"/>
      <c r="AB103" s="9">
        <v>0.0285694850690429</v>
      </c>
      <c r="AC103" s="9">
        <v>60.26</v>
      </c>
      <c r="AD103" s="9">
        <v>2.9402</v>
      </c>
      <c r="AE103" s="9"/>
      <c r="AF103" s="9"/>
      <c r="AG103" s="9">
        <v>54.34</v>
      </c>
      <c r="AH103" s="9"/>
      <c r="AI103" s="9">
        <v>54.34</v>
      </c>
      <c r="AJ103" s="9"/>
      <c r="AK103" s="9"/>
      <c r="AL103" s="9">
        <v>75</v>
      </c>
      <c r="AM103" s="9">
        <v>67.58</v>
      </c>
      <c r="AN103" s="9">
        <v>60.26</v>
      </c>
      <c r="AO103" s="9">
        <v>54.34</v>
      </c>
      <c r="AP103" s="9"/>
      <c r="AQ103" s="12">
        <v>0.7</v>
      </c>
      <c r="AR103" s="9">
        <v>44.20604</v>
      </c>
      <c r="AS103" s="9">
        <v>63.15</v>
      </c>
      <c r="AT103" s="9">
        <v>141</v>
      </c>
      <c r="AU103" s="9" t="s">
        <v>1931</v>
      </c>
      <c r="AV103" s="9">
        <v>0</v>
      </c>
      <c r="AW103" s="9" t="s">
        <v>2025</v>
      </c>
      <c r="AX103" s="9">
        <v>46268</v>
      </c>
      <c r="AY103" s="9" t="s">
        <v>2026</v>
      </c>
      <c r="AZ103" s="9" t="s">
        <v>2031</v>
      </c>
      <c r="BA103" s="9">
        <v>45663</v>
      </c>
      <c r="BB103" s="9" t="s">
        <v>785</v>
      </c>
      <c r="BC103" s="9" t="s">
        <v>2032</v>
      </c>
      <c r="BD103" s="9" t="s">
        <v>1566</v>
      </c>
      <c r="BE103" s="13"/>
      <c r="BF103" s="13">
        <v>63.15</v>
      </c>
      <c r="BG103" s="12">
        <v>0.7</v>
      </c>
      <c r="BH103" s="9">
        <v>44.20604</v>
      </c>
      <c r="BI103" s="9" t="s">
        <v>1567</v>
      </c>
    </row>
    <row r="104" ht="25" customHeight="1" spans="1:61">
      <c r="A104" s="9">
        <v>103</v>
      </c>
      <c r="B104" s="9" t="s">
        <v>161</v>
      </c>
      <c r="C104" s="9" t="s">
        <v>162</v>
      </c>
      <c r="D104" s="9" t="s">
        <v>158</v>
      </c>
      <c r="E104" s="10">
        <v>45705</v>
      </c>
      <c r="F104" s="9">
        <v>1.5524</v>
      </c>
      <c r="G104" s="9" t="s">
        <v>1561</v>
      </c>
      <c r="H104" s="9" t="s">
        <v>546</v>
      </c>
      <c r="I104" s="9">
        <v>70</v>
      </c>
      <c r="J104" s="9" t="s">
        <v>1562</v>
      </c>
      <c r="K104" s="9">
        <v>100</v>
      </c>
      <c r="L104" s="9">
        <v>70</v>
      </c>
      <c r="M104" s="11">
        <v>0.1981</v>
      </c>
      <c r="N104" s="11"/>
      <c r="O104" s="11"/>
      <c r="P104" s="11"/>
      <c r="Q104" s="9">
        <v>87.86</v>
      </c>
      <c r="R104" s="9"/>
      <c r="S104" s="9">
        <v>87.86</v>
      </c>
      <c r="T104" s="11">
        <v>0.7692</v>
      </c>
      <c r="U104" s="11"/>
      <c r="V104" s="11"/>
      <c r="W104" s="9">
        <v>76.92</v>
      </c>
      <c r="X104" s="9"/>
      <c r="Y104" s="9">
        <v>76.92</v>
      </c>
      <c r="Z104" s="9">
        <v>0.0188141661838869</v>
      </c>
      <c r="AA104" s="9"/>
      <c r="AB104" s="9">
        <v>0.0188141661838869</v>
      </c>
      <c r="AC104" s="9">
        <v>71.79</v>
      </c>
      <c r="AD104" s="9">
        <v>10.5293</v>
      </c>
      <c r="AE104" s="9"/>
      <c r="AF104" s="9"/>
      <c r="AG104" s="9">
        <v>81.35</v>
      </c>
      <c r="AH104" s="9"/>
      <c r="AI104" s="9">
        <v>81.35</v>
      </c>
      <c r="AJ104" s="9"/>
      <c r="AK104" s="9"/>
      <c r="AL104" s="9">
        <v>79</v>
      </c>
      <c r="AM104" s="9">
        <v>84.58</v>
      </c>
      <c r="AN104" s="9">
        <v>71.79</v>
      </c>
      <c r="AO104" s="9">
        <v>81.35</v>
      </c>
      <c r="AP104" s="9"/>
      <c r="AQ104" s="12">
        <v>0.7</v>
      </c>
      <c r="AR104" s="9">
        <v>54.58986</v>
      </c>
      <c r="AS104" s="9">
        <v>77.99</v>
      </c>
      <c r="AT104" s="9">
        <v>59</v>
      </c>
      <c r="AU104" s="9" t="s">
        <v>1931</v>
      </c>
      <c r="AV104" s="9">
        <v>5</v>
      </c>
      <c r="AW104" s="9" t="s">
        <v>1280</v>
      </c>
      <c r="AX104" s="9">
        <v>45910</v>
      </c>
      <c r="AY104" s="9" t="s">
        <v>1284</v>
      </c>
      <c r="AZ104" s="9" t="s">
        <v>2033</v>
      </c>
      <c r="BA104" s="9">
        <v>45708</v>
      </c>
      <c r="BB104" s="9" t="s">
        <v>785</v>
      </c>
      <c r="BC104" s="9" t="s">
        <v>870</v>
      </c>
      <c r="BD104" s="9" t="s">
        <v>1566</v>
      </c>
      <c r="BE104" s="13"/>
      <c r="BF104" s="13">
        <v>77.99</v>
      </c>
      <c r="BG104" s="12">
        <v>0.7</v>
      </c>
      <c r="BH104" s="9">
        <v>54.58986</v>
      </c>
      <c r="BI104" s="9" t="s">
        <v>1567</v>
      </c>
    </row>
    <row r="105" ht="25" customHeight="1" spans="1:61">
      <c r="A105" s="9">
        <v>104</v>
      </c>
      <c r="B105" s="9" t="s">
        <v>2034</v>
      </c>
      <c r="C105" s="9" t="s">
        <v>2035</v>
      </c>
      <c r="D105" s="9" t="s">
        <v>2036</v>
      </c>
      <c r="E105" s="10">
        <v>45706</v>
      </c>
      <c r="F105" s="9">
        <v>1.5496</v>
      </c>
      <c r="G105" s="9" t="s">
        <v>1561</v>
      </c>
      <c r="H105" s="9" t="s">
        <v>542</v>
      </c>
      <c r="I105" s="9">
        <v>60</v>
      </c>
      <c r="J105" s="9" t="s">
        <v>1620</v>
      </c>
      <c r="K105" s="9">
        <v>0</v>
      </c>
      <c r="L105" s="9">
        <v>70</v>
      </c>
      <c r="M105" s="11">
        <v>0</v>
      </c>
      <c r="N105" s="11"/>
      <c r="O105" s="11"/>
      <c r="P105" s="11"/>
      <c r="Q105" s="9">
        <v>15.34</v>
      </c>
      <c r="R105" s="9"/>
      <c r="S105" s="9">
        <v>15.34</v>
      </c>
      <c r="T105" s="11">
        <v>0.3077</v>
      </c>
      <c r="U105" s="11"/>
      <c r="V105" s="11"/>
      <c r="W105" s="9">
        <v>30.77</v>
      </c>
      <c r="X105" s="9"/>
      <c r="Y105" s="9">
        <v>30.77</v>
      </c>
      <c r="Z105" s="9">
        <v>0</v>
      </c>
      <c r="AA105" s="9"/>
      <c r="AB105" s="9">
        <v>0</v>
      </c>
      <c r="AC105" s="9">
        <v>99.84</v>
      </c>
      <c r="AD105" s="9">
        <v>-0.0004</v>
      </c>
      <c r="AE105" s="9"/>
      <c r="AF105" s="9"/>
      <c r="AG105" s="9">
        <v>15.43</v>
      </c>
      <c r="AH105" s="9"/>
      <c r="AI105" s="9">
        <v>15.43</v>
      </c>
      <c r="AJ105" s="9"/>
      <c r="AK105" s="9"/>
      <c r="AL105" s="9">
        <v>45</v>
      </c>
      <c r="AM105" s="9">
        <v>19.97</v>
      </c>
      <c r="AN105" s="9">
        <v>99.84</v>
      </c>
      <c r="AO105" s="9">
        <v>15.43</v>
      </c>
      <c r="AP105" s="9"/>
      <c r="AQ105" s="12">
        <v>0.7</v>
      </c>
      <c r="AR105" s="9">
        <v>36.88368</v>
      </c>
      <c r="AS105" s="9">
        <v>52.69</v>
      </c>
      <c r="AT105" s="9">
        <v>204</v>
      </c>
      <c r="AU105" s="9" t="s">
        <v>1931</v>
      </c>
      <c r="AV105" s="9">
        <v>0</v>
      </c>
      <c r="AW105" s="9" t="s">
        <v>2037</v>
      </c>
      <c r="AX105" s="9">
        <v>46013</v>
      </c>
      <c r="AY105" s="9" t="s">
        <v>2038</v>
      </c>
      <c r="AZ105" s="9" t="s">
        <v>2039</v>
      </c>
      <c r="BA105" s="9">
        <v>45713</v>
      </c>
      <c r="BB105" s="9" t="s">
        <v>1624</v>
      </c>
      <c r="BC105" s="9" t="s">
        <v>2040</v>
      </c>
      <c r="BD105" s="9" t="s">
        <v>1566</v>
      </c>
      <c r="BE105" s="13"/>
      <c r="BF105" s="13">
        <v>52.69</v>
      </c>
      <c r="BG105" s="12">
        <v>0.7</v>
      </c>
      <c r="BH105" s="9">
        <v>36.88368</v>
      </c>
      <c r="BI105" s="9" t="s">
        <v>1567</v>
      </c>
    </row>
    <row r="106" ht="25" customHeight="1" spans="1:61">
      <c r="A106" s="9">
        <v>105</v>
      </c>
      <c r="B106" s="9" t="s">
        <v>2041</v>
      </c>
      <c r="C106" s="9" t="s">
        <v>2042</v>
      </c>
      <c r="D106" s="9" t="s">
        <v>214</v>
      </c>
      <c r="E106" s="10">
        <v>45769</v>
      </c>
      <c r="F106" s="9">
        <v>1.3771</v>
      </c>
      <c r="G106" s="9" t="s">
        <v>1561</v>
      </c>
      <c r="H106" s="9" t="s">
        <v>551</v>
      </c>
      <c r="I106" s="9">
        <v>80</v>
      </c>
      <c r="J106" s="9" t="s">
        <v>1562</v>
      </c>
      <c r="K106" s="9">
        <v>100</v>
      </c>
      <c r="L106" s="9">
        <v>70</v>
      </c>
      <c r="M106" s="11">
        <v>0.0138</v>
      </c>
      <c r="N106" s="11"/>
      <c r="O106" s="11"/>
      <c r="P106" s="11"/>
      <c r="Q106" s="9">
        <v>19.17</v>
      </c>
      <c r="R106" s="9"/>
      <c r="S106" s="9">
        <v>19.17</v>
      </c>
      <c r="T106" s="11">
        <v>0.5385</v>
      </c>
      <c r="U106" s="11"/>
      <c r="V106" s="11"/>
      <c r="W106" s="9">
        <v>53.85</v>
      </c>
      <c r="X106" s="9">
        <v>100</v>
      </c>
      <c r="Y106" s="9">
        <v>72.31</v>
      </c>
      <c r="Z106" s="9">
        <v>0.0356404958677686</v>
      </c>
      <c r="AA106" s="9"/>
      <c r="AB106" s="9">
        <v>0.0356404958677686</v>
      </c>
      <c r="AC106" s="9">
        <v>54.49</v>
      </c>
      <c r="AD106" s="9">
        <v>0.3872</v>
      </c>
      <c r="AE106" s="9"/>
      <c r="AF106" s="9"/>
      <c r="AG106" s="9">
        <v>22.51</v>
      </c>
      <c r="AH106" s="9"/>
      <c r="AI106" s="9">
        <v>22.51</v>
      </c>
      <c r="AJ106" s="9"/>
      <c r="AK106" s="9"/>
      <c r="AL106" s="9">
        <v>83</v>
      </c>
      <c r="AM106" s="9">
        <v>41.31</v>
      </c>
      <c r="AN106" s="9">
        <v>54.49</v>
      </c>
      <c r="AO106" s="9">
        <v>22.51</v>
      </c>
      <c r="AP106" s="9"/>
      <c r="AQ106" s="12">
        <v>0.724</v>
      </c>
      <c r="AR106" s="9">
        <v>36.07318</v>
      </c>
      <c r="AS106" s="9">
        <v>49.82</v>
      </c>
      <c r="AT106" s="9">
        <v>220</v>
      </c>
      <c r="AU106" s="9" t="s">
        <v>1931</v>
      </c>
      <c r="AV106" s="9">
        <v>10</v>
      </c>
      <c r="AW106" s="9" t="s">
        <v>1309</v>
      </c>
      <c r="AX106" s="9">
        <v>46174</v>
      </c>
      <c r="AY106" s="9" t="s">
        <v>1311</v>
      </c>
      <c r="AZ106" s="9" t="s">
        <v>2043</v>
      </c>
      <c r="BA106" s="9">
        <v>45772</v>
      </c>
      <c r="BB106" s="9" t="s">
        <v>785</v>
      </c>
      <c r="BC106" s="9" t="s">
        <v>2044</v>
      </c>
      <c r="BD106" s="9" t="s">
        <v>1566</v>
      </c>
      <c r="BE106" s="13"/>
      <c r="BF106" s="13">
        <v>49.82</v>
      </c>
      <c r="BG106" s="12">
        <v>0.724</v>
      </c>
      <c r="BH106" s="9">
        <v>36.07318</v>
      </c>
      <c r="BI106" s="9" t="s">
        <v>1567</v>
      </c>
    </row>
    <row r="107" ht="25" customHeight="1" spans="1:61">
      <c r="A107" s="9">
        <v>106</v>
      </c>
      <c r="B107" s="9" t="s">
        <v>2045</v>
      </c>
      <c r="C107" s="9" t="s">
        <v>2046</v>
      </c>
      <c r="D107" s="9" t="s">
        <v>2047</v>
      </c>
      <c r="E107" s="10">
        <v>45806</v>
      </c>
      <c r="F107" s="9">
        <v>1.2758</v>
      </c>
      <c r="G107" s="9" t="s">
        <v>1561</v>
      </c>
      <c r="H107" s="9" t="s">
        <v>542</v>
      </c>
      <c r="I107" s="9">
        <v>60</v>
      </c>
      <c r="J107" s="9" t="s">
        <v>1562</v>
      </c>
      <c r="K107" s="9">
        <v>100</v>
      </c>
      <c r="L107" s="9">
        <v>70</v>
      </c>
      <c r="M107" s="11">
        <v>-0.1239</v>
      </c>
      <c r="N107" s="11"/>
      <c r="O107" s="11"/>
      <c r="P107" s="11"/>
      <c r="Q107" s="9">
        <v>2.24</v>
      </c>
      <c r="R107" s="9"/>
      <c r="S107" s="9">
        <v>2.24</v>
      </c>
      <c r="T107" s="11">
        <v>0.1538</v>
      </c>
      <c r="U107" s="11"/>
      <c r="V107" s="11"/>
      <c r="W107" s="9">
        <v>15.38</v>
      </c>
      <c r="X107" s="9">
        <v>100</v>
      </c>
      <c r="Y107" s="9">
        <v>49.23</v>
      </c>
      <c r="Z107" s="9">
        <v>0.160284605433376</v>
      </c>
      <c r="AA107" s="9"/>
      <c r="AB107" s="9">
        <v>0.160284605433376</v>
      </c>
      <c r="AC107" s="9">
        <v>14.74</v>
      </c>
      <c r="AD107" s="9">
        <v>-0.773</v>
      </c>
      <c r="AE107" s="9"/>
      <c r="AF107" s="9"/>
      <c r="AG107" s="9">
        <v>2.57</v>
      </c>
      <c r="AH107" s="9"/>
      <c r="AI107" s="9">
        <v>2.57</v>
      </c>
      <c r="AJ107" s="9"/>
      <c r="AK107" s="9"/>
      <c r="AL107" s="9">
        <v>75</v>
      </c>
      <c r="AM107" s="9">
        <v>21.82</v>
      </c>
      <c r="AN107" s="9">
        <v>14.74</v>
      </c>
      <c r="AO107" s="9">
        <v>2.57</v>
      </c>
      <c r="AP107" s="9"/>
      <c r="AQ107" s="12">
        <v>0.724</v>
      </c>
      <c r="AR107" s="9">
        <v>18.53944</v>
      </c>
      <c r="AS107" s="9">
        <v>25.61</v>
      </c>
      <c r="AT107" s="9">
        <v>307</v>
      </c>
      <c r="AU107" s="9" t="s">
        <v>1931</v>
      </c>
      <c r="AV107" s="9">
        <v>0</v>
      </c>
      <c r="AW107" s="9" t="s">
        <v>2048</v>
      </c>
      <c r="AX107" s="9">
        <v>46202</v>
      </c>
      <c r="AY107" s="9" t="s">
        <v>2049</v>
      </c>
      <c r="AZ107" s="9" t="s">
        <v>2050</v>
      </c>
      <c r="BA107" s="9">
        <v>45812</v>
      </c>
      <c r="BB107" s="9" t="s">
        <v>785</v>
      </c>
      <c r="BC107" s="9" t="s">
        <v>2051</v>
      </c>
      <c r="BD107" s="9" t="s">
        <v>1566</v>
      </c>
      <c r="BE107" s="13"/>
      <c r="BF107" s="13">
        <v>25.61</v>
      </c>
      <c r="BG107" s="12">
        <v>0.724</v>
      </c>
      <c r="BH107" s="9">
        <v>18.53944</v>
      </c>
      <c r="BI107" s="9" t="s">
        <v>1567</v>
      </c>
    </row>
    <row r="108" ht="25" customHeight="1" spans="1:61">
      <c r="A108" s="9">
        <v>107</v>
      </c>
      <c r="B108" s="9" t="s">
        <v>2052</v>
      </c>
      <c r="C108" s="9" t="s">
        <v>2053</v>
      </c>
      <c r="D108" s="9" t="s">
        <v>189</v>
      </c>
      <c r="E108" s="10">
        <v>45811</v>
      </c>
      <c r="F108" s="9">
        <v>1.2621</v>
      </c>
      <c r="G108" s="9" t="s">
        <v>1561</v>
      </c>
      <c r="H108" s="9" t="s">
        <v>546</v>
      </c>
      <c r="I108" s="9">
        <v>70</v>
      </c>
      <c r="J108" s="9" t="s">
        <v>1562</v>
      </c>
      <c r="K108" s="9">
        <v>100</v>
      </c>
      <c r="L108" s="9">
        <v>70</v>
      </c>
      <c r="M108" s="11">
        <v>0.3984</v>
      </c>
      <c r="N108" s="11"/>
      <c r="O108" s="11"/>
      <c r="P108" s="11"/>
      <c r="Q108" s="9">
        <v>98.08</v>
      </c>
      <c r="R108" s="9"/>
      <c r="S108" s="9">
        <v>98.08</v>
      </c>
      <c r="T108" s="11">
        <v>0.7692</v>
      </c>
      <c r="U108" s="11"/>
      <c r="V108" s="11"/>
      <c r="W108" s="9">
        <v>76.92</v>
      </c>
      <c r="X108" s="9">
        <v>100</v>
      </c>
      <c r="Y108" s="9">
        <v>86.15</v>
      </c>
      <c r="Z108" s="9">
        <v>0.0873511806880221</v>
      </c>
      <c r="AA108" s="9"/>
      <c r="AB108" s="9">
        <v>0.0873511806880221</v>
      </c>
      <c r="AC108" s="9">
        <v>29.17</v>
      </c>
      <c r="AD108" s="9">
        <v>4.5609</v>
      </c>
      <c r="AE108" s="9"/>
      <c r="AF108" s="9"/>
      <c r="AG108" s="9">
        <v>62.7</v>
      </c>
      <c r="AH108" s="9"/>
      <c r="AI108" s="9">
        <v>62.7</v>
      </c>
      <c r="AJ108" s="9"/>
      <c r="AK108" s="9"/>
      <c r="AL108" s="9">
        <v>79</v>
      </c>
      <c r="AM108" s="9">
        <v>93.11</v>
      </c>
      <c r="AN108" s="9">
        <v>29.17</v>
      </c>
      <c r="AO108" s="9">
        <v>62.7</v>
      </c>
      <c r="AP108" s="9"/>
      <c r="AQ108" s="12">
        <v>0.724</v>
      </c>
      <c r="AR108" s="9">
        <v>43.83634</v>
      </c>
      <c r="AS108" s="9">
        <v>60.55</v>
      </c>
      <c r="AT108" s="9">
        <v>151</v>
      </c>
      <c r="AU108" s="9" t="s">
        <v>1931</v>
      </c>
      <c r="AV108" s="9">
        <v>5</v>
      </c>
      <c r="AW108" s="9" t="s">
        <v>1299</v>
      </c>
      <c r="AX108" s="9">
        <v>45877</v>
      </c>
      <c r="AY108" s="9" t="s">
        <v>1301</v>
      </c>
      <c r="AZ108" s="9" t="s">
        <v>785</v>
      </c>
      <c r="BA108" s="9" t="s">
        <v>785</v>
      </c>
      <c r="BB108" s="9" t="s">
        <v>785</v>
      </c>
      <c r="BC108" s="9" t="s">
        <v>785</v>
      </c>
      <c r="BD108" s="9" t="s">
        <v>1898</v>
      </c>
      <c r="BE108" s="13"/>
      <c r="BF108" s="13">
        <v>60.55</v>
      </c>
      <c r="BG108" s="12">
        <v>0.724</v>
      </c>
      <c r="BH108" s="9">
        <v>43.83634</v>
      </c>
      <c r="BI108" s="9" t="s">
        <v>1567</v>
      </c>
    </row>
    <row r="109" ht="25" customHeight="1" spans="1:61">
      <c r="A109" s="9">
        <v>108</v>
      </c>
      <c r="B109" s="9" t="s">
        <v>2054</v>
      </c>
      <c r="C109" s="9" t="s">
        <v>2055</v>
      </c>
      <c r="D109" s="9" t="s">
        <v>1981</v>
      </c>
      <c r="E109" s="10">
        <v>45827</v>
      </c>
      <c r="F109" s="9">
        <v>1.2183</v>
      </c>
      <c r="G109" s="9" t="s">
        <v>1561</v>
      </c>
      <c r="H109" s="9" t="s">
        <v>542</v>
      </c>
      <c r="I109" s="9">
        <v>60</v>
      </c>
      <c r="J109" s="9" t="s">
        <v>1620</v>
      </c>
      <c r="K109" s="9">
        <v>0</v>
      </c>
      <c r="L109" s="9">
        <v>70</v>
      </c>
      <c r="M109" s="11">
        <v>0.0066</v>
      </c>
      <c r="N109" s="11"/>
      <c r="O109" s="11"/>
      <c r="P109" s="11"/>
      <c r="Q109" s="9">
        <v>16.61</v>
      </c>
      <c r="R109" s="9"/>
      <c r="S109" s="9">
        <v>16.61</v>
      </c>
      <c r="T109" s="11">
        <v>0.3846</v>
      </c>
      <c r="U109" s="11"/>
      <c r="V109" s="11"/>
      <c r="W109" s="9">
        <v>38.46</v>
      </c>
      <c r="X109" s="9">
        <v>100</v>
      </c>
      <c r="Y109" s="9">
        <v>63.08</v>
      </c>
      <c r="Z109" s="9">
        <v>0.0321324245374878</v>
      </c>
      <c r="AA109" s="9"/>
      <c r="AB109" s="9">
        <v>0.0321324245374878</v>
      </c>
      <c r="AC109" s="9">
        <v>57.69</v>
      </c>
      <c r="AD109" s="9">
        <v>0.2054</v>
      </c>
      <c r="AE109" s="9"/>
      <c r="AF109" s="9"/>
      <c r="AG109" s="9">
        <v>18.97</v>
      </c>
      <c r="AH109" s="9"/>
      <c r="AI109" s="9">
        <v>18.97</v>
      </c>
      <c r="AJ109" s="9"/>
      <c r="AK109" s="9"/>
      <c r="AL109" s="9">
        <v>45</v>
      </c>
      <c r="AM109" s="9">
        <v>35.97</v>
      </c>
      <c r="AN109" s="9">
        <v>57.69</v>
      </c>
      <c r="AO109" s="9">
        <v>18.97</v>
      </c>
      <c r="AP109" s="9"/>
      <c r="AQ109" s="12">
        <v>0.724</v>
      </c>
      <c r="AR109" s="9">
        <v>29.7669</v>
      </c>
      <c r="AS109" s="9">
        <v>41.11</v>
      </c>
      <c r="AT109" s="9">
        <v>266</v>
      </c>
      <c r="AU109" s="9" t="s">
        <v>1931</v>
      </c>
      <c r="AV109" s="9">
        <v>0</v>
      </c>
      <c r="AW109" s="9" t="s">
        <v>1982</v>
      </c>
      <c r="AX109" s="9">
        <v>43980</v>
      </c>
      <c r="AY109" s="9" t="s">
        <v>1983</v>
      </c>
      <c r="AZ109" s="9" t="s">
        <v>2056</v>
      </c>
      <c r="BA109" s="9">
        <v>45835</v>
      </c>
      <c r="BB109" s="9" t="s">
        <v>1624</v>
      </c>
      <c r="BC109" s="9" t="s">
        <v>2057</v>
      </c>
      <c r="BD109" s="9" t="s">
        <v>1566</v>
      </c>
      <c r="BE109" s="13"/>
      <c r="BF109" s="13">
        <v>41.11</v>
      </c>
      <c r="BG109" s="12">
        <v>0.724</v>
      </c>
      <c r="BH109" s="9">
        <v>29.7669</v>
      </c>
      <c r="BI109" s="9" t="s">
        <v>1567</v>
      </c>
    </row>
    <row r="110" ht="25" customHeight="1" spans="1:61">
      <c r="A110" s="9">
        <v>109</v>
      </c>
      <c r="B110" s="9" t="s">
        <v>2058</v>
      </c>
      <c r="C110" s="9" t="s">
        <v>2059</v>
      </c>
      <c r="D110" s="9" t="s">
        <v>2017</v>
      </c>
      <c r="E110" s="10">
        <v>45833</v>
      </c>
      <c r="F110" s="9">
        <v>1.2019</v>
      </c>
      <c r="G110" s="9" t="s">
        <v>1561</v>
      </c>
      <c r="H110" s="9" t="s">
        <v>557</v>
      </c>
      <c r="I110" s="9">
        <v>90</v>
      </c>
      <c r="J110" s="9" t="s">
        <v>1562</v>
      </c>
      <c r="K110" s="9">
        <v>100</v>
      </c>
      <c r="L110" s="9">
        <v>70</v>
      </c>
      <c r="M110" s="11">
        <v>0.0268</v>
      </c>
      <c r="N110" s="11"/>
      <c r="O110" s="11"/>
      <c r="P110" s="11"/>
      <c r="Q110" s="9">
        <v>25.56</v>
      </c>
      <c r="R110" s="9"/>
      <c r="S110" s="9">
        <v>25.56</v>
      </c>
      <c r="T110" s="11">
        <v>0.6154</v>
      </c>
      <c r="U110" s="11"/>
      <c r="V110" s="11"/>
      <c r="W110" s="9">
        <v>61.54</v>
      </c>
      <c r="X110" s="9">
        <v>100</v>
      </c>
      <c r="Y110" s="9">
        <v>76.92</v>
      </c>
      <c r="Z110" s="9">
        <v>0.0342317026440158</v>
      </c>
      <c r="AA110" s="9"/>
      <c r="AB110" s="9">
        <v>0.0342317026440158</v>
      </c>
      <c r="AC110" s="9">
        <v>56.73</v>
      </c>
      <c r="AD110" s="9">
        <v>0.7829</v>
      </c>
      <c r="AE110" s="9"/>
      <c r="AF110" s="9"/>
      <c r="AG110" s="9">
        <v>27.97</v>
      </c>
      <c r="AH110" s="9"/>
      <c r="AI110" s="9">
        <v>27.97</v>
      </c>
      <c r="AJ110" s="9"/>
      <c r="AK110" s="9"/>
      <c r="AL110" s="9">
        <v>87</v>
      </c>
      <c r="AM110" s="9">
        <v>46.96</v>
      </c>
      <c r="AN110" s="9">
        <v>56.73</v>
      </c>
      <c r="AO110" s="9">
        <v>27.97</v>
      </c>
      <c r="AP110" s="9"/>
      <c r="AQ110" s="12">
        <v>0.724</v>
      </c>
      <c r="AR110" s="9">
        <v>39.02958</v>
      </c>
      <c r="AS110" s="9">
        <v>53.91</v>
      </c>
      <c r="AT110" s="9">
        <v>198</v>
      </c>
      <c r="AU110" s="9" t="s">
        <v>1931</v>
      </c>
      <c r="AV110" s="9">
        <v>20</v>
      </c>
      <c r="AW110" s="9" t="s">
        <v>2018</v>
      </c>
      <c r="AX110" s="9">
        <v>46136</v>
      </c>
      <c r="AY110" s="9" t="s">
        <v>2019</v>
      </c>
      <c r="AZ110" s="9" t="s">
        <v>2060</v>
      </c>
      <c r="BA110" s="9">
        <v>46129</v>
      </c>
      <c r="BB110" s="9" t="s">
        <v>785</v>
      </c>
      <c r="BC110" s="9" t="s">
        <v>2061</v>
      </c>
      <c r="BD110" s="9" t="s">
        <v>1566</v>
      </c>
      <c r="BE110" s="13"/>
      <c r="BF110" s="13">
        <v>53.91</v>
      </c>
      <c r="BG110" s="12">
        <v>0.724</v>
      </c>
      <c r="BH110" s="9">
        <v>39.02958</v>
      </c>
      <c r="BI110" s="9" t="s">
        <v>1567</v>
      </c>
    </row>
    <row r="111" ht="25" customHeight="1" spans="1:61">
      <c r="A111" s="9">
        <v>110</v>
      </c>
      <c r="B111" s="9" t="s">
        <v>2062</v>
      </c>
      <c r="C111" s="9" t="s">
        <v>2063</v>
      </c>
      <c r="D111" s="9" t="s">
        <v>2024</v>
      </c>
      <c r="E111" s="10">
        <v>45877</v>
      </c>
      <c r="F111" s="9">
        <v>1.0815</v>
      </c>
      <c r="G111" s="9" t="s">
        <v>1561</v>
      </c>
      <c r="H111" s="9" t="s">
        <v>542</v>
      </c>
      <c r="I111" s="9">
        <v>60</v>
      </c>
      <c r="J111" s="9" t="s">
        <v>1562</v>
      </c>
      <c r="K111" s="9">
        <v>100</v>
      </c>
      <c r="L111" s="9">
        <v>70</v>
      </c>
      <c r="M111" s="11">
        <v>0.0549</v>
      </c>
      <c r="N111" s="11"/>
      <c r="O111" s="11"/>
      <c r="P111" s="11"/>
      <c r="Q111" s="9">
        <v>44.41</v>
      </c>
      <c r="R111" s="9"/>
      <c r="S111" s="9">
        <v>44.41</v>
      </c>
      <c r="T111" s="11">
        <v>0.6923</v>
      </c>
      <c r="U111" s="11"/>
      <c r="V111" s="11"/>
      <c r="W111" s="9">
        <v>69.23</v>
      </c>
      <c r="X111" s="9">
        <v>100</v>
      </c>
      <c r="Y111" s="9">
        <v>81.54</v>
      </c>
      <c r="Z111" s="9">
        <v>0.0450886990801577</v>
      </c>
      <c r="AA111" s="9"/>
      <c r="AB111" s="9">
        <v>0.0450886990801577</v>
      </c>
      <c r="AC111" s="9">
        <v>47.76</v>
      </c>
      <c r="AD111" s="9">
        <v>1.2176</v>
      </c>
      <c r="AE111" s="9"/>
      <c r="AF111" s="9"/>
      <c r="AG111" s="9">
        <v>34.41</v>
      </c>
      <c r="AH111" s="9"/>
      <c r="AI111" s="9">
        <v>34.41</v>
      </c>
      <c r="AJ111" s="9"/>
      <c r="AK111" s="9"/>
      <c r="AL111" s="9">
        <v>75</v>
      </c>
      <c r="AM111" s="9">
        <v>59.88</v>
      </c>
      <c r="AN111" s="9">
        <v>47.76</v>
      </c>
      <c r="AO111" s="9">
        <v>34.41</v>
      </c>
      <c r="AP111" s="9"/>
      <c r="AQ111" s="12">
        <v>0.724</v>
      </c>
      <c r="AR111" s="9">
        <v>38.00652</v>
      </c>
      <c r="AS111" s="9">
        <v>52.5</v>
      </c>
      <c r="AT111" s="9">
        <v>205</v>
      </c>
      <c r="AU111" s="9" t="s">
        <v>1931</v>
      </c>
      <c r="AV111" s="9">
        <v>0</v>
      </c>
      <c r="AW111" s="9" t="s">
        <v>2025</v>
      </c>
      <c r="AX111" s="9">
        <v>46268</v>
      </c>
      <c r="AY111" s="9" t="s">
        <v>2026</v>
      </c>
      <c r="AZ111" s="9" t="s">
        <v>2064</v>
      </c>
      <c r="BA111" s="9">
        <v>45882</v>
      </c>
      <c r="BB111" s="9" t="s">
        <v>785</v>
      </c>
      <c r="BC111" s="9" t="s">
        <v>2065</v>
      </c>
      <c r="BD111" s="9" t="s">
        <v>1566</v>
      </c>
      <c r="BE111" s="13"/>
      <c r="BF111" s="13">
        <v>52.5</v>
      </c>
      <c r="BG111" s="12">
        <v>0.724</v>
      </c>
      <c r="BH111" s="9">
        <v>38.00652</v>
      </c>
      <c r="BI111" s="9" t="s">
        <v>1567</v>
      </c>
    </row>
    <row r="112" ht="25" customHeight="1" spans="1:61">
      <c r="A112" s="9">
        <v>111</v>
      </c>
      <c r="B112" s="9" t="s">
        <v>2066</v>
      </c>
      <c r="C112" s="9" t="s">
        <v>2067</v>
      </c>
      <c r="D112" s="9" t="s">
        <v>1930</v>
      </c>
      <c r="E112" s="10">
        <v>43664</v>
      </c>
      <c r="F112" s="9">
        <v>7.1403</v>
      </c>
      <c r="G112" s="9" t="s">
        <v>1561</v>
      </c>
      <c r="H112" s="9" t="s">
        <v>546</v>
      </c>
      <c r="I112" s="9">
        <v>70</v>
      </c>
      <c r="J112" s="9" t="s">
        <v>1562</v>
      </c>
      <c r="K112" s="9">
        <v>100</v>
      </c>
      <c r="L112" s="9">
        <v>100</v>
      </c>
      <c r="M112" s="11">
        <v>0.1379</v>
      </c>
      <c r="N112" s="11">
        <v>0.0709</v>
      </c>
      <c r="O112" s="11"/>
      <c r="P112" s="11">
        <v>0.038894217864671</v>
      </c>
      <c r="Q112" s="9">
        <v>82.43</v>
      </c>
      <c r="R112" s="9">
        <v>22.38</v>
      </c>
      <c r="S112" s="9">
        <v>58.41</v>
      </c>
      <c r="T112" s="11">
        <v>0.9231</v>
      </c>
      <c r="U112" s="11">
        <v>0.8108</v>
      </c>
      <c r="V112" s="11">
        <v>0.749970833333333</v>
      </c>
      <c r="W112" s="9">
        <v>92.31</v>
      </c>
      <c r="X112" s="9">
        <v>74.9970833333333</v>
      </c>
      <c r="Y112" s="9">
        <v>85.38</v>
      </c>
      <c r="Z112" s="9">
        <v>0.0107402936251412</v>
      </c>
      <c r="AA112" s="9">
        <v>0.0147</v>
      </c>
      <c r="AB112" s="9">
        <v>0.0147</v>
      </c>
      <c r="AC112" s="9">
        <v>76.92</v>
      </c>
      <c r="AD112" s="9">
        <v>12.8395</v>
      </c>
      <c r="AE112" s="9">
        <v>0.0147</v>
      </c>
      <c r="AF112" s="9">
        <v>2.64586516086197</v>
      </c>
      <c r="AG112" s="9">
        <v>84.89</v>
      </c>
      <c r="AH112" s="9">
        <v>71.63</v>
      </c>
      <c r="AI112" s="9">
        <v>79.59</v>
      </c>
      <c r="AJ112" s="9">
        <v>0.0709</v>
      </c>
      <c r="AK112" s="9">
        <v>100</v>
      </c>
      <c r="AL112" s="9">
        <v>88</v>
      </c>
      <c r="AM112" s="9">
        <v>66.5</v>
      </c>
      <c r="AN112" s="9">
        <v>76.92</v>
      </c>
      <c r="AO112" s="9">
        <v>79.59</v>
      </c>
      <c r="AP112" s="9">
        <v>100</v>
      </c>
      <c r="AQ112" s="12">
        <v>1</v>
      </c>
      <c r="AR112" s="9">
        <v>79.60629</v>
      </c>
      <c r="AS112" s="9">
        <v>79.61</v>
      </c>
      <c r="AT112" s="9">
        <v>51</v>
      </c>
      <c r="AU112" s="9"/>
      <c r="AV112" s="9">
        <v>5</v>
      </c>
      <c r="AW112" s="9" t="s">
        <v>1932</v>
      </c>
      <c r="AX112" s="9">
        <v>46258</v>
      </c>
      <c r="AY112" s="9" t="s">
        <v>1933</v>
      </c>
      <c r="AZ112" s="9" t="s">
        <v>2068</v>
      </c>
      <c r="BA112" s="9">
        <v>45309</v>
      </c>
      <c r="BB112" s="9" t="s">
        <v>785</v>
      </c>
      <c r="BC112" s="9" t="s">
        <v>2069</v>
      </c>
      <c r="BD112" s="9" t="s">
        <v>1566</v>
      </c>
      <c r="BE112" s="13">
        <v>79.60629</v>
      </c>
      <c r="BF112" s="13">
        <v>79.61</v>
      </c>
      <c r="BG112" s="12">
        <v>1</v>
      </c>
      <c r="BH112" s="9">
        <v>79.60629</v>
      </c>
      <c r="BI112" s="9" t="s">
        <v>1567</v>
      </c>
    </row>
    <row r="113" ht="25" customHeight="1" spans="1:61">
      <c r="A113" s="9">
        <v>112</v>
      </c>
      <c r="B113" s="9" t="s">
        <v>2070</v>
      </c>
      <c r="C113" s="9" t="s">
        <v>2071</v>
      </c>
      <c r="D113" s="9" t="s">
        <v>2072</v>
      </c>
      <c r="E113" s="10">
        <v>44169</v>
      </c>
      <c r="F113" s="9">
        <v>5.7577</v>
      </c>
      <c r="G113" s="9" t="s">
        <v>1561</v>
      </c>
      <c r="H113" s="9" t="s">
        <v>542</v>
      </c>
      <c r="I113" s="9">
        <v>60</v>
      </c>
      <c r="J113" s="9" t="s">
        <v>1620</v>
      </c>
      <c r="K113" s="9">
        <v>0</v>
      </c>
      <c r="L113" s="9">
        <v>100</v>
      </c>
      <c r="M113" s="11">
        <v>-0.0044</v>
      </c>
      <c r="N113" s="11">
        <v>0.0145</v>
      </c>
      <c r="O113" s="11"/>
      <c r="P113" s="11">
        <v>0.0240841230611213</v>
      </c>
      <c r="Q113" s="9">
        <v>13.74</v>
      </c>
      <c r="R113" s="9">
        <v>10.95</v>
      </c>
      <c r="S113" s="9">
        <v>12.62</v>
      </c>
      <c r="T113" s="11">
        <v>0.3846</v>
      </c>
      <c r="U113" s="11">
        <v>0.4444</v>
      </c>
      <c r="V113" s="11">
        <v>0.476791666666667</v>
      </c>
      <c r="W113" s="9">
        <v>38.46</v>
      </c>
      <c r="X113" s="9">
        <v>47.6791666666667</v>
      </c>
      <c r="Y113" s="9">
        <v>42.15</v>
      </c>
      <c r="Z113" s="9">
        <v>0.139240506329114</v>
      </c>
      <c r="AA113" s="9">
        <v>0.1396</v>
      </c>
      <c r="AB113" s="9">
        <v>0.1396</v>
      </c>
      <c r="AC113" s="9">
        <v>16.35</v>
      </c>
      <c r="AD113" s="9">
        <v>-0.0316</v>
      </c>
      <c r="AE113" s="9">
        <v>0.1396</v>
      </c>
      <c r="AF113" s="9">
        <v>0.172522371498003</v>
      </c>
      <c r="AG113" s="9">
        <v>14.79</v>
      </c>
      <c r="AH113" s="9">
        <v>8.51</v>
      </c>
      <c r="AI113" s="9">
        <v>12.28</v>
      </c>
      <c r="AJ113" s="9">
        <v>0.0145</v>
      </c>
      <c r="AK113" s="9">
        <v>80</v>
      </c>
      <c r="AL113" s="9">
        <v>54</v>
      </c>
      <c r="AM113" s="9">
        <v>21.48</v>
      </c>
      <c r="AN113" s="9">
        <v>16.35</v>
      </c>
      <c r="AO113" s="9">
        <v>12.28</v>
      </c>
      <c r="AP113" s="9">
        <v>80</v>
      </c>
      <c r="AQ113" s="12">
        <v>1</v>
      </c>
      <c r="AR113" s="9">
        <v>28.16712</v>
      </c>
      <c r="AS113" s="9">
        <v>28.17</v>
      </c>
      <c r="AT113" s="9">
        <v>304</v>
      </c>
      <c r="AU113" s="9"/>
      <c r="AV113" s="9">
        <v>0</v>
      </c>
      <c r="AW113" s="9" t="s">
        <v>2073</v>
      </c>
      <c r="AX113" s="9">
        <v>46027</v>
      </c>
      <c r="AY113" s="9" t="s">
        <v>2074</v>
      </c>
      <c r="AZ113" s="9" t="s">
        <v>2075</v>
      </c>
      <c r="BA113" s="9">
        <v>46206</v>
      </c>
      <c r="BB113" s="9" t="s">
        <v>1624</v>
      </c>
      <c r="BC113" s="9" t="s">
        <v>2076</v>
      </c>
      <c r="BD113" s="9" t="s">
        <v>1566</v>
      </c>
      <c r="BE113" s="13">
        <v>28.16712</v>
      </c>
      <c r="BF113" s="13">
        <v>28.17</v>
      </c>
      <c r="BG113" s="12">
        <v>1</v>
      </c>
      <c r="BH113" s="9">
        <v>28.16712</v>
      </c>
      <c r="BI113" s="9" t="s">
        <v>1567</v>
      </c>
    </row>
    <row r="114" ht="25" customHeight="1" spans="1:61">
      <c r="A114" s="9">
        <v>113</v>
      </c>
      <c r="B114" s="9" t="s">
        <v>248</v>
      </c>
      <c r="C114" s="9" t="s">
        <v>249</v>
      </c>
      <c r="D114" s="9" t="s">
        <v>250</v>
      </c>
      <c r="E114" s="10">
        <v>44196</v>
      </c>
      <c r="F114" s="9">
        <v>5.6838</v>
      </c>
      <c r="G114" s="9" t="s">
        <v>1561</v>
      </c>
      <c r="H114" s="9" t="s">
        <v>561</v>
      </c>
      <c r="I114" s="9">
        <v>90</v>
      </c>
      <c r="J114" s="9" t="s">
        <v>1562</v>
      </c>
      <c r="K114" s="9">
        <v>100</v>
      </c>
      <c r="L114" s="9">
        <v>100</v>
      </c>
      <c r="M114" s="11">
        <v>0.0652</v>
      </c>
      <c r="N114" s="11">
        <v>0.0868</v>
      </c>
      <c r="O114" s="11"/>
      <c r="P114" s="11">
        <v>0.0977636999139055</v>
      </c>
      <c r="Q114" s="9">
        <v>51.28</v>
      </c>
      <c r="R114" s="9">
        <v>69.05</v>
      </c>
      <c r="S114" s="9">
        <v>58.39</v>
      </c>
      <c r="T114" s="11">
        <v>1</v>
      </c>
      <c r="U114" s="11">
        <v>0.9189</v>
      </c>
      <c r="V114" s="11">
        <v>0.874970833333334</v>
      </c>
      <c r="W114" s="9">
        <v>100</v>
      </c>
      <c r="X114" s="9">
        <v>87.4970833333334</v>
      </c>
      <c r="Y114" s="9">
        <v>95</v>
      </c>
      <c r="Z114" s="9">
        <v>0.00145307050289165</v>
      </c>
      <c r="AA114" s="9">
        <v>0.0033</v>
      </c>
      <c r="AB114" s="9">
        <v>0.0033</v>
      </c>
      <c r="AC114" s="9">
        <v>97.28</v>
      </c>
      <c r="AD114" s="9">
        <v>44.8705</v>
      </c>
      <c r="AE114" s="9">
        <v>0.0033</v>
      </c>
      <c r="AF114" s="9">
        <v>29.6253636102744</v>
      </c>
      <c r="AG114" s="9">
        <v>96.78</v>
      </c>
      <c r="AH114" s="9">
        <v>98.58</v>
      </c>
      <c r="AI114" s="9">
        <v>97.5</v>
      </c>
      <c r="AJ114" s="9">
        <v>0.0868</v>
      </c>
      <c r="AK114" s="9">
        <v>80</v>
      </c>
      <c r="AL114" s="9">
        <v>96</v>
      </c>
      <c r="AM114" s="9">
        <v>69.37</v>
      </c>
      <c r="AN114" s="9">
        <v>97.28</v>
      </c>
      <c r="AO114" s="9">
        <v>97.5</v>
      </c>
      <c r="AP114" s="9">
        <v>80</v>
      </c>
      <c r="AQ114" s="12">
        <v>1</v>
      </c>
      <c r="AR114" s="9">
        <v>89.84425</v>
      </c>
      <c r="AS114" s="9">
        <v>89.84</v>
      </c>
      <c r="AT114" s="9">
        <v>10</v>
      </c>
      <c r="AU114" s="9"/>
      <c r="AV114" s="9">
        <v>50</v>
      </c>
      <c r="AW114" s="9" t="s">
        <v>1331</v>
      </c>
      <c r="AX114" s="9">
        <v>46174</v>
      </c>
      <c r="AY114" s="9" t="s">
        <v>1333</v>
      </c>
      <c r="AZ114" s="9" t="s">
        <v>2077</v>
      </c>
      <c r="BA114" s="9">
        <v>45722</v>
      </c>
      <c r="BB114" s="9" t="s">
        <v>785</v>
      </c>
      <c r="BC114" s="9" t="s">
        <v>902</v>
      </c>
      <c r="BD114" s="9" t="s">
        <v>1566</v>
      </c>
      <c r="BE114" s="13">
        <v>89.84425</v>
      </c>
      <c r="BF114" s="13">
        <v>89.84</v>
      </c>
      <c r="BG114" s="12">
        <v>1</v>
      </c>
      <c r="BH114" s="9">
        <v>89.84425</v>
      </c>
      <c r="BI114" s="9" t="s">
        <v>1567</v>
      </c>
    </row>
    <row r="115" ht="25" customHeight="1" spans="1:61">
      <c r="A115" s="9">
        <v>114</v>
      </c>
      <c r="B115" s="9" t="s">
        <v>2078</v>
      </c>
      <c r="C115" s="9" t="s">
        <v>2079</v>
      </c>
      <c r="D115" s="9" t="s">
        <v>2080</v>
      </c>
      <c r="E115" s="10">
        <v>44211</v>
      </c>
      <c r="F115" s="9">
        <v>5.6427</v>
      </c>
      <c r="G115" s="9" t="s">
        <v>1561</v>
      </c>
      <c r="H115" s="9" t="s">
        <v>546</v>
      </c>
      <c r="I115" s="9">
        <v>70</v>
      </c>
      <c r="J115" s="9" t="s">
        <v>1620</v>
      </c>
      <c r="K115" s="9">
        <v>0</v>
      </c>
      <c r="L115" s="9">
        <v>100</v>
      </c>
      <c r="M115" s="11">
        <v>-0.1186</v>
      </c>
      <c r="N115" s="11">
        <v>-0.0849</v>
      </c>
      <c r="O115" s="11"/>
      <c r="P115" s="11">
        <v>-0.0675698456810658</v>
      </c>
      <c r="Q115" s="9">
        <v>2.56</v>
      </c>
      <c r="R115" s="9">
        <v>0.48</v>
      </c>
      <c r="S115" s="9">
        <v>1.73</v>
      </c>
      <c r="T115" s="11">
        <v>0.5385</v>
      </c>
      <c r="U115" s="11">
        <v>0.5135</v>
      </c>
      <c r="V115" s="11">
        <v>0.499958333333333</v>
      </c>
      <c r="W115" s="9">
        <v>53.85</v>
      </c>
      <c r="X115" s="9">
        <v>49.9958333333333</v>
      </c>
      <c r="Y115" s="9">
        <v>52.31</v>
      </c>
      <c r="Z115" s="9">
        <v>0.293855302279485</v>
      </c>
      <c r="AA115" s="9">
        <v>0.3909</v>
      </c>
      <c r="AB115" s="9">
        <v>0.3909</v>
      </c>
      <c r="AC115" s="9">
        <v>0.96</v>
      </c>
      <c r="AD115" s="9">
        <v>-0.4036</v>
      </c>
      <c r="AE115" s="9">
        <v>0.3909</v>
      </c>
      <c r="AF115" s="9">
        <v>-0.172857113535599</v>
      </c>
      <c r="AG115" s="9">
        <v>8.04</v>
      </c>
      <c r="AH115" s="9">
        <v>0.71</v>
      </c>
      <c r="AI115" s="9">
        <v>5.11</v>
      </c>
      <c r="AJ115" s="9">
        <v>-0.0849</v>
      </c>
      <c r="AK115" s="9">
        <v>80</v>
      </c>
      <c r="AL115" s="9">
        <v>58</v>
      </c>
      <c r="AM115" s="9">
        <v>16.9</v>
      </c>
      <c r="AN115" s="9">
        <v>0.96</v>
      </c>
      <c r="AO115" s="9">
        <v>5.11</v>
      </c>
      <c r="AP115" s="9">
        <v>80</v>
      </c>
      <c r="AQ115" s="12">
        <v>1</v>
      </c>
      <c r="AR115" s="9">
        <v>21.85282</v>
      </c>
      <c r="AS115" s="9">
        <v>21.85</v>
      </c>
      <c r="AT115" s="9">
        <v>313</v>
      </c>
      <c r="AU115" s="9"/>
      <c r="AV115" s="9">
        <v>5</v>
      </c>
      <c r="AW115" s="9" t="s">
        <v>2081</v>
      </c>
      <c r="AX115" s="9">
        <v>46162</v>
      </c>
      <c r="AY115" s="9" t="s">
        <v>2082</v>
      </c>
      <c r="AZ115" s="9" t="s">
        <v>2083</v>
      </c>
      <c r="BA115" s="9">
        <v>44774</v>
      </c>
      <c r="BB115" s="9" t="s">
        <v>1624</v>
      </c>
      <c r="BC115" s="9" t="s">
        <v>2084</v>
      </c>
      <c r="BD115" s="9" t="s">
        <v>1566</v>
      </c>
      <c r="BE115" s="13">
        <v>21.85282</v>
      </c>
      <c r="BF115" s="13">
        <v>21.85</v>
      </c>
      <c r="BG115" s="12">
        <v>1</v>
      </c>
      <c r="BH115" s="9">
        <v>21.85282</v>
      </c>
      <c r="BI115" s="9" t="s">
        <v>1567</v>
      </c>
    </row>
    <row r="116" ht="25" customHeight="1" spans="1:61">
      <c r="A116" s="9">
        <v>115</v>
      </c>
      <c r="B116" s="9" t="s">
        <v>2085</v>
      </c>
      <c r="C116" s="9" t="s">
        <v>2086</v>
      </c>
      <c r="D116" s="9" t="s">
        <v>430</v>
      </c>
      <c r="E116" s="10">
        <v>44608</v>
      </c>
      <c r="F116" s="9">
        <v>4.5558</v>
      </c>
      <c r="G116" s="9" t="s">
        <v>1561</v>
      </c>
      <c r="H116" s="9" t="s">
        <v>557</v>
      </c>
      <c r="I116" s="9">
        <v>90</v>
      </c>
      <c r="J116" s="9" t="s">
        <v>1620</v>
      </c>
      <c r="K116" s="9">
        <v>0</v>
      </c>
      <c r="L116" s="9">
        <v>100</v>
      </c>
      <c r="M116" s="11">
        <v>-0.0285</v>
      </c>
      <c r="N116" s="11">
        <v>0.0471</v>
      </c>
      <c r="O116" s="11"/>
      <c r="P116" s="11">
        <v>0.087078325965684</v>
      </c>
      <c r="Q116" s="9">
        <v>8.63</v>
      </c>
      <c r="R116" s="9">
        <v>64.29</v>
      </c>
      <c r="S116" s="9">
        <v>30.89</v>
      </c>
      <c r="T116" s="11">
        <v>0.5385</v>
      </c>
      <c r="U116" s="11">
        <v>0.5946</v>
      </c>
      <c r="V116" s="11">
        <v>0.6249875</v>
      </c>
      <c r="W116" s="9">
        <v>53.85</v>
      </c>
      <c r="X116" s="9">
        <v>62.49875</v>
      </c>
      <c r="Y116" s="9">
        <v>57.31</v>
      </c>
      <c r="Z116" s="9">
        <v>0.0637013857845329</v>
      </c>
      <c r="AA116" s="9">
        <v>0.0814</v>
      </c>
      <c r="AB116" s="9">
        <v>0.0814</v>
      </c>
      <c r="AC116" s="9">
        <v>30.77</v>
      </c>
      <c r="AD116" s="9">
        <v>-0.4474</v>
      </c>
      <c r="AE116" s="9">
        <v>0.0814</v>
      </c>
      <c r="AF116" s="9">
        <v>1.06975830424673</v>
      </c>
      <c r="AG116" s="9">
        <v>7.07</v>
      </c>
      <c r="AH116" s="9">
        <v>37.59</v>
      </c>
      <c r="AI116" s="9">
        <v>19.28</v>
      </c>
      <c r="AJ116" s="9">
        <v>0.0471</v>
      </c>
      <c r="AK116" s="9">
        <v>80</v>
      </c>
      <c r="AL116" s="9">
        <v>66</v>
      </c>
      <c r="AM116" s="9">
        <v>38.82</v>
      </c>
      <c r="AN116" s="9">
        <v>30.77</v>
      </c>
      <c r="AO116" s="9">
        <v>19.28</v>
      </c>
      <c r="AP116" s="9">
        <v>80</v>
      </c>
      <c r="AQ116" s="12">
        <v>1</v>
      </c>
      <c r="AR116" s="9">
        <v>39.13963</v>
      </c>
      <c r="AS116" s="9">
        <v>39.14</v>
      </c>
      <c r="AT116" s="9">
        <v>271</v>
      </c>
      <c r="AU116" s="9"/>
      <c r="AV116" s="9">
        <v>20</v>
      </c>
      <c r="AW116" s="9" t="s">
        <v>1405</v>
      </c>
      <c r="AX116" s="9">
        <v>46216</v>
      </c>
      <c r="AY116" s="9" t="s">
        <v>1407</v>
      </c>
      <c r="AZ116" s="9" t="s">
        <v>2087</v>
      </c>
      <c r="BA116" s="9">
        <v>44609</v>
      </c>
      <c r="BB116" s="9" t="s">
        <v>1624</v>
      </c>
      <c r="BC116" s="9" t="s">
        <v>2088</v>
      </c>
      <c r="BD116" s="9" t="s">
        <v>1566</v>
      </c>
      <c r="BE116" s="13">
        <v>39.13963</v>
      </c>
      <c r="BF116" s="13">
        <v>39.14</v>
      </c>
      <c r="BG116" s="12">
        <v>1</v>
      </c>
      <c r="BH116" s="9">
        <v>39.13963</v>
      </c>
      <c r="BI116" s="9" t="s">
        <v>1567</v>
      </c>
    </row>
    <row r="117" ht="25" customHeight="1" spans="1:61">
      <c r="A117" s="9">
        <v>116</v>
      </c>
      <c r="B117" s="9" t="s">
        <v>2089</v>
      </c>
      <c r="C117" s="9" t="s">
        <v>2090</v>
      </c>
      <c r="D117" s="9" t="s">
        <v>2091</v>
      </c>
      <c r="E117" s="10">
        <v>44699</v>
      </c>
      <c r="F117" s="9">
        <v>4.3066</v>
      </c>
      <c r="G117" s="9" t="s">
        <v>1561</v>
      </c>
      <c r="H117" s="9" t="s">
        <v>542</v>
      </c>
      <c r="I117" s="9">
        <v>60</v>
      </c>
      <c r="J117" s="9" t="s">
        <v>1620</v>
      </c>
      <c r="K117" s="9">
        <v>0</v>
      </c>
      <c r="L117" s="9">
        <v>100</v>
      </c>
      <c r="M117" s="11">
        <v>0.0524</v>
      </c>
      <c r="N117" s="11">
        <v>0.0545</v>
      </c>
      <c r="O117" s="11"/>
      <c r="P117" s="11">
        <v>0.0555515708859924</v>
      </c>
      <c r="Q117" s="9">
        <v>43.45</v>
      </c>
      <c r="R117" s="9">
        <v>38.1</v>
      </c>
      <c r="S117" s="9">
        <v>41.31</v>
      </c>
      <c r="T117" s="11">
        <v>0.6923</v>
      </c>
      <c r="U117" s="11">
        <v>0.6486</v>
      </c>
      <c r="V117" s="11">
        <v>0.624929166666667</v>
      </c>
      <c r="W117" s="9">
        <v>69.23</v>
      </c>
      <c r="X117" s="9">
        <v>62.4929166666667</v>
      </c>
      <c r="Y117" s="9">
        <v>66.54</v>
      </c>
      <c r="Z117" s="9">
        <v>0.0226222855415965</v>
      </c>
      <c r="AA117" s="9">
        <v>0.0457</v>
      </c>
      <c r="AB117" s="9">
        <v>0.0457</v>
      </c>
      <c r="AC117" s="9">
        <v>46.47</v>
      </c>
      <c r="AD117" s="9">
        <v>2.3163</v>
      </c>
      <c r="AE117" s="9">
        <v>0.0457</v>
      </c>
      <c r="AF117" s="9">
        <v>1.21557047890574</v>
      </c>
      <c r="AG117" s="9">
        <v>49.2</v>
      </c>
      <c r="AH117" s="9">
        <v>43.97</v>
      </c>
      <c r="AI117" s="9">
        <v>47.11</v>
      </c>
      <c r="AJ117" s="9">
        <v>0.0545</v>
      </c>
      <c r="AK117" s="9">
        <v>80</v>
      </c>
      <c r="AL117" s="9">
        <v>54</v>
      </c>
      <c r="AM117" s="9">
        <v>48.88</v>
      </c>
      <c r="AN117" s="9">
        <v>46.47</v>
      </c>
      <c r="AO117" s="9">
        <v>47.11</v>
      </c>
      <c r="AP117" s="9">
        <v>80</v>
      </c>
      <c r="AQ117" s="12">
        <v>1</v>
      </c>
      <c r="AR117" s="9">
        <v>51.62541</v>
      </c>
      <c r="AS117" s="9">
        <v>51.63</v>
      </c>
      <c r="AT117" s="9">
        <v>210</v>
      </c>
      <c r="AU117" s="9"/>
      <c r="AV117" s="9">
        <v>0</v>
      </c>
      <c r="AW117" s="9" t="s">
        <v>2092</v>
      </c>
      <c r="AX117" s="9">
        <v>45992</v>
      </c>
      <c r="AY117" s="9" t="s">
        <v>2093</v>
      </c>
      <c r="AZ117" s="9" t="s">
        <v>2094</v>
      </c>
      <c r="BA117" s="9">
        <v>44803</v>
      </c>
      <c r="BB117" s="9" t="s">
        <v>1624</v>
      </c>
      <c r="BC117" s="9" t="s">
        <v>2095</v>
      </c>
      <c r="BD117" s="9" t="s">
        <v>1566</v>
      </c>
      <c r="BE117" s="13">
        <v>51.62541</v>
      </c>
      <c r="BF117" s="13">
        <v>51.63</v>
      </c>
      <c r="BG117" s="12">
        <v>1</v>
      </c>
      <c r="BH117" s="9">
        <v>51.62541</v>
      </c>
      <c r="BI117" s="9" t="s">
        <v>1567</v>
      </c>
    </row>
    <row r="118" ht="25" customHeight="1" spans="1:61">
      <c r="A118" s="9">
        <v>117</v>
      </c>
      <c r="B118" s="9" t="s">
        <v>2096</v>
      </c>
      <c r="C118" s="9" t="s">
        <v>2097</v>
      </c>
      <c r="D118" s="9" t="s">
        <v>2098</v>
      </c>
      <c r="E118" s="10">
        <v>44986</v>
      </c>
      <c r="F118" s="9">
        <v>3.5209</v>
      </c>
      <c r="G118" s="9" t="s">
        <v>1561</v>
      </c>
      <c r="H118" s="9" t="s">
        <v>542</v>
      </c>
      <c r="I118" s="9">
        <v>60</v>
      </c>
      <c r="J118" s="9" t="s">
        <v>1562</v>
      </c>
      <c r="K118" s="9">
        <v>100</v>
      </c>
      <c r="L118" s="9">
        <v>100</v>
      </c>
      <c r="M118" s="11">
        <v>0.2858</v>
      </c>
      <c r="N118" s="11">
        <v>0.3666</v>
      </c>
      <c r="O118" s="11"/>
      <c r="P118" s="11">
        <v>0.408884573484648</v>
      </c>
      <c r="Q118" s="9">
        <v>94.89</v>
      </c>
      <c r="R118" s="9">
        <v>100</v>
      </c>
      <c r="S118" s="9">
        <v>96.93</v>
      </c>
      <c r="T118" s="11">
        <v>0.8462</v>
      </c>
      <c r="U118" s="11">
        <v>0.6216</v>
      </c>
      <c r="V118" s="11">
        <v>0.499941666666667</v>
      </c>
      <c r="W118" s="9">
        <v>84.62</v>
      </c>
      <c r="X118" s="9">
        <v>49.9941666666667</v>
      </c>
      <c r="Y118" s="9">
        <v>70.77</v>
      </c>
      <c r="Z118" s="9">
        <v>0.0119679737357833</v>
      </c>
      <c r="AA118" s="9">
        <v>0.2202</v>
      </c>
      <c r="AB118" s="9">
        <v>0.2202</v>
      </c>
      <c r="AC118" s="9">
        <v>8.97</v>
      </c>
      <c r="AD118" s="9">
        <v>23.8804</v>
      </c>
      <c r="AE118" s="9">
        <v>0.2202</v>
      </c>
      <c r="AF118" s="9">
        <v>1.85687817204654</v>
      </c>
      <c r="AG118" s="9">
        <v>92.93</v>
      </c>
      <c r="AH118" s="9">
        <v>59.57</v>
      </c>
      <c r="AI118" s="9">
        <v>79.59</v>
      </c>
      <c r="AJ118" s="9">
        <v>0.3666</v>
      </c>
      <c r="AK118" s="9">
        <v>80</v>
      </c>
      <c r="AL118" s="9">
        <v>84</v>
      </c>
      <c r="AM118" s="9">
        <v>89.08</v>
      </c>
      <c r="AN118" s="9">
        <v>8.97</v>
      </c>
      <c r="AO118" s="9">
        <v>79.59</v>
      </c>
      <c r="AP118" s="9">
        <v>80</v>
      </c>
      <c r="AQ118" s="12">
        <v>1</v>
      </c>
      <c r="AR118" s="9">
        <v>64.53524</v>
      </c>
      <c r="AS118" s="9">
        <v>64.54</v>
      </c>
      <c r="AT118" s="9">
        <v>133</v>
      </c>
      <c r="AU118" s="9"/>
      <c r="AV118" s="9">
        <v>0</v>
      </c>
      <c r="AW118" s="9" t="s">
        <v>2099</v>
      </c>
      <c r="AX118" s="9">
        <v>46014</v>
      </c>
      <c r="AY118" s="9" t="s">
        <v>2100</v>
      </c>
      <c r="AZ118" s="9" t="s">
        <v>2101</v>
      </c>
      <c r="BA118" s="9">
        <v>45575</v>
      </c>
      <c r="BB118" s="9" t="s">
        <v>785</v>
      </c>
      <c r="BC118" s="9" t="s">
        <v>2102</v>
      </c>
      <c r="BD118" s="9" t="s">
        <v>1566</v>
      </c>
      <c r="BE118" s="13">
        <v>64.53524</v>
      </c>
      <c r="BF118" s="13">
        <v>64.54</v>
      </c>
      <c r="BG118" s="12">
        <v>1</v>
      </c>
      <c r="BH118" s="9">
        <v>64.53524</v>
      </c>
      <c r="BI118" s="9" t="s">
        <v>1567</v>
      </c>
    </row>
    <row r="119" ht="25" customHeight="1" spans="1:61">
      <c r="A119" s="9">
        <v>118</v>
      </c>
      <c r="B119" s="9" t="s">
        <v>2103</v>
      </c>
      <c r="C119" s="9" t="s">
        <v>2104</v>
      </c>
      <c r="D119" s="9" t="s">
        <v>2105</v>
      </c>
      <c r="E119" s="10">
        <v>45001</v>
      </c>
      <c r="F119" s="9">
        <v>3.4798</v>
      </c>
      <c r="G119" s="9" t="s">
        <v>1561</v>
      </c>
      <c r="H119" s="9" t="s">
        <v>542</v>
      </c>
      <c r="I119" s="9">
        <v>60</v>
      </c>
      <c r="J119" s="9" t="s">
        <v>1562</v>
      </c>
      <c r="K119" s="9">
        <v>100</v>
      </c>
      <c r="L119" s="9">
        <v>100</v>
      </c>
      <c r="M119" s="11">
        <v>0.1304</v>
      </c>
      <c r="N119" s="11">
        <v>0.1739</v>
      </c>
      <c r="O119" s="11"/>
      <c r="P119" s="11">
        <v>0.196273767778979</v>
      </c>
      <c r="Q119" s="9">
        <v>80.51</v>
      </c>
      <c r="R119" s="9">
        <v>90.95</v>
      </c>
      <c r="S119" s="9">
        <v>84.69</v>
      </c>
      <c r="T119" s="11">
        <v>0.9231</v>
      </c>
      <c r="U119" s="11">
        <v>0.973</v>
      </c>
      <c r="V119" s="11">
        <v>1.00002916666667</v>
      </c>
      <c r="W119" s="9">
        <v>92.31</v>
      </c>
      <c r="X119" s="9"/>
      <c r="Y119" s="9">
        <v>92.31</v>
      </c>
      <c r="Z119" s="9">
        <v>0.0733119694158655</v>
      </c>
      <c r="AA119" s="9">
        <v>0.0733</v>
      </c>
      <c r="AB119" s="9">
        <v>0.0733119694158655</v>
      </c>
      <c r="AC119" s="9">
        <v>33.97</v>
      </c>
      <c r="AD119" s="9">
        <v>1.7787</v>
      </c>
      <c r="AE119" s="9"/>
      <c r="AF119" s="9"/>
      <c r="AG119" s="9">
        <v>40.84</v>
      </c>
      <c r="AH119" s="9"/>
      <c r="AI119" s="9">
        <v>40.84</v>
      </c>
      <c r="AJ119" s="9">
        <v>0.1739</v>
      </c>
      <c r="AK119" s="9">
        <v>80</v>
      </c>
      <c r="AL119" s="9">
        <v>84</v>
      </c>
      <c r="AM119" s="9">
        <v>86.25</v>
      </c>
      <c r="AN119" s="9">
        <v>33.97</v>
      </c>
      <c r="AO119" s="9">
        <v>40.84</v>
      </c>
      <c r="AP119" s="9">
        <v>80</v>
      </c>
      <c r="AQ119" s="12">
        <v>0.856</v>
      </c>
      <c r="AR119" s="9">
        <v>51.6229</v>
      </c>
      <c r="AS119" s="9">
        <v>60.31</v>
      </c>
      <c r="AT119" s="9">
        <v>154</v>
      </c>
      <c r="AU119" s="9" t="s">
        <v>2106</v>
      </c>
      <c r="AV119" s="9">
        <v>0</v>
      </c>
      <c r="AW119" s="9" t="s">
        <v>2107</v>
      </c>
      <c r="AX119" s="9">
        <v>45868</v>
      </c>
      <c r="AY119" s="9" t="s">
        <v>2108</v>
      </c>
      <c r="AZ119" s="9" t="s">
        <v>2109</v>
      </c>
      <c r="BA119" s="9">
        <v>46044</v>
      </c>
      <c r="BB119" s="9" t="s">
        <v>785</v>
      </c>
      <c r="BC119" s="9" t="s">
        <v>2110</v>
      </c>
      <c r="BD119" s="9" t="s">
        <v>1566</v>
      </c>
      <c r="BE119" s="13"/>
      <c r="BF119" s="13">
        <v>60.31</v>
      </c>
      <c r="BG119" s="12">
        <v>0.856</v>
      </c>
      <c r="BH119" s="9">
        <v>51.6229</v>
      </c>
      <c r="BI119" s="9" t="s">
        <v>1567</v>
      </c>
    </row>
    <row r="120" ht="25" customHeight="1" spans="1:61">
      <c r="A120" s="9">
        <v>119</v>
      </c>
      <c r="B120" s="9" t="s">
        <v>2111</v>
      </c>
      <c r="C120" s="9" t="s">
        <v>2112</v>
      </c>
      <c r="D120" s="9" t="s">
        <v>2113</v>
      </c>
      <c r="E120" s="10">
        <v>45035</v>
      </c>
      <c r="F120" s="9">
        <v>3.3867</v>
      </c>
      <c r="G120" s="9" t="s">
        <v>1561</v>
      </c>
      <c r="H120" s="9" t="s">
        <v>546</v>
      </c>
      <c r="I120" s="9">
        <v>70</v>
      </c>
      <c r="J120" s="9" t="s">
        <v>1562</v>
      </c>
      <c r="K120" s="9">
        <v>100</v>
      </c>
      <c r="L120" s="9">
        <v>100</v>
      </c>
      <c r="M120" s="11">
        <v>0.0077</v>
      </c>
      <c r="N120" s="11">
        <v>0.0868</v>
      </c>
      <c r="O120" s="11"/>
      <c r="P120" s="11">
        <v>0.128648777058189</v>
      </c>
      <c r="Q120" s="9">
        <v>16.93</v>
      </c>
      <c r="R120" s="9">
        <v>79.52</v>
      </c>
      <c r="S120" s="9">
        <v>41.97</v>
      </c>
      <c r="T120" s="11">
        <v>0.6154</v>
      </c>
      <c r="U120" s="11">
        <v>0.8108</v>
      </c>
      <c r="V120" s="11">
        <v>0.916641666666667</v>
      </c>
      <c r="W120" s="9">
        <v>61.54</v>
      </c>
      <c r="X120" s="9">
        <v>91.6641666666667</v>
      </c>
      <c r="Y120" s="9">
        <v>73.59</v>
      </c>
      <c r="Z120" s="9">
        <v>0.0345756623259991</v>
      </c>
      <c r="AA120" s="9">
        <v>0.0346</v>
      </c>
      <c r="AB120" s="9">
        <v>0.0346</v>
      </c>
      <c r="AC120" s="9">
        <v>55.77</v>
      </c>
      <c r="AD120" s="9">
        <v>0.2227</v>
      </c>
      <c r="AE120" s="9"/>
      <c r="AF120" s="9"/>
      <c r="AG120" s="9">
        <v>19.29</v>
      </c>
      <c r="AH120" s="9"/>
      <c r="AI120" s="9">
        <v>19.29</v>
      </c>
      <c r="AJ120" s="9">
        <v>0.0868</v>
      </c>
      <c r="AK120" s="9">
        <v>80</v>
      </c>
      <c r="AL120" s="9">
        <v>88</v>
      </c>
      <c r="AM120" s="9">
        <v>51.45</v>
      </c>
      <c r="AN120" s="9">
        <v>55.77</v>
      </c>
      <c r="AO120" s="9">
        <v>19.29</v>
      </c>
      <c r="AP120" s="9">
        <v>80</v>
      </c>
      <c r="AQ120" s="12">
        <v>0.88</v>
      </c>
      <c r="AR120" s="9">
        <v>48.90532</v>
      </c>
      <c r="AS120" s="9">
        <v>55.57</v>
      </c>
      <c r="AT120" s="9">
        <v>185</v>
      </c>
      <c r="AU120" s="9" t="s">
        <v>1563</v>
      </c>
      <c r="AV120" s="9">
        <v>5</v>
      </c>
      <c r="AW120" s="9" t="s">
        <v>2114</v>
      </c>
      <c r="AX120" s="9">
        <v>45853</v>
      </c>
      <c r="AY120" s="9" t="s">
        <v>2115</v>
      </c>
      <c r="AZ120" s="9" t="s">
        <v>2116</v>
      </c>
      <c r="BA120" s="9">
        <v>45770</v>
      </c>
      <c r="BB120" s="9" t="s">
        <v>785</v>
      </c>
      <c r="BC120" s="9" t="s">
        <v>2117</v>
      </c>
      <c r="BD120" s="9" t="s">
        <v>1566</v>
      </c>
      <c r="BE120" s="13"/>
      <c r="BF120" s="13">
        <v>55.57</v>
      </c>
      <c r="BG120" s="12">
        <v>0.88</v>
      </c>
      <c r="BH120" s="9">
        <v>48.90532</v>
      </c>
      <c r="BI120" s="9" t="s">
        <v>1567</v>
      </c>
    </row>
    <row r="121" ht="25" customHeight="1" spans="1:61">
      <c r="A121" s="9">
        <v>120</v>
      </c>
      <c r="B121" s="9" t="s">
        <v>2118</v>
      </c>
      <c r="C121" s="9" t="s">
        <v>2119</v>
      </c>
      <c r="D121" s="9" t="s">
        <v>467</v>
      </c>
      <c r="E121" s="10">
        <v>45323</v>
      </c>
      <c r="F121" s="9">
        <v>2.5982</v>
      </c>
      <c r="G121" s="9" t="s">
        <v>1561</v>
      </c>
      <c r="H121" s="9" t="s">
        <v>546</v>
      </c>
      <c r="I121" s="9">
        <v>70</v>
      </c>
      <c r="J121" s="9" t="s">
        <v>1562</v>
      </c>
      <c r="K121" s="9">
        <v>100</v>
      </c>
      <c r="L121" s="9">
        <v>70</v>
      </c>
      <c r="M121" s="11">
        <v>0.1392</v>
      </c>
      <c r="N121" s="11"/>
      <c r="O121" s="11"/>
      <c r="P121" s="11"/>
      <c r="Q121" s="9">
        <v>82.75</v>
      </c>
      <c r="R121" s="9"/>
      <c r="S121" s="9">
        <v>82.75</v>
      </c>
      <c r="T121" s="11">
        <v>0.7692</v>
      </c>
      <c r="U121" s="11"/>
      <c r="V121" s="11"/>
      <c r="W121" s="9">
        <v>76.92</v>
      </c>
      <c r="X121" s="9"/>
      <c r="Y121" s="9">
        <v>76.92</v>
      </c>
      <c r="Z121" s="9">
        <v>0.0161202533844426</v>
      </c>
      <c r="AA121" s="9"/>
      <c r="AB121" s="9">
        <v>0.0161202533844426</v>
      </c>
      <c r="AC121" s="9">
        <v>75.32</v>
      </c>
      <c r="AD121" s="9">
        <v>8.6351</v>
      </c>
      <c r="AE121" s="9"/>
      <c r="AF121" s="9"/>
      <c r="AG121" s="9">
        <v>74.92</v>
      </c>
      <c r="AH121" s="9"/>
      <c r="AI121" s="9">
        <v>74.92</v>
      </c>
      <c r="AJ121" s="9"/>
      <c r="AK121" s="9"/>
      <c r="AL121" s="9">
        <v>79</v>
      </c>
      <c r="AM121" s="9">
        <v>81</v>
      </c>
      <c r="AN121" s="9">
        <v>75.32</v>
      </c>
      <c r="AO121" s="9">
        <v>74.92</v>
      </c>
      <c r="AP121" s="9"/>
      <c r="AQ121" s="12">
        <v>0.7</v>
      </c>
      <c r="AR121" s="9">
        <v>53.88572</v>
      </c>
      <c r="AS121" s="9">
        <v>76.98</v>
      </c>
      <c r="AT121" s="9">
        <v>64</v>
      </c>
      <c r="AU121" s="9" t="s">
        <v>1931</v>
      </c>
      <c r="AV121" s="9">
        <v>5</v>
      </c>
      <c r="AW121" s="9" t="s">
        <v>1421</v>
      </c>
      <c r="AX121" s="9">
        <v>46055</v>
      </c>
      <c r="AY121" s="9" t="s">
        <v>1423</v>
      </c>
      <c r="AZ121" s="9" t="s">
        <v>2120</v>
      </c>
      <c r="BA121" s="9">
        <v>45610</v>
      </c>
      <c r="BB121" s="9" t="s">
        <v>785</v>
      </c>
      <c r="BC121" s="9" t="s">
        <v>2121</v>
      </c>
      <c r="BD121" s="9" t="s">
        <v>1566</v>
      </c>
      <c r="BE121" s="13"/>
      <c r="BF121" s="13">
        <v>76.98</v>
      </c>
      <c r="BG121" s="12">
        <v>0.7</v>
      </c>
      <c r="BH121" s="9">
        <v>53.88572</v>
      </c>
      <c r="BI121" s="9" t="s">
        <v>1567</v>
      </c>
    </row>
    <row r="122" ht="25" customHeight="1" spans="1:61">
      <c r="A122" s="9">
        <v>121</v>
      </c>
      <c r="B122" s="9" t="s">
        <v>2122</v>
      </c>
      <c r="C122" s="9" t="s">
        <v>2123</v>
      </c>
      <c r="D122" s="9" t="s">
        <v>309</v>
      </c>
      <c r="E122" s="10">
        <v>45356</v>
      </c>
      <c r="F122" s="9">
        <v>2.5079</v>
      </c>
      <c r="G122" s="9" t="s">
        <v>1561</v>
      </c>
      <c r="H122" s="9" t="s">
        <v>551</v>
      </c>
      <c r="I122" s="9">
        <v>80</v>
      </c>
      <c r="J122" s="9" t="s">
        <v>1562</v>
      </c>
      <c r="K122" s="9">
        <v>100</v>
      </c>
      <c r="L122" s="9">
        <v>70</v>
      </c>
      <c r="M122" s="11">
        <v>0.1555</v>
      </c>
      <c r="N122" s="11"/>
      <c r="O122" s="11"/>
      <c r="P122" s="11"/>
      <c r="Q122" s="9">
        <v>84.98</v>
      </c>
      <c r="R122" s="9"/>
      <c r="S122" s="9">
        <v>84.98</v>
      </c>
      <c r="T122" s="11">
        <v>0.7692</v>
      </c>
      <c r="U122" s="11"/>
      <c r="V122" s="11"/>
      <c r="W122" s="9">
        <v>76.92</v>
      </c>
      <c r="X122" s="9"/>
      <c r="Y122" s="9">
        <v>76.92</v>
      </c>
      <c r="Z122" s="9">
        <v>0.0946036381334793</v>
      </c>
      <c r="AA122" s="9"/>
      <c r="AB122" s="9">
        <v>0.0946036381334793</v>
      </c>
      <c r="AC122" s="9">
        <v>27.56</v>
      </c>
      <c r="AD122" s="9">
        <v>1.6437</v>
      </c>
      <c r="AE122" s="9"/>
      <c r="AF122" s="9"/>
      <c r="AG122" s="9">
        <v>39.55</v>
      </c>
      <c r="AH122" s="9"/>
      <c r="AI122" s="9">
        <v>39.55</v>
      </c>
      <c r="AJ122" s="9"/>
      <c r="AK122" s="9"/>
      <c r="AL122" s="9">
        <v>83</v>
      </c>
      <c r="AM122" s="9">
        <v>82.56</v>
      </c>
      <c r="AN122" s="9">
        <v>27.56</v>
      </c>
      <c r="AO122" s="9">
        <v>39.55</v>
      </c>
      <c r="AP122" s="9"/>
      <c r="AQ122" s="12">
        <v>0.7</v>
      </c>
      <c r="AR122" s="9">
        <v>36.36644</v>
      </c>
      <c r="AS122" s="9">
        <v>51.95</v>
      </c>
      <c r="AT122" s="9">
        <v>206</v>
      </c>
      <c r="AU122" s="9" t="s">
        <v>1931</v>
      </c>
      <c r="AV122" s="9">
        <v>10</v>
      </c>
      <c r="AW122" s="9" t="s">
        <v>1353</v>
      </c>
      <c r="AX122" s="9">
        <v>46020</v>
      </c>
      <c r="AY122" s="9" t="s">
        <v>1355</v>
      </c>
      <c r="AZ122" s="9" t="s">
        <v>2124</v>
      </c>
      <c r="BA122" s="9">
        <v>45609</v>
      </c>
      <c r="BB122" s="9" t="s">
        <v>785</v>
      </c>
      <c r="BC122" s="9" t="s">
        <v>2125</v>
      </c>
      <c r="BD122" s="9" t="s">
        <v>1566</v>
      </c>
      <c r="BE122" s="13"/>
      <c r="BF122" s="13">
        <v>51.95</v>
      </c>
      <c r="BG122" s="12">
        <v>0.7</v>
      </c>
      <c r="BH122" s="9">
        <v>36.36644</v>
      </c>
      <c r="BI122" s="9" t="s">
        <v>1567</v>
      </c>
    </row>
    <row r="123" ht="25" customHeight="1" spans="1:61">
      <c r="A123" s="9">
        <v>122</v>
      </c>
      <c r="B123" s="9" t="s">
        <v>2126</v>
      </c>
      <c r="C123" s="9" t="s">
        <v>2127</v>
      </c>
      <c r="D123" s="9" t="s">
        <v>2128</v>
      </c>
      <c r="E123" s="10">
        <v>45376</v>
      </c>
      <c r="F123" s="9">
        <v>2.4531</v>
      </c>
      <c r="G123" s="9" t="s">
        <v>1561</v>
      </c>
      <c r="H123" s="9" t="s">
        <v>546</v>
      </c>
      <c r="I123" s="9">
        <v>70</v>
      </c>
      <c r="J123" s="9" t="s">
        <v>1620</v>
      </c>
      <c r="K123" s="9">
        <v>0</v>
      </c>
      <c r="L123" s="9">
        <v>70</v>
      </c>
      <c r="M123" s="11">
        <v>0.1217</v>
      </c>
      <c r="N123" s="11"/>
      <c r="O123" s="11"/>
      <c r="P123" s="11"/>
      <c r="Q123" s="9">
        <v>78.91</v>
      </c>
      <c r="R123" s="9"/>
      <c r="S123" s="9">
        <v>78.91</v>
      </c>
      <c r="T123" s="11">
        <v>0.6154</v>
      </c>
      <c r="U123" s="11"/>
      <c r="V123" s="11"/>
      <c r="W123" s="9">
        <v>61.54</v>
      </c>
      <c r="X123" s="9"/>
      <c r="Y123" s="9">
        <v>61.54</v>
      </c>
      <c r="Z123" s="9">
        <v>0.119925108395743</v>
      </c>
      <c r="AA123" s="9"/>
      <c r="AB123" s="9">
        <v>0.119925108395743</v>
      </c>
      <c r="AC123" s="9">
        <v>20.83</v>
      </c>
      <c r="AD123" s="9">
        <v>1.0148</v>
      </c>
      <c r="AE123" s="9"/>
      <c r="AF123" s="9"/>
      <c r="AG123" s="9">
        <v>31.83</v>
      </c>
      <c r="AH123" s="9"/>
      <c r="AI123" s="9">
        <v>31.83</v>
      </c>
      <c r="AJ123" s="9"/>
      <c r="AK123" s="9"/>
      <c r="AL123" s="9">
        <v>49</v>
      </c>
      <c r="AM123" s="9">
        <v>73.7</v>
      </c>
      <c r="AN123" s="9">
        <v>20.83</v>
      </c>
      <c r="AO123" s="9">
        <v>31.83</v>
      </c>
      <c r="AP123" s="9"/>
      <c r="AQ123" s="12">
        <v>0.7</v>
      </c>
      <c r="AR123" s="9">
        <v>27.13078</v>
      </c>
      <c r="AS123" s="9">
        <v>38.76</v>
      </c>
      <c r="AT123" s="9">
        <v>273</v>
      </c>
      <c r="AU123" s="9" t="s">
        <v>1931</v>
      </c>
      <c r="AV123" s="9">
        <v>5</v>
      </c>
      <c r="AW123" s="9" t="s">
        <v>2129</v>
      </c>
      <c r="AX123" s="9">
        <v>46034</v>
      </c>
      <c r="AY123" s="9" t="s">
        <v>2130</v>
      </c>
      <c r="AZ123" s="9" t="s">
        <v>2131</v>
      </c>
      <c r="BA123" s="9">
        <v>46100</v>
      </c>
      <c r="BB123" s="9" t="s">
        <v>1624</v>
      </c>
      <c r="BC123" s="9" t="s">
        <v>2132</v>
      </c>
      <c r="BD123" s="9" t="s">
        <v>1566</v>
      </c>
      <c r="BE123" s="13"/>
      <c r="BF123" s="13">
        <v>38.76</v>
      </c>
      <c r="BG123" s="12">
        <v>0.7</v>
      </c>
      <c r="BH123" s="9">
        <v>27.13078</v>
      </c>
      <c r="BI123" s="9" t="s">
        <v>1567</v>
      </c>
    </row>
    <row r="124" ht="25" customHeight="1" spans="1:61">
      <c r="A124" s="9">
        <v>123</v>
      </c>
      <c r="B124" s="9" t="s">
        <v>453</v>
      </c>
      <c r="C124" s="9" t="s">
        <v>454</v>
      </c>
      <c r="D124" s="9" t="s">
        <v>455</v>
      </c>
      <c r="E124" s="10">
        <v>45803</v>
      </c>
      <c r="F124" s="9">
        <v>1.2841</v>
      </c>
      <c r="G124" s="9" t="s">
        <v>1561</v>
      </c>
      <c r="H124" s="9" t="s">
        <v>551</v>
      </c>
      <c r="I124" s="9">
        <v>80</v>
      </c>
      <c r="J124" s="9" t="s">
        <v>1562</v>
      </c>
      <c r="K124" s="9">
        <v>100</v>
      </c>
      <c r="L124" s="9">
        <v>70</v>
      </c>
      <c r="M124" s="11">
        <v>0.2775</v>
      </c>
      <c r="N124" s="11"/>
      <c r="O124" s="11"/>
      <c r="P124" s="11"/>
      <c r="Q124" s="9">
        <v>94.25</v>
      </c>
      <c r="R124" s="9"/>
      <c r="S124" s="9">
        <v>94.25</v>
      </c>
      <c r="T124" s="11">
        <v>0.4615</v>
      </c>
      <c r="U124" s="11"/>
      <c r="V124" s="11"/>
      <c r="W124" s="9">
        <v>46.15</v>
      </c>
      <c r="X124" s="9">
        <v>100</v>
      </c>
      <c r="Y124" s="9">
        <v>67.69</v>
      </c>
      <c r="Z124" s="9">
        <v>0.196515827490971</v>
      </c>
      <c r="AA124" s="9"/>
      <c r="AB124" s="9">
        <v>0.196515827490971</v>
      </c>
      <c r="AC124" s="9">
        <v>10.58</v>
      </c>
      <c r="AD124" s="9">
        <v>1.4121</v>
      </c>
      <c r="AE124" s="9"/>
      <c r="AF124" s="9"/>
      <c r="AG124" s="9">
        <v>36.01</v>
      </c>
      <c r="AH124" s="9"/>
      <c r="AI124" s="9">
        <v>36.01</v>
      </c>
      <c r="AJ124" s="9"/>
      <c r="AK124" s="9"/>
      <c r="AL124" s="9">
        <v>83</v>
      </c>
      <c r="AM124" s="9">
        <v>83.18</v>
      </c>
      <c r="AN124" s="9">
        <v>10.58</v>
      </c>
      <c r="AO124" s="9">
        <v>36.01</v>
      </c>
      <c r="AP124" s="9"/>
      <c r="AQ124" s="12">
        <v>0.724</v>
      </c>
      <c r="AR124" s="9">
        <v>33.5552</v>
      </c>
      <c r="AS124" s="9">
        <v>46.35</v>
      </c>
      <c r="AT124" s="9">
        <v>237</v>
      </c>
      <c r="AU124" s="9" t="s">
        <v>1931</v>
      </c>
      <c r="AV124" s="9">
        <v>10</v>
      </c>
      <c r="AW124" s="9" t="s">
        <v>1415</v>
      </c>
      <c r="AX124" s="9">
        <v>46241</v>
      </c>
      <c r="AY124" s="9" t="s">
        <v>1417</v>
      </c>
      <c r="AZ124" s="9" t="s">
        <v>2133</v>
      </c>
      <c r="BA124" s="9">
        <v>46107</v>
      </c>
      <c r="BB124" s="9" t="s">
        <v>785</v>
      </c>
      <c r="BC124" s="9" t="s">
        <v>974</v>
      </c>
      <c r="BD124" s="9" t="s">
        <v>1566</v>
      </c>
      <c r="BE124" s="13"/>
      <c r="BF124" s="13">
        <v>46.35</v>
      </c>
      <c r="BG124" s="12">
        <v>0.724</v>
      </c>
      <c r="BH124" s="9">
        <v>33.5552</v>
      </c>
      <c r="BI124" s="9" t="s">
        <v>1567</v>
      </c>
    </row>
    <row r="125" ht="25" customHeight="1" spans="1:61">
      <c r="A125" s="9">
        <v>124</v>
      </c>
      <c r="B125" s="9" t="s">
        <v>2134</v>
      </c>
      <c r="C125" s="9" t="s">
        <v>2135</v>
      </c>
      <c r="D125" s="9" t="s">
        <v>2136</v>
      </c>
      <c r="E125" s="10">
        <v>45310</v>
      </c>
      <c r="F125" s="9">
        <v>2.6338</v>
      </c>
      <c r="G125" s="9" t="s">
        <v>1561</v>
      </c>
      <c r="H125" s="9" t="s">
        <v>551</v>
      </c>
      <c r="I125" s="9">
        <v>80</v>
      </c>
      <c r="J125" s="9" t="s">
        <v>1562</v>
      </c>
      <c r="K125" s="9">
        <v>100</v>
      </c>
      <c r="L125" s="9">
        <v>70</v>
      </c>
      <c r="M125" s="11">
        <v>0.0404</v>
      </c>
      <c r="N125" s="11"/>
      <c r="O125" s="11"/>
      <c r="P125" s="11"/>
      <c r="Q125" s="9">
        <v>34.5</v>
      </c>
      <c r="R125" s="9"/>
      <c r="S125" s="9">
        <v>34.5</v>
      </c>
      <c r="T125" s="11">
        <v>0.4615</v>
      </c>
      <c r="U125" s="11"/>
      <c r="V125" s="11"/>
      <c r="W125" s="9">
        <v>46.15</v>
      </c>
      <c r="X125" s="9"/>
      <c r="Y125" s="9">
        <v>46.15</v>
      </c>
      <c r="Z125" s="9">
        <v>0.0617076523598595</v>
      </c>
      <c r="AA125" s="9"/>
      <c r="AB125" s="9">
        <v>0.0617076523598595</v>
      </c>
      <c r="AC125" s="9">
        <v>38.14</v>
      </c>
      <c r="AD125" s="9">
        <v>0.6547</v>
      </c>
      <c r="AE125" s="9"/>
      <c r="AF125" s="9"/>
      <c r="AG125" s="9">
        <v>26.05</v>
      </c>
      <c r="AH125" s="9"/>
      <c r="AI125" s="9">
        <v>26.05</v>
      </c>
      <c r="AJ125" s="9"/>
      <c r="AK125" s="9"/>
      <c r="AL125" s="9">
        <v>83</v>
      </c>
      <c r="AM125" s="9">
        <v>38</v>
      </c>
      <c r="AN125" s="9">
        <v>38.14</v>
      </c>
      <c r="AO125" s="9">
        <v>26.05</v>
      </c>
      <c r="AP125" s="9"/>
      <c r="AQ125" s="12">
        <v>0.7</v>
      </c>
      <c r="AR125" s="9">
        <v>31.2334</v>
      </c>
      <c r="AS125" s="9">
        <v>44.62</v>
      </c>
      <c r="AT125" s="9">
        <v>248</v>
      </c>
      <c r="AU125" s="9" t="s">
        <v>1931</v>
      </c>
      <c r="AV125" s="9">
        <v>10</v>
      </c>
      <c r="AW125" s="9" t="s">
        <v>2137</v>
      </c>
      <c r="AX125" s="9">
        <v>46246</v>
      </c>
      <c r="AY125" s="9" t="s">
        <v>2138</v>
      </c>
      <c r="AZ125" s="9" t="s">
        <v>785</v>
      </c>
      <c r="BA125" s="9" t="s">
        <v>785</v>
      </c>
      <c r="BB125" s="9" t="s">
        <v>785</v>
      </c>
      <c r="BC125" s="9" t="s">
        <v>785</v>
      </c>
      <c r="BD125" s="9" t="s">
        <v>1898</v>
      </c>
      <c r="BE125" s="13"/>
      <c r="BF125" s="13">
        <v>44.62</v>
      </c>
      <c r="BG125" s="12">
        <v>0.7</v>
      </c>
      <c r="BH125" s="9">
        <v>31.2334</v>
      </c>
      <c r="BI125" s="9" t="s">
        <v>1567</v>
      </c>
    </row>
    <row r="126" ht="25" customHeight="1" spans="1:63">
      <c r="A126" s="9">
        <v>125</v>
      </c>
      <c r="B126" s="9" t="s">
        <v>2139</v>
      </c>
      <c r="C126" s="9" t="s">
        <v>2140</v>
      </c>
      <c r="D126" s="9" t="s">
        <v>2098</v>
      </c>
      <c r="E126" s="10">
        <v>44986</v>
      </c>
      <c r="F126" s="9">
        <v>3.5209</v>
      </c>
      <c r="G126" s="9" t="s">
        <v>1561</v>
      </c>
      <c r="H126" s="9" t="s">
        <v>542</v>
      </c>
      <c r="I126" s="9">
        <v>60</v>
      </c>
      <c r="J126" s="9" t="s">
        <v>1562</v>
      </c>
      <c r="K126" s="9">
        <v>100</v>
      </c>
      <c r="L126" s="9">
        <v>100</v>
      </c>
      <c r="M126" s="11">
        <v>0.2846</v>
      </c>
      <c r="N126" s="11"/>
      <c r="O126" s="11"/>
      <c r="P126" s="11" t="s">
        <v>1841</v>
      </c>
      <c r="Q126" s="9">
        <v>94.57</v>
      </c>
      <c r="R126" s="9" t="s">
        <v>1841</v>
      </c>
      <c r="S126" s="9" t="s">
        <v>1841</v>
      </c>
      <c r="T126" s="11">
        <v>0.8462</v>
      </c>
      <c r="U126" s="11"/>
      <c r="V126" s="11"/>
      <c r="W126" s="9">
        <v>84.62</v>
      </c>
      <c r="X126" s="9"/>
      <c r="Y126" s="9">
        <v>84.62</v>
      </c>
      <c r="Z126" s="9">
        <v>0.0120671963908652</v>
      </c>
      <c r="AA126" s="9"/>
      <c r="AB126" s="9">
        <v>0.0120671963908652</v>
      </c>
      <c r="AC126" s="9">
        <v>81.73</v>
      </c>
      <c r="AD126" s="9">
        <v>23.5846</v>
      </c>
      <c r="AE126" s="9" t="s">
        <v>1841</v>
      </c>
      <c r="AF126" s="9" t="s">
        <v>1841</v>
      </c>
      <c r="AG126" s="9">
        <v>92.28</v>
      </c>
      <c r="AH126" s="9" t="s">
        <v>1841</v>
      </c>
      <c r="AI126" s="9" t="s">
        <v>1841</v>
      </c>
      <c r="AJ126" s="9"/>
      <c r="AK126" s="9"/>
      <c r="AL126" s="9">
        <v>84</v>
      </c>
      <c r="AM126" s="9">
        <v>91.59</v>
      </c>
      <c r="AN126" s="9">
        <v>81.73</v>
      </c>
      <c r="AO126" s="9">
        <v>92.28</v>
      </c>
      <c r="AP126" s="9"/>
      <c r="AQ126" s="12">
        <v>0.7</v>
      </c>
      <c r="AR126" s="9">
        <v>60.6331</v>
      </c>
      <c r="AS126" s="9">
        <v>86.62</v>
      </c>
      <c r="AT126" s="9">
        <v>19</v>
      </c>
      <c r="AU126" s="9" t="s">
        <v>1841</v>
      </c>
      <c r="AV126" s="9">
        <v>0</v>
      </c>
      <c r="AW126" s="9" t="s">
        <v>2099</v>
      </c>
      <c r="AX126" s="9">
        <v>46014</v>
      </c>
      <c r="AY126" s="9" t="s">
        <v>2100</v>
      </c>
      <c r="AZ126" s="9" t="s">
        <v>785</v>
      </c>
      <c r="BA126" s="9" t="s">
        <v>785</v>
      </c>
      <c r="BB126" s="9" t="s">
        <v>785</v>
      </c>
      <c r="BC126" s="9" t="s">
        <v>785</v>
      </c>
      <c r="BD126" s="9" t="s">
        <v>1898</v>
      </c>
      <c r="BE126" s="13"/>
      <c r="BF126" s="13">
        <v>86.62</v>
      </c>
      <c r="BG126" s="12">
        <v>0.7</v>
      </c>
      <c r="BH126" s="9">
        <v>60.6331</v>
      </c>
      <c r="BI126" s="9" t="s">
        <v>1567</v>
      </c>
      <c r="BJ126" t="s">
        <v>2141</v>
      </c>
      <c r="BK126" t="s">
        <v>1847</v>
      </c>
    </row>
    <row r="127" ht="25" customHeight="1" spans="1:61">
      <c r="A127" s="9">
        <v>126</v>
      </c>
      <c r="B127" s="9" t="s">
        <v>2142</v>
      </c>
      <c r="C127" s="9" t="s">
        <v>2143</v>
      </c>
      <c r="D127" s="9" t="s">
        <v>2144</v>
      </c>
      <c r="E127" s="10">
        <v>43131</v>
      </c>
      <c r="F127" s="9">
        <v>8.5996</v>
      </c>
      <c r="G127" s="9" t="s">
        <v>1561</v>
      </c>
      <c r="H127" s="9" t="s">
        <v>546</v>
      </c>
      <c r="I127" s="9">
        <v>70</v>
      </c>
      <c r="J127" s="9" t="s">
        <v>1562</v>
      </c>
      <c r="K127" s="9">
        <v>100</v>
      </c>
      <c r="L127" s="9">
        <v>100</v>
      </c>
      <c r="M127" s="11">
        <v>-0.0026</v>
      </c>
      <c r="N127" s="11">
        <v>0.0025</v>
      </c>
      <c r="O127" s="11"/>
      <c r="P127" s="11">
        <v>0.00505977085782883</v>
      </c>
      <c r="Q127" s="9">
        <v>14.38</v>
      </c>
      <c r="R127" s="9">
        <v>4.76</v>
      </c>
      <c r="S127" s="9">
        <v>10.53</v>
      </c>
      <c r="T127" s="11">
        <v>0.6923</v>
      </c>
      <c r="U127" s="11">
        <v>0.4722</v>
      </c>
      <c r="V127" s="11">
        <v>0.352979166666667</v>
      </c>
      <c r="W127" s="9">
        <v>69.23</v>
      </c>
      <c r="X127" s="9">
        <v>35.2979166666667</v>
      </c>
      <c r="Y127" s="9">
        <v>55.66</v>
      </c>
      <c r="Z127" s="9">
        <v>0.0855263157894737</v>
      </c>
      <c r="AA127" s="9">
        <v>0.1056</v>
      </c>
      <c r="AB127" s="9">
        <v>0.1056</v>
      </c>
      <c r="AC127" s="9">
        <v>24.68</v>
      </c>
      <c r="AD127" s="9">
        <v>-0.0304</v>
      </c>
      <c r="AE127" s="9">
        <v>0.1056</v>
      </c>
      <c r="AF127" s="9">
        <v>0.0479144967597427</v>
      </c>
      <c r="AG127" s="9">
        <v>15.11</v>
      </c>
      <c r="AH127" s="9">
        <v>7.09</v>
      </c>
      <c r="AI127" s="9">
        <v>11.9</v>
      </c>
      <c r="AJ127" s="9">
        <v>0.0025</v>
      </c>
      <c r="AK127" s="9">
        <v>80</v>
      </c>
      <c r="AL127" s="9">
        <v>88</v>
      </c>
      <c r="AM127" s="9">
        <v>24.07</v>
      </c>
      <c r="AN127" s="9">
        <v>24.68</v>
      </c>
      <c r="AO127" s="9">
        <v>11.9</v>
      </c>
      <c r="AP127" s="9">
        <v>80</v>
      </c>
      <c r="AQ127" s="12">
        <v>1</v>
      </c>
      <c r="AR127" s="9">
        <v>35.75451</v>
      </c>
      <c r="AS127" s="9">
        <v>35.75</v>
      </c>
      <c r="AT127" s="9">
        <v>283</v>
      </c>
      <c r="AU127" s="9"/>
      <c r="AV127" s="9">
        <v>5</v>
      </c>
      <c r="AW127" s="9" t="s">
        <v>2145</v>
      </c>
      <c r="AX127" s="9">
        <v>45693</v>
      </c>
      <c r="AY127" s="9" t="s">
        <v>2146</v>
      </c>
      <c r="AZ127" s="9" t="s">
        <v>2147</v>
      </c>
      <c r="BA127" s="9">
        <v>46240</v>
      </c>
      <c r="BB127" s="9" t="s">
        <v>785</v>
      </c>
      <c r="BC127" s="9" t="s">
        <v>2148</v>
      </c>
      <c r="BD127" s="9" t="s">
        <v>1566</v>
      </c>
      <c r="BE127" s="13">
        <v>35.75451</v>
      </c>
      <c r="BF127" s="13">
        <v>35.75</v>
      </c>
      <c r="BG127" s="12">
        <v>1</v>
      </c>
      <c r="BH127" s="9">
        <v>35.75451</v>
      </c>
      <c r="BI127" s="9" t="s">
        <v>1567</v>
      </c>
    </row>
    <row r="128" ht="25" customHeight="1" spans="1:61">
      <c r="A128" s="9">
        <v>127</v>
      </c>
      <c r="B128" s="9" t="s">
        <v>2149</v>
      </c>
      <c r="C128" s="9" t="s">
        <v>2150</v>
      </c>
      <c r="D128" s="9" t="s">
        <v>430</v>
      </c>
      <c r="E128" s="10">
        <v>45034</v>
      </c>
      <c r="F128" s="9">
        <v>3.3895</v>
      </c>
      <c r="G128" s="9" t="s">
        <v>1561</v>
      </c>
      <c r="H128" s="9" t="s">
        <v>557</v>
      </c>
      <c r="I128" s="9">
        <v>90</v>
      </c>
      <c r="J128" s="9" t="s">
        <v>1620</v>
      </c>
      <c r="K128" s="9">
        <v>0</v>
      </c>
      <c r="L128" s="9">
        <v>100</v>
      </c>
      <c r="M128" s="11">
        <v>-0.0941</v>
      </c>
      <c r="N128" s="11">
        <v>0.0046</v>
      </c>
      <c r="O128" s="11"/>
      <c r="P128" s="11">
        <v>0.0579122131489271</v>
      </c>
      <c r="Q128" s="9">
        <v>4.15</v>
      </c>
      <c r="R128" s="9">
        <v>40.95</v>
      </c>
      <c r="S128" s="9">
        <v>18.87</v>
      </c>
      <c r="T128" s="11">
        <v>0.3077</v>
      </c>
      <c r="U128" s="11">
        <v>0.5556</v>
      </c>
      <c r="V128" s="11">
        <v>0.689879166666667</v>
      </c>
      <c r="W128" s="9">
        <v>30.77</v>
      </c>
      <c r="X128" s="9">
        <v>68.9879166666667</v>
      </c>
      <c r="Y128" s="9">
        <v>46.06</v>
      </c>
      <c r="Z128" s="9">
        <v>0.1</v>
      </c>
      <c r="AA128" s="9">
        <v>0.1012</v>
      </c>
      <c r="AB128" s="9">
        <v>0.1012</v>
      </c>
      <c r="AC128" s="9">
        <v>25.64</v>
      </c>
      <c r="AD128" s="9">
        <v>-0.941</v>
      </c>
      <c r="AE128" s="9">
        <v>0.1012</v>
      </c>
      <c r="AF128" s="9">
        <v>0.572255070641573</v>
      </c>
      <c r="AG128" s="9">
        <v>0</v>
      </c>
      <c r="AH128" s="9">
        <v>19.86</v>
      </c>
      <c r="AI128" s="9">
        <v>7.94</v>
      </c>
      <c r="AJ128" s="9">
        <v>0.0046</v>
      </c>
      <c r="AK128" s="9">
        <v>80</v>
      </c>
      <c r="AL128" s="9">
        <v>66</v>
      </c>
      <c r="AM128" s="9">
        <v>27.03</v>
      </c>
      <c r="AN128" s="9">
        <v>25.64</v>
      </c>
      <c r="AO128" s="9">
        <v>7.94</v>
      </c>
      <c r="AP128" s="9">
        <v>80</v>
      </c>
      <c r="AQ128" s="12">
        <v>1</v>
      </c>
      <c r="AR128" s="9">
        <v>32.09843</v>
      </c>
      <c r="AS128" s="9">
        <v>32.1</v>
      </c>
      <c r="AT128" s="9">
        <v>292</v>
      </c>
      <c r="AU128" s="9"/>
      <c r="AV128" s="9">
        <v>20</v>
      </c>
      <c r="AW128" s="9" t="s">
        <v>1405</v>
      </c>
      <c r="AX128" s="9">
        <v>46216</v>
      </c>
      <c r="AY128" s="9" t="s">
        <v>1407</v>
      </c>
      <c r="AZ128" s="9" t="s">
        <v>2151</v>
      </c>
      <c r="BA128" s="9">
        <v>46176</v>
      </c>
      <c r="BB128" s="9" t="s">
        <v>1624</v>
      </c>
      <c r="BC128" s="9" t="s">
        <v>2152</v>
      </c>
      <c r="BD128" s="9" t="s">
        <v>1566</v>
      </c>
      <c r="BE128" s="13">
        <v>32.09843</v>
      </c>
      <c r="BF128" s="13">
        <v>32.1</v>
      </c>
      <c r="BG128" s="12">
        <v>1</v>
      </c>
      <c r="BH128" s="9">
        <v>32.09843</v>
      </c>
      <c r="BI128" s="9" t="s">
        <v>1567</v>
      </c>
    </row>
    <row r="129" ht="25" customHeight="1" spans="1:61">
      <c r="A129" s="9">
        <v>128</v>
      </c>
      <c r="B129" s="9" t="s">
        <v>2153</v>
      </c>
      <c r="C129" s="9" t="s">
        <v>2154</v>
      </c>
      <c r="D129" s="9" t="s">
        <v>309</v>
      </c>
      <c r="E129" s="10">
        <v>45223</v>
      </c>
      <c r="F129" s="9">
        <v>2.872</v>
      </c>
      <c r="G129" s="9" t="s">
        <v>1561</v>
      </c>
      <c r="H129" s="9" t="s">
        <v>551</v>
      </c>
      <c r="I129" s="9">
        <v>80</v>
      </c>
      <c r="J129" s="9" t="s">
        <v>1562</v>
      </c>
      <c r="K129" s="9">
        <v>100</v>
      </c>
      <c r="L129" s="9">
        <v>70</v>
      </c>
      <c r="M129" s="11">
        <v>0.0385</v>
      </c>
      <c r="N129" s="11"/>
      <c r="O129" s="11"/>
      <c r="P129" s="11"/>
      <c r="Q129" s="9">
        <v>33.23</v>
      </c>
      <c r="R129" s="9"/>
      <c r="S129" s="9">
        <v>33.23</v>
      </c>
      <c r="T129" s="11">
        <v>1</v>
      </c>
      <c r="U129" s="11"/>
      <c r="V129" s="11"/>
      <c r="W129" s="9">
        <v>100</v>
      </c>
      <c r="X129" s="9"/>
      <c r="Y129" s="9">
        <v>100</v>
      </c>
      <c r="Z129" s="9"/>
      <c r="AA129" s="9"/>
      <c r="AB129" s="9"/>
      <c r="AC129" s="9"/>
      <c r="AD129" s="9"/>
      <c r="AE129" s="9"/>
      <c r="AF129" s="9"/>
      <c r="AG129" s="9"/>
      <c r="AH129" s="9"/>
      <c r="AI129" s="9"/>
      <c r="AJ129" s="9"/>
      <c r="AK129" s="9"/>
      <c r="AL129" s="9">
        <v>83</v>
      </c>
      <c r="AM129" s="9">
        <v>53.26</v>
      </c>
      <c r="AN129" s="9"/>
      <c r="AO129" s="9"/>
      <c r="AP129" s="9"/>
      <c r="AQ129" s="12">
        <v>0.27</v>
      </c>
      <c r="AR129" s="9">
        <v>18.84132</v>
      </c>
      <c r="AS129" s="9">
        <v>69.78</v>
      </c>
      <c r="AT129" s="9">
        <v>105</v>
      </c>
      <c r="AU129" s="9" t="s">
        <v>2155</v>
      </c>
      <c r="AV129" s="9">
        <v>10</v>
      </c>
      <c r="AW129" s="9" t="s">
        <v>1353</v>
      </c>
      <c r="AX129" s="9">
        <v>46020</v>
      </c>
      <c r="AY129" s="9" t="s">
        <v>1355</v>
      </c>
      <c r="AZ129" s="9" t="s">
        <v>2156</v>
      </c>
      <c r="BA129" s="9">
        <v>46136</v>
      </c>
      <c r="BB129" s="9" t="s">
        <v>785</v>
      </c>
      <c r="BC129" s="9" t="s">
        <v>2157</v>
      </c>
      <c r="BD129" s="9" t="s">
        <v>1566</v>
      </c>
      <c r="BE129" s="13"/>
      <c r="BF129" s="13">
        <v>69.78</v>
      </c>
      <c r="BG129" s="12">
        <v>0.27</v>
      </c>
      <c r="BH129" s="9">
        <v>18.84132</v>
      </c>
      <c r="BI129" s="9" t="s">
        <v>1567</v>
      </c>
    </row>
    <row r="130" ht="25" customHeight="1" spans="1:61">
      <c r="A130" s="9">
        <v>129</v>
      </c>
      <c r="B130" s="9" t="s">
        <v>2158</v>
      </c>
      <c r="C130" s="9" t="s">
        <v>2159</v>
      </c>
      <c r="D130" s="9" t="s">
        <v>1976</v>
      </c>
      <c r="E130" s="10">
        <v>45373</v>
      </c>
      <c r="F130" s="9">
        <v>2.4613</v>
      </c>
      <c r="G130" s="9" t="s">
        <v>1561</v>
      </c>
      <c r="H130" s="9" t="s">
        <v>561</v>
      </c>
      <c r="I130" s="9">
        <v>90</v>
      </c>
      <c r="J130" s="9" t="s">
        <v>1562</v>
      </c>
      <c r="K130" s="9">
        <v>100</v>
      </c>
      <c r="L130" s="9">
        <v>70</v>
      </c>
      <c r="M130" s="11">
        <v>0.0598</v>
      </c>
      <c r="N130" s="11"/>
      <c r="O130" s="11"/>
      <c r="P130" s="11"/>
      <c r="Q130" s="9">
        <v>48.4</v>
      </c>
      <c r="R130" s="9"/>
      <c r="S130" s="9">
        <v>48.4</v>
      </c>
      <c r="T130" s="11">
        <v>0.9231</v>
      </c>
      <c r="U130" s="11"/>
      <c r="V130" s="11"/>
      <c r="W130" s="9">
        <v>92.31</v>
      </c>
      <c r="X130" s="9"/>
      <c r="Y130" s="9">
        <v>92.31</v>
      </c>
      <c r="Z130" s="9">
        <v>0.00662119668718721</v>
      </c>
      <c r="AA130" s="9"/>
      <c r="AB130" s="9">
        <v>0.00662119668718721</v>
      </c>
      <c r="AC130" s="9">
        <v>89.1</v>
      </c>
      <c r="AD130" s="9">
        <v>9.0316</v>
      </c>
      <c r="AE130" s="9"/>
      <c r="AF130" s="9"/>
      <c r="AG130" s="9">
        <v>76.53</v>
      </c>
      <c r="AH130" s="9"/>
      <c r="AI130" s="9">
        <v>76.53</v>
      </c>
      <c r="AJ130" s="9"/>
      <c r="AK130" s="9"/>
      <c r="AL130" s="9">
        <v>87</v>
      </c>
      <c r="AM130" s="9">
        <v>61.57</v>
      </c>
      <c r="AN130" s="9">
        <v>89.1</v>
      </c>
      <c r="AO130" s="9">
        <v>76.53</v>
      </c>
      <c r="AP130" s="9"/>
      <c r="AQ130" s="12">
        <v>0.7</v>
      </c>
      <c r="AR130" s="9">
        <v>56.48916</v>
      </c>
      <c r="AS130" s="9">
        <v>80.7</v>
      </c>
      <c r="AT130" s="9">
        <v>48</v>
      </c>
      <c r="AU130" s="9" t="s">
        <v>1931</v>
      </c>
      <c r="AV130" s="9">
        <v>50</v>
      </c>
      <c r="AW130" s="9" t="s">
        <v>1977</v>
      </c>
      <c r="AX130" s="9">
        <v>45219</v>
      </c>
      <c r="AY130" s="9" t="s">
        <v>1978</v>
      </c>
      <c r="AZ130" s="9" t="s">
        <v>785</v>
      </c>
      <c r="BA130" s="9" t="s">
        <v>785</v>
      </c>
      <c r="BB130" s="9" t="s">
        <v>785</v>
      </c>
      <c r="BC130" s="9" t="s">
        <v>785</v>
      </c>
      <c r="BD130" s="9" t="s">
        <v>1898</v>
      </c>
      <c r="BE130" s="13"/>
      <c r="BF130" s="13">
        <v>80.7</v>
      </c>
      <c r="BG130" s="12">
        <v>0.7</v>
      </c>
      <c r="BH130" s="9">
        <v>56.48916</v>
      </c>
      <c r="BI130" s="9" t="s">
        <v>1567</v>
      </c>
    </row>
    <row r="131" ht="25" customHeight="1" spans="1:61">
      <c r="A131" s="9">
        <v>130</v>
      </c>
      <c r="B131" s="9" t="s">
        <v>2160</v>
      </c>
      <c r="C131" s="9" t="s">
        <v>2161</v>
      </c>
      <c r="D131" s="9" t="s">
        <v>377</v>
      </c>
      <c r="E131" s="10">
        <v>45812</v>
      </c>
      <c r="F131" s="9">
        <v>1.2594</v>
      </c>
      <c r="G131" s="9" t="s">
        <v>1561</v>
      </c>
      <c r="H131" s="9" t="s">
        <v>557</v>
      </c>
      <c r="I131" s="9">
        <v>90</v>
      </c>
      <c r="J131" s="9" t="s">
        <v>1620</v>
      </c>
      <c r="K131" s="9">
        <v>0</v>
      </c>
      <c r="L131" s="9">
        <v>70</v>
      </c>
      <c r="M131" s="11">
        <v>0.031</v>
      </c>
      <c r="N131" s="11"/>
      <c r="O131" s="11"/>
      <c r="P131" s="11"/>
      <c r="Q131" s="9">
        <v>28.43</v>
      </c>
      <c r="R131" s="9"/>
      <c r="S131" s="9">
        <v>28.43</v>
      </c>
      <c r="T131" s="11">
        <v>0.5385</v>
      </c>
      <c r="U131" s="11"/>
      <c r="V131" s="11"/>
      <c r="W131" s="9">
        <v>53.85</v>
      </c>
      <c r="X131" s="9">
        <v>100</v>
      </c>
      <c r="Y131" s="9">
        <v>72.31</v>
      </c>
      <c r="Z131" s="9">
        <v>0.0157097248264329</v>
      </c>
      <c r="AA131" s="9"/>
      <c r="AB131" s="9">
        <v>0.0157097248264329</v>
      </c>
      <c r="AC131" s="9">
        <v>76.28</v>
      </c>
      <c r="AD131" s="9">
        <v>1.9733</v>
      </c>
      <c r="AE131" s="9"/>
      <c r="AF131" s="9"/>
      <c r="AG131" s="9">
        <v>45.98</v>
      </c>
      <c r="AH131" s="9"/>
      <c r="AI131" s="9">
        <v>45.98</v>
      </c>
      <c r="AJ131" s="9"/>
      <c r="AK131" s="9"/>
      <c r="AL131" s="9">
        <v>57</v>
      </c>
      <c r="AM131" s="9">
        <v>46.71</v>
      </c>
      <c r="AN131" s="9">
        <v>76.28</v>
      </c>
      <c r="AO131" s="9">
        <v>45.98</v>
      </c>
      <c r="AP131" s="9"/>
      <c r="AQ131" s="12">
        <v>0.724</v>
      </c>
      <c r="AR131" s="9">
        <v>42.62312</v>
      </c>
      <c r="AS131" s="9">
        <v>58.87</v>
      </c>
      <c r="AT131" s="9">
        <v>165</v>
      </c>
      <c r="AU131" s="9" t="s">
        <v>1931</v>
      </c>
      <c r="AV131" s="9">
        <v>20</v>
      </c>
      <c r="AW131" s="9" t="s">
        <v>1380</v>
      </c>
      <c r="AX131" s="9">
        <v>46027</v>
      </c>
      <c r="AY131" s="9" t="s">
        <v>1382</v>
      </c>
      <c r="AZ131" s="9" t="s">
        <v>2162</v>
      </c>
      <c r="BA131" s="9">
        <v>45828</v>
      </c>
      <c r="BB131" s="9" t="s">
        <v>1624</v>
      </c>
      <c r="BC131" s="9" t="s">
        <v>2163</v>
      </c>
      <c r="BD131" s="9" t="s">
        <v>1566</v>
      </c>
      <c r="BE131" s="13"/>
      <c r="BF131" s="13">
        <v>58.87</v>
      </c>
      <c r="BG131" s="12">
        <v>0.724</v>
      </c>
      <c r="BH131" s="9">
        <v>42.62312</v>
      </c>
      <c r="BI131" s="9" t="s">
        <v>1567</v>
      </c>
    </row>
    <row r="132" ht="25" customHeight="1" spans="1:61">
      <c r="A132" s="9">
        <v>131</v>
      </c>
      <c r="B132" s="9" t="s">
        <v>2164</v>
      </c>
      <c r="C132" s="9" t="s">
        <v>2165</v>
      </c>
      <c r="D132" s="9" t="s">
        <v>430</v>
      </c>
      <c r="E132" s="10">
        <v>44559</v>
      </c>
      <c r="F132" s="9">
        <v>4.6899</v>
      </c>
      <c r="G132" s="9" t="s">
        <v>1561</v>
      </c>
      <c r="H132" s="9" t="s">
        <v>557</v>
      </c>
      <c r="I132" s="9">
        <v>90</v>
      </c>
      <c r="J132" s="9" t="s">
        <v>1620</v>
      </c>
      <c r="K132" s="9">
        <v>0</v>
      </c>
      <c r="L132" s="9">
        <v>100</v>
      </c>
      <c r="M132" s="11">
        <v>0.0349</v>
      </c>
      <c r="N132" s="11">
        <v>0.1077</v>
      </c>
      <c r="O132" s="11"/>
      <c r="P132" s="11">
        <v>0.145998476018792</v>
      </c>
      <c r="Q132" s="9">
        <v>30.35</v>
      </c>
      <c r="R132" s="9">
        <v>85.71</v>
      </c>
      <c r="S132" s="9">
        <v>52.49</v>
      </c>
      <c r="T132" s="11">
        <v>0.5385</v>
      </c>
      <c r="U132" s="11">
        <v>0.6667</v>
      </c>
      <c r="V132" s="11">
        <v>0.736141666666667</v>
      </c>
      <c r="W132" s="9">
        <v>53.85</v>
      </c>
      <c r="X132" s="9">
        <v>73.6141666666667</v>
      </c>
      <c r="Y132" s="9">
        <v>61.76</v>
      </c>
      <c r="Z132" s="9">
        <v>0.0588830774422136</v>
      </c>
      <c r="AA132" s="9">
        <v>0.1362</v>
      </c>
      <c r="AB132" s="9">
        <v>0.1362</v>
      </c>
      <c r="AC132" s="9">
        <v>17.31</v>
      </c>
      <c r="AD132" s="9">
        <v>0.5927</v>
      </c>
      <c r="AE132" s="9">
        <v>0.1362</v>
      </c>
      <c r="AF132" s="9">
        <v>1.07194182098966</v>
      </c>
      <c r="AG132" s="9">
        <v>25.08</v>
      </c>
      <c r="AH132" s="9">
        <v>39.72</v>
      </c>
      <c r="AI132" s="9">
        <v>30.94</v>
      </c>
      <c r="AJ132" s="9">
        <v>0.1077</v>
      </c>
      <c r="AK132" s="9">
        <v>80</v>
      </c>
      <c r="AL132" s="9">
        <v>66</v>
      </c>
      <c r="AM132" s="9">
        <v>55.27</v>
      </c>
      <c r="AN132" s="9">
        <v>17.31</v>
      </c>
      <c r="AO132" s="9">
        <v>30.94</v>
      </c>
      <c r="AP132" s="9">
        <v>80</v>
      </c>
      <c r="AQ132" s="12">
        <v>1</v>
      </c>
      <c r="AR132" s="9">
        <v>42.5628</v>
      </c>
      <c r="AS132" s="9">
        <v>42.56</v>
      </c>
      <c r="AT132" s="9">
        <v>260</v>
      </c>
      <c r="AU132" s="9"/>
      <c r="AV132" s="9">
        <v>20</v>
      </c>
      <c r="AW132" s="9" t="s">
        <v>1405</v>
      </c>
      <c r="AX132" s="9">
        <v>46216</v>
      </c>
      <c r="AY132" s="9" t="s">
        <v>1407</v>
      </c>
      <c r="AZ132" s="9" t="s">
        <v>2166</v>
      </c>
      <c r="BA132" s="9">
        <v>45705</v>
      </c>
      <c r="BB132" s="9" t="s">
        <v>1624</v>
      </c>
      <c r="BC132" s="9" t="s">
        <v>2167</v>
      </c>
      <c r="BD132" s="9" t="s">
        <v>1566</v>
      </c>
      <c r="BE132" s="13">
        <v>42.5628</v>
      </c>
      <c r="BF132" s="13">
        <v>42.56</v>
      </c>
      <c r="BG132" s="12">
        <v>1</v>
      </c>
      <c r="BH132" s="9">
        <v>42.5628</v>
      </c>
      <c r="BI132" s="9" t="s">
        <v>1567</v>
      </c>
    </row>
    <row r="133" ht="25" customHeight="1" spans="1:61">
      <c r="A133" s="9">
        <v>132</v>
      </c>
      <c r="B133" s="9" t="s">
        <v>2168</v>
      </c>
      <c r="C133" s="9" t="s">
        <v>2169</v>
      </c>
      <c r="D133" s="9" t="s">
        <v>2170</v>
      </c>
      <c r="E133" s="10">
        <v>44889</v>
      </c>
      <c r="F133" s="9">
        <v>3.7864</v>
      </c>
      <c r="G133" s="9" t="s">
        <v>1561</v>
      </c>
      <c r="H133" s="9" t="s">
        <v>546</v>
      </c>
      <c r="I133" s="9">
        <v>70</v>
      </c>
      <c r="J133" s="9" t="s">
        <v>1562</v>
      </c>
      <c r="K133" s="9">
        <v>100</v>
      </c>
      <c r="L133" s="9">
        <v>100</v>
      </c>
      <c r="M133" s="11">
        <v>0.2133</v>
      </c>
      <c r="N133" s="11">
        <v>0.3277</v>
      </c>
      <c r="O133" s="11"/>
      <c r="P133" s="11">
        <v>0.388883549829287</v>
      </c>
      <c r="Q133" s="9">
        <v>89.78</v>
      </c>
      <c r="R133" s="9">
        <v>99.52</v>
      </c>
      <c r="S133" s="9">
        <v>93.68</v>
      </c>
      <c r="T133" s="11">
        <v>0.7692</v>
      </c>
      <c r="U133" s="11">
        <v>0.7568</v>
      </c>
      <c r="V133" s="11">
        <v>0.750083333333333</v>
      </c>
      <c r="W133" s="9">
        <v>76.92</v>
      </c>
      <c r="X133" s="9">
        <v>75.0083333333333</v>
      </c>
      <c r="Y133" s="9">
        <v>76.16</v>
      </c>
      <c r="Z133" s="9">
        <v>0.116844700082169</v>
      </c>
      <c r="AA133" s="9">
        <v>0.1375</v>
      </c>
      <c r="AB133" s="9">
        <v>0.1375</v>
      </c>
      <c r="AC133" s="9">
        <v>16.99</v>
      </c>
      <c r="AD133" s="9">
        <v>1.8255</v>
      </c>
      <c r="AE133" s="9">
        <v>0.1375</v>
      </c>
      <c r="AF133" s="9">
        <v>2.82824399875845</v>
      </c>
      <c r="AG133" s="9">
        <v>42.12</v>
      </c>
      <c r="AH133" s="9">
        <v>73.05</v>
      </c>
      <c r="AI133" s="9">
        <v>54.49</v>
      </c>
      <c r="AJ133" s="9">
        <v>0.3277</v>
      </c>
      <c r="AK133" s="9">
        <v>80</v>
      </c>
      <c r="AL133" s="9">
        <v>88</v>
      </c>
      <c r="AM133" s="9">
        <v>88.42</v>
      </c>
      <c r="AN133" s="9">
        <v>16.99</v>
      </c>
      <c r="AO133" s="9">
        <v>54.49</v>
      </c>
      <c r="AP133" s="9">
        <v>80</v>
      </c>
      <c r="AQ133" s="12">
        <v>1</v>
      </c>
      <c r="AR133" s="9">
        <v>59.47906</v>
      </c>
      <c r="AS133" s="9">
        <v>59.48</v>
      </c>
      <c r="AT133" s="9">
        <v>161</v>
      </c>
      <c r="AU133" s="9"/>
      <c r="AV133" s="9">
        <v>5</v>
      </c>
      <c r="AW133" s="9" t="s">
        <v>2171</v>
      </c>
      <c r="AX133" s="9">
        <v>46149</v>
      </c>
      <c r="AY133" s="9" t="s">
        <v>2172</v>
      </c>
      <c r="AZ133" s="9" t="s">
        <v>2173</v>
      </c>
      <c r="BA133" s="9">
        <v>45538</v>
      </c>
      <c r="BB133" s="9" t="s">
        <v>785</v>
      </c>
      <c r="BC133" s="9" t="s">
        <v>2174</v>
      </c>
      <c r="BD133" s="9" t="s">
        <v>1566</v>
      </c>
      <c r="BE133" s="13">
        <v>59.47906</v>
      </c>
      <c r="BF133" s="13">
        <v>59.48</v>
      </c>
      <c r="BG133" s="12">
        <v>1</v>
      </c>
      <c r="BH133" s="9">
        <v>59.47906</v>
      </c>
      <c r="BI133" s="9" t="s">
        <v>1567</v>
      </c>
    </row>
    <row r="134" ht="25" customHeight="1" spans="1:63">
      <c r="A134" s="9">
        <v>133</v>
      </c>
      <c r="B134" s="9" t="s">
        <v>2175</v>
      </c>
      <c r="C134" s="9" t="s">
        <v>2176</v>
      </c>
      <c r="D134" s="9" t="s">
        <v>2105</v>
      </c>
      <c r="E134" s="10">
        <v>45174</v>
      </c>
      <c r="F134" s="9">
        <v>3.0062</v>
      </c>
      <c r="G134" s="9" t="s">
        <v>1561</v>
      </c>
      <c r="H134" s="9" t="s">
        <v>542</v>
      </c>
      <c r="I134" s="9">
        <v>60</v>
      </c>
      <c r="J134" s="9" t="s">
        <v>1562</v>
      </c>
      <c r="K134" s="9">
        <v>100</v>
      </c>
      <c r="L134" s="9">
        <v>100</v>
      </c>
      <c r="M134" s="11">
        <v>0.18</v>
      </c>
      <c r="N134" s="11"/>
      <c r="O134" s="11"/>
      <c r="P134" s="11" t="s">
        <v>1841</v>
      </c>
      <c r="Q134" s="9">
        <v>86.26</v>
      </c>
      <c r="R134" s="9" t="s">
        <v>1841</v>
      </c>
      <c r="S134" s="9" t="s">
        <v>1841</v>
      </c>
      <c r="T134" s="11">
        <v>0.6154</v>
      </c>
      <c r="U134" s="11"/>
      <c r="V134" s="11"/>
      <c r="W134" s="9">
        <v>61.54</v>
      </c>
      <c r="X134" s="9"/>
      <c r="Y134" s="9">
        <v>61.54</v>
      </c>
      <c r="Z134" s="9">
        <v>0.129394004744447</v>
      </c>
      <c r="AA134" s="9"/>
      <c r="AB134" s="9">
        <v>0.129394004744447</v>
      </c>
      <c r="AC134" s="9">
        <v>19.55</v>
      </c>
      <c r="AD134" s="9">
        <v>1.3911</v>
      </c>
      <c r="AE134" s="9" t="s">
        <v>1841</v>
      </c>
      <c r="AF134" s="9" t="s">
        <v>1841</v>
      </c>
      <c r="AG134" s="9">
        <v>35.69</v>
      </c>
      <c r="AH134" s="9" t="s">
        <v>1841</v>
      </c>
      <c r="AI134" s="9" t="s">
        <v>1841</v>
      </c>
      <c r="AJ134" s="9"/>
      <c r="AK134" s="9"/>
      <c r="AL134" s="9">
        <v>84</v>
      </c>
      <c r="AM134" s="9">
        <v>78.84</v>
      </c>
      <c r="AN134" s="9">
        <v>19.55</v>
      </c>
      <c r="AO134" s="9">
        <v>35.69</v>
      </c>
      <c r="AP134" s="9"/>
      <c r="AQ134" s="12">
        <v>0.7</v>
      </c>
      <c r="AR134" s="9">
        <v>33.37298</v>
      </c>
      <c r="AS134" s="9">
        <v>47.68</v>
      </c>
      <c r="AT134" s="9">
        <v>232</v>
      </c>
      <c r="AU134" s="9" t="s">
        <v>1841</v>
      </c>
      <c r="AV134" s="9">
        <v>0</v>
      </c>
      <c r="AW134" s="9" t="s">
        <v>2107</v>
      </c>
      <c r="AX134" s="9">
        <v>45868</v>
      </c>
      <c r="AY134" s="9" t="s">
        <v>2108</v>
      </c>
      <c r="AZ134" s="9" t="s">
        <v>2177</v>
      </c>
      <c r="BA134" s="9">
        <v>46044</v>
      </c>
      <c r="BB134" s="9" t="s">
        <v>785</v>
      </c>
      <c r="BC134" s="9" t="s">
        <v>2178</v>
      </c>
      <c r="BD134" s="9" t="s">
        <v>1566</v>
      </c>
      <c r="BE134" s="13"/>
      <c r="BF134" s="13">
        <v>47.68</v>
      </c>
      <c r="BG134" s="12">
        <v>0.7</v>
      </c>
      <c r="BH134" s="9">
        <v>33.37298</v>
      </c>
      <c r="BI134" s="9" t="s">
        <v>1567</v>
      </c>
      <c r="BJ134" t="s">
        <v>2179</v>
      </c>
      <c r="BK134" t="s">
        <v>1847</v>
      </c>
    </row>
    <row r="135" ht="25" customHeight="1" spans="1:61">
      <c r="A135" s="9">
        <v>134</v>
      </c>
      <c r="B135" s="9" t="s">
        <v>2180</v>
      </c>
      <c r="C135" s="9" t="s">
        <v>2181</v>
      </c>
      <c r="D135" s="9" t="s">
        <v>2182</v>
      </c>
      <c r="E135" s="10">
        <v>43447</v>
      </c>
      <c r="F135" s="9">
        <v>7.7344</v>
      </c>
      <c r="G135" s="9" t="s">
        <v>1561</v>
      </c>
      <c r="H135" s="9" t="s">
        <v>546</v>
      </c>
      <c r="I135" s="9">
        <v>70</v>
      </c>
      <c r="J135" s="9" t="s">
        <v>1562</v>
      </c>
      <c r="K135" s="9">
        <v>100</v>
      </c>
      <c r="L135" s="9">
        <v>100</v>
      </c>
      <c r="M135" s="11">
        <v>0.0461</v>
      </c>
      <c r="N135" s="11">
        <v>0.1097</v>
      </c>
      <c r="O135" s="11"/>
      <c r="P135" s="11">
        <v>0.142935646671277</v>
      </c>
      <c r="Q135" s="9">
        <v>38.34</v>
      </c>
      <c r="R135" s="9">
        <v>83.33</v>
      </c>
      <c r="S135" s="9">
        <v>56.34</v>
      </c>
      <c r="T135" s="11">
        <v>0.7692</v>
      </c>
      <c r="U135" s="11">
        <v>0.7857</v>
      </c>
      <c r="V135" s="11">
        <v>0.7946375</v>
      </c>
      <c r="W135" s="9">
        <v>76.92</v>
      </c>
      <c r="X135" s="9">
        <v>79.46375</v>
      </c>
      <c r="Y135" s="9">
        <v>77.94</v>
      </c>
      <c r="Z135" s="9">
        <v>0.0580604534005038</v>
      </c>
      <c r="AA135" s="9">
        <v>0.058</v>
      </c>
      <c r="AB135" s="9">
        <v>0.0580604534005038</v>
      </c>
      <c r="AC135" s="9">
        <v>40.06</v>
      </c>
      <c r="AD135" s="9">
        <v>0.794</v>
      </c>
      <c r="AE135" s="9"/>
      <c r="AF135" s="9"/>
      <c r="AG135" s="9">
        <v>28.62</v>
      </c>
      <c r="AH135" s="9"/>
      <c r="AI135" s="9">
        <v>28.62</v>
      </c>
      <c r="AJ135" s="9">
        <v>0.1097</v>
      </c>
      <c r="AK135" s="9">
        <v>80</v>
      </c>
      <c r="AL135" s="9">
        <v>88</v>
      </c>
      <c r="AM135" s="9">
        <v>62.82</v>
      </c>
      <c r="AN135" s="9">
        <v>40.06</v>
      </c>
      <c r="AO135" s="9">
        <v>28.62</v>
      </c>
      <c r="AP135" s="9">
        <v>80</v>
      </c>
      <c r="AQ135" s="12">
        <v>0.88</v>
      </c>
      <c r="AR135" s="9">
        <v>48.92989</v>
      </c>
      <c r="AS135" s="9">
        <v>55.6</v>
      </c>
      <c r="AT135" s="9">
        <v>183</v>
      </c>
      <c r="AU135" s="9" t="s">
        <v>1563</v>
      </c>
      <c r="AV135" s="9">
        <v>5</v>
      </c>
      <c r="AW135" s="9" t="s">
        <v>2183</v>
      </c>
      <c r="AX135" s="9">
        <v>46254</v>
      </c>
      <c r="AY135" s="9" t="s">
        <v>2184</v>
      </c>
      <c r="AZ135" s="9" t="s">
        <v>2185</v>
      </c>
      <c r="BA135" s="9">
        <v>46233</v>
      </c>
      <c r="BB135" s="9" t="s">
        <v>785</v>
      </c>
      <c r="BC135" s="9" t="s">
        <v>2186</v>
      </c>
      <c r="BD135" s="9" t="s">
        <v>1566</v>
      </c>
      <c r="BE135" s="13"/>
      <c r="BF135" s="13">
        <v>55.6</v>
      </c>
      <c r="BG135" s="12">
        <v>0.88</v>
      </c>
      <c r="BH135" s="9">
        <v>48.92989</v>
      </c>
      <c r="BI135" s="9" t="s">
        <v>1567</v>
      </c>
    </row>
    <row r="136" ht="25" customHeight="1" spans="1:61">
      <c r="A136" s="9">
        <v>135</v>
      </c>
      <c r="B136" s="9" t="s">
        <v>326</v>
      </c>
      <c r="C136" s="9" t="s">
        <v>327</v>
      </c>
      <c r="D136" s="9" t="s">
        <v>328</v>
      </c>
      <c r="E136" s="10">
        <v>43490</v>
      </c>
      <c r="F136" s="9">
        <v>7.6167</v>
      </c>
      <c r="G136" s="9" t="s">
        <v>1561</v>
      </c>
      <c r="H136" s="9" t="s">
        <v>542</v>
      </c>
      <c r="I136" s="9">
        <v>60</v>
      </c>
      <c r="J136" s="9" t="s">
        <v>1562</v>
      </c>
      <c r="K136" s="9">
        <v>100</v>
      </c>
      <c r="L136" s="9">
        <v>100</v>
      </c>
      <c r="M136" s="11">
        <v>0.144</v>
      </c>
      <c r="N136" s="11">
        <v>0.1204</v>
      </c>
      <c r="O136" s="11"/>
      <c r="P136" s="11">
        <v>0.108783202553923</v>
      </c>
      <c r="Q136" s="9">
        <v>84.03</v>
      </c>
      <c r="R136" s="9">
        <v>72.38</v>
      </c>
      <c r="S136" s="9">
        <v>79.37</v>
      </c>
      <c r="T136" s="11">
        <v>0.8462</v>
      </c>
      <c r="U136" s="11">
        <v>0.8333</v>
      </c>
      <c r="V136" s="11">
        <v>0.8263125</v>
      </c>
      <c r="W136" s="9">
        <v>84.62</v>
      </c>
      <c r="X136" s="9">
        <v>82.63125</v>
      </c>
      <c r="Y136" s="9">
        <v>83.82</v>
      </c>
      <c r="Z136" s="9">
        <v>0.00333259275716507</v>
      </c>
      <c r="AA136" s="9">
        <v>0.0046</v>
      </c>
      <c r="AB136" s="9">
        <v>0.0046</v>
      </c>
      <c r="AC136" s="9">
        <v>94.55</v>
      </c>
      <c r="AD136" s="9">
        <v>43.2096</v>
      </c>
      <c r="AE136" s="9">
        <v>0.0046</v>
      </c>
      <c r="AF136" s="9">
        <v>23.6485222943311</v>
      </c>
      <c r="AG136" s="9">
        <v>96.46</v>
      </c>
      <c r="AH136" s="9">
        <v>97.87</v>
      </c>
      <c r="AI136" s="9">
        <v>97.02</v>
      </c>
      <c r="AJ136" s="9">
        <v>0.1204</v>
      </c>
      <c r="AK136" s="9">
        <v>100</v>
      </c>
      <c r="AL136" s="9">
        <v>84</v>
      </c>
      <c r="AM136" s="9">
        <v>80.71</v>
      </c>
      <c r="AN136" s="9">
        <v>94.55</v>
      </c>
      <c r="AO136" s="9">
        <v>97.02</v>
      </c>
      <c r="AP136" s="9">
        <v>100</v>
      </c>
      <c r="AQ136" s="12">
        <v>1</v>
      </c>
      <c r="AR136" s="9">
        <v>91.48597</v>
      </c>
      <c r="AS136" s="9">
        <v>91.49</v>
      </c>
      <c r="AT136" s="9">
        <v>6</v>
      </c>
      <c r="AU136" s="9"/>
      <c r="AV136" s="9">
        <v>0</v>
      </c>
      <c r="AW136" s="9" t="s">
        <v>1359</v>
      </c>
      <c r="AX136" s="9">
        <v>45593</v>
      </c>
      <c r="AY136" s="9" t="s">
        <v>1361</v>
      </c>
      <c r="AZ136" s="9" t="s">
        <v>2187</v>
      </c>
      <c r="BA136" s="9">
        <v>45769</v>
      </c>
      <c r="BB136" s="9" t="s">
        <v>785</v>
      </c>
      <c r="BC136" s="9" t="s">
        <v>932</v>
      </c>
      <c r="BD136" s="9" t="s">
        <v>1566</v>
      </c>
      <c r="BE136" s="13">
        <v>91.48597</v>
      </c>
      <c r="BF136" s="13">
        <v>91.49</v>
      </c>
      <c r="BG136" s="12">
        <v>1</v>
      </c>
      <c r="BH136" s="9">
        <v>91.48597</v>
      </c>
      <c r="BI136" s="9" t="s">
        <v>1567</v>
      </c>
    </row>
    <row r="137" ht="25" customHeight="1" spans="1:61">
      <c r="A137" s="9">
        <v>136</v>
      </c>
      <c r="B137" s="9" t="s">
        <v>391</v>
      </c>
      <c r="C137" s="9" t="s">
        <v>392</v>
      </c>
      <c r="D137" s="9" t="s">
        <v>393</v>
      </c>
      <c r="E137" s="10">
        <v>43585</v>
      </c>
      <c r="F137" s="9">
        <v>7.3566</v>
      </c>
      <c r="G137" s="9" t="s">
        <v>1561</v>
      </c>
      <c r="H137" s="9" t="s">
        <v>551</v>
      </c>
      <c r="I137" s="9">
        <v>80</v>
      </c>
      <c r="J137" s="9" t="s">
        <v>1562</v>
      </c>
      <c r="K137" s="9">
        <v>100</v>
      </c>
      <c r="L137" s="9">
        <v>100</v>
      </c>
      <c r="M137" s="11">
        <v>0.0973</v>
      </c>
      <c r="N137" s="11">
        <v>0.0681</v>
      </c>
      <c r="O137" s="11"/>
      <c r="P137" s="11">
        <v>0.0537926933659447</v>
      </c>
      <c r="Q137" s="9">
        <v>72.52</v>
      </c>
      <c r="R137" s="9">
        <v>36.67</v>
      </c>
      <c r="S137" s="9">
        <v>58.18</v>
      </c>
      <c r="T137" s="11">
        <v>1</v>
      </c>
      <c r="U137" s="11">
        <v>0.8056</v>
      </c>
      <c r="V137" s="11">
        <v>0.7003</v>
      </c>
      <c r="W137" s="9">
        <v>100</v>
      </c>
      <c r="X137" s="9">
        <v>70.03</v>
      </c>
      <c r="Y137" s="9">
        <v>88.01</v>
      </c>
      <c r="Z137" s="9">
        <v>0.00872990238300316</v>
      </c>
      <c r="AA137" s="9">
        <v>0.0502</v>
      </c>
      <c r="AB137" s="9">
        <v>0.0502</v>
      </c>
      <c r="AC137" s="9">
        <v>44.55</v>
      </c>
      <c r="AD137" s="9">
        <v>11.1456</v>
      </c>
      <c r="AE137" s="9">
        <v>0.0502</v>
      </c>
      <c r="AF137" s="9">
        <v>1.07156759693117</v>
      </c>
      <c r="AG137" s="9">
        <v>82.64</v>
      </c>
      <c r="AH137" s="9">
        <v>39.01</v>
      </c>
      <c r="AI137" s="9">
        <v>65.19</v>
      </c>
      <c r="AJ137" s="9">
        <v>0.0681</v>
      </c>
      <c r="AK137" s="9">
        <v>100</v>
      </c>
      <c r="AL137" s="9">
        <v>92</v>
      </c>
      <c r="AM137" s="9">
        <v>67.13</v>
      </c>
      <c r="AN137" s="9">
        <v>44.55</v>
      </c>
      <c r="AO137" s="9">
        <v>65.19</v>
      </c>
      <c r="AP137" s="9">
        <v>100</v>
      </c>
      <c r="AQ137" s="12">
        <v>1</v>
      </c>
      <c r="AR137" s="9">
        <v>67.91982</v>
      </c>
      <c r="AS137" s="9">
        <v>67.92</v>
      </c>
      <c r="AT137" s="9">
        <v>116</v>
      </c>
      <c r="AU137" s="9"/>
      <c r="AV137" s="9">
        <v>10</v>
      </c>
      <c r="AW137" s="9" t="s">
        <v>1386</v>
      </c>
      <c r="AX137" s="9">
        <v>46202</v>
      </c>
      <c r="AY137" s="9" t="s">
        <v>1391</v>
      </c>
      <c r="AZ137" s="9" t="s">
        <v>2188</v>
      </c>
      <c r="BA137" s="9">
        <v>45555</v>
      </c>
      <c r="BB137" s="9" t="s">
        <v>785</v>
      </c>
      <c r="BC137" s="9" t="s">
        <v>951</v>
      </c>
      <c r="BD137" s="9" t="s">
        <v>1566</v>
      </c>
      <c r="BE137" s="13">
        <v>67.91982</v>
      </c>
      <c r="BF137" s="13">
        <v>67.92</v>
      </c>
      <c r="BG137" s="12">
        <v>1</v>
      </c>
      <c r="BH137" s="9">
        <v>67.91982</v>
      </c>
      <c r="BI137" s="9" t="s">
        <v>1567</v>
      </c>
    </row>
    <row r="138" ht="25" customHeight="1" spans="1:61">
      <c r="A138" s="9">
        <v>137</v>
      </c>
      <c r="B138" s="9" t="s">
        <v>2189</v>
      </c>
      <c r="C138" s="9" t="s">
        <v>2190</v>
      </c>
      <c r="D138" s="9" t="s">
        <v>355</v>
      </c>
      <c r="E138" s="10">
        <v>43980</v>
      </c>
      <c r="F138" s="9">
        <v>6.2752</v>
      </c>
      <c r="G138" s="9" t="s">
        <v>1561</v>
      </c>
      <c r="H138" s="9" t="s">
        <v>542</v>
      </c>
      <c r="I138" s="9">
        <v>60</v>
      </c>
      <c r="J138" s="9" t="s">
        <v>1562</v>
      </c>
      <c r="K138" s="9">
        <v>100</v>
      </c>
      <c r="L138" s="9">
        <v>100</v>
      </c>
      <c r="M138" s="11">
        <v>0.0874</v>
      </c>
      <c r="N138" s="11">
        <v>0.0466</v>
      </c>
      <c r="O138" s="11"/>
      <c r="P138" s="11">
        <v>0.0267777079563059</v>
      </c>
      <c r="Q138" s="9">
        <v>67.09</v>
      </c>
      <c r="R138" s="9">
        <v>13.81</v>
      </c>
      <c r="S138" s="9">
        <v>45.78</v>
      </c>
      <c r="T138" s="11">
        <v>0.8462</v>
      </c>
      <c r="U138" s="11">
        <v>0.7027</v>
      </c>
      <c r="V138" s="11">
        <v>0.624970833333333</v>
      </c>
      <c r="W138" s="9">
        <v>84.62</v>
      </c>
      <c r="X138" s="9">
        <v>62.4970833333333</v>
      </c>
      <c r="Y138" s="9">
        <v>75.77</v>
      </c>
      <c r="Z138" s="9">
        <v>0.00299871679624509</v>
      </c>
      <c r="AA138" s="9">
        <v>0.03</v>
      </c>
      <c r="AB138" s="9">
        <v>0.03</v>
      </c>
      <c r="AC138" s="9">
        <v>58.65</v>
      </c>
      <c r="AD138" s="9">
        <v>29.1458</v>
      </c>
      <c r="AE138" s="9">
        <v>0.03</v>
      </c>
      <c r="AF138" s="9">
        <v>0.892590265210195</v>
      </c>
      <c r="AG138" s="9">
        <v>93.89</v>
      </c>
      <c r="AH138" s="9">
        <v>31.21</v>
      </c>
      <c r="AI138" s="9">
        <v>68.82</v>
      </c>
      <c r="AJ138" s="9">
        <v>0.0466</v>
      </c>
      <c r="AK138" s="9">
        <v>100</v>
      </c>
      <c r="AL138" s="9">
        <v>84</v>
      </c>
      <c r="AM138" s="9">
        <v>54.78</v>
      </c>
      <c r="AN138" s="9">
        <v>58.65</v>
      </c>
      <c r="AO138" s="9">
        <v>68.82</v>
      </c>
      <c r="AP138" s="9">
        <v>100</v>
      </c>
      <c r="AQ138" s="12">
        <v>1</v>
      </c>
      <c r="AR138" s="9">
        <v>68.86307</v>
      </c>
      <c r="AS138" s="9">
        <v>68.86</v>
      </c>
      <c r="AT138" s="9">
        <v>112</v>
      </c>
      <c r="AU138" s="9"/>
      <c r="AV138" s="9">
        <v>0</v>
      </c>
      <c r="AW138" s="9" t="s">
        <v>1371</v>
      </c>
      <c r="AX138" s="9">
        <v>46148</v>
      </c>
      <c r="AY138" s="9" t="s">
        <v>1373</v>
      </c>
      <c r="AZ138" s="9" t="s">
        <v>2191</v>
      </c>
      <c r="BA138" s="9">
        <v>45855</v>
      </c>
      <c r="BB138" s="9" t="s">
        <v>785</v>
      </c>
      <c r="BC138" s="9" t="s">
        <v>2192</v>
      </c>
      <c r="BD138" s="9" t="s">
        <v>1566</v>
      </c>
      <c r="BE138" s="13">
        <v>68.86307</v>
      </c>
      <c r="BF138" s="13">
        <v>68.86</v>
      </c>
      <c r="BG138" s="12">
        <v>1</v>
      </c>
      <c r="BH138" s="9">
        <v>68.86307</v>
      </c>
      <c r="BI138" s="9" t="s">
        <v>1567</v>
      </c>
    </row>
    <row r="139" ht="25" customHeight="1" spans="1:61">
      <c r="A139" s="9">
        <v>138</v>
      </c>
      <c r="B139" s="9" t="s">
        <v>2193</v>
      </c>
      <c r="C139" s="9" t="s">
        <v>2194</v>
      </c>
      <c r="D139" s="9" t="s">
        <v>1574</v>
      </c>
      <c r="E139" s="10">
        <v>44026</v>
      </c>
      <c r="F139" s="9">
        <v>6.1492</v>
      </c>
      <c r="G139" s="9" t="s">
        <v>1561</v>
      </c>
      <c r="H139" s="9" t="s">
        <v>572</v>
      </c>
      <c r="I139" s="9">
        <v>100</v>
      </c>
      <c r="J139" s="9" t="s">
        <v>1562</v>
      </c>
      <c r="K139" s="9">
        <v>100</v>
      </c>
      <c r="L139" s="9">
        <v>100</v>
      </c>
      <c r="M139" s="11">
        <v>0.0514</v>
      </c>
      <c r="N139" s="11">
        <v>0.0966</v>
      </c>
      <c r="O139" s="11"/>
      <c r="P139" s="11">
        <v>0.119923546899409</v>
      </c>
      <c r="Q139" s="9">
        <v>42.49</v>
      </c>
      <c r="R139" s="9">
        <v>76.67</v>
      </c>
      <c r="S139" s="9">
        <v>56.16</v>
      </c>
      <c r="T139" s="11">
        <v>0.6154</v>
      </c>
      <c r="U139" s="11">
        <v>0.6944</v>
      </c>
      <c r="V139" s="11">
        <v>0.737191666666667</v>
      </c>
      <c r="W139" s="9">
        <v>61.54</v>
      </c>
      <c r="X139" s="9">
        <v>73.7191666666667</v>
      </c>
      <c r="Y139" s="9">
        <v>66.41</v>
      </c>
      <c r="Z139" s="9">
        <v>0.0371655820679682</v>
      </c>
      <c r="AA139" s="9">
        <v>0.1318</v>
      </c>
      <c r="AB139" s="9">
        <v>0.1318</v>
      </c>
      <c r="AC139" s="9">
        <v>18.59</v>
      </c>
      <c r="AD139" s="9">
        <v>1.383</v>
      </c>
      <c r="AE139" s="9">
        <v>0.1318</v>
      </c>
      <c r="AF139" s="9">
        <v>0.909890340663195</v>
      </c>
      <c r="AG139" s="9">
        <v>35.05</v>
      </c>
      <c r="AH139" s="9">
        <v>33.33</v>
      </c>
      <c r="AI139" s="9">
        <v>34.36</v>
      </c>
      <c r="AJ139" s="9">
        <v>0.0966</v>
      </c>
      <c r="AK139" s="9">
        <v>80</v>
      </c>
      <c r="AL139" s="9">
        <v>100</v>
      </c>
      <c r="AM139" s="9">
        <v>59.24</v>
      </c>
      <c r="AN139" s="9">
        <v>18.59</v>
      </c>
      <c r="AO139" s="9">
        <v>34.36</v>
      </c>
      <c r="AP139" s="9">
        <v>80</v>
      </c>
      <c r="AQ139" s="12">
        <v>1</v>
      </c>
      <c r="AR139" s="9">
        <v>49.80348</v>
      </c>
      <c r="AS139" s="9">
        <v>49.8</v>
      </c>
      <c r="AT139" s="9">
        <v>221</v>
      </c>
      <c r="AU139" s="9"/>
      <c r="AV139" s="9">
        <v>100</v>
      </c>
      <c r="AW139" s="9" t="s">
        <v>1575</v>
      </c>
      <c r="AX139" s="9">
        <v>46140</v>
      </c>
      <c r="AY139" s="9" t="s">
        <v>1576</v>
      </c>
      <c r="AZ139" s="9" t="s">
        <v>2195</v>
      </c>
      <c r="BA139" s="9">
        <v>46174</v>
      </c>
      <c r="BB139" s="9" t="s">
        <v>785</v>
      </c>
      <c r="BC139" s="9" t="s">
        <v>2196</v>
      </c>
      <c r="BD139" s="9" t="s">
        <v>1566</v>
      </c>
      <c r="BE139" s="13">
        <v>49.80348</v>
      </c>
      <c r="BF139" s="13">
        <v>49.8</v>
      </c>
      <c r="BG139" s="12">
        <v>1</v>
      </c>
      <c r="BH139" s="9">
        <v>49.80348</v>
      </c>
      <c r="BI139" s="9" t="s">
        <v>1567</v>
      </c>
    </row>
    <row r="140" ht="25" customHeight="1" spans="1:61">
      <c r="A140" s="9">
        <v>139</v>
      </c>
      <c r="B140" s="9" t="s">
        <v>2197</v>
      </c>
      <c r="C140" s="9" t="s">
        <v>2198</v>
      </c>
      <c r="D140" s="9" t="s">
        <v>1619</v>
      </c>
      <c r="E140" s="10">
        <v>44074</v>
      </c>
      <c r="F140" s="9">
        <v>6.0178</v>
      </c>
      <c r="G140" s="9" t="s">
        <v>1561</v>
      </c>
      <c r="H140" s="9" t="s">
        <v>561</v>
      </c>
      <c r="I140" s="9">
        <v>90</v>
      </c>
      <c r="J140" s="9" t="s">
        <v>1562</v>
      </c>
      <c r="K140" s="9">
        <v>100</v>
      </c>
      <c r="L140" s="9">
        <v>100</v>
      </c>
      <c r="M140" s="11">
        <v>-0.4016</v>
      </c>
      <c r="N140" s="11">
        <v>-0.1737</v>
      </c>
      <c r="O140" s="11"/>
      <c r="P140" s="11">
        <v>-0.0290187654236574</v>
      </c>
      <c r="Q140" s="9">
        <v>0.32</v>
      </c>
      <c r="R140" s="9">
        <v>0.95</v>
      </c>
      <c r="S140" s="9">
        <v>0.57</v>
      </c>
      <c r="T140" s="11">
        <v>0.5385</v>
      </c>
      <c r="U140" s="11">
        <v>0.4167</v>
      </c>
      <c r="V140" s="11">
        <v>0.350725</v>
      </c>
      <c r="W140" s="9">
        <v>53.85</v>
      </c>
      <c r="X140" s="9">
        <v>35.0725</v>
      </c>
      <c r="Y140" s="9">
        <v>46.34</v>
      </c>
      <c r="Z140" s="9">
        <v>0.499254102436599</v>
      </c>
      <c r="AA140" s="9">
        <v>0.5484</v>
      </c>
      <c r="AB140" s="9">
        <v>0.5484</v>
      </c>
      <c r="AC140" s="9">
        <v>0.64</v>
      </c>
      <c r="AD140" s="9">
        <v>-0.8044</v>
      </c>
      <c r="AE140" s="9">
        <v>0.5484</v>
      </c>
      <c r="AF140" s="9">
        <v>-0.0529153271766182</v>
      </c>
      <c r="AG140" s="9">
        <v>2.25</v>
      </c>
      <c r="AH140" s="9">
        <v>3.55</v>
      </c>
      <c r="AI140" s="9">
        <v>2.77</v>
      </c>
      <c r="AJ140" s="9">
        <v>-0.1737</v>
      </c>
      <c r="AK140" s="9">
        <v>60</v>
      </c>
      <c r="AL140" s="9">
        <v>96</v>
      </c>
      <c r="AM140" s="9">
        <v>14.3</v>
      </c>
      <c r="AN140" s="9">
        <v>0.64</v>
      </c>
      <c r="AO140" s="9">
        <v>2.77</v>
      </c>
      <c r="AP140" s="9">
        <v>60</v>
      </c>
      <c r="AQ140" s="12">
        <v>1</v>
      </c>
      <c r="AR140" s="9">
        <v>24.25142</v>
      </c>
      <c r="AS140" s="9">
        <v>24.25</v>
      </c>
      <c r="AT140" s="9">
        <v>309</v>
      </c>
      <c r="AU140" s="9"/>
      <c r="AV140" s="9">
        <v>50</v>
      </c>
      <c r="AW140" s="9" t="s">
        <v>1621</v>
      </c>
      <c r="AX140" s="9">
        <v>45667</v>
      </c>
      <c r="AY140" s="9" t="s">
        <v>1622</v>
      </c>
      <c r="AZ140" s="9" t="s">
        <v>2199</v>
      </c>
      <c r="BA140" s="9">
        <v>45839</v>
      </c>
      <c r="BB140" s="9" t="s">
        <v>785</v>
      </c>
      <c r="BC140" s="9" t="s">
        <v>2200</v>
      </c>
      <c r="BD140" s="9" t="s">
        <v>1566</v>
      </c>
      <c r="BE140" s="13">
        <v>24.25142</v>
      </c>
      <c r="BF140" s="13">
        <v>24.25</v>
      </c>
      <c r="BG140" s="12">
        <v>1</v>
      </c>
      <c r="BH140" s="9">
        <v>24.25142</v>
      </c>
      <c r="BI140" s="9" t="s">
        <v>1567</v>
      </c>
    </row>
    <row r="141" ht="25" customHeight="1" spans="1:61">
      <c r="A141" s="9">
        <v>140</v>
      </c>
      <c r="B141" s="9" t="s">
        <v>2201</v>
      </c>
      <c r="C141" s="9" t="s">
        <v>2202</v>
      </c>
      <c r="D141" s="9" t="s">
        <v>1619</v>
      </c>
      <c r="E141" s="10">
        <v>44174</v>
      </c>
      <c r="F141" s="9">
        <v>5.744</v>
      </c>
      <c r="G141" s="9" t="s">
        <v>1561</v>
      </c>
      <c r="H141" s="9" t="s">
        <v>561</v>
      </c>
      <c r="I141" s="9">
        <v>90</v>
      </c>
      <c r="J141" s="9" t="s">
        <v>1562</v>
      </c>
      <c r="K141" s="9">
        <v>100</v>
      </c>
      <c r="L141" s="9">
        <v>100</v>
      </c>
      <c r="M141" s="11">
        <v>0.5206</v>
      </c>
      <c r="N141" s="11">
        <v>0.3467</v>
      </c>
      <c r="O141" s="11"/>
      <c r="P141" s="11">
        <v>0.267356501547349</v>
      </c>
      <c r="Q141" s="9">
        <v>99.04</v>
      </c>
      <c r="R141" s="9">
        <v>97.14</v>
      </c>
      <c r="S141" s="9">
        <v>98.28</v>
      </c>
      <c r="T141" s="11">
        <v>0.6923</v>
      </c>
      <c r="U141" s="11">
        <v>0.7027</v>
      </c>
      <c r="V141" s="11">
        <v>0.708333333333333</v>
      </c>
      <c r="W141" s="9">
        <v>69.23</v>
      </c>
      <c r="X141" s="9">
        <v>70.8333333333333</v>
      </c>
      <c r="Y141" s="9">
        <v>69.87</v>
      </c>
      <c r="Z141" s="9">
        <v>0.29257052939193</v>
      </c>
      <c r="AA141" s="9">
        <v>0.2926</v>
      </c>
      <c r="AB141" s="9">
        <v>0.2926</v>
      </c>
      <c r="AC141" s="9">
        <v>4.49</v>
      </c>
      <c r="AD141" s="9">
        <v>1.7794</v>
      </c>
      <c r="AE141" s="9"/>
      <c r="AF141" s="9"/>
      <c r="AG141" s="9">
        <v>41.16</v>
      </c>
      <c r="AH141" s="9"/>
      <c r="AI141" s="9">
        <v>41.16</v>
      </c>
      <c r="AJ141" s="9">
        <v>0.3467</v>
      </c>
      <c r="AK141" s="9">
        <v>100</v>
      </c>
      <c r="AL141" s="9">
        <v>96</v>
      </c>
      <c r="AM141" s="9">
        <v>89.76</v>
      </c>
      <c r="AN141" s="9">
        <v>4.49</v>
      </c>
      <c r="AO141" s="9">
        <v>41.16</v>
      </c>
      <c r="AP141" s="9">
        <v>100</v>
      </c>
      <c r="AQ141" s="12">
        <v>0.88</v>
      </c>
      <c r="AR141" s="9">
        <v>50.88278</v>
      </c>
      <c r="AS141" s="9">
        <v>57.82</v>
      </c>
      <c r="AT141" s="9">
        <v>171</v>
      </c>
      <c r="AU141" s="9" t="s">
        <v>1563</v>
      </c>
      <c r="AV141" s="9">
        <v>50</v>
      </c>
      <c r="AW141" s="9" t="s">
        <v>1621</v>
      </c>
      <c r="AX141" s="9">
        <v>45667</v>
      </c>
      <c r="AY141" s="9" t="s">
        <v>1622</v>
      </c>
      <c r="AZ141" s="9" t="s">
        <v>2203</v>
      </c>
      <c r="BA141" s="9">
        <v>45124</v>
      </c>
      <c r="BB141" s="9" t="s">
        <v>785</v>
      </c>
      <c r="BC141" s="9" t="s">
        <v>2204</v>
      </c>
      <c r="BD141" s="9" t="s">
        <v>1566</v>
      </c>
      <c r="BE141" s="13"/>
      <c r="BF141" s="13">
        <v>57.82</v>
      </c>
      <c r="BG141" s="12">
        <v>0.88</v>
      </c>
      <c r="BH141" s="9">
        <v>50.88278</v>
      </c>
      <c r="BI141" s="9" t="s">
        <v>1567</v>
      </c>
    </row>
    <row r="142" ht="25" customHeight="1" spans="1:61">
      <c r="A142" s="9">
        <v>141</v>
      </c>
      <c r="B142" s="9" t="s">
        <v>217</v>
      </c>
      <c r="C142" s="9" t="s">
        <v>218</v>
      </c>
      <c r="D142" s="9" t="s">
        <v>219</v>
      </c>
      <c r="E142" s="10">
        <v>44271</v>
      </c>
      <c r="F142" s="9">
        <v>5.4784</v>
      </c>
      <c r="G142" s="9" t="s">
        <v>1561</v>
      </c>
      <c r="H142" s="9" t="s">
        <v>546</v>
      </c>
      <c r="I142" s="9">
        <v>70</v>
      </c>
      <c r="J142" s="9" t="s">
        <v>1562</v>
      </c>
      <c r="K142" s="9">
        <v>100</v>
      </c>
      <c r="L142" s="9">
        <v>100</v>
      </c>
      <c r="M142" s="11">
        <v>0.1342</v>
      </c>
      <c r="N142" s="11">
        <v>0.1331</v>
      </c>
      <c r="O142" s="11"/>
      <c r="P142" s="11">
        <v>0.132550400126408</v>
      </c>
      <c r="Q142" s="9">
        <v>81.47</v>
      </c>
      <c r="R142" s="9">
        <v>81.9</v>
      </c>
      <c r="S142" s="9">
        <v>81.64</v>
      </c>
      <c r="T142" s="11">
        <v>1</v>
      </c>
      <c r="U142" s="11">
        <v>0.8919</v>
      </c>
      <c r="V142" s="11">
        <v>0.833345833333333</v>
      </c>
      <c r="W142" s="9">
        <v>100</v>
      </c>
      <c r="X142" s="9">
        <v>83.3345833333333</v>
      </c>
      <c r="Y142" s="9">
        <v>93.33</v>
      </c>
      <c r="Z142" s="9">
        <v>0.00350054386244063</v>
      </c>
      <c r="AA142" s="9">
        <v>0.0249</v>
      </c>
      <c r="AB142" s="9">
        <v>0.0249</v>
      </c>
      <c r="AC142" s="9">
        <v>66.35</v>
      </c>
      <c r="AD142" s="9">
        <v>38.3369</v>
      </c>
      <c r="AE142" s="9">
        <v>0.0249</v>
      </c>
      <c r="AF142" s="9">
        <v>5.3233092420244</v>
      </c>
      <c r="AG142" s="9">
        <v>95.5</v>
      </c>
      <c r="AH142" s="9">
        <v>85.11</v>
      </c>
      <c r="AI142" s="9">
        <v>91.34</v>
      </c>
      <c r="AJ142" s="9">
        <v>0.1331</v>
      </c>
      <c r="AK142" s="9">
        <v>100</v>
      </c>
      <c r="AL142" s="9">
        <v>88</v>
      </c>
      <c r="AM142" s="9">
        <v>85.15</v>
      </c>
      <c r="AN142" s="9">
        <v>66.35</v>
      </c>
      <c r="AO142" s="9">
        <v>91.34</v>
      </c>
      <c r="AP142" s="9">
        <v>100</v>
      </c>
      <c r="AQ142" s="12">
        <v>1</v>
      </c>
      <c r="AR142" s="9">
        <v>84.22061</v>
      </c>
      <c r="AS142" s="9">
        <v>84.22</v>
      </c>
      <c r="AT142" s="9">
        <v>28</v>
      </c>
      <c r="AU142" s="9"/>
      <c r="AV142" s="9">
        <v>5</v>
      </c>
      <c r="AW142" s="9" t="s">
        <v>1313</v>
      </c>
      <c r="AX142" s="9">
        <v>46224</v>
      </c>
      <c r="AY142" s="9" t="s">
        <v>1317</v>
      </c>
      <c r="AZ142" s="9" t="s">
        <v>2205</v>
      </c>
      <c r="BA142" s="9">
        <v>45859</v>
      </c>
      <c r="BB142" s="9" t="s">
        <v>785</v>
      </c>
      <c r="BC142" s="9" t="s">
        <v>893</v>
      </c>
      <c r="BD142" s="9" t="s">
        <v>1566</v>
      </c>
      <c r="BE142" s="13">
        <v>84.22061</v>
      </c>
      <c r="BF142" s="13">
        <v>84.22</v>
      </c>
      <c r="BG142" s="12">
        <v>1</v>
      </c>
      <c r="BH142" s="9">
        <v>84.22061</v>
      </c>
      <c r="BI142" s="9" t="s">
        <v>1567</v>
      </c>
    </row>
    <row r="143" ht="25" customHeight="1" spans="1:61">
      <c r="A143" s="9">
        <v>142</v>
      </c>
      <c r="B143" s="9" t="s">
        <v>2206</v>
      </c>
      <c r="C143" s="9" t="s">
        <v>2207</v>
      </c>
      <c r="D143" s="9" t="s">
        <v>2208</v>
      </c>
      <c r="E143" s="10">
        <v>44285</v>
      </c>
      <c r="F143" s="9">
        <v>5.4401</v>
      </c>
      <c r="G143" s="9" t="s">
        <v>1561</v>
      </c>
      <c r="H143" s="9" t="s">
        <v>546</v>
      </c>
      <c r="I143" s="9">
        <v>70</v>
      </c>
      <c r="J143" s="9" t="s">
        <v>1562</v>
      </c>
      <c r="K143" s="9">
        <v>100</v>
      </c>
      <c r="L143" s="9">
        <v>100</v>
      </c>
      <c r="M143" s="11">
        <v>0.1376</v>
      </c>
      <c r="N143" s="11">
        <v>0.1231</v>
      </c>
      <c r="O143" s="11"/>
      <c r="P143" s="11">
        <v>0.115919455035041</v>
      </c>
      <c r="Q143" s="9">
        <v>82.11</v>
      </c>
      <c r="R143" s="9">
        <v>75.24</v>
      </c>
      <c r="S143" s="9">
        <v>79.36</v>
      </c>
      <c r="T143" s="11">
        <v>0.6923</v>
      </c>
      <c r="U143" s="11">
        <v>0.7297</v>
      </c>
      <c r="V143" s="11">
        <v>0.749958333333333</v>
      </c>
      <c r="W143" s="9">
        <v>69.23</v>
      </c>
      <c r="X143" s="9">
        <v>74.9958333333333</v>
      </c>
      <c r="Y143" s="9">
        <v>71.54</v>
      </c>
      <c r="Z143" s="9">
        <v>0.173387096774194</v>
      </c>
      <c r="AA143" s="9">
        <v>0.1734</v>
      </c>
      <c r="AB143" s="9">
        <v>0.1734</v>
      </c>
      <c r="AC143" s="9">
        <v>13.46</v>
      </c>
      <c r="AD143" s="9">
        <v>0.7936</v>
      </c>
      <c r="AE143" s="9"/>
      <c r="AF143" s="9"/>
      <c r="AG143" s="9">
        <v>28.3</v>
      </c>
      <c r="AH143" s="9"/>
      <c r="AI143" s="9">
        <v>28.3</v>
      </c>
      <c r="AJ143" s="9">
        <v>0.1231</v>
      </c>
      <c r="AK143" s="9">
        <v>100</v>
      </c>
      <c r="AL143" s="9">
        <v>88</v>
      </c>
      <c r="AM143" s="9">
        <v>77.01</v>
      </c>
      <c r="AN143" s="9">
        <v>13.46</v>
      </c>
      <c r="AO143" s="9">
        <v>28.3</v>
      </c>
      <c r="AP143" s="9">
        <v>100</v>
      </c>
      <c r="AQ143" s="12">
        <v>0.88</v>
      </c>
      <c r="AR143" s="9">
        <v>47.06186</v>
      </c>
      <c r="AS143" s="9">
        <v>53.48</v>
      </c>
      <c r="AT143" s="9">
        <v>201</v>
      </c>
      <c r="AU143" s="9" t="s">
        <v>1563</v>
      </c>
      <c r="AV143" s="9">
        <v>5</v>
      </c>
      <c r="AW143" s="9" t="s">
        <v>2209</v>
      </c>
      <c r="AX143" s="9">
        <v>46027</v>
      </c>
      <c r="AY143" s="9" t="s">
        <v>2210</v>
      </c>
      <c r="AZ143" s="9" t="s">
        <v>2211</v>
      </c>
      <c r="BA143" s="9">
        <v>44566</v>
      </c>
      <c r="BB143" s="9" t="s">
        <v>785</v>
      </c>
      <c r="BC143" s="9" t="s">
        <v>2212</v>
      </c>
      <c r="BD143" s="9" t="s">
        <v>1566</v>
      </c>
      <c r="BE143" s="13"/>
      <c r="BF143" s="13">
        <v>53.48</v>
      </c>
      <c r="BG143" s="12">
        <v>0.88</v>
      </c>
      <c r="BH143" s="9">
        <v>47.06186</v>
      </c>
      <c r="BI143" s="9" t="s">
        <v>1567</v>
      </c>
    </row>
    <row r="144" ht="25" customHeight="1" spans="1:61">
      <c r="A144" s="9">
        <v>143</v>
      </c>
      <c r="B144" s="9" t="s">
        <v>229</v>
      </c>
      <c r="C144" s="9" t="s">
        <v>231</v>
      </c>
      <c r="D144" s="9" t="s">
        <v>232</v>
      </c>
      <c r="E144" s="10">
        <v>44323</v>
      </c>
      <c r="F144" s="9">
        <v>5.3361</v>
      </c>
      <c r="G144" s="9" t="s">
        <v>1561</v>
      </c>
      <c r="H144" s="9" t="s">
        <v>542</v>
      </c>
      <c r="I144" s="9">
        <v>60</v>
      </c>
      <c r="J144" s="9" t="s">
        <v>1562</v>
      </c>
      <c r="K144" s="9">
        <v>100</v>
      </c>
      <c r="L144" s="9">
        <v>100</v>
      </c>
      <c r="M144" s="11">
        <v>0.1069</v>
      </c>
      <c r="N144" s="11">
        <v>0.0804</v>
      </c>
      <c r="O144" s="11"/>
      <c r="P144" s="11">
        <v>0.0673888689782063</v>
      </c>
      <c r="Q144" s="9">
        <v>75.08</v>
      </c>
      <c r="R144" s="9">
        <v>49.52</v>
      </c>
      <c r="S144" s="9">
        <v>64.86</v>
      </c>
      <c r="T144" s="11">
        <v>1</v>
      </c>
      <c r="U144" s="11">
        <v>0.973</v>
      </c>
      <c r="V144" s="11">
        <v>0.958375</v>
      </c>
      <c r="W144" s="9">
        <v>100</v>
      </c>
      <c r="X144" s="9">
        <v>95.8375</v>
      </c>
      <c r="Y144" s="9">
        <v>98.34</v>
      </c>
      <c r="Z144" s="9">
        <v>0.00826817025160297</v>
      </c>
      <c r="AA144" s="9">
        <v>0.0083</v>
      </c>
      <c r="AB144" s="9">
        <v>0.0083</v>
      </c>
      <c r="AC144" s="9">
        <v>86.86</v>
      </c>
      <c r="AD144" s="9">
        <v>12.9291</v>
      </c>
      <c r="AE144" s="9"/>
      <c r="AF144" s="9"/>
      <c r="AG144" s="9">
        <v>85.21</v>
      </c>
      <c r="AH144" s="9"/>
      <c r="AI144" s="9">
        <v>85.21</v>
      </c>
      <c r="AJ144" s="9">
        <v>0.0804</v>
      </c>
      <c r="AK144" s="9">
        <v>100</v>
      </c>
      <c r="AL144" s="9">
        <v>84</v>
      </c>
      <c r="AM144" s="9">
        <v>74.9</v>
      </c>
      <c r="AN144" s="9">
        <v>86.86</v>
      </c>
      <c r="AO144" s="9">
        <v>85.21</v>
      </c>
      <c r="AP144" s="9">
        <v>100</v>
      </c>
      <c r="AQ144" s="12">
        <v>0.88</v>
      </c>
      <c r="AR144" s="9">
        <v>74.63274</v>
      </c>
      <c r="AS144" s="9">
        <v>84.81</v>
      </c>
      <c r="AT144" s="9">
        <v>26</v>
      </c>
      <c r="AU144" s="9" t="s">
        <v>1563</v>
      </c>
      <c r="AV144" s="9">
        <v>0</v>
      </c>
      <c r="AW144" s="9" t="s">
        <v>1322</v>
      </c>
      <c r="AX144" s="9">
        <v>45471</v>
      </c>
      <c r="AY144" s="9" t="s">
        <v>1324</v>
      </c>
      <c r="AZ144" s="9" t="s">
        <v>2213</v>
      </c>
      <c r="BA144" s="9">
        <v>45603</v>
      </c>
      <c r="BB144" s="9" t="s">
        <v>785</v>
      </c>
      <c r="BC144" s="9" t="s">
        <v>896</v>
      </c>
      <c r="BD144" s="9" t="s">
        <v>1566</v>
      </c>
      <c r="BE144" s="13"/>
      <c r="BF144" s="13">
        <v>84.81</v>
      </c>
      <c r="BG144" s="12">
        <v>0.88</v>
      </c>
      <c r="BH144" s="9">
        <v>74.63274</v>
      </c>
      <c r="BI144" s="9" t="s">
        <v>1567</v>
      </c>
    </row>
    <row r="145" ht="25" customHeight="1" spans="1:61">
      <c r="A145" s="9">
        <v>144</v>
      </c>
      <c r="B145" s="9" t="s">
        <v>2214</v>
      </c>
      <c r="C145" s="9" t="s">
        <v>2215</v>
      </c>
      <c r="D145" s="9" t="s">
        <v>2216</v>
      </c>
      <c r="E145" s="10">
        <v>44389</v>
      </c>
      <c r="F145" s="9">
        <v>5.1554</v>
      </c>
      <c r="G145" s="9" t="s">
        <v>1561</v>
      </c>
      <c r="H145" s="9" t="s">
        <v>542</v>
      </c>
      <c r="I145" s="9">
        <v>60</v>
      </c>
      <c r="J145" s="9" t="s">
        <v>1562</v>
      </c>
      <c r="K145" s="9">
        <v>100</v>
      </c>
      <c r="L145" s="9">
        <v>100</v>
      </c>
      <c r="M145" s="11">
        <v>0.1041</v>
      </c>
      <c r="N145" s="11">
        <v>0.0546</v>
      </c>
      <c r="O145" s="11"/>
      <c r="P145" s="11">
        <v>0.0306885359785598</v>
      </c>
      <c r="Q145" s="9">
        <v>73.48</v>
      </c>
      <c r="R145" s="9">
        <v>16.67</v>
      </c>
      <c r="S145" s="9">
        <v>50.76</v>
      </c>
      <c r="T145" s="11">
        <v>0.8462</v>
      </c>
      <c r="U145" s="11">
        <v>0.5946</v>
      </c>
      <c r="V145" s="11">
        <v>0.458316666666667</v>
      </c>
      <c r="W145" s="9">
        <v>84.62</v>
      </c>
      <c r="X145" s="9">
        <v>45.8316666666667</v>
      </c>
      <c r="Y145" s="9">
        <v>69.1</v>
      </c>
      <c r="Z145" s="9">
        <v>0.0668207202002696</v>
      </c>
      <c r="AA145" s="9">
        <v>0.133</v>
      </c>
      <c r="AB145" s="9">
        <v>0.133</v>
      </c>
      <c r="AC145" s="9">
        <v>17.63</v>
      </c>
      <c r="AD145" s="9">
        <v>1.5579</v>
      </c>
      <c r="AE145" s="9">
        <v>0.133</v>
      </c>
      <c r="AF145" s="9">
        <v>0.230740872019247</v>
      </c>
      <c r="AG145" s="9">
        <v>37.3</v>
      </c>
      <c r="AH145" s="9">
        <v>10.64</v>
      </c>
      <c r="AI145" s="9">
        <v>26.64</v>
      </c>
      <c r="AJ145" s="9">
        <v>0.0546</v>
      </c>
      <c r="AK145" s="9">
        <v>100</v>
      </c>
      <c r="AL145" s="9">
        <v>84</v>
      </c>
      <c r="AM145" s="9">
        <v>56.26</v>
      </c>
      <c r="AN145" s="9">
        <v>17.63</v>
      </c>
      <c r="AO145" s="9">
        <v>26.64</v>
      </c>
      <c r="AP145" s="9">
        <v>100</v>
      </c>
      <c r="AQ145" s="12">
        <v>1</v>
      </c>
      <c r="AR145" s="9">
        <v>46.25042</v>
      </c>
      <c r="AS145" s="9">
        <v>46.25</v>
      </c>
      <c r="AT145" s="9">
        <v>238</v>
      </c>
      <c r="AU145" s="9"/>
      <c r="AV145" s="9">
        <v>0</v>
      </c>
      <c r="AW145" s="9" t="s">
        <v>2217</v>
      </c>
      <c r="AX145" s="9">
        <v>46066</v>
      </c>
      <c r="AY145" s="9" t="s">
        <v>2218</v>
      </c>
      <c r="AZ145" s="9" t="s">
        <v>2219</v>
      </c>
      <c r="BA145" s="9">
        <v>45861</v>
      </c>
      <c r="BB145" s="9" t="s">
        <v>785</v>
      </c>
      <c r="BC145" s="9" t="s">
        <v>2220</v>
      </c>
      <c r="BD145" s="9" t="s">
        <v>1566</v>
      </c>
      <c r="BE145" s="13">
        <v>46.25042</v>
      </c>
      <c r="BF145" s="13">
        <v>46.25</v>
      </c>
      <c r="BG145" s="12">
        <v>1</v>
      </c>
      <c r="BH145" s="9">
        <v>46.25042</v>
      </c>
      <c r="BI145" s="9" t="s">
        <v>1567</v>
      </c>
    </row>
    <row r="146" ht="25" customHeight="1" spans="1:61">
      <c r="A146" s="9">
        <v>145</v>
      </c>
      <c r="B146" s="9" t="s">
        <v>353</v>
      </c>
      <c r="C146" s="9" t="s">
        <v>354</v>
      </c>
      <c r="D146" s="9" t="s">
        <v>355</v>
      </c>
      <c r="E146" s="10">
        <v>43980</v>
      </c>
      <c r="F146" s="9">
        <v>6.2752</v>
      </c>
      <c r="G146" s="9" t="s">
        <v>1561</v>
      </c>
      <c r="H146" s="9" t="s">
        <v>542</v>
      </c>
      <c r="I146" s="9">
        <v>60</v>
      </c>
      <c r="J146" s="9" t="s">
        <v>1562</v>
      </c>
      <c r="K146" s="9">
        <v>100</v>
      </c>
      <c r="L146" s="9">
        <v>100</v>
      </c>
      <c r="M146" s="11">
        <v>0.0817</v>
      </c>
      <c r="N146" s="11">
        <v>0.0426</v>
      </c>
      <c r="O146" s="11"/>
      <c r="P146" s="11">
        <v>0.0235832396056463</v>
      </c>
      <c r="Q146" s="9">
        <v>61.98</v>
      </c>
      <c r="R146" s="9">
        <v>10</v>
      </c>
      <c r="S146" s="9">
        <v>41.19</v>
      </c>
      <c r="T146" s="11">
        <v>0.8462</v>
      </c>
      <c r="U146" s="11">
        <v>0.7027</v>
      </c>
      <c r="V146" s="11">
        <v>0.624970833333333</v>
      </c>
      <c r="W146" s="9">
        <v>84.62</v>
      </c>
      <c r="X146" s="9">
        <v>62.4970833333333</v>
      </c>
      <c r="Y146" s="9">
        <v>75.77</v>
      </c>
      <c r="Z146" s="9">
        <v>0.00485803478519399</v>
      </c>
      <c r="AA146" s="9">
        <v>0.031</v>
      </c>
      <c r="AB146" s="9">
        <v>0.031</v>
      </c>
      <c r="AC146" s="9">
        <v>58.01</v>
      </c>
      <c r="AD146" s="9">
        <v>16.8175</v>
      </c>
      <c r="AE146" s="9">
        <v>0.031</v>
      </c>
      <c r="AF146" s="9">
        <v>0.760749664698269</v>
      </c>
      <c r="AG146" s="9">
        <v>87.14</v>
      </c>
      <c r="AH146" s="9">
        <v>26.95</v>
      </c>
      <c r="AI146" s="9">
        <v>63.06</v>
      </c>
      <c r="AJ146" s="9">
        <v>0.0426</v>
      </c>
      <c r="AK146" s="9">
        <v>100</v>
      </c>
      <c r="AL146" s="9">
        <v>84</v>
      </c>
      <c r="AM146" s="9">
        <v>51.56</v>
      </c>
      <c r="AN146" s="9">
        <v>58.01</v>
      </c>
      <c r="AO146" s="9">
        <v>63.06</v>
      </c>
      <c r="AP146" s="9">
        <v>100</v>
      </c>
      <c r="AQ146" s="12">
        <v>1</v>
      </c>
      <c r="AR146" s="9">
        <v>66.33427</v>
      </c>
      <c r="AS146" s="9">
        <v>66.33</v>
      </c>
      <c r="AT146" s="9">
        <v>124</v>
      </c>
      <c r="AU146" s="9"/>
      <c r="AV146" s="9">
        <v>0</v>
      </c>
      <c r="AW146" s="9" t="s">
        <v>1371</v>
      </c>
      <c r="AX146" s="9">
        <v>46148</v>
      </c>
      <c r="AY146" s="9" t="s">
        <v>1373</v>
      </c>
      <c r="AZ146" s="9" t="s">
        <v>785</v>
      </c>
      <c r="BA146" s="9" t="s">
        <v>785</v>
      </c>
      <c r="BB146" s="9" t="s">
        <v>785</v>
      </c>
      <c r="BC146" s="9" t="s">
        <v>785</v>
      </c>
      <c r="BD146" s="9" t="s">
        <v>1898</v>
      </c>
      <c r="BE146" s="13">
        <v>66.33427</v>
      </c>
      <c r="BF146" s="13">
        <v>66.33</v>
      </c>
      <c r="BG146" s="12">
        <v>1</v>
      </c>
      <c r="BH146" s="9">
        <v>66.33427</v>
      </c>
      <c r="BI146" s="9" t="s">
        <v>1567</v>
      </c>
    </row>
    <row r="147" ht="25" customHeight="1" spans="1:61">
      <c r="A147" s="9">
        <v>146</v>
      </c>
      <c r="B147" s="9" t="s">
        <v>186</v>
      </c>
      <c r="C147" s="9" t="s">
        <v>188</v>
      </c>
      <c r="D147" s="9" t="s">
        <v>189</v>
      </c>
      <c r="E147" s="10">
        <v>44537</v>
      </c>
      <c r="F147" s="9">
        <v>4.7502</v>
      </c>
      <c r="G147" s="9" t="s">
        <v>1561</v>
      </c>
      <c r="H147" s="9" t="s">
        <v>546</v>
      </c>
      <c r="I147" s="9">
        <v>70</v>
      </c>
      <c r="J147" s="9" t="s">
        <v>1562</v>
      </c>
      <c r="K147" s="9">
        <v>100</v>
      </c>
      <c r="L147" s="9">
        <v>100</v>
      </c>
      <c r="M147" s="11">
        <v>0.0665</v>
      </c>
      <c r="N147" s="11">
        <v>0.1078</v>
      </c>
      <c r="O147" s="11"/>
      <c r="P147" s="11">
        <v>0.129045934630382</v>
      </c>
      <c r="Q147" s="9">
        <v>52.72</v>
      </c>
      <c r="R147" s="9">
        <v>80</v>
      </c>
      <c r="S147" s="9">
        <v>63.63</v>
      </c>
      <c r="T147" s="11">
        <v>0.5385</v>
      </c>
      <c r="U147" s="11">
        <v>0.5946</v>
      </c>
      <c r="V147" s="11">
        <v>0.6249875</v>
      </c>
      <c r="W147" s="9">
        <v>53.85</v>
      </c>
      <c r="X147" s="9">
        <v>62.49875</v>
      </c>
      <c r="Y147" s="9">
        <v>57.31</v>
      </c>
      <c r="Z147" s="9">
        <v>0.0894779332615716</v>
      </c>
      <c r="AA147" s="9">
        <v>0.0894</v>
      </c>
      <c r="AB147" s="9">
        <v>0.0894779332615716</v>
      </c>
      <c r="AC147" s="9">
        <v>28.53</v>
      </c>
      <c r="AD147" s="9">
        <v>0.7432</v>
      </c>
      <c r="AE147" s="9"/>
      <c r="AF147" s="9"/>
      <c r="AG147" s="9">
        <v>27.33</v>
      </c>
      <c r="AH147" s="9"/>
      <c r="AI147" s="9">
        <v>27.33</v>
      </c>
      <c r="AJ147" s="9">
        <v>0.1078</v>
      </c>
      <c r="AK147" s="9">
        <v>80</v>
      </c>
      <c r="AL147" s="9">
        <v>88</v>
      </c>
      <c r="AM147" s="9">
        <v>61.74</v>
      </c>
      <c r="AN147" s="9">
        <v>28.53</v>
      </c>
      <c r="AO147" s="9">
        <v>27.33</v>
      </c>
      <c r="AP147" s="9">
        <v>80</v>
      </c>
      <c r="AQ147" s="12">
        <v>0.88</v>
      </c>
      <c r="AR147" s="9">
        <v>45.59895</v>
      </c>
      <c r="AS147" s="9">
        <v>51.82</v>
      </c>
      <c r="AT147" s="9">
        <v>209</v>
      </c>
      <c r="AU147" s="9" t="s">
        <v>1563</v>
      </c>
      <c r="AV147" s="9">
        <v>5</v>
      </c>
      <c r="AW147" s="9" t="s">
        <v>1299</v>
      </c>
      <c r="AX147" s="9">
        <v>45877</v>
      </c>
      <c r="AY147" s="9" t="s">
        <v>1301</v>
      </c>
      <c r="AZ147" s="9" t="s">
        <v>2221</v>
      </c>
      <c r="BA147" s="9">
        <v>46178</v>
      </c>
      <c r="BB147" s="9" t="s">
        <v>785</v>
      </c>
      <c r="BC147" s="9" t="s">
        <v>881</v>
      </c>
      <c r="BD147" s="9" t="s">
        <v>1566</v>
      </c>
      <c r="BE147" s="13"/>
      <c r="BF147" s="13">
        <v>51.82</v>
      </c>
      <c r="BG147" s="12">
        <v>0.88</v>
      </c>
      <c r="BH147" s="9">
        <v>45.59895</v>
      </c>
      <c r="BI147" s="9" t="s">
        <v>1567</v>
      </c>
    </row>
    <row r="148" ht="25" customHeight="1" spans="1:61">
      <c r="A148" s="9">
        <v>147</v>
      </c>
      <c r="B148" s="9" t="s">
        <v>2222</v>
      </c>
      <c r="C148" s="9" t="s">
        <v>2223</v>
      </c>
      <c r="D148" s="9" t="s">
        <v>2224</v>
      </c>
      <c r="E148" s="10">
        <v>44547</v>
      </c>
      <c r="F148" s="9">
        <v>4.7228</v>
      </c>
      <c r="G148" s="9" t="s">
        <v>1561</v>
      </c>
      <c r="H148" s="9" t="s">
        <v>561</v>
      </c>
      <c r="I148" s="9">
        <v>90</v>
      </c>
      <c r="J148" s="9" t="s">
        <v>1562</v>
      </c>
      <c r="K148" s="9">
        <v>100</v>
      </c>
      <c r="L148" s="9">
        <v>100</v>
      </c>
      <c r="M148" s="11">
        <v>1.0259</v>
      </c>
      <c r="N148" s="11">
        <v>0.2046</v>
      </c>
      <c r="O148" s="11"/>
      <c r="P148" s="11">
        <v>-0.0711292525543236</v>
      </c>
      <c r="Q148" s="9">
        <v>99.68</v>
      </c>
      <c r="R148" s="9">
        <v>0</v>
      </c>
      <c r="S148" s="9">
        <v>59.81</v>
      </c>
      <c r="T148" s="11">
        <v>0.6923</v>
      </c>
      <c r="U148" s="11">
        <v>0.6389</v>
      </c>
      <c r="V148" s="11">
        <v>0.609975</v>
      </c>
      <c r="W148" s="9">
        <v>69.23</v>
      </c>
      <c r="X148" s="9">
        <v>60.9975</v>
      </c>
      <c r="Y148" s="9">
        <v>65.94</v>
      </c>
      <c r="Z148" s="9">
        <v>0.170403959869776</v>
      </c>
      <c r="AA148" s="9">
        <v>0.2943</v>
      </c>
      <c r="AB148" s="9">
        <v>0.2943</v>
      </c>
      <c r="AC148" s="9">
        <v>4.17</v>
      </c>
      <c r="AD148" s="9">
        <v>6.0204</v>
      </c>
      <c r="AE148" s="9">
        <v>0.2943</v>
      </c>
      <c r="AF148" s="9">
        <v>-0.241689611125802</v>
      </c>
      <c r="AG148" s="9">
        <v>68.17</v>
      </c>
      <c r="AH148" s="9">
        <v>0</v>
      </c>
      <c r="AI148" s="9">
        <v>40.9</v>
      </c>
      <c r="AJ148" s="9">
        <v>0.2046</v>
      </c>
      <c r="AK148" s="9">
        <v>100</v>
      </c>
      <c r="AL148" s="9">
        <v>96</v>
      </c>
      <c r="AM148" s="9">
        <v>61.65</v>
      </c>
      <c r="AN148" s="9">
        <v>4.17</v>
      </c>
      <c r="AO148" s="9">
        <v>40.9</v>
      </c>
      <c r="AP148" s="9">
        <v>100</v>
      </c>
      <c r="AQ148" s="12">
        <v>1</v>
      </c>
      <c r="AR148" s="9">
        <v>50.04244</v>
      </c>
      <c r="AS148" s="9">
        <v>50.04</v>
      </c>
      <c r="AT148" s="9">
        <v>219</v>
      </c>
      <c r="AU148" s="9"/>
      <c r="AV148" s="9">
        <v>50</v>
      </c>
      <c r="AW148" s="9" t="s">
        <v>2225</v>
      </c>
      <c r="AX148" s="9">
        <v>45833</v>
      </c>
      <c r="AY148" s="9" t="s">
        <v>2226</v>
      </c>
      <c r="AZ148" s="9" t="s">
        <v>2227</v>
      </c>
      <c r="BA148" s="9">
        <v>45814</v>
      </c>
      <c r="BB148" s="9" t="s">
        <v>785</v>
      </c>
      <c r="BC148" s="9" t="s">
        <v>2228</v>
      </c>
      <c r="BD148" s="9" t="s">
        <v>1566</v>
      </c>
      <c r="BE148" s="13">
        <v>50.04244</v>
      </c>
      <c r="BF148" s="13">
        <v>50.04</v>
      </c>
      <c r="BG148" s="12">
        <v>1</v>
      </c>
      <c r="BH148" s="9">
        <v>50.04244</v>
      </c>
      <c r="BI148" s="9" t="s">
        <v>1567</v>
      </c>
    </row>
    <row r="149" ht="25" customHeight="1" spans="1:61">
      <c r="A149" s="9">
        <v>148</v>
      </c>
      <c r="B149" s="9" t="s">
        <v>117</v>
      </c>
      <c r="C149" s="9" t="s">
        <v>118</v>
      </c>
      <c r="D149" s="9" t="s">
        <v>113</v>
      </c>
      <c r="E149" s="10">
        <v>44575</v>
      </c>
      <c r="F149" s="9">
        <v>4.6461</v>
      </c>
      <c r="G149" s="9" t="s">
        <v>1561</v>
      </c>
      <c r="H149" s="9" t="s">
        <v>546</v>
      </c>
      <c r="I149" s="9">
        <v>70</v>
      </c>
      <c r="J149" s="9" t="s">
        <v>1562</v>
      </c>
      <c r="K149" s="9">
        <v>100</v>
      </c>
      <c r="L149" s="9">
        <v>100</v>
      </c>
      <c r="M149" s="11">
        <v>0.0892</v>
      </c>
      <c r="N149" s="11">
        <v>0.0565</v>
      </c>
      <c r="O149" s="11"/>
      <c r="P149" s="11">
        <v>0.040520008331751</v>
      </c>
      <c r="Q149" s="9">
        <v>68.37</v>
      </c>
      <c r="R149" s="9">
        <v>25.24</v>
      </c>
      <c r="S149" s="9">
        <v>51.12</v>
      </c>
      <c r="T149" s="11">
        <v>0.4615</v>
      </c>
      <c r="U149" s="11">
        <v>0.5676</v>
      </c>
      <c r="V149" s="11">
        <v>0.625070833333333</v>
      </c>
      <c r="W149" s="9">
        <v>46.15</v>
      </c>
      <c r="X149" s="9">
        <v>62.5070833333333</v>
      </c>
      <c r="Y149" s="9">
        <v>52.69</v>
      </c>
      <c r="Z149" s="9">
        <v>0.0503158844765343</v>
      </c>
      <c r="AA149" s="9">
        <v>0.0503</v>
      </c>
      <c r="AB149" s="9">
        <v>0.0503158844765343</v>
      </c>
      <c r="AC149" s="9">
        <v>44.23</v>
      </c>
      <c r="AD149" s="9">
        <v>1.7728</v>
      </c>
      <c r="AE149" s="9"/>
      <c r="AF149" s="9"/>
      <c r="AG149" s="9">
        <v>40.51</v>
      </c>
      <c r="AH149" s="9"/>
      <c r="AI149" s="9">
        <v>40.51</v>
      </c>
      <c r="AJ149" s="9">
        <v>0.0565</v>
      </c>
      <c r="AK149" s="9">
        <v>100</v>
      </c>
      <c r="AL149" s="9">
        <v>88</v>
      </c>
      <c r="AM149" s="9">
        <v>51.59</v>
      </c>
      <c r="AN149" s="9">
        <v>44.23</v>
      </c>
      <c r="AO149" s="9">
        <v>40.51</v>
      </c>
      <c r="AP149" s="9">
        <v>100</v>
      </c>
      <c r="AQ149" s="12">
        <v>0.88</v>
      </c>
      <c r="AR149" s="9">
        <v>51.86739</v>
      </c>
      <c r="AS149" s="9">
        <v>58.94</v>
      </c>
      <c r="AT149" s="9">
        <v>164</v>
      </c>
      <c r="AU149" s="9" t="s">
        <v>1563</v>
      </c>
      <c r="AV149" s="9">
        <v>5</v>
      </c>
      <c r="AW149" s="9" t="s">
        <v>1265</v>
      </c>
      <c r="AX149" s="9">
        <v>46234</v>
      </c>
      <c r="AY149" s="9" t="s">
        <v>1267</v>
      </c>
      <c r="AZ149" s="9" t="s">
        <v>2229</v>
      </c>
      <c r="BA149" s="9">
        <v>45919</v>
      </c>
      <c r="BB149" s="9" t="s">
        <v>785</v>
      </c>
      <c r="BC149" s="9" t="s">
        <v>856</v>
      </c>
      <c r="BD149" s="9" t="s">
        <v>1566</v>
      </c>
      <c r="BE149" s="13"/>
      <c r="BF149" s="13">
        <v>58.94</v>
      </c>
      <c r="BG149" s="12">
        <v>0.88</v>
      </c>
      <c r="BH149" s="9">
        <v>51.86739</v>
      </c>
      <c r="BI149" s="9" t="s">
        <v>1567</v>
      </c>
    </row>
    <row r="150" ht="25" customHeight="1" spans="1:61">
      <c r="A150" s="9">
        <v>149</v>
      </c>
      <c r="B150" s="9" t="s">
        <v>2230</v>
      </c>
      <c r="C150" s="9" t="s">
        <v>2231</v>
      </c>
      <c r="D150" s="9" t="s">
        <v>1976</v>
      </c>
      <c r="E150" s="10">
        <v>43430</v>
      </c>
      <c r="F150" s="9">
        <v>7.781</v>
      </c>
      <c r="G150" s="9" t="s">
        <v>1561</v>
      </c>
      <c r="H150" s="9" t="s">
        <v>561</v>
      </c>
      <c r="I150" s="9">
        <v>90</v>
      </c>
      <c r="J150" s="9" t="s">
        <v>1562</v>
      </c>
      <c r="K150" s="9">
        <v>100</v>
      </c>
      <c r="L150" s="9">
        <v>100</v>
      </c>
      <c r="M150" s="11">
        <v>0.0278</v>
      </c>
      <c r="N150" s="11">
        <v>0.0123</v>
      </c>
      <c r="O150" s="11"/>
      <c r="P150" s="11">
        <v>0.00463787846597175</v>
      </c>
      <c r="Q150" s="9">
        <v>26.2</v>
      </c>
      <c r="R150" s="9">
        <v>4.29</v>
      </c>
      <c r="S150" s="9">
        <v>17.44</v>
      </c>
      <c r="T150" s="11">
        <v>0.4615</v>
      </c>
      <c r="U150" s="11">
        <v>0.6111</v>
      </c>
      <c r="V150" s="11">
        <v>0.692133333333333</v>
      </c>
      <c r="W150" s="9">
        <v>46.15</v>
      </c>
      <c r="X150" s="9">
        <v>69.2133333333333</v>
      </c>
      <c r="Y150" s="9">
        <v>55.38</v>
      </c>
      <c r="Z150" s="9">
        <v>0.0309542367219686</v>
      </c>
      <c r="AA150" s="9">
        <v>0.0983</v>
      </c>
      <c r="AB150" s="9">
        <v>0.0983</v>
      </c>
      <c r="AC150" s="9">
        <v>27.24</v>
      </c>
      <c r="AD150" s="9">
        <v>0.8981</v>
      </c>
      <c r="AE150" s="9">
        <v>0.0983</v>
      </c>
      <c r="AF150" s="9">
        <v>0.0471808592672609</v>
      </c>
      <c r="AG150" s="9">
        <v>29.9</v>
      </c>
      <c r="AH150" s="9">
        <v>6.38</v>
      </c>
      <c r="AI150" s="9">
        <v>20.49</v>
      </c>
      <c r="AJ150" s="9">
        <v>0.0123</v>
      </c>
      <c r="AK150" s="9">
        <v>100</v>
      </c>
      <c r="AL150" s="9">
        <v>96</v>
      </c>
      <c r="AM150" s="9">
        <v>28.82</v>
      </c>
      <c r="AN150" s="9">
        <v>27.24</v>
      </c>
      <c r="AO150" s="9">
        <v>20.49</v>
      </c>
      <c r="AP150" s="9">
        <v>100</v>
      </c>
      <c r="AQ150" s="12">
        <v>1</v>
      </c>
      <c r="AR150" s="9">
        <v>43.12116</v>
      </c>
      <c r="AS150" s="9">
        <v>43.12</v>
      </c>
      <c r="AT150" s="9">
        <v>259</v>
      </c>
      <c r="AU150" s="9"/>
      <c r="AV150" s="9">
        <v>50</v>
      </c>
      <c r="AW150" s="9" t="s">
        <v>1977</v>
      </c>
      <c r="AX150" s="9">
        <v>45219</v>
      </c>
      <c r="AY150" s="9" t="s">
        <v>1978</v>
      </c>
      <c r="AZ150" s="9" t="s">
        <v>785</v>
      </c>
      <c r="BA150" s="9" t="s">
        <v>785</v>
      </c>
      <c r="BB150" s="9" t="s">
        <v>785</v>
      </c>
      <c r="BC150" s="9" t="s">
        <v>785</v>
      </c>
      <c r="BD150" s="9" t="s">
        <v>1898</v>
      </c>
      <c r="BE150" s="13">
        <v>43.12116</v>
      </c>
      <c r="BF150" s="13">
        <v>43.12</v>
      </c>
      <c r="BG150" s="12">
        <v>1</v>
      </c>
      <c r="BH150" s="9">
        <v>43.12116</v>
      </c>
      <c r="BI150" s="9" t="s">
        <v>1567</v>
      </c>
    </row>
    <row r="151" ht="25" customHeight="1" spans="1:61">
      <c r="A151" s="9">
        <v>150</v>
      </c>
      <c r="B151" s="9" t="s">
        <v>2232</v>
      </c>
      <c r="C151" s="9" t="s">
        <v>2233</v>
      </c>
      <c r="D151" s="9" t="s">
        <v>2234</v>
      </c>
      <c r="E151" s="10">
        <v>44820</v>
      </c>
      <c r="F151" s="9">
        <v>3.9754</v>
      </c>
      <c r="G151" s="9" t="s">
        <v>1561</v>
      </c>
      <c r="H151" s="9" t="s">
        <v>546</v>
      </c>
      <c r="I151" s="9">
        <v>70</v>
      </c>
      <c r="J151" s="9" t="s">
        <v>1562</v>
      </c>
      <c r="K151" s="9">
        <v>100</v>
      </c>
      <c r="L151" s="9">
        <v>100</v>
      </c>
      <c r="M151" s="11">
        <v>0.2429</v>
      </c>
      <c r="N151" s="11">
        <v>0.2505</v>
      </c>
      <c r="O151" s="11"/>
      <c r="P151" s="11">
        <v>0.254317409265653</v>
      </c>
      <c r="Q151" s="9">
        <v>91.69</v>
      </c>
      <c r="R151" s="9">
        <v>95.71</v>
      </c>
      <c r="S151" s="9">
        <v>93.3</v>
      </c>
      <c r="T151" s="11">
        <v>1</v>
      </c>
      <c r="U151" s="11">
        <v>0.7297</v>
      </c>
      <c r="V151" s="11">
        <v>0.5832875</v>
      </c>
      <c r="W151" s="9">
        <v>100</v>
      </c>
      <c r="X151" s="9">
        <v>58.32875</v>
      </c>
      <c r="Y151" s="9">
        <v>83.33</v>
      </c>
      <c r="Z151" s="9">
        <v>0.0111856617223801</v>
      </c>
      <c r="AA151" s="9">
        <v>0.0689</v>
      </c>
      <c r="AB151" s="9">
        <v>0.0689</v>
      </c>
      <c r="AC151" s="9">
        <v>34.62</v>
      </c>
      <c r="AD151" s="9">
        <v>21.7153</v>
      </c>
      <c r="AE151" s="9">
        <v>0.0689</v>
      </c>
      <c r="AF151" s="9">
        <v>3.69110898789047</v>
      </c>
      <c r="AG151" s="9">
        <v>91.64</v>
      </c>
      <c r="AH151" s="9">
        <v>79.43</v>
      </c>
      <c r="AI151" s="9">
        <v>86.76</v>
      </c>
      <c r="AJ151" s="9">
        <v>0.2505</v>
      </c>
      <c r="AK151" s="9">
        <v>80</v>
      </c>
      <c r="AL151" s="9">
        <v>88</v>
      </c>
      <c r="AM151" s="9">
        <v>90.31</v>
      </c>
      <c r="AN151" s="9">
        <v>34.62</v>
      </c>
      <c r="AO151" s="9">
        <v>86.76</v>
      </c>
      <c r="AP151" s="9">
        <v>80</v>
      </c>
      <c r="AQ151" s="12">
        <v>1</v>
      </c>
      <c r="AR151" s="9">
        <v>73.94341</v>
      </c>
      <c r="AS151" s="9">
        <v>73.94</v>
      </c>
      <c r="AT151" s="9">
        <v>80</v>
      </c>
      <c r="AU151" s="9"/>
      <c r="AV151" s="9">
        <v>5</v>
      </c>
      <c r="AW151" s="9" t="s">
        <v>2235</v>
      </c>
      <c r="AX151" s="9">
        <v>45814</v>
      </c>
      <c r="AY151" s="9" t="s">
        <v>2236</v>
      </c>
      <c r="AZ151" s="9" t="s">
        <v>2237</v>
      </c>
      <c r="BA151" s="9">
        <v>46017</v>
      </c>
      <c r="BB151" s="9" t="s">
        <v>785</v>
      </c>
      <c r="BC151" s="9" t="s">
        <v>2238</v>
      </c>
      <c r="BD151" s="9" t="s">
        <v>1566</v>
      </c>
      <c r="BE151" s="13">
        <v>73.94341</v>
      </c>
      <c r="BF151" s="13">
        <v>73.94</v>
      </c>
      <c r="BG151" s="12">
        <v>1</v>
      </c>
      <c r="BH151" s="9">
        <v>73.94341</v>
      </c>
      <c r="BI151" s="9" t="s">
        <v>1567</v>
      </c>
    </row>
    <row r="152" ht="25" customHeight="1" spans="1:61">
      <c r="A152" s="9">
        <v>151</v>
      </c>
      <c r="B152" s="9" t="s">
        <v>2239</v>
      </c>
      <c r="C152" s="9" t="s">
        <v>2240</v>
      </c>
      <c r="D152" s="9" t="s">
        <v>509</v>
      </c>
      <c r="E152" s="10">
        <v>44827</v>
      </c>
      <c r="F152" s="9">
        <v>3.9562</v>
      </c>
      <c r="G152" s="9" t="s">
        <v>1561</v>
      </c>
      <c r="H152" s="9" t="s">
        <v>551</v>
      </c>
      <c r="I152" s="9">
        <v>80</v>
      </c>
      <c r="J152" s="9" t="s">
        <v>1562</v>
      </c>
      <c r="K152" s="9">
        <v>100</v>
      </c>
      <c r="L152" s="9">
        <v>100</v>
      </c>
      <c r="M152" s="11">
        <v>0.0864</v>
      </c>
      <c r="N152" s="11">
        <v>0.082</v>
      </c>
      <c r="O152" s="11"/>
      <c r="P152" s="11">
        <v>0.0798066871392187</v>
      </c>
      <c r="Q152" s="9">
        <v>66.61</v>
      </c>
      <c r="R152" s="9">
        <v>60.48</v>
      </c>
      <c r="S152" s="9">
        <v>64.16</v>
      </c>
      <c r="T152" s="11">
        <v>0.7692</v>
      </c>
      <c r="U152" s="11">
        <v>0.8919</v>
      </c>
      <c r="V152" s="11">
        <v>0.9583625</v>
      </c>
      <c r="W152" s="9">
        <v>76.92</v>
      </c>
      <c r="X152" s="9">
        <v>95.83625</v>
      </c>
      <c r="Y152" s="9">
        <v>84.49</v>
      </c>
      <c r="Z152" s="9">
        <v>0.027675454050418</v>
      </c>
      <c r="AA152" s="9">
        <v>0.0277</v>
      </c>
      <c r="AB152" s="9">
        <v>0.0277</v>
      </c>
      <c r="AC152" s="9">
        <v>61.86</v>
      </c>
      <c r="AD152" s="9">
        <v>3.1219</v>
      </c>
      <c r="AE152" s="9"/>
      <c r="AF152" s="9"/>
      <c r="AG152" s="9">
        <v>54.98</v>
      </c>
      <c r="AH152" s="9"/>
      <c r="AI152" s="9">
        <v>54.98</v>
      </c>
      <c r="AJ152" s="9">
        <v>0.082</v>
      </c>
      <c r="AK152" s="9">
        <v>100</v>
      </c>
      <c r="AL152" s="9">
        <v>92</v>
      </c>
      <c r="AM152" s="9">
        <v>70.26</v>
      </c>
      <c r="AN152" s="9">
        <v>61.86</v>
      </c>
      <c r="AO152" s="9">
        <v>54.98</v>
      </c>
      <c r="AP152" s="9">
        <v>100</v>
      </c>
      <c r="AQ152" s="12">
        <v>0.88</v>
      </c>
      <c r="AR152" s="9">
        <v>63.21271</v>
      </c>
      <c r="AS152" s="9">
        <v>71.83</v>
      </c>
      <c r="AT152" s="9">
        <v>92</v>
      </c>
      <c r="AU152" s="9" t="s">
        <v>1563</v>
      </c>
      <c r="AV152" s="9">
        <v>10</v>
      </c>
      <c r="AW152" s="9" t="s">
        <v>1441</v>
      </c>
      <c r="AX152" s="9">
        <v>46030</v>
      </c>
      <c r="AY152" s="9" t="s">
        <v>1443</v>
      </c>
      <c r="AZ152" s="9" t="s">
        <v>2241</v>
      </c>
      <c r="BA152" s="9">
        <v>45035</v>
      </c>
      <c r="BB152" s="9" t="s">
        <v>785</v>
      </c>
      <c r="BC152" s="9" t="s">
        <v>2242</v>
      </c>
      <c r="BD152" s="9" t="s">
        <v>1566</v>
      </c>
      <c r="BE152" s="13"/>
      <c r="BF152" s="13">
        <v>71.83</v>
      </c>
      <c r="BG152" s="12">
        <v>0.88</v>
      </c>
      <c r="BH152" s="9">
        <v>63.21271</v>
      </c>
      <c r="BI152" s="9" t="s">
        <v>1567</v>
      </c>
    </row>
    <row r="153" ht="25" customHeight="1" spans="1:61">
      <c r="A153" s="9">
        <v>152</v>
      </c>
      <c r="B153" s="9" t="s">
        <v>2243</v>
      </c>
      <c r="C153" s="9" t="s">
        <v>2244</v>
      </c>
      <c r="D153" s="9" t="s">
        <v>2245</v>
      </c>
      <c r="E153" s="10">
        <v>44847</v>
      </c>
      <c r="F153" s="9">
        <v>3.9014</v>
      </c>
      <c r="G153" s="9" t="s">
        <v>1561</v>
      </c>
      <c r="H153" s="9" t="s">
        <v>542</v>
      </c>
      <c r="I153" s="9">
        <v>60</v>
      </c>
      <c r="J153" s="9" t="s">
        <v>1562</v>
      </c>
      <c r="K153" s="9">
        <v>100</v>
      </c>
      <c r="L153" s="9">
        <v>100</v>
      </c>
      <c r="M153" s="11">
        <v>0.4775</v>
      </c>
      <c r="N153" s="11">
        <v>0.3112</v>
      </c>
      <c r="O153" s="11"/>
      <c r="P153" s="11">
        <v>0.235206777849775</v>
      </c>
      <c r="Q153" s="9">
        <v>98.4</v>
      </c>
      <c r="R153" s="9">
        <v>94.29</v>
      </c>
      <c r="S153" s="9">
        <v>96.76</v>
      </c>
      <c r="T153" s="11">
        <v>0.8462</v>
      </c>
      <c r="U153" s="11">
        <v>0.6944</v>
      </c>
      <c r="V153" s="11">
        <v>0.612175</v>
      </c>
      <c r="W153" s="9">
        <v>84.62</v>
      </c>
      <c r="X153" s="9">
        <v>61.2175</v>
      </c>
      <c r="Y153" s="9">
        <v>75.26</v>
      </c>
      <c r="Z153" s="9">
        <v>0.0477304305234854</v>
      </c>
      <c r="AA153" s="9">
        <v>0.3143</v>
      </c>
      <c r="AB153" s="9">
        <v>0.3143</v>
      </c>
      <c r="AC153" s="9">
        <v>3.85</v>
      </c>
      <c r="AD153" s="9">
        <v>10.0041</v>
      </c>
      <c r="AE153" s="9">
        <v>0.3143</v>
      </c>
      <c r="AF153" s="9">
        <v>0.748351186286271</v>
      </c>
      <c r="AG153" s="9">
        <v>79.42</v>
      </c>
      <c r="AH153" s="9">
        <v>24.11</v>
      </c>
      <c r="AI153" s="9">
        <v>57.3</v>
      </c>
      <c r="AJ153" s="9">
        <v>0.3112</v>
      </c>
      <c r="AK153" s="9">
        <v>100</v>
      </c>
      <c r="AL153" s="9">
        <v>84</v>
      </c>
      <c r="AM153" s="9">
        <v>90.31</v>
      </c>
      <c r="AN153" s="9">
        <v>3.85</v>
      </c>
      <c r="AO153" s="9">
        <v>57.3</v>
      </c>
      <c r="AP153" s="9">
        <v>100</v>
      </c>
      <c r="AQ153" s="12">
        <v>1</v>
      </c>
      <c r="AR153" s="9">
        <v>58.81268</v>
      </c>
      <c r="AS153" s="9">
        <v>58.81</v>
      </c>
      <c r="AT153" s="9">
        <v>167</v>
      </c>
      <c r="AU153" s="9"/>
      <c r="AV153" s="9">
        <v>0</v>
      </c>
      <c r="AW153" s="9" t="s">
        <v>2246</v>
      </c>
      <c r="AX153" s="9">
        <v>46210</v>
      </c>
      <c r="AY153" s="9" t="s">
        <v>2247</v>
      </c>
      <c r="AZ153" s="9" t="s">
        <v>2248</v>
      </c>
      <c r="BA153" s="9">
        <v>45719</v>
      </c>
      <c r="BB153" s="9" t="s">
        <v>785</v>
      </c>
      <c r="BC153" s="9" t="s">
        <v>2249</v>
      </c>
      <c r="BD153" s="9" t="s">
        <v>1566</v>
      </c>
      <c r="BE153" s="13">
        <v>58.81268</v>
      </c>
      <c r="BF153" s="13">
        <v>58.81</v>
      </c>
      <c r="BG153" s="12">
        <v>1</v>
      </c>
      <c r="BH153" s="9">
        <v>58.81268</v>
      </c>
      <c r="BI153" s="9" t="s">
        <v>1567</v>
      </c>
    </row>
    <row r="154" ht="25" customHeight="1" spans="1:61">
      <c r="A154" s="9">
        <v>153</v>
      </c>
      <c r="B154" s="9" t="s">
        <v>421</v>
      </c>
      <c r="C154" s="9" t="s">
        <v>422</v>
      </c>
      <c r="D154" s="9" t="s">
        <v>423</v>
      </c>
      <c r="E154" s="10">
        <v>44881</v>
      </c>
      <c r="F154" s="9">
        <v>3.8084</v>
      </c>
      <c r="G154" s="9" t="s">
        <v>1561</v>
      </c>
      <c r="H154" s="9" t="s">
        <v>542</v>
      </c>
      <c r="I154" s="9">
        <v>60</v>
      </c>
      <c r="J154" s="9" t="s">
        <v>1562</v>
      </c>
      <c r="K154" s="9">
        <v>100</v>
      </c>
      <c r="L154" s="9">
        <v>100</v>
      </c>
      <c r="M154" s="11">
        <v>0.0025</v>
      </c>
      <c r="N154" s="11">
        <v>0.0913</v>
      </c>
      <c r="O154" s="11"/>
      <c r="P154" s="11">
        <v>0.138607505187729</v>
      </c>
      <c r="Q154" s="9">
        <v>15.97</v>
      </c>
      <c r="R154" s="9">
        <v>82.86</v>
      </c>
      <c r="S154" s="9">
        <v>42.73</v>
      </c>
      <c r="T154" s="11">
        <v>0.3846</v>
      </c>
      <c r="U154" s="11">
        <v>0.6757</v>
      </c>
      <c r="V154" s="11">
        <v>0.833379166666667</v>
      </c>
      <c r="W154" s="9">
        <v>38.46</v>
      </c>
      <c r="X154" s="9">
        <v>83.3379166666667</v>
      </c>
      <c r="Y154" s="9">
        <v>56.41</v>
      </c>
      <c r="Z154" s="9">
        <v>0.0424448217317487</v>
      </c>
      <c r="AA154" s="9">
        <v>0.0431</v>
      </c>
      <c r="AB154" s="9">
        <v>0.0431</v>
      </c>
      <c r="AC154" s="9">
        <v>48.72</v>
      </c>
      <c r="AD154" s="9">
        <v>0.0589</v>
      </c>
      <c r="AE154" s="9">
        <v>0.0431</v>
      </c>
      <c r="AF154" s="9">
        <v>3.21595139646704</v>
      </c>
      <c r="AG154" s="9">
        <v>16.4</v>
      </c>
      <c r="AH154" s="9">
        <v>78.01</v>
      </c>
      <c r="AI154" s="9">
        <v>41.04</v>
      </c>
      <c r="AJ154" s="9">
        <v>0.0913</v>
      </c>
      <c r="AK154" s="9">
        <v>80</v>
      </c>
      <c r="AL154" s="9">
        <v>84</v>
      </c>
      <c r="AM154" s="9">
        <v>46.83</v>
      </c>
      <c r="AN154" s="9">
        <v>48.72</v>
      </c>
      <c r="AO154" s="9">
        <v>41.04</v>
      </c>
      <c r="AP154" s="9">
        <v>80</v>
      </c>
      <c r="AQ154" s="12">
        <v>1</v>
      </c>
      <c r="AR154" s="9">
        <v>54.45951</v>
      </c>
      <c r="AS154" s="9">
        <v>54.46</v>
      </c>
      <c r="AT154" s="9">
        <v>194</v>
      </c>
      <c r="AU154" s="9"/>
      <c r="AV154" s="9">
        <v>0</v>
      </c>
      <c r="AW154" s="9" t="s">
        <v>2250</v>
      </c>
      <c r="AX154" s="9">
        <v>46237</v>
      </c>
      <c r="AY154" s="9" t="s">
        <v>1404</v>
      </c>
      <c r="AZ154" s="9" t="s">
        <v>2251</v>
      </c>
      <c r="BA154" s="9">
        <v>46189</v>
      </c>
      <c r="BB154" s="9" t="s">
        <v>785</v>
      </c>
      <c r="BC154" s="9" t="s">
        <v>963</v>
      </c>
      <c r="BD154" s="9" t="s">
        <v>1566</v>
      </c>
      <c r="BE154" s="13">
        <v>54.45951</v>
      </c>
      <c r="BF154" s="13">
        <v>54.46</v>
      </c>
      <c r="BG154" s="12">
        <v>1</v>
      </c>
      <c r="BH154" s="9">
        <v>54.45951</v>
      </c>
      <c r="BI154" s="9" t="s">
        <v>1567</v>
      </c>
    </row>
    <row r="155" ht="25" customHeight="1" spans="1:61">
      <c r="A155" s="9">
        <v>154</v>
      </c>
      <c r="B155" s="9" t="s">
        <v>2252</v>
      </c>
      <c r="C155" s="9" t="s">
        <v>2253</v>
      </c>
      <c r="D155" s="9" t="s">
        <v>384</v>
      </c>
      <c r="E155" s="10">
        <v>44883</v>
      </c>
      <c r="F155" s="9">
        <v>3.8029</v>
      </c>
      <c r="G155" s="9" t="s">
        <v>1561</v>
      </c>
      <c r="H155" s="9" t="s">
        <v>542</v>
      </c>
      <c r="I155" s="9">
        <v>60</v>
      </c>
      <c r="J155" s="9" t="s">
        <v>1562</v>
      </c>
      <c r="K155" s="9">
        <v>100</v>
      </c>
      <c r="L155" s="9">
        <v>100</v>
      </c>
      <c r="M155" s="11">
        <v>0.1066</v>
      </c>
      <c r="N155" s="11">
        <v>0.1437</v>
      </c>
      <c r="O155" s="11"/>
      <c r="P155" s="11">
        <v>0.162713858041335</v>
      </c>
      <c r="Q155" s="9">
        <v>74.76</v>
      </c>
      <c r="R155" s="9">
        <v>88.1</v>
      </c>
      <c r="S155" s="9">
        <v>80.1</v>
      </c>
      <c r="T155" s="11">
        <v>0.8462</v>
      </c>
      <c r="U155" s="11">
        <v>0.8649</v>
      </c>
      <c r="V155" s="11">
        <v>0.875029166666667</v>
      </c>
      <c r="W155" s="9">
        <v>84.62</v>
      </c>
      <c r="X155" s="9">
        <v>87.5029166666667</v>
      </c>
      <c r="Y155" s="9">
        <v>85.77</v>
      </c>
      <c r="Z155" s="9">
        <v>0.01945290972463</v>
      </c>
      <c r="AA155" s="9">
        <v>0.0195</v>
      </c>
      <c r="AB155" s="9">
        <v>0.0195</v>
      </c>
      <c r="AC155" s="9">
        <v>71.47</v>
      </c>
      <c r="AD155" s="9">
        <v>5.4799</v>
      </c>
      <c r="AE155" s="9"/>
      <c r="AF155" s="9"/>
      <c r="AG155" s="9">
        <v>66.56</v>
      </c>
      <c r="AH155" s="9"/>
      <c r="AI155" s="9">
        <v>66.56</v>
      </c>
      <c r="AJ155" s="9">
        <v>0.1437</v>
      </c>
      <c r="AK155" s="9">
        <v>80</v>
      </c>
      <c r="AL155" s="9">
        <v>84</v>
      </c>
      <c r="AM155" s="9">
        <v>81.8</v>
      </c>
      <c r="AN155" s="9">
        <v>71.47</v>
      </c>
      <c r="AO155" s="9">
        <v>66.56</v>
      </c>
      <c r="AP155" s="9">
        <v>80</v>
      </c>
      <c r="AQ155" s="12">
        <v>0.88</v>
      </c>
      <c r="AR155" s="9">
        <v>66.80813</v>
      </c>
      <c r="AS155" s="9">
        <v>75.92</v>
      </c>
      <c r="AT155" s="9">
        <v>68</v>
      </c>
      <c r="AU155" s="9" t="s">
        <v>1563</v>
      </c>
      <c r="AV155" s="9">
        <v>0</v>
      </c>
      <c r="AW155" s="9" t="s">
        <v>1383</v>
      </c>
      <c r="AX155" s="9">
        <v>46079</v>
      </c>
      <c r="AY155" s="9" t="s">
        <v>1385</v>
      </c>
      <c r="AZ155" s="9" t="s">
        <v>2254</v>
      </c>
      <c r="BA155" s="9">
        <v>46021</v>
      </c>
      <c r="BB155" s="9" t="s">
        <v>785</v>
      </c>
      <c r="BC155" s="9" t="s">
        <v>2255</v>
      </c>
      <c r="BD155" s="9" t="s">
        <v>1566</v>
      </c>
      <c r="BE155" s="13"/>
      <c r="BF155" s="13">
        <v>75.92</v>
      </c>
      <c r="BG155" s="12">
        <v>0.88</v>
      </c>
      <c r="BH155" s="9">
        <v>66.80813</v>
      </c>
      <c r="BI155" s="9" t="s">
        <v>1567</v>
      </c>
    </row>
    <row r="156" ht="25" customHeight="1" spans="1:61">
      <c r="A156" s="9">
        <v>155</v>
      </c>
      <c r="B156" s="9" t="s">
        <v>387</v>
      </c>
      <c r="C156" s="9" t="s">
        <v>388</v>
      </c>
      <c r="D156" s="9" t="s">
        <v>384</v>
      </c>
      <c r="E156" s="10">
        <v>44883</v>
      </c>
      <c r="F156" s="9">
        <v>3.8029</v>
      </c>
      <c r="G156" s="9" t="s">
        <v>1561</v>
      </c>
      <c r="H156" s="9" t="s">
        <v>542</v>
      </c>
      <c r="I156" s="9">
        <v>60</v>
      </c>
      <c r="J156" s="9" t="s">
        <v>1562</v>
      </c>
      <c r="K156" s="9">
        <v>100</v>
      </c>
      <c r="L156" s="9">
        <v>100</v>
      </c>
      <c r="M156" s="11">
        <v>0.2192</v>
      </c>
      <c r="N156" s="11">
        <v>0.1521</v>
      </c>
      <c r="O156" s="11"/>
      <c r="P156" s="11">
        <v>0.119947817963609</v>
      </c>
      <c r="Q156" s="9">
        <v>90.1</v>
      </c>
      <c r="R156" s="9">
        <v>77.14</v>
      </c>
      <c r="S156" s="9">
        <v>84.92</v>
      </c>
      <c r="T156" s="11">
        <v>0.8462</v>
      </c>
      <c r="U156" s="11">
        <v>0.7297</v>
      </c>
      <c r="V156" s="11">
        <v>0.666595833333333</v>
      </c>
      <c r="W156" s="9">
        <v>84.62</v>
      </c>
      <c r="X156" s="9">
        <v>66.6595833333333</v>
      </c>
      <c r="Y156" s="9">
        <v>77.44</v>
      </c>
      <c r="Z156" s="9">
        <v>0.00925706949559107</v>
      </c>
      <c r="AA156" s="9">
        <v>0.0108</v>
      </c>
      <c r="AB156" s="9">
        <v>0.0108</v>
      </c>
      <c r="AC156" s="9">
        <v>83.33</v>
      </c>
      <c r="AD156" s="9">
        <v>23.6792</v>
      </c>
      <c r="AE156" s="9">
        <v>0.0108</v>
      </c>
      <c r="AF156" s="9">
        <v>11.1062794410749</v>
      </c>
      <c r="AG156" s="9">
        <v>92.6</v>
      </c>
      <c r="AH156" s="9">
        <v>91.49</v>
      </c>
      <c r="AI156" s="9">
        <v>92.16</v>
      </c>
      <c r="AJ156" s="9">
        <v>0.1521</v>
      </c>
      <c r="AK156" s="9">
        <v>100</v>
      </c>
      <c r="AL156" s="9">
        <v>84</v>
      </c>
      <c r="AM156" s="9">
        <v>82.67</v>
      </c>
      <c r="AN156" s="9">
        <v>83.33</v>
      </c>
      <c r="AO156" s="9">
        <v>92.16</v>
      </c>
      <c r="AP156" s="9">
        <v>100</v>
      </c>
      <c r="AQ156" s="12">
        <v>1</v>
      </c>
      <c r="AR156" s="9">
        <v>87.61369</v>
      </c>
      <c r="AS156" s="9">
        <v>87.61</v>
      </c>
      <c r="AT156" s="9">
        <v>18</v>
      </c>
      <c r="AU156" s="9"/>
      <c r="AV156" s="9">
        <v>0</v>
      </c>
      <c r="AW156" s="9" t="s">
        <v>1383</v>
      </c>
      <c r="AX156" s="9">
        <v>46079</v>
      </c>
      <c r="AY156" s="9" t="s">
        <v>1385</v>
      </c>
      <c r="AZ156" s="9" t="s">
        <v>2256</v>
      </c>
      <c r="BA156" s="9">
        <v>46021</v>
      </c>
      <c r="BB156" s="9" t="s">
        <v>785</v>
      </c>
      <c r="BC156" s="9" t="s">
        <v>949</v>
      </c>
      <c r="BD156" s="9" t="s">
        <v>1566</v>
      </c>
      <c r="BE156" s="13">
        <v>87.61369</v>
      </c>
      <c r="BF156" s="13">
        <v>87.61</v>
      </c>
      <c r="BG156" s="12">
        <v>1</v>
      </c>
      <c r="BH156" s="9">
        <v>87.61369</v>
      </c>
      <c r="BI156" s="9" t="s">
        <v>1567</v>
      </c>
    </row>
    <row r="157" ht="25" customHeight="1" spans="1:61">
      <c r="A157" s="9">
        <v>156</v>
      </c>
      <c r="B157" s="9" t="s">
        <v>2257</v>
      </c>
      <c r="C157" s="9" t="s">
        <v>2258</v>
      </c>
      <c r="D157" s="9" t="s">
        <v>2259</v>
      </c>
      <c r="E157" s="10">
        <v>43413</v>
      </c>
      <c r="F157" s="9">
        <v>7.8275</v>
      </c>
      <c r="G157" s="9" t="s">
        <v>1561</v>
      </c>
      <c r="H157" s="9" t="s">
        <v>542</v>
      </c>
      <c r="I157" s="9">
        <v>60</v>
      </c>
      <c r="J157" s="9" t="s">
        <v>1562</v>
      </c>
      <c r="K157" s="9">
        <v>100</v>
      </c>
      <c r="L157" s="9">
        <v>100</v>
      </c>
      <c r="M157" s="11">
        <v>0.0569</v>
      </c>
      <c r="N157" s="11">
        <v>0.0525</v>
      </c>
      <c r="O157" s="11"/>
      <c r="P157" s="11">
        <v>0.0503068739192487</v>
      </c>
      <c r="Q157" s="9">
        <v>45.69</v>
      </c>
      <c r="R157" s="9">
        <v>31.9</v>
      </c>
      <c r="S157" s="9">
        <v>40.17</v>
      </c>
      <c r="T157" s="11">
        <v>0.5385</v>
      </c>
      <c r="U157" s="11">
        <v>0.6667</v>
      </c>
      <c r="V157" s="11">
        <v>0.736141666666667</v>
      </c>
      <c r="W157" s="9">
        <v>53.85</v>
      </c>
      <c r="X157" s="9">
        <v>73.6141666666667</v>
      </c>
      <c r="Y157" s="9">
        <v>61.76</v>
      </c>
      <c r="Z157" s="9">
        <v>0.0650583123713698</v>
      </c>
      <c r="AA157" s="9">
        <v>0.0883</v>
      </c>
      <c r="AB157" s="9">
        <v>0.0883</v>
      </c>
      <c r="AC157" s="9">
        <v>28.85</v>
      </c>
      <c r="AD157" s="9">
        <v>0.8746</v>
      </c>
      <c r="AE157" s="9">
        <v>0.0883</v>
      </c>
      <c r="AF157" s="9">
        <v>0.56972677145242</v>
      </c>
      <c r="AG157" s="9">
        <v>29.58</v>
      </c>
      <c r="AH157" s="9">
        <v>19.15</v>
      </c>
      <c r="AI157" s="9">
        <v>25.41</v>
      </c>
      <c r="AJ157" s="9">
        <v>0.0525</v>
      </c>
      <c r="AK157" s="9">
        <v>100</v>
      </c>
      <c r="AL157" s="9">
        <v>84</v>
      </c>
      <c r="AM157" s="9">
        <v>46.65</v>
      </c>
      <c r="AN157" s="9">
        <v>28.85</v>
      </c>
      <c r="AO157" s="9">
        <v>25.41</v>
      </c>
      <c r="AP157" s="9">
        <v>100</v>
      </c>
      <c r="AQ157" s="12">
        <v>1</v>
      </c>
      <c r="AR157" s="9">
        <v>46.7646</v>
      </c>
      <c r="AS157" s="9">
        <v>46.76</v>
      </c>
      <c r="AT157" s="9">
        <v>235</v>
      </c>
      <c r="AU157" s="9"/>
      <c r="AV157" s="9">
        <v>0</v>
      </c>
      <c r="AW157" s="9" t="s">
        <v>2260</v>
      </c>
      <c r="AX157" s="9">
        <v>46142</v>
      </c>
      <c r="AY157" s="9" t="s">
        <v>2261</v>
      </c>
      <c r="AZ157" s="9" t="s">
        <v>785</v>
      </c>
      <c r="BA157" s="9" t="s">
        <v>785</v>
      </c>
      <c r="BB157" s="9" t="s">
        <v>785</v>
      </c>
      <c r="BC157" s="9" t="s">
        <v>785</v>
      </c>
      <c r="BD157" s="9" t="s">
        <v>1898</v>
      </c>
      <c r="BE157" s="13">
        <v>46.7646</v>
      </c>
      <c r="BF157" s="13">
        <v>46.76</v>
      </c>
      <c r="BG157" s="12">
        <v>1</v>
      </c>
      <c r="BH157" s="9">
        <v>46.7646</v>
      </c>
      <c r="BI157" s="9" t="s">
        <v>1567</v>
      </c>
    </row>
    <row r="158" ht="25" customHeight="1" spans="1:61">
      <c r="A158" s="9">
        <v>157</v>
      </c>
      <c r="B158" s="9" t="s">
        <v>2262</v>
      </c>
      <c r="C158" s="9" t="s">
        <v>2263</v>
      </c>
      <c r="D158" s="9" t="s">
        <v>2264</v>
      </c>
      <c r="E158" s="10">
        <v>45107</v>
      </c>
      <c r="F158" s="9">
        <v>3.1896</v>
      </c>
      <c r="G158" s="9" t="s">
        <v>1561</v>
      </c>
      <c r="H158" s="9" t="s">
        <v>542</v>
      </c>
      <c r="I158" s="9">
        <v>60</v>
      </c>
      <c r="J158" s="9" t="s">
        <v>1562</v>
      </c>
      <c r="K158" s="9">
        <v>100</v>
      </c>
      <c r="L158" s="9">
        <v>100</v>
      </c>
      <c r="M158" s="11">
        <v>0.0406</v>
      </c>
      <c r="N158" s="11">
        <v>0.0722</v>
      </c>
      <c r="O158" s="11"/>
      <c r="P158" s="11">
        <v>0.0883580492500105</v>
      </c>
      <c r="Q158" s="9">
        <v>35.46</v>
      </c>
      <c r="R158" s="9">
        <v>64.76</v>
      </c>
      <c r="S158" s="9">
        <v>47.18</v>
      </c>
      <c r="T158" s="11">
        <v>0.5385</v>
      </c>
      <c r="U158" s="11">
        <v>0.6757</v>
      </c>
      <c r="V158" s="11">
        <v>0.750016666666667</v>
      </c>
      <c r="W158" s="9">
        <v>53.85</v>
      </c>
      <c r="X158" s="9">
        <v>75.0016666666667</v>
      </c>
      <c r="Y158" s="9">
        <v>62.31</v>
      </c>
      <c r="Z158" s="9">
        <v>0.0226764968722073</v>
      </c>
      <c r="AA158" s="9">
        <v>0.0683</v>
      </c>
      <c r="AB158" s="9">
        <v>0.0683</v>
      </c>
      <c r="AC158" s="9">
        <v>34.94</v>
      </c>
      <c r="AD158" s="9">
        <v>1.7904</v>
      </c>
      <c r="AE158" s="9">
        <v>0.0683</v>
      </c>
      <c r="AF158" s="9">
        <v>1.29367568448039</v>
      </c>
      <c r="AG158" s="9">
        <v>41.8</v>
      </c>
      <c r="AH158" s="9">
        <v>47.52</v>
      </c>
      <c r="AI158" s="9">
        <v>44.09</v>
      </c>
      <c r="AJ158" s="9">
        <v>0.0722</v>
      </c>
      <c r="AK158" s="9">
        <v>80</v>
      </c>
      <c r="AL158" s="9">
        <v>84</v>
      </c>
      <c r="AM158" s="9">
        <v>51.72</v>
      </c>
      <c r="AN158" s="9">
        <v>34.94</v>
      </c>
      <c r="AO158" s="9">
        <v>44.09</v>
      </c>
      <c r="AP158" s="9">
        <v>80</v>
      </c>
      <c r="AQ158" s="12">
        <v>1</v>
      </c>
      <c r="AR158" s="9">
        <v>52.90524</v>
      </c>
      <c r="AS158" s="9">
        <v>52.91</v>
      </c>
      <c r="AT158" s="9">
        <v>203</v>
      </c>
      <c r="AU158" s="9"/>
      <c r="AV158" s="9">
        <v>0</v>
      </c>
      <c r="AW158" s="9" t="s">
        <v>2265</v>
      </c>
      <c r="AX158" s="9">
        <v>46204</v>
      </c>
      <c r="AY158" s="9" t="s">
        <v>2266</v>
      </c>
      <c r="AZ158" s="9" t="s">
        <v>2267</v>
      </c>
      <c r="BA158" s="9">
        <v>46218</v>
      </c>
      <c r="BB158" s="9" t="s">
        <v>785</v>
      </c>
      <c r="BC158" s="9" t="s">
        <v>2268</v>
      </c>
      <c r="BD158" s="9" t="s">
        <v>1566</v>
      </c>
      <c r="BE158" s="13">
        <v>52.90524</v>
      </c>
      <c r="BF158" s="13">
        <v>52.91</v>
      </c>
      <c r="BG158" s="12">
        <v>1</v>
      </c>
      <c r="BH158" s="9">
        <v>52.90524</v>
      </c>
      <c r="BI158" s="9" t="s">
        <v>1567</v>
      </c>
    </row>
    <row r="159" ht="25" customHeight="1" spans="1:61">
      <c r="A159" s="9">
        <v>158</v>
      </c>
      <c r="B159" s="9" t="s">
        <v>2269</v>
      </c>
      <c r="C159" s="9" t="s">
        <v>2270</v>
      </c>
      <c r="D159" s="9" t="s">
        <v>2271</v>
      </c>
      <c r="E159" s="10">
        <v>45140</v>
      </c>
      <c r="F159" s="9">
        <v>3.0992</v>
      </c>
      <c r="G159" s="9" t="s">
        <v>1561</v>
      </c>
      <c r="H159" s="9" t="s">
        <v>546</v>
      </c>
      <c r="I159" s="9">
        <v>70</v>
      </c>
      <c r="J159" s="9" t="s">
        <v>1562</v>
      </c>
      <c r="K159" s="9">
        <v>100</v>
      </c>
      <c r="L159" s="9">
        <v>100</v>
      </c>
      <c r="M159" s="11">
        <v>0.0808</v>
      </c>
      <c r="N159" s="11">
        <v>0.1728</v>
      </c>
      <c r="O159" s="11"/>
      <c r="P159" s="11">
        <v>0.221696326311563</v>
      </c>
      <c r="Q159" s="9">
        <v>60.7</v>
      </c>
      <c r="R159" s="9">
        <v>93.33</v>
      </c>
      <c r="S159" s="9">
        <v>73.75</v>
      </c>
      <c r="T159" s="11">
        <v>0.6923</v>
      </c>
      <c r="U159" s="11">
        <v>0.8378</v>
      </c>
      <c r="V159" s="11">
        <v>0.9166125</v>
      </c>
      <c r="W159" s="9">
        <v>69.23</v>
      </c>
      <c r="X159" s="9">
        <v>91.66125</v>
      </c>
      <c r="Y159" s="9">
        <v>78.2</v>
      </c>
      <c r="Z159" s="9">
        <v>0.00409873487069709</v>
      </c>
      <c r="AA159" s="9">
        <v>0.0044</v>
      </c>
      <c r="AB159" s="9">
        <v>0.0044</v>
      </c>
      <c r="AC159" s="9">
        <v>94.87</v>
      </c>
      <c r="AD159" s="9">
        <v>19.7134</v>
      </c>
      <c r="AE159" s="9">
        <v>0.0044</v>
      </c>
      <c r="AF159" s="9">
        <v>50.3855287071734</v>
      </c>
      <c r="AG159" s="9">
        <v>89.71</v>
      </c>
      <c r="AH159" s="9">
        <v>100</v>
      </c>
      <c r="AI159" s="9">
        <v>93.83</v>
      </c>
      <c r="AJ159" s="9">
        <v>0.1728</v>
      </c>
      <c r="AK159" s="9">
        <v>80</v>
      </c>
      <c r="AL159" s="9">
        <v>88</v>
      </c>
      <c r="AM159" s="9">
        <v>75.09</v>
      </c>
      <c r="AN159" s="9">
        <v>94.87</v>
      </c>
      <c r="AO159" s="9">
        <v>93.83</v>
      </c>
      <c r="AP159" s="9">
        <v>80</v>
      </c>
      <c r="AQ159" s="12">
        <v>1</v>
      </c>
      <c r="AR159" s="9">
        <v>88.08273</v>
      </c>
      <c r="AS159" s="9">
        <v>88.08</v>
      </c>
      <c r="AT159" s="9">
        <v>16</v>
      </c>
      <c r="AU159" s="9"/>
      <c r="AV159" s="9">
        <v>5</v>
      </c>
      <c r="AW159" s="9" t="s">
        <v>2272</v>
      </c>
      <c r="AX159" s="9">
        <v>45882</v>
      </c>
      <c r="AY159" s="9" t="s">
        <v>2273</v>
      </c>
      <c r="AZ159" s="9" t="s">
        <v>2274</v>
      </c>
      <c r="BA159" s="9">
        <v>45677</v>
      </c>
      <c r="BB159" s="9" t="s">
        <v>785</v>
      </c>
      <c r="BC159" s="9" t="s">
        <v>2275</v>
      </c>
      <c r="BD159" s="9" t="s">
        <v>1566</v>
      </c>
      <c r="BE159" s="13">
        <v>88.08273</v>
      </c>
      <c r="BF159" s="13">
        <v>88.08</v>
      </c>
      <c r="BG159" s="12">
        <v>1</v>
      </c>
      <c r="BH159" s="9">
        <v>88.08273</v>
      </c>
      <c r="BI159" s="9" t="s">
        <v>1567</v>
      </c>
    </row>
    <row r="160" ht="25" customHeight="1" spans="1:61">
      <c r="A160" s="9">
        <v>159</v>
      </c>
      <c r="B160" s="9" t="s">
        <v>2276</v>
      </c>
      <c r="C160" s="9" t="s">
        <v>2277</v>
      </c>
      <c r="D160" s="9" t="s">
        <v>1976</v>
      </c>
      <c r="E160" s="10">
        <v>45373</v>
      </c>
      <c r="F160" s="9">
        <v>2.4613</v>
      </c>
      <c r="G160" s="9" t="s">
        <v>1561</v>
      </c>
      <c r="H160" s="9" t="s">
        <v>561</v>
      </c>
      <c r="I160" s="9">
        <v>90</v>
      </c>
      <c r="J160" s="9" t="s">
        <v>1562</v>
      </c>
      <c r="K160" s="9">
        <v>100</v>
      </c>
      <c r="L160" s="9">
        <v>70</v>
      </c>
      <c r="M160" s="11">
        <v>0.0587</v>
      </c>
      <c r="N160" s="11"/>
      <c r="O160" s="11"/>
      <c r="P160" s="11"/>
      <c r="Q160" s="9">
        <v>46.96</v>
      </c>
      <c r="R160" s="9"/>
      <c r="S160" s="9">
        <v>46.96</v>
      </c>
      <c r="T160" s="11">
        <v>0.9231</v>
      </c>
      <c r="U160" s="11"/>
      <c r="V160" s="11"/>
      <c r="W160" s="9">
        <v>92.31</v>
      </c>
      <c r="X160" s="9"/>
      <c r="Y160" s="9">
        <v>92.31</v>
      </c>
      <c r="Z160" s="9">
        <v>0.00652338193456614</v>
      </c>
      <c r="AA160" s="9"/>
      <c r="AB160" s="9">
        <v>0.00652338193456614</v>
      </c>
      <c r="AC160" s="9">
        <v>90.06</v>
      </c>
      <c r="AD160" s="9">
        <v>8.9984</v>
      </c>
      <c r="AE160" s="9"/>
      <c r="AF160" s="9"/>
      <c r="AG160" s="9">
        <v>76.21</v>
      </c>
      <c r="AH160" s="9"/>
      <c r="AI160" s="9">
        <v>76.21</v>
      </c>
      <c r="AJ160" s="9"/>
      <c r="AK160" s="9"/>
      <c r="AL160" s="9">
        <v>87</v>
      </c>
      <c r="AM160" s="9">
        <v>60.57</v>
      </c>
      <c r="AN160" s="9">
        <v>90.06</v>
      </c>
      <c r="AO160" s="9">
        <v>76.21</v>
      </c>
      <c r="AP160" s="9"/>
      <c r="AQ160" s="12">
        <v>0.7</v>
      </c>
      <c r="AR160" s="9">
        <v>56.5506</v>
      </c>
      <c r="AS160" s="9">
        <v>80.79</v>
      </c>
      <c r="AT160" s="9">
        <v>47</v>
      </c>
      <c r="AU160" s="9" t="s">
        <v>1931</v>
      </c>
      <c r="AV160" s="9">
        <v>50</v>
      </c>
      <c r="AW160" s="9" t="s">
        <v>1977</v>
      </c>
      <c r="AX160" s="9">
        <v>45219</v>
      </c>
      <c r="AY160" s="9" t="s">
        <v>1978</v>
      </c>
      <c r="AZ160" s="9" t="s">
        <v>2278</v>
      </c>
      <c r="BA160" s="9">
        <v>45477</v>
      </c>
      <c r="BB160" s="9" t="s">
        <v>785</v>
      </c>
      <c r="BC160" s="9" t="s">
        <v>2279</v>
      </c>
      <c r="BD160" s="9" t="s">
        <v>1566</v>
      </c>
      <c r="BE160" s="13"/>
      <c r="BF160" s="13">
        <v>80.79</v>
      </c>
      <c r="BG160" s="12">
        <v>0.7</v>
      </c>
      <c r="BH160" s="9">
        <v>56.5506</v>
      </c>
      <c r="BI160" s="9" t="s">
        <v>1567</v>
      </c>
    </row>
    <row r="161" ht="25" customHeight="1" spans="1:61">
      <c r="A161" s="9">
        <v>160</v>
      </c>
      <c r="B161" s="9" t="s">
        <v>2280</v>
      </c>
      <c r="C161" s="9" t="s">
        <v>2281</v>
      </c>
      <c r="D161" s="9" t="s">
        <v>1976</v>
      </c>
      <c r="E161" s="10">
        <v>43917</v>
      </c>
      <c r="F161" s="9">
        <v>6.4476</v>
      </c>
      <c r="G161" s="9" t="s">
        <v>1561</v>
      </c>
      <c r="H161" s="9" t="s">
        <v>561</v>
      </c>
      <c r="I161" s="9">
        <v>90</v>
      </c>
      <c r="J161" s="9" t="s">
        <v>1562</v>
      </c>
      <c r="K161" s="9">
        <v>100</v>
      </c>
      <c r="L161" s="9">
        <v>100</v>
      </c>
      <c r="M161" s="11">
        <v>0.0694</v>
      </c>
      <c r="N161" s="11">
        <v>0.0624</v>
      </c>
      <c r="O161" s="11"/>
      <c r="P161" s="11">
        <v>0.0589172013237853</v>
      </c>
      <c r="Q161" s="9">
        <v>54.95</v>
      </c>
      <c r="R161" s="9">
        <v>43.33</v>
      </c>
      <c r="S161" s="9">
        <v>50.3</v>
      </c>
      <c r="T161" s="11">
        <v>0.9231</v>
      </c>
      <c r="U161" s="11">
        <v>0.8919</v>
      </c>
      <c r="V161" s="11">
        <v>0.875</v>
      </c>
      <c r="W161" s="9">
        <v>92.31</v>
      </c>
      <c r="X161" s="9">
        <v>87.5</v>
      </c>
      <c r="Y161" s="9">
        <v>90.39</v>
      </c>
      <c r="Z161" s="9">
        <v>0.00756799197400275</v>
      </c>
      <c r="AA161" s="9">
        <v>0.0282</v>
      </c>
      <c r="AB161" s="9">
        <v>0.0282</v>
      </c>
      <c r="AC161" s="9">
        <v>61.38</v>
      </c>
      <c r="AD161" s="9">
        <v>9.1702</v>
      </c>
      <c r="AE161" s="9">
        <v>0.0282</v>
      </c>
      <c r="AF161" s="9">
        <v>2.08926245829026</v>
      </c>
      <c r="AG161" s="9">
        <v>77.49</v>
      </c>
      <c r="AH161" s="9">
        <v>63.12</v>
      </c>
      <c r="AI161" s="9">
        <v>71.74</v>
      </c>
      <c r="AJ161" s="9">
        <v>0.0624</v>
      </c>
      <c r="AK161" s="9">
        <v>100</v>
      </c>
      <c r="AL161" s="9">
        <v>96</v>
      </c>
      <c r="AM161" s="9">
        <v>62.33</v>
      </c>
      <c r="AN161" s="9">
        <v>61.38</v>
      </c>
      <c r="AO161" s="9">
        <v>71.74</v>
      </c>
      <c r="AP161" s="9">
        <v>100</v>
      </c>
      <c r="AQ161" s="12">
        <v>1</v>
      </c>
      <c r="AR161" s="9">
        <v>73.73304</v>
      </c>
      <c r="AS161" s="9">
        <v>73.73</v>
      </c>
      <c r="AT161" s="9">
        <v>82</v>
      </c>
      <c r="AU161" s="9"/>
      <c r="AV161" s="9">
        <v>50</v>
      </c>
      <c r="AW161" s="9" t="s">
        <v>1977</v>
      </c>
      <c r="AX161" s="9">
        <v>45219</v>
      </c>
      <c r="AY161" s="9" t="s">
        <v>1978</v>
      </c>
      <c r="AZ161" s="9" t="s">
        <v>785</v>
      </c>
      <c r="BA161" s="9" t="s">
        <v>785</v>
      </c>
      <c r="BB161" s="9" t="s">
        <v>785</v>
      </c>
      <c r="BC161" s="9" t="s">
        <v>785</v>
      </c>
      <c r="BD161" s="9" t="s">
        <v>1898</v>
      </c>
      <c r="BE161" s="13">
        <v>73.73304</v>
      </c>
      <c r="BF161" s="13">
        <v>73.73</v>
      </c>
      <c r="BG161" s="12">
        <v>1</v>
      </c>
      <c r="BH161" s="9">
        <v>73.73304</v>
      </c>
      <c r="BI161" s="9" t="s">
        <v>1567</v>
      </c>
    </row>
    <row r="162" ht="25" customHeight="1" spans="1:61">
      <c r="A162" s="9">
        <v>161</v>
      </c>
      <c r="B162" s="9" t="s">
        <v>2282</v>
      </c>
      <c r="C162" s="9" t="s">
        <v>2283</v>
      </c>
      <c r="D162" s="9" t="s">
        <v>2284</v>
      </c>
      <c r="E162" s="10">
        <v>45600</v>
      </c>
      <c r="F162" s="9">
        <v>1.8398</v>
      </c>
      <c r="G162" s="9" t="s">
        <v>1561</v>
      </c>
      <c r="H162" s="9" t="s">
        <v>551</v>
      </c>
      <c r="I162" s="9">
        <v>80</v>
      </c>
      <c r="J162" s="9" t="s">
        <v>1562</v>
      </c>
      <c r="K162" s="9">
        <v>100</v>
      </c>
      <c r="L162" s="9">
        <v>70</v>
      </c>
      <c r="M162" s="11">
        <v>0.0471</v>
      </c>
      <c r="N162" s="11"/>
      <c r="O162" s="11"/>
      <c r="P162" s="11"/>
      <c r="Q162" s="9">
        <v>40.26</v>
      </c>
      <c r="R162" s="9"/>
      <c r="S162" s="9">
        <v>40.26</v>
      </c>
      <c r="T162" s="11">
        <v>0.4615</v>
      </c>
      <c r="U162" s="11"/>
      <c r="V162" s="11"/>
      <c r="W162" s="9">
        <v>46.15</v>
      </c>
      <c r="X162" s="9"/>
      <c r="Y162" s="9">
        <v>46.15</v>
      </c>
      <c r="Z162" s="9">
        <v>0.267765776009096</v>
      </c>
      <c r="AA162" s="9"/>
      <c r="AB162" s="9">
        <v>0.267765776009096</v>
      </c>
      <c r="AC162" s="9">
        <v>6.73</v>
      </c>
      <c r="AD162" s="9">
        <v>0.1759</v>
      </c>
      <c r="AE162" s="9"/>
      <c r="AF162" s="9"/>
      <c r="AG162" s="9">
        <v>18.33</v>
      </c>
      <c r="AH162" s="9"/>
      <c r="AI162" s="9">
        <v>18.33</v>
      </c>
      <c r="AJ162" s="9"/>
      <c r="AK162" s="9"/>
      <c r="AL162" s="9">
        <v>83</v>
      </c>
      <c r="AM162" s="9">
        <v>42.03</v>
      </c>
      <c r="AN162" s="9">
        <v>6.73</v>
      </c>
      <c r="AO162" s="9">
        <v>18.33</v>
      </c>
      <c r="AP162" s="9"/>
      <c r="AQ162" s="12">
        <v>0.7</v>
      </c>
      <c r="AR162" s="9">
        <v>22.47514</v>
      </c>
      <c r="AS162" s="9">
        <v>32.11</v>
      </c>
      <c r="AT162" s="9">
        <v>291</v>
      </c>
      <c r="AU162" s="9" t="s">
        <v>1931</v>
      </c>
      <c r="AV162" s="9">
        <v>10</v>
      </c>
      <c r="AW162" s="9" t="s">
        <v>2285</v>
      </c>
      <c r="AX162" s="9">
        <v>45992</v>
      </c>
      <c r="AY162" s="9" t="s">
        <v>2286</v>
      </c>
      <c r="AZ162" s="9" t="s">
        <v>2287</v>
      </c>
      <c r="BA162" s="9">
        <v>45659</v>
      </c>
      <c r="BB162" s="9" t="s">
        <v>785</v>
      </c>
      <c r="BC162" s="9" t="s">
        <v>2288</v>
      </c>
      <c r="BD162" s="9" t="s">
        <v>1566</v>
      </c>
      <c r="BE162" s="13"/>
      <c r="BF162" s="13">
        <v>32.11</v>
      </c>
      <c r="BG162" s="12">
        <v>0.7</v>
      </c>
      <c r="BH162" s="9">
        <v>22.47514</v>
      </c>
      <c r="BI162" s="9" t="s">
        <v>1567</v>
      </c>
    </row>
    <row r="163" ht="25" customHeight="1" spans="1:61">
      <c r="A163" s="9">
        <v>162</v>
      </c>
      <c r="B163" s="9" t="s">
        <v>2289</v>
      </c>
      <c r="C163" s="9" t="s">
        <v>2290</v>
      </c>
      <c r="D163" s="9" t="s">
        <v>54</v>
      </c>
      <c r="E163" s="10">
        <v>45636</v>
      </c>
      <c r="F163" s="9">
        <v>1.7413</v>
      </c>
      <c r="G163" s="9" t="s">
        <v>1561</v>
      </c>
      <c r="H163" s="9" t="s">
        <v>546</v>
      </c>
      <c r="I163" s="9">
        <v>70</v>
      </c>
      <c r="J163" s="9" t="s">
        <v>1562</v>
      </c>
      <c r="K163" s="9">
        <v>100</v>
      </c>
      <c r="L163" s="9">
        <v>70</v>
      </c>
      <c r="M163" s="11">
        <v>0.093</v>
      </c>
      <c r="N163" s="11"/>
      <c r="O163" s="11"/>
      <c r="P163" s="11"/>
      <c r="Q163" s="9">
        <v>69.97</v>
      </c>
      <c r="R163" s="9"/>
      <c r="S163" s="9">
        <v>69.97</v>
      </c>
      <c r="T163" s="11">
        <v>0.5385</v>
      </c>
      <c r="U163" s="11"/>
      <c r="V163" s="11"/>
      <c r="W163" s="9">
        <v>53.85</v>
      </c>
      <c r="X163" s="9"/>
      <c r="Y163" s="9">
        <v>53.85</v>
      </c>
      <c r="Z163" s="9">
        <v>0.0356513072145979</v>
      </c>
      <c r="AA163" s="9"/>
      <c r="AB163" s="9">
        <v>0.0356513072145979</v>
      </c>
      <c r="AC163" s="9">
        <v>54.17</v>
      </c>
      <c r="AD163" s="9">
        <v>2.6086</v>
      </c>
      <c r="AE163" s="9"/>
      <c r="AF163" s="9"/>
      <c r="AG163" s="9">
        <v>51.45</v>
      </c>
      <c r="AH163" s="9"/>
      <c r="AI163" s="9">
        <v>51.45</v>
      </c>
      <c r="AJ163" s="9"/>
      <c r="AK163" s="9"/>
      <c r="AL163" s="9">
        <v>79</v>
      </c>
      <c r="AM163" s="9">
        <v>65.13</v>
      </c>
      <c r="AN163" s="9">
        <v>54.17</v>
      </c>
      <c r="AO163" s="9">
        <v>51.45</v>
      </c>
      <c r="AP163" s="9"/>
      <c r="AQ163" s="12">
        <v>0.7</v>
      </c>
      <c r="AR163" s="9">
        <v>42.46958</v>
      </c>
      <c r="AS163" s="9">
        <v>60.67</v>
      </c>
      <c r="AT163" s="9">
        <v>150</v>
      </c>
      <c r="AU163" s="9" t="s">
        <v>1931</v>
      </c>
      <c r="AV163" s="9">
        <v>5</v>
      </c>
      <c r="AW163" s="9" t="s">
        <v>1245</v>
      </c>
      <c r="AX163" s="9">
        <v>45875</v>
      </c>
      <c r="AY163" s="9" t="s">
        <v>1247</v>
      </c>
      <c r="AZ163" s="9" t="s">
        <v>2291</v>
      </c>
      <c r="BA163" s="9">
        <v>45754</v>
      </c>
      <c r="BB163" s="9" t="s">
        <v>785</v>
      </c>
      <c r="BC163" s="9" t="s">
        <v>2292</v>
      </c>
      <c r="BD163" s="9" t="s">
        <v>1566</v>
      </c>
      <c r="BE163" s="13"/>
      <c r="BF163" s="13">
        <v>60.67</v>
      </c>
      <c r="BG163" s="12">
        <v>0.7</v>
      </c>
      <c r="BH163" s="9">
        <v>42.46958</v>
      </c>
      <c r="BI163" s="9" t="s">
        <v>1567</v>
      </c>
    </row>
    <row r="164" ht="25" customHeight="1" spans="1:61">
      <c r="A164" s="9">
        <v>163</v>
      </c>
      <c r="B164" s="9" t="s">
        <v>193</v>
      </c>
      <c r="C164" s="9" t="s">
        <v>194</v>
      </c>
      <c r="D164" s="9" t="s">
        <v>195</v>
      </c>
      <c r="E164" s="10">
        <v>45694</v>
      </c>
      <c r="F164" s="9">
        <v>1.5825</v>
      </c>
      <c r="G164" s="9" t="s">
        <v>1561</v>
      </c>
      <c r="H164" s="9" t="s">
        <v>546</v>
      </c>
      <c r="I164" s="9">
        <v>70</v>
      </c>
      <c r="J164" s="9" t="s">
        <v>1562</v>
      </c>
      <c r="K164" s="9">
        <v>100</v>
      </c>
      <c r="L164" s="9">
        <v>70</v>
      </c>
      <c r="M164" s="11">
        <v>0.3171</v>
      </c>
      <c r="N164" s="11"/>
      <c r="O164" s="11"/>
      <c r="P164" s="11"/>
      <c r="Q164" s="9">
        <v>96.17</v>
      </c>
      <c r="R164" s="9"/>
      <c r="S164" s="9">
        <v>96.17</v>
      </c>
      <c r="T164" s="11">
        <v>1</v>
      </c>
      <c r="U164" s="11"/>
      <c r="V164" s="11"/>
      <c r="W164" s="9">
        <v>100</v>
      </c>
      <c r="X164" s="9"/>
      <c r="Y164" s="9">
        <v>100</v>
      </c>
      <c r="Z164" s="9">
        <v>0.00433355381478465</v>
      </c>
      <c r="AA164" s="9"/>
      <c r="AB164" s="9">
        <v>0.00433355381478465</v>
      </c>
      <c r="AC164" s="9">
        <v>95.19</v>
      </c>
      <c r="AD164" s="9">
        <v>73.1732</v>
      </c>
      <c r="AE164" s="9"/>
      <c r="AF164" s="9"/>
      <c r="AG164" s="9">
        <v>99.04</v>
      </c>
      <c r="AH164" s="9"/>
      <c r="AI164" s="9">
        <v>99.04</v>
      </c>
      <c r="AJ164" s="9"/>
      <c r="AK164" s="9"/>
      <c r="AL164" s="9">
        <v>79</v>
      </c>
      <c r="AM164" s="9">
        <v>97.32</v>
      </c>
      <c r="AN164" s="9">
        <v>95.19</v>
      </c>
      <c r="AO164" s="9">
        <v>99.04</v>
      </c>
      <c r="AP164" s="9"/>
      <c r="AQ164" s="12">
        <v>0.7</v>
      </c>
      <c r="AR164" s="9">
        <v>65.15298</v>
      </c>
      <c r="AS164" s="9">
        <v>93.08</v>
      </c>
      <c r="AT164" s="9">
        <v>3</v>
      </c>
      <c r="AU164" s="9" t="s">
        <v>1931</v>
      </c>
      <c r="AV164" s="9">
        <v>5</v>
      </c>
      <c r="AW164" s="9" t="s">
        <v>1302</v>
      </c>
      <c r="AX164" s="9">
        <v>46094</v>
      </c>
      <c r="AY164" s="9" t="s">
        <v>1304</v>
      </c>
      <c r="AZ164" s="9" t="s">
        <v>2293</v>
      </c>
      <c r="BA164" s="9">
        <v>45701</v>
      </c>
      <c r="BB164" s="9" t="s">
        <v>785</v>
      </c>
      <c r="BC164" s="9" t="s">
        <v>883</v>
      </c>
      <c r="BD164" s="9" t="s">
        <v>1566</v>
      </c>
      <c r="BE164" s="13"/>
      <c r="BF164" s="13">
        <v>93.08</v>
      </c>
      <c r="BG164" s="12">
        <v>0.7</v>
      </c>
      <c r="BH164" s="9">
        <v>65.15298</v>
      </c>
      <c r="BI164" s="9" t="s">
        <v>1567</v>
      </c>
    </row>
    <row r="165" ht="25" customHeight="1" spans="1:61">
      <c r="A165" s="9">
        <v>164</v>
      </c>
      <c r="B165" s="9" t="s">
        <v>2294</v>
      </c>
      <c r="C165" s="9" t="s">
        <v>2295</v>
      </c>
      <c r="D165" s="9" t="s">
        <v>2296</v>
      </c>
      <c r="E165" s="10">
        <v>45716</v>
      </c>
      <c r="F165" s="9">
        <v>1.5222</v>
      </c>
      <c r="G165" s="9" t="s">
        <v>1561</v>
      </c>
      <c r="H165" s="9" t="s">
        <v>546</v>
      </c>
      <c r="I165" s="9">
        <v>70</v>
      </c>
      <c r="J165" s="9" t="s">
        <v>1562</v>
      </c>
      <c r="K165" s="9">
        <v>100</v>
      </c>
      <c r="L165" s="9">
        <v>70</v>
      </c>
      <c r="M165" s="11">
        <v>-0.0246</v>
      </c>
      <c r="N165" s="11"/>
      <c r="O165" s="11"/>
      <c r="P165" s="11"/>
      <c r="Q165" s="9">
        <v>9.58</v>
      </c>
      <c r="R165" s="9"/>
      <c r="S165" s="9">
        <v>9.58</v>
      </c>
      <c r="T165" s="11">
        <v>0.4615</v>
      </c>
      <c r="U165" s="11"/>
      <c r="V165" s="11"/>
      <c r="W165" s="9">
        <v>46.15</v>
      </c>
      <c r="X165" s="9"/>
      <c r="Y165" s="9">
        <v>46.15</v>
      </c>
      <c r="Z165" s="9">
        <v>0.061377245508982</v>
      </c>
      <c r="AA165" s="9"/>
      <c r="AB165" s="9">
        <v>0.061377245508982</v>
      </c>
      <c r="AC165" s="9">
        <v>38.46</v>
      </c>
      <c r="AD165" s="9">
        <v>-0.4008</v>
      </c>
      <c r="AE165" s="9"/>
      <c r="AF165" s="9"/>
      <c r="AG165" s="9">
        <v>9</v>
      </c>
      <c r="AH165" s="9"/>
      <c r="AI165" s="9">
        <v>9</v>
      </c>
      <c r="AJ165" s="9"/>
      <c r="AK165" s="9"/>
      <c r="AL165" s="9">
        <v>79</v>
      </c>
      <c r="AM165" s="9">
        <v>20.55</v>
      </c>
      <c r="AN165" s="9">
        <v>38.46</v>
      </c>
      <c r="AO165" s="9">
        <v>9</v>
      </c>
      <c r="AP165" s="9"/>
      <c r="AQ165" s="12">
        <v>0.7</v>
      </c>
      <c r="AR165" s="9">
        <v>25.55112</v>
      </c>
      <c r="AS165" s="9">
        <v>36.5</v>
      </c>
      <c r="AT165" s="9">
        <v>281</v>
      </c>
      <c r="AU165" s="9" t="s">
        <v>1931</v>
      </c>
      <c r="AV165" s="9">
        <v>5</v>
      </c>
      <c r="AW165" s="9" t="s">
        <v>2297</v>
      </c>
      <c r="AX165" s="9">
        <v>46037</v>
      </c>
      <c r="AY165" s="9" t="s">
        <v>2298</v>
      </c>
      <c r="AZ165" s="9" t="s">
        <v>2299</v>
      </c>
      <c r="BA165" s="9">
        <v>45721</v>
      </c>
      <c r="BB165" s="9" t="s">
        <v>785</v>
      </c>
      <c r="BC165" s="9" t="s">
        <v>2300</v>
      </c>
      <c r="BD165" s="9" t="s">
        <v>1566</v>
      </c>
      <c r="BE165" s="13"/>
      <c r="BF165" s="13">
        <v>36.5</v>
      </c>
      <c r="BG165" s="12">
        <v>0.7</v>
      </c>
      <c r="BH165" s="9">
        <v>25.55112</v>
      </c>
      <c r="BI165" s="9" t="s">
        <v>1567</v>
      </c>
    </row>
    <row r="166" ht="25" customHeight="1" spans="1:61">
      <c r="A166" s="9">
        <v>165</v>
      </c>
      <c r="B166" s="9" t="s">
        <v>2301</v>
      </c>
      <c r="C166" s="9" t="s">
        <v>2302</v>
      </c>
      <c r="D166" s="9" t="s">
        <v>2303</v>
      </c>
      <c r="E166" s="10">
        <v>45737</v>
      </c>
      <c r="F166" s="9">
        <v>1.4648</v>
      </c>
      <c r="G166" s="9" t="s">
        <v>1561</v>
      </c>
      <c r="H166" s="9" t="s">
        <v>542</v>
      </c>
      <c r="I166" s="9">
        <v>60</v>
      </c>
      <c r="J166" s="9" t="s">
        <v>1562</v>
      </c>
      <c r="K166" s="9">
        <v>100</v>
      </c>
      <c r="L166" s="9">
        <v>70</v>
      </c>
      <c r="M166" s="11">
        <v>0.3205</v>
      </c>
      <c r="N166" s="11"/>
      <c r="O166" s="11"/>
      <c r="P166" s="11"/>
      <c r="Q166" s="9">
        <v>96.49</v>
      </c>
      <c r="R166" s="9"/>
      <c r="S166" s="9">
        <v>96.49</v>
      </c>
      <c r="T166" s="11">
        <v>0.6154</v>
      </c>
      <c r="U166" s="11"/>
      <c r="V166" s="11"/>
      <c r="W166" s="9">
        <v>61.54</v>
      </c>
      <c r="X166" s="9">
        <v>100</v>
      </c>
      <c r="Y166" s="9">
        <v>76.92</v>
      </c>
      <c r="Z166" s="9">
        <v>0.636670639650378</v>
      </c>
      <c r="AA166" s="9"/>
      <c r="AB166" s="9">
        <v>0.636670639650378</v>
      </c>
      <c r="AC166" s="9">
        <v>0</v>
      </c>
      <c r="AD166" s="9">
        <v>0.5034</v>
      </c>
      <c r="AE166" s="9"/>
      <c r="AF166" s="9"/>
      <c r="AG166" s="9">
        <v>23.47</v>
      </c>
      <c r="AH166" s="9"/>
      <c r="AI166" s="9">
        <v>23.47</v>
      </c>
      <c r="AJ166" s="9"/>
      <c r="AK166" s="9"/>
      <c r="AL166" s="9">
        <v>75</v>
      </c>
      <c r="AM166" s="9">
        <v>88.34</v>
      </c>
      <c r="AN166" s="9">
        <v>0</v>
      </c>
      <c r="AO166" s="9">
        <v>23.47</v>
      </c>
      <c r="AP166" s="9"/>
      <c r="AQ166" s="12">
        <v>0.724</v>
      </c>
      <c r="AR166" s="9">
        <v>28.1952</v>
      </c>
      <c r="AS166" s="9">
        <v>38.94</v>
      </c>
      <c r="AT166" s="9">
        <v>272</v>
      </c>
      <c r="AU166" s="9" t="s">
        <v>1931</v>
      </c>
      <c r="AV166" s="9">
        <v>0</v>
      </c>
      <c r="AW166" s="9" t="s">
        <v>2304</v>
      </c>
      <c r="AX166" s="9">
        <v>46267</v>
      </c>
      <c r="AY166" s="9" t="s">
        <v>2305</v>
      </c>
      <c r="AZ166" s="9" t="s">
        <v>2306</v>
      </c>
      <c r="BA166" s="9">
        <v>46056</v>
      </c>
      <c r="BB166" s="9" t="s">
        <v>785</v>
      </c>
      <c r="BC166" s="9" t="s">
        <v>2307</v>
      </c>
      <c r="BD166" s="9" t="s">
        <v>1566</v>
      </c>
      <c r="BE166" s="13"/>
      <c r="BF166" s="13">
        <v>38.94</v>
      </c>
      <c r="BG166" s="12">
        <v>0.724</v>
      </c>
      <c r="BH166" s="9">
        <v>28.1952</v>
      </c>
      <c r="BI166" s="9" t="s">
        <v>1567</v>
      </c>
    </row>
    <row r="167" ht="25" customHeight="1" spans="1:61">
      <c r="A167" s="9">
        <v>166</v>
      </c>
      <c r="B167" s="9" t="s">
        <v>202</v>
      </c>
      <c r="C167" s="9" t="s">
        <v>203</v>
      </c>
      <c r="D167" s="9" t="s">
        <v>195</v>
      </c>
      <c r="E167" s="10">
        <v>45818</v>
      </c>
      <c r="F167" s="9">
        <v>1.243</v>
      </c>
      <c r="G167" s="9" t="s">
        <v>1561</v>
      </c>
      <c r="H167" s="9" t="s">
        <v>546</v>
      </c>
      <c r="I167" s="9">
        <v>70</v>
      </c>
      <c r="J167" s="9" t="s">
        <v>1562</v>
      </c>
      <c r="K167" s="9">
        <v>100</v>
      </c>
      <c r="L167" s="9">
        <v>70</v>
      </c>
      <c r="M167" s="11">
        <v>0.0904</v>
      </c>
      <c r="N167" s="11"/>
      <c r="O167" s="11"/>
      <c r="P167" s="11"/>
      <c r="Q167" s="9">
        <v>69.01</v>
      </c>
      <c r="R167" s="9"/>
      <c r="S167" s="9">
        <v>69.01</v>
      </c>
      <c r="T167" s="11">
        <v>1</v>
      </c>
      <c r="U167" s="11"/>
      <c r="V167" s="11"/>
      <c r="W167" s="9">
        <v>100</v>
      </c>
      <c r="X167" s="9">
        <v>100</v>
      </c>
      <c r="Y167" s="9">
        <v>100</v>
      </c>
      <c r="Z167" s="9">
        <v>0.00417361114317241</v>
      </c>
      <c r="AA167" s="9"/>
      <c r="AB167" s="9">
        <v>0.00417361114317241</v>
      </c>
      <c r="AC167" s="9">
        <v>95.83</v>
      </c>
      <c r="AD167" s="9">
        <v>21.6599</v>
      </c>
      <c r="AE167" s="9"/>
      <c r="AF167" s="9"/>
      <c r="AG167" s="9">
        <v>91.32</v>
      </c>
      <c r="AH167" s="9"/>
      <c r="AI167" s="9">
        <v>91.32</v>
      </c>
      <c r="AJ167" s="9"/>
      <c r="AK167" s="9"/>
      <c r="AL167" s="9">
        <v>79</v>
      </c>
      <c r="AM167" s="9">
        <v>81.92</v>
      </c>
      <c r="AN167" s="9">
        <v>95.83</v>
      </c>
      <c r="AO167" s="9">
        <v>91.32</v>
      </c>
      <c r="AP167" s="9"/>
      <c r="AQ167" s="12">
        <v>0.724</v>
      </c>
      <c r="AR167" s="9">
        <v>64.04194</v>
      </c>
      <c r="AS167" s="9">
        <v>88.46</v>
      </c>
      <c r="AT167" s="9">
        <v>15</v>
      </c>
      <c r="AU167" s="9" t="s">
        <v>1931</v>
      </c>
      <c r="AV167" s="9">
        <v>5</v>
      </c>
      <c r="AW167" s="9" t="s">
        <v>1302</v>
      </c>
      <c r="AX167" s="9">
        <v>46094</v>
      </c>
      <c r="AY167" s="9" t="s">
        <v>1304</v>
      </c>
      <c r="AZ167" s="9" t="s">
        <v>2308</v>
      </c>
      <c r="BA167" s="9">
        <v>45824</v>
      </c>
      <c r="BB167" s="9" t="s">
        <v>785</v>
      </c>
      <c r="BC167" s="9" t="s">
        <v>888</v>
      </c>
      <c r="BD167" s="9" t="s">
        <v>1566</v>
      </c>
      <c r="BE167" s="13"/>
      <c r="BF167" s="13">
        <v>88.46</v>
      </c>
      <c r="BG167" s="12">
        <v>0.724</v>
      </c>
      <c r="BH167" s="9">
        <v>64.04194</v>
      </c>
      <c r="BI167" s="9" t="s">
        <v>1567</v>
      </c>
    </row>
    <row r="168" ht="25" customHeight="1" spans="1:61">
      <c r="A168" s="9">
        <v>167</v>
      </c>
      <c r="B168" s="9" t="s">
        <v>2309</v>
      </c>
      <c r="C168" s="9" t="s">
        <v>2310</v>
      </c>
      <c r="D168" s="9" t="s">
        <v>2296</v>
      </c>
      <c r="E168" s="10">
        <v>45716</v>
      </c>
      <c r="F168" s="9">
        <v>1.5222</v>
      </c>
      <c r="G168" s="9" t="s">
        <v>1561</v>
      </c>
      <c r="H168" s="9" t="s">
        <v>546</v>
      </c>
      <c r="I168" s="9">
        <v>70</v>
      </c>
      <c r="J168" s="9" t="s">
        <v>1562</v>
      </c>
      <c r="K168" s="9">
        <v>100</v>
      </c>
      <c r="L168" s="9">
        <v>70</v>
      </c>
      <c r="M168" s="11">
        <v>-0.0263</v>
      </c>
      <c r="N168" s="11"/>
      <c r="O168" s="11"/>
      <c r="P168" s="11"/>
      <c r="Q168" s="9">
        <v>9.27</v>
      </c>
      <c r="R168" s="9"/>
      <c r="S168" s="9">
        <v>9.27</v>
      </c>
      <c r="T168" s="11">
        <v>0.4615</v>
      </c>
      <c r="U168" s="11"/>
      <c r="V168" s="11"/>
      <c r="W168" s="9">
        <v>46.15</v>
      </c>
      <c r="X168" s="9"/>
      <c r="Y168" s="9">
        <v>46.15</v>
      </c>
      <c r="Z168" s="9">
        <v>0.0611912517449977</v>
      </c>
      <c r="AA168" s="9"/>
      <c r="AB168" s="9">
        <v>0.0611912517449977</v>
      </c>
      <c r="AC168" s="9">
        <v>38.78</v>
      </c>
      <c r="AD168" s="9">
        <v>-0.4298</v>
      </c>
      <c r="AE168" s="9"/>
      <c r="AF168" s="9"/>
      <c r="AG168" s="9">
        <v>7.4</v>
      </c>
      <c r="AH168" s="9"/>
      <c r="AI168" s="9">
        <v>7.4</v>
      </c>
      <c r="AJ168" s="9"/>
      <c r="AK168" s="9"/>
      <c r="AL168" s="9">
        <v>79</v>
      </c>
      <c r="AM168" s="9">
        <v>20.33</v>
      </c>
      <c r="AN168" s="9">
        <v>38.78</v>
      </c>
      <c r="AO168" s="9">
        <v>7.4</v>
      </c>
      <c r="AP168" s="9"/>
      <c r="AQ168" s="12">
        <v>0.7</v>
      </c>
      <c r="AR168" s="9">
        <v>25.31708</v>
      </c>
      <c r="AS168" s="9">
        <v>36.17</v>
      </c>
      <c r="AT168" s="9">
        <v>282</v>
      </c>
      <c r="AU168" s="9" t="s">
        <v>1931</v>
      </c>
      <c r="AV168" s="9">
        <v>5</v>
      </c>
      <c r="AW168" s="9" t="s">
        <v>2297</v>
      </c>
      <c r="AX168" s="9">
        <v>46037</v>
      </c>
      <c r="AY168" s="9" t="s">
        <v>2298</v>
      </c>
      <c r="AZ168" s="9" t="s">
        <v>785</v>
      </c>
      <c r="BA168" s="9" t="s">
        <v>785</v>
      </c>
      <c r="BB168" s="9" t="s">
        <v>785</v>
      </c>
      <c r="BC168" s="9" t="s">
        <v>785</v>
      </c>
      <c r="BD168" s="9" t="s">
        <v>1898</v>
      </c>
      <c r="BE168" s="13"/>
      <c r="BF168" s="13">
        <v>36.17</v>
      </c>
      <c r="BG168" s="12">
        <v>0.7</v>
      </c>
      <c r="BH168" s="9">
        <v>25.31708</v>
      </c>
      <c r="BI168" s="9" t="s">
        <v>1567</v>
      </c>
    </row>
    <row r="169" ht="25" customHeight="1" spans="1:63">
      <c r="A169" s="9">
        <v>168</v>
      </c>
      <c r="B169" s="9" t="s">
        <v>2311</v>
      </c>
      <c r="C169" s="9" t="s">
        <v>2312</v>
      </c>
      <c r="D169" s="9" t="s">
        <v>2234</v>
      </c>
      <c r="E169" s="10">
        <v>44820</v>
      </c>
      <c r="F169" s="9">
        <v>3.9754</v>
      </c>
      <c r="G169" s="9" t="s">
        <v>1561</v>
      </c>
      <c r="H169" s="9" t="s">
        <v>546</v>
      </c>
      <c r="I169" s="9">
        <v>70</v>
      </c>
      <c r="J169" s="9" t="s">
        <v>1562</v>
      </c>
      <c r="K169" s="9">
        <v>100</v>
      </c>
      <c r="L169" s="9">
        <v>100</v>
      </c>
      <c r="M169" s="11">
        <v>0.2399</v>
      </c>
      <c r="N169" s="11"/>
      <c r="O169" s="11"/>
      <c r="P169" s="11" t="s">
        <v>1841</v>
      </c>
      <c r="Q169" s="9">
        <v>91.37</v>
      </c>
      <c r="R169" s="9" t="s">
        <v>1841</v>
      </c>
      <c r="S169" s="9" t="s">
        <v>1841</v>
      </c>
      <c r="T169" s="11">
        <v>1</v>
      </c>
      <c r="U169" s="11"/>
      <c r="V169" s="11"/>
      <c r="W169" s="9">
        <v>100</v>
      </c>
      <c r="X169" s="9"/>
      <c r="Y169" s="9">
        <v>100</v>
      </c>
      <c r="Z169" s="9">
        <v>0.0112166224828057</v>
      </c>
      <c r="AA169" s="9"/>
      <c r="AB169" s="9">
        <v>0.0112166224828057</v>
      </c>
      <c r="AC169" s="9">
        <v>82.37</v>
      </c>
      <c r="AD169" s="9">
        <v>21.3879</v>
      </c>
      <c r="AE169" s="9" t="s">
        <v>1841</v>
      </c>
      <c r="AF169" s="9" t="s">
        <v>1841</v>
      </c>
      <c r="AG169" s="9">
        <v>90.35</v>
      </c>
      <c r="AH169" s="9" t="s">
        <v>1841</v>
      </c>
      <c r="AI169" s="9" t="s">
        <v>1841</v>
      </c>
      <c r="AJ169" s="9"/>
      <c r="AK169" s="9"/>
      <c r="AL169" s="9">
        <v>88</v>
      </c>
      <c r="AM169" s="9">
        <v>93.96</v>
      </c>
      <c r="AN169" s="9">
        <v>82.37</v>
      </c>
      <c r="AO169" s="9">
        <v>90.35</v>
      </c>
      <c r="AP169" s="9"/>
      <c r="AQ169" s="12">
        <v>0.7</v>
      </c>
      <c r="AR169" s="9">
        <v>61.33058</v>
      </c>
      <c r="AS169" s="9">
        <v>87.62</v>
      </c>
      <c r="AT169" s="9">
        <v>17</v>
      </c>
      <c r="AU169" s="9" t="s">
        <v>1841</v>
      </c>
      <c r="AV169" s="9">
        <v>5</v>
      </c>
      <c r="AW169" s="9" t="s">
        <v>2235</v>
      </c>
      <c r="AX169" s="9">
        <v>45814</v>
      </c>
      <c r="AY169" s="9" t="s">
        <v>2236</v>
      </c>
      <c r="AZ169" s="9" t="s">
        <v>785</v>
      </c>
      <c r="BA169" s="9" t="s">
        <v>785</v>
      </c>
      <c r="BB169" s="9" t="s">
        <v>785</v>
      </c>
      <c r="BC169" s="9" t="s">
        <v>785</v>
      </c>
      <c r="BD169" s="9" t="s">
        <v>1898</v>
      </c>
      <c r="BE169" s="13"/>
      <c r="BF169" s="13">
        <v>87.62</v>
      </c>
      <c r="BG169" s="12">
        <v>0.7</v>
      </c>
      <c r="BH169" s="9">
        <v>61.33058</v>
      </c>
      <c r="BI169" s="9" t="s">
        <v>1567</v>
      </c>
      <c r="BJ169" t="s">
        <v>2313</v>
      </c>
      <c r="BK169" t="s">
        <v>1847</v>
      </c>
    </row>
    <row r="170" ht="25" customHeight="1" spans="1:61">
      <c r="A170" s="9">
        <v>169</v>
      </c>
      <c r="B170" s="9" t="s">
        <v>2314</v>
      </c>
      <c r="C170" s="9" t="s">
        <v>2315</v>
      </c>
      <c r="D170" s="9" t="s">
        <v>1930</v>
      </c>
      <c r="E170" s="10">
        <v>45191</v>
      </c>
      <c r="F170" s="9">
        <v>2.9596</v>
      </c>
      <c r="G170" s="9" t="s">
        <v>1561</v>
      </c>
      <c r="H170" s="9" t="s">
        <v>546</v>
      </c>
      <c r="I170" s="9">
        <v>70</v>
      </c>
      <c r="J170" s="9" t="s">
        <v>1562</v>
      </c>
      <c r="K170" s="9">
        <v>100</v>
      </c>
      <c r="L170" s="9">
        <v>70</v>
      </c>
      <c r="M170" s="11">
        <v>0.1056</v>
      </c>
      <c r="N170" s="11"/>
      <c r="O170" s="11"/>
      <c r="P170" s="11"/>
      <c r="Q170" s="9">
        <v>74.12</v>
      </c>
      <c r="R170" s="9"/>
      <c r="S170" s="9">
        <v>74.12</v>
      </c>
      <c r="T170" s="11">
        <v>0.9231</v>
      </c>
      <c r="U170" s="11"/>
      <c r="V170" s="11"/>
      <c r="W170" s="9">
        <v>92.31</v>
      </c>
      <c r="X170" s="9"/>
      <c r="Y170" s="9">
        <v>92.31</v>
      </c>
      <c r="Z170" s="9">
        <v>0.0253304228933292</v>
      </c>
      <c r="AA170" s="9"/>
      <c r="AB170" s="9">
        <v>0.0253304228933292</v>
      </c>
      <c r="AC170" s="9">
        <v>64.42</v>
      </c>
      <c r="AD170" s="9">
        <v>4.1689</v>
      </c>
      <c r="AE170" s="9"/>
      <c r="AF170" s="9"/>
      <c r="AG170" s="9">
        <v>60.77</v>
      </c>
      <c r="AH170" s="9"/>
      <c r="AI170" s="9">
        <v>60.77</v>
      </c>
      <c r="AJ170" s="9"/>
      <c r="AK170" s="9"/>
      <c r="AL170" s="9">
        <v>79</v>
      </c>
      <c r="AM170" s="9">
        <v>79.58</v>
      </c>
      <c r="AN170" s="9">
        <v>64.42</v>
      </c>
      <c r="AO170" s="9">
        <v>60.77</v>
      </c>
      <c r="AP170" s="9"/>
      <c r="AQ170" s="12">
        <v>0.7</v>
      </c>
      <c r="AR170" s="9">
        <v>48.44284</v>
      </c>
      <c r="AS170" s="9">
        <v>69.2</v>
      </c>
      <c r="AT170" s="9">
        <v>109</v>
      </c>
      <c r="AU170" s="9" t="s">
        <v>1931</v>
      </c>
      <c r="AV170" s="9">
        <v>5</v>
      </c>
      <c r="AW170" s="9" t="s">
        <v>1932</v>
      </c>
      <c r="AX170" s="9">
        <v>46258</v>
      </c>
      <c r="AY170" s="9" t="s">
        <v>1933</v>
      </c>
      <c r="AZ170" s="9" t="s">
        <v>785</v>
      </c>
      <c r="BA170" s="9" t="s">
        <v>785</v>
      </c>
      <c r="BB170" s="9" t="s">
        <v>785</v>
      </c>
      <c r="BC170" s="9" t="s">
        <v>785</v>
      </c>
      <c r="BD170" s="9" t="s">
        <v>1898</v>
      </c>
      <c r="BE170" s="13"/>
      <c r="BF170" s="13">
        <v>69.2</v>
      </c>
      <c r="BG170" s="12">
        <v>0.7</v>
      </c>
      <c r="BH170" s="9">
        <v>48.44284</v>
      </c>
      <c r="BI170" s="9" t="s">
        <v>1567</v>
      </c>
    </row>
    <row r="171" ht="25" customHeight="1" spans="1:61">
      <c r="A171" s="9">
        <v>170</v>
      </c>
      <c r="B171" s="9" t="s">
        <v>2316</v>
      </c>
      <c r="C171" s="9" t="s">
        <v>2317</v>
      </c>
      <c r="D171" s="9" t="s">
        <v>2318</v>
      </c>
      <c r="E171" s="10">
        <v>42695</v>
      </c>
      <c r="F171" s="9">
        <v>9.7933</v>
      </c>
      <c r="G171" s="9" t="s">
        <v>1561</v>
      </c>
      <c r="H171" s="9" t="s">
        <v>572</v>
      </c>
      <c r="I171" s="9">
        <v>100</v>
      </c>
      <c r="J171" s="9" t="s">
        <v>1562</v>
      </c>
      <c r="K171" s="9">
        <v>100</v>
      </c>
      <c r="L171" s="9">
        <v>100</v>
      </c>
      <c r="M171" s="11">
        <v>0.0482</v>
      </c>
      <c r="N171" s="11">
        <v>0.0498</v>
      </c>
      <c r="O171" s="11"/>
      <c r="P171" s="11">
        <v>0.0506009156228884</v>
      </c>
      <c r="Q171" s="9">
        <v>41.53</v>
      </c>
      <c r="R171" s="9">
        <v>32.38</v>
      </c>
      <c r="S171" s="9">
        <v>37.87</v>
      </c>
      <c r="T171" s="11">
        <v>0.9231</v>
      </c>
      <c r="U171" s="11">
        <v>0.8378</v>
      </c>
      <c r="V171" s="11">
        <v>0.791595833333333</v>
      </c>
      <c r="W171" s="9">
        <v>92.31</v>
      </c>
      <c r="X171" s="9">
        <v>79.1595833333333</v>
      </c>
      <c r="Y171" s="9">
        <v>87.05</v>
      </c>
      <c r="Z171" s="9">
        <v>0.00637717975179275</v>
      </c>
      <c r="AA171" s="9">
        <v>0.0357</v>
      </c>
      <c r="AB171" s="9">
        <v>0.0357</v>
      </c>
      <c r="AC171" s="9">
        <v>53.85</v>
      </c>
      <c r="AD171" s="9">
        <v>7.5582</v>
      </c>
      <c r="AE171" s="9">
        <v>0.0357</v>
      </c>
      <c r="AF171" s="9">
        <v>1.41739259447867</v>
      </c>
      <c r="AG171" s="9">
        <v>72.35</v>
      </c>
      <c r="AH171" s="9">
        <v>49.65</v>
      </c>
      <c r="AI171" s="9">
        <v>63.27</v>
      </c>
      <c r="AJ171" s="9">
        <v>0.0498</v>
      </c>
      <c r="AK171" s="9">
        <v>80</v>
      </c>
      <c r="AL171" s="9">
        <v>100</v>
      </c>
      <c r="AM171" s="9">
        <v>52.62</v>
      </c>
      <c r="AN171" s="9">
        <v>53.85</v>
      </c>
      <c r="AO171" s="9">
        <v>63.27</v>
      </c>
      <c r="AP171" s="9">
        <v>80</v>
      </c>
      <c r="AQ171" s="12">
        <v>1</v>
      </c>
      <c r="AR171" s="9">
        <v>65.96829</v>
      </c>
      <c r="AS171" s="9">
        <v>65.97</v>
      </c>
      <c r="AT171" s="9">
        <v>127</v>
      </c>
      <c r="AU171" s="9"/>
      <c r="AV171" s="9">
        <v>100</v>
      </c>
      <c r="AW171" s="9" t="s">
        <v>2319</v>
      </c>
      <c r="AX171" s="9">
        <v>45194</v>
      </c>
      <c r="AY171" s="9" t="s">
        <v>2320</v>
      </c>
      <c r="AZ171" s="9" t="s">
        <v>2321</v>
      </c>
      <c r="BA171" s="9">
        <v>45560</v>
      </c>
      <c r="BB171" s="9" t="s">
        <v>785</v>
      </c>
      <c r="BC171" s="9" t="s">
        <v>2322</v>
      </c>
      <c r="BD171" s="9" t="s">
        <v>1566</v>
      </c>
      <c r="BE171" s="13">
        <v>65.96829</v>
      </c>
      <c r="BF171" s="13">
        <v>65.97</v>
      </c>
      <c r="BG171" s="12">
        <v>1</v>
      </c>
      <c r="BH171" s="9">
        <v>65.96829</v>
      </c>
      <c r="BI171" s="9" t="s">
        <v>1567</v>
      </c>
    </row>
    <row r="172" ht="25" customHeight="1" spans="1:61">
      <c r="A172" s="9">
        <v>171</v>
      </c>
      <c r="B172" s="9" t="s">
        <v>2323</v>
      </c>
      <c r="C172" s="9" t="s">
        <v>2324</v>
      </c>
      <c r="D172" s="9" t="s">
        <v>2325</v>
      </c>
      <c r="E172" s="10">
        <v>42611</v>
      </c>
      <c r="F172" s="9">
        <v>10.0233</v>
      </c>
      <c r="G172" s="9" t="s">
        <v>1561</v>
      </c>
      <c r="H172" s="9" t="s">
        <v>546</v>
      </c>
      <c r="I172" s="9">
        <v>70</v>
      </c>
      <c r="J172" s="9" t="s">
        <v>1562</v>
      </c>
      <c r="K172" s="9">
        <v>100</v>
      </c>
      <c r="L172" s="9">
        <v>100</v>
      </c>
      <c r="M172" s="11">
        <v>0.2011</v>
      </c>
      <c r="N172" s="11">
        <v>0.0977</v>
      </c>
      <c r="O172" s="11"/>
      <c r="P172" s="11">
        <v>0.0493875631170198</v>
      </c>
      <c r="Q172" s="9">
        <v>88.18</v>
      </c>
      <c r="R172" s="9">
        <v>31.43</v>
      </c>
      <c r="S172" s="9">
        <v>65.48</v>
      </c>
      <c r="T172" s="11">
        <v>0.7692</v>
      </c>
      <c r="U172" s="11">
        <v>0.5946</v>
      </c>
      <c r="V172" s="11">
        <v>0.500025</v>
      </c>
      <c r="W172" s="9">
        <v>76.92</v>
      </c>
      <c r="X172" s="9">
        <v>50.0025</v>
      </c>
      <c r="Y172" s="9">
        <v>66.15</v>
      </c>
      <c r="Z172" s="9">
        <v>0.0309037542452323</v>
      </c>
      <c r="AA172" s="9">
        <v>0.0309</v>
      </c>
      <c r="AB172" s="9">
        <v>0.0309037542452323</v>
      </c>
      <c r="AC172" s="9">
        <v>58.33</v>
      </c>
      <c r="AD172" s="9">
        <v>6.5073</v>
      </c>
      <c r="AE172" s="9"/>
      <c r="AF172" s="9"/>
      <c r="AG172" s="9">
        <v>69.13</v>
      </c>
      <c r="AH172" s="9"/>
      <c r="AI172" s="9">
        <v>69.13</v>
      </c>
      <c r="AJ172" s="9">
        <v>0.0977</v>
      </c>
      <c r="AK172" s="9">
        <v>100</v>
      </c>
      <c r="AL172" s="9">
        <v>88</v>
      </c>
      <c r="AM172" s="9">
        <v>65.68</v>
      </c>
      <c r="AN172" s="9">
        <v>58.33</v>
      </c>
      <c r="AO172" s="9">
        <v>69.13</v>
      </c>
      <c r="AP172" s="9">
        <v>100</v>
      </c>
      <c r="AQ172" s="12">
        <v>0.88</v>
      </c>
      <c r="AR172" s="9">
        <v>63.36228</v>
      </c>
      <c r="AS172" s="9">
        <v>72</v>
      </c>
      <c r="AT172" s="9">
        <v>91</v>
      </c>
      <c r="AU172" s="9" t="s">
        <v>1563</v>
      </c>
      <c r="AV172" s="9">
        <v>5</v>
      </c>
      <c r="AW172" s="9" t="s">
        <v>2326</v>
      </c>
      <c r="AX172" s="9">
        <v>46027</v>
      </c>
      <c r="AY172" s="9" t="s">
        <v>2327</v>
      </c>
      <c r="AZ172" s="9" t="s">
        <v>2328</v>
      </c>
      <c r="BA172" s="9">
        <v>45905</v>
      </c>
      <c r="BB172" s="9" t="s">
        <v>785</v>
      </c>
      <c r="BC172" s="9" t="s">
        <v>2329</v>
      </c>
      <c r="BD172" s="9" t="s">
        <v>1566</v>
      </c>
      <c r="BE172" s="13"/>
      <c r="BF172" s="13">
        <v>72</v>
      </c>
      <c r="BG172" s="12">
        <v>0.88</v>
      </c>
      <c r="BH172" s="9">
        <v>63.36228</v>
      </c>
      <c r="BI172" s="9" t="s">
        <v>1567</v>
      </c>
    </row>
    <row r="173" ht="25" customHeight="1" spans="1:61">
      <c r="A173" s="9">
        <v>172</v>
      </c>
      <c r="B173" s="9" t="s">
        <v>2330</v>
      </c>
      <c r="C173" s="9" t="s">
        <v>2331</v>
      </c>
      <c r="D173" s="9" t="s">
        <v>2332</v>
      </c>
      <c r="E173" s="10">
        <v>42347</v>
      </c>
      <c r="F173" s="9">
        <v>10.7461</v>
      </c>
      <c r="G173" s="9" t="s">
        <v>1561</v>
      </c>
      <c r="H173" s="9" t="s">
        <v>542</v>
      </c>
      <c r="I173" s="9">
        <v>60</v>
      </c>
      <c r="J173" s="9" t="s">
        <v>1562</v>
      </c>
      <c r="K173" s="9">
        <v>100</v>
      </c>
      <c r="L173" s="9">
        <v>100</v>
      </c>
      <c r="M173" s="11">
        <v>0.2638</v>
      </c>
      <c r="N173" s="11">
        <v>0.2394</v>
      </c>
      <c r="O173" s="11"/>
      <c r="P173" s="11">
        <v>0.227377230305494</v>
      </c>
      <c r="Q173" s="9">
        <v>93.61</v>
      </c>
      <c r="R173" s="9">
        <v>93.81</v>
      </c>
      <c r="S173" s="9">
        <v>93.69</v>
      </c>
      <c r="T173" s="11">
        <v>0.6154</v>
      </c>
      <c r="U173" s="11">
        <v>0.5676</v>
      </c>
      <c r="V173" s="11">
        <v>0.541708333333333</v>
      </c>
      <c r="W173" s="9">
        <v>61.54</v>
      </c>
      <c r="X173" s="9">
        <v>54.1708333333333</v>
      </c>
      <c r="Y173" s="9">
        <v>58.59</v>
      </c>
      <c r="Z173" s="9">
        <v>0.185369966973509</v>
      </c>
      <c r="AA173" s="9">
        <v>0.3506</v>
      </c>
      <c r="AB173" s="9">
        <v>0.3506</v>
      </c>
      <c r="AC173" s="9">
        <v>1.92</v>
      </c>
      <c r="AD173" s="9">
        <v>1.4231</v>
      </c>
      <c r="AE173" s="9">
        <v>0.3506</v>
      </c>
      <c r="AF173" s="9">
        <v>0.648537450956913</v>
      </c>
      <c r="AG173" s="9">
        <v>36.33</v>
      </c>
      <c r="AH173" s="9">
        <v>22.7</v>
      </c>
      <c r="AI173" s="9">
        <v>30.88</v>
      </c>
      <c r="AJ173" s="9">
        <v>0.2394</v>
      </c>
      <c r="AK173" s="9">
        <v>100</v>
      </c>
      <c r="AL173" s="9">
        <v>84</v>
      </c>
      <c r="AM173" s="9">
        <v>83.16</v>
      </c>
      <c r="AN173" s="9">
        <v>1.92</v>
      </c>
      <c r="AO173" s="9">
        <v>30.88</v>
      </c>
      <c r="AP173" s="9">
        <v>100</v>
      </c>
      <c r="AQ173" s="12">
        <v>1</v>
      </c>
      <c r="AR173" s="9">
        <v>48.97554</v>
      </c>
      <c r="AS173" s="9">
        <v>48.98</v>
      </c>
      <c r="AT173" s="9">
        <v>226</v>
      </c>
      <c r="AU173" s="9"/>
      <c r="AV173" s="9">
        <v>0</v>
      </c>
      <c r="AW173" s="9" t="s">
        <v>2333</v>
      </c>
      <c r="AX173" s="9">
        <v>46029</v>
      </c>
      <c r="AY173" s="9" t="s">
        <v>2334</v>
      </c>
      <c r="AZ173" s="9" t="s">
        <v>2335</v>
      </c>
      <c r="BA173" s="9">
        <v>46035</v>
      </c>
      <c r="BB173" s="9" t="s">
        <v>785</v>
      </c>
      <c r="BC173" s="9" t="s">
        <v>2336</v>
      </c>
      <c r="BD173" s="9" t="s">
        <v>1566</v>
      </c>
      <c r="BE173" s="13">
        <v>48.97554</v>
      </c>
      <c r="BF173" s="13">
        <v>48.98</v>
      </c>
      <c r="BG173" s="12">
        <v>1</v>
      </c>
      <c r="BH173" s="9">
        <v>48.97554</v>
      </c>
      <c r="BI173" s="9" t="s">
        <v>1567</v>
      </c>
    </row>
    <row r="174" ht="25" customHeight="1" spans="1:61">
      <c r="A174" s="9">
        <v>173</v>
      </c>
      <c r="B174" s="9" t="s">
        <v>2337</v>
      </c>
      <c r="C174" s="9" t="s">
        <v>2338</v>
      </c>
      <c r="D174" s="9" t="s">
        <v>2339</v>
      </c>
      <c r="E174" s="10">
        <v>42258</v>
      </c>
      <c r="F174" s="9">
        <v>10.9897</v>
      </c>
      <c r="G174" s="9" t="s">
        <v>1561</v>
      </c>
      <c r="H174" s="9" t="s">
        <v>572</v>
      </c>
      <c r="I174" s="9">
        <v>100</v>
      </c>
      <c r="J174" s="9" t="s">
        <v>1562</v>
      </c>
      <c r="K174" s="9">
        <v>100</v>
      </c>
      <c r="L174" s="9">
        <v>100</v>
      </c>
      <c r="M174" s="11">
        <v>0.1078</v>
      </c>
      <c r="N174" s="11">
        <v>0.0827</v>
      </c>
      <c r="O174" s="11"/>
      <c r="P174" s="11">
        <v>0.0703640761610966</v>
      </c>
      <c r="Q174" s="9">
        <v>75.4</v>
      </c>
      <c r="R174" s="9">
        <v>50.95</v>
      </c>
      <c r="S174" s="9">
        <v>65.62</v>
      </c>
      <c r="T174" s="11">
        <v>0.8462</v>
      </c>
      <c r="U174" s="11">
        <v>0.75</v>
      </c>
      <c r="V174" s="11">
        <v>0.697891666666667</v>
      </c>
      <c r="W174" s="9">
        <v>84.62</v>
      </c>
      <c r="X174" s="9">
        <v>69.7891666666667</v>
      </c>
      <c r="Y174" s="9">
        <v>78.69</v>
      </c>
      <c r="Z174" s="9">
        <v>0.0509066868152626</v>
      </c>
      <c r="AA174" s="9">
        <v>0.0512</v>
      </c>
      <c r="AB174" s="9">
        <v>0.0512</v>
      </c>
      <c r="AC174" s="9">
        <v>43.91</v>
      </c>
      <c r="AD174" s="9">
        <v>2.1176</v>
      </c>
      <c r="AE174" s="9">
        <v>0.0512</v>
      </c>
      <c r="AF174" s="9">
        <v>1.37429836252142</v>
      </c>
      <c r="AG174" s="9">
        <v>47.27</v>
      </c>
      <c r="AH174" s="9">
        <v>48.94</v>
      </c>
      <c r="AI174" s="9">
        <v>47.94</v>
      </c>
      <c r="AJ174" s="9">
        <v>0.0827</v>
      </c>
      <c r="AK174" s="9">
        <v>100</v>
      </c>
      <c r="AL174" s="9">
        <v>100</v>
      </c>
      <c r="AM174" s="9">
        <v>69.54</v>
      </c>
      <c r="AN174" s="9">
        <v>43.91</v>
      </c>
      <c r="AO174" s="9">
        <v>47.94</v>
      </c>
      <c r="AP174" s="9">
        <v>100</v>
      </c>
      <c r="AQ174" s="12">
        <v>1</v>
      </c>
      <c r="AR174" s="9">
        <v>64.26696</v>
      </c>
      <c r="AS174" s="9">
        <v>64.27</v>
      </c>
      <c r="AT174" s="9">
        <v>135</v>
      </c>
      <c r="AU174" s="9"/>
      <c r="AV174" s="9">
        <v>100</v>
      </c>
      <c r="AW174" s="9" t="s">
        <v>2340</v>
      </c>
      <c r="AX174" s="9">
        <v>46077</v>
      </c>
      <c r="AY174" s="9" t="s">
        <v>2341</v>
      </c>
      <c r="AZ174" s="9" t="s">
        <v>2337</v>
      </c>
      <c r="BA174" s="9">
        <v>46098</v>
      </c>
      <c r="BB174" s="9" t="s">
        <v>785</v>
      </c>
      <c r="BC174" s="9" t="s">
        <v>2342</v>
      </c>
      <c r="BD174" s="9" t="s">
        <v>1566</v>
      </c>
      <c r="BE174" s="13">
        <v>64.26696</v>
      </c>
      <c r="BF174" s="13">
        <v>64.27</v>
      </c>
      <c r="BG174" s="12">
        <v>1</v>
      </c>
      <c r="BH174" s="9">
        <v>64.26696</v>
      </c>
      <c r="BI174" s="9" t="s">
        <v>1567</v>
      </c>
    </row>
    <row r="175" ht="25" customHeight="1" spans="1:61">
      <c r="A175" s="9">
        <v>174</v>
      </c>
      <c r="B175" s="9" t="s">
        <v>2343</v>
      </c>
      <c r="C175" s="9" t="s">
        <v>2344</v>
      </c>
      <c r="D175" s="9" t="s">
        <v>1574</v>
      </c>
      <c r="E175" s="10">
        <v>42191</v>
      </c>
      <c r="F175" s="9">
        <v>11.1732</v>
      </c>
      <c r="G175" s="9" t="s">
        <v>1561</v>
      </c>
      <c r="H175" s="9" t="s">
        <v>572</v>
      </c>
      <c r="I175" s="9">
        <v>100</v>
      </c>
      <c r="J175" s="9" t="s">
        <v>1562</v>
      </c>
      <c r="K175" s="9">
        <v>100</v>
      </c>
      <c r="L175" s="9">
        <v>100</v>
      </c>
      <c r="M175" s="11">
        <v>0.0229</v>
      </c>
      <c r="N175" s="11">
        <v>0.0943</v>
      </c>
      <c r="O175" s="11"/>
      <c r="P175" s="11">
        <v>0.131847743949005</v>
      </c>
      <c r="Q175" s="9">
        <v>24.44</v>
      </c>
      <c r="R175" s="9">
        <v>81.43</v>
      </c>
      <c r="S175" s="9">
        <v>47.24</v>
      </c>
      <c r="T175" s="11">
        <v>0.7692</v>
      </c>
      <c r="U175" s="11">
        <v>0.8056</v>
      </c>
      <c r="V175" s="11">
        <v>0.825316666666667</v>
      </c>
      <c r="W175" s="9">
        <v>76.92</v>
      </c>
      <c r="X175" s="9">
        <v>82.5316666666667</v>
      </c>
      <c r="Y175" s="9">
        <v>79.16</v>
      </c>
      <c r="Z175" s="9">
        <v>0.0358148263997498</v>
      </c>
      <c r="AA175" s="9">
        <v>0.0999</v>
      </c>
      <c r="AB175" s="9">
        <v>0.0999</v>
      </c>
      <c r="AC175" s="9">
        <v>26.28</v>
      </c>
      <c r="AD175" s="9">
        <v>0.6394</v>
      </c>
      <c r="AE175" s="9">
        <v>0.0999</v>
      </c>
      <c r="AF175" s="9">
        <v>1.31979723672678</v>
      </c>
      <c r="AG175" s="9">
        <v>25.72</v>
      </c>
      <c r="AH175" s="9">
        <v>48.23</v>
      </c>
      <c r="AI175" s="9">
        <v>34.72</v>
      </c>
      <c r="AJ175" s="9">
        <v>0.0943</v>
      </c>
      <c r="AK175" s="9">
        <v>80</v>
      </c>
      <c r="AL175" s="9">
        <v>100</v>
      </c>
      <c r="AM175" s="9">
        <v>56.81</v>
      </c>
      <c r="AN175" s="9">
        <v>26.28</v>
      </c>
      <c r="AO175" s="9">
        <v>34.72</v>
      </c>
      <c r="AP175" s="9">
        <v>80</v>
      </c>
      <c r="AQ175" s="12">
        <v>1</v>
      </c>
      <c r="AR175" s="9">
        <v>51.35012</v>
      </c>
      <c r="AS175" s="9">
        <v>51.35</v>
      </c>
      <c r="AT175" s="9">
        <v>213</v>
      </c>
      <c r="AU175" s="9"/>
      <c r="AV175" s="9">
        <v>100</v>
      </c>
      <c r="AW175" s="9" t="s">
        <v>1575</v>
      </c>
      <c r="AX175" s="9">
        <v>46140</v>
      </c>
      <c r="AY175" s="9" t="s">
        <v>1576</v>
      </c>
      <c r="AZ175" s="9" t="s">
        <v>2343</v>
      </c>
      <c r="BA175" s="9">
        <v>45512</v>
      </c>
      <c r="BB175" s="9" t="s">
        <v>785</v>
      </c>
      <c r="BC175" s="9" t="s">
        <v>2345</v>
      </c>
      <c r="BD175" s="9" t="s">
        <v>1566</v>
      </c>
      <c r="BE175" s="13">
        <v>51.35012</v>
      </c>
      <c r="BF175" s="13">
        <v>51.35</v>
      </c>
      <c r="BG175" s="12">
        <v>1</v>
      </c>
      <c r="BH175" s="9">
        <v>51.35012</v>
      </c>
      <c r="BI175" s="9" t="s">
        <v>1567</v>
      </c>
    </row>
    <row r="176" ht="25" customHeight="1" spans="1:61">
      <c r="A176" s="9">
        <v>175</v>
      </c>
      <c r="B176" s="9" t="s">
        <v>170</v>
      </c>
      <c r="C176" s="9" t="s">
        <v>171</v>
      </c>
      <c r="D176" s="9" t="s">
        <v>172</v>
      </c>
      <c r="E176" s="10">
        <v>42772</v>
      </c>
      <c r="F176" s="9">
        <v>9.5825</v>
      </c>
      <c r="G176" s="9" t="s">
        <v>1561</v>
      </c>
      <c r="H176" s="9" t="s">
        <v>542</v>
      </c>
      <c r="I176" s="9">
        <v>60</v>
      </c>
      <c r="J176" s="9" t="s">
        <v>1562</v>
      </c>
      <c r="K176" s="9">
        <v>100</v>
      </c>
      <c r="L176" s="9">
        <v>100</v>
      </c>
      <c r="M176" s="11">
        <v>0.0767</v>
      </c>
      <c r="N176" s="11">
        <v>0.0422</v>
      </c>
      <c r="O176" s="11"/>
      <c r="P176" s="11">
        <v>0.0253667888082647</v>
      </c>
      <c r="Q176" s="9">
        <v>59.11</v>
      </c>
      <c r="R176" s="9">
        <v>11.43</v>
      </c>
      <c r="S176" s="9">
        <v>40.04</v>
      </c>
      <c r="T176" s="11">
        <v>1</v>
      </c>
      <c r="U176" s="11">
        <v>0.8056</v>
      </c>
      <c r="V176" s="11">
        <v>0.7003</v>
      </c>
      <c r="W176" s="9">
        <v>100</v>
      </c>
      <c r="X176" s="9">
        <v>70.03</v>
      </c>
      <c r="Y176" s="9">
        <v>88.01</v>
      </c>
      <c r="Z176" s="9">
        <v>0.00781831340529851</v>
      </c>
      <c r="AA176" s="9">
        <v>0.0106</v>
      </c>
      <c r="AB176" s="9">
        <v>0.0106</v>
      </c>
      <c r="AC176" s="9">
        <v>84.29</v>
      </c>
      <c r="AD176" s="9">
        <v>9.8103</v>
      </c>
      <c r="AE176" s="9">
        <v>0.0106</v>
      </c>
      <c r="AF176" s="9">
        <v>2.39309328379856</v>
      </c>
      <c r="AG176" s="9">
        <v>78.78</v>
      </c>
      <c r="AH176" s="9">
        <v>67.38</v>
      </c>
      <c r="AI176" s="9">
        <v>74.22</v>
      </c>
      <c r="AJ176" s="9">
        <v>0.0422</v>
      </c>
      <c r="AK176" s="9">
        <v>100</v>
      </c>
      <c r="AL176" s="9">
        <v>84</v>
      </c>
      <c r="AM176" s="9">
        <v>54.43</v>
      </c>
      <c r="AN176" s="9">
        <v>84.29</v>
      </c>
      <c r="AO176" s="9">
        <v>74.22</v>
      </c>
      <c r="AP176" s="9">
        <v>100</v>
      </c>
      <c r="AQ176" s="12">
        <v>1</v>
      </c>
      <c r="AR176" s="9">
        <v>76.82454</v>
      </c>
      <c r="AS176" s="9">
        <v>76.82</v>
      </c>
      <c r="AT176" s="9">
        <v>65</v>
      </c>
      <c r="AU176" s="9"/>
      <c r="AV176" s="9">
        <v>0</v>
      </c>
      <c r="AW176" s="9" t="s">
        <v>1288</v>
      </c>
      <c r="AX176" s="9">
        <v>46231</v>
      </c>
      <c r="AY176" s="9" t="s">
        <v>1290</v>
      </c>
      <c r="AZ176" s="9" t="s">
        <v>2346</v>
      </c>
      <c r="BA176" s="9">
        <v>44098</v>
      </c>
      <c r="BB176" s="9" t="s">
        <v>785</v>
      </c>
      <c r="BC176" s="9" t="s">
        <v>874</v>
      </c>
      <c r="BD176" s="9" t="s">
        <v>1566</v>
      </c>
      <c r="BE176" s="13">
        <v>76.82454</v>
      </c>
      <c r="BF176" s="13">
        <v>76.82</v>
      </c>
      <c r="BG176" s="12">
        <v>1</v>
      </c>
      <c r="BH176" s="9">
        <v>76.82454</v>
      </c>
      <c r="BI176" s="9" t="s">
        <v>1567</v>
      </c>
    </row>
    <row r="177" ht="25" customHeight="1" spans="1:61">
      <c r="A177" s="9">
        <v>176</v>
      </c>
      <c r="B177" s="9" t="s">
        <v>2347</v>
      </c>
      <c r="C177" s="9" t="s">
        <v>2348</v>
      </c>
      <c r="D177" s="9" t="s">
        <v>2318</v>
      </c>
      <c r="E177" s="10">
        <v>43031</v>
      </c>
      <c r="F177" s="9">
        <v>8.8734</v>
      </c>
      <c r="G177" s="9" t="s">
        <v>1561</v>
      </c>
      <c r="H177" s="9" t="s">
        <v>572</v>
      </c>
      <c r="I177" s="9">
        <v>100</v>
      </c>
      <c r="J177" s="9" t="s">
        <v>1562</v>
      </c>
      <c r="K177" s="9">
        <v>100</v>
      </c>
      <c r="L177" s="9">
        <v>100</v>
      </c>
      <c r="M177" s="11">
        <v>0.058</v>
      </c>
      <c r="N177" s="11">
        <v>0.0449</v>
      </c>
      <c r="O177" s="11"/>
      <c r="P177" s="11">
        <v>0.0384109519599085</v>
      </c>
      <c r="Q177" s="9">
        <v>46.33</v>
      </c>
      <c r="R177" s="9">
        <v>20.95</v>
      </c>
      <c r="S177" s="9">
        <v>36.18</v>
      </c>
      <c r="T177" s="11">
        <v>0.8462</v>
      </c>
      <c r="U177" s="11">
        <v>0.8056</v>
      </c>
      <c r="V177" s="11">
        <v>0.783608333333333</v>
      </c>
      <c r="W177" s="9">
        <v>84.62</v>
      </c>
      <c r="X177" s="9">
        <v>78.3608333333333</v>
      </c>
      <c r="Y177" s="9">
        <v>82.12</v>
      </c>
      <c r="Z177" s="9">
        <v>0.00587764367291926</v>
      </c>
      <c r="AA177" s="9">
        <v>0.0211</v>
      </c>
      <c r="AB177" s="9">
        <v>0.0211</v>
      </c>
      <c r="AC177" s="9">
        <v>70.67</v>
      </c>
      <c r="AD177" s="9">
        <v>9.8679</v>
      </c>
      <c r="AE177" s="9">
        <v>0.0211</v>
      </c>
      <c r="AF177" s="9">
        <v>1.82042426350277</v>
      </c>
      <c r="AG177" s="9">
        <v>79.1</v>
      </c>
      <c r="AH177" s="9">
        <v>57.45</v>
      </c>
      <c r="AI177" s="9">
        <v>70.44</v>
      </c>
      <c r="AJ177" s="9">
        <v>0.0449</v>
      </c>
      <c r="AK177" s="9">
        <v>100</v>
      </c>
      <c r="AL177" s="9">
        <v>100</v>
      </c>
      <c r="AM177" s="9">
        <v>49.96</v>
      </c>
      <c r="AN177" s="9">
        <v>70.67</v>
      </c>
      <c r="AO177" s="9">
        <v>70.44</v>
      </c>
      <c r="AP177" s="9">
        <v>100</v>
      </c>
      <c r="AQ177" s="12">
        <v>1</v>
      </c>
      <c r="AR177" s="9">
        <v>73.7914</v>
      </c>
      <c r="AS177" s="9">
        <v>73.79</v>
      </c>
      <c r="AT177" s="9">
        <v>81</v>
      </c>
      <c r="AU177" s="9"/>
      <c r="AV177" s="9">
        <v>100</v>
      </c>
      <c r="AW177" s="9" t="s">
        <v>2319</v>
      </c>
      <c r="AX177" s="9">
        <v>45194</v>
      </c>
      <c r="AY177" s="9" t="s">
        <v>2320</v>
      </c>
      <c r="AZ177" s="9" t="s">
        <v>2349</v>
      </c>
      <c r="BA177" s="9">
        <v>46265</v>
      </c>
      <c r="BB177" s="9" t="s">
        <v>785</v>
      </c>
      <c r="BC177" s="9" t="s">
        <v>2350</v>
      </c>
      <c r="BD177" s="9" t="s">
        <v>1566</v>
      </c>
      <c r="BE177" s="13">
        <v>73.7914</v>
      </c>
      <c r="BF177" s="13">
        <v>73.79</v>
      </c>
      <c r="BG177" s="12">
        <v>1</v>
      </c>
      <c r="BH177" s="9">
        <v>73.7914</v>
      </c>
      <c r="BI177" s="9" t="s">
        <v>1567</v>
      </c>
    </row>
    <row r="178" ht="25" customHeight="1" spans="1:61">
      <c r="A178" s="9">
        <v>177</v>
      </c>
      <c r="B178" s="9" t="s">
        <v>375</v>
      </c>
      <c r="C178" s="9" t="s">
        <v>376</v>
      </c>
      <c r="D178" s="9" t="s">
        <v>377</v>
      </c>
      <c r="E178" s="10">
        <v>43041</v>
      </c>
      <c r="F178" s="9">
        <v>8.846</v>
      </c>
      <c r="G178" s="9" t="s">
        <v>1561</v>
      </c>
      <c r="H178" s="9" t="s">
        <v>557</v>
      </c>
      <c r="I178" s="9">
        <v>90</v>
      </c>
      <c r="J178" s="9" t="s">
        <v>1562</v>
      </c>
      <c r="K178" s="9">
        <v>100</v>
      </c>
      <c r="L178" s="9">
        <v>100</v>
      </c>
      <c r="M178" s="11">
        <v>0.0057</v>
      </c>
      <c r="N178" s="11">
        <v>0.0492</v>
      </c>
      <c r="O178" s="11"/>
      <c r="P178" s="11">
        <v>0.0716505663465121</v>
      </c>
      <c r="Q178" s="9">
        <v>16.29</v>
      </c>
      <c r="R178" s="9">
        <v>52.86</v>
      </c>
      <c r="S178" s="9">
        <v>30.92</v>
      </c>
      <c r="T178" s="11">
        <v>0.6923</v>
      </c>
      <c r="U178" s="11">
        <v>0.7027</v>
      </c>
      <c r="V178" s="11">
        <v>0.708333333333333</v>
      </c>
      <c r="W178" s="9">
        <v>69.23</v>
      </c>
      <c r="X178" s="9">
        <v>70.8333333333333</v>
      </c>
      <c r="Y178" s="9">
        <v>69.87</v>
      </c>
      <c r="Z178" s="9">
        <v>0.0310796074154853</v>
      </c>
      <c r="AA178" s="9">
        <v>0.0393</v>
      </c>
      <c r="AB178" s="9">
        <v>0.0393</v>
      </c>
      <c r="AC178" s="9">
        <v>52.24</v>
      </c>
      <c r="AD178" s="9">
        <v>0.1834</v>
      </c>
      <c r="AE178" s="9">
        <v>0.0393</v>
      </c>
      <c r="AF178" s="9">
        <v>1.82316962713771</v>
      </c>
      <c r="AG178" s="9">
        <v>18.65</v>
      </c>
      <c r="AH178" s="9">
        <v>58.87</v>
      </c>
      <c r="AI178" s="9">
        <v>34.74</v>
      </c>
      <c r="AJ178" s="9">
        <v>0.0492</v>
      </c>
      <c r="AK178" s="9">
        <v>80</v>
      </c>
      <c r="AL178" s="9">
        <v>96</v>
      </c>
      <c r="AM178" s="9">
        <v>42.6</v>
      </c>
      <c r="AN178" s="9">
        <v>52.24</v>
      </c>
      <c r="AO178" s="9">
        <v>34.74</v>
      </c>
      <c r="AP178" s="9">
        <v>80</v>
      </c>
      <c r="AQ178" s="12">
        <v>1</v>
      </c>
      <c r="AR178" s="9">
        <v>54.4022</v>
      </c>
      <c r="AS178" s="9">
        <v>54.4</v>
      </c>
      <c r="AT178" s="9">
        <v>195</v>
      </c>
      <c r="AU178" s="9"/>
      <c r="AV178" s="9">
        <v>20</v>
      </c>
      <c r="AW178" s="9" t="s">
        <v>1380</v>
      </c>
      <c r="AX178" s="9">
        <v>46027</v>
      </c>
      <c r="AY178" s="9" t="s">
        <v>1382</v>
      </c>
      <c r="AZ178" s="9" t="s">
        <v>2351</v>
      </c>
      <c r="BA178" s="9">
        <v>43928</v>
      </c>
      <c r="BB178" s="9" t="s">
        <v>785</v>
      </c>
      <c r="BC178" s="9" t="s">
        <v>946</v>
      </c>
      <c r="BD178" s="9" t="s">
        <v>1566</v>
      </c>
      <c r="BE178" s="13">
        <v>54.4022</v>
      </c>
      <c r="BF178" s="13">
        <v>54.4</v>
      </c>
      <c r="BG178" s="12">
        <v>1</v>
      </c>
      <c r="BH178" s="9">
        <v>54.4022</v>
      </c>
      <c r="BI178" s="9" t="s">
        <v>1567</v>
      </c>
    </row>
    <row r="179" ht="25" customHeight="1" spans="1:61">
      <c r="A179" s="9">
        <v>178</v>
      </c>
      <c r="B179" s="9" t="s">
        <v>2352</v>
      </c>
      <c r="C179" s="9" t="s">
        <v>2353</v>
      </c>
      <c r="D179" s="9" t="s">
        <v>2339</v>
      </c>
      <c r="E179" s="10">
        <v>43340</v>
      </c>
      <c r="F179" s="9">
        <v>8.0274</v>
      </c>
      <c r="G179" s="9" t="s">
        <v>1561</v>
      </c>
      <c r="H179" s="9" t="s">
        <v>572</v>
      </c>
      <c r="I179" s="9">
        <v>100</v>
      </c>
      <c r="J179" s="9" t="s">
        <v>1562</v>
      </c>
      <c r="K179" s="9">
        <v>100</v>
      </c>
      <c r="L179" s="9">
        <v>100</v>
      </c>
      <c r="M179" s="11">
        <v>0.0944</v>
      </c>
      <c r="N179" s="11">
        <v>0.0697</v>
      </c>
      <c r="O179" s="11"/>
      <c r="P179" s="11">
        <v>0.057559842565724</v>
      </c>
      <c r="Q179" s="9">
        <v>71.09</v>
      </c>
      <c r="R179" s="9">
        <v>39.05</v>
      </c>
      <c r="S179" s="9">
        <v>58.27</v>
      </c>
      <c r="T179" s="11">
        <v>0.6923</v>
      </c>
      <c r="U179" s="11">
        <v>0.7297</v>
      </c>
      <c r="V179" s="11">
        <v>0.749958333333333</v>
      </c>
      <c r="W179" s="9">
        <v>69.23</v>
      </c>
      <c r="X179" s="9">
        <v>74.9958333333333</v>
      </c>
      <c r="Y179" s="9">
        <v>71.54</v>
      </c>
      <c r="Z179" s="9">
        <v>0.0511764068090643</v>
      </c>
      <c r="AA179" s="9">
        <v>0.0641</v>
      </c>
      <c r="AB179" s="9">
        <v>0.0641</v>
      </c>
      <c r="AC179" s="9">
        <v>37.5</v>
      </c>
      <c r="AD179" s="9">
        <v>1.8446</v>
      </c>
      <c r="AE179" s="9">
        <v>0.0641</v>
      </c>
      <c r="AF179" s="9">
        <v>0.897969462803806</v>
      </c>
      <c r="AG179" s="9">
        <v>42.44</v>
      </c>
      <c r="AH179" s="9">
        <v>31.91</v>
      </c>
      <c r="AI179" s="9">
        <v>38.23</v>
      </c>
      <c r="AJ179" s="9">
        <v>0.0697</v>
      </c>
      <c r="AK179" s="9">
        <v>100</v>
      </c>
      <c r="AL179" s="9">
        <v>100</v>
      </c>
      <c r="AM179" s="9">
        <v>62.25</v>
      </c>
      <c r="AN179" s="9">
        <v>37.5</v>
      </c>
      <c r="AO179" s="9">
        <v>38.23</v>
      </c>
      <c r="AP179" s="9">
        <v>100</v>
      </c>
      <c r="AQ179" s="12">
        <v>1</v>
      </c>
      <c r="AR179" s="9">
        <v>58.29394</v>
      </c>
      <c r="AS179" s="9">
        <v>58.29</v>
      </c>
      <c r="AT179" s="9">
        <v>168</v>
      </c>
      <c r="AU179" s="9"/>
      <c r="AV179" s="9">
        <v>100</v>
      </c>
      <c r="AW179" s="9" t="s">
        <v>2340</v>
      </c>
      <c r="AX179" s="9">
        <v>46077</v>
      </c>
      <c r="AY179" s="9" t="s">
        <v>2341</v>
      </c>
      <c r="AZ179" s="9" t="s">
        <v>2354</v>
      </c>
      <c r="BA179" s="9">
        <v>45763</v>
      </c>
      <c r="BB179" s="9" t="s">
        <v>785</v>
      </c>
      <c r="BC179" s="9" t="s">
        <v>2355</v>
      </c>
      <c r="BD179" s="9" t="s">
        <v>1566</v>
      </c>
      <c r="BE179" s="13">
        <v>58.29394</v>
      </c>
      <c r="BF179" s="13">
        <v>58.29</v>
      </c>
      <c r="BG179" s="12">
        <v>1</v>
      </c>
      <c r="BH179" s="9">
        <v>58.29394</v>
      </c>
      <c r="BI179" s="9" t="s">
        <v>1567</v>
      </c>
    </row>
    <row r="180" ht="25" customHeight="1" spans="1:61">
      <c r="A180" s="9">
        <v>179</v>
      </c>
      <c r="B180" s="9" t="s">
        <v>129</v>
      </c>
      <c r="C180" s="9" t="s">
        <v>130</v>
      </c>
      <c r="D180" s="9" t="s">
        <v>131</v>
      </c>
      <c r="E180" s="10">
        <v>43334</v>
      </c>
      <c r="F180" s="9">
        <v>8.0438</v>
      </c>
      <c r="G180" s="9" t="s">
        <v>1561</v>
      </c>
      <c r="H180" s="9" t="s">
        <v>542</v>
      </c>
      <c r="I180" s="9">
        <v>60</v>
      </c>
      <c r="J180" s="9" t="s">
        <v>1562</v>
      </c>
      <c r="K180" s="9">
        <v>100</v>
      </c>
      <c r="L180" s="9">
        <v>100</v>
      </c>
      <c r="M180" s="11">
        <v>0.067</v>
      </c>
      <c r="N180" s="11">
        <v>0.0857</v>
      </c>
      <c r="O180" s="11"/>
      <c r="P180" s="11">
        <v>0.0951725428386292</v>
      </c>
      <c r="Q180" s="9">
        <v>53.35</v>
      </c>
      <c r="R180" s="9">
        <v>68.57</v>
      </c>
      <c r="S180" s="9">
        <v>59.44</v>
      </c>
      <c r="T180" s="11">
        <v>0.9231</v>
      </c>
      <c r="U180" s="11">
        <v>0.7778</v>
      </c>
      <c r="V180" s="11">
        <v>0.699095833333333</v>
      </c>
      <c r="W180" s="9">
        <v>92.31</v>
      </c>
      <c r="X180" s="9">
        <v>69.9095833333333</v>
      </c>
      <c r="Y180" s="9">
        <v>83.35</v>
      </c>
      <c r="Z180" s="9">
        <v>0.00751247407075181</v>
      </c>
      <c r="AA180" s="9">
        <v>0.0343</v>
      </c>
      <c r="AB180" s="9">
        <v>0.0343</v>
      </c>
      <c r="AC180" s="9">
        <v>56.25</v>
      </c>
      <c r="AD180" s="9">
        <v>8.9185</v>
      </c>
      <c r="AE180" s="9">
        <v>0.0343</v>
      </c>
      <c r="AF180" s="9">
        <v>2.77470970375012</v>
      </c>
      <c r="AG180" s="9">
        <v>75.56</v>
      </c>
      <c r="AH180" s="9">
        <v>72.34</v>
      </c>
      <c r="AI180" s="9">
        <v>74.27</v>
      </c>
      <c r="AJ180" s="9">
        <v>0.0857</v>
      </c>
      <c r="AK180" s="9">
        <v>80</v>
      </c>
      <c r="AL180" s="9">
        <v>84</v>
      </c>
      <c r="AM180" s="9">
        <v>66.61</v>
      </c>
      <c r="AN180" s="9">
        <v>56.25</v>
      </c>
      <c r="AO180" s="9">
        <v>74.27</v>
      </c>
      <c r="AP180" s="9">
        <v>80</v>
      </c>
      <c r="AQ180" s="12">
        <v>1</v>
      </c>
      <c r="AR180" s="9">
        <v>70.26641</v>
      </c>
      <c r="AS180" s="9">
        <v>70.27</v>
      </c>
      <c r="AT180" s="9">
        <v>103</v>
      </c>
      <c r="AU180" s="9"/>
      <c r="AV180" s="9">
        <v>0</v>
      </c>
      <c r="AW180" s="9" t="s">
        <v>1271</v>
      </c>
      <c r="AX180" s="9">
        <v>46056</v>
      </c>
      <c r="AY180" s="9" t="s">
        <v>1273</v>
      </c>
      <c r="AZ180" s="9" t="s">
        <v>2356</v>
      </c>
      <c r="BA180" s="9">
        <v>46245</v>
      </c>
      <c r="BB180" s="9" t="s">
        <v>785</v>
      </c>
      <c r="BC180" s="9" t="s">
        <v>860</v>
      </c>
      <c r="BD180" s="9" t="s">
        <v>1566</v>
      </c>
      <c r="BE180" s="13">
        <v>70.26641</v>
      </c>
      <c r="BF180" s="13">
        <v>70.27</v>
      </c>
      <c r="BG180" s="12">
        <v>1</v>
      </c>
      <c r="BH180" s="9">
        <v>70.26641</v>
      </c>
      <c r="BI180" s="9" t="s">
        <v>1567</v>
      </c>
    </row>
    <row r="181" ht="25" customHeight="1" spans="1:61">
      <c r="A181" s="9">
        <v>180</v>
      </c>
      <c r="B181" s="9" t="s">
        <v>2357</v>
      </c>
      <c r="C181" s="9" t="s">
        <v>2358</v>
      </c>
      <c r="D181" s="9" t="s">
        <v>489</v>
      </c>
      <c r="E181" s="10">
        <v>43389</v>
      </c>
      <c r="F181" s="9">
        <v>7.8932</v>
      </c>
      <c r="G181" s="9" t="s">
        <v>1561</v>
      </c>
      <c r="H181" s="9" t="s">
        <v>557</v>
      </c>
      <c r="I181" s="9">
        <v>90</v>
      </c>
      <c r="J181" s="9" t="s">
        <v>1562</v>
      </c>
      <c r="K181" s="9">
        <v>100</v>
      </c>
      <c r="L181" s="9">
        <v>100</v>
      </c>
      <c r="M181" s="11">
        <v>0.0451</v>
      </c>
      <c r="N181" s="11">
        <v>0.0612</v>
      </c>
      <c r="O181" s="11"/>
      <c r="P181" s="11">
        <v>0.0693427716070332</v>
      </c>
      <c r="Q181" s="9">
        <v>37.38</v>
      </c>
      <c r="R181" s="9">
        <v>50</v>
      </c>
      <c r="S181" s="9">
        <v>42.43</v>
      </c>
      <c r="T181" s="11">
        <v>0.8462</v>
      </c>
      <c r="U181" s="11">
        <v>0.8919</v>
      </c>
      <c r="V181" s="11">
        <v>0.916654166666667</v>
      </c>
      <c r="W181" s="9">
        <v>84.62</v>
      </c>
      <c r="X181" s="9">
        <v>91.6654166666667</v>
      </c>
      <c r="Y181" s="9">
        <v>87.44</v>
      </c>
      <c r="Z181" s="9">
        <v>0.00713777004035768</v>
      </c>
      <c r="AA181" s="9">
        <v>0.0071</v>
      </c>
      <c r="AB181" s="9">
        <v>0.00713777004035768</v>
      </c>
      <c r="AC181" s="9">
        <v>87.82</v>
      </c>
      <c r="AD181" s="9">
        <v>6.3185</v>
      </c>
      <c r="AE181" s="9"/>
      <c r="AF181" s="9"/>
      <c r="AG181" s="9">
        <v>68.81</v>
      </c>
      <c r="AH181" s="9"/>
      <c r="AI181" s="9">
        <v>68.81</v>
      </c>
      <c r="AJ181" s="9">
        <v>0.0612</v>
      </c>
      <c r="AK181" s="9">
        <v>80</v>
      </c>
      <c r="AL181" s="9">
        <v>96</v>
      </c>
      <c r="AM181" s="9">
        <v>55.93</v>
      </c>
      <c r="AN181" s="9">
        <v>87.82</v>
      </c>
      <c r="AO181" s="9">
        <v>68.81</v>
      </c>
      <c r="AP181" s="9">
        <v>80</v>
      </c>
      <c r="AQ181" s="12">
        <v>0.88</v>
      </c>
      <c r="AR181" s="9">
        <v>67.92701</v>
      </c>
      <c r="AS181" s="9">
        <v>77.19</v>
      </c>
      <c r="AT181" s="9">
        <v>61</v>
      </c>
      <c r="AU181" s="9" t="s">
        <v>1563</v>
      </c>
      <c r="AV181" s="9">
        <v>20</v>
      </c>
      <c r="AW181" s="9" t="s">
        <v>1430</v>
      </c>
      <c r="AX181" s="9">
        <v>46097</v>
      </c>
      <c r="AY181" s="9" t="s">
        <v>1433</v>
      </c>
      <c r="AZ181" s="9" t="s">
        <v>2359</v>
      </c>
      <c r="BA181" s="9">
        <v>46048</v>
      </c>
      <c r="BB181" s="9" t="s">
        <v>785</v>
      </c>
      <c r="BC181" s="9" t="s">
        <v>2360</v>
      </c>
      <c r="BD181" s="9" t="s">
        <v>1566</v>
      </c>
      <c r="BE181" s="13"/>
      <c r="BF181" s="13">
        <v>77.19</v>
      </c>
      <c r="BG181" s="12">
        <v>0.88</v>
      </c>
      <c r="BH181" s="9">
        <v>67.92701</v>
      </c>
      <c r="BI181" s="9" t="s">
        <v>1567</v>
      </c>
    </row>
    <row r="182" ht="25" customHeight="1" spans="1:63">
      <c r="A182" s="9">
        <v>181</v>
      </c>
      <c r="B182" s="9" t="s">
        <v>2361</v>
      </c>
      <c r="C182" s="9" t="s">
        <v>2362</v>
      </c>
      <c r="D182" s="9" t="s">
        <v>1976</v>
      </c>
      <c r="E182" s="10">
        <v>43430</v>
      </c>
      <c r="F182" s="9">
        <v>7.781</v>
      </c>
      <c r="G182" s="9" t="s">
        <v>1561</v>
      </c>
      <c r="H182" s="9" t="s">
        <v>561</v>
      </c>
      <c r="I182" s="9">
        <v>90</v>
      </c>
      <c r="J182" s="9" t="s">
        <v>1562</v>
      </c>
      <c r="K182" s="9">
        <v>100</v>
      </c>
      <c r="L182" s="9">
        <v>100</v>
      </c>
      <c r="M182" s="11">
        <v>0.0292</v>
      </c>
      <c r="N182" s="11"/>
      <c r="O182" s="11"/>
      <c r="P182" s="11" t="s">
        <v>1841</v>
      </c>
      <c r="Q182" s="9">
        <v>27</v>
      </c>
      <c r="R182" s="9" t="s">
        <v>1841</v>
      </c>
      <c r="S182" s="9" t="s">
        <v>1841</v>
      </c>
      <c r="T182" s="11">
        <v>0.4615</v>
      </c>
      <c r="U182" s="11"/>
      <c r="V182" s="11"/>
      <c r="W182" s="9">
        <v>46.15</v>
      </c>
      <c r="X182" s="9"/>
      <c r="Y182" s="9">
        <v>46.15</v>
      </c>
      <c r="Z182" s="9">
        <v>0.0294028798711107</v>
      </c>
      <c r="AA182" s="9"/>
      <c r="AB182" s="9">
        <v>0.0294028798711107</v>
      </c>
      <c r="AC182" s="9">
        <v>59.62</v>
      </c>
      <c r="AD182" s="9">
        <v>0.9931</v>
      </c>
      <c r="AE182" s="9" t="s">
        <v>1841</v>
      </c>
      <c r="AF182" s="9" t="s">
        <v>1841</v>
      </c>
      <c r="AG182" s="9">
        <v>31.19</v>
      </c>
      <c r="AH182" s="9" t="s">
        <v>1841</v>
      </c>
      <c r="AI182" s="9" t="s">
        <v>1841</v>
      </c>
      <c r="AJ182" s="9"/>
      <c r="AK182" s="9"/>
      <c r="AL182" s="9">
        <v>96</v>
      </c>
      <c r="AM182" s="9">
        <v>32.75</v>
      </c>
      <c r="AN182" s="9">
        <v>59.62</v>
      </c>
      <c r="AO182" s="9">
        <v>31.19</v>
      </c>
      <c r="AP182" s="9"/>
      <c r="AQ182" s="12">
        <v>0.7</v>
      </c>
      <c r="AR182" s="9">
        <v>38.8486</v>
      </c>
      <c r="AS182" s="9">
        <v>55.5</v>
      </c>
      <c r="AT182" s="9">
        <v>186</v>
      </c>
      <c r="AU182" s="9" t="s">
        <v>1841</v>
      </c>
      <c r="AV182" s="9">
        <v>50</v>
      </c>
      <c r="AW182" s="9" t="s">
        <v>1977</v>
      </c>
      <c r="AX182" s="9">
        <v>45219</v>
      </c>
      <c r="AY182" s="9" t="s">
        <v>1978</v>
      </c>
      <c r="AZ182" s="9" t="s">
        <v>2363</v>
      </c>
      <c r="BA182" s="9">
        <v>46251</v>
      </c>
      <c r="BB182" s="9" t="s">
        <v>785</v>
      </c>
      <c r="BC182" s="9" t="s">
        <v>2364</v>
      </c>
      <c r="BD182" s="9" t="s">
        <v>1566</v>
      </c>
      <c r="BE182" s="13"/>
      <c r="BF182" s="13">
        <v>55.5</v>
      </c>
      <c r="BG182" s="12">
        <v>0.7</v>
      </c>
      <c r="BH182" s="9">
        <v>38.8486</v>
      </c>
      <c r="BI182" s="9" t="s">
        <v>1567</v>
      </c>
      <c r="BJ182" t="s">
        <v>2365</v>
      </c>
      <c r="BK182" t="s">
        <v>1847</v>
      </c>
    </row>
    <row r="183" ht="25" customHeight="1" spans="1:61">
      <c r="A183" s="9">
        <v>182</v>
      </c>
      <c r="B183" s="9" t="s">
        <v>2366</v>
      </c>
      <c r="C183" s="9" t="s">
        <v>2367</v>
      </c>
      <c r="D183" s="9" t="s">
        <v>2368</v>
      </c>
      <c r="E183" s="10">
        <v>43461</v>
      </c>
      <c r="F183" s="9">
        <v>7.6961</v>
      </c>
      <c r="G183" s="9" t="s">
        <v>1561</v>
      </c>
      <c r="H183" s="9" t="s">
        <v>542</v>
      </c>
      <c r="I183" s="9">
        <v>60</v>
      </c>
      <c r="J183" s="9" t="s">
        <v>1562</v>
      </c>
      <c r="K183" s="9">
        <v>100</v>
      </c>
      <c r="L183" s="9">
        <v>100</v>
      </c>
      <c r="M183" s="11">
        <v>0.0583</v>
      </c>
      <c r="N183" s="11">
        <v>0.0324</v>
      </c>
      <c r="O183" s="11"/>
      <c r="P183" s="11">
        <v>0.0196886746084919</v>
      </c>
      <c r="Q183" s="9">
        <v>46.65</v>
      </c>
      <c r="R183" s="9">
        <v>7.62</v>
      </c>
      <c r="S183" s="9">
        <v>31.04</v>
      </c>
      <c r="T183" s="11">
        <v>0.7692</v>
      </c>
      <c r="U183" s="11">
        <v>0.7568</v>
      </c>
      <c r="V183" s="11">
        <v>0.750083333333333</v>
      </c>
      <c r="W183" s="9">
        <v>76.92</v>
      </c>
      <c r="X183" s="9">
        <v>75.0083333333333</v>
      </c>
      <c r="Y183" s="9">
        <v>76.16</v>
      </c>
      <c r="Z183" s="9">
        <v>0.0333085756727418</v>
      </c>
      <c r="AA183" s="9">
        <v>0.2323</v>
      </c>
      <c r="AB183" s="9">
        <v>0.2323</v>
      </c>
      <c r="AC183" s="9">
        <v>8.33</v>
      </c>
      <c r="AD183" s="9">
        <v>1.7503</v>
      </c>
      <c r="AE183" s="9">
        <v>0.2323</v>
      </c>
      <c r="AF183" s="9">
        <v>0.0847553792875243</v>
      </c>
      <c r="AG183" s="9">
        <v>39.87</v>
      </c>
      <c r="AH183" s="9">
        <v>7.8</v>
      </c>
      <c r="AI183" s="9">
        <v>27.04</v>
      </c>
      <c r="AJ183" s="9">
        <v>0.0324</v>
      </c>
      <c r="AK183" s="9">
        <v>100</v>
      </c>
      <c r="AL183" s="9">
        <v>84</v>
      </c>
      <c r="AM183" s="9">
        <v>44.57</v>
      </c>
      <c r="AN183" s="9">
        <v>8.33</v>
      </c>
      <c r="AO183" s="9">
        <v>27.04</v>
      </c>
      <c r="AP183" s="9">
        <v>100</v>
      </c>
      <c r="AQ183" s="12">
        <v>1</v>
      </c>
      <c r="AR183" s="9">
        <v>41.70974</v>
      </c>
      <c r="AS183" s="9">
        <v>41.71</v>
      </c>
      <c r="AT183" s="9">
        <v>261</v>
      </c>
      <c r="AU183" s="9"/>
      <c r="AV183" s="9">
        <v>0</v>
      </c>
      <c r="AW183" s="9" t="s">
        <v>2369</v>
      </c>
      <c r="AX183" s="9">
        <v>46156</v>
      </c>
      <c r="AY183" s="9" t="s">
        <v>2370</v>
      </c>
      <c r="AZ183" s="9" t="s">
        <v>2371</v>
      </c>
      <c r="BA183" s="9">
        <v>43473</v>
      </c>
      <c r="BB183" s="9" t="s">
        <v>785</v>
      </c>
      <c r="BC183" s="9" t="s">
        <v>2372</v>
      </c>
      <c r="BD183" s="9" t="s">
        <v>1566</v>
      </c>
      <c r="BE183" s="13">
        <v>41.70974</v>
      </c>
      <c r="BF183" s="13">
        <v>41.71</v>
      </c>
      <c r="BG183" s="12">
        <v>1</v>
      </c>
      <c r="BH183" s="9">
        <v>41.70974</v>
      </c>
      <c r="BI183" s="9" t="s">
        <v>1567</v>
      </c>
    </row>
    <row r="184" ht="25" customHeight="1" spans="1:61">
      <c r="A184" s="9">
        <v>183</v>
      </c>
      <c r="B184" s="9" t="s">
        <v>2373</v>
      </c>
      <c r="C184" s="9" t="s">
        <v>2374</v>
      </c>
      <c r="D184" s="9" t="s">
        <v>2375</v>
      </c>
      <c r="E184" s="10">
        <v>43468</v>
      </c>
      <c r="F184" s="9">
        <v>7.6769</v>
      </c>
      <c r="G184" s="9" t="s">
        <v>1561</v>
      </c>
      <c r="H184" s="9" t="s">
        <v>546</v>
      </c>
      <c r="I184" s="9">
        <v>70</v>
      </c>
      <c r="J184" s="9" t="s">
        <v>1562</v>
      </c>
      <c r="K184" s="9">
        <v>100</v>
      </c>
      <c r="L184" s="9">
        <v>100</v>
      </c>
      <c r="M184" s="11">
        <v>-0.4111</v>
      </c>
      <c r="N184" s="11">
        <v>-0.0659</v>
      </c>
      <c r="O184" s="11"/>
      <c r="P184" s="11">
        <v>0.176438641449091</v>
      </c>
      <c r="Q184" s="9">
        <v>0</v>
      </c>
      <c r="R184" s="9">
        <v>89.05</v>
      </c>
      <c r="S184" s="9">
        <v>35.62</v>
      </c>
      <c r="T184" s="11">
        <v>0.3846</v>
      </c>
      <c r="U184" s="11">
        <v>0.5405</v>
      </c>
      <c r="V184" s="11">
        <v>0.624945833333333</v>
      </c>
      <c r="W184" s="9">
        <v>38.46</v>
      </c>
      <c r="X184" s="9">
        <v>62.4945833333333</v>
      </c>
      <c r="Y184" s="9">
        <v>48.07</v>
      </c>
      <c r="Z184" s="9">
        <v>0.48353328628558</v>
      </c>
      <c r="AA184" s="9">
        <v>0.5534</v>
      </c>
      <c r="AB184" s="9">
        <v>0.5534</v>
      </c>
      <c r="AC184" s="9">
        <v>0.32</v>
      </c>
      <c r="AD184" s="9">
        <v>-0.8502</v>
      </c>
      <c r="AE184" s="9">
        <v>0.5534</v>
      </c>
      <c r="AF184" s="9">
        <v>0.318826601823439</v>
      </c>
      <c r="AG184" s="9">
        <v>1.61</v>
      </c>
      <c r="AH184" s="9">
        <v>12.06</v>
      </c>
      <c r="AI184" s="9">
        <v>5.79</v>
      </c>
      <c r="AJ184" s="9">
        <v>-0.0659</v>
      </c>
      <c r="AK184" s="9">
        <v>60</v>
      </c>
      <c r="AL184" s="9">
        <v>88</v>
      </c>
      <c r="AM184" s="9">
        <v>39.36</v>
      </c>
      <c r="AN184" s="9">
        <v>0.32</v>
      </c>
      <c r="AO184" s="9">
        <v>5.79</v>
      </c>
      <c r="AP184" s="9">
        <v>60</v>
      </c>
      <c r="AQ184" s="12">
        <v>1</v>
      </c>
      <c r="AR184" s="9">
        <v>28.88823</v>
      </c>
      <c r="AS184" s="9">
        <v>28.89</v>
      </c>
      <c r="AT184" s="9">
        <v>303</v>
      </c>
      <c r="AU184" s="9"/>
      <c r="AV184" s="9">
        <v>5</v>
      </c>
      <c r="AW184" s="9" t="s">
        <v>2376</v>
      </c>
      <c r="AX184" s="9">
        <v>45660</v>
      </c>
      <c r="AY184" s="9" t="s">
        <v>2377</v>
      </c>
      <c r="AZ184" s="9" t="s">
        <v>2378</v>
      </c>
      <c r="BA184" s="9">
        <v>45558</v>
      </c>
      <c r="BB184" s="9" t="s">
        <v>785</v>
      </c>
      <c r="BC184" s="9" t="s">
        <v>2379</v>
      </c>
      <c r="BD184" s="9" t="s">
        <v>1566</v>
      </c>
      <c r="BE184" s="13">
        <v>28.88823</v>
      </c>
      <c r="BF184" s="13">
        <v>28.89</v>
      </c>
      <c r="BG184" s="12">
        <v>1</v>
      </c>
      <c r="BH184" s="9">
        <v>28.88823</v>
      </c>
      <c r="BI184" s="9" t="s">
        <v>1567</v>
      </c>
    </row>
    <row r="185" ht="25" customHeight="1" spans="1:61">
      <c r="A185" s="9">
        <v>184</v>
      </c>
      <c r="B185" s="9" t="s">
        <v>2380</v>
      </c>
      <c r="C185" s="9" t="s">
        <v>2381</v>
      </c>
      <c r="D185" s="9" t="s">
        <v>2339</v>
      </c>
      <c r="E185" s="10">
        <v>43487</v>
      </c>
      <c r="F185" s="9">
        <v>7.6249</v>
      </c>
      <c r="G185" s="9" t="s">
        <v>1561</v>
      </c>
      <c r="H185" s="9" t="s">
        <v>572</v>
      </c>
      <c r="I185" s="9">
        <v>100</v>
      </c>
      <c r="J185" s="9" t="s">
        <v>1562</v>
      </c>
      <c r="K185" s="9">
        <v>100</v>
      </c>
      <c r="L185" s="9">
        <v>100</v>
      </c>
      <c r="M185" s="11">
        <v>0.0963</v>
      </c>
      <c r="N185" s="11">
        <v>0.0705</v>
      </c>
      <c r="O185" s="11"/>
      <c r="P185" s="11">
        <v>0.0578285896236139</v>
      </c>
      <c r="Q185" s="9">
        <v>71.88</v>
      </c>
      <c r="R185" s="9">
        <v>40.48</v>
      </c>
      <c r="S185" s="9">
        <v>59.32</v>
      </c>
      <c r="T185" s="11">
        <v>0.7692</v>
      </c>
      <c r="U185" s="11">
        <v>0.7027</v>
      </c>
      <c r="V185" s="11">
        <v>0.666679166666667</v>
      </c>
      <c r="W185" s="9">
        <v>76.92</v>
      </c>
      <c r="X185" s="9">
        <v>66.6679166666667</v>
      </c>
      <c r="Y185" s="9">
        <v>72.82</v>
      </c>
      <c r="Z185" s="9">
        <v>0.0511689691817216</v>
      </c>
      <c r="AA185" s="9">
        <v>0.0622</v>
      </c>
      <c r="AB185" s="9">
        <v>0.0622</v>
      </c>
      <c r="AC185" s="9">
        <v>37.82</v>
      </c>
      <c r="AD185" s="9">
        <v>1.882</v>
      </c>
      <c r="AE185" s="9">
        <v>0.0622</v>
      </c>
      <c r="AF185" s="9">
        <v>0.929720090411799</v>
      </c>
      <c r="AG185" s="9">
        <v>45.02</v>
      </c>
      <c r="AH185" s="9">
        <v>34.75</v>
      </c>
      <c r="AI185" s="9">
        <v>40.91</v>
      </c>
      <c r="AJ185" s="9">
        <v>0.0705</v>
      </c>
      <c r="AK185" s="9">
        <v>100</v>
      </c>
      <c r="AL185" s="9">
        <v>100</v>
      </c>
      <c r="AM185" s="9">
        <v>63.37</v>
      </c>
      <c r="AN185" s="9">
        <v>37.82</v>
      </c>
      <c r="AO185" s="9">
        <v>40.91</v>
      </c>
      <c r="AP185" s="9">
        <v>100</v>
      </c>
      <c r="AQ185" s="12">
        <v>1</v>
      </c>
      <c r="AR185" s="9">
        <v>59.40255</v>
      </c>
      <c r="AS185" s="9">
        <v>59.4</v>
      </c>
      <c r="AT185" s="9">
        <v>162</v>
      </c>
      <c r="AU185" s="9"/>
      <c r="AV185" s="9">
        <v>100</v>
      </c>
      <c r="AW185" s="9" t="s">
        <v>2340</v>
      </c>
      <c r="AX185" s="9">
        <v>46077</v>
      </c>
      <c r="AY185" s="9" t="s">
        <v>2341</v>
      </c>
      <c r="AZ185" s="9" t="s">
        <v>2382</v>
      </c>
      <c r="BA185" s="9">
        <v>46170</v>
      </c>
      <c r="BB185" s="9" t="s">
        <v>785</v>
      </c>
      <c r="BC185" s="9" t="s">
        <v>2383</v>
      </c>
      <c r="BD185" s="9" t="s">
        <v>1566</v>
      </c>
      <c r="BE185" s="13">
        <v>59.40255</v>
      </c>
      <c r="BF185" s="13">
        <v>59.4</v>
      </c>
      <c r="BG185" s="12">
        <v>1</v>
      </c>
      <c r="BH185" s="9">
        <v>59.40255</v>
      </c>
      <c r="BI185" s="9" t="s">
        <v>1567</v>
      </c>
    </row>
    <row r="186" ht="25" customHeight="1" spans="1:61">
      <c r="A186" s="9">
        <v>185</v>
      </c>
      <c r="B186" s="9" t="s">
        <v>2384</v>
      </c>
      <c r="C186" s="9" t="s">
        <v>2385</v>
      </c>
      <c r="D186" s="9" t="s">
        <v>393</v>
      </c>
      <c r="E186" s="10">
        <v>43549</v>
      </c>
      <c r="F186" s="9">
        <v>7.4552</v>
      </c>
      <c r="G186" s="9" t="s">
        <v>1561</v>
      </c>
      <c r="H186" s="9" t="s">
        <v>551</v>
      </c>
      <c r="I186" s="9">
        <v>80</v>
      </c>
      <c r="J186" s="9" t="s">
        <v>1562</v>
      </c>
      <c r="K186" s="9">
        <v>100</v>
      </c>
      <c r="L186" s="9">
        <v>100</v>
      </c>
      <c r="M186" s="11">
        <v>0.0944</v>
      </c>
      <c r="N186" s="11">
        <v>0.0758</v>
      </c>
      <c r="O186" s="11"/>
      <c r="P186" s="11">
        <v>0.066618882355534</v>
      </c>
      <c r="Q186" s="9">
        <v>71.09</v>
      </c>
      <c r="R186" s="9">
        <v>49.05</v>
      </c>
      <c r="S186" s="9">
        <v>62.27</v>
      </c>
      <c r="T186" s="11">
        <v>0.7692</v>
      </c>
      <c r="U186" s="11">
        <v>0.8378</v>
      </c>
      <c r="V186" s="11">
        <v>0.874958333333333</v>
      </c>
      <c r="W186" s="9">
        <v>76.92</v>
      </c>
      <c r="X186" s="9">
        <v>87.4958333333333</v>
      </c>
      <c r="Y186" s="9">
        <v>81.15</v>
      </c>
      <c r="Z186" s="9">
        <v>0.0215949123850483</v>
      </c>
      <c r="AA186" s="9">
        <v>0.0216</v>
      </c>
      <c r="AB186" s="9">
        <v>0.0216</v>
      </c>
      <c r="AC186" s="9">
        <v>70.19</v>
      </c>
      <c r="AD186" s="9">
        <v>4.3714</v>
      </c>
      <c r="AE186" s="9"/>
      <c r="AF186" s="9"/>
      <c r="AG186" s="9">
        <v>62.06</v>
      </c>
      <c r="AH186" s="9"/>
      <c r="AI186" s="9">
        <v>62.06</v>
      </c>
      <c r="AJ186" s="9">
        <v>0.0758</v>
      </c>
      <c r="AK186" s="9">
        <v>100</v>
      </c>
      <c r="AL186" s="9">
        <v>92</v>
      </c>
      <c r="AM186" s="9">
        <v>67.94</v>
      </c>
      <c r="AN186" s="9">
        <v>70.19</v>
      </c>
      <c r="AO186" s="9">
        <v>62.06</v>
      </c>
      <c r="AP186" s="9">
        <v>100</v>
      </c>
      <c r="AQ186" s="12">
        <v>0.88</v>
      </c>
      <c r="AR186" s="9">
        <v>66.10568</v>
      </c>
      <c r="AS186" s="9">
        <v>75.12</v>
      </c>
      <c r="AT186" s="9">
        <v>72</v>
      </c>
      <c r="AU186" s="9" t="s">
        <v>1563</v>
      </c>
      <c r="AV186" s="9">
        <v>10</v>
      </c>
      <c r="AW186" s="9" t="s">
        <v>1386</v>
      </c>
      <c r="AX186" s="9">
        <v>46202</v>
      </c>
      <c r="AY186" s="9" t="s">
        <v>1391</v>
      </c>
      <c r="AZ186" s="9" t="s">
        <v>2386</v>
      </c>
      <c r="BA186" s="9">
        <v>45852</v>
      </c>
      <c r="BB186" s="9" t="s">
        <v>785</v>
      </c>
      <c r="BC186" s="9" t="s">
        <v>2387</v>
      </c>
      <c r="BD186" s="9" t="s">
        <v>1566</v>
      </c>
      <c r="BE186" s="13"/>
      <c r="BF186" s="13">
        <v>75.12</v>
      </c>
      <c r="BG186" s="12">
        <v>0.88</v>
      </c>
      <c r="BH186" s="9">
        <v>66.10568</v>
      </c>
      <c r="BI186" s="9" t="s">
        <v>1567</v>
      </c>
    </row>
    <row r="187" ht="25" customHeight="1" spans="1:61">
      <c r="A187" s="9">
        <v>186</v>
      </c>
      <c r="B187" s="9" t="s">
        <v>445</v>
      </c>
      <c r="C187" s="9" t="s">
        <v>446</v>
      </c>
      <c r="D187" s="9" t="s">
        <v>442</v>
      </c>
      <c r="E187" s="10">
        <v>43585</v>
      </c>
      <c r="F187" s="9">
        <v>7.3566</v>
      </c>
      <c r="G187" s="9" t="s">
        <v>1561</v>
      </c>
      <c r="H187" s="9" t="s">
        <v>542</v>
      </c>
      <c r="I187" s="9">
        <v>60</v>
      </c>
      <c r="J187" s="9" t="s">
        <v>1562</v>
      </c>
      <c r="K187" s="9">
        <v>100</v>
      </c>
      <c r="L187" s="9">
        <v>100</v>
      </c>
      <c r="M187" s="11">
        <v>0.0642</v>
      </c>
      <c r="N187" s="11">
        <v>0.0924</v>
      </c>
      <c r="O187" s="11"/>
      <c r="P187" s="11">
        <v>0.106778999117961</v>
      </c>
      <c r="Q187" s="9">
        <v>50.48</v>
      </c>
      <c r="R187" s="9">
        <v>71.43</v>
      </c>
      <c r="S187" s="9">
        <v>58.86</v>
      </c>
      <c r="T187" s="11">
        <v>0.9231</v>
      </c>
      <c r="U187" s="11">
        <v>0.8378</v>
      </c>
      <c r="V187" s="11">
        <v>0.791595833333333</v>
      </c>
      <c r="W187" s="9">
        <v>92.31</v>
      </c>
      <c r="X187" s="9">
        <v>79.1595833333333</v>
      </c>
      <c r="Y187" s="9">
        <v>87.05</v>
      </c>
      <c r="Z187" s="9">
        <v>0.00235688010749135</v>
      </c>
      <c r="AA187" s="9">
        <v>0.0144</v>
      </c>
      <c r="AB187" s="9">
        <v>0.0144</v>
      </c>
      <c r="AC187" s="9">
        <v>78.21</v>
      </c>
      <c r="AD187" s="9">
        <v>27.2394</v>
      </c>
      <c r="AE187" s="9">
        <v>0.0144</v>
      </c>
      <c r="AF187" s="9">
        <v>7.4152082720806</v>
      </c>
      <c r="AG187" s="9">
        <v>93.57</v>
      </c>
      <c r="AH187" s="9">
        <v>87.23</v>
      </c>
      <c r="AI187" s="9">
        <v>91.03</v>
      </c>
      <c r="AJ187" s="9">
        <v>0.0924</v>
      </c>
      <c r="AK187" s="9">
        <v>80</v>
      </c>
      <c r="AL187" s="9">
        <v>84</v>
      </c>
      <c r="AM187" s="9">
        <v>67.32</v>
      </c>
      <c r="AN187" s="9">
        <v>78.21</v>
      </c>
      <c r="AO187" s="9">
        <v>91.03</v>
      </c>
      <c r="AP187" s="9">
        <v>80</v>
      </c>
      <c r="AQ187" s="12">
        <v>1</v>
      </c>
      <c r="AR187" s="9">
        <v>80.92609</v>
      </c>
      <c r="AS187" s="9">
        <v>80.93</v>
      </c>
      <c r="AT187" s="9">
        <v>45</v>
      </c>
      <c r="AU187" s="9"/>
      <c r="AV187" s="9">
        <v>0</v>
      </c>
      <c r="AW187" s="9" t="s">
        <v>1411</v>
      </c>
      <c r="AX187" s="9">
        <v>46153</v>
      </c>
      <c r="AY187" s="9" t="s">
        <v>1414</v>
      </c>
      <c r="AZ187" s="9" t="s">
        <v>2388</v>
      </c>
      <c r="BA187" s="9">
        <v>45555</v>
      </c>
      <c r="BB187" s="9" t="s">
        <v>785</v>
      </c>
      <c r="BC187" s="9" t="s">
        <v>970</v>
      </c>
      <c r="BD187" s="9" t="s">
        <v>1566</v>
      </c>
      <c r="BE187" s="13">
        <v>80.92609</v>
      </c>
      <c r="BF187" s="13">
        <v>80.93</v>
      </c>
      <c r="BG187" s="12">
        <v>1</v>
      </c>
      <c r="BH187" s="9">
        <v>80.92609</v>
      </c>
      <c r="BI187" s="9" t="s">
        <v>1567</v>
      </c>
    </row>
    <row r="188" ht="25" customHeight="1" spans="1:61">
      <c r="A188" s="9">
        <v>187</v>
      </c>
      <c r="B188" s="9" t="s">
        <v>2389</v>
      </c>
      <c r="C188" s="9" t="s">
        <v>2390</v>
      </c>
      <c r="D188" s="9" t="s">
        <v>2391</v>
      </c>
      <c r="E188" s="10">
        <v>43613</v>
      </c>
      <c r="F188" s="9">
        <v>7.2799</v>
      </c>
      <c r="G188" s="9" t="s">
        <v>1561</v>
      </c>
      <c r="H188" s="9" t="s">
        <v>542</v>
      </c>
      <c r="I188" s="9">
        <v>60</v>
      </c>
      <c r="J188" s="9" t="s">
        <v>1562</v>
      </c>
      <c r="K188" s="9">
        <v>100</v>
      </c>
      <c r="L188" s="9">
        <v>100</v>
      </c>
      <c r="M188" s="11">
        <v>-0.0154</v>
      </c>
      <c r="N188" s="11">
        <v>0.1506</v>
      </c>
      <c r="O188" s="11"/>
      <c r="P188" s="11">
        <v>0.243817431123347</v>
      </c>
      <c r="Q188" s="9">
        <v>11.5</v>
      </c>
      <c r="R188" s="9">
        <v>94.76</v>
      </c>
      <c r="S188" s="9">
        <v>44.8</v>
      </c>
      <c r="T188" s="11">
        <v>0.3846</v>
      </c>
      <c r="U188" s="11">
        <v>0.5946</v>
      </c>
      <c r="V188" s="11">
        <v>0.70835</v>
      </c>
      <c r="W188" s="9">
        <v>38.46</v>
      </c>
      <c r="X188" s="9">
        <v>70.835</v>
      </c>
      <c r="Y188" s="9">
        <v>51.41</v>
      </c>
      <c r="Z188" s="9">
        <v>0.0209267563527653</v>
      </c>
      <c r="AA188" s="9">
        <v>0.0259</v>
      </c>
      <c r="AB188" s="9">
        <v>0.0259</v>
      </c>
      <c r="AC188" s="9">
        <v>63.14</v>
      </c>
      <c r="AD188" s="9">
        <v>-0.7359</v>
      </c>
      <c r="AE188" s="9">
        <v>0.0259</v>
      </c>
      <c r="AF188" s="9">
        <v>9.41380042947284</v>
      </c>
      <c r="AG188" s="9">
        <v>3.22</v>
      </c>
      <c r="AH188" s="9">
        <v>90.07</v>
      </c>
      <c r="AI188" s="9">
        <v>37.96</v>
      </c>
      <c r="AJ188" s="9">
        <v>0.1506</v>
      </c>
      <c r="AK188" s="9">
        <v>80</v>
      </c>
      <c r="AL188" s="9">
        <v>84</v>
      </c>
      <c r="AM188" s="9">
        <v>46.79</v>
      </c>
      <c r="AN188" s="9">
        <v>63.14</v>
      </c>
      <c r="AO188" s="9">
        <v>37.96</v>
      </c>
      <c r="AP188" s="9">
        <v>80</v>
      </c>
      <c r="AQ188" s="12">
        <v>1</v>
      </c>
      <c r="AR188" s="9">
        <v>57.13016</v>
      </c>
      <c r="AS188" s="9">
        <v>57.13</v>
      </c>
      <c r="AT188" s="9">
        <v>176</v>
      </c>
      <c r="AU188" s="9"/>
      <c r="AV188" s="9">
        <v>0</v>
      </c>
      <c r="AW188" s="9" t="s">
        <v>2392</v>
      </c>
      <c r="AX188" s="9">
        <v>45995</v>
      </c>
      <c r="AY188" s="9" t="s">
        <v>2393</v>
      </c>
      <c r="AZ188" s="9" t="s">
        <v>2394</v>
      </c>
      <c r="BA188" s="9">
        <v>46001</v>
      </c>
      <c r="BB188" s="9" t="s">
        <v>785</v>
      </c>
      <c r="BC188" s="9" t="s">
        <v>2395</v>
      </c>
      <c r="BD188" s="9" t="s">
        <v>1566</v>
      </c>
      <c r="BE188" s="13">
        <v>57.13016</v>
      </c>
      <c r="BF188" s="13">
        <v>57.13</v>
      </c>
      <c r="BG188" s="12">
        <v>1</v>
      </c>
      <c r="BH188" s="9">
        <v>57.13016</v>
      </c>
      <c r="BI188" s="9" t="s">
        <v>1567</v>
      </c>
    </row>
    <row r="189" ht="25" customHeight="1" spans="1:61">
      <c r="A189" s="9">
        <v>188</v>
      </c>
      <c r="B189" s="9" t="s">
        <v>449</v>
      </c>
      <c r="C189" s="9" t="s">
        <v>450</v>
      </c>
      <c r="D189" s="9" t="s">
        <v>442</v>
      </c>
      <c r="E189" s="10">
        <v>43728</v>
      </c>
      <c r="F189" s="9">
        <v>6.9651</v>
      </c>
      <c r="G189" s="9" t="s">
        <v>1561</v>
      </c>
      <c r="H189" s="9" t="s">
        <v>542</v>
      </c>
      <c r="I189" s="9">
        <v>60</v>
      </c>
      <c r="J189" s="9" t="s">
        <v>1562</v>
      </c>
      <c r="K189" s="9">
        <v>100</v>
      </c>
      <c r="L189" s="9">
        <v>100</v>
      </c>
      <c r="M189" s="11">
        <v>0.0676</v>
      </c>
      <c r="N189" s="11">
        <v>0.1226</v>
      </c>
      <c r="O189" s="11"/>
      <c r="P189" s="11">
        <v>0.15115359539999</v>
      </c>
      <c r="Q189" s="9">
        <v>53.67</v>
      </c>
      <c r="R189" s="9">
        <v>86.67</v>
      </c>
      <c r="S189" s="9">
        <v>66.87</v>
      </c>
      <c r="T189" s="11">
        <v>1</v>
      </c>
      <c r="U189" s="11">
        <v>0.8378</v>
      </c>
      <c r="V189" s="11">
        <v>0.749941666666667</v>
      </c>
      <c r="W189" s="9">
        <v>100</v>
      </c>
      <c r="X189" s="9">
        <v>74.9941666666667</v>
      </c>
      <c r="Y189" s="9">
        <v>90</v>
      </c>
      <c r="Z189" s="9">
        <v>0.00318439833243046</v>
      </c>
      <c r="AA189" s="9">
        <v>0.0227</v>
      </c>
      <c r="AB189" s="9">
        <v>0.0227</v>
      </c>
      <c r="AC189" s="9">
        <v>68.91</v>
      </c>
      <c r="AD189" s="9">
        <v>21.2285</v>
      </c>
      <c r="AE189" s="9">
        <v>0.0227</v>
      </c>
      <c r="AF189" s="9">
        <v>6.65874869603478</v>
      </c>
      <c r="AG189" s="9">
        <v>90.03</v>
      </c>
      <c r="AH189" s="9">
        <v>86.52</v>
      </c>
      <c r="AI189" s="9">
        <v>88.63</v>
      </c>
      <c r="AJ189" s="9">
        <v>0.1226</v>
      </c>
      <c r="AK189" s="9">
        <v>80</v>
      </c>
      <c r="AL189" s="9">
        <v>84</v>
      </c>
      <c r="AM189" s="9">
        <v>73.81</v>
      </c>
      <c r="AN189" s="9">
        <v>68.91</v>
      </c>
      <c r="AO189" s="9">
        <v>88.63</v>
      </c>
      <c r="AP189" s="9">
        <v>80</v>
      </c>
      <c r="AQ189" s="12">
        <v>1</v>
      </c>
      <c r="AR189" s="9">
        <v>79.17696</v>
      </c>
      <c r="AS189" s="9">
        <v>79.18</v>
      </c>
      <c r="AT189" s="9">
        <v>52</v>
      </c>
      <c r="AU189" s="9"/>
      <c r="AV189" s="9">
        <v>0</v>
      </c>
      <c r="AW189" s="9" t="s">
        <v>1411</v>
      </c>
      <c r="AX189" s="9">
        <v>46153</v>
      </c>
      <c r="AY189" s="9" t="s">
        <v>1414</v>
      </c>
      <c r="AZ189" s="9" t="s">
        <v>2396</v>
      </c>
      <c r="BA189" s="9">
        <v>45555</v>
      </c>
      <c r="BB189" s="9" t="s">
        <v>785</v>
      </c>
      <c r="BC189" s="9" t="s">
        <v>972</v>
      </c>
      <c r="BD189" s="9" t="s">
        <v>1566</v>
      </c>
      <c r="BE189" s="13">
        <v>79.17696</v>
      </c>
      <c r="BF189" s="13">
        <v>79.18</v>
      </c>
      <c r="BG189" s="12">
        <v>1</v>
      </c>
      <c r="BH189" s="9">
        <v>79.17696</v>
      </c>
      <c r="BI189" s="9" t="s">
        <v>1567</v>
      </c>
    </row>
    <row r="190" ht="25" customHeight="1" spans="1:61">
      <c r="A190" s="9">
        <v>189</v>
      </c>
      <c r="B190" s="9" t="s">
        <v>2397</v>
      </c>
      <c r="C190" s="9" t="s">
        <v>2398</v>
      </c>
      <c r="D190" s="9" t="s">
        <v>2399</v>
      </c>
      <c r="E190" s="10">
        <v>43881</v>
      </c>
      <c r="F190" s="9">
        <v>6.5462</v>
      </c>
      <c r="G190" s="9" t="s">
        <v>1561</v>
      </c>
      <c r="H190" s="9" t="s">
        <v>542</v>
      </c>
      <c r="I190" s="9">
        <v>60</v>
      </c>
      <c r="J190" s="9" t="s">
        <v>1620</v>
      </c>
      <c r="K190" s="9">
        <v>0</v>
      </c>
      <c r="L190" s="9">
        <v>100</v>
      </c>
      <c r="M190" s="11">
        <v>-0.0849</v>
      </c>
      <c r="N190" s="11">
        <v>-0.0109</v>
      </c>
      <c r="O190" s="11"/>
      <c r="P190" s="11">
        <v>0.0283146548425748</v>
      </c>
      <c r="Q190" s="9">
        <v>5.75</v>
      </c>
      <c r="R190" s="9">
        <v>14.76</v>
      </c>
      <c r="S190" s="9">
        <v>9.35</v>
      </c>
      <c r="T190" s="11">
        <v>0.6154</v>
      </c>
      <c r="U190" s="11">
        <v>0.6216</v>
      </c>
      <c r="V190" s="11">
        <v>0.624958333333333</v>
      </c>
      <c r="W190" s="9">
        <v>61.54</v>
      </c>
      <c r="X190" s="9">
        <v>62.4958333333333</v>
      </c>
      <c r="Y190" s="9">
        <v>61.92</v>
      </c>
      <c r="Z190" s="9">
        <v>0.13021472392638</v>
      </c>
      <c r="AA190" s="9">
        <v>0.1303</v>
      </c>
      <c r="AB190" s="9">
        <v>0.1303</v>
      </c>
      <c r="AC190" s="9">
        <v>19.23</v>
      </c>
      <c r="AD190" s="9">
        <v>-0.652</v>
      </c>
      <c r="AE190" s="9"/>
      <c r="AF190" s="9"/>
      <c r="AG190" s="9">
        <v>4.5</v>
      </c>
      <c r="AH190" s="9"/>
      <c r="AI190" s="9">
        <v>4.5</v>
      </c>
      <c r="AJ190" s="9">
        <v>-0.0109</v>
      </c>
      <c r="AK190" s="9">
        <v>80</v>
      </c>
      <c r="AL190" s="9">
        <v>54</v>
      </c>
      <c r="AM190" s="9">
        <v>25.12</v>
      </c>
      <c r="AN190" s="9">
        <v>19.23</v>
      </c>
      <c r="AO190" s="9">
        <v>4.5</v>
      </c>
      <c r="AP190" s="9">
        <v>80</v>
      </c>
      <c r="AQ190" s="12">
        <v>0.88</v>
      </c>
      <c r="AR190" s="9">
        <v>26.7424</v>
      </c>
      <c r="AS190" s="9">
        <v>30.39</v>
      </c>
      <c r="AT190" s="9">
        <v>295</v>
      </c>
      <c r="AU190" s="9" t="s">
        <v>1563</v>
      </c>
      <c r="AV190" s="9">
        <v>0</v>
      </c>
      <c r="AW190" s="9" t="s">
        <v>2400</v>
      </c>
      <c r="AX190" s="9">
        <v>46083</v>
      </c>
      <c r="AY190" s="9" t="s">
        <v>2401</v>
      </c>
      <c r="AZ190" s="9" t="s">
        <v>2402</v>
      </c>
      <c r="BA190" s="9">
        <v>46175</v>
      </c>
      <c r="BB190" s="9" t="s">
        <v>1624</v>
      </c>
      <c r="BC190" s="9" t="s">
        <v>2403</v>
      </c>
      <c r="BD190" s="9" t="s">
        <v>1566</v>
      </c>
      <c r="BE190" s="13"/>
      <c r="BF190" s="13">
        <v>30.39</v>
      </c>
      <c r="BG190" s="12">
        <v>0.88</v>
      </c>
      <c r="BH190" s="9">
        <v>26.7424</v>
      </c>
      <c r="BI190" s="9" t="s">
        <v>1567</v>
      </c>
    </row>
    <row r="191" ht="25" customHeight="1" spans="1:61">
      <c r="A191" s="9">
        <v>190</v>
      </c>
      <c r="B191" s="9" t="s">
        <v>317</v>
      </c>
      <c r="C191" s="9" t="s">
        <v>318</v>
      </c>
      <c r="D191" s="9" t="s">
        <v>314</v>
      </c>
      <c r="E191" s="10">
        <v>43894</v>
      </c>
      <c r="F191" s="9">
        <v>6.5106</v>
      </c>
      <c r="G191" s="9" t="s">
        <v>1561</v>
      </c>
      <c r="H191" s="9" t="s">
        <v>561</v>
      </c>
      <c r="I191" s="9">
        <v>90</v>
      </c>
      <c r="J191" s="9" t="s">
        <v>1562</v>
      </c>
      <c r="K191" s="9">
        <v>100</v>
      </c>
      <c r="L191" s="9">
        <v>100</v>
      </c>
      <c r="M191" s="11">
        <v>0.209</v>
      </c>
      <c r="N191" s="11">
        <v>0.138</v>
      </c>
      <c r="O191" s="11"/>
      <c r="P191" s="11">
        <v>0.104079236796389</v>
      </c>
      <c r="Q191" s="9">
        <v>89.46</v>
      </c>
      <c r="R191" s="9">
        <v>70.95</v>
      </c>
      <c r="S191" s="9">
        <v>82.06</v>
      </c>
      <c r="T191" s="11">
        <v>1</v>
      </c>
      <c r="U191" s="11">
        <v>0.8889</v>
      </c>
      <c r="V191" s="11">
        <v>0.828720833333333</v>
      </c>
      <c r="W191" s="9">
        <v>100</v>
      </c>
      <c r="X191" s="9">
        <v>82.8720833333333</v>
      </c>
      <c r="Y191" s="9">
        <v>93.15</v>
      </c>
      <c r="Z191" s="9">
        <v>0.00400019139671755</v>
      </c>
      <c r="AA191" s="9">
        <v>0.0257</v>
      </c>
      <c r="AB191" s="9">
        <v>0.0257</v>
      </c>
      <c r="AC191" s="9">
        <v>63.78</v>
      </c>
      <c r="AD191" s="9">
        <v>52.2475</v>
      </c>
      <c r="AE191" s="9">
        <v>0.0257</v>
      </c>
      <c r="AF191" s="9">
        <v>4.04977575083225</v>
      </c>
      <c r="AG191" s="9">
        <v>98.07</v>
      </c>
      <c r="AH191" s="9">
        <v>82.27</v>
      </c>
      <c r="AI191" s="9">
        <v>91.75</v>
      </c>
      <c r="AJ191" s="9">
        <v>0.138</v>
      </c>
      <c r="AK191" s="9">
        <v>100</v>
      </c>
      <c r="AL191" s="9">
        <v>96</v>
      </c>
      <c r="AM191" s="9">
        <v>85.38</v>
      </c>
      <c r="AN191" s="9">
        <v>63.78</v>
      </c>
      <c r="AO191" s="9">
        <v>91.75</v>
      </c>
      <c r="AP191" s="9">
        <v>100</v>
      </c>
      <c r="AQ191" s="12">
        <v>1</v>
      </c>
      <c r="AR191" s="9">
        <v>84.94677</v>
      </c>
      <c r="AS191" s="9">
        <v>84.95</v>
      </c>
      <c r="AT191" s="9">
        <v>25</v>
      </c>
      <c r="AU191" s="9"/>
      <c r="AV191" s="9">
        <v>50</v>
      </c>
      <c r="AW191" s="9" t="s">
        <v>1356</v>
      </c>
      <c r="AX191" s="9">
        <v>46239</v>
      </c>
      <c r="AY191" s="9" t="s">
        <v>1358</v>
      </c>
      <c r="AZ191" s="9" t="s">
        <v>2404</v>
      </c>
      <c r="BA191" s="9">
        <v>45597</v>
      </c>
      <c r="BB191" s="9" t="s">
        <v>785</v>
      </c>
      <c r="BC191" s="9" t="s">
        <v>928</v>
      </c>
      <c r="BD191" s="9" t="s">
        <v>1566</v>
      </c>
      <c r="BE191" s="13">
        <v>84.94677</v>
      </c>
      <c r="BF191" s="13">
        <v>84.95</v>
      </c>
      <c r="BG191" s="12">
        <v>1</v>
      </c>
      <c r="BH191" s="9">
        <v>84.94677</v>
      </c>
      <c r="BI191" s="9" t="s">
        <v>1567</v>
      </c>
    </row>
    <row r="192" ht="25" customHeight="1" spans="1:61">
      <c r="A192" s="9">
        <v>191</v>
      </c>
      <c r="B192" s="9" t="s">
        <v>2405</v>
      </c>
      <c r="C192" s="9" t="s">
        <v>2406</v>
      </c>
      <c r="D192" s="9" t="s">
        <v>1976</v>
      </c>
      <c r="E192" s="10">
        <v>43917</v>
      </c>
      <c r="F192" s="9">
        <v>6.4476</v>
      </c>
      <c r="G192" s="9" t="s">
        <v>1561</v>
      </c>
      <c r="H192" s="9" t="s">
        <v>561</v>
      </c>
      <c r="I192" s="9">
        <v>90</v>
      </c>
      <c r="J192" s="9" t="s">
        <v>1562</v>
      </c>
      <c r="K192" s="9">
        <v>100</v>
      </c>
      <c r="L192" s="9">
        <v>100</v>
      </c>
      <c r="M192" s="11">
        <v>0.0689</v>
      </c>
      <c r="N192" s="11">
        <v>0.0621</v>
      </c>
      <c r="O192" s="11"/>
      <c r="P192" s="11">
        <v>0.0587162395259204</v>
      </c>
      <c r="Q192" s="9">
        <v>54.63</v>
      </c>
      <c r="R192" s="9">
        <v>42.38</v>
      </c>
      <c r="S192" s="9">
        <v>49.73</v>
      </c>
      <c r="T192" s="11">
        <v>0.9231</v>
      </c>
      <c r="U192" s="11">
        <v>0.8919</v>
      </c>
      <c r="V192" s="11">
        <v>0.875</v>
      </c>
      <c r="W192" s="9">
        <v>92.31</v>
      </c>
      <c r="X192" s="9">
        <v>87.5</v>
      </c>
      <c r="Y192" s="9">
        <v>90.39</v>
      </c>
      <c r="Z192" s="9">
        <v>0.00767491339266818</v>
      </c>
      <c r="AA192" s="9">
        <v>0.0282</v>
      </c>
      <c r="AB192" s="9">
        <v>0.0282</v>
      </c>
      <c r="AC192" s="9">
        <v>61.38</v>
      </c>
      <c r="AD192" s="9">
        <v>8.9773</v>
      </c>
      <c r="AE192" s="9">
        <v>0.0282</v>
      </c>
      <c r="AF192" s="9">
        <v>2.08213615340143</v>
      </c>
      <c r="AG192" s="9">
        <v>75.88</v>
      </c>
      <c r="AH192" s="9">
        <v>62.41</v>
      </c>
      <c r="AI192" s="9">
        <v>70.49</v>
      </c>
      <c r="AJ192" s="9">
        <v>0.0621</v>
      </c>
      <c r="AK192" s="9">
        <v>100</v>
      </c>
      <c r="AL192" s="9">
        <v>96</v>
      </c>
      <c r="AM192" s="9">
        <v>61.93</v>
      </c>
      <c r="AN192" s="9">
        <v>61.38</v>
      </c>
      <c r="AO192" s="9">
        <v>70.49</v>
      </c>
      <c r="AP192" s="9">
        <v>100</v>
      </c>
      <c r="AQ192" s="12">
        <v>1</v>
      </c>
      <c r="AR192" s="9">
        <v>73.27796</v>
      </c>
      <c r="AS192" s="9">
        <v>73.28</v>
      </c>
      <c r="AT192" s="9">
        <v>83</v>
      </c>
      <c r="AU192" s="9"/>
      <c r="AV192" s="9">
        <v>50</v>
      </c>
      <c r="AW192" s="9" t="s">
        <v>1977</v>
      </c>
      <c r="AX192" s="9">
        <v>45219</v>
      </c>
      <c r="AY192" s="9" t="s">
        <v>1978</v>
      </c>
      <c r="AZ192" s="9" t="s">
        <v>2407</v>
      </c>
      <c r="BA192" s="9">
        <v>44670</v>
      </c>
      <c r="BB192" s="9" t="s">
        <v>785</v>
      </c>
      <c r="BC192" s="9" t="s">
        <v>2408</v>
      </c>
      <c r="BD192" s="9" t="s">
        <v>1566</v>
      </c>
      <c r="BE192" s="13">
        <v>73.27796</v>
      </c>
      <c r="BF192" s="13">
        <v>73.28</v>
      </c>
      <c r="BG192" s="12">
        <v>1</v>
      </c>
      <c r="BH192" s="9">
        <v>73.27796</v>
      </c>
      <c r="BI192" s="9" t="s">
        <v>1567</v>
      </c>
    </row>
    <row r="193" ht="25" customHeight="1" spans="1:61">
      <c r="A193" s="9">
        <v>192</v>
      </c>
      <c r="B193" s="9" t="s">
        <v>264</v>
      </c>
      <c r="C193" s="9" t="s">
        <v>265</v>
      </c>
      <c r="D193" s="9" t="s">
        <v>266</v>
      </c>
      <c r="E193" s="10">
        <v>43937</v>
      </c>
      <c r="F193" s="9">
        <v>6.3929</v>
      </c>
      <c r="G193" s="9" t="s">
        <v>1561</v>
      </c>
      <c r="H193" s="9" t="s">
        <v>572</v>
      </c>
      <c r="I193" s="9">
        <v>100</v>
      </c>
      <c r="J193" s="9" t="s">
        <v>1562</v>
      </c>
      <c r="K193" s="9">
        <v>100</v>
      </c>
      <c r="L193" s="9">
        <v>100</v>
      </c>
      <c r="M193" s="11">
        <v>0.0425</v>
      </c>
      <c r="N193" s="11">
        <v>0.0745</v>
      </c>
      <c r="O193" s="11"/>
      <c r="P193" s="11">
        <v>0.0908664822673271</v>
      </c>
      <c r="Q193" s="9">
        <v>36.42</v>
      </c>
      <c r="R193" s="9">
        <v>66.19</v>
      </c>
      <c r="S193" s="9">
        <v>48.33</v>
      </c>
      <c r="T193" s="11">
        <v>0.7692</v>
      </c>
      <c r="U193" s="11">
        <v>0.8889</v>
      </c>
      <c r="V193" s="11">
        <v>0.9537375</v>
      </c>
      <c r="W193" s="9">
        <v>76.92</v>
      </c>
      <c r="X193" s="9">
        <v>95.37375</v>
      </c>
      <c r="Y193" s="9">
        <v>84.3</v>
      </c>
      <c r="Z193" s="9">
        <v>0.00468546733402421</v>
      </c>
      <c r="AA193" s="9">
        <v>0.0047</v>
      </c>
      <c r="AB193" s="9">
        <v>0.0047</v>
      </c>
      <c r="AC193" s="9">
        <v>94.07</v>
      </c>
      <c r="AD193" s="9">
        <v>9.0706</v>
      </c>
      <c r="AE193" s="9"/>
      <c r="AF193" s="9"/>
      <c r="AG193" s="9">
        <v>76.85</v>
      </c>
      <c r="AH193" s="9"/>
      <c r="AI193" s="9">
        <v>76.85</v>
      </c>
      <c r="AJ193" s="9">
        <v>0.0745</v>
      </c>
      <c r="AK193" s="9">
        <v>80</v>
      </c>
      <c r="AL193" s="9">
        <v>100</v>
      </c>
      <c r="AM193" s="9">
        <v>59.12</v>
      </c>
      <c r="AN193" s="9">
        <v>94.07</v>
      </c>
      <c r="AO193" s="9">
        <v>76.85</v>
      </c>
      <c r="AP193" s="9">
        <v>80</v>
      </c>
      <c r="AQ193" s="12">
        <v>0.88</v>
      </c>
      <c r="AR193" s="9">
        <v>72.17451</v>
      </c>
      <c r="AS193" s="9">
        <v>82.02</v>
      </c>
      <c r="AT193" s="9">
        <v>39</v>
      </c>
      <c r="AU193" s="9" t="s">
        <v>1563</v>
      </c>
      <c r="AV193" s="9">
        <v>100</v>
      </c>
      <c r="AW193" s="9" t="s">
        <v>1340</v>
      </c>
      <c r="AX193" s="9">
        <v>46223</v>
      </c>
      <c r="AY193" s="9" t="s">
        <v>1342</v>
      </c>
      <c r="AZ193" s="9" t="s">
        <v>2409</v>
      </c>
      <c r="BA193" s="9">
        <v>45869</v>
      </c>
      <c r="BB193" s="9" t="s">
        <v>785</v>
      </c>
      <c r="BC193" s="9" t="s">
        <v>908</v>
      </c>
      <c r="BD193" s="9" t="s">
        <v>1566</v>
      </c>
      <c r="BE193" s="13"/>
      <c r="BF193" s="13">
        <v>82.02</v>
      </c>
      <c r="BG193" s="12">
        <v>0.88</v>
      </c>
      <c r="BH193" s="9">
        <v>72.17451</v>
      </c>
      <c r="BI193" s="9" t="s">
        <v>1567</v>
      </c>
    </row>
    <row r="194" ht="25" customHeight="1" spans="1:61">
      <c r="A194" s="9">
        <v>193</v>
      </c>
      <c r="B194" s="9" t="s">
        <v>2410</v>
      </c>
      <c r="C194" s="9" t="s">
        <v>2411</v>
      </c>
      <c r="D194" s="9" t="s">
        <v>377</v>
      </c>
      <c r="E194" s="10">
        <v>43983</v>
      </c>
      <c r="F194" s="9">
        <v>6.2669</v>
      </c>
      <c r="G194" s="9" t="s">
        <v>1561</v>
      </c>
      <c r="H194" s="9" t="s">
        <v>557</v>
      </c>
      <c r="I194" s="9">
        <v>90</v>
      </c>
      <c r="J194" s="9" t="s">
        <v>1562</v>
      </c>
      <c r="K194" s="9">
        <v>100</v>
      </c>
      <c r="L194" s="9">
        <v>100</v>
      </c>
      <c r="M194" s="11">
        <v>0.0165</v>
      </c>
      <c r="N194" s="11">
        <v>0.0397</v>
      </c>
      <c r="O194" s="11"/>
      <c r="P194" s="11">
        <v>0.0514978147738474</v>
      </c>
      <c r="Q194" s="9">
        <v>20.45</v>
      </c>
      <c r="R194" s="9">
        <v>33.81</v>
      </c>
      <c r="S194" s="9">
        <v>25.79</v>
      </c>
      <c r="T194" s="11">
        <v>0.6154</v>
      </c>
      <c r="U194" s="11">
        <v>0.6757</v>
      </c>
      <c r="V194" s="11">
        <v>0.7083625</v>
      </c>
      <c r="W194" s="9">
        <v>61.54</v>
      </c>
      <c r="X194" s="9">
        <v>70.83625</v>
      </c>
      <c r="Y194" s="9">
        <v>65.26</v>
      </c>
      <c r="Z194" s="9">
        <v>0.0342465753424658</v>
      </c>
      <c r="AA194" s="9">
        <v>0.0422</v>
      </c>
      <c r="AB194" s="9">
        <v>0.0422</v>
      </c>
      <c r="AC194" s="9">
        <v>49.36</v>
      </c>
      <c r="AD194" s="9">
        <v>0.4818</v>
      </c>
      <c r="AE194" s="9">
        <v>0.0422</v>
      </c>
      <c r="AF194" s="9">
        <v>1.22032736430918</v>
      </c>
      <c r="AG194" s="9">
        <v>23.15</v>
      </c>
      <c r="AH194" s="9">
        <v>45.39</v>
      </c>
      <c r="AI194" s="9">
        <v>32.05</v>
      </c>
      <c r="AJ194" s="9">
        <v>0.0397</v>
      </c>
      <c r="AK194" s="9">
        <v>80</v>
      </c>
      <c r="AL194" s="9">
        <v>96</v>
      </c>
      <c r="AM194" s="9">
        <v>37.63</v>
      </c>
      <c r="AN194" s="9">
        <v>49.36</v>
      </c>
      <c r="AO194" s="9">
        <v>32.05</v>
      </c>
      <c r="AP194" s="9">
        <v>80</v>
      </c>
      <c r="AQ194" s="12">
        <v>1</v>
      </c>
      <c r="AR194" s="9">
        <v>51.88047</v>
      </c>
      <c r="AS194" s="9">
        <v>51.88</v>
      </c>
      <c r="AT194" s="9">
        <v>208</v>
      </c>
      <c r="AU194" s="9"/>
      <c r="AV194" s="9">
        <v>20</v>
      </c>
      <c r="AW194" s="9" t="s">
        <v>1380</v>
      </c>
      <c r="AX194" s="9">
        <v>46027</v>
      </c>
      <c r="AY194" s="9" t="s">
        <v>1382</v>
      </c>
      <c r="AZ194" s="9" t="s">
        <v>2412</v>
      </c>
      <c r="BA194" s="9">
        <v>45511</v>
      </c>
      <c r="BB194" s="9" t="s">
        <v>785</v>
      </c>
      <c r="BC194" s="9" t="s">
        <v>2413</v>
      </c>
      <c r="BD194" s="9" t="s">
        <v>1566</v>
      </c>
      <c r="BE194" s="13">
        <v>51.88047</v>
      </c>
      <c r="BF194" s="13">
        <v>51.88</v>
      </c>
      <c r="BG194" s="12">
        <v>1</v>
      </c>
      <c r="BH194" s="9">
        <v>51.88047</v>
      </c>
      <c r="BI194" s="9" t="s">
        <v>1567</v>
      </c>
    </row>
    <row r="195" ht="25" customHeight="1" spans="1:61">
      <c r="A195" s="9">
        <v>194</v>
      </c>
      <c r="B195" s="9" t="s">
        <v>2414</v>
      </c>
      <c r="C195" s="9" t="s">
        <v>2415</v>
      </c>
      <c r="D195" s="9" t="s">
        <v>2339</v>
      </c>
      <c r="E195" s="10">
        <v>43998</v>
      </c>
      <c r="F195" s="9">
        <v>6.2259</v>
      </c>
      <c r="G195" s="9" t="s">
        <v>1561</v>
      </c>
      <c r="H195" s="9" t="s">
        <v>572</v>
      </c>
      <c r="I195" s="9">
        <v>100</v>
      </c>
      <c r="J195" s="9" t="s">
        <v>1562</v>
      </c>
      <c r="K195" s="9">
        <v>100</v>
      </c>
      <c r="L195" s="9">
        <v>100</v>
      </c>
      <c r="M195" s="11">
        <v>0.0887</v>
      </c>
      <c r="N195" s="11">
        <v>0.0674</v>
      </c>
      <c r="O195" s="11"/>
      <c r="P195" s="11">
        <v>0.0569067857329235</v>
      </c>
      <c r="Q195" s="9">
        <v>68.05</v>
      </c>
      <c r="R195" s="9">
        <v>38.57</v>
      </c>
      <c r="S195" s="9">
        <v>56.26</v>
      </c>
      <c r="T195" s="11">
        <v>0.7692</v>
      </c>
      <c r="U195" s="11">
        <v>0.7027</v>
      </c>
      <c r="V195" s="11">
        <v>0.666679166666667</v>
      </c>
      <c r="W195" s="9">
        <v>76.92</v>
      </c>
      <c r="X195" s="9">
        <v>66.6679166666667</v>
      </c>
      <c r="Y195" s="9">
        <v>72.82</v>
      </c>
      <c r="Z195" s="9">
        <v>0.0558493892456869</v>
      </c>
      <c r="AA195" s="9">
        <v>0.0605</v>
      </c>
      <c r="AB195" s="9">
        <v>0.0605</v>
      </c>
      <c r="AC195" s="9">
        <v>39.1</v>
      </c>
      <c r="AD195" s="9">
        <v>1.5882</v>
      </c>
      <c r="AE195" s="9">
        <v>0.0605</v>
      </c>
      <c r="AF195" s="9">
        <v>0.940608028643364</v>
      </c>
      <c r="AG195" s="9">
        <v>37.62</v>
      </c>
      <c r="AH195" s="9">
        <v>36.17</v>
      </c>
      <c r="AI195" s="9">
        <v>37.04</v>
      </c>
      <c r="AJ195" s="9">
        <v>0.0674</v>
      </c>
      <c r="AK195" s="9">
        <v>100</v>
      </c>
      <c r="AL195" s="9">
        <v>100</v>
      </c>
      <c r="AM195" s="9">
        <v>61.23</v>
      </c>
      <c r="AN195" s="9">
        <v>39.1</v>
      </c>
      <c r="AO195" s="9">
        <v>37.04</v>
      </c>
      <c r="AP195" s="9">
        <v>100</v>
      </c>
      <c r="AQ195" s="12">
        <v>1</v>
      </c>
      <c r="AR195" s="9">
        <v>58.13227</v>
      </c>
      <c r="AS195" s="9">
        <v>58.13</v>
      </c>
      <c r="AT195" s="9">
        <v>169</v>
      </c>
      <c r="AU195" s="9"/>
      <c r="AV195" s="9">
        <v>100</v>
      </c>
      <c r="AW195" s="9" t="s">
        <v>2340</v>
      </c>
      <c r="AX195" s="9">
        <v>46077</v>
      </c>
      <c r="AY195" s="9" t="s">
        <v>2341</v>
      </c>
      <c r="AZ195" s="9" t="s">
        <v>2416</v>
      </c>
      <c r="BA195" s="9">
        <v>45846</v>
      </c>
      <c r="BB195" s="9" t="s">
        <v>785</v>
      </c>
      <c r="BC195" s="9" t="s">
        <v>2417</v>
      </c>
      <c r="BD195" s="9" t="s">
        <v>1566</v>
      </c>
      <c r="BE195" s="13">
        <v>58.13227</v>
      </c>
      <c r="BF195" s="13">
        <v>58.13</v>
      </c>
      <c r="BG195" s="12">
        <v>1</v>
      </c>
      <c r="BH195" s="9">
        <v>58.13227</v>
      </c>
      <c r="BI195" s="9" t="s">
        <v>1567</v>
      </c>
    </row>
    <row r="196" ht="25" customHeight="1" spans="1:61">
      <c r="A196" s="9">
        <v>195</v>
      </c>
      <c r="B196" s="9" t="s">
        <v>2418</v>
      </c>
      <c r="C196" s="9" t="s">
        <v>2419</v>
      </c>
      <c r="D196" s="9" t="s">
        <v>355</v>
      </c>
      <c r="E196" s="10">
        <v>43998</v>
      </c>
      <c r="F196" s="9">
        <v>6.2259</v>
      </c>
      <c r="G196" s="9" t="s">
        <v>1561</v>
      </c>
      <c r="H196" s="9" t="s">
        <v>542</v>
      </c>
      <c r="I196" s="9">
        <v>60</v>
      </c>
      <c r="J196" s="9" t="s">
        <v>1562</v>
      </c>
      <c r="K196" s="9">
        <v>100</v>
      </c>
      <c r="L196" s="9">
        <v>100</v>
      </c>
      <c r="M196" s="11">
        <v>0.0183</v>
      </c>
      <c r="N196" s="11">
        <v>0.0586</v>
      </c>
      <c r="O196" s="11"/>
      <c r="P196" s="11">
        <v>0.0793442011711498</v>
      </c>
      <c r="Q196" s="9">
        <v>21.09</v>
      </c>
      <c r="R196" s="9">
        <v>60</v>
      </c>
      <c r="S196" s="9">
        <v>36.65</v>
      </c>
      <c r="T196" s="11">
        <v>0.6154</v>
      </c>
      <c r="U196" s="11">
        <v>0.6944</v>
      </c>
      <c r="V196" s="11">
        <v>0.737191666666667</v>
      </c>
      <c r="W196" s="9">
        <v>61.54</v>
      </c>
      <c r="X196" s="9">
        <v>73.7191666666667</v>
      </c>
      <c r="Y196" s="9">
        <v>66.41</v>
      </c>
      <c r="Z196" s="9">
        <v>0.0303936223218734</v>
      </c>
      <c r="AA196" s="9">
        <v>0.0526</v>
      </c>
      <c r="AB196" s="9">
        <v>0.0526</v>
      </c>
      <c r="AC196" s="9">
        <v>42.95</v>
      </c>
      <c r="AD196" s="9">
        <v>0.6021</v>
      </c>
      <c r="AE196" s="9">
        <v>0.0526</v>
      </c>
      <c r="AF196" s="9">
        <v>1.50844488918536</v>
      </c>
      <c r="AG196" s="9">
        <v>25.4</v>
      </c>
      <c r="AH196" s="9">
        <v>52.48</v>
      </c>
      <c r="AI196" s="9">
        <v>36.23</v>
      </c>
      <c r="AJ196" s="9">
        <v>0.0586</v>
      </c>
      <c r="AK196" s="9">
        <v>80</v>
      </c>
      <c r="AL196" s="9">
        <v>84</v>
      </c>
      <c r="AM196" s="9">
        <v>45.58</v>
      </c>
      <c r="AN196" s="9">
        <v>42.95</v>
      </c>
      <c r="AO196" s="9">
        <v>36.23</v>
      </c>
      <c r="AP196" s="9">
        <v>80</v>
      </c>
      <c r="AQ196" s="12">
        <v>1</v>
      </c>
      <c r="AR196" s="9">
        <v>51.32336</v>
      </c>
      <c r="AS196" s="9">
        <v>51.32</v>
      </c>
      <c r="AT196" s="9">
        <v>214</v>
      </c>
      <c r="AU196" s="9"/>
      <c r="AV196" s="9">
        <v>0</v>
      </c>
      <c r="AW196" s="9" t="s">
        <v>1371</v>
      </c>
      <c r="AX196" s="9">
        <v>46148</v>
      </c>
      <c r="AY196" s="9" t="s">
        <v>1373</v>
      </c>
      <c r="AZ196" s="9" t="s">
        <v>2420</v>
      </c>
      <c r="BA196" s="9">
        <v>46128</v>
      </c>
      <c r="BB196" s="9" t="s">
        <v>785</v>
      </c>
      <c r="BC196" s="9" t="s">
        <v>2421</v>
      </c>
      <c r="BD196" s="9" t="s">
        <v>1566</v>
      </c>
      <c r="BE196" s="13">
        <v>51.32336</v>
      </c>
      <c r="BF196" s="13">
        <v>51.32</v>
      </c>
      <c r="BG196" s="12">
        <v>1</v>
      </c>
      <c r="BH196" s="9">
        <v>51.32336</v>
      </c>
      <c r="BI196" s="9" t="s">
        <v>1567</v>
      </c>
    </row>
    <row r="197" ht="25" customHeight="1" spans="1:61">
      <c r="A197" s="9">
        <v>196</v>
      </c>
      <c r="B197" s="9" t="s">
        <v>2422</v>
      </c>
      <c r="C197" s="9" t="s">
        <v>2423</v>
      </c>
      <c r="D197" s="9" t="s">
        <v>226</v>
      </c>
      <c r="E197" s="10">
        <v>44061</v>
      </c>
      <c r="F197" s="9">
        <v>6.0534</v>
      </c>
      <c r="G197" s="9" t="s">
        <v>1561</v>
      </c>
      <c r="H197" s="9" t="s">
        <v>542</v>
      </c>
      <c r="I197" s="9">
        <v>60</v>
      </c>
      <c r="J197" s="9" t="s">
        <v>1562</v>
      </c>
      <c r="K197" s="9">
        <v>100</v>
      </c>
      <c r="L197" s="9">
        <v>100</v>
      </c>
      <c r="M197" s="11">
        <v>0.3591</v>
      </c>
      <c r="N197" s="11">
        <v>0.2826</v>
      </c>
      <c r="O197" s="11"/>
      <c r="P197" s="11">
        <v>0.245980217719181</v>
      </c>
      <c r="Q197" s="9">
        <v>96.81</v>
      </c>
      <c r="R197" s="9">
        <v>95.24</v>
      </c>
      <c r="S197" s="9">
        <v>96.18</v>
      </c>
      <c r="T197" s="11">
        <v>0.7692</v>
      </c>
      <c r="U197" s="11">
        <v>0.6757</v>
      </c>
      <c r="V197" s="11">
        <v>0.625054166666667</v>
      </c>
      <c r="W197" s="9">
        <v>76.92</v>
      </c>
      <c r="X197" s="9">
        <v>62.5054166666667</v>
      </c>
      <c r="Y197" s="9">
        <v>71.15</v>
      </c>
      <c r="Z197" s="9">
        <v>0.0293344007319305</v>
      </c>
      <c r="AA197" s="9">
        <v>0.078</v>
      </c>
      <c r="AB197" s="9">
        <v>0.078</v>
      </c>
      <c r="AC197" s="9">
        <v>33.33</v>
      </c>
      <c r="AD197" s="9">
        <v>12.2416</v>
      </c>
      <c r="AE197" s="9">
        <v>0.078</v>
      </c>
      <c r="AF197" s="9">
        <v>3.1535925348613</v>
      </c>
      <c r="AG197" s="9">
        <v>84.57</v>
      </c>
      <c r="AH197" s="9">
        <v>77.3</v>
      </c>
      <c r="AI197" s="9">
        <v>81.66</v>
      </c>
      <c r="AJ197" s="9">
        <v>0.2826</v>
      </c>
      <c r="AK197" s="9">
        <v>100</v>
      </c>
      <c r="AL197" s="9">
        <v>84</v>
      </c>
      <c r="AM197" s="9">
        <v>88.67</v>
      </c>
      <c r="AN197" s="9">
        <v>33.33</v>
      </c>
      <c r="AO197" s="9">
        <v>81.66</v>
      </c>
      <c r="AP197" s="9">
        <v>100</v>
      </c>
      <c r="AQ197" s="12">
        <v>1</v>
      </c>
      <c r="AR197" s="9">
        <v>73.16583</v>
      </c>
      <c r="AS197" s="9">
        <v>73.17</v>
      </c>
      <c r="AT197" s="9">
        <v>84</v>
      </c>
      <c r="AU197" s="9"/>
      <c r="AV197" s="9">
        <v>0</v>
      </c>
      <c r="AW197" s="9" t="s">
        <v>1319</v>
      </c>
      <c r="AX197" s="9">
        <v>46198</v>
      </c>
      <c r="AY197" s="9" t="s">
        <v>1321</v>
      </c>
      <c r="AZ197" s="9" t="s">
        <v>2424</v>
      </c>
      <c r="BA197" s="9">
        <v>46231</v>
      </c>
      <c r="BB197" s="9" t="s">
        <v>785</v>
      </c>
      <c r="BC197" s="9" t="s">
        <v>2425</v>
      </c>
      <c r="BD197" s="9" t="s">
        <v>1566</v>
      </c>
      <c r="BE197" s="13">
        <v>73.16583</v>
      </c>
      <c r="BF197" s="13">
        <v>73.17</v>
      </c>
      <c r="BG197" s="12">
        <v>1</v>
      </c>
      <c r="BH197" s="9">
        <v>73.16583</v>
      </c>
      <c r="BI197" s="9" t="s">
        <v>1567</v>
      </c>
    </row>
    <row r="198" ht="25" customHeight="1" spans="1:61">
      <c r="A198" s="9">
        <v>197</v>
      </c>
      <c r="B198" s="9" t="s">
        <v>2426</v>
      </c>
      <c r="C198" s="9" t="s">
        <v>2427</v>
      </c>
      <c r="D198" s="9" t="s">
        <v>2339</v>
      </c>
      <c r="E198" s="10">
        <v>44069</v>
      </c>
      <c r="F198" s="9">
        <v>6.0315</v>
      </c>
      <c r="G198" s="9" t="s">
        <v>1561</v>
      </c>
      <c r="H198" s="9" t="s">
        <v>572</v>
      </c>
      <c r="I198" s="9">
        <v>100</v>
      </c>
      <c r="J198" s="9" t="s">
        <v>1562</v>
      </c>
      <c r="K198" s="9">
        <v>100</v>
      </c>
      <c r="L198" s="9">
        <v>100</v>
      </c>
      <c r="M198" s="11">
        <v>0.0901</v>
      </c>
      <c r="N198" s="11">
        <v>0.0637</v>
      </c>
      <c r="O198" s="11"/>
      <c r="P198" s="11">
        <v>0.0507407344580513</v>
      </c>
      <c r="Q198" s="9">
        <v>68.69</v>
      </c>
      <c r="R198" s="9">
        <v>32.86</v>
      </c>
      <c r="S198" s="9">
        <v>54.36</v>
      </c>
      <c r="T198" s="11">
        <v>0.7692</v>
      </c>
      <c r="U198" s="11">
        <v>0.7297</v>
      </c>
      <c r="V198" s="11">
        <v>0.708304166666667</v>
      </c>
      <c r="W198" s="9">
        <v>76.92</v>
      </c>
      <c r="X198" s="9">
        <v>70.8304166666667</v>
      </c>
      <c r="Y198" s="9">
        <v>74.48</v>
      </c>
      <c r="Z198" s="9">
        <v>0.0549457250884254</v>
      </c>
      <c r="AA198" s="9">
        <v>0.0662</v>
      </c>
      <c r="AB198" s="9">
        <v>0.0662</v>
      </c>
      <c r="AC198" s="9">
        <v>36.86</v>
      </c>
      <c r="AD198" s="9">
        <v>1.6398</v>
      </c>
      <c r="AE198" s="9">
        <v>0.0662</v>
      </c>
      <c r="AF198" s="9">
        <v>0.76647635133008</v>
      </c>
      <c r="AG198" s="9">
        <v>39.23</v>
      </c>
      <c r="AH198" s="9">
        <v>27.66</v>
      </c>
      <c r="AI198" s="9">
        <v>34.6</v>
      </c>
      <c r="AJ198" s="9">
        <v>0.0637</v>
      </c>
      <c r="AK198" s="9">
        <v>100</v>
      </c>
      <c r="AL198" s="9">
        <v>100</v>
      </c>
      <c r="AM198" s="9">
        <v>60.4</v>
      </c>
      <c r="AN198" s="9">
        <v>36.86</v>
      </c>
      <c r="AO198" s="9">
        <v>34.6</v>
      </c>
      <c r="AP198" s="9">
        <v>100</v>
      </c>
      <c r="AQ198" s="12">
        <v>1</v>
      </c>
      <c r="AR198" s="9">
        <v>56.67477</v>
      </c>
      <c r="AS198" s="9">
        <v>56.67</v>
      </c>
      <c r="AT198" s="9">
        <v>178</v>
      </c>
      <c r="AU198" s="9"/>
      <c r="AV198" s="9">
        <v>100</v>
      </c>
      <c r="AW198" s="9" t="s">
        <v>2340</v>
      </c>
      <c r="AX198" s="9">
        <v>46077</v>
      </c>
      <c r="AY198" s="9" t="s">
        <v>2341</v>
      </c>
      <c r="AZ198" s="9" t="s">
        <v>2428</v>
      </c>
      <c r="BA198" s="9">
        <v>45838</v>
      </c>
      <c r="BB198" s="9" t="s">
        <v>785</v>
      </c>
      <c r="BC198" s="9" t="s">
        <v>2429</v>
      </c>
      <c r="BD198" s="9" t="s">
        <v>1566</v>
      </c>
      <c r="BE198" s="13">
        <v>56.67477</v>
      </c>
      <c r="BF198" s="13">
        <v>56.67</v>
      </c>
      <c r="BG198" s="12">
        <v>1</v>
      </c>
      <c r="BH198" s="9">
        <v>56.67477</v>
      </c>
      <c r="BI198" s="9" t="s">
        <v>1567</v>
      </c>
    </row>
    <row r="199" ht="25" customHeight="1" spans="1:61">
      <c r="A199" s="9">
        <v>198</v>
      </c>
      <c r="B199" s="9" t="s">
        <v>2430</v>
      </c>
      <c r="C199" s="9" t="s">
        <v>2431</v>
      </c>
      <c r="D199" s="9" t="s">
        <v>2432</v>
      </c>
      <c r="E199" s="10">
        <v>44069</v>
      </c>
      <c r="F199" s="9">
        <v>6.0315</v>
      </c>
      <c r="G199" s="9" t="s">
        <v>1561</v>
      </c>
      <c r="H199" s="9" t="s">
        <v>551</v>
      </c>
      <c r="I199" s="9">
        <v>80</v>
      </c>
      <c r="J199" s="9" t="s">
        <v>1562</v>
      </c>
      <c r="K199" s="9">
        <v>100</v>
      </c>
      <c r="L199" s="9">
        <v>100</v>
      </c>
      <c r="M199" s="11">
        <v>0.0467</v>
      </c>
      <c r="N199" s="11">
        <v>0.054</v>
      </c>
      <c r="O199" s="11"/>
      <c r="P199" s="11">
        <v>0.0576690700121927</v>
      </c>
      <c r="Q199" s="9">
        <v>39.78</v>
      </c>
      <c r="R199" s="9">
        <v>40</v>
      </c>
      <c r="S199" s="9">
        <v>39.87</v>
      </c>
      <c r="T199" s="11">
        <v>0.8462</v>
      </c>
      <c r="U199" s="11">
        <v>0.8108</v>
      </c>
      <c r="V199" s="11">
        <v>0.791625</v>
      </c>
      <c r="W199" s="9">
        <v>84.62</v>
      </c>
      <c r="X199" s="9">
        <v>79.1625</v>
      </c>
      <c r="Y199" s="9">
        <v>82.44</v>
      </c>
      <c r="Z199" s="9">
        <v>0.0126349395308568</v>
      </c>
      <c r="AA199" s="9">
        <v>0.0126</v>
      </c>
      <c r="AB199" s="9">
        <v>0.0126349395308568</v>
      </c>
      <c r="AC199" s="9">
        <v>81.09</v>
      </c>
      <c r="AD199" s="9">
        <v>3.6961</v>
      </c>
      <c r="AE199" s="9"/>
      <c r="AF199" s="9"/>
      <c r="AG199" s="9">
        <v>58.84</v>
      </c>
      <c r="AH199" s="9"/>
      <c r="AI199" s="9">
        <v>58.84</v>
      </c>
      <c r="AJ199" s="9">
        <v>0.054</v>
      </c>
      <c r="AK199" s="9">
        <v>80</v>
      </c>
      <c r="AL199" s="9">
        <v>92</v>
      </c>
      <c r="AM199" s="9">
        <v>52.64</v>
      </c>
      <c r="AN199" s="9">
        <v>81.09</v>
      </c>
      <c r="AO199" s="9">
        <v>58.84</v>
      </c>
      <c r="AP199" s="9">
        <v>80</v>
      </c>
      <c r="AQ199" s="12">
        <v>0.88</v>
      </c>
      <c r="AR199" s="9">
        <v>63.19144</v>
      </c>
      <c r="AS199" s="9">
        <v>71.81</v>
      </c>
      <c r="AT199" s="9">
        <v>93</v>
      </c>
      <c r="AU199" s="9" t="s">
        <v>1563</v>
      </c>
      <c r="AV199" s="9">
        <v>10</v>
      </c>
      <c r="AW199" s="9" t="s">
        <v>2433</v>
      </c>
      <c r="AX199" s="9">
        <v>45994</v>
      </c>
      <c r="AY199" s="9" t="s">
        <v>2434</v>
      </c>
      <c r="AZ199" s="9" t="s">
        <v>2435</v>
      </c>
      <c r="BA199" s="9">
        <v>45064</v>
      </c>
      <c r="BB199" s="9" t="s">
        <v>785</v>
      </c>
      <c r="BC199" s="9" t="s">
        <v>2436</v>
      </c>
      <c r="BD199" s="9" t="s">
        <v>1566</v>
      </c>
      <c r="BE199" s="13"/>
      <c r="BF199" s="13">
        <v>71.81</v>
      </c>
      <c r="BG199" s="12">
        <v>0.88</v>
      </c>
      <c r="BH199" s="9">
        <v>63.19144</v>
      </c>
      <c r="BI199" s="9" t="s">
        <v>1567</v>
      </c>
    </row>
    <row r="200" ht="25" customHeight="1" spans="1:61">
      <c r="A200" s="9">
        <v>199</v>
      </c>
      <c r="B200" s="9" t="s">
        <v>440</v>
      </c>
      <c r="C200" s="9" t="s">
        <v>441</v>
      </c>
      <c r="D200" s="9" t="s">
        <v>442</v>
      </c>
      <c r="E200" s="10">
        <v>44155</v>
      </c>
      <c r="F200" s="9">
        <v>5.796</v>
      </c>
      <c r="G200" s="9" t="s">
        <v>1561</v>
      </c>
      <c r="H200" s="9" t="s">
        <v>542</v>
      </c>
      <c r="I200" s="9">
        <v>60</v>
      </c>
      <c r="J200" s="9" t="s">
        <v>1562</v>
      </c>
      <c r="K200" s="9">
        <v>100</v>
      </c>
      <c r="L200" s="9">
        <v>100</v>
      </c>
      <c r="M200" s="11">
        <v>0.0625</v>
      </c>
      <c r="N200" s="11">
        <v>0.1181</v>
      </c>
      <c r="O200" s="11"/>
      <c r="P200" s="11">
        <v>0.146981734401361</v>
      </c>
      <c r="Q200" s="9">
        <v>49.2</v>
      </c>
      <c r="R200" s="9">
        <v>86.19</v>
      </c>
      <c r="S200" s="9">
        <v>64</v>
      </c>
      <c r="T200" s="11">
        <v>0.8462</v>
      </c>
      <c r="U200" s="11">
        <v>0.7838</v>
      </c>
      <c r="V200" s="11">
        <v>0.75</v>
      </c>
      <c r="W200" s="9">
        <v>84.62</v>
      </c>
      <c r="X200" s="9">
        <v>75</v>
      </c>
      <c r="Y200" s="9">
        <v>80.77</v>
      </c>
      <c r="Z200" s="9">
        <v>0.00366055792759709</v>
      </c>
      <c r="AA200" s="9">
        <v>0.0108</v>
      </c>
      <c r="AB200" s="9">
        <v>0.0108</v>
      </c>
      <c r="AC200" s="9">
        <v>83.33</v>
      </c>
      <c r="AD200" s="9">
        <v>17.0739</v>
      </c>
      <c r="AE200" s="9">
        <v>0.0108</v>
      </c>
      <c r="AF200" s="9">
        <v>13.6094198519778</v>
      </c>
      <c r="AG200" s="9">
        <v>87.46</v>
      </c>
      <c r="AH200" s="9">
        <v>93.62</v>
      </c>
      <c r="AI200" s="9">
        <v>89.92</v>
      </c>
      <c r="AJ200" s="9">
        <v>0.1181</v>
      </c>
      <c r="AK200" s="9">
        <v>80</v>
      </c>
      <c r="AL200" s="9">
        <v>84</v>
      </c>
      <c r="AM200" s="9">
        <v>69.03</v>
      </c>
      <c r="AN200" s="9">
        <v>83.33</v>
      </c>
      <c r="AO200" s="9">
        <v>89.92</v>
      </c>
      <c r="AP200" s="9">
        <v>80</v>
      </c>
      <c r="AQ200" s="12">
        <v>1</v>
      </c>
      <c r="AR200" s="9">
        <v>82.21546</v>
      </c>
      <c r="AS200" s="9">
        <v>82.22</v>
      </c>
      <c r="AT200" s="9">
        <v>38</v>
      </c>
      <c r="AU200" s="9"/>
      <c r="AV200" s="9">
        <v>0</v>
      </c>
      <c r="AW200" s="9" t="s">
        <v>1411</v>
      </c>
      <c r="AX200" s="9">
        <v>46153</v>
      </c>
      <c r="AY200" s="9" t="s">
        <v>1414</v>
      </c>
      <c r="AZ200" s="9" t="s">
        <v>2437</v>
      </c>
      <c r="BA200" s="9">
        <v>46211</v>
      </c>
      <c r="BB200" s="9" t="s">
        <v>785</v>
      </c>
      <c r="BC200" s="9" t="s">
        <v>968</v>
      </c>
      <c r="BD200" s="9" t="s">
        <v>1566</v>
      </c>
      <c r="BE200" s="13">
        <v>82.21546</v>
      </c>
      <c r="BF200" s="13">
        <v>82.22</v>
      </c>
      <c r="BG200" s="12">
        <v>1</v>
      </c>
      <c r="BH200" s="9">
        <v>82.21546</v>
      </c>
      <c r="BI200" s="9" t="s">
        <v>1567</v>
      </c>
    </row>
    <row r="201" ht="25" customHeight="1" spans="1:61">
      <c r="A201" s="9">
        <v>200</v>
      </c>
      <c r="B201" s="9" t="s">
        <v>2438</v>
      </c>
      <c r="C201" s="9" t="s">
        <v>2439</v>
      </c>
      <c r="D201" s="9" t="s">
        <v>2144</v>
      </c>
      <c r="E201" s="10">
        <v>44175</v>
      </c>
      <c r="F201" s="9">
        <v>5.7413</v>
      </c>
      <c r="G201" s="9" t="s">
        <v>1561</v>
      </c>
      <c r="H201" s="9" t="s">
        <v>546</v>
      </c>
      <c r="I201" s="9">
        <v>70</v>
      </c>
      <c r="J201" s="9" t="s">
        <v>1562</v>
      </c>
      <c r="K201" s="9">
        <v>100</v>
      </c>
      <c r="L201" s="9">
        <v>100</v>
      </c>
      <c r="M201" s="11">
        <v>-0.0122</v>
      </c>
      <c r="N201" s="11">
        <v>-0.0099</v>
      </c>
      <c r="O201" s="11"/>
      <c r="P201" s="11">
        <v>-0.00874799252799963</v>
      </c>
      <c r="Q201" s="9">
        <v>12.3</v>
      </c>
      <c r="R201" s="9">
        <v>2.86</v>
      </c>
      <c r="S201" s="9">
        <v>8.52</v>
      </c>
      <c r="T201" s="11">
        <v>0.6154</v>
      </c>
      <c r="U201" s="11">
        <v>0.5676</v>
      </c>
      <c r="V201" s="11">
        <v>0.541708333333333</v>
      </c>
      <c r="W201" s="9">
        <v>61.54</v>
      </c>
      <c r="X201" s="9">
        <v>54.1708333333333</v>
      </c>
      <c r="Y201" s="9">
        <v>58.59</v>
      </c>
      <c r="Z201" s="9">
        <v>0.0702360391479563</v>
      </c>
      <c r="AA201" s="9">
        <v>0.1155</v>
      </c>
      <c r="AB201" s="9">
        <v>0.1155</v>
      </c>
      <c r="AC201" s="9">
        <v>23.08</v>
      </c>
      <c r="AD201" s="9">
        <v>-0.1737</v>
      </c>
      <c r="AE201" s="9">
        <v>0.1155</v>
      </c>
      <c r="AF201" s="9">
        <v>-0.0757401950476158</v>
      </c>
      <c r="AG201" s="9">
        <v>11.58</v>
      </c>
      <c r="AH201" s="9">
        <v>2.13</v>
      </c>
      <c r="AI201" s="9">
        <v>7.8</v>
      </c>
      <c r="AJ201" s="9">
        <v>-0.0099</v>
      </c>
      <c r="AK201" s="9">
        <v>80</v>
      </c>
      <c r="AL201" s="9">
        <v>88</v>
      </c>
      <c r="AM201" s="9">
        <v>23.54</v>
      </c>
      <c r="AN201" s="9">
        <v>23.08</v>
      </c>
      <c r="AO201" s="9">
        <v>7.8</v>
      </c>
      <c r="AP201" s="9">
        <v>80</v>
      </c>
      <c r="AQ201" s="12">
        <v>1</v>
      </c>
      <c r="AR201" s="9">
        <v>34.0189</v>
      </c>
      <c r="AS201" s="9">
        <v>34.02</v>
      </c>
      <c r="AT201" s="9">
        <v>286</v>
      </c>
      <c r="AU201" s="9"/>
      <c r="AV201" s="9">
        <v>5</v>
      </c>
      <c r="AW201" s="9" t="s">
        <v>2145</v>
      </c>
      <c r="AX201" s="9">
        <v>45693</v>
      </c>
      <c r="AY201" s="9" t="s">
        <v>2146</v>
      </c>
      <c r="AZ201" s="9" t="s">
        <v>2440</v>
      </c>
      <c r="BA201" s="9">
        <v>45989</v>
      </c>
      <c r="BB201" s="9" t="s">
        <v>785</v>
      </c>
      <c r="BC201" s="9" t="s">
        <v>2441</v>
      </c>
      <c r="BD201" s="9" t="s">
        <v>1566</v>
      </c>
      <c r="BE201" s="13">
        <v>34.0189</v>
      </c>
      <c r="BF201" s="13">
        <v>34.02</v>
      </c>
      <c r="BG201" s="12">
        <v>1</v>
      </c>
      <c r="BH201" s="9">
        <v>34.0189</v>
      </c>
      <c r="BI201" s="9" t="s">
        <v>1567</v>
      </c>
    </row>
    <row r="202" ht="25" customHeight="1" spans="1:61">
      <c r="A202" s="9">
        <v>201</v>
      </c>
      <c r="B202" s="9" t="s">
        <v>2442</v>
      </c>
      <c r="C202" s="9" t="s">
        <v>2443</v>
      </c>
      <c r="D202" s="9" t="s">
        <v>2444</v>
      </c>
      <c r="E202" s="10">
        <v>44195</v>
      </c>
      <c r="F202" s="9">
        <v>5.6865</v>
      </c>
      <c r="G202" s="9" t="s">
        <v>1561</v>
      </c>
      <c r="H202" s="9" t="s">
        <v>546</v>
      </c>
      <c r="I202" s="9">
        <v>70</v>
      </c>
      <c r="J202" s="9" t="s">
        <v>1562</v>
      </c>
      <c r="K202" s="9">
        <v>100</v>
      </c>
      <c r="L202" s="9">
        <v>100</v>
      </c>
      <c r="M202" s="11">
        <v>0.0145</v>
      </c>
      <c r="N202" s="11">
        <v>0.0408</v>
      </c>
      <c r="O202" s="11"/>
      <c r="P202" s="11">
        <v>0.0542045823468535</v>
      </c>
      <c r="Q202" s="9">
        <v>19.81</v>
      </c>
      <c r="R202" s="9">
        <v>37.14</v>
      </c>
      <c r="S202" s="9">
        <v>26.74</v>
      </c>
      <c r="T202" s="11">
        <v>0.4615</v>
      </c>
      <c r="U202" s="11">
        <v>0.5405</v>
      </c>
      <c r="V202" s="11">
        <v>0.583291666666667</v>
      </c>
      <c r="W202" s="9">
        <v>46.15</v>
      </c>
      <c r="X202" s="9">
        <v>58.3291666666667</v>
      </c>
      <c r="Y202" s="9">
        <v>51.02</v>
      </c>
      <c r="Z202" s="9">
        <v>0.00885063785631447</v>
      </c>
      <c r="AA202" s="9">
        <v>0.0146</v>
      </c>
      <c r="AB202" s="9">
        <v>0.0146</v>
      </c>
      <c r="AC202" s="9">
        <v>77.24</v>
      </c>
      <c r="AD202" s="9">
        <v>1.6383</v>
      </c>
      <c r="AE202" s="9">
        <v>0.0146</v>
      </c>
      <c r="AF202" s="9">
        <v>3.71264262649682</v>
      </c>
      <c r="AG202" s="9">
        <v>38.91</v>
      </c>
      <c r="AH202" s="9">
        <v>80.14</v>
      </c>
      <c r="AI202" s="9">
        <v>55.4</v>
      </c>
      <c r="AJ202" s="9">
        <v>0.0408</v>
      </c>
      <c r="AK202" s="9">
        <v>80</v>
      </c>
      <c r="AL202" s="9">
        <v>88</v>
      </c>
      <c r="AM202" s="9">
        <v>34.03</v>
      </c>
      <c r="AN202" s="9">
        <v>77.24</v>
      </c>
      <c r="AO202" s="9">
        <v>55.4</v>
      </c>
      <c r="AP202" s="9">
        <v>80</v>
      </c>
      <c r="AQ202" s="12">
        <v>1</v>
      </c>
      <c r="AR202" s="9">
        <v>63.93578</v>
      </c>
      <c r="AS202" s="9">
        <v>63.94</v>
      </c>
      <c r="AT202" s="9">
        <v>138</v>
      </c>
      <c r="AU202" s="9"/>
      <c r="AV202" s="9">
        <v>5</v>
      </c>
      <c r="AW202" s="9" t="s">
        <v>2445</v>
      </c>
      <c r="AX202" s="9">
        <v>46190</v>
      </c>
      <c r="AY202" s="9" t="s">
        <v>2446</v>
      </c>
      <c r="AZ202" s="9" t="s">
        <v>2447</v>
      </c>
      <c r="BA202" s="9">
        <v>45947</v>
      </c>
      <c r="BB202" s="9" t="s">
        <v>785</v>
      </c>
      <c r="BC202" s="9" t="s">
        <v>2448</v>
      </c>
      <c r="BD202" s="9" t="s">
        <v>1566</v>
      </c>
      <c r="BE202" s="13">
        <v>63.93578</v>
      </c>
      <c r="BF202" s="13">
        <v>63.94</v>
      </c>
      <c r="BG202" s="12">
        <v>1</v>
      </c>
      <c r="BH202" s="9">
        <v>63.93578</v>
      </c>
      <c r="BI202" s="9" t="s">
        <v>1567</v>
      </c>
    </row>
    <row r="203" ht="25" customHeight="1" spans="1:61">
      <c r="A203" s="9">
        <v>202</v>
      </c>
      <c r="B203" s="9" t="s">
        <v>2449</v>
      </c>
      <c r="C203" s="9" t="s">
        <v>2450</v>
      </c>
      <c r="D203" s="9" t="s">
        <v>1619</v>
      </c>
      <c r="E203" s="10">
        <v>44223</v>
      </c>
      <c r="F203" s="9">
        <v>5.6099</v>
      </c>
      <c r="G203" s="9" t="s">
        <v>1561</v>
      </c>
      <c r="H203" s="9" t="s">
        <v>561</v>
      </c>
      <c r="I203" s="9">
        <v>90</v>
      </c>
      <c r="J203" s="9" t="s">
        <v>1562</v>
      </c>
      <c r="K203" s="9">
        <v>100</v>
      </c>
      <c r="L203" s="9">
        <v>100</v>
      </c>
      <c r="M203" s="11">
        <v>0.2716</v>
      </c>
      <c r="N203" s="11">
        <v>0.2373</v>
      </c>
      <c r="O203" s="11"/>
      <c r="P203" s="11">
        <v>0.220498527441467</v>
      </c>
      <c r="Q203" s="9">
        <v>93.93</v>
      </c>
      <c r="R203" s="9">
        <v>92.86</v>
      </c>
      <c r="S203" s="9">
        <v>93.5</v>
      </c>
      <c r="T203" s="11">
        <v>0.6923</v>
      </c>
      <c r="U203" s="11">
        <v>0.5556</v>
      </c>
      <c r="V203" s="11">
        <v>0.481554166666667</v>
      </c>
      <c r="W203" s="9">
        <v>69.23</v>
      </c>
      <c r="X203" s="9">
        <v>48.1554166666667</v>
      </c>
      <c r="Y203" s="9">
        <v>60.8</v>
      </c>
      <c r="Z203" s="9">
        <v>0.134795771502308</v>
      </c>
      <c r="AA203" s="9">
        <v>0.2735</v>
      </c>
      <c r="AB203" s="9">
        <v>0.2735</v>
      </c>
      <c r="AC203" s="9">
        <v>6.41</v>
      </c>
      <c r="AD203" s="9">
        <v>2.0149</v>
      </c>
      <c r="AE203" s="9">
        <v>0.2735</v>
      </c>
      <c r="AF203" s="9">
        <v>0.806210337994393</v>
      </c>
      <c r="AG203" s="9">
        <v>46.3</v>
      </c>
      <c r="AH203" s="9">
        <v>28.37</v>
      </c>
      <c r="AI203" s="9">
        <v>39.13</v>
      </c>
      <c r="AJ203" s="9">
        <v>0.2373</v>
      </c>
      <c r="AK203" s="9">
        <v>100</v>
      </c>
      <c r="AL203" s="9">
        <v>96</v>
      </c>
      <c r="AM203" s="9">
        <v>83.69</v>
      </c>
      <c r="AN203" s="9">
        <v>6.41</v>
      </c>
      <c r="AO203" s="9">
        <v>39.13</v>
      </c>
      <c r="AP203" s="9">
        <v>100</v>
      </c>
      <c r="AQ203" s="12">
        <v>1</v>
      </c>
      <c r="AR203" s="9">
        <v>54.47919</v>
      </c>
      <c r="AS203" s="9">
        <v>54.48</v>
      </c>
      <c r="AT203" s="9">
        <v>193</v>
      </c>
      <c r="AU203" s="9"/>
      <c r="AV203" s="9">
        <v>50</v>
      </c>
      <c r="AW203" s="9" t="s">
        <v>1621</v>
      </c>
      <c r="AX203" s="9">
        <v>45667</v>
      </c>
      <c r="AY203" s="9" t="s">
        <v>1622</v>
      </c>
      <c r="AZ203" s="9" t="s">
        <v>2451</v>
      </c>
      <c r="BA203" s="9">
        <v>45756</v>
      </c>
      <c r="BB203" s="9" t="s">
        <v>785</v>
      </c>
      <c r="BC203" s="9" t="s">
        <v>2452</v>
      </c>
      <c r="BD203" s="9" t="s">
        <v>1566</v>
      </c>
      <c r="BE203" s="13">
        <v>54.47919</v>
      </c>
      <c r="BF203" s="13">
        <v>54.48</v>
      </c>
      <c r="BG203" s="12">
        <v>1</v>
      </c>
      <c r="BH203" s="9">
        <v>54.47919</v>
      </c>
      <c r="BI203" s="9" t="s">
        <v>1567</v>
      </c>
    </row>
    <row r="204" ht="25" customHeight="1" spans="1:61">
      <c r="A204" s="9">
        <v>203</v>
      </c>
      <c r="B204" s="9" t="s">
        <v>2453</v>
      </c>
      <c r="C204" s="9" t="s">
        <v>2454</v>
      </c>
      <c r="D204" s="9" t="s">
        <v>2455</v>
      </c>
      <c r="E204" s="10">
        <v>44327</v>
      </c>
      <c r="F204" s="9">
        <v>5.3251</v>
      </c>
      <c r="G204" s="9" t="s">
        <v>1561</v>
      </c>
      <c r="H204" s="9" t="s">
        <v>557</v>
      </c>
      <c r="I204" s="9">
        <v>90</v>
      </c>
      <c r="J204" s="9" t="s">
        <v>1562</v>
      </c>
      <c r="K204" s="9">
        <v>100</v>
      </c>
      <c r="L204" s="9">
        <v>100</v>
      </c>
      <c r="M204" s="11">
        <v>0.0462</v>
      </c>
      <c r="N204" s="11">
        <v>0.0432</v>
      </c>
      <c r="O204" s="11"/>
      <c r="P204" s="11">
        <v>0.0417032275040308</v>
      </c>
      <c r="Q204" s="9">
        <v>38.98</v>
      </c>
      <c r="R204" s="9">
        <v>26.67</v>
      </c>
      <c r="S204" s="9">
        <v>34.06</v>
      </c>
      <c r="T204" s="11">
        <v>0.6154</v>
      </c>
      <c r="U204" s="11">
        <v>0.7027</v>
      </c>
      <c r="V204" s="11">
        <v>0.7499875</v>
      </c>
      <c r="W204" s="9">
        <v>61.54</v>
      </c>
      <c r="X204" s="9">
        <v>74.99875</v>
      </c>
      <c r="Y204" s="9">
        <v>66.92</v>
      </c>
      <c r="Z204" s="9">
        <v>0.0282914880587875</v>
      </c>
      <c r="AA204" s="9">
        <v>0.0283</v>
      </c>
      <c r="AB204" s="9">
        <v>0.0283</v>
      </c>
      <c r="AC204" s="9">
        <v>60.74</v>
      </c>
      <c r="AD204" s="9">
        <v>1.633</v>
      </c>
      <c r="AE204" s="9"/>
      <c r="AF204" s="9"/>
      <c r="AG204" s="9">
        <v>38.26</v>
      </c>
      <c r="AH204" s="9"/>
      <c r="AI204" s="9">
        <v>38.26</v>
      </c>
      <c r="AJ204" s="9">
        <v>0.0432</v>
      </c>
      <c r="AK204" s="9">
        <v>100</v>
      </c>
      <c r="AL204" s="9">
        <v>96</v>
      </c>
      <c r="AM204" s="9">
        <v>43.92</v>
      </c>
      <c r="AN204" s="9">
        <v>60.74</v>
      </c>
      <c r="AO204" s="9">
        <v>38.26</v>
      </c>
      <c r="AP204" s="9">
        <v>100</v>
      </c>
      <c r="AQ204" s="12">
        <v>0.88</v>
      </c>
      <c r="AR204" s="9">
        <v>55.25505</v>
      </c>
      <c r="AS204" s="9">
        <v>62.79</v>
      </c>
      <c r="AT204" s="9">
        <v>142</v>
      </c>
      <c r="AU204" s="9" t="s">
        <v>1563</v>
      </c>
      <c r="AV204" s="9">
        <v>20</v>
      </c>
      <c r="AW204" s="9" t="s">
        <v>2456</v>
      </c>
      <c r="AX204" s="9">
        <v>46164</v>
      </c>
      <c r="AY204" s="9" t="s">
        <v>2457</v>
      </c>
      <c r="AZ204" s="9" t="s">
        <v>2458</v>
      </c>
      <c r="BA204" s="9">
        <v>45980</v>
      </c>
      <c r="BB204" s="9" t="s">
        <v>785</v>
      </c>
      <c r="BC204" s="9" t="s">
        <v>2459</v>
      </c>
      <c r="BD204" s="9" t="s">
        <v>1566</v>
      </c>
      <c r="BE204" s="13"/>
      <c r="BF204" s="13">
        <v>62.79</v>
      </c>
      <c r="BG204" s="12">
        <v>0.88</v>
      </c>
      <c r="BH204" s="9">
        <v>55.25505</v>
      </c>
      <c r="BI204" s="9" t="s">
        <v>1567</v>
      </c>
    </row>
    <row r="205" ht="25" customHeight="1" spans="1:61">
      <c r="A205" s="9">
        <v>204</v>
      </c>
      <c r="B205" s="9" t="s">
        <v>2460</v>
      </c>
      <c r="C205" s="9" t="s">
        <v>2461</v>
      </c>
      <c r="D205" s="9" t="s">
        <v>442</v>
      </c>
      <c r="E205" s="10">
        <v>44334</v>
      </c>
      <c r="F205" s="9">
        <v>5.306</v>
      </c>
      <c r="G205" s="9" t="s">
        <v>1561</v>
      </c>
      <c r="H205" s="9" t="s">
        <v>542</v>
      </c>
      <c r="I205" s="9">
        <v>60</v>
      </c>
      <c r="J205" s="9" t="s">
        <v>1562</v>
      </c>
      <c r="K205" s="9">
        <v>100</v>
      </c>
      <c r="L205" s="9">
        <v>100</v>
      </c>
      <c r="M205" s="11">
        <v>0.0415</v>
      </c>
      <c r="N205" s="11">
        <v>0.0661</v>
      </c>
      <c r="O205" s="11"/>
      <c r="P205" s="11">
        <v>0.0786170422098658</v>
      </c>
      <c r="Q205" s="9">
        <v>35.78</v>
      </c>
      <c r="R205" s="9">
        <v>58.57</v>
      </c>
      <c r="S205" s="9">
        <v>44.9</v>
      </c>
      <c r="T205" s="11">
        <v>0.7692</v>
      </c>
      <c r="U205" s="11">
        <v>0.7297</v>
      </c>
      <c r="V205" s="11">
        <v>0.708304166666667</v>
      </c>
      <c r="W205" s="9">
        <v>76.92</v>
      </c>
      <c r="X205" s="9">
        <v>70.8304166666667</v>
      </c>
      <c r="Y205" s="9">
        <v>74.48</v>
      </c>
      <c r="Z205" s="9">
        <v>0.00902625225656306</v>
      </c>
      <c r="AA205" s="9">
        <v>0.0174</v>
      </c>
      <c r="AB205" s="9">
        <v>0.0174</v>
      </c>
      <c r="AC205" s="9">
        <v>73.08</v>
      </c>
      <c r="AD205" s="9">
        <v>4.5977</v>
      </c>
      <c r="AE205" s="9">
        <v>0.0174</v>
      </c>
      <c r="AF205" s="9">
        <v>4.51822081665895</v>
      </c>
      <c r="AG205" s="9">
        <v>63.02</v>
      </c>
      <c r="AH205" s="9">
        <v>82.98</v>
      </c>
      <c r="AI205" s="9">
        <v>71</v>
      </c>
      <c r="AJ205" s="9">
        <v>0.0661</v>
      </c>
      <c r="AK205" s="9">
        <v>80</v>
      </c>
      <c r="AL205" s="9">
        <v>84</v>
      </c>
      <c r="AM205" s="9">
        <v>53.77</v>
      </c>
      <c r="AN205" s="9">
        <v>73.08</v>
      </c>
      <c r="AO205" s="9">
        <v>71</v>
      </c>
      <c r="AP205" s="9">
        <v>80</v>
      </c>
      <c r="AQ205" s="12">
        <v>1</v>
      </c>
      <c r="AR205" s="9">
        <v>70.92569</v>
      </c>
      <c r="AS205" s="9">
        <v>70.93</v>
      </c>
      <c r="AT205" s="9">
        <v>98</v>
      </c>
      <c r="AU205" s="9"/>
      <c r="AV205" s="9">
        <v>0</v>
      </c>
      <c r="AW205" s="9" t="s">
        <v>1411</v>
      </c>
      <c r="AX205" s="9">
        <v>46153</v>
      </c>
      <c r="AY205" s="9" t="s">
        <v>1414</v>
      </c>
      <c r="AZ205" s="9" t="s">
        <v>2462</v>
      </c>
      <c r="BA205" s="9">
        <v>45575</v>
      </c>
      <c r="BB205" s="9" t="s">
        <v>785</v>
      </c>
      <c r="BC205" s="9" t="s">
        <v>2463</v>
      </c>
      <c r="BD205" s="9" t="s">
        <v>1566</v>
      </c>
      <c r="BE205" s="13">
        <v>70.92569</v>
      </c>
      <c r="BF205" s="13">
        <v>70.93</v>
      </c>
      <c r="BG205" s="12">
        <v>1</v>
      </c>
      <c r="BH205" s="9">
        <v>70.92569</v>
      </c>
      <c r="BI205" s="9" t="s">
        <v>1567</v>
      </c>
    </row>
    <row r="206" ht="25" customHeight="1" spans="1:61">
      <c r="A206" s="9">
        <v>205</v>
      </c>
      <c r="B206" s="9" t="s">
        <v>175</v>
      </c>
      <c r="C206" s="9" t="s">
        <v>176</v>
      </c>
      <c r="D206" s="9" t="s">
        <v>177</v>
      </c>
      <c r="E206" s="10">
        <v>44462</v>
      </c>
      <c r="F206" s="9">
        <v>4.9555</v>
      </c>
      <c r="G206" s="9" t="s">
        <v>1561</v>
      </c>
      <c r="H206" s="9" t="s">
        <v>551</v>
      </c>
      <c r="I206" s="9">
        <v>80</v>
      </c>
      <c r="J206" s="9" t="s">
        <v>1562</v>
      </c>
      <c r="K206" s="9">
        <v>100</v>
      </c>
      <c r="L206" s="9">
        <v>100</v>
      </c>
      <c r="M206" s="11">
        <v>0.1413</v>
      </c>
      <c r="N206" s="11">
        <v>0.1698</v>
      </c>
      <c r="O206" s="11"/>
      <c r="P206" s="11">
        <v>0.184315782686411</v>
      </c>
      <c r="Q206" s="9">
        <v>83.23</v>
      </c>
      <c r="R206" s="9">
        <v>90.24</v>
      </c>
      <c r="S206" s="9">
        <v>86.03</v>
      </c>
      <c r="T206" s="11">
        <v>1</v>
      </c>
      <c r="U206" s="11">
        <v>1</v>
      </c>
      <c r="V206" s="11">
        <v>1</v>
      </c>
      <c r="W206" s="9">
        <v>100</v>
      </c>
      <c r="X206" s="9">
        <v>100</v>
      </c>
      <c r="Y206" s="9">
        <v>100</v>
      </c>
      <c r="Z206" s="9">
        <v>0.00272262204109945</v>
      </c>
      <c r="AA206" s="9">
        <v>0.0027</v>
      </c>
      <c r="AB206" s="9">
        <v>0.00272262204109945</v>
      </c>
      <c r="AC206" s="9">
        <v>98.24</v>
      </c>
      <c r="AD206" s="9">
        <v>51.8985</v>
      </c>
      <c r="AE206" s="9"/>
      <c r="AF206" s="9"/>
      <c r="AG206" s="9">
        <v>97.59</v>
      </c>
      <c r="AH206" s="9"/>
      <c r="AI206" s="9">
        <v>97.59</v>
      </c>
      <c r="AJ206" s="9">
        <v>0.1698</v>
      </c>
      <c r="AK206" s="9">
        <v>80</v>
      </c>
      <c r="AL206" s="9">
        <v>92</v>
      </c>
      <c r="AM206" s="9">
        <v>90.22</v>
      </c>
      <c r="AN206" s="9">
        <v>98.24</v>
      </c>
      <c r="AO206" s="9">
        <v>97.59</v>
      </c>
      <c r="AP206" s="9">
        <v>80</v>
      </c>
      <c r="AQ206" s="12">
        <v>0.88</v>
      </c>
      <c r="AR206" s="9">
        <v>81.97096</v>
      </c>
      <c r="AS206" s="9">
        <v>93.15</v>
      </c>
      <c r="AT206" s="9">
        <v>1</v>
      </c>
      <c r="AU206" s="9" t="s">
        <v>1563</v>
      </c>
      <c r="AV206" s="9">
        <v>10</v>
      </c>
      <c r="AW206" s="9" t="s">
        <v>1291</v>
      </c>
      <c r="AX206" s="9">
        <v>46248</v>
      </c>
      <c r="AY206" s="9" t="s">
        <v>1293</v>
      </c>
      <c r="AZ206" s="9" t="s">
        <v>2464</v>
      </c>
      <c r="BA206" s="9">
        <v>46010</v>
      </c>
      <c r="BB206" s="9" t="s">
        <v>785</v>
      </c>
      <c r="BC206" s="9" t="s">
        <v>876</v>
      </c>
      <c r="BD206" s="9" t="s">
        <v>1566</v>
      </c>
      <c r="BE206" s="13"/>
      <c r="BF206" s="13">
        <v>93.15</v>
      </c>
      <c r="BG206" s="12">
        <v>0.88</v>
      </c>
      <c r="BH206" s="9">
        <v>81.97096</v>
      </c>
      <c r="BI206" s="9" t="s">
        <v>1567</v>
      </c>
    </row>
    <row r="207" ht="25" customHeight="1" spans="1:61">
      <c r="A207" s="9">
        <v>206</v>
      </c>
      <c r="B207" s="9" t="s">
        <v>2465</v>
      </c>
      <c r="C207" s="9" t="s">
        <v>2466</v>
      </c>
      <c r="D207" s="9" t="s">
        <v>2467</v>
      </c>
      <c r="E207" s="10">
        <v>44480</v>
      </c>
      <c r="F207" s="9">
        <v>4.9062</v>
      </c>
      <c r="G207" s="9" t="s">
        <v>1561</v>
      </c>
      <c r="H207" s="9" t="s">
        <v>542</v>
      </c>
      <c r="I207" s="9">
        <v>60</v>
      </c>
      <c r="J207" s="9" t="s">
        <v>1562</v>
      </c>
      <c r="K207" s="9">
        <v>100</v>
      </c>
      <c r="L207" s="9">
        <v>100</v>
      </c>
      <c r="M207" s="11">
        <v>0.0683</v>
      </c>
      <c r="N207" s="11">
        <v>0.0622</v>
      </c>
      <c r="O207" s="11"/>
      <c r="P207" s="11">
        <v>0.0591630740970233</v>
      </c>
      <c r="Q207" s="9">
        <v>53.99</v>
      </c>
      <c r="R207" s="9">
        <v>43.81</v>
      </c>
      <c r="S207" s="9">
        <v>49.92</v>
      </c>
      <c r="T207" s="11">
        <v>0.9231</v>
      </c>
      <c r="U207" s="11">
        <v>0.8919</v>
      </c>
      <c r="V207" s="11">
        <v>0.875</v>
      </c>
      <c r="W207" s="9">
        <v>92.31</v>
      </c>
      <c r="X207" s="9">
        <v>87.5</v>
      </c>
      <c r="Y207" s="9">
        <v>90.39</v>
      </c>
      <c r="Z207" s="9">
        <v>0.00630579893456926</v>
      </c>
      <c r="AA207" s="9">
        <v>0.0161</v>
      </c>
      <c r="AB207" s="9">
        <v>0.0161</v>
      </c>
      <c r="AC207" s="9">
        <v>75.64</v>
      </c>
      <c r="AD207" s="9">
        <v>10.8313</v>
      </c>
      <c r="AE207" s="9">
        <v>0.0161</v>
      </c>
      <c r="AF207" s="9">
        <v>3.67472509919399</v>
      </c>
      <c r="AG207" s="9">
        <v>82.32</v>
      </c>
      <c r="AH207" s="9">
        <v>78.72</v>
      </c>
      <c r="AI207" s="9">
        <v>80.88</v>
      </c>
      <c r="AJ207" s="9">
        <v>0.0622</v>
      </c>
      <c r="AK207" s="9">
        <v>100</v>
      </c>
      <c r="AL207" s="9">
        <v>84</v>
      </c>
      <c r="AM207" s="9">
        <v>62.06</v>
      </c>
      <c r="AN207" s="9">
        <v>75.64</v>
      </c>
      <c r="AO207" s="9">
        <v>80.88</v>
      </c>
      <c r="AP207" s="9">
        <v>100</v>
      </c>
      <c r="AQ207" s="12">
        <v>1</v>
      </c>
      <c r="AR207" s="9">
        <v>78.18568</v>
      </c>
      <c r="AS207" s="9">
        <v>78.19</v>
      </c>
      <c r="AT207" s="9">
        <v>57</v>
      </c>
      <c r="AU207" s="9"/>
      <c r="AV207" s="9">
        <v>0</v>
      </c>
      <c r="AW207" s="9" t="s">
        <v>2468</v>
      </c>
      <c r="AX207" s="9">
        <v>46230</v>
      </c>
      <c r="AY207" s="9" t="s">
        <v>2469</v>
      </c>
      <c r="AZ207" s="9" t="s">
        <v>2470</v>
      </c>
      <c r="BA207" s="9">
        <v>46224</v>
      </c>
      <c r="BB207" s="9" t="s">
        <v>785</v>
      </c>
      <c r="BC207" s="9" t="s">
        <v>2471</v>
      </c>
      <c r="BD207" s="9" t="s">
        <v>1566</v>
      </c>
      <c r="BE207" s="13">
        <v>78.18568</v>
      </c>
      <c r="BF207" s="13">
        <v>78.19</v>
      </c>
      <c r="BG207" s="12">
        <v>1</v>
      </c>
      <c r="BH207" s="9">
        <v>78.18568</v>
      </c>
      <c r="BI207" s="9" t="s">
        <v>1567</v>
      </c>
    </row>
    <row r="208" ht="25" customHeight="1" spans="1:61">
      <c r="A208" s="9">
        <v>207</v>
      </c>
      <c r="B208" s="9" t="s">
        <v>2472</v>
      </c>
      <c r="C208" s="9" t="s">
        <v>2473</v>
      </c>
      <c r="D208" s="9" t="s">
        <v>2474</v>
      </c>
      <c r="E208" s="10">
        <v>44505</v>
      </c>
      <c r="F208" s="9">
        <v>4.8378</v>
      </c>
      <c r="G208" s="9" t="s">
        <v>1561</v>
      </c>
      <c r="H208" s="9" t="s">
        <v>542</v>
      </c>
      <c r="I208" s="9">
        <v>60</v>
      </c>
      <c r="J208" s="9" t="s">
        <v>1562</v>
      </c>
      <c r="K208" s="9">
        <v>100</v>
      </c>
      <c r="L208" s="9">
        <v>100</v>
      </c>
      <c r="M208" s="11">
        <v>0.0717</v>
      </c>
      <c r="N208" s="11">
        <v>0.0793</v>
      </c>
      <c r="O208" s="11"/>
      <c r="P208" s="11">
        <v>0.0831201870555112</v>
      </c>
      <c r="Q208" s="9">
        <v>55.59</v>
      </c>
      <c r="R208" s="9">
        <v>62.86</v>
      </c>
      <c r="S208" s="9">
        <v>58.5</v>
      </c>
      <c r="T208" s="11">
        <v>0.9231</v>
      </c>
      <c r="U208" s="11">
        <v>0.9722</v>
      </c>
      <c r="V208" s="11">
        <v>0.998795833333333</v>
      </c>
      <c r="W208" s="9">
        <v>92.31</v>
      </c>
      <c r="X208" s="9">
        <v>99.8795833333333</v>
      </c>
      <c r="Y208" s="9">
        <v>95.34</v>
      </c>
      <c r="Z208" s="9">
        <v>0.00431636486226161</v>
      </c>
      <c r="AA208" s="9">
        <v>0.0164</v>
      </c>
      <c r="AB208" s="9">
        <v>0.0164</v>
      </c>
      <c r="AC208" s="9">
        <v>75</v>
      </c>
      <c r="AD208" s="9">
        <v>16.6112</v>
      </c>
      <c r="AE208" s="9">
        <v>0.0164</v>
      </c>
      <c r="AF208" s="9">
        <v>5.06830408875068</v>
      </c>
      <c r="AG208" s="9">
        <v>86.82</v>
      </c>
      <c r="AH208" s="9">
        <v>83.69</v>
      </c>
      <c r="AI208" s="9">
        <v>85.57</v>
      </c>
      <c r="AJ208" s="9">
        <v>0.0793</v>
      </c>
      <c r="AK208" s="9">
        <v>80</v>
      </c>
      <c r="AL208" s="9">
        <v>84</v>
      </c>
      <c r="AM208" s="9">
        <v>69.55</v>
      </c>
      <c r="AN208" s="9">
        <v>75</v>
      </c>
      <c r="AO208" s="9">
        <v>85.57</v>
      </c>
      <c r="AP208" s="9">
        <v>80</v>
      </c>
      <c r="AQ208" s="12">
        <v>1</v>
      </c>
      <c r="AR208" s="9">
        <v>78.93039</v>
      </c>
      <c r="AS208" s="9">
        <v>78.93</v>
      </c>
      <c r="AT208" s="9">
        <v>53</v>
      </c>
      <c r="AU208" s="9"/>
      <c r="AV208" s="9">
        <v>0</v>
      </c>
      <c r="AW208" s="9" t="s">
        <v>2475</v>
      </c>
      <c r="AX208" s="9">
        <v>45775</v>
      </c>
      <c r="AY208" s="9" t="s">
        <v>2476</v>
      </c>
      <c r="AZ208" s="9" t="s">
        <v>2477</v>
      </c>
      <c r="BA208" s="9">
        <v>44517</v>
      </c>
      <c r="BB208" s="9" t="s">
        <v>785</v>
      </c>
      <c r="BC208" s="9" t="s">
        <v>2478</v>
      </c>
      <c r="BD208" s="9" t="s">
        <v>1566</v>
      </c>
      <c r="BE208" s="13">
        <v>78.93039</v>
      </c>
      <c r="BF208" s="13">
        <v>78.93</v>
      </c>
      <c r="BG208" s="12">
        <v>1</v>
      </c>
      <c r="BH208" s="9">
        <v>78.93039</v>
      </c>
      <c r="BI208" s="9" t="s">
        <v>1567</v>
      </c>
    </row>
    <row r="209" ht="25" customHeight="1" spans="1:61">
      <c r="A209" s="9">
        <v>208</v>
      </c>
      <c r="B209" s="9" t="s">
        <v>275</v>
      </c>
      <c r="C209" s="9" t="s">
        <v>276</v>
      </c>
      <c r="D209" s="9" t="s">
        <v>277</v>
      </c>
      <c r="E209" s="10">
        <v>44571</v>
      </c>
      <c r="F209" s="9">
        <v>4.6571</v>
      </c>
      <c r="G209" s="9" t="s">
        <v>1561</v>
      </c>
      <c r="H209" s="9" t="s">
        <v>551</v>
      </c>
      <c r="I209" s="9">
        <v>80</v>
      </c>
      <c r="J209" s="9" t="s">
        <v>1562</v>
      </c>
      <c r="K209" s="9">
        <v>100</v>
      </c>
      <c r="L209" s="9">
        <v>100</v>
      </c>
      <c r="M209" s="11">
        <v>0.1223</v>
      </c>
      <c r="N209" s="11">
        <v>0.1464</v>
      </c>
      <c r="O209" s="11"/>
      <c r="P209" s="11">
        <v>0.158643380067442</v>
      </c>
      <c r="Q209" s="9">
        <v>79.23</v>
      </c>
      <c r="R209" s="9">
        <v>87.14</v>
      </c>
      <c r="S209" s="9">
        <v>82.39</v>
      </c>
      <c r="T209" s="11">
        <v>1</v>
      </c>
      <c r="U209" s="11">
        <v>0.973</v>
      </c>
      <c r="V209" s="11">
        <v>0.958375</v>
      </c>
      <c r="W209" s="9">
        <v>100</v>
      </c>
      <c r="X209" s="9">
        <v>95.8375</v>
      </c>
      <c r="Y209" s="9">
        <v>98.34</v>
      </c>
      <c r="Z209" s="9">
        <v>0.00570719255591695</v>
      </c>
      <c r="AA209" s="9">
        <v>0.0057</v>
      </c>
      <c r="AB209" s="9">
        <v>0.00570719255591695</v>
      </c>
      <c r="AC209" s="9">
        <v>91.67</v>
      </c>
      <c r="AD209" s="9">
        <v>21.4291</v>
      </c>
      <c r="AE209" s="9"/>
      <c r="AF209" s="9"/>
      <c r="AG209" s="9">
        <v>90.68</v>
      </c>
      <c r="AH209" s="9"/>
      <c r="AI209" s="9">
        <v>90.68</v>
      </c>
      <c r="AJ209" s="9">
        <v>0.1464</v>
      </c>
      <c r="AK209" s="9">
        <v>80</v>
      </c>
      <c r="AL209" s="9">
        <v>92</v>
      </c>
      <c r="AM209" s="9">
        <v>87.18</v>
      </c>
      <c r="AN209" s="9">
        <v>91.67</v>
      </c>
      <c r="AO209" s="9">
        <v>90.68</v>
      </c>
      <c r="AP209" s="9">
        <v>80</v>
      </c>
      <c r="AQ209" s="12">
        <v>0.88</v>
      </c>
      <c r="AR209" s="9">
        <v>78.47516</v>
      </c>
      <c r="AS209" s="9">
        <v>89.18</v>
      </c>
      <c r="AT209" s="9">
        <v>12</v>
      </c>
      <c r="AU209" s="9" t="s">
        <v>1563</v>
      </c>
      <c r="AV209" s="9">
        <v>10</v>
      </c>
      <c r="AW209" s="9" t="s">
        <v>1347</v>
      </c>
      <c r="AX209" s="9">
        <v>46016</v>
      </c>
      <c r="AY209" s="9" t="s">
        <v>1349</v>
      </c>
      <c r="AZ209" s="9" t="s">
        <v>2479</v>
      </c>
      <c r="BA209" s="9">
        <v>45632</v>
      </c>
      <c r="BB209" s="9" t="s">
        <v>785</v>
      </c>
      <c r="BC209" s="9" t="s">
        <v>912</v>
      </c>
      <c r="BD209" s="9" t="s">
        <v>1566</v>
      </c>
      <c r="BE209" s="13"/>
      <c r="BF209" s="13">
        <v>89.18</v>
      </c>
      <c r="BG209" s="12">
        <v>0.88</v>
      </c>
      <c r="BH209" s="9">
        <v>78.47516</v>
      </c>
      <c r="BI209" s="9" t="s">
        <v>1567</v>
      </c>
    </row>
    <row r="210" ht="25" customHeight="1" spans="1:61">
      <c r="A210" s="9">
        <v>209</v>
      </c>
      <c r="B210" s="9" t="s">
        <v>2480</v>
      </c>
      <c r="C210" s="9" t="s">
        <v>2481</v>
      </c>
      <c r="D210" s="9" t="s">
        <v>2482</v>
      </c>
      <c r="E210" s="10">
        <v>44511</v>
      </c>
      <c r="F210" s="9">
        <v>4.8214</v>
      </c>
      <c r="G210" s="9" t="s">
        <v>1561</v>
      </c>
      <c r="H210" s="9" t="s">
        <v>557</v>
      </c>
      <c r="I210" s="9">
        <v>90</v>
      </c>
      <c r="J210" s="9" t="s">
        <v>1562</v>
      </c>
      <c r="K210" s="9">
        <v>100</v>
      </c>
      <c r="L210" s="9">
        <v>100</v>
      </c>
      <c r="M210" s="11">
        <v>0.1279</v>
      </c>
      <c r="N210" s="11">
        <v>0.0682</v>
      </c>
      <c r="O210" s="11"/>
      <c r="P210" s="11">
        <v>0.0395456420556226</v>
      </c>
      <c r="Q210" s="9">
        <v>79.87</v>
      </c>
      <c r="R210" s="9">
        <v>23.33</v>
      </c>
      <c r="S210" s="9">
        <v>57.25</v>
      </c>
      <c r="T210" s="11">
        <v>0.9231</v>
      </c>
      <c r="U210" s="11">
        <v>0.7838</v>
      </c>
      <c r="V210" s="11">
        <v>0.708345833333333</v>
      </c>
      <c r="W210" s="9">
        <v>92.31</v>
      </c>
      <c r="X210" s="9">
        <v>70.8345833333333</v>
      </c>
      <c r="Y210" s="9">
        <v>83.72</v>
      </c>
      <c r="Z210" s="9">
        <v>0.0146044578423312</v>
      </c>
      <c r="AA210" s="9">
        <v>0.0802</v>
      </c>
      <c r="AB210" s="9">
        <v>0.0802</v>
      </c>
      <c r="AC210" s="9">
        <v>31.41</v>
      </c>
      <c r="AD210" s="9">
        <v>8.7576</v>
      </c>
      <c r="AE210" s="9">
        <v>0.0802</v>
      </c>
      <c r="AF210" s="9">
        <v>0.493087806179833</v>
      </c>
      <c r="AG210" s="9">
        <v>75.24</v>
      </c>
      <c r="AH210" s="9">
        <v>17.73</v>
      </c>
      <c r="AI210" s="9">
        <v>52.24</v>
      </c>
      <c r="AJ210" s="9">
        <v>0.0682</v>
      </c>
      <c r="AK210" s="9">
        <v>100</v>
      </c>
      <c r="AL210" s="9">
        <v>96</v>
      </c>
      <c r="AM210" s="9">
        <v>65.19</v>
      </c>
      <c r="AN210" s="9">
        <v>31.41</v>
      </c>
      <c r="AO210" s="9">
        <v>52.24</v>
      </c>
      <c r="AP210" s="9">
        <v>100</v>
      </c>
      <c r="AQ210" s="12">
        <v>1</v>
      </c>
      <c r="AR210" s="9">
        <v>60.96205</v>
      </c>
      <c r="AS210" s="9">
        <v>60.96</v>
      </c>
      <c r="AT210" s="9">
        <v>149</v>
      </c>
      <c r="AU210" s="9"/>
      <c r="AV210" s="9">
        <v>20</v>
      </c>
      <c r="AW210" s="9" t="s">
        <v>2483</v>
      </c>
      <c r="AX210" s="9">
        <v>46129</v>
      </c>
      <c r="AY210" s="9" t="s">
        <v>2484</v>
      </c>
      <c r="AZ210" s="9" t="s">
        <v>785</v>
      </c>
      <c r="BA210" s="9" t="s">
        <v>785</v>
      </c>
      <c r="BB210" s="9" t="s">
        <v>785</v>
      </c>
      <c r="BC210" s="9" t="s">
        <v>785</v>
      </c>
      <c r="BD210" s="9" t="s">
        <v>1898</v>
      </c>
      <c r="BE210" s="13">
        <v>60.96205</v>
      </c>
      <c r="BF210" s="13">
        <v>60.96</v>
      </c>
      <c r="BG210" s="12">
        <v>1</v>
      </c>
      <c r="BH210" s="9">
        <v>60.96205</v>
      </c>
      <c r="BI210" s="9" t="s">
        <v>1567</v>
      </c>
    </row>
    <row r="211" ht="25" customHeight="1" spans="1:61">
      <c r="A211" s="9">
        <v>210</v>
      </c>
      <c r="B211" s="9" t="s">
        <v>2485</v>
      </c>
      <c r="C211" s="9" t="s">
        <v>2486</v>
      </c>
      <c r="D211" s="9" t="s">
        <v>514</v>
      </c>
      <c r="E211" s="10">
        <v>44589</v>
      </c>
      <c r="F211" s="9">
        <v>4.6078</v>
      </c>
      <c r="G211" s="9" t="s">
        <v>1561</v>
      </c>
      <c r="H211" s="9" t="s">
        <v>557</v>
      </c>
      <c r="I211" s="9">
        <v>90</v>
      </c>
      <c r="J211" s="9" t="s">
        <v>1562</v>
      </c>
      <c r="K211" s="9">
        <v>100</v>
      </c>
      <c r="L211" s="9">
        <v>100</v>
      </c>
      <c r="M211" s="11">
        <v>0.0461</v>
      </c>
      <c r="N211" s="11">
        <v>0.0445</v>
      </c>
      <c r="O211" s="11"/>
      <c r="P211" s="11">
        <v>0.0437009179283614</v>
      </c>
      <c r="Q211" s="9">
        <v>38.34</v>
      </c>
      <c r="R211" s="9">
        <v>29.29</v>
      </c>
      <c r="S211" s="9">
        <v>34.72</v>
      </c>
      <c r="T211" s="11">
        <v>0.6923</v>
      </c>
      <c r="U211" s="11">
        <v>0.7297</v>
      </c>
      <c r="V211" s="11">
        <v>0.749958333333333</v>
      </c>
      <c r="W211" s="9">
        <v>69.23</v>
      </c>
      <c r="X211" s="9">
        <v>74.9958333333333</v>
      </c>
      <c r="Y211" s="9">
        <v>71.54</v>
      </c>
      <c r="Z211" s="9">
        <v>0.00428263535357289</v>
      </c>
      <c r="AA211" s="9">
        <v>0.0142</v>
      </c>
      <c r="AB211" s="9">
        <v>0.0142</v>
      </c>
      <c r="AC211" s="9">
        <v>78.69</v>
      </c>
      <c r="AD211" s="9">
        <v>10.7644</v>
      </c>
      <c r="AE211" s="9">
        <v>0.0142</v>
      </c>
      <c r="AF211" s="9">
        <v>3.07752943157475</v>
      </c>
      <c r="AG211" s="9">
        <v>81.83</v>
      </c>
      <c r="AH211" s="9">
        <v>75.53</v>
      </c>
      <c r="AI211" s="9">
        <v>79.31</v>
      </c>
      <c r="AJ211" s="9">
        <v>0.0445</v>
      </c>
      <c r="AK211" s="9">
        <v>100</v>
      </c>
      <c r="AL211" s="9">
        <v>96</v>
      </c>
      <c r="AM211" s="9">
        <v>45.76</v>
      </c>
      <c r="AN211" s="9">
        <v>78.69</v>
      </c>
      <c r="AO211" s="9">
        <v>79.31</v>
      </c>
      <c r="AP211" s="9">
        <v>100</v>
      </c>
      <c r="AQ211" s="12">
        <v>1</v>
      </c>
      <c r="AR211" s="9">
        <v>77.01848</v>
      </c>
      <c r="AS211" s="9">
        <v>77.02</v>
      </c>
      <c r="AT211" s="9">
        <v>62</v>
      </c>
      <c r="AU211" s="9"/>
      <c r="AV211" s="9">
        <v>20</v>
      </c>
      <c r="AW211" s="9" t="s">
        <v>2487</v>
      </c>
      <c r="AX211" s="9">
        <v>46244</v>
      </c>
      <c r="AY211" s="9" t="s">
        <v>1446</v>
      </c>
      <c r="AZ211" s="9" t="s">
        <v>2488</v>
      </c>
      <c r="BA211" s="9">
        <v>45744</v>
      </c>
      <c r="BB211" s="9" t="s">
        <v>785</v>
      </c>
      <c r="BC211" s="9" t="s">
        <v>2489</v>
      </c>
      <c r="BD211" s="9" t="s">
        <v>1566</v>
      </c>
      <c r="BE211" s="13">
        <v>77.01848</v>
      </c>
      <c r="BF211" s="13">
        <v>77.02</v>
      </c>
      <c r="BG211" s="12">
        <v>1</v>
      </c>
      <c r="BH211" s="9">
        <v>77.01848</v>
      </c>
      <c r="BI211" s="9" t="s">
        <v>1567</v>
      </c>
    </row>
    <row r="212" ht="25" customHeight="1" spans="1:61">
      <c r="A212" s="9">
        <v>211</v>
      </c>
      <c r="B212" s="9" t="s">
        <v>2490</v>
      </c>
      <c r="C212" s="9" t="s">
        <v>2491</v>
      </c>
      <c r="D212" s="9" t="s">
        <v>430</v>
      </c>
      <c r="E212" s="10">
        <v>44631</v>
      </c>
      <c r="F212" s="9">
        <v>4.4928</v>
      </c>
      <c r="G212" s="9" t="s">
        <v>1561</v>
      </c>
      <c r="H212" s="9" t="s">
        <v>557</v>
      </c>
      <c r="I212" s="9">
        <v>90</v>
      </c>
      <c r="J212" s="9" t="s">
        <v>1562</v>
      </c>
      <c r="K212" s="9">
        <v>100</v>
      </c>
      <c r="L212" s="9">
        <v>100</v>
      </c>
      <c r="M212" s="11">
        <v>-0.1073</v>
      </c>
      <c r="N212" s="11">
        <v>0.0314</v>
      </c>
      <c r="O212" s="11"/>
      <c r="P212" s="11">
        <v>0.108633309880619</v>
      </c>
      <c r="Q212" s="9">
        <v>2.88</v>
      </c>
      <c r="R212" s="9">
        <v>71.9</v>
      </c>
      <c r="S212" s="9">
        <v>30.49</v>
      </c>
      <c r="T212" s="11">
        <v>0.3846</v>
      </c>
      <c r="U212" s="11">
        <v>0.6486</v>
      </c>
      <c r="V212" s="11">
        <v>0.7916</v>
      </c>
      <c r="W212" s="9">
        <v>38.46</v>
      </c>
      <c r="X212" s="9">
        <v>79.16</v>
      </c>
      <c r="Y212" s="9">
        <v>54.74</v>
      </c>
      <c r="Z212" s="9">
        <v>0.116706547748532</v>
      </c>
      <c r="AA212" s="9">
        <v>0.1167</v>
      </c>
      <c r="AB212" s="9">
        <v>0.116706547748532</v>
      </c>
      <c r="AC212" s="9">
        <v>22.76</v>
      </c>
      <c r="AD212" s="9">
        <v>-0.9194</v>
      </c>
      <c r="AE212" s="9"/>
      <c r="AF212" s="9"/>
      <c r="AG212" s="9">
        <v>0.96</v>
      </c>
      <c r="AH212" s="9"/>
      <c r="AI212" s="9">
        <v>0.96</v>
      </c>
      <c r="AJ212" s="9">
        <v>0.0314</v>
      </c>
      <c r="AK212" s="9">
        <v>80</v>
      </c>
      <c r="AL212" s="9">
        <v>96</v>
      </c>
      <c r="AM212" s="9">
        <v>37.76</v>
      </c>
      <c r="AN212" s="9">
        <v>22.76</v>
      </c>
      <c r="AO212" s="9">
        <v>0.96</v>
      </c>
      <c r="AP212" s="9">
        <v>80</v>
      </c>
      <c r="AQ212" s="12">
        <v>0.88</v>
      </c>
      <c r="AR212" s="9">
        <v>35.81552</v>
      </c>
      <c r="AS212" s="9">
        <v>40.7</v>
      </c>
      <c r="AT212" s="9">
        <v>267</v>
      </c>
      <c r="AU212" s="9" t="s">
        <v>1563</v>
      </c>
      <c r="AV212" s="9">
        <v>20</v>
      </c>
      <c r="AW212" s="9" t="s">
        <v>1405</v>
      </c>
      <c r="AX212" s="9">
        <v>46216</v>
      </c>
      <c r="AY212" s="9" t="s">
        <v>1407</v>
      </c>
      <c r="AZ212" s="9" t="s">
        <v>2492</v>
      </c>
      <c r="BA212" s="9">
        <v>46065</v>
      </c>
      <c r="BB212" s="9" t="s">
        <v>785</v>
      </c>
      <c r="BC212" s="9" t="s">
        <v>2493</v>
      </c>
      <c r="BD212" s="9" t="s">
        <v>1566</v>
      </c>
      <c r="BE212" s="13"/>
      <c r="BF212" s="13">
        <v>40.7</v>
      </c>
      <c r="BG212" s="12">
        <v>0.88</v>
      </c>
      <c r="BH212" s="9">
        <v>35.81552</v>
      </c>
      <c r="BI212" s="9" t="s">
        <v>1567</v>
      </c>
    </row>
    <row r="213" ht="25" customHeight="1" spans="1:61">
      <c r="A213" s="9">
        <v>212</v>
      </c>
      <c r="B213" s="9" t="s">
        <v>2494</v>
      </c>
      <c r="C213" s="9" t="s">
        <v>2495</v>
      </c>
      <c r="D213" s="9" t="s">
        <v>2496</v>
      </c>
      <c r="E213" s="10">
        <v>44643</v>
      </c>
      <c r="F213" s="9">
        <v>4.46</v>
      </c>
      <c r="G213" s="9" t="s">
        <v>1561</v>
      </c>
      <c r="H213" s="9" t="s">
        <v>542</v>
      </c>
      <c r="I213" s="9">
        <v>60</v>
      </c>
      <c r="J213" s="9" t="s">
        <v>1562</v>
      </c>
      <c r="K213" s="9">
        <v>100</v>
      </c>
      <c r="L213" s="9">
        <v>100</v>
      </c>
      <c r="M213" s="11">
        <v>0.1036</v>
      </c>
      <c r="N213" s="11">
        <v>0.1201</v>
      </c>
      <c r="O213" s="11"/>
      <c r="P213" s="11">
        <v>0.128442280503791</v>
      </c>
      <c r="Q213" s="9">
        <v>73.16</v>
      </c>
      <c r="R213" s="9">
        <v>79.05</v>
      </c>
      <c r="S213" s="9">
        <v>75.52</v>
      </c>
      <c r="T213" s="11">
        <v>0.7692</v>
      </c>
      <c r="U213" s="11">
        <v>0.7222</v>
      </c>
      <c r="V213" s="11">
        <v>0.696741666666667</v>
      </c>
      <c r="W213" s="9">
        <v>76.92</v>
      </c>
      <c r="X213" s="9">
        <v>69.6741666666667</v>
      </c>
      <c r="Y213" s="9">
        <v>74.02</v>
      </c>
      <c r="Z213" s="9">
        <v>0.0528706302628221</v>
      </c>
      <c r="AA213" s="9">
        <v>0.0529</v>
      </c>
      <c r="AB213" s="9">
        <v>0.0529</v>
      </c>
      <c r="AC213" s="9">
        <v>42.63</v>
      </c>
      <c r="AD213" s="9">
        <v>1.9595</v>
      </c>
      <c r="AE213" s="9"/>
      <c r="AF213" s="9"/>
      <c r="AG213" s="9">
        <v>45.66</v>
      </c>
      <c r="AH213" s="9"/>
      <c r="AI213" s="9">
        <v>45.66</v>
      </c>
      <c r="AJ213" s="9">
        <v>0.1201</v>
      </c>
      <c r="AK213" s="9">
        <v>80</v>
      </c>
      <c r="AL213" s="9">
        <v>84</v>
      </c>
      <c r="AM213" s="9">
        <v>75.07</v>
      </c>
      <c r="AN213" s="9">
        <v>42.63</v>
      </c>
      <c r="AO213" s="9">
        <v>45.66</v>
      </c>
      <c r="AP213" s="9">
        <v>80</v>
      </c>
      <c r="AQ213" s="12">
        <v>0.88</v>
      </c>
      <c r="AR213" s="9">
        <v>54.48984</v>
      </c>
      <c r="AS213" s="9">
        <v>61.92</v>
      </c>
      <c r="AT213" s="9">
        <v>145</v>
      </c>
      <c r="AU213" s="9" t="s">
        <v>1563</v>
      </c>
      <c r="AV213" s="9">
        <v>0</v>
      </c>
      <c r="AW213" s="9" t="s">
        <v>2497</v>
      </c>
      <c r="AX213" s="9">
        <v>46021</v>
      </c>
      <c r="AY213" s="9" t="s">
        <v>2498</v>
      </c>
      <c r="AZ213" s="9" t="s">
        <v>2499</v>
      </c>
      <c r="BA213" s="9">
        <v>45821</v>
      </c>
      <c r="BB213" s="9" t="s">
        <v>785</v>
      </c>
      <c r="BC213" s="9" t="s">
        <v>2500</v>
      </c>
      <c r="BD213" s="9" t="s">
        <v>1566</v>
      </c>
      <c r="BE213" s="13"/>
      <c r="BF213" s="13">
        <v>61.92</v>
      </c>
      <c r="BG213" s="12">
        <v>0.88</v>
      </c>
      <c r="BH213" s="9">
        <v>54.48984</v>
      </c>
      <c r="BI213" s="9" t="s">
        <v>1567</v>
      </c>
    </row>
    <row r="214" ht="25" customHeight="1" spans="1:61">
      <c r="A214" s="9">
        <v>213</v>
      </c>
      <c r="B214" s="9" t="s">
        <v>2501</v>
      </c>
      <c r="C214" s="9" t="s">
        <v>2502</v>
      </c>
      <c r="D214" s="9" t="s">
        <v>2503</v>
      </c>
      <c r="E214" s="10">
        <v>44648</v>
      </c>
      <c r="F214" s="9">
        <v>4.4463</v>
      </c>
      <c r="G214" s="9" t="s">
        <v>1561</v>
      </c>
      <c r="H214" s="9" t="s">
        <v>542</v>
      </c>
      <c r="I214" s="9">
        <v>60</v>
      </c>
      <c r="J214" s="9" t="s">
        <v>1562</v>
      </c>
      <c r="K214" s="9">
        <v>100</v>
      </c>
      <c r="L214" s="9">
        <v>100</v>
      </c>
      <c r="M214" s="11">
        <v>-0.1019</v>
      </c>
      <c r="N214" s="11">
        <v>0.0343</v>
      </c>
      <c r="O214" s="11"/>
      <c r="P214" s="11">
        <v>0.109960282613783</v>
      </c>
      <c r="Q214" s="9">
        <v>3.19</v>
      </c>
      <c r="R214" s="9">
        <v>73.33</v>
      </c>
      <c r="S214" s="9">
        <v>31.25</v>
      </c>
      <c r="T214" s="11">
        <v>0.3846</v>
      </c>
      <c r="U214" s="11">
        <v>0.4865</v>
      </c>
      <c r="V214" s="11">
        <v>0.541695833333333</v>
      </c>
      <c r="W214" s="9">
        <v>38.46</v>
      </c>
      <c r="X214" s="9">
        <v>54.1695833333333</v>
      </c>
      <c r="Y214" s="9">
        <v>44.74</v>
      </c>
      <c r="Z214" s="9">
        <v>0.163826366559486</v>
      </c>
      <c r="AA214" s="9">
        <v>0.1639</v>
      </c>
      <c r="AB214" s="9">
        <v>0.1639</v>
      </c>
      <c r="AC214" s="9">
        <v>14.42</v>
      </c>
      <c r="AD214" s="9">
        <v>-0.622</v>
      </c>
      <c r="AE214" s="9"/>
      <c r="AF214" s="9"/>
      <c r="AG214" s="9">
        <v>5.14</v>
      </c>
      <c r="AH214" s="9"/>
      <c r="AI214" s="9">
        <v>5.14</v>
      </c>
      <c r="AJ214" s="9">
        <v>0.0343</v>
      </c>
      <c r="AK214" s="9">
        <v>80</v>
      </c>
      <c r="AL214" s="9">
        <v>84</v>
      </c>
      <c r="AM214" s="9">
        <v>35.3</v>
      </c>
      <c r="AN214" s="9">
        <v>14.42</v>
      </c>
      <c r="AO214" s="9">
        <v>5.14</v>
      </c>
      <c r="AP214" s="9">
        <v>80</v>
      </c>
      <c r="AQ214" s="12">
        <v>0.88</v>
      </c>
      <c r="AR214" s="9">
        <v>32.18927</v>
      </c>
      <c r="AS214" s="9">
        <v>36.58</v>
      </c>
      <c r="AT214" s="9">
        <v>280</v>
      </c>
      <c r="AU214" s="9" t="s">
        <v>1563</v>
      </c>
      <c r="AV214" s="9">
        <v>0</v>
      </c>
      <c r="AW214" s="9" t="s">
        <v>2504</v>
      </c>
      <c r="AX214" s="9">
        <v>46210</v>
      </c>
      <c r="AY214" s="9" t="s">
        <v>2505</v>
      </c>
      <c r="AZ214" s="9" t="s">
        <v>2506</v>
      </c>
      <c r="BA214" s="9">
        <v>45628</v>
      </c>
      <c r="BB214" s="9" t="s">
        <v>785</v>
      </c>
      <c r="BC214" s="9" t="s">
        <v>2507</v>
      </c>
      <c r="BD214" s="9" t="s">
        <v>1566</v>
      </c>
      <c r="BE214" s="13"/>
      <c r="BF214" s="13">
        <v>36.58</v>
      </c>
      <c r="BG214" s="12">
        <v>0.88</v>
      </c>
      <c r="BH214" s="9">
        <v>32.18927</v>
      </c>
      <c r="BI214" s="9" t="s">
        <v>1567</v>
      </c>
    </row>
    <row r="215" ht="25" customHeight="1" spans="1:61">
      <c r="A215" s="9">
        <v>214</v>
      </c>
      <c r="B215" s="9" t="s">
        <v>2508</v>
      </c>
      <c r="C215" s="9" t="s">
        <v>2509</v>
      </c>
      <c r="D215" s="9" t="s">
        <v>2510</v>
      </c>
      <c r="E215" s="10">
        <v>44664</v>
      </c>
      <c r="F215" s="9">
        <v>4.4025</v>
      </c>
      <c r="G215" s="9" t="s">
        <v>1561</v>
      </c>
      <c r="H215" s="9" t="s">
        <v>542</v>
      </c>
      <c r="I215" s="9">
        <v>60</v>
      </c>
      <c r="J215" s="9" t="s">
        <v>1562</v>
      </c>
      <c r="K215" s="9">
        <v>100</v>
      </c>
      <c r="L215" s="9">
        <v>100</v>
      </c>
      <c r="M215" s="11">
        <v>0.0404</v>
      </c>
      <c r="N215" s="11">
        <v>0.0884</v>
      </c>
      <c r="O215" s="11"/>
      <c r="P215" s="11">
        <v>0.11322417220336</v>
      </c>
      <c r="Q215" s="9">
        <v>34.5</v>
      </c>
      <c r="R215" s="9">
        <v>74.29</v>
      </c>
      <c r="S215" s="9">
        <v>50.42</v>
      </c>
      <c r="T215" s="11">
        <v>0.8462</v>
      </c>
      <c r="U215" s="11">
        <v>0.9459</v>
      </c>
      <c r="V215" s="11">
        <v>0.999904166666667</v>
      </c>
      <c r="W215" s="9">
        <v>84.62</v>
      </c>
      <c r="X215" s="9">
        <v>99.9904166666667</v>
      </c>
      <c r="Y215" s="9">
        <v>90.77</v>
      </c>
      <c r="Z215" s="9">
        <v>0.000894814946067465</v>
      </c>
      <c r="AA215" s="9">
        <v>0.0071</v>
      </c>
      <c r="AB215" s="9">
        <v>0.0071</v>
      </c>
      <c r="AC215" s="9">
        <v>88.14</v>
      </c>
      <c r="AD215" s="9">
        <v>45.149</v>
      </c>
      <c r="AE215" s="9">
        <v>0.0071</v>
      </c>
      <c r="AF215" s="9">
        <v>15.9470665075154</v>
      </c>
      <c r="AG215" s="9">
        <v>97.11</v>
      </c>
      <c r="AH215" s="9">
        <v>95.04</v>
      </c>
      <c r="AI215" s="9">
        <v>96.28</v>
      </c>
      <c r="AJ215" s="9">
        <v>0.0884</v>
      </c>
      <c r="AK215" s="9">
        <v>80</v>
      </c>
      <c r="AL215" s="9">
        <v>84</v>
      </c>
      <c r="AM215" s="9">
        <v>62.52</v>
      </c>
      <c r="AN215" s="9">
        <v>88.14</v>
      </c>
      <c r="AO215" s="9">
        <v>96.28</v>
      </c>
      <c r="AP215" s="9">
        <v>80</v>
      </c>
      <c r="AQ215" s="12">
        <v>1</v>
      </c>
      <c r="AR215" s="9">
        <v>84.02393</v>
      </c>
      <c r="AS215" s="9">
        <v>84.02</v>
      </c>
      <c r="AT215" s="9">
        <v>29</v>
      </c>
      <c r="AU215" s="9"/>
      <c r="AV215" s="9">
        <v>0</v>
      </c>
      <c r="AW215" s="9" t="s">
        <v>2511</v>
      </c>
      <c r="AX215" s="9">
        <v>46255</v>
      </c>
      <c r="AY215" s="9" t="s">
        <v>2512</v>
      </c>
      <c r="AZ215" s="9" t="s">
        <v>2513</v>
      </c>
      <c r="BA215" s="9">
        <v>46225</v>
      </c>
      <c r="BB215" s="9" t="s">
        <v>785</v>
      </c>
      <c r="BC215" s="9" t="s">
        <v>2514</v>
      </c>
      <c r="BD215" s="9" t="s">
        <v>1566</v>
      </c>
      <c r="BE215" s="13">
        <v>84.02393</v>
      </c>
      <c r="BF215" s="13">
        <v>84.02</v>
      </c>
      <c r="BG215" s="12">
        <v>1</v>
      </c>
      <c r="BH215" s="9">
        <v>84.02393</v>
      </c>
      <c r="BI215" s="9" t="s">
        <v>1567</v>
      </c>
    </row>
    <row r="216" ht="25" customHeight="1" spans="1:61">
      <c r="A216" s="9">
        <v>242</v>
      </c>
      <c r="B216" s="9" t="s">
        <v>150</v>
      </c>
      <c r="C216" s="9" t="s">
        <v>151</v>
      </c>
      <c r="D216" s="9" t="s">
        <v>152</v>
      </c>
      <c r="E216" s="10">
        <v>44729</v>
      </c>
      <c r="F216" s="9">
        <v>4.2245</v>
      </c>
      <c r="G216" s="9" t="s">
        <v>1561</v>
      </c>
      <c r="H216" s="9" t="s">
        <v>542</v>
      </c>
      <c r="I216" s="9">
        <v>60</v>
      </c>
      <c r="J216" s="9" t="s">
        <v>1562</v>
      </c>
      <c r="K216" s="9">
        <v>100</v>
      </c>
      <c r="L216" s="9">
        <v>100</v>
      </c>
      <c r="M216" s="11">
        <v>0.0939</v>
      </c>
      <c r="N216" s="11">
        <v>0.0813</v>
      </c>
      <c r="O216" s="11"/>
      <c r="P216" s="11">
        <v>0.0750545294707556</v>
      </c>
      <c r="Q216" s="9">
        <v>70.29</v>
      </c>
      <c r="R216" s="9">
        <v>55.71</v>
      </c>
      <c r="S216" s="9">
        <v>64.46</v>
      </c>
      <c r="T216" s="11">
        <v>1</v>
      </c>
      <c r="U216" s="11">
        <v>0.9459</v>
      </c>
      <c r="V216" s="11">
        <v>0.916595833333333</v>
      </c>
      <c r="W216" s="9">
        <v>100</v>
      </c>
      <c r="X216" s="9">
        <v>91.6595833333333</v>
      </c>
      <c r="Y216" s="9">
        <v>96.66</v>
      </c>
      <c r="Z216" s="9">
        <v>0.00105439629355561</v>
      </c>
      <c r="AA216" s="9">
        <v>0.0033</v>
      </c>
      <c r="AB216" s="9">
        <v>0.0033</v>
      </c>
      <c r="AC216" s="9">
        <v>97.28</v>
      </c>
      <c r="AD216" s="9">
        <v>89.0557</v>
      </c>
      <c r="AE216" s="9">
        <v>0.0033</v>
      </c>
      <c r="AF216" s="9">
        <v>22.7437968093199</v>
      </c>
      <c r="AG216" s="9">
        <v>99.68</v>
      </c>
      <c r="AH216" s="9">
        <v>97.16</v>
      </c>
      <c r="AI216" s="9">
        <v>98.67</v>
      </c>
      <c r="AJ216" s="9">
        <v>0.0813</v>
      </c>
      <c r="AK216" s="9">
        <v>100</v>
      </c>
      <c r="AL216" s="9">
        <v>84</v>
      </c>
      <c r="AM216" s="9">
        <v>74.12</v>
      </c>
      <c r="AN216" s="9">
        <v>97.28</v>
      </c>
      <c r="AO216" s="9">
        <v>98.67</v>
      </c>
      <c r="AP216" s="9">
        <v>100</v>
      </c>
      <c r="AQ216" s="12">
        <v>1</v>
      </c>
      <c r="AR216" s="9">
        <v>91.34555</v>
      </c>
      <c r="AS216" s="9">
        <v>91.35</v>
      </c>
      <c r="AT216" s="9">
        <v>7</v>
      </c>
      <c r="AU216" s="9"/>
      <c r="AV216" s="9">
        <v>0</v>
      </c>
      <c r="AW216" s="9" t="s">
        <v>1277</v>
      </c>
      <c r="AX216" s="9">
        <v>46099</v>
      </c>
      <c r="AY216" s="9" t="s">
        <v>1279</v>
      </c>
      <c r="AZ216" s="9" t="s">
        <v>2515</v>
      </c>
      <c r="BA216" s="9">
        <v>44736</v>
      </c>
      <c r="BB216" s="9" t="s">
        <v>785</v>
      </c>
      <c r="BC216" s="9" t="s">
        <v>866</v>
      </c>
      <c r="BD216" s="9" t="s">
        <v>1566</v>
      </c>
      <c r="BE216" s="13">
        <v>91.34555</v>
      </c>
      <c r="BF216" s="13">
        <v>91.35</v>
      </c>
      <c r="BG216" s="12">
        <v>1</v>
      </c>
      <c r="BH216" s="9">
        <v>91.34555</v>
      </c>
      <c r="BI216" s="9" t="s">
        <v>1567</v>
      </c>
    </row>
    <row r="217" ht="25" customHeight="1" spans="1:61">
      <c r="A217" s="9">
        <v>243</v>
      </c>
      <c r="B217" s="9" t="s">
        <v>2516</v>
      </c>
      <c r="C217" s="9" t="s">
        <v>2517</v>
      </c>
      <c r="D217" s="9" t="s">
        <v>1619</v>
      </c>
      <c r="E217" s="10">
        <v>44743</v>
      </c>
      <c r="F217" s="9">
        <v>4.1862</v>
      </c>
      <c r="G217" s="9" t="s">
        <v>1561</v>
      </c>
      <c r="H217" s="9" t="s">
        <v>561</v>
      </c>
      <c r="I217" s="9">
        <v>90</v>
      </c>
      <c r="J217" s="9" t="s">
        <v>1562</v>
      </c>
      <c r="K217" s="9">
        <v>100</v>
      </c>
      <c r="L217" s="9">
        <v>100</v>
      </c>
      <c r="M217" s="11">
        <v>0.0638</v>
      </c>
      <c r="N217" s="11">
        <v>0.2702</v>
      </c>
      <c r="O217" s="11"/>
      <c r="P217" s="11">
        <v>0.387963896968988</v>
      </c>
      <c r="Q217" s="9">
        <v>50.16</v>
      </c>
      <c r="R217" s="9">
        <v>99.05</v>
      </c>
      <c r="S217" s="9">
        <v>69.72</v>
      </c>
      <c r="T217" s="11">
        <v>0.7692</v>
      </c>
      <c r="U217" s="11">
        <v>0.5946</v>
      </c>
      <c r="V217" s="11">
        <v>0.500025</v>
      </c>
      <c r="W217" s="9">
        <v>76.92</v>
      </c>
      <c r="X217" s="9">
        <v>50.0025</v>
      </c>
      <c r="Y217" s="9">
        <v>66.15</v>
      </c>
      <c r="Z217" s="9">
        <v>0.224885442368699</v>
      </c>
      <c r="AA217" s="9">
        <v>0.3414</v>
      </c>
      <c r="AB217" s="9">
        <v>0.3414</v>
      </c>
      <c r="AC217" s="9">
        <v>2.56</v>
      </c>
      <c r="AD217" s="9">
        <v>0.2837</v>
      </c>
      <c r="AE217" s="9">
        <v>0.3414</v>
      </c>
      <c r="AF217" s="9">
        <v>1.13639102802867</v>
      </c>
      <c r="AG217" s="9">
        <v>20.26</v>
      </c>
      <c r="AH217" s="9">
        <v>42.55</v>
      </c>
      <c r="AI217" s="9">
        <v>29.18</v>
      </c>
      <c r="AJ217" s="9">
        <v>0.2702</v>
      </c>
      <c r="AK217" s="9">
        <v>60</v>
      </c>
      <c r="AL217" s="9">
        <v>96</v>
      </c>
      <c r="AM217" s="9">
        <v>68.65</v>
      </c>
      <c r="AN217" s="9">
        <v>2.56</v>
      </c>
      <c r="AO217" s="9">
        <v>29.18</v>
      </c>
      <c r="AP217" s="9">
        <v>60</v>
      </c>
      <c r="AQ217" s="12">
        <v>1</v>
      </c>
      <c r="AR217" s="9">
        <v>43.52222</v>
      </c>
      <c r="AS217" s="9">
        <v>43.52</v>
      </c>
      <c r="AT217" s="9">
        <v>256</v>
      </c>
      <c r="AU217" s="9"/>
      <c r="AV217" s="9">
        <v>50</v>
      </c>
      <c r="AW217" s="9" t="s">
        <v>1621</v>
      </c>
      <c r="AX217" s="9">
        <v>45667</v>
      </c>
      <c r="AY217" s="9" t="s">
        <v>1622</v>
      </c>
      <c r="AZ217" s="9" t="s">
        <v>2518</v>
      </c>
      <c r="BA217" s="9">
        <v>45982</v>
      </c>
      <c r="BB217" s="9" t="s">
        <v>785</v>
      </c>
      <c r="BC217" s="9" t="s">
        <v>2519</v>
      </c>
      <c r="BD217" s="9" t="s">
        <v>1566</v>
      </c>
      <c r="BE217" s="13">
        <v>43.52222</v>
      </c>
      <c r="BF217" s="13">
        <v>43.52</v>
      </c>
      <c r="BG217" s="12">
        <v>1</v>
      </c>
      <c r="BH217" s="9">
        <v>43.52222</v>
      </c>
      <c r="BI217" s="9" t="s">
        <v>1567</v>
      </c>
    </row>
    <row r="218" ht="25" customHeight="1" spans="1:61">
      <c r="A218" s="9">
        <v>244</v>
      </c>
      <c r="B218" s="9" t="s">
        <v>281</v>
      </c>
      <c r="C218" s="9" t="s">
        <v>283</v>
      </c>
      <c r="D218" s="9" t="s">
        <v>284</v>
      </c>
      <c r="E218" s="10">
        <v>44750</v>
      </c>
      <c r="F218" s="9">
        <v>4.167</v>
      </c>
      <c r="G218" s="9" t="s">
        <v>1561</v>
      </c>
      <c r="H218" s="9" t="s">
        <v>551</v>
      </c>
      <c r="I218" s="9">
        <v>80</v>
      </c>
      <c r="J218" s="9" t="s">
        <v>1562</v>
      </c>
      <c r="K218" s="9">
        <v>100</v>
      </c>
      <c r="L218" s="9">
        <v>100</v>
      </c>
      <c r="M218" s="11">
        <v>0.1111</v>
      </c>
      <c r="N218" s="11">
        <v>0.0925</v>
      </c>
      <c r="O218" s="11"/>
      <c r="P218" s="11">
        <v>0.0833170905010618</v>
      </c>
      <c r="Q218" s="9">
        <v>76.68</v>
      </c>
      <c r="R218" s="9">
        <v>63.33</v>
      </c>
      <c r="S218" s="9">
        <v>71.34</v>
      </c>
      <c r="T218" s="11">
        <v>0.7692</v>
      </c>
      <c r="U218" s="11">
        <v>0.7297</v>
      </c>
      <c r="V218" s="11">
        <v>0.708304166666667</v>
      </c>
      <c r="W218" s="9">
        <v>76.92</v>
      </c>
      <c r="X218" s="9">
        <v>70.8304166666667</v>
      </c>
      <c r="Y218" s="9">
        <v>74.48</v>
      </c>
      <c r="Z218" s="9">
        <v>0.0401924607481369</v>
      </c>
      <c r="AA218" s="9">
        <v>0.0402</v>
      </c>
      <c r="AB218" s="9">
        <v>0.0402</v>
      </c>
      <c r="AC218" s="9">
        <v>51.92</v>
      </c>
      <c r="AD218" s="9">
        <v>2.7642</v>
      </c>
      <c r="AE218" s="9"/>
      <c r="AF218" s="9"/>
      <c r="AG218" s="9">
        <v>51.77</v>
      </c>
      <c r="AH218" s="9"/>
      <c r="AI218" s="9">
        <v>51.77</v>
      </c>
      <c r="AJ218" s="9">
        <v>0.0925</v>
      </c>
      <c r="AK218" s="9">
        <v>100</v>
      </c>
      <c r="AL218" s="9">
        <v>92</v>
      </c>
      <c r="AM218" s="9">
        <v>72.28</v>
      </c>
      <c r="AN218" s="9">
        <v>51.92</v>
      </c>
      <c r="AO218" s="9">
        <v>51.77</v>
      </c>
      <c r="AP218" s="9">
        <v>100</v>
      </c>
      <c r="AQ218" s="12">
        <v>0.88</v>
      </c>
      <c r="AR218" s="9">
        <v>60.55525</v>
      </c>
      <c r="AS218" s="9">
        <v>68.81</v>
      </c>
      <c r="AT218" s="9">
        <v>114</v>
      </c>
      <c r="AU218" s="9" t="s">
        <v>1563</v>
      </c>
      <c r="AV218" s="9">
        <v>10</v>
      </c>
      <c r="AW218" s="9" t="s">
        <v>1350</v>
      </c>
      <c r="AX218" s="9">
        <v>46185</v>
      </c>
      <c r="AY218" s="9" t="s">
        <v>1352</v>
      </c>
      <c r="AZ218" s="9" t="s">
        <v>2520</v>
      </c>
      <c r="BA218" s="9">
        <v>46212</v>
      </c>
      <c r="BB218" s="9" t="s">
        <v>785</v>
      </c>
      <c r="BC218" s="9" t="s">
        <v>914</v>
      </c>
      <c r="BD218" s="9" t="s">
        <v>1566</v>
      </c>
      <c r="BE218" s="13"/>
      <c r="BF218" s="13">
        <v>68.81</v>
      </c>
      <c r="BG218" s="12">
        <v>0.88</v>
      </c>
      <c r="BH218" s="9">
        <v>60.55525</v>
      </c>
      <c r="BI218" s="9" t="s">
        <v>1567</v>
      </c>
    </row>
    <row r="219" ht="25" customHeight="1" spans="1:61">
      <c r="A219" s="9">
        <v>245</v>
      </c>
      <c r="B219" s="9" t="s">
        <v>2521</v>
      </c>
      <c r="C219" s="9" t="s">
        <v>2522</v>
      </c>
      <c r="D219" s="9" t="s">
        <v>1885</v>
      </c>
      <c r="E219" s="10">
        <v>44749</v>
      </c>
      <c r="F219" s="9">
        <v>4.1697</v>
      </c>
      <c r="G219" s="9" t="s">
        <v>1561</v>
      </c>
      <c r="H219" s="9" t="s">
        <v>557</v>
      </c>
      <c r="I219" s="9">
        <v>90</v>
      </c>
      <c r="J219" s="9" t="s">
        <v>1562</v>
      </c>
      <c r="K219" s="9">
        <v>100</v>
      </c>
      <c r="L219" s="9">
        <v>100</v>
      </c>
      <c r="M219" s="11">
        <v>0.0849</v>
      </c>
      <c r="N219" s="11">
        <v>0.1238</v>
      </c>
      <c r="O219" s="11"/>
      <c r="P219" s="11">
        <v>0.143769962629946</v>
      </c>
      <c r="Q219" s="9">
        <v>65.02</v>
      </c>
      <c r="R219" s="9">
        <v>83.81</v>
      </c>
      <c r="S219" s="9">
        <v>72.54</v>
      </c>
      <c r="T219" s="11">
        <v>0.6923</v>
      </c>
      <c r="U219" s="11">
        <v>0.7273</v>
      </c>
      <c r="V219" s="11">
        <v>0.746258333333333</v>
      </c>
      <c r="W219" s="9">
        <v>69.23</v>
      </c>
      <c r="X219" s="9">
        <v>74.6258333333333</v>
      </c>
      <c r="Y219" s="9">
        <v>71.39</v>
      </c>
      <c r="Z219" s="9">
        <v>0.0186712410107541</v>
      </c>
      <c r="AA219" s="9">
        <v>0.0187</v>
      </c>
      <c r="AB219" s="9">
        <v>0.0187</v>
      </c>
      <c r="AC219" s="9">
        <v>72.12</v>
      </c>
      <c r="AD219" s="9">
        <v>4.5471</v>
      </c>
      <c r="AE219" s="9"/>
      <c r="AF219" s="9"/>
      <c r="AG219" s="9">
        <v>62.38</v>
      </c>
      <c r="AH219" s="9"/>
      <c r="AI219" s="9">
        <v>62.38</v>
      </c>
      <c r="AJ219" s="9">
        <v>0.1238</v>
      </c>
      <c r="AK219" s="9">
        <v>80</v>
      </c>
      <c r="AL219" s="9">
        <v>96</v>
      </c>
      <c r="AM219" s="9">
        <v>72.19</v>
      </c>
      <c r="AN219" s="9">
        <v>72.12</v>
      </c>
      <c r="AO219" s="9">
        <v>62.38</v>
      </c>
      <c r="AP219" s="9">
        <v>80</v>
      </c>
      <c r="AQ219" s="12">
        <v>0.88</v>
      </c>
      <c r="AR219" s="9">
        <v>66.09674</v>
      </c>
      <c r="AS219" s="9">
        <v>75.11</v>
      </c>
      <c r="AT219" s="9">
        <v>73</v>
      </c>
      <c r="AU219" s="9" t="s">
        <v>1563</v>
      </c>
      <c r="AV219" s="9">
        <v>20</v>
      </c>
      <c r="AW219" s="9" t="s">
        <v>1886</v>
      </c>
      <c r="AX219" s="9">
        <v>46108</v>
      </c>
      <c r="AY219" s="9" t="s">
        <v>1887</v>
      </c>
      <c r="AZ219" s="9" t="s">
        <v>2523</v>
      </c>
      <c r="BA219" s="9">
        <v>45923</v>
      </c>
      <c r="BB219" s="9" t="s">
        <v>785</v>
      </c>
      <c r="BC219" s="9" t="s">
        <v>2524</v>
      </c>
      <c r="BD219" s="9" t="s">
        <v>1566</v>
      </c>
      <c r="BE219" s="13"/>
      <c r="BF219" s="13">
        <v>75.11</v>
      </c>
      <c r="BG219" s="12">
        <v>0.88</v>
      </c>
      <c r="BH219" s="9">
        <v>66.09674</v>
      </c>
      <c r="BI219" s="9" t="s">
        <v>1567</v>
      </c>
    </row>
    <row r="220" ht="25" customHeight="1" spans="1:61">
      <c r="A220" s="9">
        <v>246</v>
      </c>
      <c r="B220" s="9" t="s">
        <v>2525</v>
      </c>
      <c r="C220" s="9" t="s">
        <v>2526</v>
      </c>
      <c r="D220" s="9" t="s">
        <v>393</v>
      </c>
      <c r="E220" s="10">
        <v>44776</v>
      </c>
      <c r="F220" s="9">
        <v>4.0958</v>
      </c>
      <c r="G220" s="9" t="s">
        <v>1561</v>
      </c>
      <c r="H220" s="9" t="s">
        <v>551</v>
      </c>
      <c r="I220" s="9">
        <v>80</v>
      </c>
      <c r="J220" s="9" t="s">
        <v>1562</v>
      </c>
      <c r="K220" s="9">
        <v>100</v>
      </c>
      <c r="L220" s="9">
        <v>100</v>
      </c>
      <c r="M220" s="11">
        <v>0.0805</v>
      </c>
      <c r="N220" s="11">
        <v>0.0878</v>
      </c>
      <c r="O220" s="11"/>
      <c r="P220" s="11">
        <v>0.091468474136676</v>
      </c>
      <c r="Q220" s="9">
        <v>60.38</v>
      </c>
      <c r="R220" s="9">
        <v>67.62</v>
      </c>
      <c r="S220" s="9">
        <v>63.28</v>
      </c>
      <c r="T220" s="11">
        <v>0.8462</v>
      </c>
      <c r="U220" s="11">
        <v>0.7297</v>
      </c>
      <c r="V220" s="11">
        <v>0.666595833333333</v>
      </c>
      <c r="W220" s="9">
        <v>84.62</v>
      </c>
      <c r="X220" s="9">
        <v>66.6595833333333</v>
      </c>
      <c r="Y220" s="9">
        <v>77.44</v>
      </c>
      <c r="Z220" s="9">
        <v>0.0102397761241493</v>
      </c>
      <c r="AA220" s="9">
        <v>0.0108</v>
      </c>
      <c r="AB220" s="9">
        <v>0.0108</v>
      </c>
      <c r="AC220" s="9">
        <v>83.33</v>
      </c>
      <c r="AD220" s="9">
        <v>7.8615</v>
      </c>
      <c r="AE220" s="9">
        <v>0.0108</v>
      </c>
      <c r="AF220" s="9">
        <v>8.46930316080334</v>
      </c>
      <c r="AG220" s="9">
        <v>73.95</v>
      </c>
      <c r="AH220" s="9">
        <v>88.65</v>
      </c>
      <c r="AI220" s="9">
        <v>79.83</v>
      </c>
      <c r="AJ220" s="9">
        <v>0.0878</v>
      </c>
      <c r="AK220" s="9">
        <v>80</v>
      </c>
      <c r="AL220" s="9">
        <v>92</v>
      </c>
      <c r="AM220" s="9">
        <v>67.52</v>
      </c>
      <c r="AN220" s="9">
        <v>83.33</v>
      </c>
      <c r="AO220" s="9">
        <v>79.83</v>
      </c>
      <c r="AP220" s="9">
        <v>80</v>
      </c>
      <c r="AQ220" s="12">
        <v>1</v>
      </c>
      <c r="AR220" s="9">
        <v>80.08629</v>
      </c>
      <c r="AS220" s="9">
        <v>80.09</v>
      </c>
      <c r="AT220" s="9">
        <v>49</v>
      </c>
      <c r="AU220" s="9"/>
      <c r="AV220" s="9">
        <v>10</v>
      </c>
      <c r="AW220" s="9" t="s">
        <v>1386</v>
      </c>
      <c r="AX220" s="9">
        <v>46202</v>
      </c>
      <c r="AY220" s="9" t="s">
        <v>1391</v>
      </c>
      <c r="AZ220" s="9" t="s">
        <v>2527</v>
      </c>
      <c r="BA220" s="9">
        <v>46178</v>
      </c>
      <c r="BB220" s="9" t="s">
        <v>785</v>
      </c>
      <c r="BC220" s="9" t="s">
        <v>2528</v>
      </c>
      <c r="BD220" s="9" t="s">
        <v>1566</v>
      </c>
      <c r="BE220" s="13">
        <v>80.08629</v>
      </c>
      <c r="BF220" s="13">
        <v>80.09</v>
      </c>
      <c r="BG220" s="12">
        <v>1</v>
      </c>
      <c r="BH220" s="9">
        <v>80.08629</v>
      </c>
      <c r="BI220" s="9" t="s">
        <v>1567</v>
      </c>
    </row>
    <row r="221" ht="25" customHeight="1" spans="1:61">
      <c r="A221" s="9">
        <v>247</v>
      </c>
      <c r="B221" s="9" t="s">
        <v>2529</v>
      </c>
      <c r="C221" s="9" t="s">
        <v>2530</v>
      </c>
      <c r="D221" s="9" t="s">
        <v>2531</v>
      </c>
      <c r="E221" s="10">
        <v>44769</v>
      </c>
      <c r="F221" s="9">
        <v>4.115</v>
      </c>
      <c r="G221" s="9" t="s">
        <v>1561</v>
      </c>
      <c r="H221" s="9" t="s">
        <v>542</v>
      </c>
      <c r="I221" s="9">
        <v>60</v>
      </c>
      <c r="J221" s="9" t="s">
        <v>1562</v>
      </c>
      <c r="K221" s="9">
        <v>100</v>
      </c>
      <c r="L221" s="9">
        <v>100</v>
      </c>
      <c r="M221" s="11">
        <v>0.0476</v>
      </c>
      <c r="N221" s="11">
        <v>0.1117</v>
      </c>
      <c r="O221" s="11"/>
      <c r="P221" s="11">
        <v>0.145206128919079</v>
      </c>
      <c r="Q221" s="9">
        <v>41.21</v>
      </c>
      <c r="R221" s="9">
        <v>85.24</v>
      </c>
      <c r="S221" s="9">
        <v>58.82</v>
      </c>
      <c r="T221" s="11">
        <v>1</v>
      </c>
      <c r="U221" s="11">
        <v>0.8056</v>
      </c>
      <c r="V221" s="11">
        <v>0.7003</v>
      </c>
      <c r="W221" s="9">
        <v>100</v>
      </c>
      <c r="X221" s="9">
        <v>70.03</v>
      </c>
      <c r="Y221" s="9">
        <v>88.01</v>
      </c>
      <c r="Z221" s="9">
        <v>0.00206313362257658</v>
      </c>
      <c r="AA221" s="9">
        <v>0.1185</v>
      </c>
      <c r="AB221" s="9">
        <v>0.1185</v>
      </c>
      <c r="AC221" s="9">
        <v>21.15</v>
      </c>
      <c r="AD221" s="9">
        <v>23.0717</v>
      </c>
      <c r="AE221" s="9">
        <v>0.1185</v>
      </c>
      <c r="AF221" s="9">
        <v>1.22536817653231</v>
      </c>
      <c r="AG221" s="9">
        <v>91.96</v>
      </c>
      <c r="AH221" s="9">
        <v>46.1</v>
      </c>
      <c r="AI221" s="9">
        <v>73.62</v>
      </c>
      <c r="AJ221" s="9">
        <v>0.1117</v>
      </c>
      <c r="AK221" s="9">
        <v>80</v>
      </c>
      <c r="AL221" s="9">
        <v>84</v>
      </c>
      <c r="AM221" s="9">
        <v>67.58</v>
      </c>
      <c r="AN221" s="9">
        <v>21.15</v>
      </c>
      <c r="AO221" s="9">
        <v>73.62</v>
      </c>
      <c r="AP221" s="9">
        <v>80</v>
      </c>
      <c r="AQ221" s="12">
        <v>1</v>
      </c>
      <c r="AR221" s="9">
        <v>61.4881</v>
      </c>
      <c r="AS221" s="9">
        <v>61.49</v>
      </c>
      <c r="AT221" s="9">
        <v>148</v>
      </c>
      <c r="AU221" s="9"/>
      <c r="AV221" s="9">
        <v>0</v>
      </c>
      <c r="AW221" s="9" t="s">
        <v>2532</v>
      </c>
      <c r="AX221" s="9">
        <v>45138</v>
      </c>
      <c r="AY221" s="9" t="s">
        <v>2533</v>
      </c>
      <c r="AZ221" s="9" t="s">
        <v>2534</v>
      </c>
      <c r="BA221" s="9">
        <v>45720</v>
      </c>
      <c r="BB221" s="9" t="s">
        <v>785</v>
      </c>
      <c r="BC221" s="9" t="s">
        <v>2535</v>
      </c>
      <c r="BD221" s="9" t="s">
        <v>1566</v>
      </c>
      <c r="BE221" s="13">
        <v>61.4881</v>
      </c>
      <c r="BF221" s="13">
        <v>61.49</v>
      </c>
      <c r="BG221" s="12">
        <v>1</v>
      </c>
      <c r="BH221" s="9">
        <v>61.4881</v>
      </c>
      <c r="BI221" s="9" t="s">
        <v>1567</v>
      </c>
    </row>
    <row r="222" ht="25" customHeight="1" spans="1:61">
      <c r="A222" s="9">
        <v>248</v>
      </c>
      <c r="B222" s="9" t="s">
        <v>2536</v>
      </c>
      <c r="C222" s="9" t="s">
        <v>2537</v>
      </c>
      <c r="D222" s="9" t="s">
        <v>131</v>
      </c>
      <c r="E222" s="10">
        <v>44776</v>
      </c>
      <c r="F222" s="9">
        <v>4.0958</v>
      </c>
      <c r="G222" s="9" t="s">
        <v>1561</v>
      </c>
      <c r="H222" s="9" t="s">
        <v>542</v>
      </c>
      <c r="I222" s="9">
        <v>60</v>
      </c>
      <c r="J222" s="9" t="s">
        <v>1562</v>
      </c>
      <c r="K222" s="9">
        <v>100</v>
      </c>
      <c r="L222" s="9">
        <v>100</v>
      </c>
      <c r="M222" s="11">
        <v>0.0732</v>
      </c>
      <c r="N222" s="11">
        <v>0.085</v>
      </c>
      <c r="O222" s="11"/>
      <c r="P222" s="11">
        <v>0.0909485647661568</v>
      </c>
      <c r="Q222" s="9">
        <v>56.23</v>
      </c>
      <c r="R222" s="9">
        <v>66.67</v>
      </c>
      <c r="S222" s="9">
        <v>60.41</v>
      </c>
      <c r="T222" s="11">
        <v>0.9231</v>
      </c>
      <c r="U222" s="11">
        <v>0.7838</v>
      </c>
      <c r="V222" s="11">
        <v>0.708345833333333</v>
      </c>
      <c r="W222" s="9">
        <v>92.31</v>
      </c>
      <c r="X222" s="9">
        <v>70.8345833333333</v>
      </c>
      <c r="Y222" s="9">
        <v>83.72</v>
      </c>
      <c r="Z222" s="9">
        <v>0.00701754385964912</v>
      </c>
      <c r="AA222" s="9">
        <v>0.0347</v>
      </c>
      <c r="AB222" s="9">
        <v>0.0347</v>
      </c>
      <c r="AC222" s="9">
        <v>55.29</v>
      </c>
      <c r="AD222" s="9">
        <v>10.431</v>
      </c>
      <c r="AE222" s="9">
        <v>0.0347</v>
      </c>
      <c r="AF222" s="9">
        <v>2.62099610277109</v>
      </c>
      <c r="AG222" s="9">
        <v>80.71</v>
      </c>
      <c r="AH222" s="9">
        <v>70.92</v>
      </c>
      <c r="AI222" s="9">
        <v>76.79</v>
      </c>
      <c r="AJ222" s="9">
        <v>0.085</v>
      </c>
      <c r="AK222" s="9">
        <v>80</v>
      </c>
      <c r="AL222" s="9">
        <v>84</v>
      </c>
      <c r="AM222" s="9">
        <v>67.4</v>
      </c>
      <c r="AN222" s="9">
        <v>55.29</v>
      </c>
      <c r="AO222" s="9">
        <v>76.79</v>
      </c>
      <c r="AP222" s="9">
        <v>80</v>
      </c>
      <c r="AQ222" s="12">
        <v>1</v>
      </c>
      <c r="AR222" s="9">
        <v>70.94073</v>
      </c>
      <c r="AS222" s="9">
        <v>70.94</v>
      </c>
      <c r="AT222" s="9">
        <v>97</v>
      </c>
      <c r="AU222" s="9"/>
      <c r="AV222" s="9">
        <v>0</v>
      </c>
      <c r="AW222" s="9" t="s">
        <v>1271</v>
      </c>
      <c r="AX222" s="9">
        <v>46056</v>
      </c>
      <c r="AY222" s="9" t="s">
        <v>1273</v>
      </c>
      <c r="AZ222" s="9" t="s">
        <v>2538</v>
      </c>
      <c r="BA222" s="9">
        <v>44784</v>
      </c>
      <c r="BB222" s="9" t="s">
        <v>785</v>
      </c>
      <c r="BC222" s="9" t="s">
        <v>2539</v>
      </c>
      <c r="BD222" s="9" t="s">
        <v>1566</v>
      </c>
      <c r="BE222" s="13">
        <v>70.94073</v>
      </c>
      <c r="BF222" s="13">
        <v>70.94</v>
      </c>
      <c r="BG222" s="12">
        <v>1</v>
      </c>
      <c r="BH222" s="9">
        <v>70.94073</v>
      </c>
      <c r="BI222" s="9" t="s">
        <v>1567</v>
      </c>
    </row>
    <row r="223" ht="25" customHeight="1" spans="1:61">
      <c r="A223" s="9">
        <v>249</v>
      </c>
      <c r="B223" s="9" t="s">
        <v>2540</v>
      </c>
      <c r="C223" s="9" t="s">
        <v>2541</v>
      </c>
      <c r="D223" s="9" t="s">
        <v>489</v>
      </c>
      <c r="E223" s="10">
        <v>44770</v>
      </c>
      <c r="F223" s="9">
        <v>4.1123</v>
      </c>
      <c r="G223" s="9" t="s">
        <v>1561</v>
      </c>
      <c r="H223" s="9" t="s">
        <v>557</v>
      </c>
      <c r="I223" s="9">
        <v>90</v>
      </c>
      <c r="J223" s="9" t="s">
        <v>1562</v>
      </c>
      <c r="K223" s="9">
        <v>100</v>
      </c>
      <c r="L223" s="9">
        <v>100</v>
      </c>
      <c r="M223" s="11">
        <v>0.0273</v>
      </c>
      <c r="N223" s="11">
        <v>0.035</v>
      </c>
      <c r="O223" s="11"/>
      <c r="P223" s="11">
        <v>0.038871615937627</v>
      </c>
      <c r="Q223" s="9">
        <v>25.88</v>
      </c>
      <c r="R223" s="9">
        <v>21.9</v>
      </c>
      <c r="S223" s="9">
        <v>24.29</v>
      </c>
      <c r="T223" s="11">
        <v>0.7692</v>
      </c>
      <c r="U223" s="11">
        <v>0.7838</v>
      </c>
      <c r="V223" s="11">
        <v>0.791708333333334</v>
      </c>
      <c r="W223" s="9">
        <v>76.92</v>
      </c>
      <c r="X223" s="9">
        <v>79.1708333333334</v>
      </c>
      <c r="Y223" s="9">
        <v>77.82</v>
      </c>
      <c r="Z223" s="9">
        <v>0.008546473405754</v>
      </c>
      <c r="AA223" s="9">
        <v>0.0086</v>
      </c>
      <c r="AB223" s="9">
        <v>0.0086</v>
      </c>
      <c r="AC223" s="9">
        <v>86.22</v>
      </c>
      <c r="AD223" s="9">
        <v>3.1943</v>
      </c>
      <c r="AE223" s="9"/>
      <c r="AF223" s="9"/>
      <c r="AG223" s="9">
        <v>56.27</v>
      </c>
      <c r="AH223" s="9"/>
      <c r="AI223" s="9">
        <v>56.27</v>
      </c>
      <c r="AJ223" s="9">
        <v>0.035</v>
      </c>
      <c r="AK223" s="9">
        <v>80</v>
      </c>
      <c r="AL223" s="9">
        <v>96</v>
      </c>
      <c r="AM223" s="9">
        <v>40.35</v>
      </c>
      <c r="AN223" s="9">
        <v>86.22</v>
      </c>
      <c r="AO223" s="9">
        <v>56.27</v>
      </c>
      <c r="AP223" s="9">
        <v>80</v>
      </c>
      <c r="AQ223" s="12">
        <v>0.88</v>
      </c>
      <c r="AR223" s="9">
        <v>62.15314</v>
      </c>
      <c r="AS223" s="9">
        <v>70.63</v>
      </c>
      <c r="AT223" s="9">
        <v>100</v>
      </c>
      <c r="AU223" s="9" t="s">
        <v>1563</v>
      </c>
      <c r="AV223" s="9">
        <v>20</v>
      </c>
      <c r="AW223" s="9" t="s">
        <v>1430</v>
      </c>
      <c r="AX223" s="9">
        <v>46097</v>
      </c>
      <c r="AY223" s="9" t="s">
        <v>1433</v>
      </c>
      <c r="AZ223" s="9" t="s">
        <v>785</v>
      </c>
      <c r="BA223" s="9" t="s">
        <v>785</v>
      </c>
      <c r="BB223" s="9" t="s">
        <v>785</v>
      </c>
      <c r="BC223" s="9" t="s">
        <v>785</v>
      </c>
      <c r="BD223" s="9" t="s">
        <v>1898</v>
      </c>
      <c r="BE223" s="13"/>
      <c r="BF223" s="13">
        <v>70.63</v>
      </c>
      <c r="BG223" s="12">
        <v>0.88</v>
      </c>
      <c r="BH223" s="9">
        <v>62.15314</v>
      </c>
      <c r="BI223" s="9" t="s">
        <v>1567</v>
      </c>
    </row>
    <row r="224" ht="25" customHeight="1" spans="1:61">
      <c r="A224" s="9">
        <v>250</v>
      </c>
      <c r="B224" s="9" t="s">
        <v>2542</v>
      </c>
      <c r="C224" s="9" t="s">
        <v>2543</v>
      </c>
      <c r="D224" s="9" t="s">
        <v>2544</v>
      </c>
      <c r="E224" s="10">
        <v>44819</v>
      </c>
      <c r="F224" s="9">
        <v>3.9781</v>
      </c>
      <c r="G224" s="9" t="s">
        <v>1561</v>
      </c>
      <c r="H224" s="9" t="s">
        <v>542</v>
      </c>
      <c r="I224" s="9">
        <v>60</v>
      </c>
      <c r="J224" s="9" t="s">
        <v>1562</v>
      </c>
      <c r="K224" s="9">
        <v>100</v>
      </c>
      <c r="L224" s="9">
        <v>100</v>
      </c>
      <c r="M224" s="11">
        <v>0.9798</v>
      </c>
      <c r="N224" s="11">
        <v>0.4992</v>
      </c>
      <c r="O224" s="11"/>
      <c r="P224" s="11">
        <v>0.304603983760545</v>
      </c>
      <c r="Q224" s="9">
        <v>99.36</v>
      </c>
      <c r="R224" s="9">
        <v>98.1</v>
      </c>
      <c r="S224" s="9">
        <v>98.86</v>
      </c>
      <c r="T224" s="11">
        <v>0.6923</v>
      </c>
      <c r="U224" s="11">
        <v>0.5946</v>
      </c>
      <c r="V224" s="11">
        <v>0.541679166666667</v>
      </c>
      <c r="W224" s="9">
        <v>69.23</v>
      </c>
      <c r="X224" s="9">
        <v>54.1679166666667</v>
      </c>
      <c r="Y224" s="9">
        <v>63.21</v>
      </c>
      <c r="Z224" s="9">
        <v>0.193437574034589</v>
      </c>
      <c r="AA224" s="9">
        <v>0.3205</v>
      </c>
      <c r="AB224" s="9">
        <v>0.3205</v>
      </c>
      <c r="AC224" s="9">
        <v>3.53</v>
      </c>
      <c r="AD224" s="9">
        <v>5.0652</v>
      </c>
      <c r="AE224" s="9">
        <v>0.3205</v>
      </c>
      <c r="AF224" s="9">
        <v>0.950402445430717</v>
      </c>
      <c r="AG224" s="9">
        <v>65.27</v>
      </c>
      <c r="AH224" s="9">
        <v>36.88</v>
      </c>
      <c r="AI224" s="9">
        <v>53.91</v>
      </c>
      <c r="AJ224" s="9">
        <v>0.4992</v>
      </c>
      <c r="AK224" s="9">
        <v>100</v>
      </c>
      <c r="AL224" s="9">
        <v>84</v>
      </c>
      <c r="AM224" s="9">
        <v>88.16</v>
      </c>
      <c r="AN224" s="9">
        <v>3.53</v>
      </c>
      <c r="AO224" s="9">
        <v>53.91</v>
      </c>
      <c r="AP224" s="9">
        <v>100</v>
      </c>
      <c r="AQ224" s="12">
        <v>1</v>
      </c>
      <c r="AR224" s="9">
        <v>57.28885</v>
      </c>
      <c r="AS224" s="9">
        <v>57.29</v>
      </c>
      <c r="AT224" s="9">
        <v>175</v>
      </c>
      <c r="AU224" s="9"/>
      <c r="AV224" s="9">
        <v>0</v>
      </c>
      <c r="AW224" s="9" t="s">
        <v>2545</v>
      </c>
      <c r="AX224" s="9">
        <v>46063</v>
      </c>
      <c r="AY224" s="9" t="s">
        <v>2546</v>
      </c>
      <c r="AZ224" s="9" t="s">
        <v>2547</v>
      </c>
      <c r="BA224" s="9">
        <v>46223</v>
      </c>
      <c r="BB224" s="9" t="s">
        <v>785</v>
      </c>
      <c r="BC224" s="9" t="s">
        <v>2548</v>
      </c>
      <c r="BD224" s="9" t="s">
        <v>1566</v>
      </c>
      <c r="BE224" s="13">
        <v>57.28885</v>
      </c>
      <c r="BF224" s="13">
        <v>57.29</v>
      </c>
      <c r="BG224" s="12">
        <v>1</v>
      </c>
      <c r="BH224" s="9">
        <v>57.28885</v>
      </c>
      <c r="BI224" s="9" t="s">
        <v>1567</v>
      </c>
    </row>
    <row r="225" ht="25" customHeight="1" spans="1:61">
      <c r="A225" s="9">
        <v>251</v>
      </c>
      <c r="B225" s="9" t="s">
        <v>2549</v>
      </c>
      <c r="C225" s="9" t="s">
        <v>2550</v>
      </c>
      <c r="D225" s="9" t="s">
        <v>2170</v>
      </c>
      <c r="E225" s="10">
        <v>44830</v>
      </c>
      <c r="F225" s="9">
        <v>3.948</v>
      </c>
      <c r="G225" s="9" t="s">
        <v>1561</v>
      </c>
      <c r="H225" s="9" t="s">
        <v>546</v>
      </c>
      <c r="I225" s="9">
        <v>70</v>
      </c>
      <c r="J225" s="9" t="s">
        <v>1562</v>
      </c>
      <c r="K225" s="9">
        <v>100</v>
      </c>
      <c r="L225" s="9">
        <v>100</v>
      </c>
      <c r="M225" s="11">
        <v>0.4846</v>
      </c>
      <c r="N225" s="11">
        <v>0.2927</v>
      </c>
      <c r="O225" s="11"/>
      <c r="P225" s="11">
        <v>0.206262689744293</v>
      </c>
      <c r="Q225" s="9">
        <v>98.72</v>
      </c>
      <c r="R225" s="9">
        <v>91.43</v>
      </c>
      <c r="S225" s="9">
        <v>95.8</v>
      </c>
      <c r="T225" s="11">
        <v>0.6923</v>
      </c>
      <c r="U225" s="11">
        <v>0.7568</v>
      </c>
      <c r="V225" s="11">
        <v>0.7917375</v>
      </c>
      <c r="W225" s="9">
        <v>69.23</v>
      </c>
      <c r="X225" s="9">
        <v>79.17375</v>
      </c>
      <c r="Y225" s="9">
        <v>73.21</v>
      </c>
      <c r="Z225" s="9">
        <v>0.275419153168514</v>
      </c>
      <c r="AA225" s="9">
        <v>0.2754</v>
      </c>
      <c r="AB225" s="9">
        <v>0.275419153168514</v>
      </c>
      <c r="AC225" s="9">
        <v>6.09</v>
      </c>
      <c r="AD225" s="9">
        <v>1.7595</v>
      </c>
      <c r="AE225" s="9"/>
      <c r="AF225" s="9"/>
      <c r="AG225" s="9">
        <v>40.19</v>
      </c>
      <c r="AH225" s="9"/>
      <c r="AI225" s="9">
        <v>40.19</v>
      </c>
      <c r="AJ225" s="9">
        <v>0.2927</v>
      </c>
      <c r="AK225" s="9">
        <v>100</v>
      </c>
      <c r="AL225" s="9">
        <v>88</v>
      </c>
      <c r="AM225" s="9">
        <v>89.03</v>
      </c>
      <c r="AN225" s="9">
        <v>6.09</v>
      </c>
      <c r="AO225" s="9">
        <v>40.19</v>
      </c>
      <c r="AP225" s="9">
        <v>100</v>
      </c>
      <c r="AQ225" s="12">
        <v>0.88</v>
      </c>
      <c r="AR225" s="9">
        <v>49.76171</v>
      </c>
      <c r="AS225" s="9">
        <v>56.55</v>
      </c>
      <c r="AT225" s="9">
        <v>180</v>
      </c>
      <c r="AU225" s="9" t="s">
        <v>1563</v>
      </c>
      <c r="AV225" s="9">
        <v>5</v>
      </c>
      <c r="AW225" s="9" t="s">
        <v>2171</v>
      </c>
      <c r="AX225" s="9">
        <v>46149</v>
      </c>
      <c r="AY225" s="9" t="s">
        <v>2172</v>
      </c>
      <c r="AZ225" s="9" t="s">
        <v>2551</v>
      </c>
      <c r="BA225" s="9">
        <v>45541</v>
      </c>
      <c r="BB225" s="9" t="s">
        <v>785</v>
      </c>
      <c r="BC225" s="9" t="s">
        <v>2552</v>
      </c>
      <c r="BD225" s="9" t="s">
        <v>1566</v>
      </c>
      <c r="BE225" s="13"/>
      <c r="BF225" s="13">
        <v>56.55</v>
      </c>
      <c r="BG225" s="12">
        <v>0.88</v>
      </c>
      <c r="BH225" s="9">
        <v>49.76171</v>
      </c>
      <c r="BI225" s="9" t="s">
        <v>1567</v>
      </c>
    </row>
    <row r="226" ht="25" customHeight="1" spans="1:61">
      <c r="A226" s="9">
        <v>252</v>
      </c>
      <c r="B226" s="9" t="s">
        <v>2553</v>
      </c>
      <c r="C226" s="9" t="s">
        <v>2554</v>
      </c>
      <c r="D226" s="9" t="s">
        <v>2482</v>
      </c>
      <c r="E226" s="10">
        <v>44847</v>
      </c>
      <c r="F226" s="9">
        <v>3.9014</v>
      </c>
      <c r="G226" s="9" t="s">
        <v>1561</v>
      </c>
      <c r="H226" s="9" t="s">
        <v>557</v>
      </c>
      <c r="I226" s="9">
        <v>90</v>
      </c>
      <c r="J226" s="9" t="s">
        <v>1562</v>
      </c>
      <c r="K226" s="9">
        <v>100</v>
      </c>
      <c r="L226" s="9">
        <v>100</v>
      </c>
      <c r="M226" s="11">
        <v>0.0358</v>
      </c>
      <c r="N226" s="11">
        <v>0.0786</v>
      </c>
      <c r="O226" s="11"/>
      <c r="P226" s="11">
        <v>0.100658699572481</v>
      </c>
      <c r="Q226" s="9">
        <v>31.31</v>
      </c>
      <c r="R226" s="9">
        <v>70.48</v>
      </c>
      <c r="S226" s="9">
        <v>46.98</v>
      </c>
      <c r="T226" s="11">
        <v>0.4615</v>
      </c>
      <c r="U226" s="11">
        <v>0.7568</v>
      </c>
      <c r="V226" s="11">
        <v>0.916754166666667</v>
      </c>
      <c r="W226" s="9">
        <v>46.15</v>
      </c>
      <c r="X226" s="9">
        <v>91.6754166666667</v>
      </c>
      <c r="Y226" s="9">
        <v>64.36</v>
      </c>
      <c r="Z226" s="9">
        <v>0.0332682836167642</v>
      </c>
      <c r="AA226" s="9">
        <v>0.0413</v>
      </c>
      <c r="AB226" s="9">
        <v>0.0413</v>
      </c>
      <c r="AC226" s="9">
        <v>50.32</v>
      </c>
      <c r="AD226" s="9">
        <v>1.0761</v>
      </c>
      <c r="AE226" s="9">
        <v>0.0413</v>
      </c>
      <c r="AF226" s="9">
        <v>2.43725664824408</v>
      </c>
      <c r="AG226" s="9">
        <v>32.8</v>
      </c>
      <c r="AH226" s="9">
        <v>68.79</v>
      </c>
      <c r="AI226" s="9">
        <v>47.2</v>
      </c>
      <c r="AJ226" s="9">
        <v>0.0786</v>
      </c>
      <c r="AK226" s="9">
        <v>80</v>
      </c>
      <c r="AL226" s="9">
        <v>96</v>
      </c>
      <c r="AM226" s="9">
        <v>52.19</v>
      </c>
      <c r="AN226" s="9">
        <v>50.32</v>
      </c>
      <c r="AO226" s="9">
        <v>47.2</v>
      </c>
      <c r="AP226" s="9">
        <v>80</v>
      </c>
      <c r="AQ226" s="12">
        <v>1</v>
      </c>
      <c r="AR226" s="9">
        <v>59.57733</v>
      </c>
      <c r="AS226" s="9">
        <v>59.58</v>
      </c>
      <c r="AT226" s="9">
        <v>159</v>
      </c>
      <c r="AU226" s="9"/>
      <c r="AV226" s="9">
        <v>20</v>
      </c>
      <c r="AW226" s="9" t="s">
        <v>2483</v>
      </c>
      <c r="AX226" s="9">
        <v>46129</v>
      </c>
      <c r="AY226" s="9" t="s">
        <v>2484</v>
      </c>
      <c r="AZ226" s="9" t="s">
        <v>2555</v>
      </c>
      <c r="BA226" s="9">
        <v>46226</v>
      </c>
      <c r="BB226" s="9" t="s">
        <v>785</v>
      </c>
      <c r="BC226" s="9" t="s">
        <v>2556</v>
      </c>
      <c r="BD226" s="9" t="s">
        <v>1566</v>
      </c>
      <c r="BE226" s="13">
        <v>59.57733</v>
      </c>
      <c r="BF226" s="13">
        <v>59.58</v>
      </c>
      <c r="BG226" s="12">
        <v>1</v>
      </c>
      <c r="BH226" s="9">
        <v>59.57733</v>
      </c>
      <c r="BI226" s="9" t="s">
        <v>1567</v>
      </c>
    </row>
    <row r="227" ht="25" customHeight="1" spans="1:61">
      <c r="A227" s="9">
        <v>253</v>
      </c>
      <c r="B227" s="9" t="s">
        <v>2557</v>
      </c>
      <c r="C227" s="9" t="s">
        <v>2558</v>
      </c>
      <c r="D227" s="9" t="s">
        <v>2559</v>
      </c>
      <c r="E227" s="10">
        <v>44855</v>
      </c>
      <c r="F227" s="9">
        <v>3.8795</v>
      </c>
      <c r="G227" s="9" t="s">
        <v>1561</v>
      </c>
      <c r="H227" s="9" t="s">
        <v>546</v>
      </c>
      <c r="I227" s="9">
        <v>70</v>
      </c>
      <c r="J227" s="9" t="s">
        <v>1562</v>
      </c>
      <c r="K227" s="9">
        <v>100</v>
      </c>
      <c r="L227" s="9">
        <v>100</v>
      </c>
      <c r="M227" s="11">
        <v>0.0829</v>
      </c>
      <c r="N227" s="11">
        <v>0.0633</v>
      </c>
      <c r="O227" s="11"/>
      <c r="P227" s="11">
        <v>0.0536334357250758</v>
      </c>
      <c r="Q227" s="9">
        <v>63.26</v>
      </c>
      <c r="R227" s="9">
        <v>36.19</v>
      </c>
      <c r="S227" s="9">
        <v>52.43</v>
      </c>
      <c r="T227" s="11">
        <v>0.6923</v>
      </c>
      <c r="U227" s="11">
        <v>0.6389</v>
      </c>
      <c r="V227" s="11">
        <v>0.609975</v>
      </c>
      <c r="W227" s="9">
        <v>69.23</v>
      </c>
      <c r="X227" s="9">
        <v>60.9975</v>
      </c>
      <c r="Y227" s="9">
        <v>65.94</v>
      </c>
      <c r="Z227" s="9">
        <v>0.0288649025069638</v>
      </c>
      <c r="AA227" s="9">
        <v>0.0289</v>
      </c>
      <c r="AB227" s="9">
        <v>0.0289</v>
      </c>
      <c r="AC227" s="9">
        <v>59.94</v>
      </c>
      <c r="AD227" s="9">
        <v>2.872</v>
      </c>
      <c r="AE227" s="9"/>
      <c r="AF227" s="9"/>
      <c r="AG227" s="9">
        <v>53.38</v>
      </c>
      <c r="AH227" s="9"/>
      <c r="AI227" s="9">
        <v>53.38</v>
      </c>
      <c r="AJ227" s="9">
        <v>0.0633</v>
      </c>
      <c r="AK227" s="9">
        <v>100</v>
      </c>
      <c r="AL227" s="9">
        <v>88</v>
      </c>
      <c r="AM227" s="9">
        <v>56.48</v>
      </c>
      <c r="AN227" s="9">
        <v>59.94</v>
      </c>
      <c r="AO227" s="9">
        <v>53.38</v>
      </c>
      <c r="AP227" s="9">
        <v>100</v>
      </c>
      <c r="AQ227" s="12">
        <v>0.88</v>
      </c>
      <c r="AR227" s="9">
        <v>59.0901</v>
      </c>
      <c r="AS227" s="9">
        <v>67.15</v>
      </c>
      <c r="AT227" s="9">
        <v>120</v>
      </c>
      <c r="AU227" s="9" t="s">
        <v>1563</v>
      </c>
      <c r="AV227" s="9">
        <v>5</v>
      </c>
      <c r="AW227" s="9" t="s">
        <v>2560</v>
      </c>
      <c r="AX227" s="9">
        <v>46104</v>
      </c>
      <c r="AY227" s="9" t="s">
        <v>2561</v>
      </c>
      <c r="AZ227" s="9" t="s">
        <v>2562</v>
      </c>
      <c r="BA227" s="9">
        <v>45735</v>
      </c>
      <c r="BB227" s="9" t="s">
        <v>785</v>
      </c>
      <c r="BC227" s="9" t="s">
        <v>2563</v>
      </c>
      <c r="BD227" s="9" t="s">
        <v>1566</v>
      </c>
      <c r="BE227" s="13"/>
      <c r="BF227" s="13">
        <v>67.15</v>
      </c>
      <c r="BG227" s="12">
        <v>0.88</v>
      </c>
      <c r="BH227" s="9">
        <v>59.0901</v>
      </c>
      <c r="BI227" s="9" t="s">
        <v>1567</v>
      </c>
    </row>
    <row r="228" ht="25" customHeight="1" spans="1:61">
      <c r="A228" s="9">
        <v>254</v>
      </c>
      <c r="B228" s="9" t="s">
        <v>2564</v>
      </c>
      <c r="C228" s="9" t="s">
        <v>2565</v>
      </c>
      <c r="D228" s="9" t="s">
        <v>2566</v>
      </c>
      <c r="E228" s="10">
        <v>44860</v>
      </c>
      <c r="F228" s="9">
        <v>3.8658</v>
      </c>
      <c r="G228" s="9" t="s">
        <v>1561</v>
      </c>
      <c r="H228" s="9" t="s">
        <v>542</v>
      </c>
      <c r="I228" s="9">
        <v>60</v>
      </c>
      <c r="J228" s="9" t="s">
        <v>1562</v>
      </c>
      <c r="K228" s="9">
        <v>100</v>
      </c>
      <c r="L228" s="9">
        <v>100</v>
      </c>
      <c r="M228" s="11">
        <v>0.0355</v>
      </c>
      <c r="N228" s="11">
        <v>0.0663</v>
      </c>
      <c r="O228" s="11"/>
      <c r="P228" s="11">
        <v>0.0820418598320392</v>
      </c>
      <c r="Q228" s="9">
        <v>30.67</v>
      </c>
      <c r="R228" s="9">
        <v>62.38</v>
      </c>
      <c r="S228" s="9">
        <v>43.35</v>
      </c>
      <c r="T228" s="11">
        <v>0.6923</v>
      </c>
      <c r="U228" s="11">
        <v>0.7568</v>
      </c>
      <c r="V228" s="11">
        <v>0.7917375</v>
      </c>
      <c r="W228" s="9">
        <v>69.23</v>
      </c>
      <c r="X228" s="9">
        <v>79.17375</v>
      </c>
      <c r="Y228" s="9">
        <v>73.21</v>
      </c>
      <c r="Z228" s="9">
        <v>0.0617391304347826</v>
      </c>
      <c r="AA228" s="9">
        <v>0.109</v>
      </c>
      <c r="AB228" s="9">
        <v>0.109</v>
      </c>
      <c r="AC228" s="9">
        <v>24.36</v>
      </c>
      <c r="AD228" s="9">
        <v>0.575</v>
      </c>
      <c r="AE228" s="9">
        <v>0.109</v>
      </c>
      <c r="AF228" s="9">
        <v>0.752677613137974</v>
      </c>
      <c r="AG228" s="9">
        <v>24.76</v>
      </c>
      <c r="AH228" s="9">
        <v>24.82</v>
      </c>
      <c r="AI228" s="9">
        <v>24.78</v>
      </c>
      <c r="AJ228" s="9">
        <v>0.0663</v>
      </c>
      <c r="AK228" s="9">
        <v>80</v>
      </c>
      <c r="AL228" s="9">
        <v>84</v>
      </c>
      <c r="AM228" s="9">
        <v>52.31</v>
      </c>
      <c r="AN228" s="9">
        <v>24.36</v>
      </c>
      <c r="AO228" s="9">
        <v>24.78</v>
      </c>
      <c r="AP228" s="9">
        <v>80</v>
      </c>
      <c r="AQ228" s="12">
        <v>1</v>
      </c>
      <c r="AR228" s="9">
        <v>44.58721</v>
      </c>
      <c r="AS228" s="9">
        <v>44.59</v>
      </c>
      <c r="AT228" s="9">
        <v>249</v>
      </c>
      <c r="AU228" s="9"/>
      <c r="AV228" s="9">
        <v>0</v>
      </c>
      <c r="AW228" s="9" t="s">
        <v>2567</v>
      </c>
      <c r="AX228" s="9">
        <v>46224</v>
      </c>
      <c r="AY228" s="9" t="s">
        <v>2568</v>
      </c>
      <c r="AZ228" s="9" t="s">
        <v>2569</v>
      </c>
      <c r="BA228" s="9">
        <v>45695</v>
      </c>
      <c r="BB228" s="9" t="s">
        <v>785</v>
      </c>
      <c r="BC228" s="9" t="s">
        <v>2570</v>
      </c>
      <c r="BD228" s="9" t="s">
        <v>1566</v>
      </c>
      <c r="BE228" s="13">
        <v>44.58721</v>
      </c>
      <c r="BF228" s="13">
        <v>44.59</v>
      </c>
      <c r="BG228" s="12">
        <v>1</v>
      </c>
      <c r="BH228" s="9">
        <v>44.58721</v>
      </c>
      <c r="BI228" s="9" t="s">
        <v>1567</v>
      </c>
    </row>
    <row r="229" ht="25" customHeight="1" spans="1:61">
      <c r="A229" s="9">
        <v>255</v>
      </c>
      <c r="B229" s="9" t="s">
        <v>396</v>
      </c>
      <c r="C229" s="9" t="s">
        <v>397</v>
      </c>
      <c r="D229" s="9" t="s">
        <v>393</v>
      </c>
      <c r="E229" s="10">
        <v>44867</v>
      </c>
      <c r="F229" s="9">
        <v>3.8467</v>
      </c>
      <c r="G229" s="9" t="s">
        <v>1561</v>
      </c>
      <c r="H229" s="9" t="s">
        <v>551</v>
      </c>
      <c r="I229" s="9">
        <v>80</v>
      </c>
      <c r="J229" s="9" t="s">
        <v>1562</v>
      </c>
      <c r="K229" s="9">
        <v>100</v>
      </c>
      <c r="L229" s="9">
        <v>100</v>
      </c>
      <c r="M229" s="11">
        <v>0.0782</v>
      </c>
      <c r="N229" s="11">
        <v>0.0731</v>
      </c>
      <c r="O229" s="11"/>
      <c r="P229" s="11">
        <v>0.0705590534715728</v>
      </c>
      <c r="Q229" s="9">
        <v>59.58</v>
      </c>
      <c r="R229" s="9">
        <v>51.43</v>
      </c>
      <c r="S229" s="9">
        <v>56.32</v>
      </c>
      <c r="T229" s="11">
        <v>0.7692</v>
      </c>
      <c r="U229" s="11">
        <v>0.8056</v>
      </c>
      <c r="V229" s="11">
        <v>0.825316666666667</v>
      </c>
      <c r="W229" s="9">
        <v>76.92</v>
      </c>
      <c r="X229" s="9">
        <v>82.5316666666667</v>
      </c>
      <c r="Y229" s="9">
        <v>79.16</v>
      </c>
      <c r="Z229" s="9">
        <v>0.0169432768557438</v>
      </c>
      <c r="AA229" s="9">
        <v>0.0169</v>
      </c>
      <c r="AB229" s="9">
        <v>0.0169432768557438</v>
      </c>
      <c r="AC229" s="9">
        <v>74.04</v>
      </c>
      <c r="AD229" s="9">
        <v>4.6154</v>
      </c>
      <c r="AE229" s="9"/>
      <c r="AF229" s="9"/>
      <c r="AG229" s="9">
        <v>63.34</v>
      </c>
      <c r="AH229" s="9"/>
      <c r="AI229" s="9">
        <v>63.34</v>
      </c>
      <c r="AJ229" s="9">
        <v>0.0731</v>
      </c>
      <c r="AK229" s="9">
        <v>100</v>
      </c>
      <c r="AL229" s="9">
        <v>92</v>
      </c>
      <c r="AM229" s="9">
        <v>63.17</v>
      </c>
      <c r="AN229" s="9">
        <v>74.04</v>
      </c>
      <c r="AO229" s="9">
        <v>63.34</v>
      </c>
      <c r="AP229" s="9">
        <v>100</v>
      </c>
      <c r="AQ229" s="12">
        <v>0.88</v>
      </c>
      <c r="AR229" s="9">
        <v>66.34588</v>
      </c>
      <c r="AS229" s="9">
        <v>75.39</v>
      </c>
      <c r="AT229" s="9">
        <v>70</v>
      </c>
      <c r="AU229" s="9" t="s">
        <v>1563</v>
      </c>
      <c r="AV229" s="9">
        <v>10</v>
      </c>
      <c r="AW229" s="9" t="s">
        <v>1386</v>
      </c>
      <c r="AX229" s="9">
        <v>46202</v>
      </c>
      <c r="AY229" s="9" t="s">
        <v>1391</v>
      </c>
      <c r="AZ229" s="9" t="s">
        <v>2571</v>
      </c>
      <c r="BA229" s="9">
        <v>46031</v>
      </c>
      <c r="BB229" s="9" t="s">
        <v>785</v>
      </c>
      <c r="BC229" s="9" t="s">
        <v>953</v>
      </c>
      <c r="BD229" s="9" t="s">
        <v>1566</v>
      </c>
      <c r="BE229" s="13"/>
      <c r="BF229" s="13">
        <v>75.39</v>
      </c>
      <c r="BG229" s="12">
        <v>0.88</v>
      </c>
      <c r="BH229" s="9">
        <v>66.34588</v>
      </c>
      <c r="BI229" s="9" t="s">
        <v>1567</v>
      </c>
    </row>
    <row r="230" ht="25" customHeight="1" spans="1:61">
      <c r="A230" s="9">
        <v>256</v>
      </c>
      <c r="B230" s="9" t="s">
        <v>83</v>
      </c>
      <c r="C230" s="9" t="s">
        <v>84</v>
      </c>
      <c r="D230" s="9" t="s">
        <v>85</v>
      </c>
      <c r="E230" s="10">
        <v>44867</v>
      </c>
      <c r="F230" s="9">
        <v>3.8467</v>
      </c>
      <c r="G230" s="9" t="s">
        <v>1561</v>
      </c>
      <c r="H230" s="9" t="s">
        <v>542</v>
      </c>
      <c r="I230" s="9">
        <v>60</v>
      </c>
      <c r="J230" s="9" t="s">
        <v>1562</v>
      </c>
      <c r="K230" s="9">
        <v>100</v>
      </c>
      <c r="L230" s="9">
        <v>100</v>
      </c>
      <c r="M230" s="11">
        <v>0.2288</v>
      </c>
      <c r="N230" s="11">
        <v>0.1268</v>
      </c>
      <c r="O230" s="11"/>
      <c r="P230" s="11">
        <v>0.0790204014376883</v>
      </c>
      <c r="Q230" s="9">
        <v>91.05</v>
      </c>
      <c r="R230" s="9">
        <v>59.52</v>
      </c>
      <c r="S230" s="9">
        <v>78.44</v>
      </c>
      <c r="T230" s="11">
        <v>0.7692</v>
      </c>
      <c r="U230" s="11">
        <v>0.7297</v>
      </c>
      <c r="V230" s="11">
        <v>0.708304166666667</v>
      </c>
      <c r="W230" s="9">
        <v>76.92</v>
      </c>
      <c r="X230" s="9">
        <v>70.8304166666667</v>
      </c>
      <c r="Y230" s="9">
        <v>74.48</v>
      </c>
      <c r="Z230" s="9">
        <v>0.0409888928699391</v>
      </c>
      <c r="AA230" s="9">
        <v>0.041</v>
      </c>
      <c r="AB230" s="9">
        <v>0.041</v>
      </c>
      <c r="AC230" s="9">
        <v>51.28</v>
      </c>
      <c r="AD230" s="9">
        <v>5.582</v>
      </c>
      <c r="AE230" s="9"/>
      <c r="AF230" s="9"/>
      <c r="AG230" s="9">
        <v>66.88</v>
      </c>
      <c r="AH230" s="9"/>
      <c r="AI230" s="9">
        <v>66.88</v>
      </c>
      <c r="AJ230" s="9">
        <v>0.1268</v>
      </c>
      <c r="AK230" s="9">
        <v>100</v>
      </c>
      <c r="AL230" s="9">
        <v>84</v>
      </c>
      <c r="AM230" s="9">
        <v>77.25</v>
      </c>
      <c r="AN230" s="9">
        <v>51.28</v>
      </c>
      <c r="AO230" s="9">
        <v>66.88</v>
      </c>
      <c r="AP230" s="9">
        <v>100</v>
      </c>
      <c r="AQ230" s="12">
        <v>0.88</v>
      </c>
      <c r="AR230" s="9">
        <v>62.90877</v>
      </c>
      <c r="AS230" s="9">
        <v>71.49</v>
      </c>
      <c r="AT230" s="9">
        <v>95</v>
      </c>
      <c r="AU230" s="9" t="s">
        <v>1563</v>
      </c>
      <c r="AV230" s="9">
        <v>0</v>
      </c>
      <c r="AW230" s="9" t="s">
        <v>1256</v>
      </c>
      <c r="AX230" s="9">
        <v>46134</v>
      </c>
      <c r="AY230" s="9" t="s">
        <v>1258</v>
      </c>
      <c r="AZ230" s="9" t="s">
        <v>2572</v>
      </c>
      <c r="BA230" s="9">
        <v>44875</v>
      </c>
      <c r="BB230" s="9" t="s">
        <v>785</v>
      </c>
      <c r="BC230" s="9" t="s">
        <v>846</v>
      </c>
      <c r="BD230" s="9" t="s">
        <v>1566</v>
      </c>
      <c r="BE230" s="13"/>
      <c r="BF230" s="13">
        <v>71.49</v>
      </c>
      <c r="BG230" s="12">
        <v>0.88</v>
      </c>
      <c r="BH230" s="9">
        <v>62.90877</v>
      </c>
      <c r="BI230" s="9" t="s">
        <v>1567</v>
      </c>
    </row>
    <row r="231" ht="25" customHeight="1" spans="1:61">
      <c r="A231" s="9">
        <v>257</v>
      </c>
      <c r="B231" s="9" t="s">
        <v>2573</v>
      </c>
      <c r="C231" s="9" t="s">
        <v>2574</v>
      </c>
      <c r="D231" s="9" t="s">
        <v>489</v>
      </c>
      <c r="E231" s="10">
        <v>44145</v>
      </c>
      <c r="F231" s="9">
        <v>5.8234</v>
      </c>
      <c r="G231" s="9" t="s">
        <v>1561</v>
      </c>
      <c r="H231" s="9" t="s">
        <v>557</v>
      </c>
      <c r="I231" s="9">
        <v>90</v>
      </c>
      <c r="J231" s="9" t="s">
        <v>1562</v>
      </c>
      <c r="K231" s="9">
        <v>100</v>
      </c>
      <c r="L231" s="9">
        <v>100</v>
      </c>
      <c r="M231" s="11">
        <v>0.0383</v>
      </c>
      <c r="N231" s="11">
        <v>0.0414</v>
      </c>
      <c r="O231" s="11"/>
      <c r="P231" s="11">
        <v>0.0429534690925062</v>
      </c>
      <c r="Q231" s="9">
        <v>32.91</v>
      </c>
      <c r="R231" s="9">
        <v>28.57</v>
      </c>
      <c r="S231" s="9">
        <v>31.17</v>
      </c>
      <c r="T231" s="11">
        <v>0.6923</v>
      </c>
      <c r="U231" s="11">
        <v>0.8108</v>
      </c>
      <c r="V231" s="11">
        <v>0.8749875</v>
      </c>
      <c r="W231" s="9">
        <v>69.23</v>
      </c>
      <c r="X231" s="9">
        <v>87.49875</v>
      </c>
      <c r="Y231" s="9">
        <v>76.54</v>
      </c>
      <c r="Z231" s="9">
        <v>0.0137320282528414</v>
      </c>
      <c r="AA231" s="9">
        <v>0.0137</v>
      </c>
      <c r="AB231" s="9">
        <v>0.0137320282528414</v>
      </c>
      <c r="AC231" s="9">
        <v>79.17</v>
      </c>
      <c r="AD231" s="9">
        <v>2.7891</v>
      </c>
      <c r="AE231" s="9"/>
      <c r="AF231" s="9"/>
      <c r="AG231" s="9">
        <v>52.41</v>
      </c>
      <c r="AH231" s="9"/>
      <c r="AI231" s="9">
        <v>52.41</v>
      </c>
      <c r="AJ231" s="9">
        <v>0.0414</v>
      </c>
      <c r="AK231" s="9">
        <v>80</v>
      </c>
      <c r="AL231" s="9">
        <v>96</v>
      </c>
      <c r="AM231" s="9">
        <v>44.78</v>
      </c>
      <c r="AN231" s="9">
        <v>79.17</v>
      </c>
      <c r="AO231" s="9">
        <v>52.41</v>
      </c>
      <c r="AP231" s="9">
        <v>80</v>
      </c>
      <c r="AQ231" s="12">
        <v>0.88</v>
      </c>
      <c r="AR231" s="9">
        <v>60.58291</v>
      </c>
      <c r="AS231" s="9">
        <v>68.84</v>
      </c>
      <c r="AT231" s="9">
        <v>113</v>
      </c>
      <c r="AU231" s="9" t="s">
        <v>1563</v>
      </c>
      <c r="AV231" s="9">
        <v>20</v>
      </c>
      <c r="AW231" s="9" t="s">
        <v>1430</v>
      </c>
      <c r="AX231" s="9">
        <v>46097</v>
      </c>
      <c r="AY231" s="9" t="s">
        <v>1433</v>
      </c>
      <c r="AZ231" s="9" t="s">
        <v>785</v>
      </c>
      <c r="BA231" s="9" t="s">
        <v>785</v>
      </c>
      <c r="BB231" s="9" t="s">
        <v>785</v>
      </c>
      <c r="BC231" s="9" t="s">
        <v>785</v>
      </c>
      <c r="BD231" s="9" t="s">
        <v>1898</v>
      </c>
      <c r="BE231" s="13"/>
      <c r="BF231" s="13">
        <v>68.84</v>
      </c>
      <c r="BG231" s="12">
        <v>0.88</v>
      </c>
      <c r="BH231" s="9">
        <v>60.58291</v>
      </c>
      <c r="BI231" s="9" t="s">
        <v>1567</v>
      </c>
    </row>
    <row r="232" ht="25" customHeight="1" spans="1:61">
      <c r="A232" s="9">
        <v>258</v>
      </c>
      <c r="B232" s="9" t="s">
        <v>2575</v>
      </c>
      <c r="C232" s="9" t="s">
        <v>2576</v>
      </c>
      <c r="D232" s="9" t="s">
        <v>1596</v>
      </c>
      <c r="E232" s="10">
        <v>44865</v>
      </c>
      <c r="F232" s="9">
        <v>3.8522</v>
      </c>
      <c r="G232" s="9" t="s">
        <v>1561</v>
      </c>
      <c r="H232" s="9" t="s">
        <v>542</v>
      </c>
      <c r="I232" s="9">
        <v>60</v>
      </c>
      <c r="J232" s="9" t="s">
        <v>1562</v>
      </c>
      <c r="K232" s="9">
        <v>100</v>
      </c>
      <c r="L232" s="9">
        <v>100</v>
      </c>
      <c r="M232" s="11">
        <v>0.0473</v>
      </c>
      <c r="N232" s="11">
        <v>0.05</v>
      </c>
      <c r="O232" s="11"/>
      <c r="P232" s="11">
        <v>0.0513526091630925</v>
      </c>
      <c r="Q232" s="9">
        <v>40.73</v>
      </c>
      <c r="R232" s="9">
        <v>33.33</v>
      </c>
      <c r="S232" s="9">
        <v>37.77</v>
      </c>
      <c r="T232" s="11">
        <v>0.9231</v>
      </c>
      <c r="U232" s="11">
        <v>0.8919</v>
      </c>
      <c r="V232" s="11">
        <v>0.875</v>
      </c>
      <c r="W232" s="9">
        <v>92.31</v>
      </c>
      <c r="X232" s="9">
        <v>87.5</v>
      </c>
      <c r="Y232" s="9">
        <v>90.39</v>
      </c>
      <c r="Z232" s="9">
        <v>0.00196635986464127</v>
      </c>
      <c r="AA232" s="9">
        <v>0.0026</v>
      </c>
      <c r="AB232" s="9">
        <v>0.0026</v>
      </c>
      <c r="AC232" s="9">
        <v>98.72</v>
      </c>
      <c r="AD232" s="9">
        <v>24.0546</v>
      </c>
      <c r="AE232" s="9">
        <v>0.0026</v>
      </c>
      <c r="AF232" s="9">
        <v>19.7510035242663</v>
      </c>
      <c r="AG232" s="9">
        <v>93.25</v>
      </c>
      <c r="AH232" s="9">
        <v>96.45</v>
      </c>
      <c r="AI232" s="9">
        <v>94.53</v>
      </c>
      <c r="AJ232" s="9">
        <v>0.05</v>
      </c>
      <c r="AK232" s="9">
        <v>80</v>
      </c>
      <c r="AL232" s="9">
        <v>84</v>
      </c>
      <c r="AM232" s="9">
        <v>53.55</v>
      </c>
      <c r="AN232" s="9">
        <v>98.72</v>
      </c>
      <c r="AO232" s="9">
        <v>94.53</v>
      </c>
      <c r="AP232" s="9">
        <v>80</v>
      </c>
      <c r="AQ232" s="12">
        <v>1</v>
      </c>
      <c r="AR232" s="9">
        <v>84.34996</v>
      </c>
      <c r="AS232" s="9">
        <v>84.35</v>
      </c>
      <c r="AT232" s="9">
        <v>27</v>
      </c>
      <c r="AU232" s="9"/>
      <c r="AV232" s="9">
        <v>0</v>
      </c>
      <c r="AW232" s="9" t="s">
        <v>1597</v>
      </c>
      <c r="AX232" s="9">
        <v>46240</v>
      </c>
      <c r="AY232" s="9" t="s">
        <v>1598</v>
      </c>
      <c r="AZ232" s="9" t="s">
        <v>2577</v>
      </c>
      <c r="BA232" s="9">
        <v>46210</v>
      </c>
      <c r="BB232" s="9" t="s">
        <v>785</v>
      </c>
      <c r="BC232" s="9" t="s">
        <v>2578</v>
      </c>
      <c r="BD232" s="9" t="s">
        <v>1566</v>
      </c>
      <c r="BE232" s="13">
        <v>84.34996</v>
      </c>
      <c r="BF232" s="13">
        <v>84.35</v>
      </c>
      <c r="BG232" s="12">
        <v>1</v>
      </c>
      <c r="BH232" s="9">
        <v>84.34996</v>
      </c>
      <c r="BI232" s="9" t="s">
        <v>1567</v>
      </c>
    </row>
    <row r="233" ht="25" customHeight="1" spans="1:61">
      <c r="A233" s="9">
        <v>259</v>
      </c>
      <c r="B233" s="9" t="s">
        <v>2579</v>
      </c>
      <c r="C233" s="9" t="s">
        <v>2580</v>
      </c>
      <c r="D233" s="9" t="s">
        <v>2581</v>
      </c>
      <c r="E233" s="10">
        <v>44875</v>
      </c>
      <c r="F233" s="9">
        <v>3.8248</v>
      </c>
      <c r="G233" s="9" t="s">
        <v>1561</v>
      </c>
      <c r="H233" s="9" t="s">
        <v>546</v>
      </c>
      <c r="I233" s="9">
        <v>70</v>
      </c>
      <c r="J233" s="9" t="s">
        <v>1562</v>
      </c>
      <c r="K233" s="9">
        <v>100</v>
      </c>
      <c r="L233" s="9">
        <v>100</v>
      </c>
      <c r="M233" s="11">
        <v>-0.0968</v>
      </c>
      <c r="N233" s="11">
        <v>-0.03</v>
      </c>
      <c r="O233" s="11"/>
      <c r="P233" s="11">
        <v>0.00523045315509552</v>
      </c>
      <c r="Q233" s="9">
        <v>3.51</v>
      </c>
      <c r="R233" s="9">
        <v>5.24</v>
      </c>
      <c r="S233" s="9">
        <v>4.2</v>
      </c>
      <c r="T233" s="11">
        <v>0.3846</v>
      </c>
      <c r="U233" s="11">
        <v>0.4595</v>
      </c>
      <c r="V233" s="11">
        <v>0.500070833333333</v>
      </c>
      <c r="W233" s="9">
        <v>38.46</v>
      </c>
      <c r="X233" s="9">
        <v>50.0070833333333</v>
      </c>
      <c r="Y233" s="9">
        <v>43.08</v>
      </c>
      <c r="Z233" s="9">
        <v>0.130863863728539</v>
      </c>
      <c r="AA233" s="9">
        <v>0.1468</v>
      </c>
      <c r="AB233" s="9">
        <v>0.1468</v>
      </c>
      <c r="AC233" s="9">
        <v>15.71</v>
      </c>
      <c r="AD233" s="9">
        <v>-0.7397</v>
      </c>
      <c r="AE233" s="9">
        <v>0.1468</v>
      </c>
      <c r="AF233" s="9">
        <v>0.0356297898848468</v>
      </c>
      <c r="AG233" s="9">
        <v>2.89</v>
      </c>
      <c r="AH233" s="9">
        <v>5.67</v>
      </c>
      <c r="AI233" s="9">
        <v>4</v>
      </c>
      <c r="AJ233" s="9">
        <v>-0.03</v>
      </c>
      <c r="AK233" s="9">
        <v>80</v>
      </c>
      <c r="AL233" s="9">
        <v>88</v>
      </c>
      <c r="AM233" s="9">
        <v>15.87</v>
      </c>
      <c r="AN233" s="9">
        <v>15.71</v>
      </c>
      <c r="AO233" s="9">
        <v>4</v>
      </c>
      <c r="AP233" s="9">
        <v>80</v>
      </c>
      <c r="AQ233" s="12">
        <v>1</v>
      </c>
      <c r="AR233" s="9">
        <v>29.50111</v>
      </c>
      <c r="AS233" s="9">
        <v>29.5</v>
      </c>
      <c r="AT233" s="9">
        <v>299</v>
      </c>
      <c r="AU233" s="9"/>
      <c r="AV233" s="9">
        <v>5</v>
      </c>
      <c r="AW233" s="9" t="s">
        <v>2582</v>
      </c>
      <c r="AX233" s="9">
        <v>46154</v>
      </c>
      <c r="AY233" s="9" t="s">
        <v>2583</v>
      </c>
      <c r="AZ233" s="9" t="s">
        <v>2584</v>
      </c>
      <c r="BA233" s="9">
        <v>46225</v>
      </c>
      <c r="BB233" s="9" t="s">
        <v>785</v>
      </c>
      <c r="BC233" s="9" t="s">
        <v>2585</v>
      </c>
      <c r="BD233" s="9" t="s">
        <v>1566</v>
      </c>
      <c r="BE233" s="13">
        <v>29.50111</v>
      </c>
      <c r="BF233" s="13">
        <v>29.5</v>
      </c>
      <c r="BG233" s="12">
        <v>1</v>
      </c>
      <c r="BH233" s="9">
        <v>29.50111</v>
      </c>
      <c r="BI233" s="9" t="s">
        <v>1567</v>
      </c>
    </row>
    <row r="234" ht="25" customHeight="1" spans="1:61">
      <c r="A234" s="9">
        <v>260</v>
      </c>
      <c r="B234" s="9" t="s">
        <v>400</v>
      </c>
      <c r="C234" s="9" t="s">
        <v>401</v>
      </c>
      <c r="D234" s="9" t="s">
        <v>393</v>
      </c>
      <c r="E234" s="10">
        <v>44894</v>
      </c>
      <c r="F234" s="9">
        <v>3.7728</v>
      </c>
      <c r="G234" s="9" t="s">
        <v>1561</v>
      </c>
      <c r="H234" s="9" t="s">
        <v>551</v>
      </c>
      <c r="I234" s="9">
        <v>80</v>
      </c>
      <c r="J234" s="9" t="s">
        <v>1562</v>
      </c>
      <c r="K234" s="9">
        <v>100</v>
      </c>
      <c r="L234" s="9">
        <v>100</v>
      </c>
      <c r="M234" s="11">
        <v>0.0733</v>
      </c>
      <c r="N234" s="11">
        <v>0.0844</v>
      </c>
      <c r="O234" s="11"/>
      <c r="P234" s="11">
        <v>0.0899929743947643</v>
      </c>
      <c r="Q234" s="9">
        <v>56.55</v>
      </c>
      <c r="R234" s="9">
        <v>65.71</v>
      </c>
      <c r="S234" s="9">
        <v>60.21</v>
      </c>
      <c r="T234" s="11">
        <v>0.8462</v>
      </c>
      <c r="U234" s="11">
        <v>0.8333</v>
      </c>
      <c r="V234" s="11">
        <v>0.8263125</v>
      </c>
      <c r="W234" s="9">
        <v>84.62</v>
      </c>
      <c r="X234" s="9">
        <v>82.63125</v>
      </c>
      <c r="Y234" s="9">
        <v>83.82</v>
      </c>
      <c r="Z234" s="9">
        <v>0.00786193877769912</v>
      </c>
      <c r="AA234" s="9">
        <v>0.0079</v>
      </c>
      <c r="AB234" s="9">
        <v>0.0079</v>
      </c>
      <c r="AC234" s="9">
        <v>87.18</v>
      </c>
      <c r="AD234" s="9">
        <v>9.3234</v>
      </c>
      <c r="AE234" s="9"/>
      <c r="AF234" s="9"/>
      <c r="AG234" s="9">
        <v>78.14</v>
      </c>
      <c r="AH234" s="9"/>
      <c r="AI234" s="9">
        <v>78.14</v>
      </c>
      <c r="AJ234" s="9">
        <v>0.0844</v>
      </c>
      <c r="AK234" s="9">
        <v>80</v>
      </c>
      <c r="AL234" s="9">
        <v>92</v>
      </c>
      <c r="AM234" s="9">
        <v>67.3</v>
      </c>
      <c r="AN234" s="9">
        <v>87.18</v>
      </c>
      <c r="AO234" s="9">
        <v>78.14</v>
      </c>
      <c r="AP234" s="9">
        <v>80</v>
      </c>
      <c r="AQ234" s="12">
        <v>0.88</v>
      </c>
      <c r="AR234" s="9">
        <v>71.11963</v>
      </c>
      <c r="AS234" s="9">
        <v>80.82</v>
      </c>
      <c r="AT234" s="9">
        <v>46</v>
      </c>
      <c r="AU234" s="9" t="s">
        <v>1563</v>
      </c>
      <c r="AV234" s="9">
        <v>10</v>
      </c>
      <c r="AW234" s="9" t="s">
        <v>1386</v>
      </c>
      <c r="AX234" s="9">
        <v>46202</v>
      </c>
      <c r="AY234" s="9" t="s">
        <v>1391</v>
      </c>
      <c r="AZ234" s="9" t="s">
        <v>2586</v>
      </c>
      <c r="BA234" s="9">
        <v>45855</v>
      </c>
      <c r="BB234" s="9" t="s">
        <v>785</v>
      </c>
      <c r="BC234" s="9" t="s">
        <v>955</v>
      </c>
      <c r="BD234" s="9" t="s">
        <v>1566</v>
      </c>
      <c r="BE234" s="13"/>
      <c r="BF234" s="13">
        <v>80.82</v>
      </c>
      <c r="BG234" s="12">
        <v>0.88</v>
      </c>
      <c r="BH234" s="9">
        <v>71.11963</v>
      </c>
      <c r="BI234" s="9" t="s">
        <v>1567</v>
      </c>
    </row>
    <row r="235" ht="25" customHeight="1" spans="1:61">
      <c r="A235" s="9">
        <v>261</v>
      </c>
      <c r="B235" s="9" t="s">
        <v>2587</v>
      </c>
      <c r="C235" s="9" t="s">
        <v>2588</v>
      </c>
      <c r="D235" s="9" t="s">
        <v>344</v>
      </c>
      <c r="E235" s="10">
        <v>44893</v>
      </c>
      <c r="F235" s="9">
        <v>3.7755</v>
      </c>
      <c r="G235" s="9" t="s">
        <v>1561</v>
      </c>
      <c r="H235" s="9" t="s">
        <v>557</v>
      </c>
      <c r="I235" s="9">
        <v>90</v>
      </c>
      <c r="J235" s="9" t="s">
        <v>1562</v>
      </c>
      <c r="K235" s="9">
        <v>100</v>
      </c>
      <c r="L235" s="9">
        <v>100</v>
      </c>
      <c r="M235" s="11">
        <v>0.0342</v>
      </c>
      <c r="N235" s="11">
        <v>0.0868</v>
      </c>
      <c r="O235" s="11"/>
      <c r="P235" s="11">
        <v>0.114094878808199</v>
      </c>
      <c r="Q235" s="9">
        <v>29.71</v>
      </c>
      <c r="R235" s="9">
        <v>74.76</v>
      </c>
      <c r="S235" s="9">
        <v>47.73</v>
      </c>
      <c r="T235" s="11">
        <v>0.5385</v>
      </c>
      <c r="U235" s="11">
        <v>0.7027</v>
      </c>
      <c r="V235" s="11">
        <v>0.791641666666667</v>
      </c>
      <c r="W235" s="9">
        <v>53.85</v>
      </c>
      <c r="X235" s="9">
        <v>79.1641666666667</v>
      </c>
      <c r="Y235" s="9">
        <v>63.98</v>
      </c>
      <c r="Z235" s="9">
        <v>0.0492369709185143</v>
      </c>
      <c r="AA235" s="9">
        <v>0.0492</v>
      </c>
      <c r="AB235" s="9">
        <v>0.0492369709185143</v>
      </c>
      <c r="AC235" s="9">
        <v>44.87</v>
      </c>
      <c r="AD235" s="9">
        <v>0.6946</v>
      </c>
      <c r="AE235" s="9"/>
      <c r="AF235" s="9"/>
      <c r="AG235" s="9">
        <v>26.69</v>
      </c>
      <c r="AH235" s="9"/>
      <c r="AI235" s="9">
        <v>26.69</v>
      </c>
      <c r="AJ235" s="9">
        <v>0.0868</v>
      </c>
      <c r="AK235" s="9">
        <v>80</v>
      </c>
      <c r="AL235" s="9">
        <v>96</v>
      </c>
      <c r="AM235" s="9">
        <v>52.6</v>
      </c>
      <c r="AN235" s="9">
        <v>44.87</v>
      </c>
      <c r="AO235" s="9">
        <v>26.69</v>
      </c>
      <c r="AP235" s="9">
        <v>80</v>
      </c>
      <c r="AQ235" s="12">
        <v>0.88</v>
      </c>
      <c r="AR235" s="9">
        <v>48.94244</v>
      </c>
      <c r="AS235" s="9">
        <v>55.62</v>
      </c>
      <c r="AT235" s="9">
        <v>182</v>
      </c>
      <c r="AU235" s="9" t="s">
        <v>1563</v>
      </c>
      <c r="AV235" s="9">
        <v>20</v>
      </c>
      <c r="AW235" s="9" t="s">
        <v>1365</v>
      </c>
      <c r="AX235" s="9">
        <v>46156</v>
      </c>
      <c r="AY235" s="9" t="s">
        <v>1367</v>
      </c>
      <c r="AZ235" s="9" t="s">
        <v>2589</v>
      </c>
      <c r="BA235" s="9">
        <v>45722</v>
      </c>
      <c r="BB235" s="9" t="s">
        <v>785</v>
      </c>
      <c r="BC235" s="9" t="s">
        <v>2590</v>
      </c>
      <c r="BD235" s="9" t="s">
        <v>1566</v>
      </c>
      <c r="BE235" s="13"/>
      <c r="BF235" s="13">
        <v>55.62</v>
      </c>
      <c r="BG235" s="12">
        <v>0.88</v>
      </c>
      <c r="BH235" s="9">
        <v>48.94244</v>
      </c>
      <c r="BI235" s="9" t="s">
        <v>1567</v>
      </c>
    </row>
    <row r="236" ht="25" customHeight="1" spans="1:61">
      <c r="A236" s="9">
        <v>262</v>
      </c>
      <c r="B236" s="9" t="s">
        <v>2591</v>
      </c>
      <c r="C236" s="9" t="s">
        <v>2592</v>
      </c>
      <c r="D236" s="9" t="s">
        <v>2593</v>
      </c>
      <c r="E236" s="10">
        <v>44896</v>
      </c>
      <c r="F236" s="9">
        <v>3.7673</v>
      </c>
      <c r="G236" s="9" t="s">
        <v>1561</v>
      </c>
      <c r="H236" s="9" t="s">
        <v>546</v>
      </c>
      <c r="I236" s="9">
        <v>70</v>
      </c>
      <c r="J236" s="9" t="s">
        <v>1562</v>
      </c>
      <c r="K236" s="9">
        <v>100</v>
      </c>
      <c r="L236" s="9">
        <v>100</v>
      </c>
      <c r="M236" s="11">
        <v>-0.0122</v>
      </c>
      <c r="N236" s="11">
        <v>0.0764</v>
      </c>
      <c r="O236" s="11"/>
      <c r="P236" s="11">
        <v>0.12363697715609</v>
      </c>
      <c r="Q236" s="9">
        <v>12.3</v>
      </c>
      <c r="R236" s="9">
        <v>77.62</v>
      </c>
      <c r="S236" s="9">
        <v>38.43</v>
      </c>
      <c r="T236" s="11">
        <v>0.8462</v>
      </c>
      <c r="U236" s="11">
        <v>0.8611</v>
      </c>
      <c r="V236" s="11">
        <v>0.869170833333333</v>
      </c>
      <c r="W236" s="9">
        <v>84.62</v>
      </c>
      <c r="X236" s="9">
        <v>86.9170833333333</v>
      </c>
      <c r="Y236" s="9">
        <v>85.54</v>
      </c>
      <c r="Z236" s="9">
        <v>0.1</v>
      </c>
      <c r="AA236" s="9">
        <v>0.1</v>
      </c>
      <c r="AB236" s="9">
        <v>0.1</v>
      </c>
      <c r="AC236" s="9">
        <v>25.96</v>
      </c>
      <c r="AD236" s="9">
        <v>-0.122</v>
      </c>
      <c r="AE236" s="9"/>
      <c r="AF236" s="9"/>
      <c r="AG236" s="9">
        <v>12.54</v>
      </c>
      <c r="AH236" s="9"/>
      <c r="AI236" s="9">
        <v>12.54</v>
      </c>
      <c r="AJ236" s="9">
        <v>0.0764</v>
      </c>
      <c r="AK236" s="9">
        <v>80</v>
      </c>
      <c r="AL236" s="9">
        <v>88</v>
      </c>
      <c r="AM236" s="9">
        <v>52.56</v>
      </c>
      <c r="AN236" s="9">
        <v>25.96</v>
      </c>
      <c r="AO236" s="9">
        <v>12.54</v>
      </c>
      <c r="AP236" s="9">
        <v>80</v>
      </c>
      <c r="AQ236" s="12">
        <v>0.88</v>
      </c>
      <c r="AR236" s="9">
        <v>40.45945</v>
      </c>
      <c r="AS236" s="9">
        <v>45.98</v>
      </c>
      <c r="AT236" s="9">
        <v>240</v>
      </c>
      <c r="AU236" s="9" t="s">
        <v>1563</v>
      </c>
      <c r="AV236" s="9">
        <v>5</v>
      </c>
      <c r="AW236" s="9" t="s">
        <v>2594</v>
      </c>
      <c r="AX236" s="9">
        <v>46224</v>
      </c>
      <c r="AY236" s="9" t="s">
        <v>2595</v>
      </c>
      <c r="AZ236" s="9" t="s">
        <v>2596</v>
      </c>
      <c r="BA236" s="9">
        <v>44902</v>
      </c>
      <c r="BB236" s="9" t="s">
        <v>785</v>
      </c>
      <c r="BC236" s="9" t="s">
        <v>2597</v>
      </c>
      <c r="BD236" s="9" t="s">
        <v>1566</v>
      </c>
      <c r="BE236" s="13"/>
      <c r="BF236" s="13">
        <v>45.98</v>
      </c>
      <c r="BG236" s="12">
        <v>0.88</v>
      </c>
      <c r="BH236" s="9">
        <v>40.45945</v>
      </c>
      <c r="BI236" s="9" t="s">
        <v>1567</v>
      </c>
    </row>
    <row r="237" ht="25" customHeight="1" spans="1:61">
      <c r="A237" s="9">
        <v>263</v>
      </c>
      <c r="B237" s="9" t="s">
        <v>2598</v>
      </c>
      <c r="C237" s="9" t="s">
        <v>2599</v>
      </c>
      <c r="D237" s="9" t="s">
        <v>2170</v>
      </c>
      <c r="E237" s="10">
        <v>44907</v>
      </c>
      <c r="F237" s="9">
        <v>3.7372</v>
      </c>
      <c r="G237" s="9" t="s">
        <v>1561</v>
      </c>
      <c r="H237" s="9" t="s">
        <v>546</v>
      </c>
      <c r="I237" s="9">
        <v>70</v>
      </c>
      <c r="J237" s="9" t="s">
        <v>1562</v>
      </c>
      <c r="K237" s="9">
        <v>100</v>
      </c>
      <c r="L237" s="9">
        <v>100</v>
      </c>
      <c r="M237" s="11">
        <v>-0.1299</v>
      </c>
      <c r="N237" s="11">
        <v>0.0874</v>
      </c>
      <c r="O237" s="11"/>
      <c r="P237" s="11">
        <v>0.215624400058735</v>
      </c>
      <c r="Q237" s="9">
        <v>1.76</v>
      </c>
      <c r="R237" s="9">
        <v>92.14</v>
      </c>
      <c r="S237" s="9">
        <v>37.91</v>
      </c>
      <c r="T237" s="11">
        <v>0.6154</v>
      </c>
      <c r="U237" s="11">
        <v>0.7297</v>
      </c>
      <c r="V237" s="11">
        <v>0.7916125</v>
      </c>
      <c r="W237" s="9">
        <v>61.54</v>
      </c>
      <c r="X237" s="9">
        <v>79.16125</v>
      </c>
      <c r="Y237" s="9">
        <v>68.59</v>
      </c>
      <c r="Z237" s="9">
        <v>0.323536737235367</v>
      </c>
      <c r="AA237" s="9">
        <v>0.3236</v>
      </c>
      <c r="AB237" s="9">
        <v>0.3236</v>
      </c>
      <c r="AC237" s="9">
        <v>3.04</v>
      </c>
      <c r="AD237" s="9">
        <v>-0.4015</v>
      </c>
      <c r="AE237" s="9"/>
      <c r="AF237" s="9"/>
      <c r="AG237" s="9">
        <v>8.52</v>
      </c>
      <c r="AH237" s="9"/>
      <c r="AI237" s="9">
        <v>8.52</v>
      </c>
      <c r="AJ237" s="9">
        <v>0.0874</v>
      </c>
      <c r="AK237" s="9">
        <v>60</v>
      </c>
      <c r="AL237" s="9">
        <v>88</v>
      </c>
      <c r="AM237" s="9">
        <v>47.11</v>
      </c>
      <c r="AN237" s="9">
        <v>3.04</v>
      </c>
      <c r="AO237" s="9">
        <v>8.52</v>
      </c>
      <c r="AP237" s="9">
        <v>60</v>
      </c>
      <c r="AQ237" s="12">
        <v>0.88</v>
      </c>
      <c r="AR237" s="9">
        <v>30.91659</v>
      </c>
      <c r="AS237" s="9">
        <v>35.13</v>
      </c>
      <c r="AT237" s="9">
        <v>284</v>
      </c>
      <c r="AU237" s="9" t="s">
        <v>1563</v>
      </c>
      <c r="AV237" s="9">
        <v>5</v>
      </c>
      <c r="AW237" s="9" t="s">
        <v>2171</v>
      </c>
      <c r="AX237" s="9">
        <v>46149</v>
      </c>
      <c r="AY237" s="9" t="s">
        <v>2172</v>
      </c>
      <c r="AZ237" s="9" t="s">
        <v>2600</v>
      </c>
      <c r="BA237" s="9">
        <v>44918</v>
      </c>
      <c r="BB237" s="9" t="s">
        <v>785</v>
      </c>
      <c r="BC237" s="9" t="s">
        <v>2601</v>
      </c>
      <c r="BD237" s="9" t="s">
        <v>1566</v>
      </c>
      <c r="BE237" s="13"/>
      <c r="BF237" s="13">
        <v>35.13</v>
      </c>
      <c r="BG237" s="12">
        <v>0.88</v>
      </c>
      <c r="BH237" s="9">
        <v>30.91659</v>
      </c>
      <c r="BI237" s="9" t="s">
        <v>1567</v>
      </c>
    </row>
    <row r="238" ht="25" customHeight="1" spans="1:61">
      <c r="A238" s="9">
        <v>265</v>
      </c>
      <c r="B238" s="9" t="s">
        <v>2602</v>
      </c>
      <c r="C238" s="9" t="s">
        <v>2603</v>
      </c>
      <c r="D238" s="9" t="s">
        <v>2604</v>
      </c>
      <c r="E238" s="10">
        <v>44930</v>
      </c>
      <c r="F238" s="9">
        <v>3.6742</v>
      </c>
      <c r="G238" s="9" t="s">
        <v>1561</v>
      </c>
      <c r="H238" s="9" t="s">
        <v>542</v>
      </c>
      <c r="I238" s="9">
        <v>60</v>
      </c>
      <c r="J238" s="9" t="s">
        <v>1562</v>
      </c>
      <c r="K238" s="9">
        <v>100</v>
      </c>
      <c r="L238" s="9">
        <v>100</v>
      </c>
      <c r="M238" s="11">
        <v>0.203</v>
      </c>
      <c r="N238" s="11">
        <v>0.1068</v>
      </c>
      <c r="O238" s="11"/>
      <c r="P238" s="11">
        <v>0.0616244498465797</v>
      </c>
      <c r="Q238" s="9">
        <v>88.82</v>
      </c>
      <c r="R238" s="9">
        <v>46.19</v>
      </c>
      <c r="S238" s="9">
        <v>71.77</v>
      </c>
      <c r="T238" s="11">
        <v>0.7692</v>
      </c>
      <c r="U238" s="11">
        <v>0.7297</v>
      </c>
      <c r="V238" s="11">
        <v>0.708304166666667</v>
      </c>
      <c r="W238" s="9">
        <v>76.92</v>
      </c>
      <c r="X238" s="9">
        <v>70.8304166666667</v>
      </c>
      <c r="Y238" s="9">
        <v>74.48</v>
      </c>
      <c r="Z238" s="9">
        <v>0.0218686373576653</v>
      </c>
      <c r="AA238" s="9">
        <v>0.0559</v>
      </c>
      <c r="AB238" s="9">
        <v>0.0559</v>
      </c>
      <c r="AC238" s="9">
        <v>41.03</v>
      </c>
      <c r="AD238" s="9">
        <v>9.2827</v>
      </c>
      <c r="AE238" s="9">
        <v>0.0559</v>
      </c>
      <c r="AF238" s="9">
        <v>1.10240518509087</v>
      </c>
      <c r="AG238" s="9">
        <v>77.81</v>
      </c>
      <c r="AH238" s="9">
        <v>41.13</v>
      </c>
      <c r="AI238" s="9">
        <v>63.14</v>
      </c>
      <c r="AJ238" s="9">
        <v>0.1068</v>
      </c>
      <c r="AK238" s="9">
        <v>100</v>
      </c>
      <c r="AL238" s="9">
        <v>84</v>
      </c>
      <c r="AM238" s="9">
        <v>72.58</v>
      </c>
      <c r="AN238" s="9">
        <v>41.03</v>
      </c>
      <c r="AO238" s="9">
        <v>63.14</v>
      </c>
      <c r="AP238" s="9">
        <v>100</v>
      </c>
      <c r="AQ238" s="12">
        <v>1</v>
      </c>
      <c r="AR238" s="9">
        <v>66.31547</v>
      </c>
      <c r="AS238" s="9">
        <v>66.32</v>
      </c>
      <c r="AT238" s="9">
        <v>125</v>
      </c>
      <c r="AU238" s="9"/>
      <c r="AV238" s="9">
        <v>0</v>
      </c>
      <c r="AW238" s="9" t="s">
        <v>2605</v>
      </c>
      <c r="AX238" s="9">
        <v>46036</v>
      </c>
      <c r="AY238" s="9" t="s">
        <v>2606</v>
      </c>
      <c r="AZ238" s="9" t="s">
        <v>2607</v>
      </c>
      <c r="BA238" s="9">
        <v>46262</v>
      </c>
      <c r="BB238" s="9" t="s">
        <v>785</v>
      </c>
      <c r="BC238" s="9" t="s">
        <v>2608</v>
      </c>
      <c r="BD238" s="9" t="s">
        <v>1566</v>
      </c>
      <c r="BE238" s="13">
        <v>66.31547</v>
      </c>
      <c r="BF238" s="13">
        <v>66.32</v>
      </c>
      <c r="BG238" s="12">
        <v>1</v>
      </c>
      <c r="BH238" s="9">
        <v>66.31547</v>
      </c>
      <c r="BI238" s="9" t="s">
        <v>1567</v>
      </c>
    </row>
    <row r="239" ht="25" customHeight="1" spans="1:61">
      <c r="A239" s="9">
        <v>266</v>
      </c>
      <c r="B239" s="9" t="s">
        <v>2609</v>
      </c>
      <c r="C239" s="9" t="s">
        <v>2610</v>
      </c>
      <c r="D239" s="9" t="s">
        <v>393</v>
      </c>
      <c r="E239" s="10">
        <v>44917</v>
      </c>
      <c r="F239" s="9">
        <v>3.7098</v>
      </c>
      <c r="G239" s="9" t="s">
        <v>1561</v>
      </c>
      <c r="H239" s="9" t="s">
        <v>551</v>
      </c>
      <c r="I239" s="9">
        <v>80</v>
      </c>
      <c r="J239" s="9" t="s">
        <v>1562</v>
      </c>
      <c r="K239" s="9">
        <v>100</v>
      </c>
      <c r="L239" s="9">
        <v>100</v>
      </c>
      <c r="M239" s="11">
        <v>0.2507</v>
      </c>
      <c r="N239" s="11">
        <v>0.2604</v>
      </c>
      <c r="O239" s="11"/>
      <c r="P239" s="11">
        <v>0.265278174841308</v>
      </c>
      <c r="Q239" s="9">
        <v>92.97</v>
      </c>
      <c r="R239" s="9">
        <v>96.67</v>
      </c>
      <c r="S239" s="9">
        <v>94.45</v>
      </c>
      <c r="T239" s="11">
        <v>0.6923</v>
      </c>
      <c r="U239" s="11">
        <v>0.6667</v>
      </c>
      <c r="V239" s="11">
        <v>0.652833333333333</v>
      </c>
      <c r="W239" s="9">
        <v>69.23</v>
      </c>
      <c r="X239" s="9">
        <v>65.2833333333333</v>
      </c>
      <c r="Y239" s="9">
        <v>67.65</v>
      </c>
      <c r="Z239" s="9">
        <v>0.074029233722132</v>
      </c>
      <c r="AA239" s="9">
        <v>0.2059</v>
      </c>
      <c r="AB239" s="9">
        <v>0.2059</v>
      </c>
      <c r="AC239" s="9">
        <v>9.62</v>
      </c>
      <c r="AD239" s="9">
        <v>3.3865</v>
      </c>
      <c r="AE239" s="9">
        <v>0.2059</v>
      </c>
      <c r="AF239" s="9">
        <v>1.28838355920985</v>
      </c>
      <c r="AG239" s="9">
        <v>56.91</v>
      </c>
      <c r="AH239" s="9">
        <v>46.81</v>
      </c>
      <c r="AI239" s="9">
        <v>52.87</v>
      </c>
      <c r="AJ239" s="9">
        <v>0.2604</v>
      </c>
      <c r="AK239" s="9">
        <v>80</v>
      </c>
      <c r="AL239" s="9">
        <v>92</v>
      </c>
      <c r="AM239" s="9">
        <v>86.41</v>
      </c>
      <c r="AN239" s="9">
        <v>9.62</v>
      </c>
      <c r="AO239" s="9">
        <v>52.87</v>
      </c>
      <c r="AP239" s="9">
        <v>80</v>
      </c>
      <c r="AQ239" s="12">
        <v>1</v>
      </c>
      <c r="AR239" s="9">
        <v>57.34808</v>
      </c>
      <c r="AS239" s="9">
        <v>57.35</v>
      </c>
      <c r="AT239" s="9">
        <v>174</v>
      </c>
      <c r="AU239" s="9"/>
      <c r="AV239" s="9">
        <v>10</v>
      </c>
      <c r="AW239" s="9" t="s">
        <v>1386</v>
      </c>
      <c r="AX239" s="9">
        <v>46202</v>
      </c>
      <c r="AY239" s="9" t="s">
        <v>1391</v>
      </c>
      <c r="AZ239" s="9" t="s">
        <v>2611</v>
      </c>
      <c r="BA239" s="9">
        <v>45770</v>
      </c>
      <c r="BB239" s="9" t="s">
        <v>785</v>
      </c>
      <c r="BC239" s="9" t="s">
        <v>2612</v>
      </c>
      <c r="BD239" s="9" t="s">
        <v>1566</v>
      </c>
      <c r="BE239" s="13">
        <v>57.34808</v>
      </c>
      <c r="BF239" s="13">
        <v>57.35</v>
      </c>
      <c r="BG239" s="12">
        <v>1</v>
      </c>
      <c r="BH239" s="9">
        <v>57.34808</v>
      </c>
      <c r="BI239" s="9" t="s">
        <v>1567</v>
      </c>
    </row>
    <row r="240" ht="25" customHeight="1" spans="1:61">
      <c r="A240" s="9">
        <v>267</v>
      </c>
      <c r="B240" s="9" t="s">
        <v>2613</v>
      </c>
      <c r="C240" s="9" t="s">
        <v>2614</v>
      </c>
      <c r="D240" s="9" t="s">
        <v>2615</v>
      </c>
      <c r="E240" s="10">
        <v>44931</v>
      </c>
      <c r="F240" s="9">
        <v>3.6715</v>
      </c>
      <c r="G240" s="9" t="s">
        <v>1561</v>
      </c>
      <c r="H240" s="9" t="s">
        <v>542</v>
      </c>
      <c r="I240" s="9">
        <v>60</v>
      </c>
      <c r="J240" s="9" t="s">
        <v>1562</v>
      </c>
      <c r="K240" s="9">
        <v>100</v>
      </c>
      <c r="L240" s="9">
        <v>100</v>
      </c>
      <c r="M240" s="11">
        <v>0.0906</v>
      </c>
      <c r="N240" s="11">
        <v>0.07</v>
      </c>
      <c r="O240" s="11"/>
      <c r="P240" s="11">
        <v>0.0598463777348015</v>
      </c>
      <c r="Q240" s="9">
        <v>69.33</v>
      </c>
      <c r="R240" s="9">
        <v>44.76</v>
      </c>
      <c r="S240" s="9">
        <v>59.5</v>
      </c>
      <c r="T240" s="11">
        <v>1</v>
      </c>
      <c r="U240" s="11">
        <v>0.9459</v>
      </c>
      <c r="V240" s="11">
        <v>0.916595833333333</v>
      </c>
      <c r="W240" s="9">
        <v>100</v>
      </c>
      <c r="X240" s="9">
        <v>91.6595833333333</v>
      </c>
      <c r="Y240" s="9">
        <v>96.66</v>
      </c>
      <c r="Z240" s="9">
        <v>0.00160470714094678</v>
      </c>
      <c r="AA240" s="9">
        <v>0.0047</v>
      </c>
      <c r="AB240" s="9">
        <v>0.0047</v>
      </c>
      <c r="AC240" s="9">
        <v>94.07</v>
      </c>
      <c r="AD240" s="9">
        <v>56.4589</v>
      </c>
      <c r="AE240" s="9">
        <v>0.0047</v>
      </c>
      <c r="AF240" s="9">
        <v>12.7332718584684</v>
      </c>
      <c r="AG240" s="9">
        <v>98.71</v>
      </c>
      <c r="AH240" s="9">
        <v>92.2</v>
      </c>
      <c r="AI240" s="9">
        <v>96.11</v>
      </c>
      <c r="AJ240" s="9">
        <v>0.07</v>
      </c>
      <c r="AK240" s="9">
        <v>100</v>
      </c>
      <c r="AL240" s="9">
        <v>84</v>
      </c>
      <c r="AM240" s="9">
        <v>70.65</v>
      </c>
      <c r="AN240" s="9">
        <v>94.07</v>
      </c>
      <c r="AO240" s="9">
        <v>96.11</v>
      </c>
      <c r="AP240" s="9">
        <v>100</v>
      </c>
      <c r="AQ240" s="12">
        <v>1</v>
      </c>
      <c r="AR240" s="9">
        <v>89.07941</v>
      </c>
      <c r="AS240" s="9">
        <v>89.08</v>
      </c>
      <c r="AT240" s="9">
        <v>13</v>
      </c>
      <c r="AU240" s="9"/>
      <c r="AV240" s="9">
        <v>0</v>
      </c>
      <c r="AW240" s="9" t="s">
        <v>2616</v>
      </c>
      <c r="AX240" s="9">
        <v>46234</v>
      </c>
      <c r="AY240" s="9" t="s">
        <v>2617</v>
      </c>
      <c r="AZ240" s="9" t="s">
        <v>2618</v>
      </c>
      <c r="BA240" s="9">
        <v>45090</v>
      </c>
      <c r="BB240" s="9" t="s">
        <v>785</v>
      </c>
      <c r="BC240" s="9" t="s">
        <v>2619</v>
      </c>
      <c r="BD240" s="9" t="s">
        <v>1566</v>
      </c>
      <c r="BE240" s="13">
        <v>89.07941</v>
      </c>
      <c r="BF240" s="13">
        <v>89.08</v>
      </c>
      <c r="BG240" s="12">
        <v>1</v>
      </c>
      <c r="BH240" s="9">
        <v>89.07941</v>
      </c>
      <c r="BI240" s="9" t="s">
        <v>1567</v>
      </c>
    </row>
    <row r="241" ht="25" customHeight="1" spans="1:61">
      <c r="A241" s="9">
        <v>268</v>
      </c>
      <c r="B241" s="9" t="s">
        <v>2620</v>
      </c>
      <c r="C241" s="9" t="s">
        <v>2621</v>
      </c>
      <c r="D241" s="9" t="s">
        <v>2581</v>
      </c>
      <c r="E241" s="10">
        <v>44936</v>
      </c>
      <c r="F241" s="9">
        <v>3.6578</v>
      </c>
      <c r="G241" s="9" t="s">
        <v>1561</v>
      </c>
      <c r="H241" s="9" t="s">
        <v>546</v>
      </c>
      <c r="I241" s="9">
        <v>70</v>
      </c>
      <c r="J241" s="9" t="s">
        <v>1562</v>
      </c>
      <c r="K241" s="9">
        <v>100</v>
      </c>
      <c r="L241" s="9">
        <v>100</v>
      </c>
      <c r="M241" s="11">
        <v>0.0455</v>
      </c>
      <c r="N241" s="11">
        <v>0.0505</v>
      </c>
      <c r="O241" s="11"/>
      <c r="P241" s="11">
        <v>0.053008959866923</v>
      </c>
      <c r="Q241" s="9">
        <v>37.7</v>
      </c>
      <c r="R241" s="9">
        <v>35.24</v>
      </c>
      <c r="S241" s="9">
        <v>36.72</v>
      </c>
      <c r="T241" s="11">
        <v>0.7692</v>
      </c>
      <c r="U241" s="11">
        <v>0.8108</v>
      </c>
      <c r="V241" s="11">
        <v>0.833333333333333</v>
      </c>
      <c r="W241" s="9">
        <v>76.92</v>
      </c>
      <c r="X241" s="9">
        <v>83.3333333333333</v>
      </c>
      <c r="Y241" s="9">
        <v>79.49</v>
      </c>
      <c r="Z241" s="9">
        <v>0.0197362713628871</v>
      </c>
      <c r="AA241" s="9">
        <v>0.0283</v>
      </c>
      <c r="AB241" s="9">
        <v>0.0283</v>
      </c>
      <c r="AC241" s="9">
        <v>60.74</v>
      </c>
      <c r="AD241" s="9">
        <v>2.3054</v>
      </c>
      <c r="AE241" s="9">
        <v>0.0283</v>
      </c>
      <c r="AF241" s="9">
        <v>1.87310812250611</v>
      </c>
      <c r="AG241" s="9">
        <v>48.87</v>
      </c>
      <c r="AH241" s="9">
        <v>60.99</v>
      </c>
      <c r="AI241" s="9">
        <v>53.72</v>
      </c>
      <c r="AJ241" s="9">
        <v>0.0505</v>
      </c>
      <c r="AK241" s="9">
        <v>80</v>
      </c>
      <c r="AL241" s="9">
        <v>88</v>
      </c>
      <c r="AM241" s="9">
        <v>49.55</v>
      </c>
      <c r="AN241" s="9">
        <v>60.74</v>
      </c>
      <c r="AO241" s="9">
        <v>53.72</v>
      </c>
      <c r="AP241" s="9">
        <v>80</v>
      </c>
      <c r="AQ241" s="12">
        <v>1</v>
      </c>
      <c r="AR241" s="9">
        <v>62.40976</v>
      </c>
      <c r="AS241" s="9">
        <v>62.41</v>
      </c>
      <c r="AT241" s="9">
        <v>144</v>
      </c>
      <c r="AU241" s="9"/>
      <c r="AV241" s="9">
        <v>5</v>
      </c>
      <c r="AW241" s="9" t="s">
        <v>2582</v>
      </c>
      <c r="AX241" s="9">
        <v>46154</v>
      </c>
      <c r="AY241" s="9" t="s">
        <v>2583</v>
      </c>
      <c r="AZ241" s="9" t="s">
        <v>2622</v>
      </c>
      <c r="BA241" s="9">
        <v>46106</v>
      </c>
      <c r="BB241" s="9" t="s">
        <v>785</v>
      </c>
      <c r="BC241" s="9" t="s">
        <v>2623</v>
      </c>
      <c r="BD241" s="9" t="s">
        <v>1566</v>
      </c>
      <c r="BE241" s="13">
        <v>62.40976</v>
      </c>
      <c r="BF241" s="13">
        <v>62.41</v>
      </c>
      <c r="BG241" s="12">
        <v>1</v>
      </c>
      <c r="BH241" s="9">
        <v>62.40976</v>
      </c>
      <c r="BI241" s="9" t="s">
        <v>1567</v>
      </c>
    </row>
    <row r="242" ht="25" customHeight="1" spans="1:63">
      <c r="A242" s="9">
        <v>269</v>
      </c>
      <c r="B242" s="9" t="s">
        <v>2624</v>
      </c>
      <c r="C242" s="9" t="s">
        <v>2625</v>
      </c>
      <c r="D242" s="9" t="s">
        <v>2626</v>
      </c>
      <c r="E242" s="10">
        <v>44942</v>
      </c>
      <c r="F242" s="9">
        <v>3.6413</v>
      </c>
      <c r="G242" s="9" t="s">
        <v>1561</v>
      </c>
      <c r="H242" s="9" t="s">
        <v>551</v>
      </c>
      <c r="I242" s="9">
        <v>80</v>
      </c>
      <c r="J242" s="9" t="s">
        <v>1562</v>
      </c>
      <c r="K242" s="9">
        <v>100</v>
      </c>
      <c r="L242" s="9">
        <v>100</v>
      </c>
      <c r="M242" s="11">
        <v>0.0228</v>
      </c>
      <c r="N242" s="11"/>
      <c r="O242" s="11"/>
      <c r="P242" s="11" t="s">
        <v>1841</v>
      </c>
      <c r="Q242" s="9">
        <v>23.96</v>
      </c>
      <c r="R242" s="9" t="s">
        <v>1841</v>
      </c>
      <c r="S242" s="9" t="s">
        <v>1841</v>
      </c>
      <c r="T242" s="11">
        <v>0.7692</v>
      </c>
      <c r="U242" s="11"/>
      <c r="V242" s="11"/>
      <c r="W242" s="9">
        <v>76.92</v>
      </c>
      <c r="X242" s="9"/>
      <c r="Y242" s="9">
        <v>76.92</v>
      </c>
      <c r="Z242" s="9">
        <v>0.00557907358015024</v>
      </c>
      <c r="AA242" s="9"/>
      <c r="AB242" s="9">
        <v>0.00557907358015024</v>
      </c>
      <c r="AC242" s="9">
        <v>91.99</v>
      </c>
      <c r="AD242" s="9">
        <v>4.0867</v>
      </c>
      <c r="AE242" s="9" t="s">
        <v>1841</v>
      </c>
      <c r="AF242" s="9" t="s">
        <v>1841</v>
      </c>
      <c r="AG242" s="9">
        <v>60.45</v>
      </c>
      <c r="AH242" s="9" t="s">
        <v>1841</v>
      </c>
      <c r="AI242" s="9" t="s">
        <v>1841</v>
      </c>
      <c r="AJ242" s="9"/>
      <c r="AK242" s="9"/>
      <c r="AL242" s="9">
        <v>92</v>
      </c>
      <c r="AM242" s="9">
        <v>39.85</v>
      </c>
      <c r="AN242" s="9">
        <v>91.99</v>
      </c>
      <c r="AO242" s="9">
        <v>60.45</v>
      </c>
      <c r="AP242" s="9"/>
      <c r="AQ242" s="12">
        <v>0.7</v>
      </c>
      <c r="AR242" s="9">
        <v>52.46026</v>
      </c>
      <c r="AS242" s="9">
        <v>74.94</v>
      </c>
      <c r="AT242" s="9">
        <v>74</v>
      </c>
      <c r="AU242" s="9" t="s">
        <v>1841</v>
      </c>
      <c r="AV242" s="9">
        <v>10</v>
      </c>
      <c r="AW242" s="9" t="s">
        <v>2627</v>
      </c>
      <c r="AX242" s="9">
        <v>46038</v>
      </c>
      <c r="AY242" s="9" t="s">
        <v>2628</v>
      </c>
      <c r="AZ242" s="9" t="s">
        <v>2629</v>
      </c>
      <c r="BA242" s="9">
        <v>45631</v>
      </c>
      <c r="BB242" s="9" t="s">
        <v>785</v>
      </c>
      <c r="BC242" s="9" t="s">
        <v>2630</v>
      </c>
      <c r="BD242" s="9" t="s">
        <v>1566</v>
      </c>
      <c r="BE242" s="13"/>
      <c r="BF242" s="13">
        <v>74.94</v>
      </c>
      <c r="BG242" s="12">
        <v>0.7</v>
      </c>
      <c r="BH242" s="9">
        <v>52.46026</v>
      </c>
      <c r="BI242" s="9" t="s">
        <v>1567</v>
      </c>
      <c r="BJ242" t="s">
        <v>2631</v>
      </c>
      <c r="BK242" t="s">
        <v>1847</v>
      </c>
    </row>
    <row r="243" ht="25" customHeight="1" spans="1:61">
      <c r="A243" s="9">
        <v>270</v>
      </c>
      <c r="B243" s="9" t="s">
        <v>2632</v>
      </c>
      <c r="C243" s="9" t="s">
        <v>2633</v>
      </c>
      <c r="D243" s="9" t="s">
        <v>2634</v>
      </c>
      <c r="E243" s="10">
        <v>44938</v>
      </c>
      <c r="F243" s="9">
        <v>3.6523</v>
      </c>
      <c r="G243" s="9" t="s">
        <v>1561</v>
      </c>
      <c r="H243" s="9" t="s">
        <v>542</v>
      </c>
      <c r="I243" s="9">
        <v>60</v>
      </c>
      <c r="J243" s="9" t="s">
        <v>1562</v>
      </c>
      <c r="K243" s="9">
        <v>100</v>
      </c>
      <c r="L243" s="9">
        <v>100</v>
      </c>
      <c r="M243" s="11">
        <v>0.114</v>
      </c>
      <c r="N243" s="11">
        <v>0.0898</v>
      </c>
      <c r="O243" s="11"/>
      <c r="P243" s="11">
        <v>0.077897860577903</v>
      </c>
      <c r="Q243" s="9">
        <v>77.64</v>
      </c>
      <c r="R243" s="9">
        <v>57.62</v>
      </c>
      <c r="S243" s="9">
        <v>69.63</v>
      </c>
      <c r="T243" s="11">
        <v>0.9231</v>
      </c>
      <c r="U243" s="11">
        <v>0.8649</v>
      </c>
      <c r="V243" s="11">
        <v>0.833375</v>
      </c>
      <c r="W243" s="9">
        <v>92.31</v>
      </c>
      <c r="X243" s="9">
        <v>83.3375</v>
      </c>
      <c r="Y243" s="9">
        <v>88.72</v>
      </c>
      <c r="Z243" s="9">
        <v>0.0216684723726977</v>
      </c>
      <c r="AA243" s="9">
        <v>0.0343</v>
      </c>
      <c r="AB243" s="9">
        <v>0.0343</v>
      </c>
      <c r="AC243" s="9">
        <v>56.25</v>
      </c>
      <c r="AD243" s="9">
        <v>5.2611</v>
      </c>
      <c r="AE243" s="9">
        <v>0.0343</v>
      </c>
      <c r="AF243" s="9">
        <v>2.271074652417</v>
      </c>
      <c r="AG243" s="9">
        <v>65.59</v>
      </c>
      <c r="AH243" s="9">
        <v>66.67</v>
      </c>
      <c r="AI243" s="9">
        <v>66.02</v>
      </c>
      <c r="AJ243" s="9">
        <v>0.0898</v>
      </c>
      <c r="AK243" s="9">
        <v>100</v>
      </c>
      <c r="AL243" s="9">
        <v>84</v>
      </c>
      <c r="AM243" s="9">
        <v>75.36</v>
      </c>
      <c r="AN243" s="9">
        <v>56.25</v>
      </c>
      <c r="AO243" s="9">
        <v>66.02</v>
      </c>
      <c r="AP243" s="9">
        <v>100</v>
      </c>
      <c r="AQ243" s="12">
        <v>1</v>
      </c>
      <c r="AR243" s="9">
        <v>71.54084</v>
      </c>
      <c r="AS243" s="9">
        <v>71.54</v>
      </c>
      <c r="AT243" s="9">
        <v>94</v>
      </c>
      <c r="AU243" s="9"/>
      <c r="AV243" s="9">
        <v>0</v>
      </c>
      <c r="AW243" s="9" t="s">
        <v>2635</v>
      </c>
      <c r="AX243" s="9">
        <v>46141</v>
      </c>
      <c r="AY243" s="9" t="s">
        <v>2636</v>
      </c>
      <c r="AZ243" s="9" t="s">
        <v>2637</v>
      </c>
      <c r="BA243" s="9">
        <v>44943</v>
      </c>
      <c r="BB243" s="9" t="s">
        <v>785</v>
      </c>
      <c r="BC243" s="9" t="s">
        <v>2638</v>
      </c>
      <c r="BD243" s="9" t="s">
        <v>1566</v>
      </c>
      <c r="BE243" s="13">
        <v>71.54084</v>
      </c>
      <c r="BF243" s="13">
        <v>71.54</v>
      </c>
      <c r="BG243" s="12">
        <v>1</v>
      </c>
      <c r="BH243" s="9">
        <v>71.54084</v>
      </c>
      <c r="BI243" s="9" t="s">
        <v>1567</v>
      </c>
    </row>
    <row r="244" ht="25" customHeight="1" spans="1:61">
      <c r="A244" s="9">
        <v>271</v>
      </c>
      <c r="B244" s="9" t="s">
        <v>2639</v>
      </c>
      <c r="C244" s="9" t="s">
        <v>2640</v>
      </c>
      <c r="D244" s="9" t="s">
        <v>2641</v>
      </c>
      <c r="E244" s="10">
        <v>44942</v>
      </c>
      <c r="F244" s="9">
        <v>3.6413</v>
      </c>
      <c r="G244" s="9" t="s">
        <v>1561</v>
      </c>
      <c r="H244" s="9" t="s">
        <v>551</v>
      </c>
      <c r="I244" s="9">
        <v>80</v>
      </c>
      <c r="J244" s="9" t="s">
        <v>1562</v>
      </c>
      <c r="K244" s="9">
        <v>100</v>
      </c>
      <c r="L244" s="9">
        <v>100</v>
      </c>
      <c r="M244" s="11">
        <v>0.0686</v>
      </c>
      <c r="N244" s="11">
        <v>0.0708</v>
      </c>
      <c r="O244" s="11"/>
      <c r="P244" s="11">
        <v>0.0719016979016496</v>
      </c>
      <c r="Q244" s="9">
        <v>54.31</v>
      </c>
      <c r="R244" s="9">
        <v>53.33</v>
      </c>
      <c r="S244" s="9">
        <v>53.92</v>
      </c>
      <c r="T244" s="11">
        <v>0.7692</v>
      </c>
      <c r="U244" s="11">
        <v>0.7568</v>
      </c>
      <c r="V244" s="11">
        <v>0.750083333333333</v>
      </c>
      <c r="W244" s="9">
        <v>76.92</v>
      </c>
      <c r="X244" s="9">
        <v>75.0083333333333</v>
      </c>
      <c r="Y244" s="9">
        <v>76.16</v>
      </c>
      <c r="Z244" s="9">
        <v>0.021963948387923</v>
      </c>
      <c r="AA244" s="9">
        <v>0.0384</v>
      </c>
      <c r="AB244" s="9">
        <v>0.0384</v>
      </c>
      <c r="AC244" s="9">
        <v>52.56</v>
      </c>
      <c r="AD244" s="9">
        <v>3.1233</v>
      </c>
      <c r="AE244" s="9">
        <v>0.0384</v>
      </c>
      <c r="AF244" s="9">
        <v>1.87244004952212</v>
      </c>
      <c r="AG244" s="9">
        <v>55.31</v>
      </c>
      <c r="AH244" s="9">
        <v>60.28</v>
      </c>
      <c r="AI244" s="9">
        <v>57.3</v>
      </c>
      <c r="AJ244" s="9">
        <v>0.0708</v>
      </c>
      <c r="AK244" s="9">
        <v>80</v>
      </c>
      <c r="AL244" s="9">
        <v>92</v>
      </c>
      <c r="AM244" s="9">
        <v>60.59</v>
      </c>
      <c r="AN244" s="9">
        <v>52.56</v>
      </c>
      <c r="AO244" s="9">
        <v>57.3</v>
      </c>
      <c r="AP244" s="9">
        <v>80</v>
      </c>
      <c r="AQ244" s="12">
        <v>1</v>
      </c>
      <c r="AR244" s="9">
        <v>64.24724</v>
      </c>
      <c r="AS244" s="9">
        <v>64.25</v>
      </c>
      <c r="AT244" s="9">
        <v>136</v>
      </c>
      <c r="AU244" s="9"/>
      <c r="AV244" s="9">
        <v>10</v>
      </c>
      <c r="AW244" s="9" t="s">
        <v>2642</v>
      </c>
      <c r="AX244" s="9">
        <v>46189</v>
      </c>
      <c r="AY244" s="9" t="s">
        <v>2643</v>
      </c>
      <c r="AZ244" s="9" t="s">
        <v>2644</v>
      </c>
      <c r="BA244" s="9">
        <v>46030</v>
      </c>
      <c r="BB244" s="9" t="s">
        <v>785</v>
      </c>
      <c r="BC244" s="9" t="s">
        <v>2645</v>
      </c>
      <c r="BD244" s="9" t="s">
        <v>1566</v>
      </c>
      <c r="BE244" s="13">
        <v>64.24724</v>
      </c>
      <c r="BF244" s="13">
        <v>64.25</v>
      </c>
      <c r="BG244" s="12">
        <v>1</v>
      </c>
      <c r="BH244" s="9">
        <v>64.24724</v>
      </c>
      <c r="BI244" s="9" t="s">
        <v>1567</v>
      </c>
    </row>
    <row r="245" ht="25" customHeight="1" spans="1:61">
      <c r="A245" s="9">
        <v>272</v>
      </c>
      <c r="B245" s="9" t="s">
        <v>2646</v>
      </c>
      <c r="C245" s="9" t="s">
        <v>2647</v>
      </c>
      <c r="D245" s="9" t="s">
        <v>2648</v>
      </c>
      <c r="E245" s="10">
        <v>44945</v>
      </c>
      <c r="F245" s="9">
        <v>3.6331</v>
      </c>
      <c r="G245" s="9" t="s">
        <v>1561</v>
      </c>
      <c r="H245" s="9" t="s">
        <v>546</v>
      </c>
      <c r="I245" s="9">
        <v>70</v>
      </c>
      <c r="J245" s="9" t="s">
        <v>1620</v>
      </c>
      <c r="K245" s="9">
        <v>0</v>
      </c>
      <c r="L245" s="9">
        <v>100</v>
      </c>
      <c r="M245" s="11">
        <v>-0.0159</v>
      </c>
      <c r="N245" s="11">
        <v>0.1718</v>
      </c>
      <c r="O245" s="11"/>
      <c r="P245" s="11">
        <v>0.278676326234928</v>
      </c>
      <c r="Q245" s="9">
        <v>11.18</v>
      </c>
      <c r="R245" s="9">
        <v>97.62</v>
      </c>
      <c r="S245" s="9">
        <v>45.76</v>
      </c>
      <c r="T245" s="11">
        <v>0.5385</v>
      </c>
      <c r="U245" s="11">
        <v>0.5676</v>
      </c>
      <c r="V245" s="11">
        <v>0.5833625</v>
      </c>
      <c r="W245" s="9">
        <v>53.85</v>
      </c>
      <c r="X245" s="9">
        <v>58.33625</v>
      </c>
      <c r="Y245" s="9">
        <v>55.64</v>
      </c>
      <c r="Z245" s="9">
        <v>0.122496147919877</v>
      </c>
      <c r="AA245" s="9">
        <v>0.1228</v>
      </c>
      <c r="AB245" s="9">
        <v>0.1228</v>
      </c>
      <c r="AC245" s="9">
        <v>20.19</v>
      </c>
      <c r="AD245" s="9">
        <v>-0.1298</v>
      </c>
      <c r="AE245" s="9">
        <v>0.1228</v>
      </c>
      <c r="AF245" s="9">
        <v>2.26935119083817</v>
      </c>
      <c r="AG245" s="9">
        <v>12.22</v>
      </c>
      <c r="AH245" s="9">
        <v>65.96</v>
      </c>
      <c r="AI245" s="9">
        <v>33.72</v>
      </c>
      <c r="AJ245" s="9">
        <v>0.1718</v>
      </c>
      <c r="AK245" s="9">
        <v>80</v>
      </c>
      <c r="AL245" s="9">
        <v>58</v>
      </c>
      <c r="AM245" s="9">
        <v>48.72</v>
      </c>
      <c r="AN245" s="9">
        <v>20.19</v>
      </c>
      <c r="AO245" s="9">
        <v>33.72</v>
      </c>
      <c r="AP245" s="9">
        <v>80</v>
      </c>
      <c r="AQ245" s="12">
        <v>1</v>
      </c>
      <c r="AR245" s="9">
        <v>41.60681</v>
      </c>
      <c r="AS245" s="9">
        <v>41.61</v>
      </c>
      <c r="AT245" s="9">
        <v>262</v>
      </c>
      <c r="AU245" s="9"/>
      <c r="AV245" s="9">
        <v>5</v>
      </c>
      <c r="AW245" s="9" t="s">
        <v>2649</v>
      </c>
      <c r="AX245" s="9">
        <v>46211</v>
      </c>
      <c r="AY245" s="9" t="s">
        <v>2650</v>
      </c>
      <c r="AZ245" s="9" t="s">
        <v>2651</v>
      </c>
      <c r="BA245" s="9">
        <v>46213</v>
      </c>
      <c r="BB245" s="9" t="s">
        <v>2652</v>
      </c>
      <c r="BC245" s="9" t="s">
        <v>2653</v>
      </c>
      <c r="BD245" s="9" t="s">
        <v>1566</v>
      </c>
      <c r="BE245" s="13">
        <v>41.60681</v>
      </c>
      <c r="BF245" s="13">
        <v>41.61</v>
      </c>
      <c r="BG245" s="12">
        <v>1</v>
      </c>
      <c r="BH245" s="9">
        <v>41.60681</v>
      </c>
      <c r="BI245" s="9" t="s">
        <v>1567</v>
      </c>
    </row>
    <row r="246" ht="25" customHeight="1" spans="1:61">
      <c r="A246" s="9">
        <v>273</v>
      </c>
      <c r="B246" s="9" t="s">
        <v>104</v>
      </c>
      <c r="C246" s="9" t="s">
        <v>105</v>
      </c>
      <c r="D246" s="9" t="s">
        <v>99</v>
      </c>
      <c r="E246" s="10">
        <v>44966</v>
      </c>
      <c r="F246" s="9">
        <v>3.5756</v>
      </c>
      <c r="G246" s="9" t="s">
        <v>1561</v>
      </c>
      <c r="H246" s="9" t="s">
        <v>557</v>
      </c>
      <c r="I246" s="9">
        <v>90</v>
      </c>
      <c r="J246" s="9" t="s">
        <v>1562</v>
      </c>
      <c r="K246" s="9">
        <v>100</v>
      </c>
      <c r="L246" s="9">
        <v>100</v>
      </c>
      <c r="M246" s="11">
        <v>0.0324</v>
      </c>
      <c r="N246" s="11">
        <v>0.065</v>
      </c>
      <c r="O246" s="11"/>
      <c r="P246" s="11">
        <v>0.0816840197927176</v>
      </c>
      <c r="Q246" s="9">
        <v>29.07</v>
      </c>
      <c r="R246" s="9">
        <v>61.43</v>
      </c>
      <c r="S246" s="9">
        <v>42.01</v>
      </c>
      <c r="T246" s="11">
        <v>0.6923</v>
      </c>
      <c r="U246" s="11">
        <v>0.8611</v>
      </c>
      <c r="V246" s="11">
        <v>0.952533333333333</v>
      </c>
      <c r="W246" s="9">
        <v>69.23</v>
      </c>
      <c r="X246" s="9">
        <v>95.2533333333333</v>
      </c>
      <c r="Y246" s="9">
        <v>79.64</v>
      </c>
      <c r="Z246" s="9">
        <v>0.00422034361933543</v>
      </c>
      <c r="AA246" s="9">
        <v>0.0042</v>
      </c>
      <c r="AB246" s="9">
        <v>0.00422034361933543</v>
      </c>
      <c r="AC246" s="9">
        <v>95.51</v>
      </c>
      <c r="AD246" s="9">
        <v>7.6771</v>
      </c>
      <c r="AE246" s="9"/>
      <c r="AF246" s="9"/>
      <c r="AG246" s="9">
        <v>73.31</v>
      </c>
      <c r="AH246" s="9"/>
      <c r="AI246" s="9">
        <v>73.31</v>
      </c>
      <c r="AJ246" s="9">
        <v>0.065</v>
      </c>
      <c r="AK246" s="9">
        <v>80</v>
      </c>
      <c r="AL246" s="9">
        <v>96</v>
      </c>
      <c r="AM246" s="9">
        <v>53.3</v>
      </c>
      <c r="AN246" s="9">
        <v>95.51</v>
      </c>
      <c r="AO246" s="9">
        <v>73.31</v>
      </c>
      <c r="AP246" s="9">
        <v>80</v>
      </c>
      <c r="AQ246" s="12">
        <v>0.88</v>
      </c>
      <c r="AR246" s="9">
        <v>70.13362</v>
      </c>
      <c r="AS246" s="9">
        <v>79.7</v>
      </c>
      <c r="AT246" s="9">
        <v>50</v>
      </c>
      <c r="AU246" s="9" t="s">
        <v>1563</v>
      </c>
      <c r="AV246" s="9">
        <v>20</v>
      </c>
      <c r="AW246" s="9" t="s">
        <v>1262</v>
      </c>
      <c r="AX246" s="9">
        <v>45947</v>
      </c>
      <c r="AY246" s="9" t="s">
        <v>1264</v>
      </c>
      <c r="AZ246" s="9" t="s">
        <v>2654</v>
      </c>
      <c r="BA246" s="9">
        <v>46206</v>
      </c>
      <c r="BB246" s="9" t="s">
        <v>785</v>
      </c>
      <c r="BC246" s="9" t="s">
        <v>852</v>
      </c>
      <c r="BD246" s="9" t="s">
        <v>1566</v>
      </c>
      <c r="BE246" s="13"/>
      <c r="BF246" s="13">
        <v>79.7</v>
      </c>
      <c r="BG246" s="12">
        <v>0.88</v>
      </c>
      <c r="BH246" s="9">
        <v>70.13362</v>
      </c>
      <c r="BI246" s="9" t="s">
        <v>1567</v>
      </c>
    </row>
    <row r="247" ht="25" customHeight="1" spans="1:61">
      <c r="A247" s="9">
        <v>274</v>
      </c>
      <c r="B247" s="9" t="s">
        <v>95</v>
      </c>
      <c r="C247" s="9" t="s">
        <v>98</v>
      </c>
      <c r="D247" s="9" t="s">
        <v>99</v>
      </c>
      <c r="E247" s="10">
        <v>44967</v>
      </c>
      <c r="F247" s="9">
        <v>3.5729</v>
      </c>
      <c r="G247" s="9" t="s">
        <v>1561</v>
      </c>
      <c r="H247" s="9" t="s">
        <v>557</v>
      </c>
      <c r="I247" s="9">
        <v>90</v>
      </c>
      <c r="J247" s="9" t="s">
        <v>1562</v>
      </c>
      <c r="K247" s="9">
        <v>100</v>
      </c>
      <c r="L247" s="9">
        <v>100</v>
      </c>
      <c r="M247" s="11">
        <v>0.0292</v>
      </c>
      <c r="N247" s="11">
        <v>0.0627</v>
      </c>
      <c r="O247" s="11"/>
      <c r="P247" s="11">
        <v>0.0798567121317122</v>
      </c>
      <c r="Q247" s="9">
        <v>27</v>
      </c>
      <c r="R247" s="9">
        <v>60.95</v>
      </c>
      <c r="S247" s="9">
        <v>40.58</v>
      </c>
      <c r="T247" s="11">
        <v>0.6923</v>
      </c>
      <c r="U247" s="11">
        <v>0.8611</v>
      </c>
      <c r="V247" s="11">
        <v>0.952533333333333</v>
      </c>
      <c r="W247" s="9">
        <v>69.23</v>
      </c>
      <c r="X247" s="9">
        <v>95.2533333333333</v>
      </c>
      <c r="Y247" s="9">
        <v>79.64</v>
      </c>
      <c r="Z247" s="9">
        <v>0.00494337131151704</v>
      </c>
      <c r="AA247" s="9">
        <v>0.0062</v>
      </c>
      <c r="AB247" s="9">
        <v>0.0062</v>
      </c>
      <c r="AC247" s="9">
        <v>90.71</v>
      </c>
      <c r="AD247" s="9">
        <v>5.9069</v>
      </c>
      <c r="AE247" s="9">
        <v>0.0062</v>
      </c>
      <c r="AF247" s="9">
        <v>12.8801148599536</v>
      </c>
      <c r="AG247" s="9">
        <v>67.2</v>
      </c>
      <c r="AH247" s="9">
        <v>92.91</v>
      </c>
      <c r="AI247" s="9">
        <v>77.48</v>
      </c>
      <c r="AJ247" s="9">
        <v>0.0627</v>
      </c>
      <c r="AK247" s="9">
        <v>80</v>
      </c>
      <c r="AL247" s="9">
        <v>96</v>
      </c>
      <c r="AM247" s="9">
        <v>52.3</v>
      </c>
      <c r="AN247" s="9">
        <v>90.71</v>
      </c>
      <c r="AO247" s="9">
        <v>77.48</v>
      </c>
      <c r="AP247" s="9">
        <v>80</v>
      </c>
      <c r="AQ247" s="12">
        <v>1</v>
      </c>
      <c r="AR247" s="9">
        <v>78.78226</v>
      </c>
      <c r="AS247" s="9">
        <v>78.78</v>
      </c>
      <c r="AT247" s="9">
        <v>55</v>
      </c>
      <c r="AU247" s="9"/>
      <c r="AV247" s="9">
        <v>20</v>
      </c>
      <c r="AW247" s="9" t="s">
        <v>1262</v>
      </c>
      <c r="AX247" s="9">
        <v>45947</v>
      </c>
      <c r="AY247" s="9" t="s">
        <v>1264</v>
      </c>
      <c r="AZ247" s="9" t="s">
        <v>2655</v>
      </c>
      <c r="BA247" s="9">
        <v>45926</v>
      </c>
      <c r="BB247" s="9" t="s">
        <v>785</v>
      </c>
      <c r="BC247" s="9" t="s">
        <v>850</v>
      </c>
      <c r="BD247" s="9" t="s">
        <v>1566</v>
      </c>
      <c r="BE247" s="13">
        <v>78.78226</v>
      </c>
      <c r="BF247" s="13">
        <v>78.78</v>
      </c>
      <c r="BG247" s="12">
        <v>1</v>
      </c>
      <c r="BH247" s="9">
        <v>78.78226</v>
      </c>
      <c r="BI247" s="9" t="s">
        <v>1567</v>
      </c>
    </row>
    <row r="248" ht="25" customHeight="1" spans="1:61">
      <c r="A248" s="9">
        <v>275</v>
      </c>
      <c r="B248" s="9" t="s">
        <v>2656</v>
      </c>
      <c r="C248" s="9" t="s">
        <v>2657</v>
      </c>
      <c r="D248" s="9" t="s">
        <v>2658</v>
      </c>
      <c r="E248" s="10">
        <v>44978</v>
      </c>
      <c r="F248" s="9">
        <v>3.5428</v>
      </c>
      <c r="G248" s="9" t="s">
        <v>1561</v>
      </c>
      <c r="H248" s="9" t="s">
        <v>551</v>
      </c>
      <c r="I248" s="9">
        <v>80</v>
      </c>
      <c r="J248" s="9" t="s">
        <v>1562</v>
      </c>
      <c r="K248" s="9">
        <v>100</v>
      </c>
      <c r="L248" s="9">
        <v>100</v>
      </c>
      <c r="M248" s="11">
        <v>0.0565</v>
      </c>
      <c r="N248" s="11">
        <v>0.0982</v>
      </c>
      <c r="O248" s="11"/>
      <c r="P248" s="11">
        <v>0.119663210031381</v>
      </c>
      <c r="Q248" s="9">
        <v>45.37</v>
      </c>
      <c r="R248" s="9">
        <v>76.19</v>
      </c>
      <c r="S248" s="9">
        <v>57.7</v>
      </c>
      <c r="T248" s="11">
        <v>0.9231</v>
      </c>
      <c r="U248" s="11">
        <v>0.9459</v>
      </c>
      <c r="V248" s="11">
        <v>0.95825</v>
      </c>
      <c r="W248" s="9">
        <v>92.31</v>
      </c>
      <c r="X248" s="9">
        <v>95.825</v>
      </c>
      <c r="Y248" s="9">
        <v>93.72</v>
      </c>
      <c r="Z248" s="9">
        <v>0.00539214750625107</v>
      </c>
      <c r="AA248" s="9">
        <v>0.0066</v>
      </c>
      <c r="AB248" s="9">
        <v>0.0066</v>
      </c>
      <c r="AC248" s="9">
        <v>89.42</v>
      </c>
      <c r="AD248" s="9">
        <v>10.4782</v>
      </c>
      <c r="AE248" s="9">
        <v>0.0066</v>
      </c>
      <c r="AF248" s="9">
        <v>18.1307893986941</v>
      </c>
      <c r="AG248" s="9">
        <v>81.03</v>
      </c>
      <c r="AH248" s="9">
        <v>95.74</v>
      </c>
      <c r="AI248" s="9">
        <v>86.91</v>
      </c>
      <c r="AJ248" s="9">
        <v>0.0982</v>
      </c>
      <c r="AK248" s="9">
        <v>80</v>
      </c>
      <c r="AL248" s="9">
        <v>92</v>
      </c>
      <c r="AM248" s="9">
        <v>68.5</v>
      </c>
      <c r="AN248" s="9">
        <v>89.42</v>
      </c>
      <c r="AO248" s="9">
        <v>86.91</v>
      </c>
      <c r="AP248" s="9">
        <v>80</v>
      </c>
      <c r="AQ248" s="12">
        <v>1</v>
      </c>
      <c r="AR248" s="9">
        <v>83.92988</v>
      </c>
      <c r="AS248" s="9">
        <v>83.93</v>
      </c>
      <c r="AT248" s="9">
        <v>31</v>
      </c>
      <c r="AU248" s="9"/>
      <c r="AV248" s="9">
        <v>10</v>
      </c>
      <c r="AW248" s="9" t="s">
        <v>2659</v>
      </c>
      <c r="AX248" s="9">
        <v>46258</v>
      </c>
      <c r="AY248" s="9" t="s">
        <v>2660</v>
      </c>
      <c r="AZ248" s="9" t="s">
        <v>2661</v>
      </c>
      <c r="BA248" s="9">
        <v>46234</v>
      </c>
      <c r="BB248" s="9" t="s">
        <v>785</v>
      </c>
      <c r="BC248" s="9" t="s">
        <v>2662</v>
      </c>
      <c r="BD248" s="9" t="s">
        <v>1566</v>
      </c>
      <c r="BE248" s="13">
        <v>83.92988</v>
      </c>
      <c r="BF248" s="13">
        <v>83.93</v>
      </c>
      <c r="BG248" s="12">
        <v>1</v>
      </c>
      <c r="BH248" s="9">
        <v>83.92988</v>
      </c>
      <c r="BI248" s="9" t="s">
        <v>1567</v>
      </c>
    </row>
    <row r="249" ht="25" customHeight="1" spans="1:61">
      <c r="A249" s="9">
        <v>276</v>
      </c>
      <c r="B249" s="9" t="s">
        <v>2663</v>
      </c>
      <c r="C249" s="9" t="s">
        <v>2664</v>
      </c>
      <c r="D249" s="9" t="s">
        <v>2665</v>
      </c>
      <c r="E249" s="10">
        <v>44977</v>
      </c>
      <c r="F249" s="9">
        <v>3.5455</v>
      </c>
      <c r="G249" s="9" t="s">
        <v>1561</v>
      </c>
      <c r="H249" s="9" t="s">
        <v>542</v>
      </c>
      <c r="I249" s="9">
        <v>60</v>
      </c>
      <c r="J249" s="9" t="s">
        <v>1562</v>
      </c>
      <c r="K249" s="9">
        <v>100</v>
      </c>
      <c r="L249" s="9">
        <v>100</v>
      </c>
      <c r="M249" s="11">
        <v>-0.2442</v>
      </c>
      <c r="N249" s="11">
        <v>-0.0297</v>
      </c>
      <c r="O249" s="11"/>
      <c r="P249" s="11">
        <v>0.0993996725576403</v>
      </c>
      <c r="Q249" s="9">
        <v>0.96</v>
      </c>
      <c r="R249" s="9">
        <v>69.52</v>
      </c>
      <c r="S249" s="9">
        <v>28.38</v>
      </c>
      <c r="T249" s="11">
        <v>0.4615</v>
      </c>
      <c r="U249" s="11">
        <v>0.5676</v>
      </c>
      <c r="V249" s="11">
        <v>0.625070833333333</v>
      </c>
      <c r="W249" s="9">
        <v>46.15</v>
      </c>
      <c r="X249" s="9">
        <v>62.5070833333333</v>
      </c>
      <c r="Y249" s="9">
        <v>52.69</v>
      </c>
      <c r="Z249" s="9">
        <v>0.363230700580098</v>
      </c>
      <c r="AA249" s="9">
        <v>0.3632</v>
      </c>
      <c r="AB249" s="9">
        <v>0.363230700580098</v>
      </c>
      <c r="AC249" s="9">
        <v>1.28</v>
      </c>
      <c r="AD249" s="9">
        <v>-0.6723</v>
      </c>
      <c r="AE249" s="9"/>
      <c r="AF249" s="9"/>
      <c r="AG249" s="9">
        <v>3.54</v>
      </c>
      <c r="AH249" s="9"/>
      <c r="AI249" s="9">
        <v>3.54</v>
      </c>
      <c r="AJ249" s="9">
        <v>-0.0297</v>
      </c>
      <c r="AK249" s="9">
        <v>60</v>
      </c>
      <c r="AL249" s="9">
        <v>84</v>
      </c>
      <c r="AM249" s="9">
        <v>35.68</v>
      </c>
      <c r="AN249" s="9">
        <v>1.28</v>
      </c>
      <c r="AO249" s="9">
        <v>3.54</v>
      </c>
      <c r="AP249" s="9">
        <v>60</v>
      </c>
      <c r="AQ249" s="12">
        <v>0.88</v>
      </c>
      <c r="AR249" s="9">
        <v>26.69253</v>
      </c>
      <c r="AS249" s="9">
        <v>30.33</v>
      </c>
      <c r="AT249" s="9">
        <v>296</v>
      </c>
      <c r="AU249" s="9" t="s">
        <v>1563</v>
      </c>
      <c r="AV249" s="9">
        <v>0</v>
      </c>
      <c r="AW249" s="9" t="s">
        <v>2666</v>
      </c>
      <c r="AX249" s="9">
        <v>46190</v>
      </c>
      <c r="AY249" s="9" t="s">
        <v>2667</v>
      </c>
      <c r="AZ249" s="9" t="s">
        <v>2668</v>
      </c>
      <c r="BA249" s="9">
        <v>45849</v>
      </c>
      <c r="BB249" s="9" t="s">
        <v>785</v>
      </c>
      <c r="BC249" s="9" t="s">
        <v>2669</v>
      </c>
      <c r="BD249" s="9" t="s">
        <v>1566</v>
      </c>
      <c r="BE249" s="13"/>
      <c r="BF249" s="13">
        <v>30.33</v>
      </c>
      <c r="BG249" s="12">
        <v>0.88</v>
      </c>
      <c r="BH249" s="9">
        <v>26.69253</v>
      </c>
      <c r="BI249" s="9" t="s">
        <v>1567</v>
      </c>
    </row>
    <row r="250" ht="25" customHeight="1" spans="1:61">
      <c r="A250" s="9">
        <v>277</v>
      </c>
      <c r="B250" s="9" t="s">
        <v>2670</v>
      </c>
      <c r="C250" s="9" t="s">
        <v>2671</v>
      </c>
      <c r="D250" s="9" t="s">
        <v>2399</v>
      </c>
      <c r="E250" s="10">
        <v>44979</v>
      </c>
      <c r="F250" s="9">
        <v>3.54</v>
      </c>
      <c r="G250" s="9" t="s">
        <v>1561</v>
      </c>
      <c r="H250" s="9" t="s">
        <v>542</v>
      </c>
      <c r="I250" s="9">
        <v>60</v>
      </c>
      <c r="J250" s="9" t="s">
        <v>1562</v>
      </c>
      <c r="K250" s="9">
        <v>100</v>
      </c>
      <c r="L250" s="9">
        <v>100</v>
      </c>
      <c r="M250" s="11">
        <v>-0.1688</v>
      </c>
      <c r="N250" s="11">
        <v>-0.0383</v>
      </c>
      <c r="O250" s="11"/>
      <c r="P250" s="11">
        <v>0.034443218370154</v>
      </c>
      <c r="Q250" s="9">
        <v>1.28</v>
      </c>
      <c r="R250" s="9">
        <v>18.1</v>
      </c>
      <c r="S250" s="9">
        <v>8.01</v>
      </c>
      <c r="T250" s="11">
        <v>0.2308</v>
      </c>
      <c r="U250" s="11">
        <v>0.3514</v>
      </c>
      <c r="V250" s="11">
        <v>0.416725</v>
      </c>
      <c r="W250" s="9">
        <v>23.08</v>
      </c>
      <c r="X250" s="9">
        <v>41.6725</v>
      </c>
      <c r="Y250" s="9">
        <v>30.52</v>
      </c>
      <c r="Z250" s="9">
        <v>0.276812069530994</v>
      </c>
      <c r="AA250" s="9">
        <v>0.2769</v>
      </c>
      <c r="AB250" s="9">
        <v>0.2769</v>
      </c>
      <c r="AC250" s="9">
        <v>5.77</v>
      </c>
      <c r="AD250" s="9">
        <v>-0.6098</v>
      </c>
      <c r="AE250" s="9"/>
      <c r="AF250" s="9"/>
      <c r="AG250" s="9">
        <v>5.47</v>
      </c>
      <c r="AH250" s="9"/>
      <c r="AI250" s="9">
        <v>5.47</v>
      </c>
      <c r="AJ250" s="9">
        <v>-0.0383</v>
      </c>
      <c r="AK250" s="9">
        <v>80</v>
      </c>
      <c r="AL250" s="9">
        <v>84</v>
      </c>
      <c r="AM250" s="9">
        <v>14.76</v>
      </c>
      <c r="AN250" s="9">
        <v>5.77</v>
      </c>
      <c r="AO250" s="9">
        <v>5.47</v>
      </c>
      <c r="AP250" s="9">
        <v>80</v>
      </c>
      <c r="AQ250" s="12">
        <v>0.88</v>
      </c>
      <c r="AR250" s="9">
        <v>25.97924</v>
      </c>
      <c r="AS250" s="9">
        <v>29.52</v>
      </c>
      <c r="AT250" s="9">
        <v>298</v>
      </c>
      <c r="AU250" s="9" t="s">
        <v>1563</v>
      </c>
      <c r="AV250" s="9">
        <v>0</v>
      </c>
      <c r="AW250" s="9" t="s">
        <v>2400</v>
      </c>
      <c r="AX250" s="9">
        <v>46083</v>
      </c>
      <c r="AY250" s="9" t="s">
        <v>2401</v>
      </c>
      <c r="AZ250" s="9" t="s">
        <v>2672</v>
      </c>
      <c r="BA250" s="9">
        <v>44984</v>
      </c>
      <c r="BB250" s="9" t="s">
        <v>785</v>
      </c>
      <c r="BC250" s="9" t="s">
        <v>2673</v>
      </c>
      <c r="BD250" s="9" t="s">
        <v>1566</v>
      </c>
      <c r="BE250" s="13"/>
      <c r="BF250" s="13">
        <v>29.52</v>
      </c>
      <c r="BG250" s="12">
        <v>0.88</v>
      </c>
      <c r="BH250" s="9">
        <v>25.97924</v>
      </c>
      <c r="BI250" s="9" t="s">
        <v>1567</v>
      </c>
    </row>
    <row r="251" ht="25" customHeight="1" spans="1:61">
      <c r="A251" s="9">
        <v>278</v>
      </c>
      <c r="B251" s="9" t="s">
        <v>2674</v>
      </c>
      <c r="C251" s="9" t="s">
        <v>2675</v>
      </c>
      <c r="D251" s="9" t="s">
        <v>2581</v>
      </c>
      <c r="E251" s="10">
        <v>45026</v>
      </c>
      <c r="F251" s="9">
        <v>3.4114</v>
      </c>
      <c r="G251" s="9" t="s">
        <v>1561</v>
      </c>
      <c r="H251" s="9" t="s">
        <v>546</v>
      </c>
      <c r="I251" s="9">
        <v>70</v>
      </c>
      <c r="J251" s="9" t="s">
        <v>1562</v>
      </c>
      <c r="K251" s="9">
        <v>100</v>
      </c>
      <c r="L251" s="9">
        <v>100</v>
      </c>
      <c r="M251" s="11">
        <v>0.055</v>
      </c>
      <c r="N251" s="11">
        <v>0.0438</v>
      </c>
      <c r="O251" s="11"/>
      <c r="P251" s="11">
        <v>0.0382446668847822</v>
      </c>
      <c r="Q251" s="9">
        <v>44.73</v>
      </c>
      <c r="R251" s="9">
        <v>20.48</v>
      </c>
      <c r="S251" s="9">
        <v>35.03</v>
      </c>
      <c r="T251" s="11">
        <v>0.6923</v>
      </c>
      <c r="U251" s="11">
        <v>0.7778</v>
      </c>
      <c r="V251" s="11">
        <v>0.8241125</v>
      </c>
      <c r="W251" s="9">
        <v>69.23</v>
      </c>
      <c r="X251" s="9">
        <v>82.41125</v>
      </c>
      <c r="Y251" s="9">
        <v>74.5</v>
      </c>
      <c r="Z251" s="9">
        <v>0.0160583941605839</v>
      </c>
      <c r="AA251" s="9">
        <v>0.0417</v>
      </c>
      <c r="AB251" s="9">
        <v>0.0417</v>
      </c>
      <c r="AC251" s="9">
        <v>49.68</v>
      </c>
      <c r="AD251" s="9">
        <v>3.425</v>
      </c>
      <c r="AE251" s="9">
        <v>0.0417</v>
      </c>
      <c r="AF251" s="9">
        <v>0.917138294599094</v>
      </c>
      <c r="AG251" s="9">
        <v>57.88</v>
      </c>
      <c r="AH251" s="9">
        <v>34.04</v>
      </c>
      <c r="AI251" s="9">
        <v>48.34</v>
      </c>
      <c r="AJ251" s="9">
        <v>0.0438</v>
      </c>
      <c r="AK251" s="9">
        <v>100</v>
      </c>
      <c r="AL251" s="9">
        <v>88</v>
      </c>
      <c r="AM251" s="9">
        <v>46.87</v>
      </c>
      <c r="AN251" s="9">
        <v>49.68</v>
      </c>
      <c r="AO251" s="9">
        <v>48.34</v>
      </c>
      <c r="AP251" s="9">
        <v>100</v>
      </c>
      <c r="AQ251" s="12">
        <v>1</v>
      </c>
      <c r="AR251" s="9">
        <v>59.49755</v>
      </c>
      <c r="AS251" s="9">
        <v>59.5</v>
      </c>
      <c r="AT251" s="9">
        <v>160</v>
      </c>
      <c r="AU251" s="9"/>
      <c r="AV251" s="9">
        <v>5</v>
      </c>
      <c r="AW251" s="9" t="s">
        <v>2582</v>
      </c>
      <c r="AX251" s="9">
        <v>46154</v>
      </c>
      <c r="AY251" s="9" t="s">
        <v>2583</v>
      </c>
      <c r="AZ251" s="9" t="s">
        <v>2676</v>
      </c>
      <c r="BA251" s="9">
        <v>46185</v>
      </c>
      <c r="BB251" s="9" t="s">
        <v>785</v>
      </c>
      <c r="BC251" s="9" t="s">
        <v>2677</v>
      </c>
      <c r="BD251" s="9" t="s">
        <v>1566</v>
      </c>
      <c r="BE251" s="13">
        <v>59.49755</v>
      </c>
      <c r="BF251" s="13">
        <v>59.5</v>
      </c>
      <c r="BG251" s="12">
        <v>1</v>
      </c>
      <c r="BH251" s="9">
        <v>59.49755</v>
      </c>
      <c r="BI251" s="9" t="s">
        <v>1567</v>
      </c>
    </row>
    <row r="252" ht="25" customHeight="1" spans="1:61">
      <c r="A252" s="9">
        <v>279</v>
      </c>
      <c r="B252" s="9" t="s">
        <v>2678</v>
      </c>
      <c r="C252" s="9" t="s">
        <v>2679</v>
      </c>
      <c r="D252" s="9" t="s">
        <v>430</v>
      </c>
      <c r="E252" s="10">
        <v>45034</v>
      </c>
      <c r="F252" s="9">
        <v>3.3895</v>
      </c>
      <c r="G252" s="9" t="s">
        <v>1561</v>
      </c>
      <c r="H252" s="9" t="s">
        <v>557</v>
      </c>
      <c r="I252" s="9">
        <v>90</v>
      </c>
      <c r="J252" s="9" t="s">
        <v>1562</v>
      </c>
      <c r="K252" s="9">
        <v>100</v>
      </c>
      <c r="L252" s="9">
        <v>100</v>
      </c>
      <c r="M252" s="11">
        <v>-0.0415</v>
      </c>
      <c r="N252" s="11">
        <v>0.0693</v>
      </c>
      <c r="O252" s="11"/>
      <c r="P252" s="11">
        <v>0.129414324454376</v>
      </c>
      <c r="Q252" s="9">
        <v>7.99</v>
      </c>
      <c r="R252" s="9">
        <v>80.48</v>
      </c>
      <c r="S252" s="9">
        <v>36.99</v>
      </c>
      <c r="T252" s="11">
        <v>0.5385</v>
      </c>
      <c r="U252" s="11">
        <v>0.6389</v>
      </c>
      <c r="V252" s="11">
        <v>0.693283333333333</v>
      </c>
      <c r="W252" s="9">
        <v>53.85</v>
      </c>
      <c r="X252" s="9">
        <v>69.3283333333333</v>
      </c>
      <c r="Y252" s="9">
        <v>60.04</v>
      </c>
      <c r="Z252" s="9">
        <v>0.0656334018662028</v>
      </c>
      <c r="AA252" s="9">
        <v>0.1376</v>
      </c>
      <c r="AB252" s="9">
        <v>0.1376</v>
      </c>
      <c r="AC252" s="9">
        <v>16.67</v>
      </c>
      <c r="AD252" s="9">
        <v>-0.6323</v>
      </c>
      <c r="AE252" s="9">
        <v>0.1376</v>
      </c>
      <c r="AF252" s="9">
        <v>0.940511078883543</v>
      </c>
      <c r="AG252" s="9">
        <v>4.82</v>
      </c>
      <c r="AH252" s="9">
        <v>35.46</v>
      </c>
      <c r="AI252" s="9">
        <v>17.08</v>
      </c>
      <c r="AJ252" s="9">
        <v>0.0693</v>
      </c>
      <c r="AK252" s="9">
        <v>80</v>
      </c>
      <c r="AL252" s="9">
        <v>96</v>
      </c>
      <c r="AM252" s="9">
        <v>43.9</v>
      </c>
      <c r="AN252" s="9">
        <v>16.67</v>
      </c>
      <c r="AO252" s="9">
        <v>17.08</v>
      </c>
      <c r="AP252" s="9">
        <v>80</v>
      </c>
      <c r="AQ252" s="12">
        <v>1</v>
      </c>
      <c r="AR252" s="9">
        <v>40.47082</v>
      </c>
      <c r="AS252" s="9">
        <v>40.47</v>
      </c>
      <c r="AT252" s="9">
        <v>268</v>
      </c>
      <c r="AU252" s="9"/>
      <c r="AV252" s="9">
        <v>20</v>
      </c>
      <c r="AW252" s="9" t="s">
        <v>1405</v>
      </c>
      <c r="AX252" s="9">
        <v>46216</v>
      </c>
      <c r="AY252" s="9" t="s">
        <v>1407</v>
      </c>
      <c r="AZ252" s="9" t="s">
        <v>2680</v>
      </c>
      <c r="BA252" s="9">
        <v>46140</v>
      </c>
      <c r="BB252" s="9" t="s">
        <v>785</v>
      </c>
      <c r="BC252" s="9" t="s">
        <v>2681</v>
      </c>
      <c r="BD252" s="9" t="s">
        <v>1566</v>
      </c>
      <c r="BE252" s="13">
        <v>40.47082</v>
      </c>
      <c r="BF252" s="13">
        <v>40.47</v>
      </c>
      <c r="BG252" s="12">
        <v>1</v>
      </c>
      <c r="BH252" s="9">
        <v>40.47082</v>
      </c>
      <c r="BI252" s="9" t="s">
        <v>1567</v>
      </c>
    </row>
    <row r="253" ht="25" customHeight="1" spans="1:63">
      <c r="A253" s="9">
        <v>280</v>
      </c>
      <c r="B253" s="9" t="s">
        <v>381</v>
      </c>
      <c r="C253" s="9" t="s">
        <v>383</v>
      </c>
      <c r="D253" s="9" t="s">
        <v>384</v>
      </c>
      <c r="E253" s="10">
        <v>44904</v>
      </c>
      <c r="F253" s="9">
        <v>3.7454</v>
      </c>
      <c r="G253" s="9" t="s">
        <v>1561</v>
      </c>
      <c r="H253" s="9" t="s">
        <v>542</v>
      </c>
      <c r="I253" s="9">
        <v>60</v>
      </c>
      <c r="J253" s="9" t="s">
        <v>1562</v>
      </c>
      <c r="K253" s="9">
        <v>100</v>
      </c>
      <c r="L253" s="9">
        <v>100</v>
      </c>
      <c r="M253" s="11">
        <v>0.1638</v>
      </c>
      <c r="N253" s="11"/>
      <c r="O253" s="11"/>
      <c r="P253" s="11" t="s">
        <v>1841</v>
      </c>
      <c r="Q253" s="9">
        <v>85.94</v>
      </c>
      <c r="R253" s="9" t="s">
        <v>1841</v>
      </c>
      <c r="S253" s="9" t="s">
        <v>1841</v>
      </c>
      <c r="T253" s="11">
        <v>0.7692</v>
      </c>
      <c r="U253" s="11"/>
      <c r="V253" s="11"/>
      <c r="W253" s="9">
        <v>76.92</v>
      </c>
      <c r="X253" s="9"/>
      <c r="Y253" s="9">
        <v>76.92</v>
      </c>
      <c r="Z253" s="9">
        <v>0.0145288759191421</v>
      </c>
      <c r="AA253" s="9"/>
      <c r="AB253" s="9">
        <v>0.0145288759191421</v>
      </c>
      <c r="AC253" s="9">
        <v>77.88</v>
      </c>
      <c r="AD253" s="9">
        <v>11.2741</v>
      </c>
      <c r="AE253" s="9" t="s">
        <v>1841</v>
      </c>
      <c r="AF253" s="9" t="s">
        <v>1841</v>
      </c>
      <c r="AG253" s="9">
        <v>83.28</v>
      </c>
      <c r="AH253" s="9" t="s">
        <v>1841</v>
      </c>
      <c r="AI253" s="9" t="s">
        <v>1841</v>
      </c>
      <c r="AJ253" s="9"/>
      <c r="AK253" s="9"/>
      <c r="AL253" s="9">
        <v>84</v>
      </c>
      <c r="AM253" s="9">
        <v>83.23</v>
      </c>
      <c r="AN253" s="9">
        <v>77.88</v>
      </c>
      <c r="AO253" s="9">
        <v>83.28</v>
      </c>
      <c r="AP253" s="9"/>
      <c r="AQ253" s="12">
        <v>0.7</v>
      </c>
      <c r="AR253" s="9">
        <v>57.04848</v>
      </c>
      <c r="AS253" s="9">
        <v>81.5</v>
      </c>
      <c r="AT253" s="9">
        <v>40</v>
      </c>
      <c r="AU253" s="9" t="s">
        <v>1841</v>
      </c>
      <c r="AV253" s="9">
        <v>0</v>
      </c>
      <c r="AW253" s="9" t="s">
        <v>1383</v>
      </c>
      <c r="AX253" s="9">
        <v>46079</v>
      </c>
      <c r="AY253" s="9" t="s">
        <v>1385</v>
      </c>
      <c r="AZ253" s="9" t="s">
        <v>785</v>
      </c>
      <c r="BA253" s="9" t="s">
        <v>785</v>
      </c>
      <c r="BB253" s="9" t="s">
        <v>785</v>
      </c>
      <c r="BC253" s="9" t="s">
        <v>785</v>
      </c>
      <c r="BD253" s="9" t="s">
        <v>1898</v>
      </c>
      <c r="BE253" s="13"/>
      <c r="BF253" s="13">
        <v>81.5</v>
      </c>
      <c r="BG253" s="12">
        <v>0.7</v>
      </c>
      <c r="BH253" s="9">
        <v>57.04848</v>
      </c>
      <c r="BI253" s="9" t="s">
        <v>1567</v>
      </c>
      <c r="BJ253" t="s">
        <v>2682</v>
      </c>
      <c r="BK253" t="s">
        <v>1847</v>
      </c>
    </row>
    <row r="254" ht="25" customHeight="1" spans="1:61">
      <c r="A254" s="9">
        <v>281</v>
      </c>
      <c r="B254" s="9" t="s">
        <v>2683</v>
      </c>
      <c r="C254" s="9" t="s">
        <v>2684</v>
      </c>
      <c r="D254" s="9" t="s">
        <v>2685</v>
      </c>
      <c r="E254" s="10">
        <v>45061</v>
      </c>
      <c r="F254" s="9">
        <v>3.3155</v>
      </c>
      <c r="G254" s="9" t="s">
        <v>1561</v>
      </c>
      <c r="H254" s="9" t="s">
        <v>542</v>
      </c>
      <c r="I254" s="9">
        <v>60</v>
      </c>
      <c r="J254" s="9" t="s">
        <v>1562</v>
      </c>
      <c r="K254" s="9">
        <v>100</v>
      </c>
      <c r="L254" s="9">
        <v>100</v>
      </c>
      <c r="M254" s="11">
        <v>0.0942</v>
      </c>
      <c r="N254" s="11">
        <v>0.0509</v>
      </c>
      <c r="O254" s="11"/>
      <c r="P254" s="11">
        <v>0.0298968571214879</v>
      </c>
      <c r="Q254" s="9">
        <v>70.61</v>
      </c>
      <c r="R254" s="9">
        <v>16.19</v>
      </c>
      <c r="S254" s="9">
        <v>48.84</v>
      </c>
      <c r="T254" s="11">
        <v>0.8462</v>
      </c>
      <c r="U254" s="11">
        <v>0.8649</v>
      </c>
      <c r="V254" s="11">
        <v>0.875029166666667</v>
      </c>
      <c r="W254" s="9">
        <v>84.62</v>
      </c>
      <c r="X254" s="9">
        <v>87.5029166666667</v>
      </c>
      <c r="Y254" s="9">
        <v>85.77</v>
      </c>
      <c r="Z254" s="9">
        <v>0.0233006826951618</v>
      </c>
      <c r="AA254" s="9">
        <v>0.0269</v>
      </c>
      <c r="AB254" s="9">
        <v>0.0269</v>
      </c>
      <c r="AC254" s="9">
        <v>62.5</v>
      </c>
      <c r="AD254" s="9">
        <v>4.0428</v>
      </c>
      <c r="AE254" s="9">
        <v>0.0269</v>
      </c>
      <c r="AF254" s="9">
        <v>1.11140732793635</v>
      </c>
      <c r="AG254" s="9">
        <v>60.13</v>
      </c>
      <c r="AH254" s="9">
        <v>41.84</v>
      </c>
      <c r="AI254" s="9">
        <v>52.81</v>
      </c>
      <c r="AJ254" s="9">
        <v>0.0509</v>
      </c>
      <c r="AK254" s="9">
        <v>100</v>
      </c>
      <c r="AL254" s="9">
        <v>84</v>
      </c>
      <c r="AM254" s="9">
        <v>59.92</v>
      </c>
      <c r="AN254" s="9">
        <v>62.5</v>
      </c>
      <c r="AO254" s="9">
        <v>52.81</v>
      </c>
      <c r="AP254" s="9">
        <v>100</v>
      </c>
      <c r="AQ254" s="12">
        <v>1</v>
      </c>
      <c r="AR254" s="9">
        <v>66.05347</v>
      </c>
      <c r="AS254" s="9">
        <v>66.05</v>
      </c>
      <c r="AT254" s="9">
        <v>126</v>
      </c>
      <c r="AU254" s="9"/>
      <c r="AV254" s="9">
        <v>0</v>
      </c>
      <c r="AW254" s="9" t="s">
        <v>2686</v>
      </c>
      <c r="AX254" s="9">
        <v>46028</v>
      </c>
      <c r="AY254" s="9" t="s">
        <v>2687</v>
      </c>
      <c r="AZ254" s="9" t="s">
        <v>2688</v>
      </c>
      <c r="BA254" s="9">
        <v>45065</v>
      </c>
      <c r="BB254" s="9" t="s">
        <v>785</v>
      </c>
      <c r="BC254" s="9" t="s">
        <v>2689</v>
      </c>
      <c r="BD254" s="9" t="s">
        <v>1566</v>
      </c>
      <c r="BE254" s="13">
        <v>66.05347</v>
      </c>
      <c r="BF254" s="13">
        <v>66.05</v>
      </c>
      <c r="BG254" s="12">
        <v>1</v>
      </c>
      <c r="BH254" s="9">
        <v>66.05347</v>
      </c>
      <c r="BI254" s="9" t="s">
        <v>1567</v>
      </c>
    </row>
    <row r="255" ht="25" customHeight="1" spans="1:61">
      <c r="A255" s="9">
        <v>282</v>
      </c>
      <c r="B255" s="9" t="s">
        <v>2690</v>
      </c>
      <c r="C255" s="9" t="s">
        <v>2691</v>
      </c>
      <c r="D255" s="9" t="s">
        <v>2692</v>
      </c>
      <c r="E255" s="10">
        <v>45068</v>
      </c>
      <c r="F255" s="9">
        <v>3.2964</v>
      </c>
      <c r="G255" s="9" t="s">
        <v>1561</v>
      </c>
      <c r="H255" s="9" t="s">
        <v>542</v>
      </c>
      <c r="I255" s="9">
        <v>60</v>
      </c>
      <c r="J255" s="9" t="s">
        <v>1562</v>
      </c>
      <c r="K255" s="9">
        <v>100</v>
      </c>
      <c r="L255" s="9">
        <v>100</v>
      </c>
      <c r="M255" s="11">
        <v>0.0114</v>
      </c>
      <c r="N255" s="11">
        <v>0.0433</v>
      </c>
      <c r="O255" s="11"/>
      <c r="P255" s="11">
        <v>0.0596253422158823</v>
      </c>
      <c r="Q255" s="9">
        <v>17.89</v>
      </c>
      <c r="R255" s="9">
        <v>44.29</v>
      </c>
      <c r="S255" s="9">
        <v>28.45</v>
      </c>
      <c r="T255" s="11">
        <v>0.6154</v>
      </c>
      <c r="U255" s="11">
        <v>0.6486</v>
      </c>
      <c r="V255" s="11">
        <v>0.666583333333333</v>
      </c>
      <c r="W255" s="9">
        <v>61.54</v>
      </c>
      <c r="X255" s="9">
        <v>66.6583333333333</v>
      </c>
      <c r="Y255" s="9">
        <v>63.59</v>
      </c>
      <c r="Z255" s="9">
        <v>0.0360645365390699</v>
      </c>
      <c r="AA255" s="9">
        <v>0.0383</v>
      </c>
      <c r="AB255" s="9">
        <v>0.0383</v>
      </c>
      <c r="AC255" s="9">
        <v>52.88</v>
      </c>
      <c r="AD255" s="9">
        <v>0.3161</v>
      </c>
      <c r="AE255" s="9">
        <v>0.0383</v>
      </c>
      <c r="AF255" s="9">
        <v>1.55679744688988</v>
      </c>
      <c r="AG255" s="9">
        <v>21.22</v>
      </c>
      <c r="AH255" s="9">
        <v>53.9</v>
      </c>
      <c r="AI255" s="9">
        <v>34.29</v>
      </c>
      <c r="AJ255" s="9">
        <v>0.0433</v>
      </c>
      <c r="AK255" s="9">
        <v>80</v>
      </c>
      <c r="AL255" s="9">
        <v>84</v>
      </c>
      <c r="AM255" s="9">
        <v>38.99</v>
      </c>
      <c r="AN255" s="9">
        <v>52.88</v>
      </c>
      <c r="AO255" s="9">
        <v>34.29</v>
      </c>
      <c r="AP255" s="9">
        <v>80</v>
      </c>
      <c r="AQ255" s="12">
        <v>1</v>
      </c>
      <c r="AR255" s="9">
        <v>51.90584</v>
      </c>
      <c r="AS255" s="9">
        <v>51.91</v>
      </c>
      <c r="AT255" s="9">
        <v>207</v>
      </c>
      <c r="AU255" s="9"/>
      <c r="AV255" s="9">
        <v>0</v>
      </c>
      <c r="AW255" s="9" t="s">
        <v>2693</v>
      </c>
      <c r="AX255" s="9">
        <v>46122</v>
      </c>
      <c r="AY255" s="9" t="s">
        <v>2694</v>
      </c>
      <c r="AZ255" s="9" t="s">
        <v>2695</v>
      </c>
      <c r="BA255" s="9">
        <v>45573</v>
      </c>
      <c r="BB255" s="9" t="s">
        <v>785</v>
      </c>
      <c r="BC255" s="9" t="s">
        <v>2696</v>
      </c>
      <c r="BD255" s="9" t="s">
        <v>1566</v>
      </c>
      <c r="BE255" s="13">
        <v>51.90584</v>
      </c>
      <c r="BF255" s="13">
        <v>51.91</v>
      </c>
      <c r="BG255" s="12">
        <v>1</v>
      </c>
      <c r="BH255" s="9">
        <v>51.90584</v>
      </c>
      <c r="BI255" s="9" t="s">
        <v>1567</v>
      </c>
    </row>
    <row r="256" ht="25" customHeight="1" spans="1:61">
      <c r="A256" s="9">
        <v>283</v>
      </c>
      <c r="B256" s="9" t="s">
        <v>2697</v>
      </c>
      <c r="C256" s="9" t="s">
        <v>2698</v>
      </c>
      <c r="D256" s="9" t="s">
        <v>1885</v>
      </c>
      <c r="E256" s="10">
        <v>45127</v>
      </c>
      <c r="F256" s="9">
        <v>3.1348</v>
      </c>
      <c r="G256" s="9" t="s">
        <v>1561</v>
      </c>
      <c r="H256" s="9" t="s">
        <v>557</v>
      </c>
      <c r="I256" s="9">
        <v>90</v>
      </c>
      <c r="J256" s="9" t="s">
        <v>1562</v>
      </c>
      <c r="K256" s="9">
        <v>100</v>
      </c>
      <c r="L256" s="9">
        <v>100</v>
      </c>
      <c r="M256" s="11">
        <v>0.0336</v>
      </c>
      <c r="N256" s="11">
        <v>0.0554</v>
      </c>
      <c r="O256" s="11"/>
      <c r="P256" s="11">
        <v>0.0664718202766879</v>
      </c>
      <c r="Q256" s="9">
        <v>29.39</v>
      </c>
      <c r="R256" s="9">
        <v>48.57</v>
      </c>
      <c r="S256" s="9">
        <v>37.06</v>
      </c>
      <c r="T256" s="11">
        <v>0.7692</v>
      </c>
      <c r="U256" s="11">
        <v>0.8649</v>
      </c>
      <c r="V256" s="11">
        <v>0.9167375</v>
      </c>
      <c r="W256" s="9">
        <v>76.92</v>
      </c>
      <c r="X256" s="9">
        <v>91.67375</v>
      </c>
      <c r="Y256" s="9">
        <v>82.82</v>
      </c>
      <c r="Z256" s="9">
        <v>0.00700978449085181</v>
      </c>
      <c r="AA256" s="9">
        <v>0.0996</v>
      </c>
      <c r="AB256" s="9">
        <v>0.0996</v>
      </c>
      <c r="AC256" s="9">
        <v>26.6</v>
      </c>
      <c r="AD256" s="9">
        <v>4.7933</v>
      </c>
      <c r="AE256" s="9">
        <v>0.0996</v>
      </c>
      <c r="AF256" s="9">
        <v>0.667387753782007</v>
      </c>
      <c r="AG256" s="9">
        <v>64.31</v>
      </c>
      <c r="AH256" s="9">
        <v>23.4</v>
      </c>
      <c r="AI256" s="9">
        <v>47.95</v>
      </c>
      <c r="AJ256" s="9">
        <v>0.0554</v>
      </c>
      <c r="AK256" s="9">
        <v>80</v>
      </c>
      <c r="AL256" s="9">
        <v>96</v>
      </c>
      <c r="AM256" s="9">
        <v>50.79</v>
      </c>
      <c r="AN256" s="9">
        <v>26.6</v>
      </c>
      <c r="AO256" s="9">
        <v>47.95</v>
      </c>
      <c r="AP256" s="9">
        <v>80</v>
      </c>
      <c r="AQ256" s="12">
        <v>1</v>
      </c>
      <c r="AR256" s="9">
        <v>53.59177</v>
      </c>
      <c r="AS256" s="9">
        <v>53.59</v>
      </c>
      <c r="AT256" s="9">
        <v>200</v>
      </c>
      <c r="AU256" s="9"/>
      <c r="AV256" s="9">
        <v>20</v>
      </c>
      <c r="AW256" s="9" t="s">
        <v>1886</v>
      </c>
      <c r="AX256" s="9">
        <v>46108</v>
      </c>
      <c r="AY256" s="9" t="s">
        <v>1887</v>
      </c>
      <c r="AZ256" s="9" t="s">
        <v>2699</v>
      </c>
      <c r="BA256" s="9">
        <v>46079</v>
      </c>
      <c r="BB256" s="9" t="s">
        <v>785</v>
      </c>
      <c r="BC256" s="9" t="s">
        <v>2700</v>
      </c>
      <c r="BD256" s="9" t="s">
        <v>1566</v>
      </c>
      <c r="BE256" s="13">
        <v>53.59177</v>
      </c>
      <c r="BF256" s="13">
        <v>53.59</v>
      </c>
      <c r="BG256" s="12">
        <v>1</v>
      </c>
      <c r="BH256" s="9">
        <v>53.59177</v>
      </c>
      <c r="BI256" s="9" t="s">
        <v>1567</v>
      </c>
    </row>
    <row r="257" ht="25" customHeight="1" spans="1:61">
      <c r="A257" s="9">
        <v>284</v>
      </c>
      <c r="B257" s="9" t="s">
        <v>2701</v>
      </c>
      <c r="C257" s="9" t="s">
        <v>2702</v>
      </c>
      <c r="D257" s="9" t="s">
        <v>2703</v>
      </c>
      <c r="E257" s="10">
        <v>45127</v>
      </c>
      <c r="F257" s="9">
        <v>3.1348</v>
      </c>
      <c r="G257" s="9" t="s">
        <v>1561</v>
      </c>
      <c r="H257" s="9" t="s">
        <v>542</v>
      </c>
      <c r="I257" s="9">
        <v>60</v>
      </c>
      <c r="J257" s="9" t="s">
        <v>1562</v>
      </c>
      <c r="K257" s="9">
        <v>100</v>
      </c>
      <c r="L257" s="9">
        <v>100</v>
      </c>
      <c r="M257" s="11">
        <v>0.0659</v>
      </c>
      <c r="N257" s="11">
        <v>0.0268</v>
      </c>
      <c r="O257" s="11"/>
      <c r="P257" s="11">
        <v>0.00779119327884503</v>
      </c>
      <c r="Q257" s="9">
        <v>52.4</v>
      </c>
      <c r="R257" s="9">
        <v>5.71</v>
      </c>
      <c r="S257" s="9">
        <v>33.72</v>
      </c>
      <c r="T257" s="11">
        <v>0.8462</v>
      </c>
      <c r="U257" s="11">
        <v>0.8919</v>
      </c>
      <c r="V257" s="11">
        <v>0.916654166666667</v>
      </c>
      <c r="W257" s="9">
        <v>84.62</v>
      </c>
      <c r="X257" s="9">
        <v>91.6654166666667</v>
      </c>
      <c r="Y257" s="9">
        <v>87.44</v>
      </c>
      <c r="Z257" s="9">
        <v>0.00381812071982294</v>
      </c>
      <c r="AA257" s="9">
        <v>0.0225</v>
      </c>
      <c r="AB257" s="9">
        <v>0.0225</v>
      </c>
      <c r="AC257" s="9">
        <v>69.55</v>
      </c>
      <c r="AD257" s="9">
        <v>17.2598</v>
      </c>
      <c r="AE257" s="9">
        <v>0.0225</v>
      </c>
      <c r="AF257" s="9">
        <v>0.346275256837557</v>
      </c>
      <c r="AG257" s="9">
        <v>87.78</v>
      </c>
      <c r="AH257" s="9">
        <v>13.48</v>
      </c>
      <c r="AI257" s="9">
        <v>58.06</v>
      </c>
      <c r="AJ257" s="9">
        <v>0.0268</v>
      </c>
      <c r="AK257" s="9">
        <v>100</v>
      </c>
      <c r="AL257" s="9">
        <v>84</v>
      </c>
      <c r="AM257" s="9">
        <v>49.84</v>
      </c>
      <c r="AN257" s="9">
        <v>69.55</v>
      </c>
      <c r="AO257" s="9">
        <v>58.06</v>
      </c>
      <c r="AP257" s="9">
        <v>100</v>
      </c>
      <c r="AQ257" s="12">
        <v>1</v>
      </c>
      <c r="AR257" s="9">
        <v>67.37315</v>
      </c>
      <c r="AS257" s="9">
        <v>67.37</v>
      </c>
      <c r="AT257" s="9">
        <v>118</v>
      </c>
      <c r="AU257" s="9"/>
      <c r="AV257" s="9">
        <v>0</v>
      </c>
      <c r="AW257" s="9" t="s">
        <v>2704</v>
      </c>
      <c r="AX257" s="9">
        <v>46052</v>
      </c>
      <c r="AY257" s="9" t="s">
        <v>2705</v>
      </c>
      <c r="AZ257" s="9" t="s">
        <v>2706</v>
      </c>
      <c r="BA257" s="9">
        <v>45803</v>
      </c>
      <c r="BB257" s="9" t="s">
        <v>785</v>
      </c>
      <c r="BC257" s="9" t="s">
        <v>2707</v>
      </c>
      <c r="BD257" s="9" t="s">
        <v>1566</v>
      </c>
      <c r="BE257" s="13">
        <v>67.37315</v>
      </c>
      <c r="BF257" s="13">
        <v>67.37</v>
      </c>
      <c r="BG257" s="12">
        <v>1</v>
      </c>
      <c r="BH257" s="9">
        <v>67.37315</v>
      </c>
      <c r="BI257" s="9" t="s">
        <v>1567</v>
      </c>
    </row>
    <row r="258" ht="25" customHeight="1" spans="1:61">
      <c r="A258" s="9">
        <v>285</v>
      </c>
      <c r="B258" s="9" t="s">
        <v>2708</v>
      </c>
      <c r="C258" s="9" t="s">
        <v>2709</v>
      </c>
      <c r="D258" s="9" t="s">
        <v>2318</v>
      </c>
      <c r="E258" s="10">
        <v>42695</v>
      </c>
      <c r="F258" s="9">
        <v>9.7933</v>
      </c>
      <c r="G258" s="9" t="s">
        <v>1561</v>
      </c>
      <c r="H258" s="9" t="s">
        <v>572</v>
      </c>
      <c r="I258" s="9">
        <v>100</v>
      </c>
      <c r="J258" s="9" t="s">
        <v>1562</v>
      </c>
      <c r="K258" s="9">
        <v>100</v>
      </c>
      <c r="L258" s="9">
        <v>100</v>
      </c>
      <c r="M258" s="11">
        <v>0.0588</v>
      </c>
      <c r="N258" s="11">
        <v>0.0584</v>
      </c>
      <c r="O258" s="11"/>
      <c r="P258" s="11">
        <v>0.0582000566714946</v>
      </c>
      <c r="Q258" s="9">
        <v>47.28</v>
      </c>
      <c r="R258" s="9">
        <v>41.43</v>
      </c>
      <c r="S258" s="9">
        <v>44.94</v>
      </c>
      <c r="T258" s="11">
        <v>0.9231</v>
      </c>
      <c r="U258" s="11">
        <v>0.8649</v>
      </c>
      <c r="V258" s="11">
        <v>0.833375</v>
      </c>
      <c r="W258" s="9">
        <v>92.31</v>
      </c>
      <c r="X258" s="9">
        <v>83.3375</v>
      </c>
      <c r="Y258" s="9">
        <v>88.72</v>
      </c>
      <c r="Z258" s="9">
        <v>0.00618550194085903</v>
      </c>
      <c r="AA258" s="9">
        <v>0.0355</v>
      </c>
      <c r="AB258" s="9">
        <v>0.0355</v>
      </c>
      <c r="AC258" s="9">
        <v>54.81</v>
      </c>
      <c r="AD258" s="9">
        <v>9.5061</v>
      </c>
      <c r="AE258" s="9">
        <v>0.0355</v>
      </c>
      <c r="AF258" s="9">
        <v>1.63943821609844</v>
      </c>
      <c r="AG258" s="9">
        <v>78.46</v>
      </c>
      <c r="AH258" s="9">
        <v>56.03</v>
      </c>
      <c r="AI258" s="9">
        <v>69.49</v>
      </c>
      <c r="AJ258" s="9">
        <v>0.0584</v>
      </c>
      <c r="AK258" s="9">
        <v>100</v>
      </c>
      <c r="AL258" s="9">
        <v>100</v>
      </c>
      <c r="AM258" s="9">
        <v>58.07</v>
      </c>
      <c r="AN258" s="9">
        <v>54.81</v>
      </c>
      <c r="AO258" s="9">
        <v>69.49</v>
      </c>
      <c r="AP258" s="9">
        <v>100</v>
      </c>
      <c r="AQ258" s="12">
        <v>1</v>
      </c>
      <c r="AR258" s="9">
        <v>71.16376</v>
      </c>
      <c r="AS258" s="9">
        <v>71.16</v>
      </c>
      <c r="AT258" s="9">
        <v>96</v>
      </c>
      <c r="AU258" s="9"/>
      <c r="AV258" s="9">
        <v>100</v>
      </c>
      <c r="AW258" s="9" t="s">
        <v>2319</v>
      </c>
      <c r="AX258" s="9">
        <v>45194</v>
      </c>
      <c r="AY258" s="9" t="s">
        <v>2320</v>
      </c>
      <c r="AZ258" s="9" t="s">
        <v>785</v>
      </c>
      <c r="BA258" s="9" t="s">
        <v>785</v>
      </c>
      <c r="BB258" s="9" t="s">
        <v>785</v>
      </c>
      <c r="BC258" s="9" t="s">
        <v>785</v>
      </c>
      <c r="BD258" s="9" t="s">
        <v>1898</v>
      </c>
      <c r="BE258" s="13">
        <v>71.16376</v>
      </c>
      <c r="BF258" s="13">
        <v>71.16</v>
      </c>
      <c r="BG258" s="12">
        <v>1</v>
      </c>
      <c r="BH258" s="9">
        <v>71.16376</v>
      </c>
      <c r="BI258" s="9" t="s">
        <v>1567</v>
      </c>
    </row>
    <row r="259" ht="25" customHeight="1" spans="1:63">
      <c r="A259" s="9">
        <v>286</v>
      </c>
      <c r="B259" s="9" t="s">
        <v>2710</v>
      </c>
      <c r="C259" s="9" t="s">
        <v>2711</v>
      </c>
      <c r="D259" s="9" t="s">
        <v>2325</v>
      </c>
      <c r="E259" s="10">
        <v>42611</v>
      </c>
      <c r="F259" s="9">
        <v>10.0233</v>
      </c>
      <c r="G259" s="9" t="s">
        <v>1561</v>
      </c>
      <c r="H259" s="9" t="s">
        <v>546</v>
      </c>
      <c r="I259" s="9">
        <v>70</v>
      </c>
      <c r="J259" s="9" t="s">
        <v>1562</v>
      </c>
      <c r="K259" s="9">
        <v>100</v>
      </c>
      <c r="L259" s="9">
        <v>100</v>
      </c>
      <c r="M259" s="11">
        <v>0.2012</v>
      </c>
      <c r="N259" s="11"/>
      <c r="O259" s="11"/>
      <c r="P259" s="11" t="s">
        <v>1841</v>
      </c>
      <c r="Q259" s="9">
        <v>88.5</v>
      </c>
      <c r="R259" s="9" t="s">
        <v>1841</v>
      </c>
      <c r="S259" s="9" t="s">
        <v>1841</v>
      </c>
      <c r="T259" s="11">
        <v>0.7692</v>
      </c>
      <c r="U259" s="11"/>
      <c r="V259" s="11"/>
      <c r="W259" s="9">
        <v>76.92</v>
      </c>
      <c r="X259" s="9"/>
      <c r="Y259" s="9">
        <v>76.92</v>
      </c>
      <c r="Z259" s="9">
        <v>0.0295083890648833</v>
      </c>
      <c r="AA259" s="9"/>
      <c r="AB259" s="9">
        <v>0.0295083890648833</v>
      </c>
      <c r="AC259" s="9">
        <v>58.97</v>
      </c>
      <c r="AD259" s="9">
        <v>6.8184</v>
      </c>
      <c r="AE259" s="9" t="s">
        <v>1841</v>
      </c>
      <c r="AF259" s="9" t="s">
        <v>1841</v>
      </c>
      <c r="AG259" s="9">
        <v>70.42</v>
      </c>
      <c r="AH259" s="9" t="s">
        <v>1841</v>
      </c>
      <c r="AI259" s="9" t="s">
        <v>1841</v>
      </c>
      <c r="AJ259" s="9"/>
      <c r="AK259" s="9"/>
      <c r="AL259" s="9">
        <v>88</v>
      </c>
      <c r="AM259" s="9">
        <v>85.03</v>
      </c>
      <c r="AN259" s="9">
        <v>58.97</v>
      </c>
      <c r="AO259" s="9">
        <v>70.42</v>
      </c>
      <c r="AP259" s="9"/>
      <c r="AQ259" s="12">
        <v>0.7</v>
      </c>
      <c r="AR259" s="9">
        <v>50.82122</v>
      </c>
      <c r="AS259" s="9">
        <v>72.6</v>
      </c>
      <c r="AT259" s="9">
        <v>89</v>
      </c>
      <c r="AU259" s="9" t="s">
        <v>1841</v>
      </c>
      <c r="AV259" s="9">
        <v>5</v>
      </c>
      <c r="AW259" s="9" t="s">
        <v>2326</v>
      </c>
      <c r="AX259" s="9">
        <v>46027</v>
      </c>
      <c r="AY259" s="9" t="s">
        <v>2327</v>
      </c>
      <c r="AZ259" s="9" t="s">
        <v>785</v>
      </c>
      <c r="BA259" s="9" t="s">
        <v>785</v>
      </c>
      <c r="BB259" s="9" t="s">
        <v>785</v>
      </c>
      <c r="BC259" s="9" t="s">
        <v>785</v>
      </c>
      <c r="BD259" s="9" t="s">
        <v>1898</v>
      </c>
      <c r="BE259" s="13"/>
      <c r="BF259" s="13">
        <v>72.6</v>
      </c>
      <c r="BG259" s="12">
        <v>0.7</v>
      </c>
      <c r="BH259" s="9">
        <v>50.82122</v>
      </c>
      <c r="BI259" s="9" t="s">
        <v>1567</v>
      </c>
      <c r="BJ259" t="s">
        <v>2712</v>
      </c>
      <c r="BK259" t="s">
        <v>1847</v>
      </c>
    </row>
    <row r="260" ht="25" customHeight="1" spans="1:61">
      <c r="A260" s="9">
        <v>287</v>
      </c>
      <c r="B260" s="9" t="s">
        <v>2713</v>
      </c>
      <c r="C260" s="9" t="s">
        <v>2714</v>
      </c>
      <c r="D260" s="9" t="s">
        <v>2715</v>
      </c>
      <c r="E260" s="10">
        <v>45159</v>
      </c>
      <c r="F260" s="9">
        <v>3.0472</v>
      </c>
      <c r="G260" s="9" t="s">
        <v>1561</v>
      </c>
      <c r="H260" s="9" t="s">
        <v>546</v>
      </c>
      <c r="I260" s="9">
        <v>70</v>
      </c>
      <c r="J260" s="9" t="s">
        <v>1562</v>
      </c>
      <c r="K260" s="9">
        <v>100</v>
      </c>
      <c r="L260" s="9">
        <v>100</v>
      </c>
      <c r="M260" s="11">
        <v>0.1836</v>
      </c>
      <c r="N260" s="11">
        <v>0.0851</v>
      </c>
      <c r="O260" s="11"/>
      <c r="P260" s="11">
        <v>0.0389679889831216</v>
      </c>
      <c r="Q260" s="9">
        <v>86.58</v>
      </c>
      <c r="R260" s="9">
        <v>22.86</v>
      </c>
      <c r="S260" s="9">
        <v>61.09</v>
      </c>
      <c r="T260" s="11">
        <v>0.9231</v>
      </c>
      <c r="U260" s="11">
        <v>0.7568</v>
      </c>
      <c r="V260" s="11">
        <v>0.666720833333333</v>
      </c>
      <c r="W260" s="9">
        <v>92.31</v>
      </c>
      <c r="X260" s="9">
        <v>66.6720833333333</v>
      </c>
      <c r="Y260" s="9">
        <v>82.05</v>
      </c>
      <c r="Z260" s="9">
        <v>0.0114984280471461</v>
      </c>
      <c r="AA260" s="9">
        <v>0.067</v>
      </c>
      <c r="AB260" s="9">
        <v>0.067</v>
      </c>
      <c r="AC260" s="9">
        <v>35.9</v>
      </c>
      <c r="AD260" s="9">
        <v>15.9674</v>
      </c>
      <c r="AE260" s="9">
        <v>0.067</v>
      </c>
      <c r="AF260" s="9">
        <v>0.581611775867486</v>
      </c>
      <c r="AG260" s="9">
        <v>86.17</v>
      </c>
      <c r="AH260" s="9">
        <v>20.57</v>
      </c>
      <c r="AI260" s="9">
        <v>59.93</v>
      </c>
      <c r="AJ260" s="9">
        <v>0.0851</v>
      </c>
      <c r="AK260" s="9">
        <v>100</v>
      </c>
      <c r="AL260" s="9">
        <v>88</v>
      </c>
      <c r="AM260" s="9">
        <v>67.38</v>
      </c>
      <c r="AN260" s="9">
        <v>35.9</v>
      </c>
      <c r="AO260" s="9">
        <v>59.93</v>
      </c>
      <c r="AP260" s="9">
        <v>100</v>
      </c>
      <c r="AQ260" s="12">
        <v>1</v>
      </c>
      <c r="AR260" s="9">
        <v>63.63017</v>
      </c>
      <c r="AS260" s="9">
        <v>63.63</v>
      </c>
      <c r="AT260" s="9">
        <v>140</v>
      </c>
      <c r="AU260" s="9"/>
      <c r="AV260" s="9">
        <v>5</v>
      </c>
      <c r="AW260" s="9" t="s">
        <v>2716</v>
      </c>
      <c r="AX260" s="9">
        <v>46171</v>
      </c>
      <c r="AY260" s="9" t="s">
        <v>2717</v>
      </c>
      <c r="AZ260" s="9" t="s">
        <v>2718</v>
      </c>
      <c r="BA260" s="9">
        <v>46223</v>
      </c>
      <c r="BB260" s="9" t="s">
        <v>785</v>
      </c>
      <c r="BC260" s="9" t="s">
        <v>2719</v>
      </c>
      <c r="BD260" s="9" t="s">
        <v>1566</v>
      </c>
      <c r="BE260" s="13">
        <v>63.63017</v>
      </c>
      <c r="BF260" s="13">
        <v>63.63</v>
      </c>
      <c r="BG260" s="12">
        <v>1</v>
      </c>
      <c r="BH260" s="9">
        <v>63.63017</v>
      </c>
      <c r="BI260" s="9" t="s">
        <v>1567</v>
      </c>
    </row>
    <row r="261" ht="25" customHeight="1" spans="1:61">
      <c r="A261" s="9">
        <v>288</v>
      </c>
      <c r="B261" s="9" t="s">
        <v>288</v>
      </c>
      <c r="C261" s="9" t="s">
        <v>289</v>
      </c>
      <c r="D261" s="9" t="s">
        <v>284</v>
      </c>
      <c r="E261" s="10">
        <v>45166</v>
      </c>
      <c r="F261" s="9">
        <v>3.0281</v>
      </c>
      <c r="G261" s="9" t="s">
        <v>1561</v>
      </c>
      <c r="H261" s="9" t="s">
        <v>551</v>
      </c>
      <c r="I261" s="9">
        <v>80</v>
      </c>
      <c r="J261" s="9" t="s">
        <v>1562</v>
      </c>
      <c r="K261" s="9">
        <v>100</v>
      </c>
      <c r="L261" s="9">
        <v>100</v>
      </c>
      <c r="M261" s="11">
        <v>0.1177</v>
      </c>
      <c r="N261" s="11">
        <v>0.0965</v>
      </c>
      <c r="O261" s="11"/>
      <c r="P261" s="11">
        <v>0.0860512719188937</v>
      </c>
      <c r="Q261" s="9">
        <v>78.27</v>
      </c>
      <c r="R261" s="9">
        <v>63.81</v>
      </c>
      <c r="S261" s="9">
        <v>72.49</v>
      </c>
      <c r="T261" s="11">
        <v>0.7692</v>
      </c>
      <c r="U261" s="11">
        <v>0.8056</v>
      </c>
      <c r="V261" s="11">
        <v>0.825316666666667</v>
      </c>
      <c r="W261" s="9">
        <v>76.92</v>
      </c>
      <c r="X261" s="9">
        <v>82.5316666666667</v>
      </c>
      <c r="Y261" s="9">
        <v>79.16</v>
      </c>
      <c r="Z261" s="9">
        <v>0.0374626010567191</v>
      </c>
      <c r="AA261" s="9">
        <v>0.0375</v>
      </c>
      <c r="AB261" s="9">
        <v>0.0375</v>
      </c>
      <c r="AC261" s="9">
        <v>53.21</v>
      </c>
      <c r="AD261" s="9">
        <v>3.1418</v>
      </c>
      <c r="AE261" s="9"/>
      <c r="AF261" s="9"/>
      <c r="AG261" s="9">
        <v>55.63</v>
      </c>
      <c r="AH261" s="9"/>
      <c r="AI261" s="9">
        <v>55.63</v>
      </c>
      <c r="AJ261" s="9">
        <v>0.0965</v>
      </c>
      <c r="AK261" s="9">
        <v>100</v>
      </c>
      <c r="AL261" s="9">
        <v>92</v>
      </c>
      <c r="AM261" s="9">
        <v>74.49</v>
      </c>
      <c r="AN261" s="9">
        <v>53.21</v>
      </c>
      <c r="AO261" s="9">
        <v>55.63</v>
      </c>
      <c r="AP261" s="9">
        <v>100</v>
      </c>
      <c r="AQ261" s="12">
        <v>0.88</v>
      </c>
      <c r="AR261" s="9">
        <v>62.01382</v>
      </c>
      <c r="AS261" s="9">
        <v>70.47</v>
      </c>
      <c r="AT261" s="9">
        <v>101</v>
      </c>
      <c r="AU261" s="9" t="s">
        <v>1563</v>
      </c>
      <c r="AV261" s="9">
        <v>10</v>
      </c>
      <c r="AW261" s="9" t="s">
        <v>1350</v>
      </c>
      <c r="AX261" s="9">
        <v>46185</v>
      </c>
      <c r="AY261" s="9" t="s">
        <v>1352</v>
      </c>
      <c r="AZ261" s="9" t="s">
        <v>2720</v>
      </c>
      <c r="BA261" s="9">
        <v>46225</v>
      </c>
      <c r="BB261" s="9" t="s">
        <v>785</v>
      </c>
      <c r="BC261" s="9" t="s">
        <v>916</v>
      </c>
      <c r="BD261" s="9" t="s">
        <v>1566</v>
      </c>
      <c r="BE261" s="13"/>
      <c r="BF261" s="13">
        <v>70.47</v>
      </c>
      <c r="BG261" s="12">
        <v>0.88</v>
      </c>
      <c r="BH261" s="9">
        <v>62.01382</v>
      </c>
      <c r="BI261" s="9" t="s">
        <v>1567</v>
      </c>
    </row>
    <row r="262" ht="25" customHeight="1" spans="1:61">
      <c r="A262" s="9">
        <v>289</v>
      </c>
      <c r="B262" s="9" t="s">
        <v>2721</v>
      </c>
      <c r="C262" s="9" t="s">
        <v>2722</v>
      </c>
      <c r="D262" s="9" t="s">
        <v>1885</v>
      </c>
      <c r="E262" s="10">
        <v>45181</v>
      </c>
      <c r="F262" s="9">
        <v>2.987</v>
      </c>
      <c r="G262" s="9" t="s">
        <v>1561</v>
      </c>
      <c r="H262" s="9" t="s">
        <v>557</v>
      </c>
      <c r="I262" s="9">
        <v>90</v>
      </c>
      <c r="J262" s="9" t="s">
        <v>1562</v>
      </c>
      <c r="K262" s="9">
        <v>100</v>
      </c>
      <c r="L262" s="9">
        <v>70</v>
      </c>
      <c r="M262" s="11">
        <v>0.0853</v>
      </c>
      <c r="N262" s="11"/>
      <c r="O262" s="11"/>
      <c r="P262" s="11"/>
      <c r="Q262" s="9">
        <v>65.5</v>
      </c>
      <c r="R262" s="9"/>
      <c r="S262" s="9">
        <v>65.5</v>
      </c>
      <c r="T262" s="11">
        <v>0.6923</v>
      </c>
      <c r="U262" s="11"/>
      <c r="V262" s="11"/>
      <c r="W262" s="9">
        <v>69.23</v>
      </c>
      <c r="X262" s="9"/>
      <c r="Y262" s="9">
        <v>69.23</v>
      </c>
      <c r="Z262" s="9">
        <v>0.0294462855564761</v>
      </c>
      <c r="AA262" s="9"/>
      <c r="AB262" s="9">
        <v>0.0294462855564761</v>
      </c>
      <c r="AC262" s="9">
        <v>59.29</v>
      </c>
      <c r="AD262" s="9">
        <v>2.8968</v>
      </c>
      <c r="AE262" s="9"/>
      <c r="AF262" s="9"/>
      <c r="AG262" s="9">
        <v>53.7</v>
      </c>
      <c r="AH262" s="9"/>
      <c r="AI262" s="9">
        <v>53.7</v>
      </c>
      <c r="AJ262" s="9"/>
      <c r="AK262" s="9"/>
      <c r="AL262" s="9">
        <v>87</v>
      </c>
      <c r="AM262" s="9">
        <v>66.62</v>
      </c>
      <c r="AN262" s="9">
        <v>59.29</v>
      </c>
      <c r="AO262" s="9">
        <v>53.7</v>
      </c>
      <c r="AP262" s="9"/>
      <c r="AQ262" s="12">
        <v>0.7</v>
      </c>
      <c r="AR262" s="9">
        <v>45.53278</v>
      </c>
      <c r="AS262" s="9">
        <v>65.05</v>
      </c>
      <c r="AT262" s="9">
        <v>130</v>
      </c>
      <c r="AU262" s="9" t="s">
        <v>1931</v>
      </c>
      <c r="AV262" s="9">
        <v>20</v>
      </c>
      <c r="AW262" s="9" t="s">
        <v>1886</v>
      </c>
      <c r="AX262" s="9">
        <v>46108</v>
      </c>
      <c r="AY262" s="9" t="s">
        <v>1887</v>
      </c>
      <c r="AZ262" s="9" t="s">
        <v>2723</v>
      </c>
      <c r="BA262" s="9">
        <v>46238</v>
      </c>
      <c r="BB262" s="9" t="s">
        <v>785</v>
      </c>
      <c r="BC262" s="9" t="s">
        <v>2724</v>
      </c>
      <c r="BD262" s="9" t="s">
        <v>1566</v>
      </c>
      <c r="BE262" s="13"/>
      <c r="BF262" s="13">
        <v>65.05</v>
      </c>
      <c r="BG262" s="12">
        <v>0.7</v>
      </c>
      <c r="BH262" s="9">
        <v>45.53278</v>
      </c>
      <c r="BI262" s="9" t="s">
        <v>1567</v>
      </c>
    </row>
    <row r="263" ht="25" customHeight="1" spans="1:61">
      <c r="A263" s="9">
        <v>290</v>
      </c>
      <c r="B263" s="9" t="s">
        <v>2725</v>
      </c>
      <c r="C263" s="9" t="s">
        <v>2726</v>
      </c>
      <c r="D263" s="9" t="s">
        <v>2727</v>
      </c>
      <c r="E263" s="10">
        <v>45273</v>
      </c>
      <c r="F263" s="9">
        <v>2.7351</v>
      </c>
      <c r="G263" s="9" t="s">
        <v>1561</v>
      </c>
      <c r="H263" s="9" t="s">
        <v>557</v>
      </c>
      <c r="I263" s="9">
        <v>90</v>
      </c>
      <c r="J263" s="9" t="s">
        <v>1562</v>
      </c>
      <c r="K263" s="9">
        <v>100</v>
      </c>
      <c r="L263" s="9">
        <v>70</v>
      </c>
      <c r="M263" s="11">
        <v>0.0154</v>
      </c>
      <c r="N263" s="11"/>
      <c r="O263" s="11"/>
      <c r="P263" s="11"/>
      <c r="Q263" s="9">
        <v>20.13</v>
      </c>
      <c r="R263" s="9"/>
      <c r="S263" s="9">
        <v>20.13</v>
      </c>
      <c r="T263" s="11">
        <v>0.7692</v>
      </c>
      <c r="U263" s="11"/>
      <c r="V263" s="11"/>
      <c r="W263" s="9">
        <v>76.92</v>
      </c>
      <c r="X263" s="9"/>
      <c r="Y263" s="9">
        <v>76.92</v>
      </c>
      <c r="Z263" s="9">
        <v>0.283609576427256</v>
      </c>
      <c r="AA263" s="9"/>
      <c r="AB263" s="9">
        <v>0.283609576427256</v>
      </c>
      <c r="AC263" s="9">
        <v>4.81</v>
      </c>
      <c r="AD263" s="9">
        <v>0.0543</v>
      </c>
      <c r="AE263" s="9"/>
      <c r="AF263" s="9"/>
      <c r="AG263" s="9">
        <v>16.08</v>
      </c>
      <c r="AH263" s="9"/>
      <c r="AI263" s="9">
        <v>16.08</v>
      </c>
      <c r="AJ263" s="9"/>
      <c r="AK263" s="9"/>
      <c r="AL263" s="9">
        <v>87</v>
      </c>
      <c r="AM263" s="9">
        <v>37.17</v>
      </c>
      <c r="AN263" s="9">
        <v>4.81</v>
      </c>
      <c r="AO263" s="9">
        <v>16.08</v>
      </c>
      <c r="AP263" s="9"/>
      <c r="AQ263" s="12">
        <v>0.7</v>
      </c>
      <c r="AR263" s="9">
        <v>21.60694</v>
      </c>
      <c r="AS263" s="9">
        <v>30.87</v>
      </c>
      <c r="AT263" s="9">
        <v>293</v>
      </c>
      <c r="AU263" s="9" t="s">
        <v>1931</v>
      </c>
      <c r="AV263" s="9">
        <v>20</v>
      </c>
      <c r="AW263" s="9" t="s">
        <v>2728</v>
      </c>
      <c r="AX263" s="9">
        <v>45958</v>
      </c>
      <c r="AY263" s="9" t="s">
        <v>2729</v>
      </c>
      <c r="AZ263" s="9" t="s">
        <v>2730</v>
      </c>
      <c r="BA263" s="9">
        <v>46135</v>
      </c>
      <c r="BB263" s="9" t="s">
        <v>785</v>
      </c>
      <c r="BC263" s="9" t="s">
        <v>2731</v>
      </c>
      <c r="BD263" s="9" t="s">
        <v>1566</v>
      </c>
      <c r="BE263" s="13"/>
      <c r="BF263" s="13">
        <v>30.87</v>
      </c>
      <c r="BG263" s="12">
        <v>0.7</v>
      </c>
      <c r="BH263" s="9">
        <v>21.60694</v>
      </c>
      <c r="BI263" s="9" t="s">
        <v>1567</v>
      </c>
    </row>
    <row r="264" ht="25" customHeight="1" spans="1:61">
      <c r="A264" s="9">
        <v>291</v>
      </c>
      <c r="B264" s="9" t="s">
        <v>2732</v>
      </c>
      <c r="C264" s="9" t="s">
        <v>2733</v>
      </c>
      <c r="D264" s="9" t="s">
        <v>2734</v>
      </c>
      <c r="E264" s="10">
        <v>45314</v>
      </c>
      <c r="F264" s="9">
        <v>2.6229</v>
      </c>
      <c r="G264" s="9" t="s">
        <v>1561</v>
      </c>
      <c r="H264" s="9" t="s">
        <v>542</v>
      </c>
      <c r="I264" s="9">
        <v>60</v>
      </c>
      <c r="J264" s="9" t="s">
        <v>1562</v>
      </c>
      <c r="K264" s="9">
        <v>100</v>
      </c>
      <c r="L264" s="9">
        <v>70</v>
      </c>
      <c r="M264" s="11">
        <v>0.0442</v>
      </c>
      <c r="N264" s="11"/>
      <c r="O264" s="11"/>
      <c r="P264" s="11"/>
      <c r="Q264" s="9">
        <v>37.06</v>
      </c>
      <c r="R264" s="9"/>
      <c r="S264" s="9">
        <v>37.06</v>
      </c>
      <c r="T264" s="11">
        <v>0.5385</v>
      </c>
      <c r="U264" s="11"/>
      <c r="V264" s="11"/>
      <c r="W264" s="9">
        <v>53.85</v>
      </c>
      <c r="X264" s="9"/>
      <c r="Y264" s="9">
        <v>53.85</v>
      </c>
      <c r="Z264" s="9">
        <v>0.0270138124923603</v>
      </c>
      <c r="AA264" s="9"/>
      <c r="AB264" s="9">
        <v>0.0270138124923603</v>
      </c>
      <c r="AC264" s="9">
        <v>62.18</v>
      </c>
      <c r="AD264" s="9">
        <v>1.6362</v>
      </c>
      <c r="AE264" s="9"/>
      <c r="AF264" s="9"/>
      <c r="AG264" s="9">
        <v>38.59</v>
      </c>
      <c r="AH264" s="9"/>
      <c r="AI264" s="9">
        <v>38.59</v>
      </c>
      <c r="AJ264" s="9"/>
      <c r="AK264" s="9"/>
      <c r="AL264" s="9">
        <v>75</v>
      </c>
      <c r="AM264" s="9">
        <v>42.1</v>
      </c>
      <c r="AN264" s="9">
        <v>62.18</v>
      </c>
      <c r="AO264" s="9">
        <v>38.59</v>
      </c>
      <c r="AP264" s="9"/>
      <c r="AQ264" s="12">
        <v>0.7</v>
      </c>
      <c r="AR264" s="9">
        <v>38.79284</v>
      </c>
      <c r="AS264" s="9">
        <v>55.42</v>
      </c>
      <c r="AT264" s="9">
        <v>187</v>
      </c>
      <c r="AU264" s="9" t="s">
        <v>1931</v>
      </c>
      <c r="AV264" s="9">
        <v>0</v>
      </c>
      <c r="AW264" s="9" t="s">
        <v>2735</v>
      </c>
      <c r="AX264" s="9">
        <v>46087</v>
      </c>
      <c r="AY264" s="9" t="s">
        <v>2736</v>
      </c>
      <c r="AZ264" s="9" t="s">
        <v>2737</v>
      </c>
      <c r="BA264" s="9">
        <v>45770</v>
      </c>
      <c r="BB264" s="9" t="s">
        <v>785</v>
      </c>
      <c r="BC264" s="9" t="s">
        <v>2738</v>
      </c>
      <c r="BD264" s="9" t="s">
        <v>1566</v>
      </c>
      <c r="BE264" s="13"/>
      <c r="BF264" s="13">
        <v>55.42</v>
      </c>
      <c r="BG264" s="12">
        <v>0.7</v>
      </c>
      <c r="BH264" s="9">
        <v>38.79284</v>
      </c>
      <c r="BI264" s="9" t="s">
        <v>1567</v>
      </c>
    </row>
    <row r="265" ht="25" customHeight="1" spans="1:61">
      <c r="A265" s="9">
        <v>292</v>
      </c>
      <c r="B265" s="9" t="s">
        <v>2739</v>
      </c>
      <c r="C265" s="9" t="s">
        <v>2740</v>
      </c>
      <c r="D265" s="9" t="s">
        <v>2284</v>
      </c>
      <c r="E265" s="10">
        <v>45314</v>
      </c>
      <c r="F265" s="9">
        <v>2.6229</v>
      </c>
      <c r="G265" s="9" t="s">
        <v>1561</v>
      </c>
      <c r="H265" s="9" t="s">
        <v>551</v>
      </c>
      <c r="I265" s="9">
        <v>80</v>
      </c>
      <c r="J265" s="9" t="s">
        <v>1562</v>
      </c>
      <c r="K265" s="9">
        <v>100</v>
      </c>
      <c r="L265" s="9">
        <v>70</v>
      </c>
      <c r="M265" s="11">
        <v>-0.0942</v>
      </c>
      <c r="N265" s="11"/>
      <c r="O265" s="11"/>
      <c r="P265" s="11"/>
      <c r="Q265" s="9">
        <v>3.83</v>
      </c>
      <c r="R265" s="9"/>
      <c r="S265" s="9">
        <v>3.83</v>
      </c>
      <c r="T265" s="11">
        <v>0.3846</v>
      </c>
      <c r="U265" s="11"/>
      <c r="V265" s="11"/>
      <c r="W265" s="9">
        <v>38.46</v>
      </c>
      <c r="X265" s="9"/>
      <c r="Y265" s="9">
        <v>38.46</v>
      </c>
      <c r="Z265" s="9">
        <v>0.225520708642566</v>
      </c>
      <c r="AA265" s="9"/>
      <c r="AB265" s="9">
        <v>0.225520708642566</v>
      </c>
      <c r="AC265" s="9">
        <v>8.65</v>
      </c>
      <c r="AD265" s="9">
        <v>-0.4177</v>
      </c>
      <c r="AE265" s="9"/>
      <c r="AF265" s="9"/>
      <c r="AG265" s="9">
        <v>7.72</v>
      </c>
      <c r="AH265" s="9"/>
      <c r="AI265" s="9">
        <v>7.72</v>
      </c>
      <c r="AJ265" s="9"/>
      <c r="AK265" s="9"/>
      <c r="AL265" s="9">
        <v>83</v>
      </c>
      <c r="AM265" s="9">
        <v>14.22</v>
      </c>
      <c r="AN265" s="9">
        <v>8.65</v>
      </c>
      <c r="AO265" s="9">
        <v>7.72</v>
      </c>
      <c r="AP265" s="9"/>
      <c r="AQ265" s="12">
        <v>0.7</v>
      </c>
      <c r="AR265" s="9">
        <v>17.70838</v>
      </c>
      <c r="AS265" s="9">
        <v>25.3</v>
      </c>
      <c r="AT265" s="9">
        <v>308</v>
      </c>
      <c r="AU265" s="9" t="s">
        <v>1931</v>
      </c>
      <c r="AV265" s="9">
        <v>10</v>
      </c>
      <c r="AW265" s="9" t="s">
        <v>2285</v>
      </c>
      <c r="AX265" s="9">
        <v>45992</v>
      </c>
      <c r="AY265" s="9" t="s">
        <v>2286</v>
      </c>
      <c r="AZ265" s="9" t="s">
        <v>2741</v>
      </c>
      <c r="BA265" s="9">
        <v>45317</v>
      </c>
      <c r="BB265" s="9" t="s">
        <v>785</v>
      </c>
      <c r="BC265" s="9" t="s">
        <v>2742</v>
      </c>
      <c r="BD265" s="9" t="s">
        <v>1566</v>
      </c>
      <c r="BE265" s="13"/>
      <c r="BF265" s="13">
        <v>25.3</v>
      </c>
      <c r="BG265" s="12">
        <v>0.7</v>
      </c>
      <c r="BH265" s="9">
        <v>17.70838</v>
      </c>
      <c r="BI265" s="9" t="s">
        <v>1567</v>
      </c>
    </row>
    <row r="266" ht="25" customHeight="1" spans="1:61">
      <c r="A266" s="9">
        <v>293</v>
      </c>
      <c r="B266" s="9" t="s">
        <v>2743</v>
      </c>
      <c r="C266" s="9" t="s">
        <v>2744</v>
      </c>
      <c r="D266" s="9" t="s">
        <v>2745</v>
      </c>
      <c r="E266" s="10">
        <v>45315</v>
      </c>
      <c r="F266" s="9">
        <v>2.6201</v>
      </c>
      <c r="G266" s="9" t="s">
        <v>1561</v>
      </c>
      <c r="H266" s="9" t="s">
        <v>542</v>
      </c>
      <c r="I266" s="9">
        <v>60</v>
      </c>
      <c r="J266" s="9" t="s">
        <v>1562</v>
      </c>
      <c r="K266" s="9">
        <v>100</v>
      </c>
      <c r="L266" s="9">
        <v>70</v>
      </c>
      <c r="M266" s="11">
        <v>0.0595</v>
      </c>
      <c r="N266" s="11"/>
      <c r="O266" s="11"/>
      <c r="P266" s="11"/>
      <c r="Q266" s="9">
        <v>47.92</v>
      </c>
      <c r="R266" s="9"/>
      <c r="S266" s="9">
        <v>47.92</v>
      </c>
      <c r="T266" s="11">
        <v>0.7692</v>
      </c>
      <c r="U266" s="11"/>
      <c r="V266" s="11"/>
      <c r="W266" s="9">
        <v>76.92</v>
      </c>
      <c r="X266" s="9"/>
      <c r="Y266" s="9">
        <v>76.92</v>
      </c>
      <c r="Z266" s="9">
        <v>0.0110681200937535</v>
      </c>
      <c r="AA266" s="9"/>
      <c r="AB266" s="9">
        <v>0.0110681200937535</v>
      </c>
      <c r="AC266" s="9">
        <v>82.69</v>
      </c>
      <c r="AD266" s="9">
        <v>5.3758</v>
      </c>
      <c r="AE266" s="9"/>
      <c r="AF266" s="9"/>
      <c r="AG266" s="9">
        <v>65.92</v>
      </c>
      <c r="AH266" s="9"/>
      <c r="AI266" s="9">
        <v>65.92</v>
      </c>
      <c r="AJ266" s="9"/>
      <c r="AK266" s="9"/>
      <c r="AL266" s="9">
        <v>75</v>
      </c>
      <c r="AM266" s="9">
        <v>56.62</v>
      </c>
      <c r="AN266" s="9">
        <v>82.69</v>
      </c>
      <c r="AO266" s="9">
        <v>65.92</v>
      </c>
      <c r="AP266" s="9"/>
      <c r="AQ266" s="12">
        <v>0.7</v>
      </c>
      <c r="AR266" s="9">
        <v>50.5825</v>
      </c>
      <c r="AS266" s="9">
        <v>72.26</v>
      </c>
      <c r="AT266" s="9">
        <v>90</v>
      </c>
      <c r="AU266" s="9" t="s">
        <v>1931</v>
      </c>
      <c r="AV266" s="9">
        <v>0</v>
      </c>
      <c r="AW266" s="9" t="s">
        <v>2746</v>
      </c>
      <c r="AX266" s="9">
        <v>46163</v>
      </c>
      <c r="AY266" s="9" t="s">
        <v>2747</v>
      </c>
      <c r="AZ266" s="9" t="s">
        <v>2748</v>
      </c>
      <c r="BA266" s="9">
        <v>46213</v>
      </c>
      <c r="BB266" s="9" t="s">
        <v>785</v>
      </c>
      <c r="BC266" s="9" t="s">
        <v>2749</v>
      </c>
      <c r="BD266" s="9" t="s">
        <v>1566</v>
      </c>
      <c r="BE266" s="13"/>
      <c r="BF266" s="13">
        <v>72.26</v>
      </c>
      <c r="BG266" s="12">
        <v>0.7</v>
      </c>
      <c r="BH266" s="9">
        <v>50.5825</v>
      </c>
      <c r="BI266" s="9" t="s">
        <v>1567</v>
      </c>
    </row>
    <row r="267" ht="25" customHeight="1" spans="1:61">
      <c r="A267" s="9">
        <v>294</v>
      </c>
      <c r="B267" s="9" t="s">
        <v>2750</v>
      </c>
      <c r="C267" s="9" t="s">
        <v>2751</v>
      </c>
      <c r="D267" s="9" t="s">
        <v>2482</v>
      </c>
      <c r="E267" s="10">
        <v>44847</v>
      </c>
      <c r="F267" s="9">
        <v>3.9014</v>
      </c>
      <c r="G267" s="9" t="s">
        <v>1561</v>
      </c>
      <c r="H267" s="9" t="s">
        <v>557</v>
      </c>
      <c r="I267" s="9">
        <v>90</v>
      </c>
      <c r="J267" s="9" t="s">
        <v>1562</v>
      </c>
      <c r="K267" s="9">
        <v>100</v>
      </c>
      <c r="L267" s="9">
        <v>100</v>
      </c>
      <c r="M267" s="11">
        <v>0.0366</v>
      </c>
      <c r="N267" s="11">
        <v>0.0786</v>
      </c>
      <c r="O267" s="11"/>
      <c r="P267" s="11">
        <v>0.100233898823515</v>
      </c>
      <c r="Q267" s="9">
        <v>31.63</v>
      </c>
      <c r="R267" s="9">
        <v>70</v>
      </c>
      <c r="S267" s="9">
        <v>46.98</v>
      </c>
      <c r="T267" s="11">
        <v>0.3846</v>
      </c>
      <c r="U267" s="11">
        <v>0.7297</v>
      </c>
      <c r="V267" s="11">
        <v>0.916629166666667</v>
      </c>
      <c r="W267" s="9">
        <v>38.46</v>
      </c>
      <c r="X267" s="9">
        <v>91.6629166666667</v>
      </c>
      <c r="Y267" s="9">
        <v>59.74</v>
      </c>
      <c r="Z267" s="9">
        <v>0.0274877957191138</v>
      </c>
      <c r="AA267" s="9">
        <v>0.0405</v>
      </c>
      <c r="AB267" s="9">
        <v>0.0405</v>
      </c>
      <c r="AC267" s="9">
        <v>51.6</v>
      </c>
      <c r="AD267" s="9">
        <v>1.3315</v>
      </c>
      <c r="AE267" s="9">
        <v>0.0405</v>
      </c>
      <c r="AF267" s="9">
        <v>2.47491108206211</v>
      </c>
      <c r="AG267" s="9">
        <v>34.73</v>
      </c>
      <c r="AH267" s="9">
        <v>69.5</v>
      </c>
      <c r="AI267" s="9">
        <v>48.64</v>
      </c>
      <c r="AJ267" s="9">
        <v>0.0786</v>
      </c>
      <c r="AK267" s="9">
        <v>80</v>
      </c>
      <c r="AL267" s="9">
        <v>96</v>
      </c>
      <c r="AM267" s="9">
        <v>50.81</v>
      </c>
      <c r="AN267" s="9">
        <v>51.6</v>
      </c>
      <c r="AO267" s="9">
        <v>48.64</v>
      </c>
      <c r="AP267" s="9">
        <v>80</v>
      </c>
      <c r="AQ267" s="12">
        <v>1</v>
      </c>
      <c r="AR267" s="9">
        <v>60.05279</v>
      </c>
      <c r="AS267" s="9">
        <v>60.05</v>
      </c>
      <c r="AT267" s="9">
        <v>156</v>
      </c>
      <c r="AU267" s="9"/>
      <c r="AV267" s="9">
        <v>20</v>
      </c>
      <c r="AW267" s="9" t="s">
        <v>2483</v>
      </c>
      <c r="AX267" s="9">
        <v>46129</v>
      </c>
      <c r="AY267" s="9" t="s">
        <v>2484</v>
      </c>
      <c r="AZ267" s="9" t="s">
        <v>785</v>
      </c>
      <c r="BA267" s="9" t="s">
        <v>785</v>
      </c>
      <c r="BB267" s="9" t="s">
        <v>785</v>
      </c>
      <c r="BC267" s="9" t="s">
        <v>785</v>
      </c>
      <c r="BD267" s="9" t="s">
        <v>1898</v>
      </c>
      <c r="BE267" s="13">
        <v>60.05279</v>
      </c>
      <c r="BF267" s="13">
        <v>60.05</v>
      </c>
      <c r="BG267" s="12">
        <v>1</v>
      </c>
      <c r="BH267" s="9">
        <v>60.05279</v>
      </c>
      <c r="BI267" s="9" t="s">
        <v>1567</v>
      </c>
    </row>
    <row r="268" ht="25" customHeight="1" spans="1:61">
      <c r="A268" s="9">
        <v>295</v>
      </c>
      <c r="B268" s="9" t="s">
        <v>2752</v>
      </c>
      <c r="C268" s="9" t="s">
        <v>2753</v>
      </c>
      <c r="D268" s="9" t="s">
        <v>1952</v>
      </c>
      <c r="E268" s="10">
        <v>45384</v>
      </c>
      <c r="F268" s="9">
        <v>2.4312</v>
      </c>
      <c r="G268" s="9" t="s">
        <v>1561</v>
      </c>
      <c r="H268" s="9" t="s">
        <v>557</v>
      </c>
      <c r="I268" s="9">
        <v>90</v>
      </c>
      <c r="J268" s="9" t="s">
        <v>1562</v>
      </c>
      <c r="K268" s="9">
        <v>100</v>
      </c>
      <c r="L268" s="9">
        <v>70</v>
      </c>
      <c r="M268" s="11">
        <v>0.288</v>
      </c>
      <c r="N268" s="11"/>
      <c r="O268" s="11"/>
      <c r="P268" s="11"/>
      <c r="Q268" s="9">
        <v>95.21</v>
      </c>
      <c r="R268" s="9"/>
      <c r="S268" s="9">
        <v>95.21</v>
      </c>
      <c r="T268" s="11">
        <v>0.6154</v>
      </c>
      <c r="U268" s="11"/>
      <c r="V268" s="11"/>
      <c r="W268" s="9">
        <v>61.54</v>
      </c>
      <c r="X268" s="9"/>
      <c r="Y268" s="9">
        <v>61.54</v>
      </c>
      <c r="Z268" s="9">
        <v>0.344992812649736</v>
      </c>
      <c r="AA268" s="9"/>
      <c r="AB268" s="9">
        <v>0.344992812649736</v>
      </c>
      <c r="AC268" s="9">
        <v>2.24</v>
      </c>
      <c r="AD268" s="9">
        <v>0.8348</v>
      </c>
      <c r="AE268" s="9"/>
      <c r="AF268" s="9"/>
      <c r="AG268" s="9">
        <v>29.26</v>
      </c>
      <c r="AH268" s="9"/>
      <c r="AI268" s="9">
        <v>29.26</v>
      </c>
      <c r="AJ268" s="9"/>
      <c r="AK268" s="9"/>
      <c r="AL268" s="9">
        <v>87</v>
      </c>
      <c r="AM268" s="9">
        <v>85.11</v>
      </c>
      <c r="AN268" s="9">
        <v>2.24</v>
      </c>
      <c r="AO268" s="9">
        <v>29.26</v>
      </c>
      <c r="AP268" s="9"/>
      <c r="AQ268" s="12">
        <v>0.7</v>
      </c>
      <c r="AR268" s="9">
        <v>29.08988</v>
      </c>
      <c r="AS268" s="9">
        <v>41.56</v>
      </c>
      <c r="AT268" s="9">
        <v>263</v>
      </c>
      <c r="AU268" s="9" t="s">
        <v>1931</v>
      </c>
      <c r="AV268" s="9">
        <v>20</v>
      </c>
      <c r="AW268" s="9" t="s">
        <v>1953</v>
      </c>
      <c r="AX268" s="9">
        <v>45784</v>
      </c>
      <c r="AY268" s="9" t="s">
        <v>1954</v>
      </c>
      <c r="AZ268" s="9" t="s">
        <v>2754</v>
      </c>
      <c r="BA268" s="9">
        <v>45642</v>
      </c>
      <c r="BB268" s="9" t="s">
        <v>785</v>
      </c>
      <c r="BC268" s="9" t="s">
        <v>2755</v>
      </c>
      <c r="BD268" s="9" t="s">
        <v>1566</v>
      </c>
      <c r="BE268" s="13"/>
      <c r="BF268" s="13">
        <v>41.56</v>
      </c>
      <c r="BG268" s="12">
        <v>0.7</v>
      </c>
      <c r="BH268" s="9">
        <v>29.08988</v>
      </c>
      <c r="BI268" s="9" t="s">
        <v>1567</v>
      </c>
    </row>
    <row r="269" ht="25" customHeight="1" spans="1:61">
      <c r="A269" s="9">
        <v>296</v>
      </c>
      <c r="B269" s="9" t="s">
        <v>2756</v>
      </c>
      <c r="C269" s="9" t="s">
        <v>2757</v>
      </c>
      <c r="D269" s="9" t="s">
        <v>2758</v>
      </c>
      <c r="E269" s="10">
        <v>45446</v>
      </c>
      <c r="F269" s="9">
        <v>2.2615</v>
      </c>
      <c r="G269" s="9" t="s">
        <v>1561</v>
      </c>
      <c r="H269" s="9" t="s">
        <v>572</v>
      </c>
      <c r="I269" s="9">
        <v>100</v>
      </c>
      <c r="J269" s="9" t="s">
        <v>1562</v>
      </c>
      <c r="K269" s="9">
        <v>100</v>
      </c>
      <c r="L269" s="9">
        <v>70</v>
      </c>
      <c r="M269" s="11">
        <v>0.0309</v>
      </c>
      <c r="N269" s="11"/>
      <c r="O269" s="11"/>
      <c r="P269" s="11"/>
      <c r="Q269" s="9">
        <v>27.96</v>
      </c>
      <c r="R269" s="9"/>
      <c r="S269" s="9">
        <v>27.96</v>
      </c>
      <c r="T269" s="11">
        <v>0.4615</v>
      </c>
      <c r="U269" s="11"/>
      <c r="V269" s="11"/>
      <c r="W269" s="9">
        <v>46.15</v>
      </c>
      <c r="X269" s="9"/>
      <c r="Y269" s="9">
        <v>46.15</v>
      </c>
      <c r="Z269" s="9">
        <v>0.00880517482118941</v>
      </c>
      <c r="AA269" s="9"/>
      <c r="AB269" s="9">
        <v>0.00880517482118941</v>
      </c>
      <c r="AC269" s="9">
        <v>85.58</v>
      </c>
      <c r="AD269" s="9">
        <v>3.5093</v>
      </c>
      <c r="AE269" s="9"/>
      <c r="AF269" s="9"/>
      <c r="AG269" s="9">
        <v>58.2</v>
      </c>
      <c r="AH269" s="9"/>
      <c r="AI269" s="9">
        <v>58.2</v>
      </c>
      <c r="AJ269" s="9"/>
      <c r="AK269" s="9"/>
      <c r="AL269" s="9">
        <v>91</v>
      </c>
      <c r="AM269" s="9">
        <v>33.42</v>
      </c>
      <c r="AN269" s="9">
        <v>85.58</v>
      </c>
      <c r="AO269" s="9">
        <v>58.2</v>
      </c>
      <c r="AP269" s="9"/>
      <c r="AQ269" s="12">
        <v>0.7</v>
      </c>
      <c r="AR269" s="9">
        <v>49.53104</v>
      </c>
      <c r="AS269" s="9">
        <v>70.76</v>
      </c>
      <c r="AT269" s="9">
        <v>99</v>
      </c>
      <c r="AU269" s="9" t="s">
        <v>1931</v>
      </c>
      <c r="AV269" s="9">
        <v>100</v>
      </c>
      <c r="AW269" s="9" t="s">
        <v>2759</v>
      </c>
      <c r="AX269" s="9">
        <v>45954</v>
      </c>
      <c r="AY269" s="9" t="s">
        <v>2760</v>
      </c>
      <c r="AZ269" s="9" t="s">
        <v>2761</v>
      </c>
      <c r="BA269" s="9">
        <v>45625</v>
      </c>
      <c r="BB269" s="9" t="s">
        <v>785</v>
      </c>
      <c r="BC269" s="9" t="s">
        <v>2762</v>
      </c>
      <c r="BD269" s="9" t="s">
        <v>1566</v>
      </c>
      <c r="BE269" s="13"/>
      <c r="BF269" s="13">
        <v>70.76</v>
      </c>
      <c r="BG269" s="12">
        <v>0.7</v>
      </c>
      <c r="BH269" s="9">
        <v>49.53104</v>
      </c>
      <c r="BI269" s="9" t="s">
        <v>1567</v>
      </c>
    </row>
    <row r="270" ht="25" customHeight="1" spans="1:61">
      <c r="A270" s="9">
        <v>297</v>
      </c>
      <c r="B270" s="9" t="s">
        <v>2763</v>
      </c>
      <c r="C270" s="9" t="s">
        <v>2764</v>
      </c>
      <c r="D270" s="9" t="s">
        <v>436</v>
      </c>
      <c r="E270" s="10">
        <v>45441</v>
      </c>
      <c r="F270" s="9">
        <v>2.2752</v>
      </c>
      <c r="G270" s="9" t="s">
        <v>1561</v>
      </c>
      <c r="H270" s="9" t="s">
        <v>551</v>
      </c>
      <c r="I270" s="9">
        <v>80</v>
      </c>
      <c r="J270" s="9" t="s">
        <v>1562</v>
      </c>
      <c r="K270" s="9">
        <v>100</v>
      </c>
      <c r="L270" s="9">
        <v>70</v>
      </c>
      <c r="M270" s="11">
        <v>0.0878</v>
      </c>
      <c r="N270" s="11"/>
      <c r="O270" s="11"/>
      <c r="P270" s="11"/>
      <c r="Q270" s="9">
        <v>67.57</v>
      </c>
      <c r="R270" s="9"/>
      <c r="S270" s="9">
        <v>67.57</v>
      </c>
      <c r="T270" s="11">
        <v>0.8462</v>
      </c>
      <c r="U270" s="11"/>
      <c r="V270" s="11"/>
      <c r="W270" s="9">
        <v>84.62</v>
      </c>
      <c r="X270" s="9"/>
      <c r="Y270" s="9">
        <v>84.62</v>
      </c>
      <c r="Z270" s="9">
        <v>0.00484427156611217</v>
      </c>
      <c r="AA270" s="9"/>
      <c r="AB270" s="9">
        <v>0.00484427156611217</v>
      </c>
      <c r="AC270" s="9">
        <v>93.27</v>
      </c>
      <c r="AD270" s="9">
        <v>18.1245</v>
      </c>
      <c r="AE270" s="9"/>
      <c r="AF270" s="9"/>
      <c r="AG270" s="9">
        <v>88.75</v>
      </c>
      <c r="AH270" s="9"/>
      <c r="AI270" s="9">
        <v>88.75</v>
      </c>
      <c r="AJ270" s="9"/>
      <c r="AK270" s="9"/>
      <c r="AL270" s="9">
        <v>83</v>
      </c>
      <c r="AM270" s="9">
        <v>72.69</v>
      </c>
      <c r="AN270" s="9">
        <v>93.27</v>
      </c>
      <c r="AO270" s="9">
        <v>88.75</v>
      </c>
      <c r="AP270" s="9"/>
      <c r="AQ270" s="12">
        <v>0.7</v>
      </c>
      <c r="AR270" s="9">
        <v>60.4647</v>
      </c>
      <c r="AS270" s="9">
        <v>86.38</v>
      </c>
      <c r="AT270" s="9">
        <v>22</v>
      </c>
      <c r="AU270" s="9" t="s">
        <v>1931</v>
      </c>
      <c r="AV270" s="9">
        <v>10</v>
      </c>
      <c r="AW270" s="9" t="s">
        <v>1408</v>
      </c>
      <c r="AX270" s="9">
        <v>46028</v>
      </c>
      <c r="AY270" s="9" t="s">
        <v>1410</v>
      </c>
      <c r="AZ270" s="9" t="s">
        <v>2765</v>
      </c>
      <c r="BA270" s="9">
        <v>45454</v>
      </c>
      <c r="BB270" s="9" t="s">
        <v>785</v>
      </c>
      <c r="BC270" s="9" t="s">
        <v>2766</v>
      </c>
      <c r="BD270" s="9" t="s">
        <v>1566</v>
      </c>
      <c r="BE270" s="13"/>
      <c r="BF270" s="13">
        <v>86.38</v>
      </c>
      <c r="BG270" s="12">
        <v>0.7</v>
      </c>
      <c r="BH270" s="9">
        <v>60.4647</v>
      </c>
      <c r="BI270" s="9" t="s">
        <v>1567</v>
      </c>
    </row>
    <row r="271" ht="25" customHeight="1" spans="1:61">
      <c r="A271" s="9">
        <v>298</v>
      </c>
      <c r="B271" s="9" t="s">
        <v>434</v>
      </c>
      <c r="C271" s="9" t="s">
        <v>435</v>
      </c>
      <c r="D271" s="9" t="s">
        <v>436</v>
      </c>
      <c r="E271" s="10">
        <v>45441</v>
      </c>
      <c r="F271" s="9">
        <v>2.2752</v>
      </c>
      <c r="G271" s="9" t="s">
        <v>1561</v>
      </c>
      <c r="H271" s="9" t="s">
        <v>551</v>
      </c>
      <c r="I271" s="9">
        <v>80</v>
      </c>
      <c r="J271" s="9" t="s">
        <v>1562</v>
      </c>
      <c r="K271" s="9">
        <v>100</v>
      </c>
      <c r="L271" s="9">
        <v>70</v>
      </c>
      <c r="M271" s="11">
        <v>0.0878</v>
      </c>
      <c r="N271" s="11"/>
      <c r="O271" s="11"/>
      <c r="P271" s="11"/>
      <c r="Q271" s="9">
        <v>67.57</v>
      </c>
      <c r="R271" s="9"/>
      <c r="S271" s="9">
        <v>67.57</v>
      </c>
      <c r="T271" s="11">
        <v>0.8462</v>
      </c>
      <c r="U271" s="11"/>
      <c r="V271" s="11"/>
      <c r="W271" s="9">
        <v>84.62</v>
      </c>
      <c r="X271" s="9"/>
      <c r="Y271" s="9">
        <v>84.62</v>
      </c>
      <c r="Z271" s="9">
        <v>0.00475460704093403</v>
      </c>
      <c r="AA271" s="9"/>
      <c r="AB271" s="9">
        <v>0.00475460704093403</v>
      </c>
      <c r="AC271" s="9">
        <v>93.59</v>
      </c>
      <c r="AD271" s="9">
        <v>18.4663</v>
      </c>
      <c r="AE271" s="9"/>
      <c r="AF271" s="9"/>
      <c r="AG271" s="9">
        <v>89.07</v>
      </c>
      <c r="AH271" s="9"/>
      <c r="AI271" s="9">
        <v>89.07</v>
      </c>
      <c r="AJ271" s="9"/>
      <c r="AK271" s="9"/>
      <c r="AL271" s="9">
        <v>83</v>
      </c>
      <c r="AM271" s="9">
        <v>72.69</v>
      </c>
      <c r="AN271" s="9">
        <v>93.59</v>
      </c>
      <c r="AO271" s="9">
        <v>89.07</v>
      </c>
      <c r="AP271" s="9"/>
      <c r="AQ271" s="12">
        <v>0.7</v>
      </c>
      <c r="AR271" s="9">
        <v>60.6023</v>
      </c>
      <c r="AS271" s="9">
        <v>86.57</v>
      </c>
      <c r="AT271" s="9">
        <v>20</v>
      </c>
      <c r="AU271" s="9" t="s">
        <v>1931</v>
      </c>
      <c r="AV271" s="9">
        <v>10</v>
      </c>
      <c r="AW271" s="9" t="s">
        <v>1408</v>
      </c>
      <c r="AX271" s="9">
        <v>46028</v>
      </c>
      <c r="AY271" s="9" t="s">
        <v>1410</v>
      </c>
      <c r="AZ271" s="9" t="s">
        <v>785</v>
      </c>
      <c r="BA271" s="9" t="s">
        <v>785</v>
      </c>
      <c r="BB271" s="9" t="s">
        <v>785</v>
      </c>
      <c r="BC271" s="9" t="s">
        <v>785</v>
      </c>
      <c r="BD271" s="9" t="s">
        <v>1898</v>
      </c>
      <c r="BE271" s="13"/>
      <c r="BF271" s="13">
        <v>86.57</v>
      </c>
      <c r="BG271" s="12">
        <v>0.7</v>
      </c>
      <c r="BH271" s="9">
        <v>60.6023</v>
      </c>
      <c r="BI271" s="9" t="s">
        <v>1567</v>
      </c>
    </row>
    <row r="272" ht="25" customHeight="1" spans="1:61">
      <c r="A272" s="9">
        <v>299</v>
      </c>
      <c r="B272" s="9" t="s">
        <v>2767</v>
      </c>
      <c r="C272" s="9" t="s">
        <v>2768</v>
      </c>
      <c r="D272" s="9" t="s">
        <v>2284</v>
      </c>
      <c r="E272" s="10">
        <v>45476</v>
      </c>
      <c r="F272" s="9">
        <v>2.1793</v>
      </c>
      <c r="G272" s="9" t="s">
        <v>1561</v>
      </c>
      <c r="H272" s="9" t="s">
        <v>551</v>
      </c>
      <c r="I272" s="9">
        <v>80</v>
      </c>
      <c r="J272" s="9" t="s">
        <v>1562</v>
      </c>
      <c r="K272" s="9">
        <v>100</v>
      </c>
      <c r="L272" s="9">
        <v>70</v>
      </c>
      <c r="M272" s="11">
        <v>-0.0178</v>
      </c>
      <c r="N272" s="11"/>
      <c r="O272" s="11"/>
      <c r="P272" s="11"/>
      <c r="Q272" s="9">
        <v>10.86</v>
      </c>
      <c r="R272" s="9"/>
      <c r="S272" s="9">
        <v>10.86</v>
      </c>
      <c r="T272" s="11">
        <v>0.3846</v>
      </c>
      <c r="U272" s="11"/>
      <c r="V272" s="11"/>
      <c r="W272" s="9">
        <v>38.46</v>
      </c>
      <c r="X272" s="9"/>
      <c r="Y272" s="9">
        <v>38.46</v>
      </c>
      <c r="Z272" s="9">
        <v>0.219482120838471</v>
      </c>
      <c r="AA272" s="9"/>
      <c r="AB272" s="9">
        <v>0.219482120838471</v>
      </c>
      <c r="AC272" s="9">
        <v>9.29</v>
      </c>
      <c r="AD272" s="9">
        <v>-0.0811</v>
      </c>
      <c r="AE272" s="9"/>
      <c r="AF272" s="9"/>
      <c r="AG272" s="9">
        <v>13.5</v>
      </c>
      <c r="AH272" s="9"/>
      <c r="AI272" s="9">
        <v>13.5</v>
      </c>
      <c r="AJ272" s="9"/>
      <c r="AK272" s="9"/>
      <c r="AL272" s="9">
        <v>83</v>
      </c>
      <c r="AM272" s="9">
        <v>19.14</v>
      </c>
      <c r="AN272" s="9">
        <v>9.29</v>
      </c>
      <c r="AO272" s="9">
        <v>13.5</v>
      </c>
      <c r="AP272" s="9"/>
      <c r="AQ272" s="12">
        <v>0.7</v>
      </c>
      <c r="AR272" s="9">
        <v>19.4993</v>
      </c>
      <c r="AS272" s="9">
        <v>27.86</v>
      </c>
      <c r="AT272" s="9">
        <v>306</v>
      </c>
      <c r="AU272" s="9" t="s">
        <v>1931</v>
      </c>
      <c r="AV272" s="9">
        <v>10</v>
      </c>
      <c r="AW272" s="9" t="s">
        <v>2285</v>
      </c>
      <c r="AX272" s="9">
        <v>45992</v>
      </c>
      <c r="AY272" s="9" t="s">
        <v>2286</v>
      </c>
      <c r="AZ272" s="9" t="s">
        <v>2769</v>
      </c>
      <c r="BA272" s="9">
        <v>45959</v>
      </c>
      <c r="BB272" s="9" t="s">
        <v>785</v>
      </c>
      <c r="BC272" s="9" t="s">
        <v>2770</v>
      </c>
      <c r="BD272" s="9" t="s">
        <v>1566</v>
      </c>
      <c r="BE272" s="13"/>
      <c r="BF272" s="13">
        <v>27.86</v>
      </c>
      <c r="BG272" s="12">
        <v>0.7</v>
      </c>
      <c r="BH272" s="9">
        <v>19.4993</v>
      </c>
      <c r="BI272" s="9" t="s">
        <v>1567</v>
      </c>
    </row>
    <row r="273" ht="25" customHeight="1" spans="1:61">
      <c r="A273" s="9">
        <v>300</v>
      </c>
      <c r="B273" s="9" t="s">
        <v>2771</v>
      </c>
      <c r="C273" s="9" t="s">
        <v>2772</v>
      </c>
      <c r="D273" s="9" t="s">
        <v>2692</v>
      </c>
      <c r="E273" s="10">
        <v>45485</v>
      </c>
      <c r="F273" s="9">
        <v>2.1547</v>
      </c>
      <c r="G273" s="9" t="s">
        <v>1561</v>
      </c>
      <c r="H273" s="9" t="s">
        <v>542</v>
      </c>
      <c r="I273" s="9">
        <v>60</v>
      </c>
      <c r="J273" s="9" t="s">
        <v>1562</v>
      </c>
      <c r="K273" s="9">
        <v>100</v>
      </c>
      <c r="L273" s="9">
        <v>70</v>
      </c>
      <c r="M273" s="11">
        <v>0.0215</v>
      </c>
      <c r="N273" s="11"/>
      <c r="O273" s="11"/>
      <c r="P273" s="11"/>
      <c r="Q273" s="9">
        <v>22.68</v>
      </c>
      <c r="R273" s="9"/>
      <c r="S273" s="9">
        <v>22.68</v>
      </c>
      <c r="T273" s="11">
        <v>0.5385</v>
      </c>
      <c r="U273" s="11"/>
      <c r="V273" s="11"/>
      <c r="W273" s="9">
        <v>53.85</v>
      </c>
      <c r="X273" s="9"/>
      <c r="Y273" s="9">
        <v>53.85</v>
      </c>
      <c r="Z273" s="9">
        <v>0.0411877394636015</v>
      </c>
      <c r="AA273" s="9"/>
      <c r="AB273" s="9">
        <v>0.0411877394636015</v>
      </c>
      <c r="AC273" s="9">
        <v>50.64</v>
      </c>
      <c r="AD273" s="9">
        <v>0.522</v>
      </c>
      <c r="AE273" s="9"/>
      <c r="AF273" s="9"/>
      <c r="AG273" s="9">
        <v>23.79</v>
      </c>
      <c r="AH273" s="9"/>
      <c r="AI273" s="9">
        <v>23.79</v>
      </c>
      <c r="AJ273" s="9"/>
      <c r="AK273" s="9"/>
      <c r="AL273" s="9">
        <v>75</v>
      </c>
      <c r="AM273" s="9">
        <v>32.03</v>
      </c>
      <c r="AN273" s="9">
        <v>50.64</v>
      </c>
      <c r="AO273" s="9">
        <v>23.79</v>
      </c>
      <c r="AP273" s="9"/>
      <c r="AQ273" s="12">
        <v>0.7</v>
      </c>
      <c r="AR273" s="9">
        <v>32.03592</v>
      </c>
      <c r="AS273" s="9">
        <v>45.77</v>
      </c>
      <c r="AT273" s="9">
        <v>243</v>
      </c>
      <c r="AU273" s="9" t="s">
        <v>1931</v>
      </c>
      <c r="AV273" s="9">
        <v>0</v>
      </c>
      <c r="AW273" s="9" t="s">
        <v>2693</v>
      </c>
      <c r="AX273" s="9">
        <v>46122</v>
      </c>
      <c r="AY273" s="9" t="s">
        <v>2694</v>
      </c>
      <c r="AZ273" s="9" t="s">
        <v>2773</v>
      </c>
      <c r="BA273" s="9">
        <v>45814</v>
      </c>
      <c r="BB273" s="9" t="s">
        <v>785</v>
      </c>
      <c r="BC273" s="9" t="s">
        <v>2774</v>
      </c>
      <c r="BD273" s="9" t="s">
        <v>1566</v>
      </c>
      <c r="BE273" s="13"/>
      <c r="BF273" s="13">
        <v>45.77</v>
      </c>
      <c r="BG273" s="12">
        <v>0.7</v>
      </c>
      <c r="BH273" s="9">
        <v>32.03592</v>
      </c>
      <c r="BI273" s="9" t="s">
        <v>1567</v>
      </c>
    </row>
    <row r="274" ht="25" customHeight="1" spans="1:61">
      <c r="A274" s="9">
        <v>301</v>
      </c>
      <c r="B274" s="9" t="s">
        <v>2775</v>
      </c>
      <c r="C274" s="9" t="s">
        <v>2776</v>
      </c>
      <c r="D274" s="9" t="s">
        <v>2777</v>
      </c>
      <c r="E274" s="10">
        <v>45469</v>
      </c>
      <c r="F274" s="9">
        <v>2.1985</v>
      </c>
      <c r="G274" s="9" t="s">
        <v>1561</v>
      </c>
      <c r="H274" s="9" t="s">
        <v>542</v>
      </c>
      <c r="I274" s="9">
        <v>60</v>
      </c>
      <c r="J274" s="9" t="s">
        <v>1562</v>
      </c>
      <c r="K274" s="9">
        <v>100</v>
      </c>
      <c r="L274" s="9">
        <v>70</v>
      </c>
      <c r="M274" s="11">
        <v>0.0592</v>
      </c>
      <c r="N274" s="11"/>
      <c r="O274" s="11"/>
      <c r="P274" s="11"/>
      <c r="Q274" s="9">
        <v>47.6</v>
      </c>
      <c r="R274" s="9"/>
      <c r="S274" s="9">
        <v>47.6</v>
      </c>
      <c r="T274" s="11">
        <v>0.9231</v>
      </c>
      <c r="U274" s="11"/>
      <c r="V274" s="11"/>
      <c r="W274" s="9">
        <v>92.31</v>
      </c>
      <c r="X274" s="9"/>
      <c r="Y274" s="9">
        <v>92.31</v>
      </c>
      <c r="Z274" s="9">
        <v>0.00338604970400664</v>
      </c>
      <c r="AA274" s="9"/>
      <c r="AB274" s="9">
        <v>0.00338604970400664</v>
      </c>
      <c r="AC274" s="9">
        <v>96.79</v>
      </c>
      <c r="AD274" s="9">
        <v>17.4835</v>
      </c>
      <c r="AE274" s="9"/>
      <c r="AF274" s="9"/>
      <c r="AG274" s="9">
        <v>88.1</v>
      </c>
      <c r="AH274" s="9"/>
      <c r="AI274" s="9">
        <v>88.1</v>
      </c>
      <c r="AJ274" s="9"/>
      <c r="AK274" s="9"/>
      <c r="AL274" s="9">
        <v>75</v>
      </c>
      <c r="AM274" s="9">
        <v>61.01</v>
      </c>
      <c r="AN274" s="9">
        <v>96.79</v>
      </c>
      <c r="AO274" s="9">
        <v>88.1</v>
      </c>
      <c r="AP274" s="9"/>
      <c r="AQ274" s="12">
        <v>0.7</v>
      </c>
      <c r="AR274" s="9">
        <v>58.62706</v>
      </c>
      <c r="AS274" s="9">
        <v>83.75</v>
      </c>
      <c r="AT274" s="9">
        <v>34</v>
      </c>
      <c r="AU274" s="9" t="s">
        <v>1931</v>
      </c>
      <c r="AV274" s="9">
        <v>0</v>
      </c>
      <c r="AW274" s="9" t="s">
        <v>2778</v>
      </c>
      <c r="AX274" s="9">
        <v>46081</v>
      </c>
      <c r="AY274" s="9" t="s">
        <v>2779</v>
      </c>
      <c r="AZ274" s="9" t="s">
        <v>2780</v>
      </c>
      <c r="BA274" s="9">
        <v>45672</v>
      </c>
      <c r="BB274" s="9" t="s">
        <v>785</v>
      </c>
      <c r="BC274" s="9" t="s">
        <v>2781</v>
      </c>
      <c r="BD274" s="9" t="s">
        <v>1566</v>
      </c>
      <c r="BE274" s="13"/>
      <c r="BF274" s="13">
        <v>83.75</v>
      </c>
      <c r="BG274" s="12">
        <v>0.7</v>
      </c>
      <c r="BH274" s="9">
        <v>58.62706</v>
      </c>
      <c r="BI274" s="9" t="s">
        <v>1567</v>
      </c>
    </row>
    <row r="275" ht="25" customHeight="1" spans="1:63">
      <c r="A275" s="9">
        <v>302</v>
      </c>
      <c r="B275" s="9" t="s">
        <v>2782</v>
      </c>
      <c r="C275" s="9" t="s">
        <v>2783</v>
      </c>
      <c r="D275" s="9" t="s">
        <v>219</v>
      </c>
      <c r="E275" s="10">
        <v>44271</v>
      </c>
      <c r="F275" s="9">
        <v>5.4784</v>
      </c>
      <c r="G275" s="9" t="s">
        <v>1561</v>
      </c>
      <c r="H275" s="9" t="s">
        <v>546</v>
      </c>
      <c r="I275" s="9">
        <v>70</v>
      </c>
      <c r="J275" s="9" t="s">
        <v>1562</v>
      </c>
      <c r="K275" s="9">
        <v>100</v>
      </c>
      <c r="L275" s="9">
        <v>100</v>
      </c>
      <c r="M275" s="11">
        <v>0.1322</v>
      </c>
      <c r="N275" s="11"/>
      <c r="O275" s="11"/>
      <c r="P275" s="11" t="s">
        <v>1841</v>
      </c>
      <c r="Q275" s="9">
        <v>80.83</v>
      </c>
      <c r="R275" s="9" t="s">
        <v>1841</v>
      </c>
      <c r="S275" s="9" t="s">
        <v>1841</v>
      </c>
      <c r="T275" s="11">
        <v>1</v>
      </c>
      <c r="U275" s="11"/>
      <c r="V275" s="11"/>
      <c r="W275" s="9">
        <v>100</v>
      </c>
      <c r="X275" s="9"/>
      <c r="Y275" s="9">
        <v>100</v>
      </c>
      <c r="Z275" s="9">
        <v>0.00359550806269565</v>
      </c>
      <c r="AA275" s="9"/>
      <c r="AB275" s="9">
        <v>0.00359550806269565</v>
      </c>
      <c r="AC275" s="9">
        <v>96.15</v>
      </c>
      <c r="AD275" s="9">
        <v>36.7681</v>
      </c>
      <c r="AE275" s="9" t="s">
        <v>1841</v>
      </c>
      <c r="AF275" s="9" t="s">
        <v>1841</v>
      </c>
      <c r="AG275" s="9">
        <v>95.18</v>
      </c>
      <c r="AH275" s="9" t="s">
        <v>1841</v>
      </c>
      <c r="AI275" s="9" t="s">
        <v>1841</v>
      </c>
      <c r="AJ275" s="9"/>
      <c r="AK275" s="9"/>
      <c r="AL275" s="9">
        <v>88</v>
      </c>
      <c r="AM275" s="9">
        <v>86.58</v>
      </c>
      <c r="AN275" s="9">
        <v>96.15</v>
      </c>
      <c r="AO275" s="9">
        <v>95.18</v>
      </c>
      <c r="AP275" s="9"/>
      <c r="AQ275" s="12">
        <v>0.7</v>
      </c>
      <c r="AR275" s="9">
        <v>64.75962</v>
      </c>
      <c r="AS275" s="9">
        <v>92.51</v>
      </c>
      <c r="AT275" s="9">
        <v>4</v>
      </c>
      <c r="AU275" s="9" t="s">
        <v>1841</v>
      </c>
      <c r="AV275" s="9">
        <v>5</v>
      </c>
      <c r="AW275" s="9" t="s">
        <v>1313</v>
      </c>
      <c r="AX275" s="9">
        <v>46224</v>
      </c>
      <c r="AY275" s="9" t="s">
        <v>1317</v>
      </c>
      <c r="AZ275" s="9" t="s">
        <v>785</v>
      </c>
      <c r="BA275" s="9" t="s">
        <v>785</v>
      </c>
      <c r="BB275" s="9" t="s">
        <v>785</v>
      </c>
      <c r="BC275" s="9" t="s">
        <v>785</v>
      </c>
      <c r="BD275" s="9" t="s">
        <v>1898</v>
      </c>
      <c r="BE275" s="13"/>
      <c r="BF275" s="13">
        <v>92.51</v>
      </c>
      <c r="BG275" s="12">
        <v>0.7</v>
      </c>
      <c r="BH275" s="9">
        <v>64.75962</v>
      </c>
      <c r="BI275" s="9" t="s">
        <v>1567</v>
      </c>
      <c r="BJ275" t="s">
        <v>2784</v>
      </c>
      <c r="BK275" t="s">
        <v>1847</v>
      </c>
    </row>
    <row r="276" ht="25" customHeight="1" spans="1:61">
      <c r="A276" s="9">
        <v>303</v>
      </c>
      <c r="B276" s="9" t="s">
        <v>2785</v>
      </c>
      <c r="C276" s="9" t="s">
        <v>2786</v>
      </c>
      <c r="D276" s="9" t="s">
        <v>2685</v>
      </c>
      <c r="E276" s="10">
        <v>45061</v>
      </c>
      <c r="F276" s="9">
        <v>3.3155</v>
      </c>
      <c r="G276" s="9" t="s">
        <v>1561</v>
      </c>
      <c r="H276" s="9" t="s">
        <v>542</v>
      </c>
      <c r="I276" s="9">
        <v>60</v>
      </c>
      <c r="J276" s="9" t="s">
        <v>1562</v>
      </c>
      <c r="K276" s="9">
        <v>100</v>
      </c>
      <c r="L276" s="9">
        <v>100</v>
      </c>
      <c r="M276" s="11">
        <v>0.0847</v>
      </c>
      <c r="N276" s="11">
        <v>0.0463</v>
      </c>
      <c r="O276" s="11"/>
      <c r="P276" s="11">
        <v>0.0276128299966596</v>
      </c>
      <c r="Q276" s="9">
        <v>64.22</v>
      </c>
      <c r="R276" s="9">
        <v>14.29</v>
      </c>
      <c r="S276" s="9">
        <v>44.25</v>
      </c>
      <c r="T276" s="11">
        <v>0.7692</v>
      </c>
      <c r="U276" s="11">
        <v>0.8378</v>
      </c>
      <c r="V276" s="11">
        <v>0.874958333333333</v>
      </c>
      <c r="W276" s="9">
        <v>76.92</v>
      </c>
      <c r="X276" s="9">
        <v>87.4958333333333</v>
      </c>
      <c r="Y276" s="9">
        <v>81.15</v>
      </c>
      <c r="Z276" s="9">
        <v>0.0235985734982726</v>
      </c>
      <c r="AA276" s="9">
        <v>0.0258</v>
      </c>
      <c r="AB276" s="9">
        <v>0.0258</v>
      </c>
      <c r="AC276" s="9">
        <v>63.46</v>
      </c>
      <c r="AD276" s="9">
        <v>3.5892</v>
      </c>
      <c r="AE276" s="9">
        <v>0.0258</v>
      </c>
      <c r="AF276" s="9">
        <v>1.0702647285527</v>
      </c>
      <c r="AG276" s="9">
        <v>58.52</v>
      </c>
      <c r="AH276" s="9">
        <v>38.3</v>
      </c>
      <c r="AI276" s="9">
        <v>50.43</v>
      </c>
      <c r="AJ276" s="9">
        <v>0.0463</v>
      </c>
      <c r="AK276" s="9">
        <v>100</v>
      </c>
      <c r="AL276" s="9">
        <v>84</v>
      </c>
      <c r="AM276" s="9">
        <v>55.32</v>
      </c>
      <c r="AN276" s="9">
        <v>63.46</v>
      </c>
      <c r="AO276" s="9">
        <v>50.43</v>
      </c>
      <c r="AP276" s="9">
        <v>100</v>
      </c>
      <c r="AQ276" s="12">
        <v>1</v>
      </c>
      <c r="AR276" s="9">
        <v>64.65834</v>
      </c>
      <c r="AS276" s="9">
        <v>64.66</v>
      </c>
      <c r="AT276" s="9">
        <v>132</v>
      </c>
      <c r="AU276" s="9"/>
      <c r="AV276" s="9">
        <v>0</v>
      </c>
      <c r="AW276" s="9" t="s">
        <v>2686</v>
      </c>
      <c r="AX276" s="9">
        <v>46028</v>
      </c>
      <c r="AY276" s="9" t="s">
        <v>2687</v>
      </c>
      <c r="AZ276" s="9" t="s">
        <v>785</v>
      </c>
      <c r="BA276" s="9" t="s">
        <v>785</v>
      </c>
      <c r="BB276" s="9" t="s">
        <v>785</v>
      </c>
      <c r="BC276" s="9" t="s">
        <v>785</v>
      </c>
      <c r="BD276" s="9" t="s">
        <v>1898</v>
      </c>
      <c r="BE276" s="13">
        <v>64.65834</v>
      </c>
      <c r="BF276" s="13">
        <v>64.66</v>
      </c>
      <c r="BG276" s="12">
        <v>1</v>
      </c>
      <c r="BH276" s="9">
        <v>64.65834</v>
      </c>
      <c r="BI276" s="9" t="s">
        <v>1567</v>
      </c>
    </row>
    <row r="277" ht="25" customHeight="1" spans="1:63">
      <c r="A277" s="9">
        <v>304</v>
      </c>
      <c r="B277" s="9" t="s">
        <v>2787</v>
      </c>
      <c r="C277" s="9" t="s">
        <v>2788</v>
      </c>
      <c r="D277" s="9" t="s">
        <v>393</v>
      </c>
      <c r="E277" s="10">
        <v>43585</v>
      </c>
      <c r="F277" s="9">
        <v>7.3566</v>
      </c>
      <c r="G277" s="9" t="s">
        <v>1561</v>
      </c>
      <c r="H277" s="9" t="s">
        <v>551</v>
      </c>
      <c r="I277" s="9">
        <v>80</v>
      </c>
      <c r="J277" s="9" t="s">
        <v>1562</v>
      </c>
      <c r="K277" s="9">
        <v>100</v>
      </c>
      <c r="L277" s="9">
        <v>100</v>
      </c>
      <c r="M277" s="11">
        <v>0.0915</v>
      </c>
      <c r="N277" s="11"/>
      <c r="O277" s="11"/>
      <c r="P277" s="11" t="s">
        <v>1841</v>
      </c>
      <c r="Q277" s="9">
        <v>69.65</v>
      </c>
      <c r="R277" s="9" t="s">
        <v>1841</v>
      </c>
      <c r="S277" s="9" t="s">
        <v>1841</v>
      </c>
      <c r="T277" s="11">
        <v>0.9231</v>
      </c>
      <c r="U277" s="11"/>
      <c r="V277" s="11"/>
      <c r="W277" s="9">
        <v>92.31</v>
      </c>
      <c r="X277" s="9"/>
      <c r="Y277" s="9">
        <v>92.31</v>
      </c>
      <c r="Z277" s="9">
        <v>0.00887307144034678</v>
      </c>
      <c r="AA277" s="9"/>
      <c r="AB277" s="9">
        <v>0.00887307144034678</v>
      </c>
      <c r="AC277" s="9">
        <v>85.26</v>
      </c>
      <c r="AD277" s="9">
        <v>10.3121</v>
      </c>
      <c r="AE277" s="9" t="s">
        <v>1841</v>
      </c>
      <c r="AF277" s="9" t="s">
        <v>1841</v>
      </c>
      <c r="AG277" s="9">
        <v>80.39</v>
      </c>
      <c r="AH277" s="9" t="s">
        <v>1841</v>
      </c>
      <c r="AI277" s="9" t="s">
        <v>1841</v>
      </c>
      <c r="AJ277" s="9"/>
      <c r="AK277" s="9"/>
      <c r="AL277" s="9">
        <v>92</v>
      </c>
      <c r="AM277" s="9">
        <v>76.45</v>
      </c>
      <c r="AN277" s="9">
        <v>85.26</v>
      </c>
      <c r="AO277" s="9">
        <v>80.39</v>
      </c>
      <c r="AP277" s="9"/>
      <c r="AQ277" s="12">
        <v>0.7</v>
      </c>
      <c r="AR277" s="9">
        <v>58.75896</v>
      </c>
      <c r="AS277" s="9">
        <v>83.94</v>
      </c>
      <c r="AT277" s="9">
        <v>30</v>
      </c>
      <c r="AU277" s="9" t="s">
        <v>1841</v>
      </c>
      <c r="AV277" s="9">
        <v>10</v>
      </c>
      <c r="AW277" s="9" t="s">
        <v>1386</v>
      </c>
      <c r="AX277" s="9">
        <v>46202</v>
      </c>
      <c r="AY277" s="9" t="s">
        <v>1391</v>
      </c>
      <c r="AZ277" s="9" t="s">
        <v>785</v>
      </c>
      <c r="BA277" s="9" t="s">
        <v>785</v>
      </c>
      <c r="BB277" s="9" t="s">
        <v>785</v>
      </c>
      <c r="BC277" s="9" t="s">
        <v>785</v>
      </c>
      <c r="BD277" s="9" t="s">
        <v>1898</v>
      </c>
      <c r="BE277" s="13"/>
      <c r="BF277" s="13">
        <v>83.94</v>
      </c>
      <c r="BG277" s="12">
        <v>0.7</v>
      </c>
      <c r="BH277" s="9">
        <v>58.75896</v>
      </c>
      <c r="BI277" s="9" t="s">
        <v>1567</v>
      </c>
      <c r="BJ277" t="s">
        <v>2789</v>
      </c>
      <c r="BK277" t="s">
        <v>1847</v>
      </c>
    </row>
    <row r="278" ht="25" customHeight="1" spans="1:61">
      <c r="A278" s="9">
        <v>305</v>
      </c>
      <c r="B278" s="9" t="s">
        <v>2790</v>
      </c>
      <c r="C278" s="9" t="s">
        <v>2791</v>
      </c>
      <c r="D278" s="9" t="s">
        <v>1901</v>
      </c>
      <c r="E278" s="10">
        <v>45643</v>
      </c>
      <c r="F278" s="9">
        <v>1.7221</v>
      </c>
      <c r="G278" s="9" t="s">
        <v>1561</v>
      </c>
      <c r="H278" s="9" t="s">
        <v>546</v>
      </c>
      <c r="I278" s="9">
        <v>70</v>
      </c>
      <c r="J278" s="9" t="s">
        <v>1562</v>
      </c>
      <c r="K278" s="9">
        <v>100</v>
      </c>
      <c r="L278" s="9">
        <v>70</v>
      </c>
      <c r="M278" s="11">
        <v>-0.0535</v>
      </c>
      <c r="N278" s="11"/>
      <c r="O278" s="11"/>
      <c r="P278" s="11"/>
      <c r="Q278" s="9">
        <v>7.35</v>
      </c>
      <c r="R278" s="9"/>
      <c r="S278" s="9">
        <v>7.35</v>
      </c>
      <c r="T278" s="11">
        <v>0.4615</v>
      </c>
      <c r="U278" s="11"/>
      <c r="V278" s="11"/>
      <c r="W278" s="9">
        <v>46.15</v>
      </c>
      <c r="X278" s="9"/>
      <c r="Y278" s="9">
        <v>46.15</v>
      </c>
      <c r="Z278" s="9">
        <v>0.167764189401066</v>
      </c>
      <c r="AA278" s="9"/>
      <c r="AB278" s="9">
        <v>0.167764189401066</v>
      </c>
      <c r="AC278" s="9">
        <v>14.1</v>
      </c>
      <c r="AD278" s="9">
        <v>-0.3189</v>
      </c>
      <c r="AE278" s="9"/>
      <c r="AF278" s="9"/>
      <c r="AG278" s="9">
        <v>10.29</v>
      </c>
      <c r="AH278" s="9"/>
      <c r="AI278" s="9">
        <v>10.29</v>
      </c>
      <c r="AJ278" s="9"/>
      <c r="AK278" s="9"/>
      <c r="AL278" s="9">
        <v>79</v>
      </c>
      <c r="AM278" s="9">
        <v>18.99</v>
      </c>
      <c r="AN278" s="9">
        <v>14.1</v>
      </c>
      <c r="AO278" s="9">
        <v>10.29</v>
      </c>
      <c r="AP278" s="9"/>
      <c r="AQ278" s="12">
        <v>0.7</v>
      </c>
      <c r="AR278" s="9">
        <v>19.506</v>
      </c>
      <c r="AS278" s="9">
        <v>27.87</v>
      </c>
      <c r="AT278" s="9">
        <v>305</v>
      </c>
      <c r="AU278" s="9" t="s">
        <v>1931</v>
      </c>
      <c r="AV278" s="9">
        <v>5</v>
      </c>
      <c r="AW278" s="9" t="s">
        <v>1902</v>
      </c>
      <c r="AX278" s="9">
        <v>46150</v>
      </c>
      <c r="AY278" s="9" t="s">
        <v>1903</v>
      </c>
      <c r="AZ278" s="9" t="s">
        <v>2792</v>
      </c>
      <c r="BA278" s="9">
        <v>45876</v>
      </c>
      <c r="BB278" s="9" t="s">
        <v>785</v>
      </c>
      <c r="BC278" s="9" t="s">
        <v>2793</v>
      </c>
      <c r="BD278" s="9" t="s">
        <v>1566</v>
      </c>
      <c r="BE278" s="13"/>
      <c r="BF278" s="13">
        <v>27.87</v>
      </c>
      <c r="BG278" s="12">
        <v>0.7</v>
      </c>
      <c r="BH278" s="9">
        <v>19.506</v>
      </c>
      <c r="BI278" s="9" t="s">
        <v>1567</v>
      </c>
    </row>
    <row r="279" ht="25" customHeight="1" spans="1:61">
      <c r="A279" s="9">
        <v>306</v>
      </c>
      <c r="B279" s="9" t="s">
        <v>2794</v>
      </c>
      <c r="C279" s="9" t="s">
        <v>2795</v>
      </c>
      <c r="D279" s="9" t="s">
        <v>503</v>
      </c>
      <c r="E279" s="10">
        <v>45677</v>
      </c>
      <c r="F279" s="9">
        <v>1.629</v>
      </c>
      <c r="G279" s="9" t="s">
        <v>1561</v>
      </c>
      <c r="H279" s="9" t="s">
        <v>557</v>
      </c>
      <c r="I279" s="9">
        <v>90</v>
      </c>
      <c r="J279" s="9" t="s">
        <v>1562</v>
      </c>
      <c r="K279" s="9">
        <v>100</v>
      </c>
      <c r="L279" s="9">
        <v>70</v>
      </c>
      <c r="M279" s="11">
        <v>0.1092</v>
      </c>
      <c r="N279" s="11"/>
      <c r="O279" s="11"/>
      <c r="P279" s="11"/>
      <c r="Q279" s="9">
        <v>76.04</v>
      </c>
      <c r="R279" s="9"/>
      <c r="S279" s="9">
        <v>76.04</v>
      </c>
      <c r="T279" s="11">
        <v>1</v>
      </c>
      <c r="U279" s="11"/>
      <c r="V279" s="11"/>
      <c r="W279" s="9">
        <v>100</v>
      </c>
      <c r="X279" s="9"/>
      <c r="Y279" s="9">
        <v>100</v>
      </c>
      <c r="Z279" s="9">
        <v>0.00308633252123973</v>
      </c>
      <c r="AA279" s="9"/>
      <c r="AB279" s="9">
        <v>0.00308633252123973</v>
      </c>
      <c r="AC279" s="9">
        <v>97.76</v>
      </c>
      <c r="AD279" s="9">
        <v>35.3818</v>
      </c>
      <c r="AE279" s="9"/>
      <c r="AF279" s="9"/>
      <c r="AG279" s="9">
        <v>94.53</v>
      </c>
      <c r="AH279" s="9"/>
      <c r="AI279" s="9">
        <v>94.53</v>
      </c>
      <c r="AJ279" s="9"/>
      <c r="AK279" s="9"/>
      <c r="AL279" s="9">
        <v>87</v>
      </c>
      <c r="AM279" s="9">
        <v>83.23</v>
      </c>
      <c r="AN279" s="9">
        <v>97.76</v>
      </c>
      <c r="AO279" s="9">
        <v>94.53</v>
      </c>
      <c r="AP279" s="9"/>
      <c r="AQ279" s="12">
        <v>0.7</v>
      </c>
      <c r="AR279" s="9">
        <v>64.49276</v>
      </c>
      <c r="AS279" s="9">
        <v>92.13</v>
      </c>
      <c r="AT279" s="9">
        <v>5</v>
      </c>
      <c r="AU279" s="9" t="s">
        <v>1931</v>
      </c>
      <c r="AV279" s="9">
        <v>20</v>
      </c>
      <c r="AW279" s="9" t="s">
        <v>1438</v>
      </c>
      <c r="AX279" s="9">
        <v>45854</v>
      </c>
      <c r="AY279" s="9" t="s">
        <v>1440</v>
      </c>
      <c r="AZ279" s="9" t="s">
        <v>2796</v>
      </c>
      <c r="BA279" s="9">
        <v>46240</v>
      </c>
      <c r="BB279" s="9" t="s">
        <v>785</v>
      </c>
      <c r="BC279" s="9" t="s">
        <v>2797</v>
      </c>
      <c r="BD279" s="9" t="s">
        <v>1566</v>
      </c>
      <c r="BE279" s="13"/>
      <c r="BF279" s="13">
        <v>92.13</v>
      </c>
      <c r="BG279" s="12">
        <v>0.7</v>
      </c>
      <c r="BH279" s="9">
        <v>64.49276</v>
      </c>
      <c r="BI279" s="9" t="s">
        <v>1567</v>
      </c>
    </row>
    <row r="280" ht="25" customHeight="1" spans="1:61">
      <c r="A280" s="9">
        <v>307</v>
      </c>
      <c r="B280" s="9" t="s">
        <v>2798</v>
      </c>
      <c r="C280" s="9" t="s">
        <v>2799</v>
      </c>
      <c r="D280" s="9" t="s">
        <v>2170</v>
      </c>
      <c r="E280" s="10">
        <v>44907</v>
      </c>
      <c r="F280" s="9">
        <v>3.7372</v>
      </c>
      <c r="G280" s="9" t="s">
        <v>1561</v>
      </c>
      <c r="H280" s="9" t="s">
        <v>546</v>
      </c>
      <c r="I280" s="9">
        <v>70</v>
      </c>
      <c r="J280" s="9" t="s">
        <v>1562</v>
      </c>
      <c r="K280" s="9">
        <v>100</v>
      </c>
      <c r="L280" s="9">
        <v>100</v>
      </c>
      <c r="M280" s="11">
        <v>-0.1299</v>
      </c>
      <c r="N280" s="11">
        <v>0.0874</v>
      </c>
      <c r="O280" s="11"/>
      <c r="P280" s="11">
        <v>0.215624400058735</v>
      </c>
      <c r="Q280" s="9">
        <v>1.76</v>
      </c>
      <c r="R280" s="9">
        <v>92.14</v>
      </c>
      <c r="S280" s="9">
        <v>37.91</v>
      </c>
      <c r="T280" s="11">
        <v>0.6154</v>
      </c>
      <c r="U280" s="11">
        <v>0.7297</v>
      </c>
      <c r="V280" s="11">
        <v>0.7916125</v>
      </c>
      <c r="W280" s="9">
        <v>61.54</v>
      </c>
      <c r="X280" s="9">
        <v>79.16125</v>
      </c>
      <c r="Y280" s="9">
        <v>68.59</v>
      </c>
      <c r="Z280" s="9">
        <v>0.323536737235367</v>
      </c>
      <c r="AA280" s="9">
        <v>0.3236</v>
      </c>
      <c r="AB280" s="9">
        <v>0.3236</v>
      </c>
      <c r="AC280" s="9">
        <v>3.04</v>
      </c>
      <c r="AD280" s="9">
        <v>-0.4015</v>
      </c>
      <c r="AE280" s="9"/>
      <c r="AF280" s="9"/>
      <c r="AG280" s="9">
        <v>8.52</v>
      </c>
      <c r="AH280" s="9"/>
      <c r="AI280" s="9">
        <v>8.52</v>
      </c>
      <c r="AJ280" s="9">
        <v>0.0874</v>
      </c>
      <c r="AK280" s="9">
        <v>60</v>
      </c>
      <c r="AL280" s="9">
        <v>88</v>
      </c>
      <c r="AM280" s="9">
        <v>47.11</v>
      </c>
      <c r="AN280" s="9">
        <v>3.04</v>
      </c>
      <c r="AO280" s="9">
        <v>8.52</v>
      </c>
      <c r="AP280" s="9">
        <v>60</v>
      </c>
      <c r="AQ280" s="12">
        <v>0.88</v>
      </c>
      <c r="AR280" s="9">
        <v>30.91659</v>
      </c>
      <c r="AS280" s="9">
        <v>35.13</v>
      </c>
      <c r="AT280" s="9">
        <v>285</v>
      </c>
      <c r="AU280" s="9" t="s">
        <v>1563</v>
      </c>
      <c r="AV280" s="9">
        <v>5</v>
      </c>
      <c r="AW280" s="9" t="s">
        <v>2171</v>
      </c>
      <c r="AX280" s="9">
        <v>46149</v>
      </c>
      <c r="AY280" s="9" t="s">
        <v>2172</v>
      </c>
      <c r="AZ280" s="9" t="s">
        <v>785</v>
      </c>
      <c r="BA280" s="9" t="s">
        <v>785</v>
      </c>
      <c r="BB280" s="9" t="s">
        <v>785</v>
      </c>
      <c r="BC280" s="9" t="s">
        <v>785</v>
      </c>
      <c r="BD280" s="9" t="s">
        <v>1898</v>
      </c>
      <c r="BE280" s="13"/>
      <c r="BF280" s="13">
        <v>35.13</v>
      </c>
      <c r="BG280" s="12">
        <v>0.88</v>
      </c>
      <c r="BH280" s="9">
        <v>30.91659</v>
      </c>
      <c r="BI280" s="9" t="s">
        <v>1567</v>
      </c>
    </row>
    <row r="281" ht="25" customHeight="1" spans="1:61">
      <c r="A281" s="9">
        <v>308</v>
      </c>
      <c r="B281" s="9" t="s">
        <v>2800</v>
      </c>
      <c r="C281" s="9" t="s">
        <v>2801</v>
      </c>
      <c r="D281" s="9" t="s">
        <v>177</v>
      </c>
      <c r="E281" s="10">
        <v>44462</v>
      </c>
      <c r="F281" s="9">
        <v>4.9555</v>
      </c>
      <c r="G281" s="9" t="s">
        <v>1561</v>
      </c>
      <c r="H281" s="9" t="s">
        <v>551</v>
      </c>
      <c r="I281" s="9">
        <v>80</v>
      </c>
      <c r="J281" s="9" t="s">
        <v>1562</v>
      </c>
      <c r="K281" s="9">
        <v>100</v>
      </c>
      <c r="L281" s="9">
        <v>100</v>
      </c>
      <c r="M281" s="11">
        <v>0.1413</v>
      </c>
      <c r="N281" s="11">
        <v>0.1698</v>
      </c>
      <c r="O281" s="11"/>
      <c r="P281" s="11">
        <v>0.184315782686411</v>
      </c>
      <c r="Q281" s="9">
        <v>83.23</v>
      </c>
      <c r="R281" s="9">
        <v>90.24</v>
      </c>
      <c r="S281" s="9">
        <v>86.03</v>
      </c>
      <c r="T281" s="11">
        <v>1</v>
      </c>
      <c r="U281" s="11">
        <v>1</v>
      </c>
      <c r="V281" s="11">
        <v>1</v>
      </c>
      <c r="W281" s="9">
        <v>100</v>
      </c>
      <c r="X281" s="9">
        <v>100</v>
      </c>
      <c r="Y281" s="9">
        <v>100</v>
      </c>
      <c r="Z281" s="9">
        <v>0.00272262204109945</v>
      </c>
      <c r="AA281" s="9">
        <v>0.0027</v>
      </c>
      <c r="AB281" s="9">
        <v>0.00272262204109945</v>
      </c>
      <c r="AC281" s="9">
        <v>98.24</v>
      </c>
      <c r="AD281" s="9">
        <v>51.8985</v>
      </c>
      <c r="AE281" s="9"/>
      <c r="AF281" s="9"/>
      <c r="AG281" s="9">
        <v>97.59</v>
      </c>
      <c r="AH281" s="9"/>
      <c r="AI281" s="9">
        <v>97.59</v>
      </c>
      <c r="AJ281" s="9">
        <v>0.1698</v>
      </c>
      <c r="AK281" s="9">
        <v>80</v>
      </c>
      <c r="AL281" s="9">
        <v>92</v>
      </c>
      <c r="AM281" s="9">
        <v>90.22</v>
      </c>
      <c r="AN281" s="9">
        <v>98.24</v>
      </c>
      <c r="AO281" s="9">
        <v>97.59</v>
      </c>
      <c r="AP281" s="9">
        <v>80</v>
      </c>
      <c r="AQ281" s="12">
        <v>0.88</v>
      </c>
      <c r="AR281" s="9">
        <v>81.97096</v>
      </c>
      <c r="AS281" s="9">
        <v>93.15</v>
      </c>
      <c r="AT281" s="9">
        <v>2</v>
      </c>
      <c r="AU281" s="9" t="s">
        <v>1563</v>
      </c>
      <c r="AV281" s="9">
        <v>10</v>
      </c>
      <c r="AW281" s="9" t="s">
        <v>1291</v>
      </c>
      <c r="AX281" s="9">
        <v>46248</v>
      </c>
      <c r="AY281" s="9" t="s">
        <v>1293</v>
      </c>
      <c r="AZ281" s="9" t="s">
        <v>785</v>
      </c>
      <c r="BA281" s="9" t="s">
        <v>785</v>
      </c>
      <c r="BB281" s="9" t="s">
        <v>785</v>
      </c>
      <c r="BC281" s="9" t="s">
        <v>785</v>
      </c>
      <c r="BD281" s="9" t="s">
        <v>1898</v>
      </c>
      <c r="BE281" s="13"/>
      <c r="BF281" s="13">
        <v>93.15</v>
      </c>
      <c r="BG281" s="12">
        <v>0.88</v>
      </c>
      <c r="BH281" s="9">
        <v>81.97096</v>
      </c>
      <c r="BI281" s="9" t="s">
        <v>1567</v>
      </c>
    </row>
    <row r="282" ht="25" customHeight="1" spans="1:61">
      <c r="A282" s="9">
        <v>309</v>
      </c>
      <c r="B282" s="9" t="s">
        <v>2802</v>
      </c>
      <c r="C282" s="9" t="s">
        <v>2803</v>
      </c>
      <c r="D282" s="9" t="s">
        <v>514</v>
      </c>
      <c r="E282" s="10">
        <v>44589</v>
      </c>
      <c r="F282" s="9">
        <v>4.6078</v>
      </c>
      <c r="G282" s="9" t="s">
        <v>1561</v>
      </c>
      <c r="H282" s="9" t="s">
        <v>557</v>
      </c>
      <c r="I282" s="9">
        <v>90</v>
      </c>
      <c r="J282" s="9" t="s">
        <v>1562</v>
      </c>
      <c r="K282" s="9">
        <v>100</v>
      </c>
      <c r="L282" s="9">
        <v>100</v>
      </c>
      <c r="M282" s="11">
        <v>0.0461</v>
      </c>
      <c r="N282" s="11">
        <v>0.0445</v>
      </c>
      <c r="O282" s="11"/>
      <c r="P282" s="11">
        <v>0.0437009179283614</v>
      </c>
      <c r="Q282" s="9">
        <v>38.34</v>
      </c>
      <c r="R282" s="9">
        <v>29.29</v>
      </c>
      <c r="S282" s="9">
        <v>34.72</v>
      </c>
      <c r="T282" s="11">
        <v>0.6923</v>
      </c>
      <c r="U282" s="11">
        <v>0.7297</v>
      </c>
      <c r="V282" s="11">
        <v>0.749958333333333</v>
      </c>
      <c r="W282" s="9">
        <v>69.23</v>
      </c>
      <c r="X282" s="9">
        <v>74.9958333333333</v>
      </c>
      <c r="Y282" s="9">
        <v>71.54</v>
      </c>
      <c r="Z282" s="9">
        <v>0.00428263535357289</v>
      </c>
      <c r="AA282" s="9">
        <v>0.0142</v>
      </c>
      <c r="AB282" s="9">
        <v>0.0142</v>
      </c>
      <c r="AC282" s="9">
        <v>78.69</v>
      </c>
      <c r="AD282" s="9">
        <v>10.7644</v>
      </c>
      <c r="AE282" s="9">
        <v>0.0142</v>
      </c>
      <c r="AF282" s="9">
        <v>3.07752943157475</v>
      </c>
      <c r="AG282" s="9">
        <v>81.83</v>
      </c>
      <c r="AH282" s="9">
        <v>75.53</v>
      </c>
      <c r="AI282" s="9">
        <v>79.31</v>
      </c>
      <c r="AJ282" s="9">
        <v>0.0445</v>
      </c>
      <c r="AK282" s="9">
        <v>100</v>
      </c>
      <c r="AL282" s="9">
        <v>96</v>
      </c>
      <c r="AM282" s="9">
        <v>45.76</v>
      </c>
      <c r="AN282" s="9">
        <v>78.69</v>
      </c>
      <c r="AO282" s="9">
        <v>79.31</v>
      </c>
      <c r="AP282" s="9">
        <v>100</v>
      </c>
      <c r="AQ282" s="12">
        <v>1</v>
      </c>
      <c r="AR282" s="9">
        <v>77.01848</v>
      </c>
      <c r="AS282" s="9">
        <v>77.02</v>
      </c>
      <c r="AT282" s="9">
        <v>63</v>
      </c>
      <c r="AU282" s="9"/>
      <c r="AV282" s="9">
        <v>20</v>
      </c>
      <c r="AW282" s="9" t="s">
        <v>2487</v>
      </c>
      <c r="AX282" s="9">
        <v>46244</v>
      </c>
      <c r="AY282" s="9" t="s">
        <v>1446</v>
      </c>
      <c r="AZ282" s="9" t="s">
        <v>785</v>
      </c>
      <c r="BA282" s="9" t="s">
        <v>785</v>
      </c>
      <c r="BB282" s="9" t="s">
        <v>785</v>
      </c>
      <c r="BC282" s="9" t="s">
        <v>785</v>
      </c>
      <c r="BD282" s="9" t="s">
        <v>1898</v>
      </c>
      <c r="BE282" s="13">
        <v>77.01848</v>
      </c>
      <c r="BF282" s="13">
        <v>77.02</v>
      </c>
      <c r="BG282" s="12">
        <v>1</v>
      </c>
      <c r="BH282" s="9">
        <v>77.01848</v>
      </c>
      <c r="BI282" s="9" t="s">
        <v>1567</v>
      </c>
    </row>
    <row r="283" ht="25" customHeight="1" spans="1:61">
      <c r="A283" s="9">
        <v>310</v>
      </c>
      <c r="B283" s="9" t="s">
        <v>2804</v>
      </c>
      <c r="C283" s="9" t="s">
        <v>2805</v>
      </c>
      <c r="D283" s="9" t="s">
        <v>2692</v>
      </c>
      <c r="E283" s="10">
        <v>45485</v>
      </c>
      <c r="F283" s="9">
        <v>2.1547</v>
      </c>
      <c r="G283" s="9" t="s">
        <v>1561</v>
      </c>
      <c r="H283" s="9" t="s">
        <v>542</v>
      </c>
      <c r="I283" s="9">
        <v>60</v>
      </c>
      <c r="J283" s="9" t="s">
        <v>1562</v>
      </c>
      <c r="K283" s="9">
        <v>100</v>
      </c>
      <c r="L283" s="9">
        <v>70</v>
      </c>
      <c r="M283" s="11">
        <v>0.0219</v>
      </c>
      <c r="N283" s="11"/>
      <c r="O283" s="11"/>
      <c r="P283" s="11"/>
      <c r="Q283" s="9">
        <v>23.64</v>
      </c>
      <c r="R283" s="9"/>
      <c r="S283" s="9">
        <v>23.64</v>
      </c>
      <c r="T283" s="11">
        <v>0.5385</v>
      </c>
      <c r="U283" s="11"/>
      <c r="V283" s="11"/>
      <c r="W283" s="9">
        <v>53.85</v>
      </c>
      <c r="X283" s="9"/>
      <c r="Y283" s="9">
        <v>53.85</v>
      </c>
      <c r="Z283" s="9">
        <v>0.0411731528482797</v>
      </c>
      <c r="AA283" s="9"/>
      <c r="AB283" s="9">
        <v>0.0411731528482797</v>
      </c>
      <c r="AC283" s="9">
        <v>50.96</v>
      </c>
      <c r="AD283" s="9">
        <v>0.5319</v>
      </c>
      <c r="AE283" s="9"/>
      <c r="AF283" s="9"/>
      <c r="AG283" s="9">
        <v>24.12</v>
      </c>
      <c r="AH283" s="9"/>
      <c r="AI283" s="9">
        <v>24.12</v>
      </c>
      <c r="AJ283" s="9"/>
      <c r="AK283" s="9"/>
      <c r="AL283" s="9">
        <v>75</v>
      </c>
      <c r="AM283" s="9">
        <v>32.7</v>
      </c>
      <c r="AN283" s="9">
        <v>50.96</v>
      </c>
      <c r="AO283" s="9">
        <v>24.12</v>
      </c>
      <c r="AP283" s="9"/>
      <c r="AQ283" s="12">
        <v>0.7</v>
      </c>
      <c r="AR283" s="9">
        <v>32.25596</v>
      </c>
      <c r="AS283" s="9">
        <v>46.08</v>
      </c>
      <c r="AT283" s="9">
        <v>239</v>
      </c>
      <c r="AU283" s="9" t="s">
        <v>1931</v>
      </c>
      <c r="AV283" s="9">
        <v>0</v>
      </c>
      <c r="AW283" s="9" t="s">
        <v>2693</v>
      </c>
      <c r="AX283" s="9">
        <v>46122</v>
      </c>
      <c r="AY283" s="9" t="s">
        <v>2694</v>
      </c>
      <c r="AZ283" s="9" t="s">
        <v>785</v>
      </c>
      <c r="BA283" s="9" t="s">
        <v>785</v>
      </c>
      <c r="BB283" s="9" t="s">
        <v>785</v>
      </c>
      <c r="BC283" s="9" t="s">
        <v>785</v>
      </c>
      <c r="BD283" s="9" t="s">
        <v>1898</v>
      </c>
      <c r="BE283" s="13"/>
      <c r="BF283" s="13">
        <v>46.08</v>
      </c>
      <c r="BG283" s="12">
        <v>0.7</v>
      </c>
      <c r="BH283" s="9">
        <v>32.25596</v>
      </c>
      <c r="BI283" s="9" t="s">
        <v>1567</v>
      </c>
    </row>
    <row r="284" ht="25" customHeight="1" spans="1:63">
      <c r="A284" s="9">
        <v>311</v>
      </c>
      <c r="B284" s="9" t="s">
        <v>2806</v>
      </c>
      <c r="C284" s="9" t="s">
        <v>2807</v>
      </c>
      <c r="D284" s="9" t="s">
        <v>2182</v>
      </c>
      <c r="E284" s="10">
        <v>43447</v>
      </c>
      <c r="F284" s="9">
        <v>7.7344</v>
      </c>
      <c r="G284" s="9" t="s">
        <v>1561</v>
      </c>
      <c r="H284" s="9" t="s">
        <v>546</v>
      </c>
      <c r="I284" s="9">
        <v>70</v>
      </c>
      <c r="J284" s="9" t="s">
        <v>1562</v>
      </c>
      <c r="K284" s="9">
        <v>100</v>
      </c>
      <c r="L284" s="9">
        <v>100</v>
      </c>
      <c r="M284" s="11">
        <v>0.0467</v>
      </c>
      <c r="N284" s="11"/>
      <c r="O284" s="11"/>
      <c r="P284" s="11" t="s">
        <v>1841</v>
      </c>
      <c r="Q284" s="9">
        <v>39.78</v>
      </c>
      <c r="R284" s="9" t="s">
        <v>1841</v>
      </c>
      <c r="S284" s="9" t="s">
        <v>1841</v>
      </c>
      <c r="T284" s="11">
        <v>0.7692</v>
      </c>
      <c r="U284" s="11"/>
      <c r="V284" s="11"/>
      <c r="W284" s="9">
        <v>76.92</v>
      </c>
      <c r="X284" s="9"/>
      <c r="Y284" s="9">
        <v>76.92</v>
      </c>
      <c r="Z284" s="9">
        <v>0.0566403881140085</v>
      </c>
      <c r="AA284" s="9"/>
      <c r="AB284" s="9">
        <v>0.0566403881140085</v>
      </c>
      <c r="AC284" s="9">
        <v>40.71</v>
      </c>
      <c r="AD284" s="9">
        <v>0.8245</v>
      </c>
      <c r="AE284" s="9" t="s">
        <v>1841</v>
      </c>
      <c r="AF284" s="9" t="s">
        <v>1841</v>
      </c>
      <c r="AG284" s="9">
        <v>28.94</v>
      </c>
      <c r="AH284" s="9" t="s">
        <v>1841</v>
      </c>
      <c r="AI284" s="9" t="s">
        <v>1841</v>
      </c>
      <c r="AJ284" s="9"/>
      <c r="AK284" s="9"/>
      <c r="AL284" s="9">
        <v>88</v>
      </c>
      <c r="AM284" s="9">
        <v>50.92</v>
      </c>
      <c r="AN284" s="9">
        <v>40.71</v>
      </c>
      <c r="AO284" s="9">
        <v>28.94</v>
      </c>
      <c r="AP284" s="9"/>
      <c r="AQ284" s="12">
        <v>0.7</v>
      </c>
      <c r="AR284" s="9">
        <v>34.69734</v>
      </c>
      <c r="AS284" s="9">
        <v>49.57</v>
      </c>
      <c r="AT284" s="9">
        <v>222</v>
      </c>
      <c r="AU284" s="9" t="s">
        <v>1841</v>
      </c>
      <c r="AV284" s="9">
        <v>5</v>
      </c>
      <c r="AW284" s="9" t="s">
        <v>2183</v>
      </c>
      <c r="AX284" s="9">
        <v>46254</v>
      </c>
      <c r="AY284" s="9" t="s">
        <v>2184</v>
      </c>
      <c r="AZ284" s="9" t="s">
        <v>785</v>
      </c>
      <c r="BA284" s="9" t="s">
        <v>785</v>
      </c>
      <c r="BB284" s="9" t="s">
        <v>785</v>
      </c>
      <c r="BC284" s="9" t="s">
        <v>785</v>
      </c>
      <c r="BD284" s="9" t="s">
        <v>1898</v>
      </c>
      <c r="BE284" s="13"/>
      <c r="BF284" s="13">
        <v>49.57</v>
      </c>
      <c r="BG284" s="12">
        <v>0.7</v>
      </c>
      <c r="BH284" s="9">
        <v>34.69734</v>
      </c>
      <c r="BI284" s="9" t="s">
        <v>1567</v>
      </c>
      <c r="BJ284" t="s">
        <v>2808</v>
      </c>
      <c r="BK284" t="s">
        <v>1847</v>
      </c>
    </row>
    <row r="285" ht="25" customHeight="1" spans="1:63">
      <c r="A285" s="9">
        <v>312</v>
      </c>
      <c r="B285" s="9" t="s">
        <v>2809</v>
      </c>
      <c r="C285" s="9" t="s">
        <v>2810</v>
      </c>
      <c r="D285" s="9" t="s">
        <v>2581</v>
      </c>
      <c r="E285" s="10">
        <v>45026</v>
      </c>
      <c r="F285" s="9">
        <v>3.4114</v>
      </c>
      <c r="G285" s="9" t="s">
        <v>1561</v>
      </c>
      <c r="H285" s="9" t="s">
        <v>546</v>
      </c>
      <c r="I285" s="9">
        <v>70</v>
      </c>
      <c r="J285" s="9" t="s">
        <v>1562</v>
      </c>
      <c r="K285" s="9">
        <v>100</v>
      </c>
      <c r="L285" s="9">
        <v>100</v>
      </c>
      <c r="M285" s="11">
        <v>0.0534</v>
      </c>
      <c r="N285" s="11"/>
      <c r="O285" s="11"/>
      <c r="P285" s="11" t="s">
        <v>1841</v>
      </c>
      <c r="Q285" s="9">
        <v>43.77</v>
      </c>
      <c r="R285" s="9" t="s">
        <v>1841</v>
      </c>
      <c r="S285" s="9" t="s">
        <v>1841</v>
      </c>
      <c r="T285" s="11">
        <v>0.6923</v>
      </c>
      <c r="U285" s="11"/>
      <c r="V285" s="11"/>
      <c r="W285" s="9">
        <v>69.23</v>
      </c>
      <c r="X285" s="9"/>
      <c r="Y285" s="9">
        <v>69.23</v>
      </c>
      <c r="Z285" s="9">
        <v>0.0160770736113202</v>
      </c>
      <c r="AA285" s="9"/>
      <c r="AB285" s="9">
        <v>0.0160770736113202</v>
      </c>
      <c r="AC285" s="9">
        <v>75.96</v>
      </c>
      <c r="AD285" s="9">
        <v>3.3215</v>
      </c>
      <c r="AE285" s="9" t="s">
        <v>1841</v>
      </c>
      <c r="AF285" s="9" t="s">
        <v>1841</v>
      </c>
      <c r="AG285" s="9">
        <v>56.59</v>
      </c>
      <c r="AH285" s="9" t="s">
        <v>1841</v>
      </c>
      <c r="AI285" s="9" t="s">
        <v>1841</v>
      </c>
      <c r="AJ285" s="9"/>
      <c r="AK285" s="9"/>
      <c r="AL285" s="9">
        <v>88</v>
      </c>
      <c r="AM285" s="9">
        <v>51.41</v>
      </c>
      <c r="AN285" s="9">
        <v>75.96</v>
      </c>
      <c r="AO285" s="9">
        <v>56.59</v>
      </c>
      <c r="AP285" s="9"/>
      <c r="AQ285" s="12">
        <v>0.7</v>
      </c>
      <c r="AR285" s="9">
        <v>48.54516</v>
      </c>
      <c r="AS285" s="9">
        <v>69.35</v>
      </c>
      <c r="AT285" s="9">
        <v>108</v>
      </c>
      <c r="AU285" s="9" t="s">
        <v>1841</v>
      </c>
      <c r="AV285" s="9">
        <v>5</v>
      </c>
      <c r="AW285" s="9" t="s">
        <v>2582</v>
      </c>
      <c r="AX285" s="9">
        <v>46154</v>
      </c>
      <c r="AY285" s="9" t="s">
        <v>2583</v>
      </c>
      <c r="AZ285" s="9" t="s">
        <v>785</v>
      </c>
      <c r="BA285" s="9" t="s">
        <v>785</v>
      </c>
      <c r="BB285" s="9" t="s">
        <v>785</v>
      </c>
      <c r="BC285" s="9" t="s">
        <v>785</v>
      </c>
      <c r="BD285" s="9" t="s">
        <v>1898</v>
      </c>
      <c r="BE285" s="13"/>
      <c r="BF285" s="13">
        <v>69.35</v>
      </c>
      <c r="BG285" s="12">
        <v>0.7</v>
      </c>
      <c r="BH285" s="9">
        <v>48.54516</v>
      </c>
      <c r="BI285" s="9" t="s">
        <v>1567</v>
      </c>
      <c r="BJ285" t="s">
        <v>2811</v>
      </c>
      <c r="BK285" t="s">
        <v>1847</v>
      </c>
    </row>
    <row r="286" ht="25" customHeight="1" spans="1:61">
      <c r="A286" s="9">
        <v>313</v>
      </c>
      <c r="B286" s="9" t="s">
        <v>2812</v>
      </c>
      <c r="C286" s="9" t="s">
        <v>2813</v>
      </c>
      <c r="D286" s="9" t="s">
        <v>2814</v>
      </c>
      <c r="E286" s="10">
        <v>45726</v>
      </c>
      <c r="F286" s="9">
        <v>1.4949</v>
      </c>
      <c r="G286" s="9" t="s">
        <v>1561</v>
      </c>
      <c r="H286" s="9" t="s">
        <v>557</v>
      </c>
      <c r="I286" s="9">
        <v>90</v>
      </c>
      <c r="J286" s="9" t="s">
        <v>1562</v>
      </c>
      <c r="K286" s="9">
        <v>100</v>
      </c>
      <c r="L286" s="9">
        <v>70</v>
      </c>
      <c r="M286" s="11">
        <v>0.117</v>
      </c>
      <c r="N286" s="11"/>
      <c r="O286" s="11"/>
      <c r="P286" s="11"/>
      <c r="Q286" s="9">
        <v>77.96</v>
      </c>
      <c r="R286" s="9"/>
      <c r="S286" s="9">
        <v>77.96</v>
      </c>
      <c r="T286" s="11">
        <v>0.6154</v>
      </c>
      <c r="U286" s="11"/>
      <c r="V286" s="11"/>
      <c r="W286" s="9">
        <v>61.54</v>
      </c>
      <c r="X286" s="9">
        <v>100</v>
      </c>
      <c r="Y286" s="9">
        <v>76.92</v>
      </c>
      <c r="Z286" s="9">
        <v>0.0413164771523413</v>
      </c>
      <c r="AA286" s="9"/>
      <c r="AB286" s="9">
        <v>0.0413164771523413</v>
      </c>
      <c r="AC286" s="9">
        <v>50</v>
      </c>
      <c r="AD286" s="9">
        <v>2.8318</v>
      </c>
      <c r="AE286" s="9"/>
      <c r="AF286" s="9"/>
      <c r="AG286" s="9">
        <v>52.73</v>
      </c>
      <c r="AH286" s="9"/>
      <c r="AI286" s="9">
        <v>52.73</v>
      </c>
      <c r="AJ286" s="9"/>
      <c r="AK286" s="9"/>
      <c r="AL286" s="9">
        <v>87</v>
      </c>
      <c r="AM286" s="9">
        <v>77.53</v>
      </c>
      <c r="AN286" s="9">
        <v>50</v>
      </c>
      <c r="AO286" s="9">
        <v>52.73</v>
      </c>
      <c r="AP286" s="9"/>
      <c r="AQ286" s="12">
        <v>0.724</v>
      </c>
      <c r="AR286" s="9">
        <v>46.20548</v>
      </c>
      <c r="AS286" s="9">
        <v>63.82</v>
      </c>
      <c r="AT286" s="9">
        <v>139</v>
      </c>
      <c r="AU286" s="9" t="s">
        <v>1931</v>
      </c>
      <c r="AV286" s="9">
        <v>20</v>
      </c>
      <c r="AW286" s="9" t="s">
        <v>2815</v>
      </c>
      <c r="AX286" s="9">
        <v>46149</v>
      </c>
      <c r="AY286" s="9" t="s">
        <v>2816</v>
      </c>
      <c r="AZ286" s="9" t="s">
        <v>2817</v>
      </c>
      <c r="BA286" s="9">
        <v>45735</v>
      </c>
      <c r="BB286" s="9" t="s">
        <v>785</v>
      </c>
      <c r="BC286" s="9" t="s">
        <v>2818</v>
      </c>
      <c r="BD286" s="9" t="s">
        <v>1566</v>
      </c>
      <c r="BE286" s="13"/>
      <c r="BF286" s="13">
        <v>63.82</v>
      </c>
      <c r="BG286" s="12">
        <v>0.724</v>
      </c>
      <c r="BH286" s="9">
        <v>46.20548</v>
      </c>
      <c r="BI286" s="9" t="s">
        <v>1567</v>
      </c>
    </row>
    <row r="287" ht="25" customHeight="1" spans="1:61">
      <c r="A287" s="9">
        <v>314</v>
      </c>
      <c r="B287" s="9" t="s">
        <v>2819</v>
      </c>
      <c r="C287" s="9" t="s">
        <v>2820</v>
      </c>
      <c r="D287" s="9" t="s">
        <v>377</v>
      </c>
      <c r="E287" s="10">
        <v>45758</v>
      </c>
      <c r="F287" s="9">
        <v>1.4073</v>
      </c>
      <c r="G287" s="9" t="s">
        <v>1561</v>
      </c>
      <c r="H287" s="9" t="s">
        <v>557</v>
      </c>
      <c r="I287" s="9">
        <v>90</v>
      </c>
      <c r="J287" s="9" t="s">
        <v>1562</v>
      </c>
      <c r="K287" s="9">
        <v>100</v>
      </c>
      <c r="L287" s="9">
        <v>70</v>
      </c>
      <c r="M287" s="11">
        <v>0.0742</v>
      </c>
      <c r="N287" s="11"/>
      <c r="O287" s="11"/>
      <c r="P287" s="11"/>
      <c r="Q287" s="9">
        <v>57.19</v>
      </c>
      <c r="R287" s="9"/>
      <c r="S287" s="9">
        <v>57.19</v>
      </c>
      <c r="T287" s="11">
        <v>0.8462</v>
      </c>
      <c r="U287" s="11"/>
      <c r="V287" s="11"/>
      <c r="W287" s="9">
        <v>84.62</v>
      </c>
      <c r="X287" s="9">
        <v>100</v>
      </c>
      <c r="Y287" s="9">
        <v>90.77</v>
      </c>
      <c r="Z287" s="9">
        <v>0.0173486088379705</v>
      </c>
      <c r="AA287" s="9"/>
      <c r="AB287" s="9">
        <v>0.0173486088379705</v>
      </c>
      <c r="AC287" s="9">
        <v>73.72</v>
      </c>
      <c r="AD287" s="9">
        <v>4.277</v>
      </c>
      <c r="AE287" s="9"/>
      <c r="AF287" s="9"/>
      <c r="AG287" s="9">
        <v>61.41</v>
      </c>
      <c r="AH287" s="9"/>
      <c r="AI287" s="9">
        <v>61.41</v>
      </c>
      <c r="AJ287" s="9"/>
      <c r="AK287" s="9"/>
      <c r="AL287" s="9">
        <v>87</v>
      </c>
      <c r="AM287" s="9">
        <v>71.18</v>
      </c>
      <c r="AN287" s="9">
        <v>73.72</v>
      </c>
      <c r="AO287" s="9">
        <v>61.41</v>
      </c>
      <c r="AP287" s="9"/>
      <c r="AQ287" s="12">
        <v>0.724</v>
      </c>
      <c r="AR287" s="9">
        <v>52.78408</v>
      </c>
      <c r="AS287" s="9">
        <v>72.91</v>
      </c>
      <c r="AT287" s="9">
        <v>87</v>
      </c>
      <c r="AU287" s="9" t="s">
        <v>1931</v>
      </c>
      <c r="AV287" s="9">
        <v>20</v>
      </c>
      <c r="AW287" s="9" t="s">
        <v>1380</v>
      </c>
      <c r="AX287" s="9">
        <v>46027</v>
      </c>
      <c r="AY287" s="9" t="s">
        <v>1382</v>
      </c>
      <c r="AZ287" s="9" t="s">
        <v>2821</v>
      </c>
      <c r="BA287" s="9">
        <v>45764</v>
      </c>
      <c r="BB287" s="9" t="s">
        <v>785</v>
      </c>
      <c r="BC287" s="9" t="s">
        <v>2822</v>
      </c>
      <c r="BD287" s="9" t="s">
        <v>1566</v>
      </c>
      <c r="BE287" s="13"/>
      <c r="BF287" s="13">
        <v>72.91</v>
      </c>
      <c r="BG287" s="12">
        <v>0.724</v>
      </c>
      <c r="BH287" s="9">
        <v>52.78408</v>
      </c>
      <c r="BI287" s="9" t="s">
        <v>1567</v>
      </c>
    </row>
    <row r="288" ht="25" customHeight="1" spans="1:61">
      <c r="A288" s="9">
        <v>315</v>
      </c>
      <c r="B288" s="9" t="s">
        <v>2823</v>
      </c>
      <c r="C288" s="9" t="s">
        <v>2824</v>
      </c>
      <c r="D288" s="9" t="s">
        <v>2825</v>
      </c>
      <c r="E288" s="10">
        <v>45768</v>
      </c>
      <c r="F288" s="9">
        <v>1.3799</v>
      </c>
      <c r="G288" s="9" t="s">
        <v>1561</v>
      </c>
      <c r="H288" s="9" t="s">
        <v>542</v>
      </c>
      <c r="I288" s="9">
        <v>60</v>
      </c>
      <c r="J288" s="9" t="s">
        <v>1562</v>
      </c>
      <c r="K288" s="9">
        <v>100</v>
      </c>
      <c r="L288" s="9">
        <v>70</v>
      </c>
      <c r="M288" s="11">
        <v>0.0848</v>
      </c>
      <c r="N288" s="11"/>
      <c r="O288" s="11"/>
      <c r="P288" s="11"/>
      <c r="Q288" s="9">
        <v>64.54</v>
      </c>
      <c r="R288" s="9"/>
      <c r="S288" s="9">
        <v>64.54</v>
      </c>
      <c r="T288" s="11">
        <v>0.7692</v>
      </c>
      <c r="U288" s="11"/>
      <c r="V288" s="11"/>
      <c r="W288" s="9">
        <v>76.92</v>
      </c>
      <c r="X288" s="9">
        <v>100</v>
      </c>
      <c r="Y288" s="9">
        <v>86.15</v>
      </c>
      <c r="Z288" s="9">
        <v>0.0451135819545672</v>
      </c>
      <c r="AA288" s="9"/>
      <c r="AB288" s="9">
        <v>0.0451135819545672</v>
      </c>
      <c r="AC288" s="9">
        <v>47.44</v>
      </c>
      <c r="AD288" s="9">
        <v>1.8797</v>
      </c>
      <c r="AE288" s="9"/>
      <c r="AF288" s="9"/>
      <c r="AG288" s="9">
        <v>44.37</v>
      </c>
      <c r="AH288" s="9"/>
      <c r="AI288" s="9">
        <v>44.37</v>
      </c>
      <c r="AJ288" s="9"/>
      <c r="AK288" s="9"/>
      <c r="AL288" s="9">
        <v>75</v>
      </c>
      <c r="AM288" s="9">
        <v>73.55</v>
      </c>
      <c r="AN288" s="9">
        <v>47.44</v>
      </c>
      <c r="AO288" s="9">
        <v>44.37</v>
      </c>
      <c r="AP288" s="9"/>
      <c r="AQ288" s="12">
        <v>0.724</v>
      </c>
      <c r="AR288" s="9">
        <v>41.68708</v>
      </c>
      <c r="AS288" s="9">
        <v>57.58</v>
      </c>
      <c r="AT288" s="9">
        <v>173</v>
      </c>
      <c r="AU288" s="9" t="s">
        <v>1931</v>
      </c>
      <c r="AV288" s="9">
        <v>0</v>
      </c>
      <c r="AW288" s="9" t="s">
        <v>2826</v>
      </c>
      <c r="AX288" s="9">
        <v>46036</v>
      </c>
      <c r="AY288" s="9" t="s">
        <v>2827</v>
      </c>
      <c r="AZ288" s="9" t="s">
        <v>2828</v>
      </c>
      <c r="BA288" s="9">
        <v>45954</v>
      </c>
      <c r="BB288" s="9" t="s">
        <v>785</v>
      </c>
      <c r="BC288" s="9" t="s">
        <v>2829</v>
      </c>
      <c r="BD288" s="9" t="s">
        <v>1566</v>
      </c>
      <c r="BE288" s="13"/>
      <c r="BF288" s="13">
        <v>57.58</v>
      </c>
      <c r="BG288" s="12">
        <v>0.724</v>
      </c>
      <c r="BH288" s="9">
        <v>41.68708</v>
      </c>
      <c r="BI288" s="9" t="s">
        <v>1567</v>
      </c>
    </row>
    <row r="289" ht="25" customHeight="1" spans="1:61">
      <c r="A289" s="9">
        <v>316</v>
      </c>
      <c r="B289" s="9" t="s">
        <v>2830</v>
      </c>
      <c r="C289" s="9" t="s">
        <v>2831</v>
      </c>
      <c r="D289" s="9" t="s">
        <v>1952</v>
      </c>
      <c r="E289" s="10">
        <v>45379</v>
      </c>
      <c r="F289" s="9">
        <v>2.4449</v>
      </c>
      <c r="G289" s="9" t="s">
        <v>1561</v>
      </c>
      <c r="H289" s="9" t="s">
        <v>557</v>
      </c>
      <c r="I289" s="9">
        <v>90</v>
      </c>
      <c r="J289" s="9" t="s">
        <v>1562</v>
      </c>
      <c r="K289" s="9">
        <v>100</v>
      </c>
      <c r="L289" s="9">
        <v>70</v>
      </c>
      <c r="M289" s="11">
        <v>0.0782</v>
      </c>
      <c r="N289" s="11"/>
      <c r="O289" s="11"/>
      <c r="P289" s="11"/>
      <c r="Q289" s="9">
        <v>59.58</v>
      </c>
      <c r="R289" s="9"/>
      <c r="S289" s="9">
        <v>59.58</v>
      </c>
      <c r="T289" s="11">
        <v>0.7692</v>
      </c>
      <c r="U289" s="11"/>
      <c r="V289" s="11"/>
      <c r="W289" s="9">
        <v>76.92</v>
      </c>
      <c r="X289" s="9"/>
      <c r="Y289" s="9">
        <v>76.92</v>
      </c>
      <c r="Z289" s="9">
        <v>0.0106304885674669</v>
      </c>
      <c r="AA289" s="9"/>
      <c r="AB289" s="9">
        <v>0.0106304885674669</v>
      </c>
      <c r="AC289" s="9">
        <v>83.97</v>
      </c>
      <c r="AD289" s="9">
        <v>7.3562</v>
      </c>
      <c r="AE289" s="9"/>
      <c r="AF289" s="9"/>
      <c r="AG289" s="9">
        <v>71.7</v>
      </c>
      <c r="AH289" s="9"/>
      <c r="AI289" s="9">
        <v>71.7</v>
      </c>
      <c r="AJ289" s="9"/>
      <c r="AK289" s="9"/>
      <c r="AL289" s="9">
        <v>87</v>
      </c>
      <c r="AM289" s="9">
        <v>64.78</v>
      </c>
      <c r="AN289" s="9">
        <v>83.97</v>
      </c>
      <c r="AO289" s="9">
        <v>71.7</v>
      </c>
      <c r="AP289" s="9"/>
      <c r="AQ289" s="12">
        <v>0.7</v>
      </c>
      <c r="AR289" s="9">
        <v>54.72234</v>
      </c>
      <c r="AS289" s="9">
        <v>78.17</v>
      </c>
      <c r="AT289" s="9">
        <v>58</v>
      </c>
      <c r="AU289" s="9" t="s">
        <v>1931</v>
      </c>
      <c r="AV289" s="9">
        <v>20</v>
      </c>
      <c r="AW289" s="9" t="s">
        <v>1953</v>
      </c>
      <c r="AX289" s="9">
        <v>45784</v>
      </c>
      <c r="AY289" s="9" t="s">
        <v>1954</v>
      </c>
      <c r="AZ289" s="9" t="s">
        <v>785</v>
      </c>
      <c r="BA289" s="9" t="s">
        <v>785</v>
      </c>
      <c r="BB289" s="9" t="s">
        <v>785</v>
      </c>
      <c r="BC289" s="9" t="s">
        <v>785</v>
      </c>
      <c r="BD289" s="9" t="s">
        <v>1898</v>
      </c>
      <c r="BE289" s="13"/>
      <c r="BF289" s="13">
        <v>78.17</v>
      </c>
      <c r="BG289" s="12">
        <v>0.7</v>
      </c>
      <c r="BH289" s="9">
        <v>54.72234</v>
      </c>
      <c r="BI289" s="9" t="s">
        <v>1567</v>
      </c>
    </row>
    <row r="290" ht="25" customHeight="1" spans="1:61">
      <c r="A290" s="9">
        <v>317</v>
      </c>
      <c r="B290" s="9" t="s">
        <v>2832</v>
      </c>
      <c r="C290" s="9" t="s">
        <v>2833</v>
      </c>
      <c r="D290" s="9" t="s">
        <v>2834</v>
      </c>
      <c r="E290" s="10">
        <v>45785</v>
      </c>
      <c r="F290" s="9">
        <v>1.3333</v>
      </c>
      <c r="G290" s="9" t="s">
        <v>1561</v>
      </c>
      <c r="H290" s="9" t="s">
        <v>542</v>
      </c>
      <c r="I290" s="9">
        <v>60</v>
      </c>
      <c r="J290" s="9" t="s">
        <v>1562</v>
      </c>
      <c r="K290" s="9">
        <v>100</v>
      </c>
      <c r="L290" s="9">
        <v>70</v>
      </c>
      <c r="M290" s="11">
        <v>0.0812</v>
      </c>
      <c r="N290" s="11"/>
      <c r="O290" s="11"/>
      <c r="P290" s="11"/>
      <c r="Q290" s="9">
        <v>61.66</v>
      </c>
      <c r="R290" s="9"/>
      <c r="S290" s="9">
        <v>61.66</v>
      </c>
      <c r="T290" s="11">
        <v>0.6923</v>
      </c>
      <c r="U290" s="11"/>
      <c r="V290" s="11"/>
      <c r="W290" s="9">
        <v>69.23</v>
      </c>
      <c r="X290" s="9">
        <v>100</v>
      </c>
      <c r="Y290" s="9">
        <v>81.54</v>
      </c>
      <c r="Z290" s="9">
        <v>0.117578916883869</v>
      </c>
      <c r="AA290" s="9"/>
      <c r="AB290" s="9">
        <v>0.117578916883869</v>
      </c>
      <c r="AC290" s="9">
        <v>22.12</v>
      </c>
      <c r="AD290" s="9">
        <v>0.6906</v>
      </c>
      <c r="AE290" s="9"/>
      <c r="AF290" s="9"/>
      <c r="AG290" s="9">
        <v>26.37</v>
      </c>
      <c r="AH290" s="9"/>
      <c r="AI290" s="9">
        <v>26.37</v>
      </c>
      <c r="AJ290" s="9"/>
      <c r="AK290" s="9"/>
      <c r="AL290" s="9">
        <v>75</v>
      </c>
      <c r="AM290" s="9">
        <v>69.94</v>
      </c>
      <c r="AN290" s="9">
        <v>22.12</v>
      </c>
      <c r="AO290" s="9">
        <v>26.37</v>
      </c>
      <c r="AP290" s="9"/>
      <c r="AQ290" s="12">
        <v>0.724</v>
      </c>
      <c r="AR290" s="9">
        <v>31.59832</v>
      </c>
      <c r="AS290" s="9">
        <v>43.64</v>
      </c>
      <c r="AT290" s="9">
        <v>255</v>
      </c>
      <c r="AU290" s="9" t="s">
        <v>1931</v>
      </c>
      <c r="AV290" s="9">
        <v>0</v>
      </c>
      <c r="AW290" s="9" t="s">
        <v>2835</v>
      </c>
      <c r="AX290" s="9">
        <v>46041</v>
      </c>
      <c r="AY290" s="9" t="s">
        <v>2836</v>
      </c>
      <c r="AZ290" s="9" t="s">
        <v>785</v>
      </c>
      <c r="BA290" s="9" t="s">
        <v>785</v>
      </c>
      <c r="BB290" s="9" t="s">
        <v>785</v>
      </c>
      <c r="BC290" s="9" t="s">
        <v>785</v>
      </c>
      <c r="BD290" s="9" t="s">
        <v>1898</v>
      </c>
      <c r="BE290" s="13"/>
      <c r="BF290" s="13">
        <v>43.64</v>
      </c>
      <c r="BG290" s="12">
        <v>0.724</v>
      </c>
      <c r="BH290" s="9">
        <v>31.59832</v>
      </c>
      <c r="BI290" s="9" t="s">
        <v>1567</v>
      </c>
    </row>
    <row r="291" ht="25" customHeight="1" spans="1:61">
      <c r="A291" s="9">
        <v>318</v>
      </c>
      <c r="B291" s="9" t="s">
        <v>2837</v>
      </c>
      <c r="C291" s="9" t="s">
        <v>2838</v>
      </c>
      <c r="D291" s="9" t="s">
        <v>2758</v>
      </c>
      <c r="E291" s="10">
        <v>45119</v>
      </c>
      <c r="F291" s="9">
        <v>3.1567</v>
      </c>
      <c r="G291" s="9" t="s">
        <v>1561</v>
      </c>
      <c r="H291" s="9" t="s">
        <v>572</v>
      </c>
      <c r="I291" s="9">
        <v>100</v>
      </c>
      <c r="J291" s="9" t="s">
        <v>1562</v>
      </c>
      <c r="K291" s="9">
        <v>100</v>
      </c>
      <c r="L291" s="9">
        <v>100</v>
      </c>
      <c r="M291" s="11">
        <v>0.0388</v>
      </c>
      <c r="N291" s="11">
        <v>0.052</v>
      </c>
      <c r="O291" s="11"/>
      <c r="P291" s="11">
        <v>0.0586627669198441</v>
      </c>
      <c r="Q291" s="9">
        <v>33.55</v>
      </c>
      <c r="R291" s="9">
        <v>41.9</v>
      </c>
      <c r="S291" s="9">
        <v>36.89</v>
      </c>
      <c r="T291" s="11">
        <v>0.6154</v>
      </c>
      <c r="U291" s="11">
        <v>0.6667</v>
      </c>
      <c r="V291" s="11">
        <v>0.6944875</v>
      </c>
      <c r="W291" s="9">
        <v>61.54</v>
      </c>
      <c r="X291" s="9">
        <v>69.44875</v>
      </c>
      <c r="Y291" s="9">
        <v>64.7</v>
      </c>
      <c r="Z291" s="9">
        <v>0.0154035491682877</v>
      </c>
      <c r="AA291" s="9">
        <v>0.0543</v>
      </c>
      <c r="AB291" s="9">
        <v>0.0543</v>
      </c>
      <c r="AC291" s="9">
        <v>41.83</v>
      </c>
      <c r="AD291" s="9">
        <v>2.5189</v>
      </c>
      <c r="AE291" s="9">
        <v>0.0543</v>
      </c>
      <c r="AF291" s="9">
        <v>1.08034561546674</v>
      </c>
      <c r="AG291" s="9">
        <v>50.16</v>
      </c>
      <c r="AH291" s="9">
        <v>40.43</v>
      </c>
      <c r="AI291" s="9">
        <v>46.27</v>
      </c>
      <c r="AJ291" s="9">
        <v>0.052</v>
      </c>
      <c r="AK291" s="9">
        <v>80</v>
      </c>
      <c r="AL291" s="9">
        <v>100</v>
      </c>
      <c r="AM291" s="9">
        <v>45.23</v>
      </c>
      <c r="AN291" s="9">
        <v>41.83</v>
      </c>
      <c r="AO291" s="9">
        <v>46.27</v>
      </c>
      <c r="AP291" s="9">
        <v>80</v>
      </c>
      <c r="AQ291" s="12">
        <v>1</v>
      </c>
      <c r="AR291" s="9">
        <v>56.38471</v>
      </c>
      <c r="AS291" s="9">
        <v>56.38</v>
      </c>
      <c r="AT291" s="9">
        <v>181</v>
      </c>
      <c r="AU291" s="9"/>
      <c r="AV291" s="9">
        <v>100</v>
      </c>
      <c r="AW291" s="9" t="s">
        <v>2759</v>
      </c>
      <c r="AX291" s="9">
        <v>45954</v>
      </c>
      <c r="AY291" s="9" t="s">
        <v>2760</v>
      </c>
      <c r="AZ291" s="9" t="s">
        <v>785</v>
      </c>
      <c r="BA291" s="9" t="s">
        <v>785</v>
      </c>
      <c r="BB291" s="9" t="s">
        <v>785</v>
      </c>
      <c r="BC291" s="9" t="s">
        <v>785</v>
      </c>
      <c r="BD291" s="9" t="s">
        <v>1898</v>
      </c>
      <c r="BE291" s="13">
        <v>56.38471</v>
      </c>
      <c r="BF291" s="13">
        <v>56.38</v>
      </c>
      <c r="BG291" s="12">
        <v>1</v>
      </c>
      <c r="BH291" s="9">
        <v>56.38471</v>
      </c>
      <c r="BI291" s="9" t="s">
        <v>1567</v>
      </c>
    </row>
    <row r="292" ht="25" customHeight="1" spans="1:61">
      <c r="A292" s="9">
        <v>319</v>
      </c>
      <c r="B292" s="9" t="s">
        <v>499</v>
      </c>
      <c r="C292" s="9" t="s">
        <v>502</v>
      </c>
      <c r="D292" s="9" t="s">
        <v>503</v>
      </c>
      <c r="E292" s="10">
        <v>45800</v>
      </c>
      <c r="F292" s="9">
        <v>1.2923</v>
      </c>
      <c r="G292" s="9" t="s">
        <v>1561</v>
      </c>
      <c r="H292" s="9" t="s">
        <v>557</v>
      </c>
      <c r="I292" s="9">
        <v>90</v>
      </c>
      <c r="J292" s="9" t="s">
        <v>1562</v>
      </c>
      <c r="K292" s="9">
        <v>100</v>
      </c>
      <c r="L292" s="9">
        <v>70</v>
      </c>
      <c r="M292" s="11">
        <v>0.1199</v>
      </c>
      <c r="N292" s="11"/>
      <c r="O292" s="11"/>
      <c r="P292" s="11"/>
      <c r="Q292" s="9">
        <v>78.59</v>
      </c>
      <c r="R292" s="9"/>
      <c r="S292" s="9">
        <v>78.59</v>
      </c>
      <c r="T292" s="11">
        <v>0.9231</v>
      </c>
      <c r="U292" s="11"/>
      <c r="V292" s="11"/>
      <c r="W292" s="9">
        <v>92.31</v>
      </c>
      <c r="X292" s="9">
        <v>100</v>
      </c>
      <c r="Y292" s="9">
        <v>95.39</v>
      </c>
      <c r="Z292" s="9">
        <v>0.00556734443706672</v>
      </c>
      <c r="AA292" s="9"/>
      <c r="AB292" s="9">
        <v>0.00556734443706672</v>
      </c>
      <c r="AC292" s="9">
        <v>92.63</v>
      </c>
      <c r="AD292" s="9">
        <v>21.5363</v>
      </c>
      <c r="AE292" s="9"/>
      <c r="AF292" s="9"/>
      <c r="AG292" s="9">
        <v>91</v>
      </c>
      <c r="AH292" s="9"/>
      <c r="AI292" s="9">
        <v>91</v>
      </c>
      <c r="AJ292" s="9"/>
      <c r="AK292" s="9"/>
      <c r="AL292" s="9">
        <v>87</v>
      </c>
      <c r="AM292" s="9">
        <v>85.59</v>
      </c>
      <c r="AN292" s="9">
        <v>92.63</v>
      </c>
      <c r="AO292" s="9">
        <v>91</v>
      </c>
      <c r="AP292" s="9"/>
      <c r="AQ292" s="12">
        <v>0.724</v>
      </c>
      <c r="AR292" s="9">
        <v>64.91222</v>
      </c>
      <c r="AS292" s="9">
        <v>89.66</v>
      </c>
      <c r="AT292" s="9">
        <v>11</v>
      </c>
      <c r="AU292" s="9" t="s">
        <v>1931</v>
      </c>
      <c r="AV292" s="9">
        <v>20</v>
      </c>
      <c r="AW292" s="9" t="s">
        <v>1438</v>
      </c>
      <c r="AX292" s="9">
        <v>45854</v>
      </c>
      <c r="AY292" s="9" t="s">
        <v>1440</v>
      </c>
      <c r="AZ292" s="9" t="s">
        <v>2839</v>
      </c>
      <c r="BA292" s="9">
        <v>45807</v>
      </c>
      <c r="BB292" s="9" t="s">
        <v>785</v>
      </c>
      <c r="BC292" s="9" t="s">
        <v>990</v>
      </c>
      <c r="BD292" s="9" t="s">
        <v>1566</v>
      </c>
      <c r="BE292" s="13"/>
      <c r="BF292" s="13">
        <v>89.66</v>
      </c>
      <c r="BG292" s="12">
        <v>0.724</v>
      </c>
      <c r="BH292" s="9">
        <v>64.91222</v>
      </c>
      <c r="BI292" s="9" t="s">
        <v>1567</v>
      </c>
    </row>
    <row r="293" ht="25" customHeight="1" spans="1:61">
      <c r="A293" s="9">
        <v>320</v>
      </c>
      <c r="B293" s="9" t="s">
        <v>507</v>
      </c>
      <c r="C293" s="9" t="s">
        <v>508</v>
      </c>
      <c r="D293" s="9" t="s">
        <v>509</v>
      </c>
      <c r="E293" s="10">
        <v>45826</v>
      </c>
      <c r="F293" s="9">
        <v>1.2211</v>
      </c>
      <c r="G293" s="9" t="s">
        <v>1561</v>
      </c>
      <c r="H293" s="9" t="s">
        <v>551</v>
      </c>
      <c r="I293" s="9">
        <v>80</v>
      </c>
      <c r="J293" s="9" t="s">
        <v>1620</v>
      </c>
      <c r="K293" s="9">
        <v>0</v>
      </c>
      <c r="L293" s="9">
        <v>70</v>
      </c>
      <c r="M293" s="11">
        <v>0.3135</v>
      </c>
      <c r="N293" s="11"/>
      <c r="O293" s="11"/>
      <c r="P293" s="11"/>
      <c r="Q293" s="9">
        <v>95.85</v>
      </c>
      <c r="R293" s="9"/>
      <c r="S293" s="9">
        <v>95.85</v>
      </c>
      <c r="T293" s="11">
        <v>0.8462</v>
      </c>
      <c r="U293" s="11"/>
      <c r="V293" s="11"/>
      <c r="W293" s="9">
        <v>84.62</v>
      </c>
      <c r="X293" s="9">
        <v>100</v>
      </c>
      <c r="Y293" s="9">
        <v>90.77</v>
      </c>
      <c r="Z293" s="9">
        <v>0.0668500511770727</v>
      </c>
      <c r="AA293" s="9"/>
      <c r="AB293" s="9">
        <v>0.0668500511770727</v>
      </c>
      <c r="AC293" s="9">
        <v>36.22</v>
      </c>
      <c r="AD293" s="9">
        <v>4.6896</v>
      </c>
      <c r="AE293" s="9"/>
      <c r="AF293" s="9"/>
      <c r="AG293" s="9">
        <v>63.99</v>
      </c>
      <c r="AH293" s="9"/>
      <c r="AI293" s="9">
        <v>63.99</v>
      </c>
      <c r="AJ293" s="9"/>
      <c r="AK293" s="9"/>
      <c r="AL293" s="9">
        <v>53</v>
      </c>
      <c r="AM293" s="9">
        <v>93.73</v>
      </c>
      <c r="AN293" s="9">
        <v>36.22</v>
      </c>
      <c r="AO293" s="9">
        <v>63.99</v>
      </c>
      <c r="AP293" s="9"/>
      <c r="AQ293" s="12">
        <v>0.724</v>
      </c>
      <c r="AR293" s="9">
        <v>42.02092</v>
      </c>
      <c r="AS293" s="9">
        <v>58.04</v>
      </c>
      <c r="AT293" s="9">
        <v>170</v>
      </c>
      <c r="AU293" s="9" t="s">
        <v>1931</v>
      </c>
      <c r="AV293" s="9">
        <v>10</v>
      </c>
      <c r="AW293" s="9" t="s">
        <v>1441</v>
      </c>
      <c r="AX293" s="9">
        <v>46030</v>
      </c>
      <c r="AY293" s="9" t="s">
        <v>1443</v>
      </c>
      <c r="AZ293" s="9" t="s">
        <v>2840</v>
      </c>
      <c r="BA293" s="9">
        <v>45831</v>
      </c>
      <c r="BB293" s="9" t="s">
        <v>1624</v>
      </c>
      <c r="BC293" s="9" t="s">
        <v>992</v>
      </c>
      <c r="BD293" s="9" t="s">
        <v>1566</v>
      </c>
      <c r="BE293" s="13"/>
      <c r="BF293" s="13">
        <v>58.04</v>
      </c>
      <c r="BG293" s="12">
        <v>0.724</v>
      </c>
      <c r="BH293" s="9">
        <v>42.02092</v>
      </c>
      <c r="BI293" s="9" t="s">
        <v>1567</v>
      </c>
    </row>
    <row r="294" ht="25" customHeight="1" spans="1:61">
      <c r="A294" s="9">
        <v>321</v>
      </c>
      <c r="B294" s="9" t="s">
        <v>2841</v>
      </c>
      <c r="C294" s="9" t="s">
        <v>2842</v>
      </c>
      <c r="D294" s="9" t="s">
        <v>1878</v>
      </c>
      <c r="E294" s="10">
        <v>45832</v>
      </c>
      <c r="F294" s="9">
        <v>1.2047</v>
      </c>
      <c r="G294" s="9" t="s">
        <v>1561</v>
      </c>
      <c r="H294" s="9" t="s">
        <v>542</v>
      </c>
      <c r="I294" s="9">
        <v>60</v>
      </c>
      <c r="J294" s="9" t="s">
        <v>1562</v>
      </c>
      <c r="K294" s="9">
        <v>100</v>
      </c>
      <c r="L294" s="9">
        <v>70</v>
      </c>
      <c r="M294" s="11">
        <v>0.0356</v>
      </c>
      <c r="N294" s="11"/>
      <c r="O294" s="11"/>
      <c r="P294" s="11"/>
      <c r="Q294" s="9">
        <v>30.99</v>
      </c>
      <c r="R294" s="9"/>
      <c r="S294" s="9">
        <v>30.99</v>
      </c>
      <c r="T294" s="11">
        <v>0.7692</v>
      </c>
      <c r="U294" s="11"/>
      <c r="V294" s="11"/>
      <c r="W294" s="9">
        <v>76.92</v>
      </c>
      <c r="X294" s="9">
        <v>100</v>
      </c>
      <c r="Y294" s="9">
        <v>86.15</v>
      </c>
      <c r="Z294" s="9">
        <v>0.00602582982108702</v>
      </c>
      <c r="AA294" s="9"/>
      <c r="AB294" s="9">
        <v>0.00602582982108702</v>
      </c>
      <c r="AC294" s="9">
        <v>91.03</v>
      </c>
      <c r="AD294" s="9">
        <v>5.9079</v>
      </c>
      <c r="AE294" s="9"/>
      <c r="AF294" s="9"/>
      <c r="AG294" s="9">
        <v>67.52</v>
      </c>
      <c r="AH294" s="9"/>
      <c r="AI294" s="9">
        <v>67.52</v>
      </c>
      <c r="AJ294" s="9"/>
      <c r="AK294" s="9"/>
      <c r="AL294" s="9">
        <v>75</v>
      </c>
      <c r="AM294" s="9">
        <v>53.97</v>
      </c>
      <c r="AN294" s="9">
        <v>91.03</v>
      </c>
      <c r="AO294" s="9">
        <v>67.52</v>
      </c>
      <c r="AP294" s="9"/>
      <c r="AQ294" s="12">
        <v>0.724</v>
      </c>
      <c r="AR294" s="9">
        <v>53.93338</v>
      </c>
      <c r="AS294" s="9">
        <v>74.49</v>
      </c>
      <c r="AT294" s="9">
        <v>79</v>
      </c>
      <c r="AU294" s="9" t="s">
        <v>1931</v>
      </c>
      <c r="AV294" s="9">
        <v>0</v>
      </c>
      <c r="AW294" s="9" t="s">
        <v>1879</v>
      </c>
      <c r="AX294" s="9">
        <v>46258</v>
      </c>
      <c r="AY294" s="9" t="s">
        <v>1880</v>
      </c>
      <c r="AZ294" s="9" t="s">
        <v>2843</v>
      </c>
      <c r="BA294" s="9">
        <v>45835</v>
      </c>
      <c r="BB294" s="9" t="s">
        <v>785</v>
      </c>
      <c r="BC294" s="9" t="s">
        <v>2844</v>
      </c>
      <c r="BD294" s="9" t="s">
        <v>1566</v>
      </c>
      <c r="BE294" s="13"/>
      <c r="BF294" s="13">
        <v>74.49</v>
      </c>
      <c r="BG294" s="12">
        <v>0.724</v>
      </c>
      <c r="BH294" s="9">
        <v>53.93338</v>
      </c>
      <c r="BI294" s="9" t="s">
        <v>1567</v>
      </c>
    </row>
    <row r="295" ht="25" customHeight="1" spans="1:61">
      <c r="A295" s="9">
        <v>322</v>
      </c>
      <c r="B295" s="9" t="s">
        <v>2845</v>
      </c>
      <c r="C295" s="9" t="s">
        <v>2846</v>
      </c>
      <c r="D295" s="9" t="s">
        <v>2544</v>
      </c>
      <c r="E295" s="10">
        <v>45831</v>
      </c>
      <c r="F295" s="9">
        <v>1.2074</v>
      </c>
      <c r="G295" s="9" t="s">
        <v>1561</v>
      </c>
      <c r="H295" s="9" t="s">
        <v>542</v>
      </c>
      <c r="I295" s="9">
        <v>60</v>
      </c>
      <c r="J295" s="9" t="s">
        <v>1562</v>
      </c>
      <c r="K295" s="9">
        <v>100</v>
      </c>
      <c r="L295" s="9">
        <v>70</v>
      </c>
      <c r="M295" s="11">
        <v>1.0884</v>
      </c>
      <c r="N295" s="11"/>
      <c r="O295" s="11"/>
      <c r="P295" s="11"/>
      <c r="Q295" s="9">
        <v>100</v>
      </c>
      <c r="R295" s="9"/>
      <c r="S295" s="9">
        <v>100</v>
      </c>
      <c r="T295" s="11">
        <v>0.7692</v>
      </c>
      <c r="U295" s="11"/>
      <c r="V295" s="11"/>
      <c r="W295" s="9">
        <v>76.92</v>
      </c>
      <c r="X295" s="9">
        <v>100</v>
      </c>
      <c r="Y295" s="9">
        <v>86.15</v>
      </c>
      <c r="Z295" s="9">
        <v>0.183287865009599</v>
      </c>
      <c r="AA295" s="9"/>
      <c r="AB295" s="9">
        <v>0.183287865009599</v>
      </c>
      <c r="AC295" s="9">
        <v>12.18</v>
      </c>
      <c r="AD295" s="9">
        <v>5.9382</v>
      </c>
      <c r="AE295" s="9"/>
      <c r="AF295" s="9"/>
      <c r="AG295" s="9">
        <v>67.85</v>
      </c>
      <c r="AH295" s="9"/>
      <c r="AI295" s="9">
        <v>67.85</v>
      </c>
      <c r="AJ295" s="9"/>
      <c r="AK295" s="9"/>
      <c r="AL295" s="9">
        <v>75</v>
      </c>
      <c r="AM295" s="9">
        <v>94.23</v>
      </c>
      <c r="AN295" s="9">
        <v>12.18</v>
      </c>
      <c r="AO295" s="9">
        <v>67.85</v>
      </c>
      <c r="AP295" s="9"/>
      <c r="AQ295" s="12">
        <v>0.724</v>
      </c>
      <c r="AR295" s="9">
        <v>40.07712</v>
      </c>
      <c r="AS295" s="9">
        <v>55.36</v>
      </c>
      <c r="AT295" s="9">
        <v>188</v>
      </c>
      <c r="AU295" s="9" t="s">
        <v>1931</v>
      </c>
      <c r="AV295" s="9">
        <v>0</v>
      </c>
      <c r="AW295" s="9" t="s">
        <v>2545</v>
      </c>
      <c r="AX295" s="9">
        <v>46063</v>
      </c>
      <c r="AY295" s="9" t="s">
        <v>2546</v>
      </c>
      <c r="AZ295" s="9" t="s">
        <v>2847</v>
      </c>
      <c r="BA295" s="9">
        <v>45834</v>
      </c>
      <c r="BB295" s="9" t="s">
        <v>785</v>
      </c>
      <c r="BC295" s="9" t="s">
        <v>2848</v>
      </c>
      <c r="BD295" s="9" t="s">
        <v>1566</v>
      </c>
      <c r="BE295" s="13"/>
      <c r="BF295" s="13">
        <v>55.36</v>
      </c>
      <c r="BG295" s="12">
        <v>0.724</v>
      </c>
      <c r="BH295" s="9">
        <v>40.07712</v>
      </c>
      <c r="BI295" s="9" t="s">
        <v>1567</v>
      </c>
    </row>
    <row r="296" ht="25" customHeight="1" spans="1:61">
      <c r="A296" s="9">
        <v>323</v>
      </c>
      <c r="B296" s="9" t="s">
        <v>2849</v>
      </c>
      <c r="C296" s="9" t="s">
        <v>2850</v>
      </c>
      <c r="D296" s="9" t="s">
        <v>2017</v>
      </c>
      <c r="E296" s="10">
        <v>45642</v>
      </c>
      <c r="F296" s="9">
        <v>1.7248</v>
      </c>
      <c r="G296" s="9" t="s">
        <v>1561</v>
      </c>
      <c r="H296" s="9" t="s">
        <v>557</v>
      </c>
      <c r="I296" s="9">
        <v>90</v>
      </c>
      <c r="J296" s="9" t="s">
        <v>1562</v>
      </c>
      <c r="K296" s="9">
        <v>100</v>
      </c>
      <c r="L296" s="9">
        <v>70</v>
      </c>
      <c r="M296" s="11">
        <v>0.1557</v>
      </c>
      <c r="N296" s="11"/>
      <c r="O296" s="11"/>
      <c r="P296" s="11"/>
      <c r="Q296" s="9">
        <v>85.3</v>
      </c>
      <c r="R296" s="9"/>
      <c r="S296" s="9">
        <v>85.3</v>
      </c>
      <c r="T296" s="11">
        <v>0.6923</v>
      </c>
      <c r="U296" s="11"/>
      <c r="V296" s="11"/>
      <c r="W296" s="9">
        <v>69.23</v>
      </c>
      <c r="X296" s="9"/>
      <c r="Y296" s="9">
        <v>69.23</v>
      </c>
      <c r="Z296" s="9">
        <v>0.0829117631396773</v>
      </c>
      <c r="AA296" s="9"/>
      <c r="AB296" s="9">
        <v>0.0829117631396773</v>
      </c>
      <c r="AC296" s="9">
        <v>30.13</v>
      </c>
      <c r="AD296" s="9">
        <v>1.8779</v>
      </c>
      <c r="AE296" s="9"/>
      <c r="AF296" s="9"/>
      <c r="AG296" s="9">
        <v>44.05</v>
      </c>
      <c r="AH296" s="9"/>
      <c r="AI296" s="9">
        <v>44.05</v>
      </c>
      <c r="AJ296" s="9"/>
      <c r="AK296" s="9"/>
      <c r="AL296" s="9">
        <v>87</v>
      </c>
      <c r="AM296" s="9">
        <v>80.48</v>
      </c>
      <c r="AN296" s="9">
        <v>30.13</v>
      </c>
      <c r="AO296" s="9">
        <v>44.05</v>
      </c>
      <c r="AP296" s="9"/>
      <c r="AQ296" s="12">
        <v>0.7</v>
      </c>
      <c r="AR296" s="9">
        <v>38.16898</v>
      </c>
      <c r="AS296" s="9">
        <v>54.53</v>
      </c>
      <c r="AT296" s="9">
        <v>192</v>
      </c>
      <c r="AU296" s="9" t="s">
        <v>1931</v>
      </c>
      <c r="AV296" s="9">
        <v>20</v>
      </c>
      <c r="AW296" s="9" t="s">
        <v>2018</v>
      </c>
      <c r="AX296" s="9">
        <v>46136</v>
      </c>
      <c r="AY296" s="9" t="s">
        <v>2019</v>
      </c>
      <c r="AZ296" s="9" t="s">
        <v>785</v>
      </c>
      <c r="BA296" s="9" t="s">
        <v>785</v>
      </c>
      <c r="BB296" s="9" t="s">
        <v>785</v>
      </c>
      <c r="BC296" s="9" t="s">
        <v>785</v>
      </c>
      <c r="BD296" s="9" t="s">
        <v>1898</v>
      </c>
      <c r="BE296" s="13"/>
      <c r="BF296" s="13">
        <v>54.53</v>
      </c>
      <c r="BG296" s="12">
        <v>0.7</v>
      </c>
      <c r="BH296" s="9">
        <v>38.16898</v>
      </c>
      <c r="BI296" s="9" t="s">
        <v>1567</v>
      </c>
    </row>
    <row r="297" ht="25" customHeight="1" spans="1:61">
      <c r="A297" s="9">
        <v>324</v>
      </c>
      <c r="B297" s="9" t="s">
        <v>2851</v>
      </c>
      <c r="C297" s="9" t="s">
        <v>2852</v>
      </c>
      <c r="D297" s="9" t="s">
        <v>2853</v>
      </c>
      <c r="E297" s="10">
        <v>45852</v>
      </c>
      <c r="F297" s="9">
        <v>1.1499</v>
      </c>
      <c r="G297" s="9" t="s">
        <v>1561</v>
      </c>
      <c r="H297" s="9" t="s">
        <v>542</v>
      </c>
      <c r="I297" s="9">
        <v>60</v>
      </c>
      <c r="J297" s="9" t="s">
        <v>1562</v>
      </c>
      <c r="K297" s="9">
        <v>100</v>
      </c>
      <c r="L297" s="9">
        <v>70</v>
      </c>
      <c r="M297" s="11">
        <v>0.1052</v>
      </c>
      <c r="N297" s="11"/>
      <c r="O297" s="11"/>
      <c r="P297" s="11"/>
      <c r="Q297" s="9">
        <v>73.8</v>
      </c>
      <c r="R297" s="9"/>
      <c r="S297" s="9">
        <v>73.8</v>
      </c>
      <c r="T297" s="11">
        <v>0.5385</v>
      </c>
      <c r="U297" s="11"/>
      <c r="V297" s="11"/>
      <c r="W297" s="9">
        <v>53.85</v>
      </c>
      <c r="X297" s="9">
        <v>100</v>
      </c>
      <c r="Y297" s="9">
        <v>72.31</v>
      </c>
      <c r="Z297" s="9">
        <v>0.279045092838196</v>
      </c>
      <c r="AA297" s="9"/>
      <c r="AB297" s="9">
        <v>0.279045092838196</v>
      </c>
      <c r="AC297" s="9">
        <v>5.45</v>
      </c>
      <c r="AD297" s="9">
        <v>0.377</v>
      </c>
      <c r="AE297" s="9"/>
      <c r="AF297" s="9"/>
      <c r="AG297" s="9">
        <v>21.86</v>
      </c>
      <c r="AH297" s="9"/>
      <c r="AI297" s="9">
        <v>21.86</v>
      </c>
      <c r="AJ297" s="9"/>
      <c r="AK297" s="9"/>
      <c r="AL297" s="9">
        <v>75</v>
      </c>
      <c r="AM297" s="9">
        <v>73.18</v>
      </c>
      <c r="AN297" s="9">
        <v>5.45</v>
      </c>
      <c r="AO297" s="9">
        <v>21.86</v>
      </c>
      <c r="AP297" s="9"/>
      <c r="AQ297" s="12">
        <v>0.724</v>
      </c>
      <c r="AR297" s="9">
        <v>27.0851</v>
      </c>
      <c r="AS297" s="9">
        <v>37.41</v>
      </c>
      <c r="AT297" s="9">
        <v>276</v>
      </c>
      <c r="AU297" s="9" t="s">
        <v>1931</v>
      </c>
      <c r="AV297" s="9">
        <v>0</v>
      </c>
      <c r="AW297" s="9" t="s">
        <v>2854</v>
      </c>
      <c r="AX297" s="9">
        <v>45870</v>
      </c>
      <c r="AY297" s="9" t="s">
        <v>2855</v>
      </c>
      <c r="AZ297" s="9" t="s">
        <v>2856</v>
      </c>
      <c r="BA297" s="9">
        <v>45860</v>
      </c>
      <c r="BB297" s="9" t="s">
        <v>785</v>
      </c>
      <c r="BC297" s="9" t="s">
        <v>2857</v>
      </c>
      <c r="BD297" s="9" t="s">
        <v>1566</v>
      </c>
      <c r="BE297" s="13"/>
      <c r="BF297" s="13">
        <v>37.41</v>
      </c>
      <c r="BG297" s="12">
        <v>0.724</v>
      </c>
      <c r="BH297" s="9">
        <v>27.0851</v>
      </c>
      <c r="BI297" s="9" t="s">
        <v>1567</v>
      </c>
    </row>
    <row r="298" ht="25" customHeight="1" spans="1:61">
      <c r="A298" s="9">
        <v>325</v>
      </c>
      <c r="B298" s="9" t="s">
        <v>2858</v>
      </c>
      <c r="C298" s="9" t="s">
        <v>2859</v>
      </c>
      <c r="D298" s="9" t="s">
        <v>2860</v>
      </c>
      <c r="E298" s="10">
        <v>45863</v>
      </c>
      <c r="F298" s="9">
        <v>1.1198</v>
      </c>
      <c r="G298" s="9" t="s">
        <v>1561</v>
      </c>
      <c r="H298" s="9" t="s">
        <v>546</v>
      </c>
      <c r="I298" s="9">
        <v>70</v>
      </c>
      <c r="J298" s="9" t="s">
        <v>1562</v>
      </c>
      <c r="K298" s="9">
        <v>100</v>
      </c>
      <c r="L298" s="9">
        <v>70</v>
      </c>
      <c r="M298" s="11">
        <v>0.221</v>
      </c>
      <c r="N298" s="11"/>
      <c r="O298" s="11"/>
      <c r="P298" s="11"/>
      <c r="Q298" s="9">
        <v>90.58</v>
      </c>
      <c r="R298" s="9"/>
      <c r="S298" s="9">
        <v>90.58</v>
      </c>
      <c r="T298" s="11">
        <v>0.6923</v>
      </c>
      <c r="U298" s="11"/>
      <c r="V298" s="11"/>
      <c r="W298" s="9">
        <v>69.23</v>
      </c>
      <c r="X298" s="9">
        <v>100</v>
      </c>
      <c r="Y298" s="9">
        <v>81.54</v>
      </c>
      <c r="Z298" s="9">
        <v>0.242510699001427</v>
      </c>
      <c r="AA298" s="9"/>
      <c r="AB298" s="9">
        <v>0.242510699001427</v>
      </c>
      <c r="AC298" s="9">
        <v>7.53</v>
      </c>
      <c r="AD298" s="9">
        <v>0.9113</v>
      </c>
      <c r="AE298" s="9"/>
      <c r="AF298" s="9"/>
      <c r="AG298" s="9">
        <v>30.39</v>
      </c>
      <c r="AH298" s="9"/>
      <c r="AI298" s="9">
        <v>30.39</v>
      </c>
      <c r="AJ298" s="9"/>
      <c r="AK298" s="9"/>
      <c r="AL298" s="9">
        <v>79</v>
      </c>
      <c r="AM298" s="9">
        <v>86.81</v>
      </c>
      <c r="AN298" s="9">
        <v>7.53</v>
      </c>
      <c r="AO298" s="9">
        <v>30.39</v>
      </c>
      <c r="AP298" s="9"/>
      <c r="AQ298" s="12">
        <v>0.724</v>
      </c>
      <c r="AR298" s="9">
        <v>31.7037</v>
      </c>
      <c r="AS298" s="9">
        <v>43.79</v>
      </c>
      <c r="AT298" s="9">
        <v>253</v>
      </c>
      <c r="AU298" s="9" t="s">
        <v>1931</v>
      </c>
      <c r="AV298" s="9">
        <v>5</v>
      </c>
      <c r="AW298" s="9" t="s">
        <v>2861</v>
      </c>
      <c r="AX298" s="9">
        <v>45834</v>
      </c>
      <c r="AY298" s="9" t="s">
        <v>2862</v>
      </c>
      <c r="AZ298" s="9" t="s">
        <v>2863</v>
      </c>
      <c r="BA298" s="9">
        <v>45868</v>
      </c>
      <c r="BB298" s="9" t="s">
        <v>785</v>
      </c>
      <c r="BC298" s="9" t="s">
        <v>2864</v>
      </c>
      <c r="BD298" s="9" t="s">
        <v>1566</v>
      </c>
      <c r="BE298" s="13"/>
      <c r="BF298" s="13">
        <v>43.79</v>
      </c>
      <c r="BG298" s="12">
        <v>0.724</v>
      </c>
      <c r="BH298" s="9">
        <v>31.7037</v>
      </c>
      <c r="BI298" s="9" t="s">
        <v>1567</v>
      </c>
    </row>
    <row r="299" ht="25" customHeight="1" spans="1:61">
      <c r="A299" s="9">
        <v>326</v>
      </c>
      <c r="B299" s="9" t="s">
        <v>2865</v>
      </c>
      <c r="C299" s="9" t="s">
        <v>2866</v>
      </c>
      <c r="D299" s="9" t="s">
        <v>377</v>
      </c>
      <c r="E299" s="10">
        <v>45758</v>
      </c>
      <c r="F299" s="9">
        <v>1.4073</v>
      </c>
      <c r="G299" s="9" t="s">
        <v>1561</v>
      </c>
      <c r="H299" s="9" t="s">
        <v>557</v>
      </c>
      <c r="I299" s="9">
        <v>90</v>
      </c>
      <c r="J299" s="9" t="s">
        <v>1562</v>
      </c>
      <c r="K299" s="9">
        <v>100</v>
      </c>
      <c r="L299" s="9">
        <v>70</v>
      </c>
      <c r="M299" s="11">
        <v>0.0744</v>
      </c>
      <c r="N299" s="11"/>
      <c r="O299" s="11"/>
      <c r="P299" s="11"/>
      <c r="Q299" s="9">
        <v>57.51</v>
      </c>
      <c r="R299" s="9"/>
      <c r="S299" s="9">
        <v>57.51</v>
      </c>
      <c r="T299" s="11">
        <v>0.8462</v>
      </c>
      <c r="U299" s="11"/>
      <c r="V299" s="11"/>
      <c r="W299" s="9">
        <v>84.62</v>
      </c>
      <c r="X299" s="9">
        <v>100</v>
      </c>
      <c r="Y299" s="9">
        <v>90.77</v>
      </c>
      <c r="Z299" s="9">
        <v>0.0173491278798619</v>
      </c>
      <c r="AA299" s="9"/>
      <c r="AB299" s="9">
        <v>0.0173491278798619</v>
      </c>
      <c r="AC299" s="9">
        <v>73.4</v>
      </c>
      <c r="AD299" s="9">
        <v>4.2884</v>
      </c>
      <c r="AE299" s="9"/>
      <c r="AF299" s="9"/>
      <c r="AG299" s="9">
        <v>61.74</v>
      </c>
      <c r="AH299" s="9"/>
      <c r="AI299" s="9">
        <v>61.74</v>
      </c>
      <c r="AJ299" s="9"/>
      <c r="AK299" s="9"/>
      <c r="AL299" s="9">
        <v>87</v>
      </c>
      <c r="AM299" s="9">
        <v>71.37</v>
      </c>
      <c r="AN299" s="9">
        <v>73.4</v>
      </c>
      <c r="AO299" s="9">
        <v>61.74</v>
      </c>
      <c r="AP299" s="9"/>
      <c r="AQ299" s="12">
        <v>0.724</v>
      </c>
      <c r="AR299" s="9">
        <v>52.79036</v>
      </c>
      <c r="AS299" s="9">
        <v>72.91</v>
      </c>
      <c r="AT299" s="9">
        <v>88</v>
      </c>
      <c r="AU299" s="9" t="s">
        <v>1931</v>
      </c>
      <c r="AV299" s="9">
        <v>20</v>
      </c>
      <c r="AW299" s="9" t="s">
        <v>1380</v>
      </c>
      <c r="AX299" s="9">
        <v>46027</v>
      </c>
      <c r="AY299" s="9" t="s">
        <v>1382</v>
      </c>
      <c r="AZ299" s="9" t="s">
        <v>785</v>
      </c>
      <c r="BA299" s="9" t="s">
        <v>785</v>
      </c>
      <c r="BB299" s="9" t="s">
        <v>785</v>
      </c>
      <c r="BC299" s="9" t="s">
        <v>785</v>
      </c>
      <c r="BD299" s="9" t="s">
        <v>1898</v>
      </c>
      <c r="BE299" s="13"/>
      <c r="BF299" s="13">
        <v>72.91</v>
      </c>
      <c r="BG299" s="12">
        <v>0.724</v>
      </c>
      <c r="BH299" s="9">
        <v>52.79036</v>
      </c>
      <c r="BI299" s="9" t="s">
        <v>1567</v>
      </c>
    </row>
    <row r="300" ht="25" customHeight="1" spans="1:61">
      <c r="A300" s="9">
        <v>327</v>
      </c>
      <c r="B300" s="9" t="s">
        <v>2867</v>
      </c>
      <c r="C300" s="9" t="s">
        <v>2868</v>
      </c>
      <c r="D300" s="9" t="s">
        <v>2869</v>
      </c>
      <c r="E300" s="10">
        <v>44883</v>
      </c>
      <c r="F300" s="9">
        <v>3.8029</v>
      </c>
      <c r="G300" s="9" t="s">
        <v>1561</v>
      </c>
      <c r="H300" s="9" t="s">
        <v>542</v>
      </c>
      <c r="I300" s="9">
        <v>60</v>
      </c>
      <c r="J300" s="9" t="s">
        <v>1562</v>
      </c>
      <c r="K300" s="9">
        <v>100</v>
      </c>
      <c r="L300" s="9">
        <v>100</v>
      </c>
      <c r="M300" s="11">
        <v>0.0552</v>
      </c>
      <c r="N300" s="11">
        <v>0.06</v>
      </c>
      <c r="O300" s="11"/>
      <c r="P300" s="11">
        <v>0.0624081818240445</v>
      </c>
      <c r="Q300" s="9">
        <v>45.05</v>
      </c>
      <c r="R300" s="9">
        <v>47.14</v>
      </c>
      <c r="S300" s="9">
        <v>45.89</v>
      </c>
      <c r="T300" s="11">
        <v>0.5385</v>
      </c>
      <c r="U300" s="11">
        <v>0.5676</v>
      </c>
      <c r="V300" s="11">
        <v>0.5833625</v>
      </c>
      <c r="W300" s="9">
        <v>53.85</v>
      </c>
      <c r="X300" s="9">
        <v>58.33625</v>
      </c>
      <c r="Y300" s="9">
        <v>55.64</v>
      </c>
      <c r="Z300" s="9">
        <v>0.155143338954469</v>
      </c>
      <c r="AA300" s="9">
        <v>0.1551</v>
      </c>
      <c r="AB300" s="9">
        <v>0.155143338954469</v>
      </c>
      <c r="AC300" s="9">
        <v>15.06</v>
      </c>
      <c r="AD300" s="9">
        <v>0.3558</v>
      </c>
      <c r="AE300" s="9"/>
      <c r="AF300" s="9"/>
      <c r="AG300" s="9">
        <v>21.54</v>
      </c>
      <c r="AH300" s="9"/>
      <c r="AI300" s="9">
        <v>21.54</v>
      </c>
      <c r="AJ300" s="9">
        <v>0.06</v>
      </c>
      <c r="AK300" s="9">
        <v>80</v>
      </c>
      <c r="AL300" s="9">
        <v>84</v>
      </c>
      <c r="AM300" s="9">
        <v>48.81</v>
      </c>
      <c r="AN300" s="9">
        <v>15.06</v>
      </c>
      <c r="AO300" s="9">
        <v>21.54</v>
      </c>
      <c r="AP300" s="9">
        <v>80</v>
      </c>
      <c r="AQ300" s="12">
        <v>0.88</v>
      </c>
      <c r="AR300" s="9">
        <v>38.00491</v>
      </c>
      <c r="AS300" s="9">
        <v>43.19</v>
      </c>
      <c r="AT300" s="9">
        <v>258</v>
      </c>
      <c r="AU300" s="9" t="s">
        <v>1563</v>
      </c>
      <c r="AV300" s="9">
        <v>0</v>
      </c>
      <c r="AW300" s="9" t="s">
        <v>2870</v>
      </c>
      <c r="AX300" s="9">
        <v>45790</v>
      </c>
      <c r="AY300" s="9" t="s">
        <v>2871</v>
      </c>
      <c r="AZ300" s="9" t="s">
        <v>785</v>
      </c>
      <c r="BA300" s="9" t="s">
        <v>785</v>
      </c>
      <c r="BB300" s="9" t="s">
        <v>785</v>
      </c>
      <c r="BC300" s="9" t="s">
        <v>785</v>
      </c>
      <c r="BD300" s="9" t="s">
        <v>1898</v>
      </c>
      <c r="BE300" s="13"/>
      <c r="BF300" s="13">
        <v>43.19</v>
      </c>
      <c r="BG300" s="12">
        <v>0.88</v>
      </c>
      <c r="BH300" s="9">
        <v>38.00491</v>
      </c>
      <c r="BI300" s="9" t="s">
        <v>1567</v>
      </c>
    </row>
    <row r="301" ht="25" customHeight="1" spans="1:63">
      <c r="A301" s="9">
        <v>328</v>
      </c>
      <c r="B301" s="9" t="s">
        <v>2872</v>
      </c>
      <c r="C301" s="9" t="s">
        <v>2873</v>
      </c>
      <c r="D301" s="9" t="s">
        <v>344</v>
      </c>
      <c r="E301" s="10">
        <v>44893</v>
      </c>
      <c r="F301" s="9">
        <v>3.7755</v>
      </c>
      <c r="G301" s="9" t="s">
        <v>1561</v>
      </c>
      <c r="H301" s="9" t="s">
        <v>557</v>
      </c>
      <c r="I301" s="9">
        <v>90</v>
      </c>
      <c r="J301" s="9" t="s">
        <v>1562</v>
      </c>
      <c r="K301" s="9">
        <v>100</v>
      </c>
      <c r="L301" s="9">
        <v>100</v>
      </c>
      <c r="M301" s="11">
        <v>0.0229</v>
      </c>
      <c r="N301" s="11"/>
      <c r="O301" s="11"/>
      <c r="P301" s="11" t="s">
        <v>1841</v>
      </c>
      <c r="Q301" s="9">
        <v>24.44</v>
      </c>
      <c r="R301" s="9" t="s">
        <v>1841</v>
      </c>
      <c r="S301" s="9" t="s">
        <v>1841</v>
      </c>
      <c r="T301" s="11">
        <v>0.4615</v>
      </c>
      <c r="U301" s="11"/>
      <c r="V301" s="11"/>
      <c r="W301" s="9">
        <v>46.15</v>
      </c>
      <c r="X301" s="9"/>
      <c r="Y301" s="9">
        <v>46.15</v>
      </c>
      <c r="Z301" s="9">
        <v>0.0517631103074141</v>
      </c>
      <c r="AA301" s="9"/>
      <c r="AB301" s="9">
        <v>0.0517631103074141</v>
      </c>
      <c r="AC301" s="9">
        <v>43.27</v>
      </c>
      <c r="AD301" s="9">
        <v>0.4424</v>
      </c>
      <c r="AE301" s="9" t="s">
        <v>1841</v>
      </c>
      <c r="AF301" s="9" t="s">
        <v>1841</v>
      </c>
      <c r="AG301" s="9">
        <v>22.83</v>
      </c>
      <c r="AH301" s="9" t="s">
        <v>1841</v>
      </c>
      <c r="AI301" s="9" t="s">
        <v>1841</v>
      </c>
      <c r="AJ301" s="9"/>
      <c r="AK301" s="9"/>
      <c r="AL301" s="9">
        <v>96</v>
      </c>
      <c r="AM301" s="9">
        <v>30.95</v>
      </c>
      <c r="AN301" s="9">
        <v>43.27</v>
      </c>
      <c r="AO301" s="9">
        <v>22.83</v>
      </c>
      <c r="AP301" s="9"/>
      <c r="AQ301" s="12">
        <v>0.7</v>
      </c>
      <c r="AR301" s="9">
        <v>33.04126</v>
      </c>
      <c r="AS301" s="9">
        <v>47.2</v>
      </c>
      <c r="AT301" s="9">
        <v>233</v>
      </c>
      <c r="AU301" s="9" t="s">
        <v>1841</v>
      </c>
      <c r="AV301" s="9">
        <v>20</v>
      </c>
      <c r="AW301" s="9" t="s">
        <v>1365</v>
      </c>
      <c r="AX301" s="9">
        <v>46156</v>
      </c>
      <c r="AY301" s="9" t="s">
        <v>1367</v>
      </c>
      <c r="AZ301" s="9" t="s">
        <v>785</v>
      </c>
      <c r="BA301" s="9" t="s">
        <v>785</v>
      </c>
      <c r="BB301" s="9" t="s">
        <v>785</v>
      </c>
      <c r="BC301" s="9" t="s">
        <v>785</v>
      </c>
      <c r="BD301" s="9" t="s">
        <v>1898</v>
      </c>
      <c r="BE301" s="13"/>
      <c r="BF301" s="13">
        <v>47.2</v>
      </c>
      <c r="BG301" s="12">
        <v>0.7</v>
      </c>
      <c r="BH301" s="9">
        <v>33.04126</v>
      </c>
      <c r="BI301" s="9" t="s">
        <v>1567</v>
      </c>
      <c r="BJ301" t="s">
        <v>2874</v>
      </c>
      <c r="BK301" t="s">
        <v>1847</v>
      </c>
    </row>
    <row r="302" ht="25" customHeight="1" spans="1:63">
      <c r="A302" s="9">
        <v>329</v>
      </c>
      <c r="B302" s="9" t="s">
        <v>2875</v>
      </c>
      <c r="C302" s="9" t="s">
        <v>2876</v>
      </c>
      <c r="D302" s="9" t="s">
        <v>2626</v>
      </c>
      <c r="E302" s="10">
        <v>44942</v>
      </c>
      <c r="F302" s="9">
        <v>3.6413</v>
      </c>
      <c r="G302" s="9" t="s">
        <v>1561</v>
      </c>
      <c r="H302" s="9" t="s">
        <v>551</v>
      </c>
      <c r="I302" s="9">
        <v>80</v>
      </c>
      <c r="J302" s="9" t="s">
        <v>1562</v>
      </c>
      <c r="K302" s="9">
        <v>100</v>
      </c>
      <c r="L302" s="9">
        <v>100</v>
      </c>
      <c r="M302" s="11">
        <v>0.0218</v>
      </c>
      <c r="N302" s="11"/>
      <c r="O302" s="11"/>
      <c r="P302" s="11" t="s">
        <v>1841</v>
      </c>
      <c r="Q302" s="9">
        <v>23.16</v>
      </c>
      <c r="R302" s="9" t="s">
        <v>1841</v>
      </c>
      <c r="S302" s="9" t="s">
        <v>1841</v>
      </c>
      <c r="T302" s="11">
        <v>0.7692</v>
      </c>
      <c r="U302" s="11"/>
      <c r="V302" s="11"/>
      <c r="W302" s="9">
        <v>76.92</v>
      </c>
      <c r="X302" s="9"/>
      <c r="Y302" s="9">
        <v>76.92</v>
      </c>
      <c r="Z302" s="9">
        <v>0.00557359445708588</v>
      </c>
      <c r="AA302" s="9"/>
      <c r="AB302" s="9">
        <v>0.00557359445708588</v>
      </c>
      <c r="AC302" s="9">
        <v>92.31</v>
      </c>
      <c r="AD302" s="9">
        <v>3.9113</v>
      </c>
      <c r="AE302" s="9" t="s">
        <v>1841</v>
      </c>
      <c r="AF302" s="9" t="s">
        <v>1841</v>
      </c>
      <c r="AG302" s="9">
        <v>59.49</v>
      </c>
      <c r="AH302" s="9" t="s">
        <v>1841</v>
      </c>
      <c r="AI302" s="9" t="s">
        <v>1841</v>
      </c>
      <c r="AJ302" s="9"/>
      <c r="AK302" s="9"/>
      <c r="AL302" s="9">
        <v>92</v>
      </c>
      <c r="AM302" s="9">
        <v>39.29</v>
      </c>
      <c r="AN302" s="9">
        <v>92.31</v>
      </c>
      <c r="AO302" s="9">
        <v>59.49</v>
      </c>
      <c r="AP302" s="9"/>
      <c r="AQ302" s="12">
        <v>0.7</v>
      </c>
      <c r="AR302" s="9">
        <v>52.30026</v>
      </c>
      <c r="AS302" s="9">
        <v>74.71</v>
      </c>
      <c r="AT302" s="9">
        <v>77</v>
      </c>
      <c r="AU302" s="9" t="s">
        <v>1841</v>
      </c>
      <c r="AV302" s="9">
        <v>10</v>
      </c>
      <c r="AW302" s="9" t="s">
        <v>2627</v>
      </c>
      <c r="AX302" s="9">
        <v>46038</v>
      </c>
      <c r="AY302" s="9" t="s">
        <v>2628</v>
      </c>
      <c r="AZ302" s="9" t="s">
        <v>785</v>
      </c>
      <c r="BA302" s="9" t="s">
        <v>785</v>
      </c>
      <c r="BB302" s="9" t="s">
        <v>785</v>
      </c>
      <c r="BC302" s="9" t="s">
        <v>785</v>
      </c>
      <c r="BD302" s="9" t="s">
        <v>1898</v>
      </c>
      <c r="BE302" s="13"/>
      <c r="BF302" s="13">
        <v>74.71</v>
      </c>
      <c r="BG302" s="12">
        <v>0.7</v>
      </c>
      <c r="BH302" s="9">
        <v>52.30026</v>
      </c>
      <c r="BI302" s="9" t="s">
        <v>1567</v>
      </c>
      <c r="BJ302" t="s">
        <v>2877</v>
      </c>
      <c r="BK302" t="s">
        <v>1847</v>
      </c>
    </row>
    <row r="303" ht="25" customHeight="1" spans="1:61">
      <c r="A303" s="9">
        <v>330</v>
      </c>
      <c r="B303" s="9" t="s">
        <v>2878</v>
      </c>
      <c r="C303" s="9" t="s">
        <v>2879</v>
      </c>
      <c r="D303" s="9" t="s">
        <v>2777</v>
      </c>
      <c r="E303" s="10">
        <v>45469</v>
      </c>
      <c r="F303" s="9">
        <v>2.1985</v>
      </c>
      <c r="G303" s="9" t="s">
        <v>1561</v>
      </c>
      <c r="H303" s="9" t="s">
        <v>542</v>
      </c>
      <c r="I303" s="9">
        <v>60</v>
      </c>
      <c r="J303" s="9" t="s">
        <v>1562</v>
      </c>
      <c r="K303" s="9">
        <v>100</v>
      </c>
      <c r="L303" s="9">
        <v>70</v>
      </c>
      <c r="M303" s="11">
        <v>0.0602</v>
      </c>
      <c r="N303" s="11"/>
      <c r="O303" s="11"/>
      <c r="P303" s="11"/>
      <c r="Q303" s="9">
        <v>48.88</v>
      </c>
      <c r="R303" s="9"/>
      <c r="S303" s="9">
        <v>48.88</v>
      </c>
      <c r="T303" s="11">
        <v>0.9231</v>
      </c>
      <c r="U303" s="11"/>
      <c r="V303" s="11"/>
      <c r="W303" s="9">
        <v>92.31</v>
      </c>
      <c r="X303" s="9"/>
      <c r="Y303" s="9">
        <v>92.31</v>
      </c>
      <c r="Z303" s="9">
        <v>0.00338636005670184</v>
      </c>
      <c r="AA303" s="9"/>
      <c r="AB303" s="9">
        <v>0.00338636005670184</v>
      </c>
      <c r="AC303" s="9">
        <v>96.47</v>
      </c>
      <c r="AD303" s="9">
        <v>17.7772</v>
      </c>
      <c r="AE303" s="9"/>
      <c r="AF303" s="9"/>
      <c r="AG303" s="9">
        <v>88.42</v>
      </c>
      <c r="AH303" s="9"/>
      <c r="AI303" s="9">
        <v>88.42</v>
      </c>
      <c r="AJ303" s="9"/>
      <c r="AK303" s="9"/>
      <c r="AL303" s="9">
        <v>75</v>
      </c>
      <c r="AM303" s="9">
        <v>61.91</v>
      </c>
      <c r="AN303" s="9">
        <v>96.47</v>
      </c>
      <c r="AO303" s="9">
        <v>88.42</v>
      </c>
      <c r="AP303" s="9"/>
      <c r="AQ303" s="12">
        <v>0.7</v>
      </c>
      <c r="AR303" s="9">
        <v>58.71218</v>
      </c>
      <c r="AS303" s="9">
        <v>83.87</v>
      </c>
      <c r="AT303" s="9">
        <v>33</v>
      </c>
      <c r="AU303" s="9" t="s">
        <v>1931</v>
      </c>
      <c r="AV303" s="9">
        <v>0</v>
      </c>
      <c r="AW303" s="9" t="s">
        <v>2778</v>
      </c>
      <c r="AX303" s="9">
        <v>46081</v>
      </c>
      <c r="AY303" s="9" t="s">
        <v>2779</v>
      </c>
      <c r="AZ303" s="9" t="s">
        <v>785</v>
      </c>
      <c r="BA303" s="9" t="s">
        <v>785</v>
      </c>
      <c r="BB303" s="9" t="s">
        <v>785</v>
      </c>
      <c r="BC303" s="9" t="s">
        <v>785</v>
      </c>
      <c r="BD303" s="9" t="s">
        <v>1898</v>
      </c>
      <c r="BE303" s="13"/>
      <c r="BF303" s="13">
        <v>83.87</v>
      </c>
      <c r="BG303" s="12">
        <v>0.7</v>
      </c>
      <c r="BH303" s="9">
        <v>58.71218</v>
      </c>
      <c r="BI303" s="9" t="s">
        <v>1567</v>
      </c>
    </row>
    <row r="304" ht="25" customHeight="1" spans="1:61">
      <c r="A304" s="9">
        <v>331</v>
      </c>
      <c r="B304" s="9" t="s">
        <v>2880</v>
      </c>
      <c r="C304" s="9" t="s">
        <v>2881</v>
      </c>
      <c r="D304" s="9" t="s">
        <v>2814</v>
      </c>
      <c r="E304" s="10">
        <v>45726</v>
      </c>
      <c r="F304" s="9">
        <v>1.4949</v>
      </c>
      <c r="G304" s="9" t="s">
        <v>1561</v>
      </c>
      <c r="H304" s="9" t="s">
        <v>557</v>
      </c>
      <c r="I304" s="9">
        <v>90</v>
      </c>
      <c r="J304" s="9" t="s">
        <v>1562</v>
      </c>
      <c r="K304" s="9">
        <v>100</v>
      </c>
      <c r="L304" s="9">
        <v>70</v>
      </c>
      <c r="M304" s="11">
        <v>0.1122</v>
      </c>
      <c r="N304" s="11"/>
      <c r="O304" s="11"/>
      <c r="P304" s="11"/>
      <c r="Q304" s="9">
        <v>77</v>
      </c>
      <c r="R304" s="9"/>
      <c r="S304" s="9">
        <v>77</v>
      </c>
      <c r="T304" s="11">
        <v>0.6154</v>
      </c>
      <c r="U304" s="11"/>
      <c r="V304" s="11"/>
      <c r="W304" s="9">
        <v>61.54</v>
      </c>
      <c r="X304" s="9">
        <v>100</v>
      </c>
      <c r="Y304" s="9">
        <v>76.92</v>
      </c>
      <c r="Z304" s="9">
        <v>0.0436643835616438</v>
      </c>
      <c r="AA304" s="9"/>
      <c r="AB304" s="9">
        <v>0.0436643835616438</v>
      </c>
      <c r="AC304" s="9">
        <v>48.4</v>
      </c>
      <c r="AD304" s="9">
        <v>2.5696</v>
      </c>
      <c r="AE304" s="9"/>
      <c r="AF304" s="9"/>
      <c r="AG304" s="9">
        <v>50.8</v>
      </c>
      <c r="AH304" s="9"/>
      <c r="AI304" s="9">
        <v>50.8</v>
      </c>
      <c r="AJ304" s="9"/>
      <c r="AK304" s="9"/>
      <c r="AL304" s="9">
        <v>87</v>
      </c>
      <c r="AM304" s="9">
        <v>76.97</v>
      </c>
      <c r="AN304" s="9">
        <v>48.4</v>
      </c>
      <c r="AO304" s="9">
        <v>50.8</v>
      </c>
      <c r="AP304" s="9"/>
      <c r="AQ304" s="12">
        <v>0.724</v>
      </c>
      <c r="AR304" s="9">
        <v>45.37744</v>
      </c>
      <c r="AS304" s="9">
        <v>62.68</v>
      </c>
      <c r="AT304" s="9">
        <v>143</v>
      </c>
      <c r="AU304" s="9" t="s">
        <v>1931</v>
      </c>
      <c r="AV304" s="9">
        <v>20</v>
      </c>
      <c r="AW304" s="9" t="s">
        <v>2815</v>
      </c>
      <c r="AX304" s="9">
        <v>46149</v>
      </c>
      <c r="AY304" s="9" t="s">
        <v>2816</v>
      </c>
      <c r="AZ304" s="9" t="s">
        <v>785</v>
      </c>
      <c r="BA304" s="9" t="s">
        <v>785</v>
      </c>
      <c r="BB304" s="9" t="s">
        <v>785</v>
      </c>
      <c r="BC304" s="9" t="s">
        <v>785</v>
      </c>
      <c r="BD304" s="9" t="s">
        <v>1898</v>
      </c>
      <c r="BE304" s="13"/>
      <c r="BF304" s="13">
        <v>62.68</v>
      </c>
      <c r="BG304" s="12">
        <v>0.724</v>
      </c>
      <c r="BH304" s="9">
        <v>45.37744</v>
      </c>
      <c r="BI304" s="9" t="s">
        <v>1567</v>
      </c>
    </row>
    <row r="305" ht="25" customHeight="1" spans="1:61">
      <c r="A305" s="9">
        <v>332</v>
      </c>
      <c r="B305" s="9" t="s">
        <v>2882</v>
      </c>
      <c r="C305" s="9" t="s">
        <v>2883</v>
      </c>
      <c r="D305" s="9" t="s">
        <v>2593</v>
      </c>
      <c r="E305" s="10">
        <v>44896</v>
      </c>
      <c r="F305" s="9">
        <v>3.7673</v>
      </c>
      <c r="G305" s="9" t="s">
        <v>1561</v>
      </c>
      <c r="H305" s="9" t="s">
        <v>546</v>
      </c>
      <c r="I305" s="9">
        <v>70</v>
      </c>
      <c r="J305" s="9" t="s">
        <v>1562</v>
      </c>
      <c r="K305" s="9">
        <v>100</v>
      </c>
      <c r="L305" s="9">
        <v>100</v>
      </c>
      <c r="M305" s="11">
        <v>-0.0061</v>
      </c>
      <c r="N305" s="11">
        <v>0.0787</v>
      </c>
      <c r="O305" s="11"/>
      <c r="P305" s="11">
        <v>0.123775792942302</v>
      </c>
      <c r="Q305" s="9">
        <v>13.1</v>
      </c>
      <c r="R305" s="9">
        <v>78.1</v>
      </c>
      <c r="S305" s="9">
        <v>39.1</v>
      </c>
      <c r="T305" s="11">
        <v>0.8462</v>
      </c>
      <c r="U305" s="11">
        <v>0.8919</v>
      </c>
      <c r="V305" s="11">
        <v>0.916654166666667</v>
      </c>
      <c r="W305" s="9">
        <v>84.62</v>
      </c>
      <c r="X305" s="9">
        <v>91.6654166666667</v>
      </c>
      <c r="Y305" s="9">
        <v>87.44</v>
      </c>
      <c r="Z305" s="9">
        <v>0.0991869918699187</v>
      </c>
      <c r="AA305" s="9">
        <v>0.0991</v>
      </c>
      <c r="AB305" s="9">
        <v>0.0991869918699187</v>
      </c>
      <c r="AC305" s="9">
        <v>26.92</v>
      </c>
      <c r="AD305" s="9">
        <v>-0.0615</v>
      </c>
      <c r="AE305" s="9"/>
      <c r="AF305" s="9"/>
      <c r="AG305" s="9">
        <v>13.83</v>
      </c>
      <c r="AH305" s="9"/>
      <c r="AI305" s="9">
        <v>13.83</v>
      </c>
      <c r="AJ305" s="9">
        <v>0.0787</v>
      </c>
      <c r="AK305" s="9">
        <v>80</v>
      </c>
      <c r="AL305" s="9">
        <v>88</v>
      </c>
      <c r="AM305" s="9">
        <v>53.6</v>
      </c>
      <c r="AN305" s="9">
        <v>26.92</v>
      </c>
      <c r="AO305" s="9">
        <v>13.83</v>
      </c>
      <c r="AP305" s="9">
        <v>80</v>
      </c>
      <c r="AQ305" s="12">
        <v>0.88</v>
      </c>
      <c r="AR305" s="9">
        <v>41.13969</v>
      </c>
      <c r="AS305" s="9">
        <v>46.75</v>
      </c>
      <c r="AT305" s="9">
        <v>236</v>
      </c>
      <c r="AU305" s="9" t="s">
        <v>1563</v>
      </c>
      <c r="AV305" s="9">
        <v>5</v>
      </c>
      <c r="AW305" s="9" t="s">
        <v>2594</v>
      </c>
      <c r="AX305" s="9">
        <v>46224</v>
      </c>
      <c r="AY305" s="9" t="s">
        <v>2595</v>
      </c>
      <c r="AZ305" s="9" t="s">
        <v>785</v>
      </c>
      <c r="BA305" s="9" t="s">
        <v>785</v>
      </c>
      <c r="BB305" s="9" t="s">
        <v>785</v>
      </c>
      <c r="BC305" s="9" t="s">
        <v>785</v>
      </c>
      <c r="BD305" s="9" t="s">
        <v>1898</v>
      </c>
      <c r="BE305" s="13"/>
      <c r="BF305" s="13">
        <v>46.75</v>
      </c>
      <c r="BG305" s="12">
        <v>0.88</v>
      </c>
      <c r="BH305" s="9">
        <v>41.13969</v>
      </c>
      <c r="BI305" s="9" t="s">
        <v>1567</v>
      </c>
    </row>
    <row r="306" ht="25" customHeight="1" spans="1:61">
      <c r="A306" s="9">
        <v>333</v>
      </c>
      <c r="B306" s="9" t="s">
        <v>2884</v>
      </c>
      <c r="C306" s="9" t="s">
        <v>2885</v>
      </c>
      <c r="D306" s="9" t="s">
        <v>2825</v>
      </c>
      <c r="E306" s="10">
        <v>45768</v>
      </c>
      <c r="F306" s="9">
        <v>1.3799</v>
      </c>
      <c r="G306" s="9" t="s">
        <v>1561</v>
      </c>
      <c r="H306" s="9" t="s">
        <v>542</v>
      </c>
      <c r="I306" s="9">
        <v>60</v>
      </c>
      <c r="J306" s="9" t="s">
        <v>1562</v>
      </c>
      <c r="K306" s="9">
        <v>100</v>
      </c>
      <c r="L306" s="9">
        <v>70</v>
      </c>
      <c r="M306" s="11">
        <v>0.0849</v>
      </c>
      <c r="N306" s="11"/>
      <c r="O306" s="11"/>
      <c r="P306" s="11"/>
      <c r="Q306" s="9">
        <v>65.02</v>
      </c>
      <c r="R306" s="9"/>
      <c r="S306" s="9">
        <v>65.02</v>
      </c>
      <c r="T306" s="11">
        <v>0.7692</v>
      </c>
      <c r="U306" s="11"/>
      <c r="V306" s="11"/>
      <c r="W306" s="9">
        <v>76.92</v>
      </c>
      <c r="X306" s="9">
        <v>100</v>
      </c>
      <c r="Y306" s="9">
        <v>86.15</v>
      </c>
      <c r="Z306" s="9">
        <v>0.0451187755752777</v>
      </c>
      <c r="AA306" s="9"/>
      <c r="AB306" s="9">
        <v>0.0451187755752777</v>
      </c>
      <c r="AC306" s="9">
        <v>47.12</v>
      </c>
      <c r="AD306" s="9">
        <v>1.8817</v>
      </c>
      <c r="AE306" s="9"/>
      <c r="AF306" s="9"/>
      <c r="AG306" s="9">
        <v>44.69</v>
      </c>
      <c r="AH306" s="9"/>
      <c r="AI306" s="9">
        <v>44.69</v>
      </c>
      <c r="AJ306" s="9"/>
      <c r="AK306" s="9"/>
      <c r="AL306" s="9">
        <v>75</v>
      </c>
      <c r="AM306" s="9">
        <v>73.83</v>
      </c>
      <c r="AN306" s="9">
        <v>47.12</v>
      </c>
      <c r="AO306" s="9">
        <v>44.69</v>
      </c>
      <c r="AP306" s="9"/>
      <c r="AQ306" s="12">
        <v>0.724</v>
      </c>
      <c r="AR306" s="9">
        <v>41.705</v>
      </c>
      <c r="AS306" s="9">
        <v>57.6</v>
      </c>
      <c r="AT306" s="9">
        <v>172</v>
      </c>
      <c r="AU306" s="9" t="s">
        <v>1931</v>
      </c>
      <c r="AV306" s="9">
        <v>0</v>
      </c>
      <c r="AW306" s="9" t="s">
        <v>2826</v>
      </c>
      <c r="AX306" s="9">
        <v>46036</v>
      </c>
      <c r="AY306" s="9" t="s">
        <v>2827</v>
      </c>
      <c r="AZ306" s="9" t="s">
        <v>785</v>
      </c>
      <c r="BA306" s="9" t="s">
        <v>785</v>
      </c>
      <c r="BB306" s="9" t="s">
        <v>785</v>
      </c>
      <c r="BC306" s="9" t="s">
        <v>785</v>
      </c>
      <c r="BD306" s="9" t="s">
        <v>1898</v>
      </c>
      <c r="BE306" s="13"/>
      <c r="BF306" s="13">
        <v>57.6</v>
      </c>
      <c r="BG306" s="12">
        <v>0.724</v>
      </c>
      <c r="BH306" s="9">
        <v>41.705</v>
      </c>
      <c r="BI306" s="9" t="s">
        <v>1567</v>
      </c>
    </row>
    <row r="307" ht="25" customHeight="1" spans="1:61">
      <c r="A307" s="9">
        <v>334</v>
      </c>
      <c r="B307" s="9" t="s">
        <v>2886</v>
      </c>
      <c r="C307" s="9" t="s">
        <v>2887</v>
      </c>
      <c r="D307" s="9" t="s">
        <v>2318</v>
      </c>
      <c r="E307" s="10">
        <v>42950</v>
      </c>
      <c r="F307" s="9">
        <v>9.0951</v>
      </c>
      <c r="G307" s="9" t="s">
        <v>1561</v>
      </c>
      <c r="H307" s="9" t="s">
        <v>572</v>
      </c>
      <c r="I307" s="9">
        <v>100</v>
      </c>
      <c r="J307" s="9" t="s">
        <v>1562</v>
      </c>
      <c r="K307" s="9">
        <v>100</v>
      </c>
      <c r="L307" s="9">
        <v>100</v>
      </c>
      <c r="M307" s="11">
        <v>0.0629</v>
      </c>
      <c r="N307" s="11">
        <v>0.0492</v>
      </c>
      <c r="O307" s="11"/>
      <c r="P307" s="11">
        <v>0.0424163615436066</v>
      </c>
      <c r="Q307" s="9">
        <v>49.52</v>
      </c>
      <c r="R307" s="9">
        <v>28.1</v>
      </c>
      <c r="S307" s="9">
        <v>40.95</v>
      </c>
      <c r="T307" s="11">
        <v>0.9231</v>
      </c>
      <c r="U307" s="11">
        <v>0.8108</v>
      </c>
      <c r="V307" s="11">
        <v>0.749970833333333</v>
      </c>
      <c r="W307" s="9">
        <v>92.31</v>
      </c>
      <c r="X307" s="9">
        <v>74.9970833333333</v>
      </c>
      <c r="Y307" s="9">
        <v>85.38</v>
      </c>
      <c r="Z307" s="9">
        <v>0.00617423312883436</v>
      </c>
      <c r="AA307" s="9">
        <v>0.0211</v>
      </c>
      <c r="AB307" s="9">
        <v>0.0211</v>
      </c>
      <c r="AC307" s="9">
        <v>70.67</v>
      </c>
      <c r="AD307" s="9">
        <v>10.1875</v>
      </c>
      <c r="AE307" s="9">
        <v>0.0211</v>
      </c>
      <c r="AF307" s="9">
        <v>2.01025410159273</v>
      </c>
      <c r="AG307" s="9">
        <v>79.74</v>
      </c>
      <c r="AH307" s="9">
        <v>61.7</v>
      </c>
      <c r="AI307" s="9">
        <v>72.52</v>
      </c>
      <c r="AJ307" s="9">
        <v>0.0492</v>
      </c>
      <c r="AK307" s="9">
        <v>100</v>
      </c>
      <c r="AL307" s="9">
        <v>100</v>
      </c>
      <c r="AM307" s="9">
        <v>54.28</v>
      </c>
      <c r="AN307" s="9">
        <v>70.67</v>
      </c>
      <c r="AO307" s="9">
        <v>72.52</v>
      </c>
      <c r="AP307" s="9">
        <v>100</v>
      </c>
      <c r="AQ307" s="12">
        <v>1</v>
      </c>
      <c r="AR307" s="9">
        <v>75.28107</v>
      </c>
      <c r="AS307" s="9">
        <v>75.28</v>
      </c>
      <c r="AT307" s="9">
        <v>71</v>
      </c>
      <c r="AU307" s="9"/>
      <c r="AV307" s="9">
        <v>100</v>
      </c>
      <c r="AW307" s="9" t="s">
        <v>2319</v>
      </c>
      <c r="AX307" s="9">
        <v>45194</v>
      </c>
      <c r="AY307" s="9" t="s">
        <v>2320</v>
      </c>
      <c r="AZ307" s="9" t="s">
        <v>785</v>
      </c>
      <c r="BA307" s="9" t="s">
        <v>785</v>
      </c>
      <c r="BB307" s="9" t="s">
        <v>785</v>
      </c>
      <c r="BC307" s="9" t="s">
        <v>785</v>
      </c>
      <c r="BD307" s="9" t="s">
        <v>1898</v>
      </c>
      <c r="BE307" s="13">
        <v>75.28107</v>
      </c>
      <c r="BF307" s="13">
        <v>75.28</v>
      </c>
      <c r="BG307" s="12">
        <v>1</v>
      </c>
      <c r="BH307" s="9">
        <v>75.28107</v>
      </c>
      <c r="BI307" s="9" t="s">
        <v>1567</v>
      </c>
    </row>
    <row r="308" ht="25" customHeight="1" spans="1:63">
      <c r="A308" s="9">
        <v>335</v>
      </c>
      <c r="B308" s="9" t="s">
        <v>224</v>
      </c>
      <c r="C308" s="9" t="s">
        <v>225</v>
      </c>
      <c r="D308" s="9" t="s">
        <v>226</v>
      </c>
      <c r="E308" s="10">
        <v>44061</v>
      </c>
      <c r="F308" s="9">
        <v>6.0534</v>
      </c>
      <c r="G308" s="9" t="s">
        <v>1561</v>
      </c>
      <c r="H308" s="9" t="s">
        <v>542</v>
      </c>
      <c r="I308" s="9">
        <v>60</v>
      </c>
      <c r="J308" s="9" t="s">
        <v>1562</v>
      </c>
      <c r="K308" s="9">
        <v>100</v>
      </c>
      <c r="L308" s="9">
        <v>100</v>
      </c>
      <c r="M308" s="11">
        <v>0.3615</v>
      </c>
      <c r="N308" s="11"/>
      <c r="O308" s="11"/>
      <c r="P308" s="11" t="s">
        <v>1841</v>
      </c>
      <c r="Q308" s="9">
        <v>97.12</v>
      </c>
      <c r="R308" s="9" t="s">
        <v>1841</v>
      </c>
      <c r="S308" s="9" t="s">
        <v>1841</v>
      </c>
      <c r="T308" s="11">
        <v>0.7692</v>
      </c>
      <c r="U308" s="11"/>
      <c r="V308" s="11"/>
      <c r="W308" s="9">
        <v>76.92</v>
      </c>
      <c r="X308" s="9"/>
      <c r="Y308" s="9">
        <v>76.92</v>
      </c>
      <c r="Z308" s="9">
        <v>0.0256430263736576</v>
      </c>
      <c r="AA308" s="9"/>
      <c r="AB308" s="9">
        <v>0.0256430263736576</v>
      </c>
      <c r="AC308" s="9">
        <v>64.1</v>
      </c>
      <c r="AD308" s="9">
        <v>14.0974</v>
      </c>
      <c r="AE308" s="9" t="s">
        <v>1841</v>
      </c>
      <c r="AF308" s="9" t="s">
        <v>1841</v>
      </c>
      <c r="AG308" s="9">
        <v>85.85</v>
      </c>
      <c r="AH308" s="9" t="s">
        <v>1841</v>
      </c>
      <c r="AI308" s="9" t="s">
        <v>1841</v>
      </c>
      <c r="AJ308" s="9"/>
      <c r="AK308" s="9"/>
      <c r="AL308" s="9">
        <v>84</v>
      </c>
      <c r="AM308" s="9">
        <v>91.06</v>
      </c>
      <c r="AN308" s="9">
        <v>64.1</v>
      </c>
      <c r="AO308" s="9">
        <v>85.85</v>
      </c>
      <c r="AP308" s="9"/>
      <c r="AQ308" s="12">
        <v>0.7</v>
      </c>
      <c r="AR308" s="9">
        <v>55.0052</v>
      </c>
      <c r="AS308" s="9">
        <v>78.58</v>
      </c>
      <c r="AT308" s="9">
        <v>56</v>
      </c>
      <c r="AU308" s="9" t="s">
        <v>1841</v>
      </c>
      <c r="AV308" s="9">
        <v>0</v>
      </c>
      <c r="AW308" s="9" t="s">
        <v>1319</v>
      </c>
      <c r="AX308" s="9">
        <v>46198</v>
      </c>
      <c r="AY308" s="9" t="s">
        <v>1321</v>
      </c>
      <c r="AZ308" s="9" t="s">
        <v>785</v>
      </c>
      <c r="BA308" s="9" t="s">
        <v>785</v>
      </c>
      <c r="BB308" s="9" t="s">
        <v>785</v>
      </c>
      <c r="BC308" s="9" t="s">
        <v>785</v>
      </c>
      <c r="BD308" s="9" t="s">
        <v>1898</v>
      </c>
      <c r="BE308" s="13"/>
      <c r="BF308" s="13">
        <v>78.58</v>
      </c>
      <c r="BG308" s="12">
        <v>0.7</v>
      </c>
      <c r="BH308" s="9">
        <v>55.0052</v>
      </c>
      <c r="BI308" s="9" t="s">
        <v>1567</v>
      </c>
      <c r="BJ308" t="s">
        <v>2888</v>
      </c>
      <c r="BK308" t="s">
        <v>1847</v>
      </c>
    </row>
    <row r="309" ht="25" customHeight="1" spans="1:61">
      <c r="A309" s="9">
        <v>336</v>
      </c>
      <c r="B309" s="9" t="s">
        <v>2889</v>
      </c>
      <c r="C309" s="9" t="s">
        <v>2890</v>
      </c>
      <c r="D309" s="9" t="s">
        <v>2531</v>
      </c>
      <c r="E309" s="10">
        <v>44769</v>
      </c>
      <c r="F309" s="9">
        <v>4.115</v>
      </c>
      <c r="G309" s="9" t="s">
        <v>1561</v>
      </c>
      <c r="H309" s="9" t="s">
        <v>542</v>
      </c>
      <c r="I309" s="9">
        <v>60</v>
      </c>
      <c r="J309" s="9" t="s">
        <v>1562</v>
      </c>
      <c r="K309" s="9">
        <v>100</v>
      </c>
      <c r="L309" s="9">
        <v>100</v>
      </c>
      <c r="M309" s="11">
        <v>0.0379</v>
      </c>
      <c r="N309" s="11">
        <v>0.1076</v>
      </c>
      <c r="O309" s="11"/>
      <c r="P309" s="11">
        <v>0.14418609247673</v>
      </c>
      <c r="Q309" s="9">
        <v>32.59</v>
      </c>
      <c r="R309" s="9">
        <v>84.29</v>
      </c>
      <c r="S309" s="9">
        <v>53.27</v>
      </c>
      <c r="T309" s="11">
        <v>1</v>
      </c>
      <c r="U309" s="11">
        <v>0.7838</v>
      </c>
      <c r="V309" s="11">
        <v>0.666691666666667</v>
      </c>
      <c r="W309" s="9">
        <v>100</v>
      </c>
      <c r="X309" s="9">
        <v>66.6691666666667</v>
      </c>
      <c r="Y309" s="9">
        <v>86.67</v>
      </c>
      <c r="Z309" s="9">
        <v>0.000677419585469261</v>
      </c>
      <c r="AA309" s="9">
        <v>0.1183</v>
      </c>
      <c r="AB309" s="9">
        <v>0.1183</v>
      </c>
      <c r="AC309" s="9">
        <v>21.47</v>
      </c>
      <c r="AD309" s="9">
        <v>55.9476</v>
      </c>
      <c r="AE309" s="9">
        <v>0.1183</v>
      </c>
      <c r="AF309" s="9">
        <v>1.21881734976103</v>
      </c>
      <c r="AG309" s="9">
        <v>98.39</v>
      </c>
      <c r="AH309" s="9">
        <v>44.68</v>
      </c>
      <c r="AI309" s="9">
        <v>76.91</v>
      </c>
      <c r="AJ309" s="9">
        <v>0.1076</v>
      </c>
      <c r="AK309" s="9">
        <v>80</v>
      </c>
      <c r="AL309" s="9">
        <v>84</v>
      </c>
      <c r="AM309" s="9">
        <v>63.29</v>
      </c>
      <c r="AN309" s="9">
        <v>21.47</v>
      </c>
      <c r="AO309" s="9">
        <v>76.91</v>
      </c>
      <c r="AP309" s="9">
        <v>80</v>
      </c>
      <c r="AQ309" s="12">
        <v>1</v>
      </c>
      <c r="AR309" s="9">
        <v>61.69716</v>
      </c>
      <c r="AS309" s="9">
        <v>61.7</v>
      </c>
      <c r="AT309" s="9">
        <v>147</v>
      </c>
      <c r="AU309" s="9"/>
      <c r="AV309" s="9">
        <v>0</v>
      </c>
      <c r="AW309" s="9" t="s">
        <v>2532</v>
      </c>
      <c r="AX309" s="9">
        <v>45138</v>
      </c>
      <c r="AY309" s="9" t="s">
        <v>2533</v>
      </c>
      <c r="AZ309" s="9" t="s">
        <v>785</v>
      </c>
      <c r="BA309" s="9" t="s">
        <v>785</v>
      </c>
      <c r="BB309" s="9" t="s">
        <v>785</v>
      </c>
      <c r="BC309" s="9" t="s">
        <v>785</v>
      </c>
      <c r="BD309" s="9" t="s">
        <v>1898</v>
      </c>
      <c r="BE309" s="13">
        <v>61.69716</v>
      </c>
      <c r="BF309" s="13">
        <v>61.7</v>
      </c>
      <c r="BG309" s="12">
        <v>1</v>
      </c>
      <c r="BH309" s="9">
        <v>61.69716</v>
      </c>
      <c r="BI309" s="9" t="s">
        <v>1567</v>
      </c>
    </row>
    <row r="310" ht="25" customHeight="1" spans="1:63">
      <c r="A310" s="9">
        <v>337</v>
      </c>
      <c r="B310" s="9" t="s">
        <v>2891</v>
      </c>
      <c r="C310" s="9" t="s">
        <v>2892</v>
      </c>
      <c r="D310" s="9" t="s">
        <v>2604</v>
      </c>
      <c r="E310" s="10">
        <v>44930</v>
      </c>
      <c r="F310" s="9">
        <v>3.6742</v>
      </c>
      <c r="G310" s="9" t="s">
        <v>1561</v>
      </c>
      <c r="H310" s="9" t="s">
        <v>542</v>
      </c>
      <c r="I310" s="9">
        <v>60</v>
      </c>
      <c r="J310" s="9" t="s">
        <v>1562</v>
      </c>
      <c r="K310" s="9">
        <v>100</v>
      </c>
      <c r="L310" s="9">
        <v>100</v>
      </c>
      <c r="M310" s="11">
        <v>0.1916</v>
      </c>
      <c r="N310" s="11"/>
      <c r="O310" s="11"/>
      <c r="P310" s="11" t="s">
        <v>1841</v>
      </c>
      <c r="Q310" s="9">
        <v>87.54</v>
      </c>
      <c r="R310" s="9" t="s">
        <v>1841</v>
      </c>
      <c r="S310" s="9" t="s">
        <v>1841</v>
      </c>
      <c r="T310" s="11">
        <v>0.7692</v>
      </c>
      <c r="U310" s="11"/>
      <c r="V310" s="11"/>
      <c r="W310" s="9">
        <v>76.92</v>
      </c>
      <c r="X310" s="9"/>
      <c r="Y310" s="9">
        <v>76.92</v>
      </c>
      <c r="Z310" s="9">
        <v>0.0241170102963019</v>
      </c>
      <c r="AA310" s="9"/>
      <c r="AB310" s="9">
        <v>0.0241170102963019</v>
      </c>
      <c r="AC310" s="9">
        <v>67.95</v>
      </c>
      <c r="AD310" s="9">
        <v>7.9446</v>
      </c>
      <c r="AE310" s="9" t="s">
        <v>1841</v>
      </c>
      <c r="AF310" s="9" t="s">
        <v>1841</v>
      </c>
      <c r="AG310" s="9">
        <v>74.28</v>
      </c>
      <c r="AH310" s="9" t="s">
        <v>1841</v>
      </c>
      <c r="AI310" s="9" t="s">
        <v>1841</v>
      </c>
      <c r="AJ310" s="9"/>
      <c r="AK310" s="9"/>
      <c r="AL310" s="9">
        <v>84</v>
      </c>
      <c r="AM310" s="9">
        <v>84.35</v>
      </c>
      <c r="AN310" s="9">
        <v>67.95</v>
      </c>
      <c r="AO310" s="9">
        <v>74.28</v>
      </c>
      <c r="AP310" s="9"/>
      <c r="AQ310" s="12">
        <v>0.7</v>
      </c>
      <c r="AR310" s="9">
        <v>53.08038</v>
      </c>
      <c r="AS310" s="9">
        <v>75.83</v>
      </c>
      <c r="AT310" s="9">
        <v>69</v>
      </c>
      <c r="AU310" s="9" t="s">
        <v>1841</v>
      </c>
      <c r="AV310" s="9">
        <v>0</v>
      </c>
      <c r="AW310" s="9" t="s">
        <v>2605</v>
      </c>
      <c r="AX310" s="9">
        <v>46036</v>
      </c>
      <c r="AY310" s="9" t="s">
        <v>2606</v>
      </c>
      <c r="AZ310" s="9" t="s">
        <v>785</v>
      </c>
      <c r="BA310" s="9" t="s">
        <v>785</v>
      </c>
      <c r="BB310" s="9" t="s">
        <v>785</v>
      </c>
      <c r="BC310" s="9" t="s">
        <v>785</v>
      </c>
      <c r="BD310" s="9" t="s">
        <v>1898</v>
      </c>
      <c r="BE310" s="13"/>
      <c r="BF310" s="13">
        <v>75.83</v>
      </c>
      <c r="BG310" s="12">
        <v>0.7</v>
      </c>
      <c r="BH310" s="9">
        <v>53.08038</v>
      </c>
      <c r="BI310" s="9" t="s">
        <v>1567</v>
      </c>
      <c r="BJ310" t="s">
        <v>2893</v>
      </c>
      <c r="BK310" t="s">
        <v>1847</v>
      </c>
    </row>
    <row r="311" ht="25" customHeight="1" spans="1:63">
      <c r="A311" s="9">
        <v>338</v>
      </c>
      <c r="B311" s="9" t="s">
        <v>2894</v>
      </c>
      <c r="C311" s="9" t="s">
        <v>2895</v>
      </c>
      <c r="D311" s="9" t="s">
        <v>2896</v>
      </c>
      <c r="E311" s="10">
        <v>43711</v>
      </c>
      <c r="F311" s="9">
        <v>7.0116</v>
      </c>
      <c r="G311" s="9" t="s">
        <v>1561</v>
      </c>
      <c r="H311" s="9" t="s">
        <v>551</v>
      </c>
      <c r="I311" s="9">
        <v>80</v>
      </c>
      <c r="J311" s="9" t="s">
        <v>1562</v>
      </c>
      <c r="K311" s="9">
        <v>100</v>
      </c>
      <c r="L311" s="9">
        <v>100</v>
      </c>
      <c r="M311" s="11">
        <v>0.1349</v>
      </c>
      <c r="N311" s="11"/>
      <c r="O311" s="11"/>
      <c r="P311" s="11" t="s">
        <v>1841</v>
      </c>
      <c r="Q311" s="9">
        <v>81.79</v>
      </c>
      <c r="R311" s="9" t="s">
        <v>1841</v>
      </c>
      <c r="S311" s="9" t="s">
        <v>1841</v>
      </c>
      <c r="T311" s="11">
        <v>0.6154</v>
      </c>
      <c r="U311" s="11"/>
      <c r="V311" s="11"/>
      <c r="W311" s="9">
        <v>61.54</v>
      </c>
      <c r="X311" s="9"/>
      <c r="Y311" s="9">
        <v>61.54</v>
      </c>
      <c r="Z311" s="9">
        <v>0.243413929989174</v>
      </c>
      <c r="AA311" s="9"/>
      <c r="AB311" s="9">
        <v>0.243413929989174</v>
      </c>
      <c r="AC311" s="9">
        <v>7.05</v>
      </c>
      <c r="AD311" s="9">
        <v>0.5542</v>
      </c>
      <c r="AE311" s="9" t="s">
        <v>1841</v>
      </c>
      <c r="AF311" s="9" t="s">
        <v>1841</v>
      </c>
      <c r="AG311" s="9">
        <v>24.44</v>
      </c>
      <c r="AH311" s="9" t="s">
        <v>1841</v>
      </c>
      <c r="AI311" s="9" t="s">
        <v>1841</v>
      </c>
      <c r="AJ311" s="9"/>
      <c r="AK311" s="9"/>
      <c r="AL311" s="9">
        <v>92</v>
      </c>
      <c r="AM311" s="9">
        <v>75.72</v>
      </c>
      <c r="AN311" s="9">
        <v>7.05</v>
      </c>
      <c r="AO311" s="9">
        <v>24.44</v>
      </c>
      <c r="AP311" s="9"/>
      <c r="AQ311" s="12">
        <v>0.7</v>
      </c>
      <c r="AR311" s="9">
        <v>29.0475</v>
      </c>
      <c r="AS311" s="9">
        <v>41.5</v>
      </c>
      <c r="AT311" s="9">
        <v>264</v>
      </c>
      <c r="AU311" s="9" t="s">
        <v>1841</v>
      </c>
      <c r="AV311" s="9">
        <v>10</v>
      </c>
      <c r="AW311" s="9" t="s">
        <v>2897</v>
      </c>
      <c r="AX311" s="9">
        <v>46135</v>
      </c>
      <c r="AY311" s="9" t="s">
        <v>2898</v>
      </c>
      <c r="AZ311" s="9" t="s">
        <v>785</v>
      </c>
      <c r="BA311" s="9" t="s">
        <v>785</v>
      </c>
      <c r="BB311" s="9" t="s">
        <v>785</v>
      </c>
      <c r="BC311" s="9" t="s">
        <v>785</v>
      </c>
      <c r="BD311" s="9" t="s">
        <v>1898</v>
      </c>
      <c r="BE311" s="13"/>
      <c r="BF311" s="13">
        <v>41.5</v>
      </c>
      <c r="BG311" s="12">
        <v>0.7</v>
      </c>
      <c r="BH311" s="9">
        <v>29.0475</v>
      </c>
      <c r="BI311" s="9" t="s">
        <v>1567</v>
      </c>
      <c r="BJ311" t="s">
        <v>2899</v>
      </c>
      <c r="BK311" t="s">
        <v>1847</v>
      </c>
    </row>
    <row r="312" ht="25" customHeight="1" spans="1:61">
      <c r="A312" s="9">
        <v>339</v>
      </c>
      <c r="B312" s="9" t="s">
        <v>2900</v>
      </c>
      <c r="C312" s="9" t="s">
        <v>2901</v>
      </c>
      <c r="D312" s="9" t="s">
        <v>2860</v>
      </c>
      <c r="E312" s="10">
        <v>45863</v>
      </c>
      <c r="F312" s="9">
        <v>1.1198</v>
      </c>
      <c r="G312" s="9" t="s">
        <v>1561</v>
      </c>
      <c r="H312" s="9" t="s">
        <v>546</v>
      </c>
      <c r="I312" s="9">
        <v>70</v>
      </c>
      <c r="J312" s="9" t="s">
        <v>1562</v>
      </c>
      <c r="K312" s="9">
        <v>100</v>
      </c>
      <c r="L312" s="9">
        <v>70</v>
      </c>
      <c r="M312" s="11">
        <v>0.221</v>
      </c>
      <c r="N312" s="11"/>
      <c r="O312" s="11"/>
      <c r="P312" s="11"/>
      <c r="Q312" s="9">
        <v>90.58</v>
      </c>
      <c r="R312" s="9"/>
      <c r="S312" s="9">
        <v>90.58</v>
      </c>
      <c r="T312" s="11">
        <v>0.6923</v>
      </c>
      <c r="U312" s="11"/>
      <c r="V312" s="11"/>
      <c r="W312" s="9">
        <v>69.23</v>
      </c>
      <c r="X312" s="9">
        <v>100</v>
      </c>
      <c r="Y312" s="9">
        <v>81.54</v>
      </c>
      <c r="Z312" s="9">
        <v>0.242510699001427</v>
      </c>
      <c r="AA312" s="9"/>
      <c r="AB312" s="9">
        <v>0.242510699001427</v>
      </c>
      <c r="AC312" s="9">
        <v>7.53</v>
      </c>
      <c r="AD312" s="9">
        <v>0.9113</v>
      </c>
      <c r="AE312" s="9"/>
      <c r="AF312" s="9"/>
      <c r="AG312" s="9">
        <v>30.39</v>
      </c>
      <c r="AH312" s="9"/>
      <c r="AI312" s="9">
        <v>30.39</v>
      </c>
      <c r="AJ312" s="9"/>
      <c r="AK312" s="9"/>
      <c r="AL312" s="9">
        <v>79</v>
      </c>
      <c r="AM312" s="9">
        <v>86.81</v>
      </c>
      <c r="AN312" s="9">
        <v>7.53</v>
      </c>
      <c r="AO312" s="9">
        <v>30.39</v>
      </c>
      <c r="AP312" s="9"/>
      <c r="AQ312" s="12">
        <v>0.724</v>
      </c>
      <c r="AR312" s="9">
        <v>31.7037</v>
      </c>
      <c r="AS312" s="9">
        <v>43.79</v>
      </c>
      <c r="AT312" s="9">
        <v>254</v>
      </c>
      <c r="AU312" s="9" t="s">
        <v>1931</v>
      </c>
      <c r="AV312" s="9">
        <v>5</v>
      </c>
      <c r="AW312" s="9" t="s">
        <v>2861</v>
      </c>
      <c r="AX312" s="9">
        <v>45834</v>
      </c>
      <c r="AY312" s="9" t="s">
        <v>2862</v>
      </c>
      <c r="AZ312" s="9" t="s">
        <v>785</v>
      </c>
      <c r="BA312" s="9" t="s">
        <v>785</v>
      </c>
      <c r="BB312" s="9" t="s">
        <v>785</v>
      </c>
      <c r="BC312" s="9" t="s">
        <v>785</v>
      </c>
      <c r="BD312" s="9" t="s">
        <v>1898</v>
      </c>
      <c r="BE312" s="13"/>
      <c r="BF312" s="13">
        <v>43.79</v>
      </c>
      <c r="BG312" s="12">
        <v>0.724</v>
      </c>
      <c r="BH312" s="9">
        <v>31.7037</v>
      </c>
      <c r="BI312" s="9" t="s">
        <v>1567</v>
      </c>
    </row>
    <row r="313" ht="25" customHeight="1" spans="1:61">
      <c r="A313" s="9">
        <v>340</v>
      </c>
      <c r="B313" s="9" t="s">
        <v>2902</v>
      </c>
      <c r="C313" s="9" t="s">
        <v>2903</v>
      </c>
      <c r="D313" s="9" t="s">
        <v>509</v>
      </c>
      <c r="E313" s="10">
        <v>45826</v>
      </c>
      <c r="F313" s="9">
        <v>1.2211</v>
      </c>
      <c r="G313" s="9" t="s">
        <v>1561</v>
      </c>
      <c r="H313" s="9" t="s">
        <v>551</v>
      </c>
      <c r="I313" s="9">
        <v>80</v>
      </c>
      <c r="J313" s="9" t="s">
        <v>1562</v>
      </c>
      <c r="K313" s="9">
        <v>100</v>
      </c>
      <c r="L313" s="9">
        <v>70</v>
      </c>
      <c r="M313" s="11">
        <v>0.3128</v>
      </c>
      <c r="N313" s="11"/>
      <c r="O313" s="11"/>
      <c r="P313" s="11"/>
      <c r="Q313" s="9">
        <v>95.53</v>
      </c>
      <c r="R313" s="9"/>
      <c r="S313" s="9">
        <v>95.53</v>
      </c>
      <c r="T313" s="11">
        <v>0.8462</v>
      </c>
      <c r="U313" s="11"/>
      <c r="V313" s="11"/>
      <c r="W313" s="9">
        <v>84.62</v>
      </c>
      <c r="X313" s="9">
        <v>100</v>
      </c>
      <c r="Y313" s="9">
        <v>90.77</v>
      </c>
      <c r="Z313" s="9">
        <v>0.0667976424361493</v>
      </c>
      <c r="AA313" s="9"/>
      <c r="AB313" s="9">
        <v>0.0667976424361493</v>
      </c>
      <c r="AC313" s="9">
        <v>36.54</v>
      </c>
      <c r="AD313" s="9">
        <v>4.6828</v>
      </c>
      <c r="AE313" s="9"/>
      <c r="AF313" s="9"/>
      <c r="AG313" s="9">
        <v>63.67</v>
      </c>
      <c r="AH313" s="9"/>
      <c r="AI313" s="9">
        <v>63.67</v>
      </c>
      <c r="AJ313" s="9"/>
      <c r="AK313" s="9"/>
      <c r="AL313" s="9">
        <v>83</v>
      </c>
      <c r="AM313" s="9">
        <v>93.55</v>
      </c>
      <c r="AN313" s="9">
        <v>36.54</v>
      </c>
      <c r="AO313" s="9">
        <v>63.67</v>
      </c>
      <c r="AP313" s="9"/>
      <c r="AQ313" s="12">
        <v>0.724</v>
      </c>
      <c r="AR313" s="9">
        <v>46.51644</v>
      </c>
      <c r="AS313" s="9">
        <v>64.25</v>
      </c>
      <c r="AT313" s="9">
        <v>137</v>
      </c>
      <c r="AU313" s="9" t="s">
        <v>1931</v>
      </c>
      <c r="AV313" s="9">
        <v>10</v>
      </c>
      <c r="AW313" s="9" t="s">
        <v>1441</v>
      </c>
      <c r="AX313" s="9">
        <v>46030</v>
      </c>
      <c r="AY313" s="9" t="s">
        <v>1443</v>
      </c>
      <c r="AZ313" s="9" t="s">
        <v>785</v>
      </c>
      <c r="BA313" s="9" t="s">
        <v>785</v>
      </c>
      <c r="BB313" s="9" t="s">
        <v>785</v>
      </c>
      <c r="BC313" s="9" t="s">
        <v>785</v>
      </c>
      <c r="BD313" s="9" t="s">
        <v>1898</v>
      </c>
      <c r="BE313" s="13"/>
      <c r="BF313" s="13">
        <v>64.25</v>
      </c>
      <c r="BG313" s="12">
        <v>0.724</v>
      </c>
      <c r="BH313" s="9">
        <v>46.51644</v>
      </c>
      <c r="BI313" s="9" t="s">
        <v>1567</v>
      </c>
    </row>
    <row r="314" ht="25" customHeight="1" spans="1:61">
      <c r="A314" s="9">
        <v>341</v>
      </c>
      <c r="B314" s="9" t="s">
        <v>2904</v>
      </c>
      <c r="C314" s="9" t="s">
        <v>2905</v>
      </c>
      <c r="D314" s="9" t="s">
        <v>1635</v>
      </c>
      <c r="E314" s="10">
        <v>43783</v>
      </c>
      <c r="F314" s="9">
        <v>6.8145</v>
      </c>
      <c r="G314" s="9" t="s">
        <v>1561</v>
      </c>
      <c r="H314" s="9" t="s">
        <v>546</v>
      </c>
      <c r="I314" s="9">
        <v>70</v>
      </c>
      <c r="J314" s="9" t="s">
        <v>1562</v>
      </c>
      <c r="K314" s="9">
        <v>100</v>
      </c>
      <c r="L314" s="9">
        <v>100</v>
      </c>
      <c r="M314" s="11">
        <v>0.019</v>
      </c>
      <c r="N314" s="11">
        <v>0.0331</v>
      </c>
      <c r="O314" s="11"/>
      <c r="P314" s="11">
        <v>0.0402229957816231</v>
      </c>
      <c r="Q314" s="9">
        <v>21.73</v>
      </c>
      <c r="R314" s="9">
        <v>24.29</v>
      </c>
      <c r="S314" s="9">
        <v>22.75</v>
      </c>
      <c r="T314" s="11">
        <v>0.5385</v>
      </c>
      <c r="U314" s="11">
        <v>0.5405</v>
      </c>
      <c r="V314" s="11">
        <v>0.541583333333333</v>
      </c>
      <c r="W314" s="9">
        <v>53.85</v>
      </c>
      <c r="X314" s="9">
        <v>54.1583333333333</v>
      </c>
      <c r="Y314" s="9">
        <v>53.97</v>
      </c>
      <c r="Z314" s="9">
        <v>0.0796979865771812</v>
      </c>
      <c r="AA314" s="9">
        <v>0.0796</v>
      </c>
      <c r="AB314" s="9">
        <v>0.0796979865771812</v>
      </c>
      <c r="AC314" s="9">
        <v>32.05</v>
      </c>
      <c r="AD314" s="9">
        <v>0.2384</v>
      </c>
      <c r="AE314" s="9"/>
      <c r="AF314" s="9"/>
      <c r="AG314" s="9">
        <v>19.94</v>
      </c>
      <c r="AH314" s="9"/>
      <c r="AI314" s="9">
        <v>19.94</v>
      </c>
      <c r="AJ314" s="9">
        <v>0.0331</v>
      </c>
      <c r="AK314" s="9">
        <v>80</v>
      </c>
      <c r="AL314" s="9">
        <v>88</v>
      </c>
      <c r="AM314" s="9">
        <v>32.12</v>
      </c>
      <c r="AN314" s="9">
        <v>32.05</v>
      </c>
      <c r="AO314" s="9">
        <v>19.94</v>
      </c>
      <c r="AP314" s="9">
        <v>80</v>
      </c>
      <c r="AQ314" s="12">
        <v>0.88</v>
      </c>
      <c r="AR314" s="9">
        <v>39.22566</v>
      </c>
      <c r="AS314" s="9">
        <v>44.57</v>
      </c>
      <c r="AT314" s="9">
        <v>250</v>
      </c>
      <c r="AU314" s="9" t="s">
        <v>1563</v>
      </c>
      <c r="AV314" s="9">
        <v>5</v>
      </c>
      <c r="AW314" s="9" t="s">
        <v>1636</v>
      </c>
      <c r="AX314" s="9">
        <v>46063</v>
      </c>
      <c r="AY314" s="9" t="s">
        <v>1637</v>
      </c>
      <c r="AZ314" s="9" t="s">
        <v>785</v>
      </c>
      <c r="BA314" s="9" t="s">
        <v>785</v>
      </c>
      <c r="BB314" s="9" t="s">
        <v>785</v>
      </c>
      <c r="BC314" s="9" t="s">
        <v>785</v>
      </c>
      <c r="BD314" s="9" t="s">
        <v>1898</v>
      </c>
      <c r="BE314" s="13"/>
      <c r="BF314" s="13">
        <v>44.57</v>
      </c>
      <c r="BG314" s="12">
        <v>0.88</v>
      </c>
      <c r="BH314" s="9">
        <v>39.22566</v>
      </c>
      <c r="BI314" s="9" t="s">
        <v>1567</v>
      </c>
    </row>
    <row r="315" ht="25" customHeight="1" spans="1:61">
      <c r="A315" s="9">
        <v>342</v>
      </c>
      <c r="B315" s="9" t="s">
        <v>2906</v>
      </c>
      <c r="C315" s="9" t="s">
        <v>2907</v>
      </c>
      <c r="D315" s="9" t="s">
        <v>2727</v>
      </c>
      <c r="E315" s="10">
        <v>45273</v>
      </c>
      <c r="F315" s="9">
        <v>2.7351</v>
      </c>
      <c r="G315" s="9" t="s">
        <v>1561</v>
      </c>
      <c r="H315" s="9" t="s">
        <v>557</v>
      </c>
      <c r="I315" s="9">
        <v>90</v>
      </c>
      <c r="J315" s="9" t="s">
        <v>1562</v>
      </c>
      <c r="K315" s="9">
        <v>100</v>
      </c>
      <c r="L315" s="9">
        <v>70</v>
      </c>
      <c r="M315" s="11">
        <v>-0.0144</v>
      </c>
      <c r="N315" s="11"/>
      <c r="O315" s="11"/>
      <c r="P315" s="11"/>
      <c r="Q315" s="9">
        <v>11.82</v>
      </c>
      <c r="R315" s="9"/>
      <c r="S315" s="9">
        <v>11.82</v>
      </c>
      <c r="T315" s="11">
        <v>0.7273</v>
      </c>
      <c r="U315" s="11"/>
      <c r="V315" s="11"/>
      <c r="W315" s="9">
        <v>72.73</v>
      </c>
      <c r="X315" s="9"/>
      <c r="Y315" s="9">
        <v>72.73</v>
      </c>
      <c r="Z315" s="9">
        <v>0.282907662082515</v>
      </c>
      <c r="AA315" s="9"/>
      <c r="AB315" s="9">
        <v>0.282907662082515</v>
      </c>
      <c r="AC315" s="9">
        <v>5.13</v>
      </c>
      <c r="AD315" s="9">
        <v>-0.0509</v>
      </c>
      <c r="AE315" s="9"/>
      <c r="AF315" s="9"/>
      <c r="AG315" s="9">
        <v>14.47</v>
      </c>
      <c r="AH315" s="9"/>
      <c r="AI315" s="9">
        <v>14.47</v>
      </c>
      <c r="AJ315" s="9"/>
      <c r="AK315" s="9"/>
      <c r="AL315" s="9">
        <v>87</v>
      </c>
      <c r="AM315" s="9">
        <v>30.09</v>
      </c>
      <c r="AN315" s="9">
        <v>5.13</v>
      </c>
      <c r="AO315" s="9">
        <v>14.47</v>
      </c>
      <c r="AP315" s="9"/>
      <c r="AQ315" s="12">
        <v>0.7</v>
      </c>
      <c r="AR315" s="9">
        <v>20.54826</v>
      </c>
      <c r="AS315" s="9">
        <v>29.35</v>
      </c>
      <c r="AT315" s="9">
        <v>301</v>
      </c>
      <c r="AU315" s="9" t="s">
        <v>1931</v>
      </c>
      <c r="AV315" s="9">
        <v>20</v>
      </c>
      <c r="AW315" s="9" t="s">
        <v>2728</v>
      </c>
      <c r="AX315" s="9">
        <v>45958</v>
      </c>
      <c r="AY315" s="9" t="s">
        <v>2729</v>
      </c>
      <c r="AZ315" s="9" t="s">
        <v>785</v>
      </c>
      <c r="BA315" s="9" t="s">
        <v>785</v>
      </c>
      <c r="BB315" s="9" t="s">
        <v>785</v>
      </c>
      <c r="BC315" s="9" t="s">
        <v>785</v>
      </c>
      <c r="BD315" s="9" t="s">
        <v>1898</v>
      </c>
      <c r="BE315" s="13"/>
      <c r="BF315" s="13">
        <v>29.35</v>
      </c>
      <c r="BG315" s="12">
        <v>0.7</v>
      </c>
      <c r="BH315" s="9">
        <v>20.54826</v>
      </c>
      <c r="BI315" s="9" t="s">
        <v>1567</v>
      </c>
    </row>
  </sheetData>
  <pageMargins left="0.7" right="0.7" top="0.75" bottom="0.75" header="0.3" footer="0.3"/>
  <headerFooter/>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9"/>
  <sheetViews>
    <sheetView showGridLines="0" workbookViewId="0">
      <pane xSplit="2" ySplit="1" topLeftCell="C2" activePane="bottomRight" state="frozen"/>
      <selection/>
      <selection pane="topRight"/>
      <selection pane="bottomLeft"/>
      <selection pane="bottomRight" activeCell="I233" sqref="I232:I233"/>
    </sheetView>
  </sheetViews>
  <sheetFormatPr defaultColWidth="9" defaultRowHeight="16.8"/>
  <cols>
    <col min="1" max="1" width="18" customWidth="1"/>
    <col min="2" max="2" width="30" customWidth="1"/>
    <col min="3" max="6" width="18" customWidth="1"/>
    <col min="7" max="9" width="48" customWidth="1"/>
    <col min="10" max="12" width="18" customWidth="1"/>
  </cols>
  <sheetData>
    <row r="1" ht="45" customHeight="1" spans="1:12">
      <c r="A1" s="1" t="s">
        <v>673</v>
      </c>
      <c r="B1" s="1" t="s">
        <v>2</v>
      </c>
      <c r="C1" s="1" t="s">
        <v>2908</v>
      </c>
      <c r="D1" s="1" t="s">
        <v>2909</v>
      </c>
      <c r="E1" s="1" t="s">
        <v>2910</v>
      </c>
      <c r="F1" s="1" t="s">
        <v>2911</v>
      </c>
      <c r="G1" s="1" t="s">
        <v>2912</v>
      </c>
      <c r="H1" s="1" t="s">
        <v>2913</v>
      </c>
      <c r="I1" s="1" t="s">
        <v>1009</v>
      </c>
      <c r="J1" s="1" t="s">
        <v>2914</v>
      </c>
      <c r="K1" s="1" t="s">
        <v>2915</v>
      </c>
      <c r="L1" s="1" t="s">
        <v>1065</v>
      </c>
    </row>
    <row r="2" ht="25" hidden="1" customHeight="1" spans="1:12">
      <c r="A2" s="2" t="s">
        <v>53</v>
      </c>
      <c r="B2" s="2" t="s">
        <v>49</v>
      </c>
      <c r="C2" s="2" t="s">
        <v>2916</v>
      </c>
      <c r="D2" s="3">
        <f>IF(ISNUMBER('Sheet4-原始数据'!G3),'Sheet4-原始数据'!G3,"")</f>
        <v>0.456756079869705</v>
      </c>
      <c r="E2" s="3">
        <f>IF(ISNUMBER(补数计算!L32),补数计算!L32,"")</f>
        <v>0.456756079869705</v>
      </c>
      <c r="F2" s="3">
        <f t="shared" ref="F2:F65" si="0">IF(AND(ISNUMBER(D2),ISNUMBER(E2)),E2-D2,"")</f>
        <v>0</v>
      </c>
      <c r="G2" s="2" t="s">
        <v>2917</v>
      </c>
      <c r="H2" s="2" t="s">
        <v>2918</v>
      </c>
      <c r="I2" s="2" t="s">
        <v>789</v>
      </c>
      <c r="J2" s="2" t="s">
        <v>1094</v>
      </c>
      <c r="K2" s="2" t="s">
        <v>1128</v>
      </c>
      <c r="L2" s="2" t="s">
        <v>1077</v>
      </c>
    </row>
    <row r="3" ht="25" hidden="1" customHeight="1" spans="1:12">
      <c r="A3" s="2" t="s">
        <v>53</v>
      </c>
      <c r="B3" s="2" t="s">
        <v>49</v>
      </c>
      <c r="C3" s="2" t="s">
        <v>2919</v>
      </c>
      <c r="D3" s="3">
        <f>IF(ISNUMBER('Sheet4-原始数据'!H3),'Sheet4-原始数据'!H3,"")</f>
        <v>0.245457942277343</v>
      </c>
      <c r="E3" s="3">
        <f>IF(ISNUMBER(补数计算!L33),补数计算!L33,"")</f>
        <v>0.245457942277343</v>
      </c>
      <c r="F3" s="3">
        <f t="shared" si="0"/>
        <v>0</v>
      </c>
      <c r="G3" s="2" t="s">
        <v>2917</v>
      </c>
      <c r="H3" s="2" t="s">
        <v>2918</v>
      </c>
      <c r="I3" s="2" t="s">
        <v>789</v>
      </c>
      <c r="J3" s="2" t="s">
        <v>1096</v>
      </c>
      <c r="K3" s="2" t="s">
        <v>2920</v>
      </c>
      <c r="L3" s="2" t="s">
        <v>1079</v>
      </c>
    </row>
    <row r="4" ht="25" hidden="1" customHeight="1" spans="1:12">
      <c r="A4" s="2" t="s">
        <v>53</v>
      </c>
      <c r="B4" s="2" t="s">
        <v>49</v>
      </c>
      <c r="C4" s="2" t="s">
        <v>691</v>
      </c>
      <c r="D4" s="3">
        <f>IF(ISNUMBER('Sheet4-原始数据'!I3),'Sheet4-原始数据'!I3,"")</f>
        <v>0.648648648648649</v>
      </c>
      <c r="E4" s="3">
        <f>IF(ISNUMBER(补数计算!O33),补数计算!O33,"")</f>
        <v>0.648648648648649</v>
      </c>
      <c r="F4" s="3">
        <f t="shared" si="0"/>
        <v>0</v>
      </c>
      <c r="G4" s="2" t="s">
        <v>2917</v>
      </c>
      <c r="H4" s="2" t="s">
        <v>2918</v>
      </c>
      <c r="I4" s="2" t="s">
        <v>789</v>
      </c>
      <c r="J4" s="2" t="s">
        <v>1097</v>
      </c>
      <c r="K4" s="2" t="s">
        <v>2921</v>
      </c>
      <c r="L4" s="2" t="s">
        <v>1079</v>
      </c>
    </row>
    <row r="5" ht="25" hidden="1" customHeight="1" spans="1:12">
      <c r="A5" s="2" t="s">
        <v>53</v>
      </c>
      <c r="B5" s="2" t="s">
        <v>49</v>
      </c>
      <c r="C5" s="2" t="s">
        <v>690</v>
      </c>
      <c r="D5" s="3">
        <f>IF(ISNUMBER('Sheet4-原始数据'!J3),'Sheet4-原始数据'!J3,"")</f>
        <v>0.692307692307692</v>
      </c>
      <c r="E5" s="3">
        <f>IF(ISNUMBER(补数计算!O32),补数计算!O32,"")</f>
        <v>0.692307692307692</v>
      </c>
      <c r="F5" s="3">
        <f t="shared" si="0"/>
        <v>0</v>
      </c>
      <c r="G5" s="2" t="s">
        <v>2917</v>
      </c>
      <c r="H5" s="2" t="s">
        <v>2918</v>
      </c>
      <c r="I5" s="2" t="s">
        <v>789</v>
      </c>
      <c r="J5" s="2" t="s">
        <v>1098</v>
      </c>
      <c r="K5" s="2" t="s">
        <v>2922</v>
      </c>
      <c r="L5" s="2" t="s">
        <v>1077</v>
      </c>
    </row>
    <row r="6" ht="25" hidden="1" customHeight="1" spans="1:12">
      <c r="A6" s="2" t="s">
        <v>53</v>
      </c>
      <c r="B6" s="2" t="s">
        <v>49</v>
      </c>
      <c r="C6" s="2" t="s">
        <v>2923</v>
      </c>
      <c r="D6" s="3">
        <f>IF(ISNUMBER('Sheet4-原始数据'!K3),'Sheet4-原始数据'!K3,"")</f>
        <v>0.130615358535345</v>
      </c>
      <c r="E6" s="3">
        <f>IF(ISNUMBER(补数计算!M33),补数计算!M33,"")</f>
        <v>0.130615358535345</v>
      </c>
      <c r="F6" s="3">
        <f t="shared" si="0"/>
        <v>0</v>
      </c>
      <c r="G6" s="2" t="s">
        <v>2917</v>
      </c>
      <c r="H6" s="2" t="s">
        <v>2918</v>
      </c>
      <c r="I6" s="2" t="s">
        <v>789</v>
      </c>
      <c r="J6" s="2" t="s">
        <v>1099</v>
      </c>
      <c r="K6" s="2" t="s">
        <v>2924</v>
      </c>
      <c r="L6" s="2" t="s">
        <v>1079</v>
      </c>
    </row>
    <row r="7" ht="25" hidden="1" customHeight="1" spans="1:12">
      <c r="A7" s="2" t="s">
        <v>53</v>
      </c>
      <c r="B7" s="2" t="s">
        <v>49</v>
      </c>
      <c r="C7" s="2" t="s">
        <v>2925</v>
      </c>
      <c r="D7" s="3">
        <f>IF(ISNUMBER('Sheet4-原始数据'!L3),'Sheet4-原始数据'!L3,"")</f>
        <v>1.87924257169896</v>
      </c>
      <c r="E7" s="3">
        <f>IF(ISNUMBER(补数计算!N33),补数计算!N33,"")</f>
        <v>1.87924257169896</v>
      </c>
      <c r="F7" s="3">
        <f t="shared" si="0"/>
        <v>0</v>
      </c>
      <c r="G7" s="2" t="s">
        <v>2917</v>
      </c>
      <c r="H7" s="2" t="s">
        <v>2918</v>
      </c>
      <c r="I7" s="2" t="s">
        <v>789</v>
      </c>
      <c r="J7" s="2" t="s">
        <v>1100</v>
      </c>
      <c r="K7" s="2" t="s">
        <v>2926</v>
      </c>
      <c r="L7" s="2" t="s">
        <v>1079</v>
      </c>
    </row>
    <row r="8" ht="25" hidden="1" customHeight="1" spans="1:12">
      <c r="A8" s="2" t="s">
        <v>53</v>
      </c>
      <c r="B8" s="2" t="s">
        <v>49</v>
      </c>
      <c r="C8" s="2" t="s">
        <v>2927</v>
      </c>
      <c r="D8" s="3">
        <f>IF(ISNUMBER('Sheet4-原始数据'!M3),'Sheet4-原始数据'!M3,"")</f>
        <v>3.49695537333081</v>
      </c>
      <c r="E8" s="3">
        <f>IF(ISNUMBER(补数计算!N32),补数计算!N32,"")</f>
        <v>3.49695537333081</v>
      </c>
      <c r="F8" s="3">
        <f t="shared" si="0"/>
        <v>0</v>
      </c>
      <c r="G8" s="2" t="s">
        <v>2917</v>
      </c>
      <c r="H8" s="2" t="s">
        <v>2918</v>
      </c>
      <c r="I8" s="2" t="s">
        <v>789</v>
      </c>
      <c r="J8" s="2" t="s">
        <v>1101</v>
      </c>
      <c r="K8" s="2" t="s">
        <v>2928</v>
      </c>
      <c r="L8" s="2" t="s">
        <v>1077</v>
      </c>
    </row>
    <row r="9" ht="25" hidden="1" customHeight="1" spans="1:12">
      <c r="A9" s="2" t="s">
        <v>53</v>
      </c>
      <c r="B9" s="2" t="s">
        <v>49</v>
      </c>
      <c r="C9" s="2" t="s">
        <v>14</v>
      </c>
      <c r="D9" s="3">
        <f>IF(ISNUMBER('Sheet4-原始数据'!S3),'Sheet4-原始数据'!S3,"")</f>
        <v>0.245415795828636</v>
      </c>
      <c r="E9" s="3">
        <f>IF(ISNUMBER(补数计算!L34),补数计算!L34,"")</f>
        <v>0.245415795828636</v>
      </c>
      <c r="F9" s="3">
        <f t="shared" si="0"/>
        <v>0</v>
      </c>
      <c r="G9" s="2" t="s">
        <v>2917</v>
      </c>
      <c r="H9" s="2" t="s">
        <v>2918</v>
      </c>
      <c r="I9" s="2" t="s">
        <v>789</v>
      </c>
      <c r="J9" s="2" t="s">
        <v>1102</v>
      </c>
      <c r="K9" s="2" t="s">
        <v>2929</v>
      </c>
      <c r="L9" s="2" t="s">
        <v>1081</v>
      </c>
    </row>
    <row r="10" ht="25" hidden="1" customHeight="1" spans="1:12">
      <c r="A10" s="2" t="s">
        <v>90</v>
      </c>
      <c r="B10" s="2" t="s">
        <v>88</v>
      </c>
      <c r="C10" s="2" t="s">
        <v>2916</v>
      </c>
      <c r="D10" s="3">
        <f>IF(ISNUMBER('Sheet4-原始数据'!G8),'Sheet4-原始数据'!G8,"")</f>
        <v>0.0729565217090635</v>
      </c>
      <c r="E10" s="3">
        <f>IF(ISNUMBER(补数计算!L26),补数计算!L26,"")</f>
        <v>0.0729565217090635</v>
      </c>
      <c r="F10" s="3">
        <f t="shared" si="0"/>
        <v>0</v>
      </c>
      <c r="G10" s="2" t="s">
        <v>2917</v>
      </c>
      <c r="H10" s="2" t="s">
        <v>2918</v>
      </c>
      <c r="I10" s="2" t="s">
        <v>793</v>
      </c>
      <c r="J10" s="2" t="s">
        <v>1103</v>
      </c>
      <c r="K10" s="2" t="s">
        <v>2930</v>
      </c>
      <c r="L10" s="2" t="s">
        <v>1077</v>
      </c>
    </row>
    <row r="11" ht="25" hidden="1" customHeight="1" spans="1:12">
      <c r="A11" s="2" t="s">
        <v>90</v>
      </c>
      <c r="B11" s="2" t="s">
        <v>88</v>
      </c>
      <c r="C11" s="2" t="s">
        <v>2919</v>
      </c>
      <c r="D11" s="3">
        <f>IF(ISNUMBER('Sheet4-原始数据'!H8),'Sheet4-原始数据'!H8,"")</f>
        <v>0.0620957413947367</v>
      </c>
      <c r="E11" s="3">
        <f>IF(ISNUMBER(补数计算!L27),补数计算!L27,"")</f>
        <v>0.0620957413947367</v>
      </c>
      <c r="F11" s="3">
        <f t="shared" si="0"/>
        <v>0</v>
      </c>
      <c r="G11" s="2" t="s">
        <v>2917</v>
      </c>
      <c r="H11" s="2" t="s">
        <v>2918</v>
      </c>
      <c r="I11" s="2" t="s">
        <v>793</v>
      </c>
      <c r="J11" s="2" t="s">
        <v>1104</v>
      </c>
      <c r="K11" s="2" t="s">
        <v>2931</v>
      </c>
      <c r="L11" s="2" t="s">
        <v>1079</v>
      </c>
    </row>
    <row r="12" ht="25" hidden="1" customHeight="1" spans="1:12">
      <c r="A12" s="2" t="s">
        <v>90</v>
      </c>
      <c r="B12" s="2" t="s">
        <v>88</v>
      </c>
      <c r="C12" s="2" t="s">
        <v>691</v>
      </c>
      <c r="D12" s="3">
        <f>IF(ISNUMBER('Sheet4-原始数据'!I8),'Sheet4-原始数据'!I8,"")</f>
        <v>0.891891891891892</v>
      </c>
      <c r="E12" s="3">
        <f>IF(ISNUMBER(补数计算!O27),补数计算!O27,"")</f>
        <v>0.891891891891892</v>
      </c>
      <c r="F12" s="3">
        <f t="shared" si="0"/>
        <v>0</v>
      </c>
      <c r="G12" s="2" t="s">
        <v>2917</v>
      </c>
      <c r="H12" s="2" t="s">
        <v>2918</v>
      </c>
      <c r="I12" s="2" t="s">
        <v>793</v>
      </c>
      <c r="J12" s="2" t="s">
        <v>1105</v>
      </c>
      <c r="K12" s="2" t="s">
        <v>2932</v>
      </c>
      <c r="L12" s="2" t="s">
        <v>1079</v>
      </c>
    </row>
    <row r="13" ht="25" hidden="1" customHeight="1" spans="1:12">
      <c r="A13" s="2" t="s">
        <v>90</v>
      </c>
      <c r="B13" s="2" t="s">
        <v>88</v>
      </c>
      <c r="C13" s="2" t="s">
        <v>690</v>
      </c>
      <c r="D13" s="3">
        <f>IF(ISNUMBER('Sheet4-原始数据'!J8),'Sheet4-原始数据'!J8,"")</f>
        <v>1</v>
      </c>
      <c r="E13" s="3">
        <f>IF(ISNUMBER(补数计算!O26),补数计算!O26,"")</f>
        <v>1</v>
      </c>
      <c r="F13" s="3">
        <f t="shared" si="0"/>
        <v>0</v>
      </c>
      <c r="G13" s="2" t="s">
        <v>2917</v>
      </c>
      <c r="H13" s="2" t="s">
        <v>2918</v>
      </c>
      <c r="I13" s="2" t="s">
        <v>793</v>
      </c>
      <c r="J13" s="2" t="s">
        <v>1106</v>
      </c>
      <c r="K13" s="2" t="s">
        <v>2933</v>
      </c>
      <c r="L13" s="2" t="s">
        <v>1077</v>
      </c>
    </row>
    <row r="14" ht="25" hidden="1" customHeight="1" spans="1:12">
      <c r="A14" s="2" t="s">
        <v>90</v>
      </c>
      <c r="B14" s="2" t="s">
        <v>88</v>
      </c>
      <c r="C14" s="2" t="s">
        <v>2923</v>
      </c>
      <c r="D14" s="3">
        <f>IF(ISNUMBER('Sheet4-原始数据'!K8),'Sheet4-原始数据'!K8,"")</f>
        <v>0.0114873553364767</v>
      </c>
      <c r="E14" s="3">
        <f>IF(ISNUMBER(补数计算!M27),补数计算!M27,"")</f>
        <v>0.0114873553364767</v>
      </c>
      <c r="F14" s="3">
        <f t="shared" si="0"/>
        <v>0</v>
      </c>
      <c r="G14" s="2" t="s">
        <v>2917</v>
      </c>
      <c r="H14" s="2" t="s">
        <v>2918</v>
      </c>
      <c r="I14" s="2" t="s">
        <v>793</v>
      </c>
      <c r="J14" s="2" t="s">
        <v>1107</v>
      </c>
      <c r="K14" s="2" t="s">
        <v>1119</v>
      </c>
      <c r="L14" s="2" t="s">
        <v>1079</v>
      </c>
    </row>
    <row r="15" ht="25" hidden="1" customHeight="1" spans="1:12">
      <c r="A15" s="2" t="s">
        <v>90</v>
      </c>
      <c r="B15" s="2" t="s">
        <v>88</v>
      </c>
      <c r="C15" s="2" t="s">
        <v>2925</v>
      </c>
      <c r="D15" s="3">
        <f>IF(ISNUMBER('Sheet4-原始数据'!L8),'Sheet4-原始数据'!L8,"")</f>
        <v>5.40557330872835</v>
      </c>
      <c r="E15" s="3">
        <f>IF(ISNUMBER(补数计算!N27),补数计算!N27,"")</f>
        <v>5.40557330872835</v>
      </c>
      <c r="F15" s="3">
        <f t="shared" si="0"/>
        <v>0</v>
      </c>
      <c r="G15" s="2" t="s">
        <v>2917</v>
      </c>
      <c r="H15" s="2" t="s">
        <v>2918</v>
      </c>
      <c r="I15" s="2" t="s">
        <v>793</v>
      </c>
      <c r="J15" s="2" t="s">
        <v>1108</v>
      </c>
      <c r="K15" s="2" t="s">
        <v>2934</v>
      </c>
      <c r="L15" s="2" t="s">
        <v>1079</v>
      </c>
    </row>
    <row r="16" ht="25" hidden="1" customHeight="1" spans="1:12">
      <c r="A16" s="2" t="s">
        <v>90</v>
      </c>
      <c r="B16" s="2" t="s">
        <v>88</v>
      </c>
      <c r="C16" s="2" t="s">
        <v>2927</v>
      </c>
      <c r="D16" s="3">
        <f>IF(ISNUMBER('Sheet4-原始数据'!M8),'Sheet4-原始数据'!M8,"")</f>
        <v>44.1917549224981</v>
      </c>
      <c r="E16" s="3">
        <f>IF(ISNUMBER(补数计算!N26),补数计算!N26,"")</f>
        <v>44.1917549224981</v>
      </c>
      <c r="F16" s="3">
        <f t="shared" si="0"/>
        <v>0</v>
      </c>
      <c r="G16" s="2" t="s">
        <v>2917</v>
      </c>
      <c r="H16" s="2" t="s">
        <v>2918</v>
      </c>
      <c r="I16" s="2" t="s">
        <v>793</v>
      </c>
      <c r="J16" s="2" t="s">
        <v>1109</v>
      </c>
      <c r="K16" s="2" t="s">
        <v>2935</v>
      </c>
      <c r="L16" s="2" t="s">
        <v>1077</v>
      </c>
    </row>
    <row r="17" ht="25" hidden="1" customHeight="1" spans="1:12">
      <c r="A17" s="2" t="s">
        <v>90</v>
      </c>
      <c r="B17" s="2" t="s">
        <v>88</v>
      </c>
      <c r="C17" s="2" t="s">
        <v>14</v>
      </c>
      <c r="D17" s="3">
        <f>IF(ISNUMBER('Sheet4-原始数据'!S8),'Sheet4-原始数据'!S8,"")</f>
        <v>0.0637470418513069</v>
      </c>
      <c r="E17" s="3">
        <f>IF(ISNUMBER(补数计算!L28),补数计算!L28,"")</f>
        <v>0.0637470418513069</v>
      </c>
      <c r="F17" s="3">
        <f t="shared" si="0"/>
        <v>0</v>
      </c>
      <c r="G17" s="2" t="s">
        <v>2917</v>
      </c>
      <c r="H17" s="2" t="s">
        <v>2918</v>
      </c>
      <c r="I17" s="2" t="s">
        <v>793</v>
      </c>
      <c r="J17" s="2" t="s">
        <v>1110</v>
      </c>
      <c r="K17" s="2" t="s">
        <v>2936</v>
      </c>
      <c r="L17" s="2" t="s">
        <v>1081</v>
      </c>
    </row>
    <row r="18" ht="25" hidden="1" customHeight="1" spans="1:12">
      <c r="A18" s="2" t="s">
        <v>139</v>
      </c>
      <c r="B18" s="2" t="s">
        <v>135</v>
      </c>
      <c r="C18" s="2" t="s">
        <v>2916</v>
      </c>
      <c r="D18" s="3" t="str">
        <f>IF(ISNUMBER('Sheet4-原始数据'!G15),'Sheet4-原始数据'!G15,"")</f>
        <v/>
      </c>
      <c r="E18" s="3" t="str">
        <f t="shared" ref="E18:E33" si="1">""</f>
        <v/>
      </c>
      <c r="F18" s="3" t="str">
        <f t="shared" si="0"/>
        <v/>
      </c>
      <c r="G18" s="2" t="s">
        <v>2937</v>
      </c>
      <c r="H18" s="2" t="s">
        <v>1080</v>
      </c>
      <c r="I18" s="2" t="s">
        <v>1011</v>
      </c>
      <c r="J18" s="2" t="s">
        <v>2938</v>
      </c>
      <c r="K18" s="2" t="s">
        <v>1108</v>
      </c>
      <c r="L18" s="2" t="s">
        <v>1077</v>
      </c>
    </row>
    <row r="19" ht="25" hidden="1" customHeight="1" spans="1:12">
      <c r="A19" s="2" t="s">
        <v>139</v>
      </c>
      <c r="B19" s="2" t="s">
        <v>135</v>
      </c>
      <c r="C19" s="2" t="s">
        <v>2919</v>
      </c>
      <c r="D19" s="3" t="str">
        <f>IF(ISNUMBER('Sheet4-原始数据'!H15),'Sheet4-原始数据'!H15,"")</f>
        <v/>
      </c>
      <c r="E19" s="3" t="str">
        <f t="shared" si="1"/>
        <v/>
      </c>
      <c r="F19" s="3" t="str">
        <f t="shared" si="0"/>
        <v/>
      </c>
      <c r="G19" s="2" t="s">
        <v>2937</v>
      </c>
      <c r="H19" s="2" t="s">
        <v>1080</v>
      </c>
      <c r="I19" s="2" t="s">
        <v>1011</v>
      </c>
      <c r="J19" s="2" t="s">
        <v>2939</v>
      </c>
      <c r="K19" s="2" t="s">
        <v>2940</v>
      </c>
      <c r="L19" s="2" t="s">
        <v>1079</v>
      </c>
    </row>
    <row r="20" ht="25" hidden="1" customHeight="1" spans="1:12">
      <c r="A20" s="2" t="s">
        <v>139</v>
      </c>
      <c r="B20" s="2" t="s">
        <v>135</v>
      </c>
      <c r="C20" s="2" t="s">
        <v>691</v>
      </c>
      <c r="D20" s="3" t="str">
        <f>IF(ISNUMBER('Sheet4-原始数据'!I15),'Sheet4-原始数据'!I15,"")</f>
        <v/>
      </c>
      <c r="E20" s="3" t="str">
        <f t="shared" si="1"/>
        <v/>
      </c>
      <c r="F20" s="3" t="str">
        <f t="shared" si="0"/>
        <v/>
      </c>
      <c r="G20" s="2" t="s">
        <v>2937</v>
      </c>
      <c r="H20" s="2" t="s">
        <v>1080</v>
      </c>
      <c r="I20" s="2" t="s">
        <v>1011</v>
      </c>
      <c r="J20" s="2" t="s">
        <v>2941</v>
      </c>
      <c r="K20" s="2" t="s">
        <v>2942</v>
      </c>
      <c r="L20" s="2" t="s">
        <v>1079</v>
      </c>
    </row>
    <row r="21" ht="25" hidden="1" customHeight="1" spans="1:12">
      <c r="A21" s="2" t="s">
        <v>139</v>
      </c>
      <c r="B21" s="2" t="s">
        <v>135</v>
      </c>
      <c r="C21" s="2" t="s">
        <v>690</v>
      </c>
      <c r="D21" s="3" t="str">
        <f>IF(ISNUMBER('Sheet4-原始数据'!J15),'Sheet4-原始数据'!J15,"")</f>
        <v/>
      </c>
      <c r="E21" s="3" t="str">
        <f t="shared" si="1"/>
        <v/>
      </c>
      <c r="F21" s="3" t="str">
        <f t="shared" si="0"/>
        <v/>
      </c>
      <c r="G21" s="2" t="s">
        <v>2937</v>
      </c>
      <c r="H21" s="2" t="s">
        <v>1080</v>
      </c>
      <c r="I21" s="2" t="s">
        <v>1011</v>
      </c>
      <c r="J21" s="2" t="s">
        <v>2943</v>
      </c>
      <c r="K21" s="2" t="s">
        <v>2944</v>
      </c>
      <c r="L21" s="2" t="s">
        <v>1077</v>
      </c>
    </row>
    <row r="22" ht="25" hidden="1" customHeight="1" spans="1:12">
      <c r="A22" s="2" t="s">
        <v>139</v>
      </c>
      <c r="B22" s="2" t="s">
        <v>135</v>
      </c>
      <c r="C22" s="2" t="s">
        <v>2923</v>
      </c>
      <c r="D22" s="3" t="str">
        <f>IF(ISNUMBER('Sheet4-原始数据'!K15),'Sheet4-原始数据'!K15,"")</f>
        <v/>
      </c>
      <c r="E22" s="3" t="str">
        <f t="shared" si="1"/>
        <v/>
      </c>
      <c r="F22" s="3" t="str">
        <f t="shared" si="0"/>
        <v/>
      </c>
      <c r="G22" s="2" t="s">
        <v>2937</v>
      </c>
      <c r="H22" s="2" t="s">
        <v>1080</v>
      </c>
      <c r="I22" s="2" t="s">
        <v>1011</v>
      </c>
      <c r="J22" s="2" t="s">
        <v>2945</v>
      </c>
      <c r="K22" s="2" t="s">
        <v>2946</v>
      </c>
      <c r="L22" s="2" t="s">
        <v>1079</v>
      </c>
    </row>
    <row r="23" ht="25" hidden="1" customHeight="1" spans="1:12">
      <c r="A23" s="2" t="s">
        <v>139</v>
      </c>
      <c r="B23" s="2" t="s">
        <v>135</v>
      </c>
      <c r="C23" s="2" t="s">
        <v>2925</v>
      </c>
      <c r="D23" s="3" t="str">
        <f>IF(ISNUMBER('Sheet4-原始数据'!L15),'Sheet4-原始数据'!L15,"")</f>
        <v/>
      </c>
      <c r="E23" s="3" t="str">
        <f t="shared" si="1"/>
        <v/>
      </c>
      <c r="F23" s="3" t="str">
        <f t="shared" si="0"/>
        <v/>
      </c>
      <c r="G23" s="2" t="s">
        <v>2937</v>
      </c>
      <c r="H23" s="2" t="s">
        <v>1080</v>
      </c>
      <c r="I23" s="2" t="s">
        <v>1011</v>
      </c>
      <c r="J23" s="2" t="s">
        <v>2947</v>
      </c>
      <c r="K23" s="2" t="s">
        <v>2948</v>
      </c>
      <c r="L23" s="2" t="s">
        <v>1079</v>
      </c>
    </row>
    <row r="24" ht="25" hidden="1" customHeight="1" spans="1:12">
      <c r="A24" s="2" t="s">
        <v>139</v>
      </c>
      <c r="B24" s="2" t="s">
        <v>135</v>
      </c>
      <c r="C24" s="2" t="s">
        <v>2927</v>
      </c>
      <c r="D24" s="3" t="str">
        <f>IF(ISNUMBER('Sheet4-原始数据'!M15),'Sheet4-原始数据'!M15,"")</f>
        <v/>
      </c>
      <c r="E24" s="3" t="str">
        <f t="shared" si="1"/>
        <v/>
      </c>
      <c r="F24" s="3" t="str">
        <f t="shared" si="0"/>
        <v/>
      </c>
      <c r="G24" s="2" t="s">
        <v>2937</v>
      </c>
      <c r="H24" s="2" t="s">
        <v>1080</v>
      </c>
      <c r="I24" s="2" t="s">
        <v>1011</v>
      </c>
      <c r="J24" s="2" t="s">
        <v>2949</v>
      </c>
      <c r="K24" s="2" t="s">
        <v>2950</v>
      </c>
      <c r="L24" s="2" t="s">
        <v>1077</v>
      </c>
    </row>
    <row r="25" ht="25" hidden="1" customHeight="1" spans="1:12">
      <c r="A25" s="2" t="s">
        <v>139</v>
      </c>
      <c r="B25" s="2" t="s">
        <v>135</v>
      </c>
      <c r="C25" s="2" t="s">
        <v>14</v>
      </c>
      <c r="D25" s="3" t="str">
        <f>IF(ISNUMBER('Sheet4-原始数据'!S15),'Sheet4-原始数据'!S15,"")</f>
        <v/>
      </c>
      <c r="E25" s="3" t="str">
        <f t="shared" si="1"/>
        <v/>
      </c>
      <c r="F25" s="3" t="str">
        <f t="shared" si="0"/>
        <v/>
      </c>
      <c r="G25" s="2" t="s">
        <v>2937</v>
      </c>
      <c r="H25" s="2" t="s">
        <v>1082</v>
      </c>
      <c r="I25" s="2" t="s">
        <v>1011</v>
      </c>
      <c r="J25" s="2" t="s">
        <v>2951</v>
      </c>
      <c r="K25" s="2" t="s">
        <v>2952</v>
      </c>
      <c r="L25" s="2" t="s">
        <v>1081</v>
      </c>
    </row>
    <row r="26" ht="25" hidden="1" customHeight="1" spans="1:12">
      <c r="A26" s="2" t="s">
        <v>145</v>
      </c>
      <c r="B26" s="2" t="s">
        <v>144</v>
      </c>
      <c r="C26" s="2" t="s">
        <v>2916</v>
      </c>
      <c r="D26" s="3" t="str">
        <f>IF(ISNUMBER('Sheet4-原始数据'!G16),'Sheet4-原始数据'!G16,"")</f>
        <v/>
      </c>
      <c r="E26" s="3" t="str">
        <f t="shared" si="1"/>
        <v/>
      </c>
      <c r="F26" s="3" t="str">
        <f t="shared" si="0"/>
        <v/>
      </c>
      <c r="G26" s="2" t="s">
        <v>2937</v>
      </c>
      <c r="H26" s="2" t="s">
        <v>1080</v>
      </c>
      <c r="I26" s="2" t="s">
        <v>797</v>
      </c>
      <c r="J26" s="2" t="s">
        <v>2953</v>
      </c>
      <c r="K26" s="2" t="s">
        <v>2954</v>
      </c>
      <c r="L26" s="2" t="s">
        <v>1077</v>
      </c>
    </row>
    <row r="27" ht="25" hidden="1" customHeight="1" spans="1:12">
      <c r="A27" s="2" t="s">
        <v>145</v>
      </c>
      <c r="B27" s="2" t="s">
        <v>144</v>
      </c>
      <c r="C27" s="2" t="s">
        <v>2919</v>
      </c>
      <c r="D27" s="3" t="str">
        <f>IF(ISNUMBER('Sheet4-原始数据'!H16),'Sheet4-原始数据'!H16,"")</f>
        <v/>
      </c>
      <c r="E27" s="3" t="str">
        <f t="shared" si="1"/>
        <v/>
      </c>
      <c r="F27" s="3" t="str">
        <f t="shared" si="0"/>
        <v/>
      </c>
      <c r="G27" s="2" t="s">
        <v>2937</v>
      </c>
      <c r="H27" s="2" t="s">
        <v>1080</v>
      </c>
      <c r="I27" s="2" t="s">
        <v>797</v>
      </c>
      <c r="J27" s="2" t="s">
        <v>2955</v>
      </c>
      <c r="K27" s="2" t="s">
        <v>2956</v>
      </c>
      <c r="L27" s="2" t="s">
        <v>1079</v>
      </c>
    </row>
    <row r="28" ht="25" hidden="1" customHeight="1" spans="1:12">
      <c r="A28" s="2" t="s">
        <v>145</v>
      </c>
      <c r="B28" s="2" t="s">
        <v>144</v>
      </c>
      <c r="C28" s="2" t="s">
        <v>691</v>
      </c>
      <c r="D28" s="3" t="str">
        <f>IF(ISNUMBER('Sheet4-原始数据'!I16),'Sheet4-原始数据'!I16,"")</f>
        <v/>
      </c>
      <c r="E28" s="3" t="str">
        <f t="shared" si="1"/>
        <v/>
      </c>
      <c r="F28" s="3" t="str">
        <f t="shared" si="0"/>
        <v/>
      </c>
      <c r="G28" s="2" t="s">
        <v>2937</v>
      </c>
      <c r="H28" s="2" t="s">
        <v>1080</v>
      </c>
      <c r="I28" s="2" t="s">
        <v>797</v>
      </c>
      <c r="J28" s="2" t="s">
        <v>2957</v>
      </c>
      <c r="K28" s="2" t="s">
        <v>2958</v>
      </c>
      <c r="L28" s="2" t="s">
        <v>1079</v>
      </c>
    </row>
    <row r="29" ht="25" hidden="1" customHeight="1" spans="1:12">
      <c r="A29" s="2" t="s">
        <v>145</v>
      </c>
      <c r="B29" s="2" t="s">
        <v>144</v>
      </c>
      <c r="C29" s="2" t="s">
        <v>690</v>
      </c>
      <c r="D29" s="3" t="str">
        <f>IF(ISNUMBER('Sheet4-原始数据'!J16),'Sheet4-原始数据'!J16,"")</f>
        <v/>
      </c>
      <c r="E29" s="3" t="str">
        <f t="shared" si="1"/>
        <v/>
      </c>
      <c r="F29" s="3" t="str">
        <f t="shared" si="0"/>
        <v/>
      </c>
      <c r="G29" s="2" t="s">
        <v>2937</v>
      </c>
      <c r="H29" s="2" t="s">
        <v>1080</v>
      </c>
      <c r="I29" s="2" t="s">
        <v>797</v>
      </c>
      <c r="J29" s="2" t="s">
        <v>2959</v>
      </c>
      <c r="K29" s="2" t="s">
        <v>2960</v>
      </c>
      <c r="L29" s="2" t="s">
        <v>1077</v>
      </c>
    </row>
    <row r="30" ht="25" hidden="1" customHeight="1" spans="1:12">
      <c r="A30" s="2" t="s">
        <v>145</v>
      </c>
      <c r="B30" s="2" t="s">
        <v>144</v>
      </c>
      <c r="C30" s="2" t="s">
        <v>2923</v>
      </c>
      <c r="D30" s="3" t="str">
        <f>IF(ISNUMBER('Sheet4-原始数据'!K16),'Sheet4-原始数据'!K16,"")</f>
        <v/>
      </c>
      <c r="E30" s="3" t="str">
        <f t="shared" si="1"/>
        <v/>
      </c>
      <c r="F30" s="3" t="str">
        <f t="shared" si="0"/>
        <v/>
      </c>
      <c r="G30" s="2" t="s">
        <v>2937</v>
      </c>
      <c r="H30" s="2" t="s">
        <v>1080</v>
      </c>
      <c r="I30" s="2" t="s">
        <v>797</v>
      </c>
      <c r="J30" s="2" t="s">
        <v>2961</v>
      </c>
      <c r="K30" s="2" t="s">
        <v>2962</v>
      </c>
      <c r="L30" s="2" t="s">
        <v>1079</v>
      </c>
    </row>
    <row r="31" ht="25" hidden="1" customHeight="1" spans="1:12">
      <c r="A31" s="2" t="s">
        <v>145</v>
      </c>
      <c r="B31" s="2" t="s">
        <v>144</v>
      </c>
      <c r="C31" s="2" t="s">
        <v>2925</v>
      </c>
      <c r="D31" s="3" t="str">
        <f>IF(ISNUMBER('Sheet4-原始数据'!L16),'Sheet4-原始数据'!L16,"")</f>
        <v/>
      </c>
      <c r="E31" s="3" t="str">
        <f t="shared" si="1"/>
        <v/>
      </c>
      <c r="F31" s="3" t="str">
        <f t="shared" si="0"/>
        <v/>
      </c>
      <c r="G31" s="2" t="s">
        <v>2937</v>
      </c>
      <c r="H31" s="2" t="s">
        <v>1080</v>
      </c>
      <c r="I31" s="2" t="s">
        <v>797</v>
      </c>
      <c r="J31" s="2" t="s">
        <v>2963</v>
      </c>
      <c r="K31" s="2" t="s">
        <v>2964</v>
      </c>
      <c r="L31" s="2" t="s">
        <v>1079</v>
      </c>
    </row>
    <row r="32" ht="25" hidden="1" customHeight="1" spans="1:12">
      <c r="A32" s="2" t="s">
        <v>145</v>
      </c>
      <c r="B32" s="2" t="s">
        <v>144</v>
      </c>
      <c r="C32" s="2" t="s">
        <v>2927</v>
      </c>
      <c r="D32" s="3" t="str">
        <f>IF(ISNUMBER('Sheet4-原始数据'!M16),'Sheet4-原始数据'!M16,"")</f>
        <v/>
      </c>
      <c r="E32" s="3" t="str">
        <f t="shared" si="1"/>
        <v/>
      </c>
      <c r="F32" s="3" t="str">
        <f t="shared" si="0"/>
        <v/>
      </c>
      <c r="G32" s="2" t="s">
        <v>2937</v>
      </c>
      <c r="H32" s="2" t="s">
        <v>1080</v>
      </c>
      <c r="I32" s="2" t="s">
        <v>797</v>
      </c>
      <c r="J32" s="2" t="s">
        <v>2965</v>
      </c>
      <c r="K32" s="2" t="s">
        <v>2966</v>
      </c>
      <c r="L32" s="2" t="s">
        <v>1077</v>
      </c>
    </row>
    <row r="33" ht="25" hidden="1" customHeight="1" spans="1:12">
      <c r="A33" s="2" t="s">
        <v>145</v>
      </c>
      <c r="B33" s="2" t="s">
        <v>144</v>
      </c>
      <c r="C33" s="2" t="s">
        <v>14</v>
      </c>
      <c r="D33" s="4">
        <f>IF(ISNUMBER('Sheet4-原始数据'!S16),'Sheet4-原始数据'!S16,"")</f>
        <v>0.161443539957389</v>
      </c>
      <c r="E33" s="4" t="str">
        <f t="shared" si="1"/>
        <v/>
      </c>
      <c r="F33" s="4" t="str">
        <f t="shared" si="0"/>
        <v/>
      </c>
      <c r="G33" s="5" t="s">
        <v>2967</v>
      </c>
      <c r="H33" s="5" t="s">
        <v>2968</v>
      </c>
      <c r="I33" s="2" t="s">
        <v>797</v>
      </c>
      <c r="J33" s="2" t="s">
        <v>1111</v>
      </c>
      <c r="K33" s="2" t="s">
        <v>2969</v>
      </c>
      <c r="L33" s="2" t="s">
        <v>1081</v>
      </c>
    </row>
    <row r="34" ht="25" hidden="1" customHeight="1" spans="1:12">
      <c r="A34" s="2" t="s">
        <v>194</v>
      </c>
      <c r="B34" s="2" t="s">
        <v>193</v>
      </c>
      <c r="C34" s="2" t="s">
        <v>2916</v>
      </c>
      <c r="D34" s="3">
        <f>IF(ISNUMBER('Sheet4-原始数据'!G25),'Sheet4-原始数据'!G25,"")</f>
        <v>0.316969734003115</v>
      </c>
      <c r="E34" s="3">
        <f>IF(ISNUMBER(补数计算!L68),补数计算!L68,"")</f>
        <v>0.316969734003115</v>
      </c>
      <c r="F34" s="3">
        <f t="shared" si="0"/>
        <v>0</v>
      </c>
      <c r="G34" s="2" t="s">
        <v>2917</v>
      </c>
      <c r="H34" s="2" t="s">
        <v>2918</v>
      </c>
      <c r="I34" s="2" t="s">
        <v>798</v>
      </c>
      <c r="J34" s="2" t="s">
        <v>1112</v>
      </c>
      <c r="K34" s="2" t="s">
        <v>2970</v>
      </c>
      <c r="L34" s="2" t="s">
        <v>1077</v>
      </c>
    </row>
    <row r="35" ht="25" hidden="1" customHeight="1" spans="1:12">
      <c r="A35" s="2" t="s">
        <v>194</v>
      </c>
      <c r="B35" s="2" t="s">
        <v>193</v>
      </c>
      <c r="C35" s="2" t="s">
        <v>2919</v>
      </c>
      <c r="D35" s="3" t="str">
        <f>IF(ISNUMBER('Sheet4-原始数据'!H25),'Sheet4-原始数据'!H25,"")</f>
        <v/>
      </c>
      <c r="E35" s="3" t="str">
        <f>""</f>
        <v/>
      </c>
      <c r="F35" s="3" t="str">
        <f t="shared" si="0"/>
        <v/>
      </c>
      <c r="G35" s="2" t="s">
        <v>2937</v>
      </c>
      <c r="H35" s="2" t="s">
        <v>1080</v>
      </c>
      <c r="I35" s="2" t="s">
        <v>798</v>
      </c>
      <c r="J35" s="2" t="s">
        <v>2971</v>
      </c>
      <c r="K35" s="2" t="s">
        <v>2972</v>
      </c>
      <c r="L35" s="2" t="s">
        <v>1079</v>
      </c>
    </row>
    <row r="36" ht="25" hidden="1" customHeight="1" spans="1:12">
      <c r="A36" s="2" t="s">
        <v>194</v>
      </c>
      <c r="B36" s="2" t="s">
        <v>193</v>
      </c>
      <c r="C36" s="2" t="s">
        <v>691</v>
      </c>
      <c r="D36" s="3" t="str">
        <f>IF(ISNUMBER('Sheet4-原始数据'!I25),'Sheet4-原始数据'!I25,"")</f>
        <v/>
      </c>
      <c r="E36" s="3" t="str">
        <f>""</f>
        <v/>
      </c>
      <c r="F36" s="3" t="str">
        <f t="shared" si="0"/>
        <v/>
      </c>
      <c r="G36" s="2" t="s">
        <v>2937</v>
      </c>
      <c r="H36" s="2" t="s">
        <v>1080</v>
      </c>
      <c r="I36" s="2" t="s">
        <v>798</v>
      </c>
      <c r="J36" s="2" t="s">
        <v>2973</v>
      </c>
      <c r="K36" s="2" t="s">
        <v>2974</v>
      </c>
      <c r="L36" s="2" t="s">
        <v>1079</v>
      </c>
    </row>
    <row r="37" ht="25" hidden="1" customHeight="1" spans="1:12">
      <c r="A37" s="2" t="s">
        <v>194</v>
      </c>
      <c r="B37" s="2" t="s">
        <v>193</v>
      </c>
      <c r="C37" s="2" t="s">
        <v>690</v>
      </c>
      <c r="D37" s="3" t="str">
        <f>IF(ISNUMBER('Sheet4-原始数据'!J25),'Sheet4-原始数据'!J25,"")</f>
        <v/>
      </c>
      <c r="E37" s="3" t="str">
        <f>""</f>
        <v/>
      </c>
      <c r="F37" s="3" t="str">
        <f t="shared" si="0"/>
        <v/>
      </c>
      <c r="G37" s="2" t="s">
        <v>2937</v>
      </c>
      <c r="H37" s="2" t="s">
        <v>1025</v>
      </c>
      <c r="I37" s="2" t="s">
        <v>798</v>
      </c>
      <c r="J37" s="2" t="s">
        <v>2975</v>
      </c>
      <c r="K37" s="2" t="s">
        <v>2976</v>
      </c>
      <c r="L37" s="2" t="s">
        <v>1077</v>
      </c>
    </row>
    <row r="38" ht="25" hidden="1" customHeight="1" spans="1:12">
      <c r="A38" s="2" t="s">
        <v>194</v>
      </c>
      <c r="B38" s="2" t="s">
        <v>193</v>
      </c>
      <c r="C38" s="2" t="s">
        <v>2923</v>
      </c>
      <c r="D38" s="3" t="str">
        <f>IF(ISNUMBER('Sheet4-原始数据'!K25),'Sheet4-原始数据'!K25,"")</f>
        <v/>
      </c>
      <c r="E38" s="3" t="str">
        <f>""</f>
        <v/>
      </c>
      <c r="F38" s="3" t="str">
        <f t="shared" si="0"/>
        <v/>
      </c>
      <c r="G38" s="2" t="s">
        <v>2937</v>
      </c>
      <c r="H38" s="2" t="s">
        <v>1080</v>
      </c>
      <c r="I38" s="2" t="s">
        <v>798</v>
      </c>
      <c r="J38" s="2" t="s">
        <v>2977</v>
      </c>
      <c r="K38" s="2" t="s">
        <v>2978</v>
      </c>
      <c r="L38" s="2" t="s">
        <v>1079</v>
      </c>
    </row>
    <row r="39" ht="25" hidden="1" customHeight="1" spans="1:12">
      <c r="A39" s="2" t="s">
        <v>194</v>
      </c>
      <c r="B39" s="2" t="s">
        <v>193</v>
      </c>
      <c r="C39" s="2" t="s">
        <v>2925</v>
      </c>
      <c r="D39" s="3" t="str">
        <f>IF(ISNUMBER('Sheet4-原始数据'!L25),'Sheet4-原始数据'!L25,"")</f>
        <v/>
      </c>
      <c r="E39" s="3" t="str">
        <f>""</f>
        <v/>
      </c>
      <c r="F39" s="3" t="str">
        <f t="shared" si="0"/>
        <v/>
      </c>
      <c r="G39" s="2" t="s">
        <v>2937</v>
      </c>
      <c r="H39" s="2" t="s">
        <v>1080</v>
      </c>
      <c r="I39" s="2" t="s">
        <v>798</v>
      </c>
      <c r="J39" s="2" t="s">
        <v>2979</v>
      </c>
      <c r="K39" s="2" t="s">
        <v>2980</v>
      </c>
      <c r="L39" s="2" t="s">
        <v>1079</v>
      </c>
    </row>
    <row r="40" ht="25" hidden="1" customHeight="1" spans="1:12">
      <c r="A40" s="2" t="s">
        <v>194</v>
      </c>
      <c r="B40" s="2" t="s">
        <v>193</v>
      </c>
      <c r="C40" s="2" t="s">
        <v>2927</v>
      </c>
      <c r="D40" s="3">
        <f>IF(ISNUMBER('Sheet4-原始数据'!M25),'Sheet4-原始数据'!M25,"")</f>
        <v>51.1242695390374</v>
      </c>
      <c r="E40" s="3">
        <f>IF(ISNUMBER(补数计算!N68),补数计算!N68,"")</f>
        <v>51.1242695390374</v>
      </c>
      <c r="F40" s="3">
        <f t="shared" si="0"/>
        <v>0</v>
      </c>
      <c r="G40" s="2" t="s">
        <v>2917</v>
      </c>
      <c r="H40" s="2" t="s">
        <v>2918</v>
      </c>
      <c r="I40" s="2" t="s">
        <v>798</v>
      </c>
      <c r="J40" s="2" t="s">
        <v>1113</v>
      </c>
      <c r="K40" s="2" t="s">
        <v>2981</v>
      </c>
      <c r="L40" s="2" t="s">
        <v>1077</v>
      </c>
    </row>
    <row r="41" ht="25" hidden="1" customHeight="1" spans="1:12">
      <c r="A41" s="2" t="s">
        <v>194</v>
      </c>
      <c r="B41" s="2" t="s">
        <v>193</v>
      </c>
      <c r="C41" s="2" t="s">
        <v>14</v>
      </c>
      <c r="D41" s="3">
        <f>IF(ISNUMBER('Sheet4-原始数据'!S25),'Sheet4-原始数据'!S25,"")</f>
        <v>0.22997763561791</v>
      </c>
      <c r="E41" s="3">
        <f>IF(ISNUMBER(补数计算!L70),补数计算!L70,"")</f>
        <v>0.22997763561791</v>
      </c>
      <c r="F41" s="3">
        <f t="shared" si="0"/>
        <v>0</v>
      </c>
      <c r="G41" s="2" t="s">
        <v>2917</v>
      </c>
      <c r="H41" s="2" t="s">
        <v>2918</v>
      </c>
      <c r="I41" s="2" t="s">
        <v>798</v>
      </c>
      <c r="J41" s="2" t="s">
        <v>1114</v>
      </c>
      <c r="K41" s="2" t="s">
        <v>2982</v>
      </c>
      <c r="L41" s="2" t="s">
        <v>1081</v>
      </c>
    </row>
    <row r="42" ht="25" hidden="1" customHeight="1" spans="1:12">
      <c r="A42" s="2" t="s">
        <v>199</v>
      </c>
      <c r="B42" s="2" t="s">
        <v>198</v>
      </c>
      <c r="C42" s="2" t="s">
        <v>2916</v>
      </c>
      <c r="D42" s="3">
        <f>IF(ISNUMBER('Sheet4-原始数据'!G26),'Sheet4-原始数据'!G26,"")</f>
        <v>0.112408879112008</v>
      </c>
      <c r="E42" s="3">
        <f>IF(ISNUMBER(补数计算!L71),补数计算!L71,"")</f>
        <v>0.112408879112008</v>
      </c>
      <c r="F42" s="3">
        <f t="shared" si="0"/>
        <v>0</v>
      </c>
      <c r="G42" s="2" t="s">
        <v>2917</v>
      </c>
      <c r="H42" s="2" t="s">
        <v>2918</v>
      </c>
      <c r="I42" s="2" t="s">
        <v>799</v>
      </c>
      <c r="J42" s="2" t="s">
        <v>1115</v>
      </c>
      <c r="K42" s="2" t="s">
        <v>2983</v>
      </c>
      <c r="L42" s="2" t="s">
        <v>1077</v>
      </c>
    </row>
    <row r="43" ht="25" hidden="1" customHeight="1" spans="1:12">
      <c r="A43" s="2" t="s">
        <v>199</v>
      </c>
      <c r="B43" s="2" t="s">
        <v>198</v>
      </c>
      <c r="C43" s="2" t="s">
        <v>2919</v>
      </c>
      <c r="D43" s="3" t="str">
        <f>IF(ISNUMBER('Sheet4-原始数据'!H26),'Sheet4-原始数据'!H26,"")</f>
        <v/>
      </c>
      <c r="E43" s="3" t="str">
        <f>""</f>
        <v/>
      </c>
      <c r="F43" s="3" t="str">
        <f t="shared" si="0"/>
        <v/>
      </c>
      <c r="G43" s="2" t="s">
        <v>2937</v>
      </c>
      <c r="H43" s="2" t="s">
        <v>1080</v>
      </c>
      <c r="I43" s="2" t="s">
        <v>799</v>
      </c>
      <c r="J43" s="2" t="s">
        <v>2984</v>
      </c>
      <c r="K43" s="2" t="s">
        <v>2985</v>
      </c>
      <c r="L43" s="2" t="s">
        <v>1079</v>
      </c>
    </row>
    <row r="44" ht="25" hidden="1" customHeight="1" spans="1:12">
      <c r="A44" s="2" t="s">
        <v>199</v>
      </c>
      <c r="B44" s="2" t="s">
        <v>198</v>
      </c>
      <c r="C44" s="2" t="s">
        <v>691</v>
      </c>
      <c r="D44" s="3" t="str">
        <f>IF(ISNUMBER('Sheet4-原始数据'!I26),'Sheet4-原始数据'!I26,"")</f>
        <v/>
      </c>
      <c r="E44" s="3" t="str">
        <f>""</f>
        <v/>
      </c>
      <c r="F44" s="3" t="str">
        <f t="shared" si="0"/>
        <v/>
      </c>
      <c r="G44" s="2" t="s">
        <v>2937</v>
      </c>
      <c r="H44" s="2" t="s">
        <v>1080</v>
      </c>
      <c r="I44" s="2" t="s">
        <v>799</v>
      </c>
      <c r="J44" s="2" t="s">
        <v>2986</v>
      </c>
      <c r="K44" s="2" t="s">
        <v>2987</v>
      </c>
      <c r="L44" s="2" t="s">
        <v>1079</v>
      </c>
    </row>
    <row r="45" ht="25" hidden="1" customHeight="1" spans="1:12">
      <c r="A45" s="2" t="s">
        <v>199</v>
      </c>
      <c r="B45" s="2" t="s">
        <v>198</v>
      </c>
      <c r="C45" s="2" t="s">
        <v>690</v>
      </c>
      <c r="D45" s="3">
        <f>IF(ISNUMBER('Sheet4-原始数据'!J26),'Sheet4-原始数据'!J26,"")</f>
        <v>0.846153846153846</v>
      </c>
      <c r="E45" s="3">
        <f>IF(ISNUMBER(补数计算!O71),补数计算!O71,"")</f>
        <v>0.846153846153846</v>
      </c>
      <c r="F45" s="3">
        <f t="shared" si="0"/>
        <v>0</v>
      </c>
      <c r="G45" s="2" t="s">
        <v>2917</v>
      </c>
      <c r="H45" s="2" t="s">
        <v>2918</v>
      </c>
      <c r="I45" s="2" t="s">
        <v>799</v>
      </c>
      <c r="J45" s="2" t="s">
        <v>1116</v>
      </c>
      <c r="K45" s="2" t="s">
        <v>2988</v>
      </c>
      <c r="L45" s="2" t="s">
        <v>1077</v>
      </c>
    </row>
    <row r="46" ht="25" hidden="1" customHeight="1" spans="1:12">
      <c r="A46" s="2" t="s">
        <v>199</v>
      </c>
      <c r="B46" s="2" t="s">
        <v>198</v>
      </c>
      <c r="C46" s="2" t="s">
        <v>2923</v>
      </c>
      <c r="D46" s="3" t="str">
        <f>IF(ISNUMBER('Sheet4-原始数据'!K26),'Sheet4-原始数据'!K26,"")</f>
        <v/>
      </c>
      <c r="E46" s="3" t="str">
        <f>""</f>
        <v/>
      </c>
      <c r="F46" s="3" t="str">
        <f t="shared" si="0"/>
        <v/>
      </c>
      <c r="G46" s="2" t="s">
        <v>2937</v>
      </c>
      <c r="H46" s="2" t="s">
        <v>1080</v>
      </c>
      <c r="I46" s="2" t="s">
        <v>799</v>
      </c>
      <c r="J46" s="2" t="s">
        <v>2989</v>
      </c>
      <c r="K46" s="2" t="s">
        <v>2990</v>
      </c>
      <c r="L46" s="2" t="s">
        <v>1079</v>
      </c>
    </row>
    <row r="47" ht="25" hidden="1" customHeight="1" spans="1:12">
      <c r="A47" s="2" t="s">
        <v>199</v>
      </c>
      <c r="B47" s="2" t="s">
        <v>198</v>
      </c>
      <c r="C47" s="2" t="s">
        <v>2925</v>
      </c>
      <c r="D47" s="3" t="str">
        <f>IF(ISNUMBER('Sheet4-原始数据'!L26),'Sheet4-原始数据'!L26,"")</f>
        <v/>
      </c>
      <c r="E47" s="3" t="str">
        <f>""</f>
        <v/>
      </c>
      <c r="F47" s="3" t="str">
        <f t="shared" si="0"/>
        <v/>
      </c>
      <c r="G47" s="2" t="s">
        <v>2937</v>
      </c>
      <c r="H47" s="2" t="s">
        <v>1080</v>
      </c>
      <c r="I47" s="2" t="s">
        <v>799</v>
      </c>
      <c r="J47" s="2" t="s">
        <v>2930</v>
      </c>
      <c r="K47" s="2" t="s">
        <v>2991</v>
      </c>
      <c r="L47" s="2" t="s">
        <v>1079</v>
      </c>
    </row>
    <row r="48" ht="25" hidden="1" customHeight="1" spans="1:12">
      <c r="A48" s="2" t="s">
        <v>199</v>
      </c>
      <c r="B48" s="2" t="s">
        <v>198</v>
      </c>
      <c r="C48" s="2" t="s">
        <v>2927</v>
      </c>
      <c r="D48" s="3">
        <f>IF(ISNUMBER('Sheet4-原始数据'!M26),'Sheet4-原始数据'!M26,"")</f>
        <v>26.3368894264932</v>
      </c>
      <c r="E48" s="3">
        <f>IF(ISNUMBER(补数计算!N71),补数计算!N71,"")</f>
        <v>26.3368894264932</v>
      </c>
      <c r="F48" s="3">
        <f t="shared" si="0"/>
        <v>0</v>
      </c>
      <c r="G48" s="2" t="s">
        <v>2917</v>
      </c>
      <c r="H48" s="2" t="s">
        <v>2918</v>
      </c>
      <c r="I48" s="2" t="s">
        <v>799</v>
      </c>
      <c r="J48" s="2" t="s">
        <v>1117</v>
      </c>
      <c r="K48" s="2" t="s">
        <v>2992</v>
      </c>
      <c r="L48" s="2" t="s">
        <v>1077</v>
      </c>
    </row>
    <row r="49" ht="25" hidden="1" customHeight="1" spans="1:12">
      <c r="A49" s="2" t="s">
        <v>199</v>
      </c>
      <c r="B49" s="2" t="s">
        <v>198</v>
      </c>
      <c r="C49" s="2" t="s">
        <v>14</v>
      </c>
      <c r="D49" s="3" t="str">
        <f>IF(ISNUMBER('Sheet4-原始数据'!S26),'Sheet4-原始数据'!S26,"")</f>
        <v/>
      </c>
      <c r="E49" s="3" t="str">
        <f>""</f>
        <v/>
      </c>
      <c r="F49" s="3" t="str">
        <f t="shared" si="0"/>
        <v/>
      </c>
      <c r="G49" s="2" t="s">
        <v>2937</v>
      </c>
      <c r="H49" s="2" t="s">
        <v>1082</v>
      </c>
      <c r="I49" s="2" t="s">
        <v>799</v>
      </c>
      <c r="J49" s="2" t="s">
        <v>2993</v>
      </c>
      <c r="K49" s="2" t="s">
        <v>2994</v>
      </c>
      <c r="L49" s="2" t="s">
        <v>1081</v>
      </c>
    </row>
    <row r="50" ht="25" hidden="1" customHeight="1" spans="1:12">
      <c r="A50" s="2" t="s">
        <v>203</v>
      </c>
      <c r="B50" s="2" t="s">
        <v>202</v>
      </c>
      <c r="C50" s="2" t="s">
        <v>2916</v>
      </c>
      <c r="D50" s="3">
        <f>IF(ISNUMBER('Sheet4-原始数据'!G27),'Sheet4-原始数据'!G27,"")</f>
        <v>0.0853083964433377</v>
      </c>
      <c r="E50" s="3">
        <f>IF(ISNUMBER(补数计算!L74),补数计算!L74,"")</f>
        <v>0.0853083964433377</v>
      </c>
      <c r="F50" s="3">
        <f t="shared" si="0"/>
        <v>0</v>
      </c>
      <c r="G50" s="2" t="s">
        <v>2917</v>
      </c>
      <c r="H50" s="2" t="s">
        <v>2918</v>
      </c>
      <c r="I50" s="2" t="s">
        <v>800</v>
      </c>
      <c r="J50" s="2" t="s">
        <v>1118</v>
      </c>
      <c r="K50" s="2" t="s">
        <v>2995</v>
      </c>
      <c r="L50" s="2" t="s">
        <v>1077</v>
      </c>
    </row>
    <row r="51" ht="25" hidden="1" customHeight="1" spans="1:12">
      <c r="A51" s="2" t="s">
        <v>203</v>
      </c>
      <c r="B51" s="2" t="s">
        <v>202</v>
      </c>
      <c r="C51" s="2" t="s">
        <v>2919</v>
      </c>
      <c r="D51" s="3" t="str">
        <f>IF(ISNUMBER('Sheet4-原始数据'!H27),'Sheet4-原始数据'!H27,"")</f>
        <v/>
      </c>
      <c r="E51" s="3" t="str">
        <f>""</f>
        <v/>
      </c>
      <c r="F51" s="3" t="str">
        <f t="shared" si="0"/>
        <v/>
      </c>
      <c r="G51" s="2" t="s">
        <v>2937</v>
      </c>
      <c r="H51" s="2" t="s">
        <v>1080</v>
      </c>
      <c r="I51" s="2" t="s">
        <v>800</v>
      </c>
      <c r="J51" s="2" t="s">
        <v>2996</v>
      </c>
      <c r="K51" s="2" t="s">
        <v>2997</v>
      </c>
      <c r="L51" s="2" t="s">
        <v>1079</v>
      </c>
    </row>
    <row r="52" ht="25" hidden="1" customHeight="1" spans="1:12">
      <c r="A52" s="2" t="s">
        <v>203</v>
      </c>
      <c r="B52" s="2" t="s">
        <v>202</v>
      </c>
      <c r="C52" s="2" t="s">
        <v>691</v>
      </c>
      <c r="D52" s="3" t="str">
        <f>IF(ISNUMBER('Sheet4-原始数据'!I27),'Sheet4-原始数据'!I27,"")</f>
        <v/>
      </c>
      <c r="E52" s="3" t="str">
        <f>""</f>
        <v/>
      </c>
      <c r="F52" s="3" t="str">
        <f t="shared" si="0"/>
        <v/>
      </c>
      <c r="G52" s="2" t="s">
        <v>2937</v>
      </c>
      <c r="H52" s="2" t="s">
        <v>1080</v>
      </c>
      <c r="I52" s="2" t="s">
        <v>800</v>
      </c>
      <c r="J52" s="2" t="s">
        <v>2998</v>
      </c>
      <c r="K52" s="2" t="s">
        <v>2999</v>
      </c>
      <c r="L52" s="2" t="s">
        <v>1079</v>
      </c>
    </row>
    <row r="53" ht="25" hidden="1" customHeight="1" spans="1:12">
      <c r="A53" s="2" t="s">
        <v>203</v>
      </c>
      <c r="B53" s="2" t="s">
        <v>202</v>
      </c>
      <c r="C53" s="2" t="s">
        <v>690</v>
      </c>
      <c r="D53" s="3" t="str">
        <f>IF(ISNUMBER('Sheet4-原始数据'!J27),'Sheet4-原始数据'!J27,"")</f>
        <v/>
      </c>
      <c r="E53" s="3" t="str">
        <f>""</f>
        <v/>
      </c>
      <c r="F53" s="3" t="str">
        <f t="shared" si="0"/>
        <v/>
      </c>
      <c r="G53" s="2" t="s">
        <v>2937</v>
      </c>
      <c r="H53" s="2" t="s">
        <v>1025</v>
      </c>
      <c r="I53" s="2" t="s">
        <v>800</v>
      </c>
      <c r="J53" s="2" t="s">
        <v>3000</v>
      </c>
      <c r="K53" s="2" t="s">
        <v>3001</v>
      </c>
      <c r="L53" s="2" t="s">
        <v>1077</v>
      </c>
    </row>
    <row r="54" ht="25" hidden="1" customHeight="1" spans="1:12">
      <c r="A54" s="2" t="s">
        <v>203</v>
      </c>
      <c r="B54" s="2" t="s">
        <v>202</v>
      </c>
      <c r="C54" s="2" t="s">
        <v>2923</v>
      </c>
      <c r="D54" s="3" t="str">
        <f>IF(ISNUMBER('Sheet4-原始数据'!K27),'Sheet4-原始数据'!K27,"")</f>
        <v/>
      </c>
      <c r="E54" s="3" t="str">
        <f>""</f>
        <v/>
      </c>
      <c r="F54" s="3" t="str">
        <f t="shared" si="0"/>
        <v/>
      </c>
      <c r="G54" s="2" t="s">
        <v>2937</v>
      </c>
      <c r="H54" s="2" t="s">
        <v>1080</v>
      </c>
      <c r="I54" s="2" t="s">
        <v>800</v>
      </c>
      <c r="J54" s="2" t="s">
        <v>3002</v>
      </c>
      <c r="K54" s="2" t="s">
        <v>3003</v>
      </c>
      <c r="L54" s="2" t="s">
        <v>1079</v>
      </c>
    </row>
    <row r="55" ht="25" hidden="1" customHeight="1" spans="1:12">
      <c r="A55" s="2" t="s">
        <v>203</v>
      </c>
      <c r="B55" s="2" t="s">
        <v>202</v>
      </c>
      <c r="C55" s="2" t="s">
        <v>2925</v>
      </c>
      <c r="D55" s="3" t="str">
        <f>IF(ISNUMBER('Sheet4-原始数据'!L27),'Sheet4-原始数据'!L27,"")</f>
        <v/>
      </c>
      <c r="E55" s="3" t="str">
        <f>""</f>
        <v/>
      </c>
      <c r="F55" s="3" t="str">
        <f t="shared" si="0"/>
        <v/>
      </c>
      <c r="G55" s="2" t="s">
        <v>2937</v>
      </c>
      <c r="H55" s="2" t="s">
        <v>1080</v>
      </c>
      <c r="I55" s="2" t="s">
        <v>800</v>
      </c>
      <c r="J55" s="2" t="s">
        <v>2931</v>
      </c>
      <c r="K55" s="2" t="s">
        <v>3004</v>
      </c>
      <c r="L55" s="2" t="s">
        <v>1079</v>
      </c>
    </row>
    <row r="56" ht="25" hidden="1" customHeight="1" spans="1:12">
      <c r="A56" s="2" t="s">
        <v>203</v>
      </c>
      <c r="B56" s="2" t="s">
        <v>202</v>
      </c>
      <c r="C56" s="2" t="s">
        <v>2927</v>
      </c>
      <c r="D56" s="3">
        <f>IF(ISNUMBER('Sheet4-原始数据'!M27),'Sheet4-原始数据'!M27,"")</f>
        <v>20.4363207386701</v>
      </c>
      <c r="E56" s="3">
        <f>IF(ISNUMBER(补数计算!N74),补数计算!N74,"")</f>
        <v>20.4363207386701</v>
      </c>
      <c r="F56" s="3">
        <f t="shared" si="0"/>
        <v>0</v>
      </c>
      <c r="G56" s="2" t="s">
        <v>2917</v>
      </c>
      <c r="H56" s="2" t="s">
        <v>2918</v>
      </c>
      <c r="I56" s="2" t="s">
        <v>800</v>
      </c>
      <c r="J56" s="2" t="s">
        <v>1119</v>
      </c>
      <c r="K56" s="2" t="s">
        <v>3005</v>
      </c>
      <c r="L56" s="2" t="s">
        <v>1077</v>
      </c>
    </row>
    <row r="57" ht="25" hidden="1" customHeight="1" spans="1:12">
      <c r="A57" s="2" t="s">
        <v>203</v>
      </c>
      <c r="B57" s="2" t="s">
        <v>202</v>
      </c>
      <c r="C57" s="2" t="s">
        <v>14</v>
      </c>
      <c r="D57" s="3" t="str">
        <f>IF(ISNUMBER('Sheet4-原始数据'!S27),'Sheet4-原始数据'!S27,"")</f>
        <v/>
      </c>
      <c r="E57" s="3" t="str">
        <f>""</f>
        <v/>
      </c>
      <c r="F57" s="3" t="str">
        <f t="shared" si="0"/>
        <v/>
      </c>
      <c r="G57" s="2" t="s">
        <v>2937</v>
      </c>
      <c r="H57" s="2" t="s">
        <v>1082</v>
      </c>
      <c r="I57" s="2" t="s">
        <v>800</v>
      </c>
      <c r="J57" s="2" t="s">
        <v>3006</v>
      </c>
      <c r="K57" s="2" t="s">
        <v>3007</v>
      </c>
      <c r="L57" s="2" t="s">
        <v>1081</v>
      </c>
    </row>
    <row r="58" ht="25" hidden="1" customHeight="1" spans="1:12">
      <c r="A58" s="2" t="s">
        <v>207</v>
      </c>
      <c r="B58" s="2" t="s">
        <v>206</v>
      </c>
      <c r="C58" s="2" t="s">
        <v>2916</v>
      </c>
      <c r="D58" s="3">
        <f>IF(ISNUMBER('Sheet4-原始数据'!G28),'Sheet4-原始数据'!G28,"")</f>
        <v>0.011707709978378</v>
      </c>
      <c r="E58" s="3">
        <f>IF(ISNUMBER(补数计算!L59),补数计算!L59,"")</f>
        <v>0.011707709978378</v>
      </c>
      <c r="F58" s="3">
        <f t="shared" si="0"/>
        <v>0</v>
      </c>
      <c r="G58" s="2" t="s">
        <v>2917</v>
      </c>
      <c r="H58" s="2" t="s">
        <v>2918</v>
      </c>
      <c r="I58" s="2" t="s">
        <v>801</v>
      </c>
      <c r="J58" s="2" t="s">
        <v>1120</v>
      </c>
      <c r="K58" s="2" t="s">
        <v>3008</v>
      </c>
      <c r="L58" s="2" t="s">
        <v>1077</v>
      </c>
    </row>
    <row r="59" ht="25" hidden="1" customHeight="1" spans="1:12">
      <c r="A59" s="2" t="s">
        <v>207</v>
      </c>
      <c r="B59" s="2" t="s">
        <v>206</v>
      </c>
      <c r="C59" s="2" t="s">
        <v>2919</v>
      </c>
      <c r="D59" s="3" t="str">
        <f>IF(ISNUMBER('Sheet4-原始数据'!H28),'Sheet4-原始数据'!H28,"")</f>
        <v/>
      </c>
      <c r="E59" s="3" t="str">
        <f>""</f>
        <v/>
      </c>
      <c r="F59" s="3" t="str">
        <f t="shared" si="0"/>
        <v/>
      </c>
      <c r="G59" s="2" t="s">
        <v>2937</v>
      </c>
      <c r="H59" s="2" t="s">
        <v>1080</v>
      </c>
      <c r="I59" s="2" t="s">
        <v>801</v>
      </c>
      <c r="J59" s="2" t="s">
        <v>3009</v>
      </c>
      <c r="K59" s="2" t="s">
        <v>1166</v>
      </c>
      <c r="L59" s="2" t="s">
        <v>1079</v>
      </c>
    </row>
    <row r="60" ht="25" hidden="1" customHeight="1" spans="1:12">
      <c r="A60" s="2" t="s">
        <v>207</v>
      </c>
      <c r="B60" s="2" t="s">
        <v>206</v>
      </c>
      <c r="C60" s="2" t="s">
        <v>691</v>
      </c>
      <c r="D60" s="3" t="str">
        <f>IF(ISNUMBER('Sheet4-原始数据'!I28),'Sheet4-原始数据'!I28,"")</f>
        <v/>
      </c>
      <c r="E60" s="3" t="str">
        <f>""</f>
        <v/>
      </c>
      <c r="F60" s="3" t="str">
        <f t="shared" si="0"/>
        <v/>
      </c>
      <c r="G60" s="2" t="s">
        <v>2937</v>
      </c>
      <c r="H60" s="2" t="s">
        <v>1080</v>
      </c>
      <c r="I60" s="2" t="s">
        <v>801</v>
      </c>
      <c r="J60" s="2" t="s">
        <v>3010</v>
      </c>
      <c r="K60" s="2" t="s">
        <v>3011</v>
      </c>
      <c r="L60" s="2" t="s">
        <v>1079</v>
      </c>
    </row>
    <row r="61" ht="25" hidden="1" customHeight="1" spans="1:12">
      <c r="A61" s="2" t="s">
        <v>207</v>
      </c>
      <c r="B61" s="2" t="s">
        <v>206</v>
      </c>
      <c r="C61" s="2" t="s">
        <v>690</v>
      </c>
      <c r="D61" s="3">
        <f>IF(ISNUMBER('Sheet4-原始数据'!J28),'Sheet4-原始数据'!J28,"")</f>
        <v>0.538461538461538</v>
      </c>
      <c r="E61" s="3">
        <f>IF(ISNUMBER(补数计算!O59),补数计算!O59,"")</f>
        <v>0.538461538461538</v>
      </c>
      <c r="F61" s="3">
        <f t="shared" si="0"/>
        <v>0</v>
      </c>
      <c r="G61" s="2" t="s">
        <v>2917</v>
      </c>
      <c r="H61" s="2" t="s">
        <v>2918</v>
      </c>
      <c r="I61" s="2" t="s">
        <v>801</v>
      </c>
      <c r="J61" s="2" t="s">
        <v>1121</v>
      </c>
      <c r="K61" s="2" t="s">
        <v>3012</v>
      </c>
      <c r="L61" s="2" t="s">
        <v>1077</v>
      </c>
    </row>
    <row r="62" ht="25" hidden="1" customHeight="1" spans="1:12">
      <c r="A62" s="2" t="s">
        <v>207</v>
      </c>
      <c r="B62" s="2" t="s">
        <v>206</v>
      </c>
      <c r="C62" s="2" t="s">
        <v>2923</v>
      </c>
      <c r="D62" s="3" t="str">
        <f>IF(ISNUMBER('Sheet4-原始数据'!K28),'Sheet4-原始数据'!K28,"")</f>
        <v/>
      </c>
      <c r="E62" s="3" t="str">
        <f>""</f>
        <v/>
      </c>
      <c r="F62" s="3" t="str">
        <f t="shared" si="0"/>
        <v/>
      </c>
      <c r="G62" s="2" t="s">
        <v>2937</v>
      </c>
      <c r="H62" s="2" t="s">
        <v>1080</v>
      </c>
      <c r="I62" s="2" t="s">
        <v>801</v>
      </c>
      <c r="J62" s="2" t="s">
        <v>3013</v>
      </c>
      <c r="K62" s="2" t="s">
        <v>1167</v>
      </c>
      <c r="L62" s="2" t="s">
        <v>1079</v>
      </c>
    </row>
    <row r="63" ht="25" hidden="1" customHeight="1" spans="1:12">
      <c r="A63" s="2" t="s">
        <v>207</v>
      </c>
      <c r="B63" s="2" t="s">
        <v>206</v>
      </c>
      <c r="C63" s="2" t="s">
        <v>2925</v>
      </c>
      <c r="D63" s="3" t="str">
        <f>IF(ISNUMBER('Sheet4-原始数据'!L28),'Sheet4-原始数据'!L28,"")</f>
        <v/>
      </c>
      <c r="E63" s="3" t="str">
        <f>""</f>
        <v/>
      </c>
      <c r="F63" s="3" t="str">
        <f t="shared" si="0"/>
        <v/>
      </c>
      <c r="G63" s="2" t="s">
        <v>2937</v>
      </c>
      <c r="H63" s="2" t="s">
        <v>1080</v>
      </c>
      <c r="I63" s="2" t="s">
        <v>801</v>
      </c>
      <c r="J63" s="2" t="s">
        <v>2936</v>
      </c>
      <c r="K63" s="2" t="s">
        <v>3014</v>
      </c>
      <c r="L63" s="2" t="s">
        <v>1079</v>
      </c>
    </row>
    <row r="64" ht="25" hidden="1" customHeight="1" spans="1:12">
      <c r="A64" s="2" t="s">
        <v>207</v>
      </c>
      <c r="B64" s="2" t="s">
        <v>206</v>
      </c>
      <c r="C64" s="2" t="s">
        <v>2927</v>
      </c>
      <c r="D64" s="3">
        <f>IF(ISNUMBER('Sheet4-原始数据'!M28),'Sheet4-原始数据'!M28,"")</f>
        <v>0.172627102654873</v>
      </c>
      <c r="E64" s="3">
        <f>IF(ISNUMBER(补数计算!N59),补数计算!N59,"")</f>
        <v>0.172627102654873</v>
      </c>
      <c r="F64" s="3">
        <f t="shared" si="0"/>
        <v>0</v>
      </c>
      <c r="G64" s="2" t="s">
        <v>2917</v>
      </c>
      <c r="H64" s="2" t="s">
        <v>2918</v>
      </c>
      <c r="I64" s="2" t="s">
        <v>801</v>
      </c>
      <c r="J64" s="2" t="s">
        <v>1122</v>
      </c>
      <c r="K64" s="2" t="s">
        <v>3015</v>
      </c>
      <c r="L64" s="2" t="s">
        <v>1077</v>
      </c>
    </row>
    <row r="65" ht="25" hidden="1" customHeight="1" spans="1:12">
      <c r="A65" s="2" t="s">
        <v>207</v>
      </c>
      <c r="B65" s="2" t="s">
        <v>206</v>
      </c>
      <c r="C65" s="2" t="s">
        <v>14</v>
      </c>
      <c r="D65" s="3">
        <f>IF(ISNUMBER('Sheet4-原始数据'!S28),'Sheet4-原始数据'!S28,"")</f>
        <v>0.0268458961775353</v>
      </c>
      <c r="E65" s="3">
        <f>IF(ISNUMBER(补数计算!L61),补数计算!L61,"")</f>
        <v>0.0268458961775353</v>
      </c>
      <c r="F65" s="3">
        <f t="shared" si="0"/>
        <v>0</v>
      </c>
      <c r="G65" s="2" t="s">
        <v>2917</v>
      </c>
      <c r="H65" s="2" t="s">
        <v>2918</v>
      </c>
      <c r="I65" s="2" t="s">
        <v>801</v>
      </c>
      <c r="J65" s="2" t="s">
        <v>1123</v>
      </c>
      <c r="K65" s="2" t="s">
        <v>3016</v>
      </c>
      <c r="L65" s="2" t="s">
        <v>1081</v>
      </c>
    </row>
    <row r="66" ht="25" hidden="1" customHeight="1" spans="1:12">
      <c r="A66" s="2" t="s">
        <v>213</v>
      </c>
      <c r="B66" s="2" t="s">
        <v>211</v>
      </c>
      <c r="C66" s="2" t="s">
        <v>2916</v>
      </c>
      <c r="D66" s="3" t="str">
        <f>IF(ISNUMBER('Sheet4-原始数据'!G29),'Sheet4-原始数据'!G29,"")</f>
        <v/>
      </c>
      <c r="E66" s="3" t="str">
        <f t="shared" ref="E66:E73" si="2">""</f>
        <v/>
      </c>
      <c r="F66" s="3" t="str">
        <f t="shared" ref="F66:F129" si="3">IF(AND(ISNUMBER(D66),ISNUMBER(E66)),E66-D66,"")</f>
        <v/>
      </c>
      <c r="G66" s="2" t="s">
        <v>2937</v>
      </c>
      <c r="H66" s="2" t="s">
        <v>1080</v>
      </c>
      <c r="I66" s="2" t="s">
        <v>802</v>
      </c>
      <c r="J66" s="2" t="s">
        <v>3017</v>
      </c>
      <c r="K66" s="2" t="s">
        <v>3018</v>
      </c>
      <c r="L66" s="2" t="s">
        <v>1077</v>
      </c>
    </row>
    <row r="67" ht="25" hidden="1" customHeight="1" spans="1:12">
      <c r="A67" s="2" t="s">
        <v>213</v>
      </c>
      <c r="B67" s="2" t="s">
        <v>211</v>
      </c>
      <c r="C67" s="2" t="s">
        <v>2919</v>
      </c>
      <c r="D67" s="3" t="str">
        <f>IF(ISNUMBER('Sheet4-原始数据'!H29),'Sheet4-原始数据'!H29,"")</f>
        <v/>
      </c>
      <c r="E67" s="3" t="str">
        <f t="shared" si="2"/>
        <v/>
      </c>
      <c r="F67" s="3" t="str">
        <f t="shared" si="3"/>
        <v/>
      </c>
      <c r="G67" s="2" t="s">
        <v>2937</v>
      </c>
      <c r="H67" s="2" t="s">
        <v>1080</v>
      </c>
      <c r="I67" s="2" t="s">
        <v>802</v>
      </c>
      <c r="J67" s="2" t="s">
        <v>3019</v>
      </c>
      <c r="K67" s="2" t="s">
        <v>2947</v>
      </c>
      <c r="L67" s="2" t="s">
        <v>1079</v>
      </c>
    </row>
    <row r="68" ht="25" hidden="1" customHeight="1" spans="1:12">
      <c r="A68" s="2" t="s">
        <v>213</v>
      </c>
      <c r="B68" s="2" t="s">
        <v>211</v>
      </c>
      <c r="C68" s="2" t="s">
        <v>691</v>
      </c>
      <c r="D68" s="3" t="str">
        <f>IF(ISNUMBER('Sheet4-原始数据'!I29),'Sheet4-原始数据'!I29,"")</f>
        <v/>
      </c>
      <c r="E68" s="3" t="str">
        <f t="shared" si="2"/>
        <v/>
      </c>
      <c r="F68" s="3" t="str">
        <f t="shared" si="3"/>
        <v/>
      </c>
      <c r="G68" s="2" t="s">
        <v>2937</v>
      </c>
      <c r="H68" s="2" t="s">
        <v>1080</v>
      </c>
      <c r="I68" s="2" t="s">
        <v>802</v>
      </c>
      <c r="J68" s="2" t="s">
        <v>3020</v>
      </c>
      <c r="K68" s="2" t="s">
        <v>3021</v>
      </c>
      <c r="L68" s="2" t="s">
        <v>1079</v>
      </c>
    </row>
    <row r="69" ht="25" hidden="1" customHeight="1" spans="1:12">
      <c r="A69" s="2" t="s">
        <v>213</v>
      </c>
      <c r="B69" s="2" t="s">
        <v>211</v>
      </c>
      <c r="C69" s="2" t="s">
        <v>690</v>
      </c>
      <c r="D69" s="3" t="str">
        <f>IF(ISNUMBER('Sheet4-原始数据'!J29),'Sheet4-原始数据'!J29,"")</f>
        <v/>
      </c>
      <c r="E69" s="3" t="str">
        <f t="shared" si="2"/>
        <v/>
      </c>
      <c r="F69" s="3" t="str">
        <f t="shared" si="3"/>
        <v/>
      </c>
      <c r="G69" s="2" t="s">
        <v>2937</v>
      </c>
      <c r="H69" s="2" t="s">
        <v>1080</v>
      </c>
      <c r="I69" s="2" t="s">
        <v>802</v>
      </c>
      <c r="J69" s="2" t="s">
        <v>3022</v>
      </c>
      <c r="K69" s="2" t="s">
        <v>3023</v>
      </c>
      <c r="L69" s="2" t="s">
        <v>1077</v>
      </c>
    </row>
    <row r="70" ht="25" hidden="1" customHeight="1" spans="1:12">
      <c r="A70" s="2" t="s">
        <v>213</v>
      </c>
      <c r="B70" s="2" t="s">
        <v>211</v>
      </c>
      <c r="C70" s="2" t="s">
        <v>2923</v>
      </c>
      <c r="D70" s="3" t="str">
        <f>IF(ISNUMBER('Sheet4-原始数据'!K29),'Sheet4-原始数据'!K29,"")</f>
        <v/>
      </c>
      <c r="E70" s="3" t="str">
        <f t="shared" si="2"/>
        <v/>
      </c>
      <c r="F70" s="3" t="str">
        <f t="shared" si="3"/>
        <v/>
      </c>
      <c r="G70" s="2" t="s">
        <v>2937</v>
      </c>
      <c r="H70" s="2" t="s">
        <v>1080</v>
      </c>
      <c r="I70" s="2" t="s">
        <v>802</v>
      </c>
      <c r="J70" s="2" t="s">
        <v>3024</v>
      </c>
      <c r="K70" s="2" t="s">
        <v>2949</v>
      </c>
      <c r="L70" s="2" t="s">
        <v>1079</v>
      </c>
    </row>
    <row r="71" ht="25" hidden="1" customHeight="1" spans="1:12">
      <c r="A71" s="2" t="s">
        <v>213</v>
      </c>
      <c r="B71" s="2" t="s">
        <v>211</v>
      </c>
      <c r="C71" s="2" t="s">
        <v>2925</v>
      </c>
      <c r="D71" s="3" t="str">
        <f>IF(ISNUMBER('Sheet4-原始数据'!L29),'Sheet4-原始数据'!L29,"")</f>
        <v/>
      </c>
      <c r="E71" s="3" t="str">
        <f t="shared" si="2"/>
        <v/>
      </c>
      <c r="F71" s="3" t="str">
        <f t="shared" si="3"/>
        <v/>
      </c>
      <c r="G71" s="2" t="s">
        <v>2937</v>
      </c>
      <c r="H71" s="2" t="s">
        <v>1080</v>
      </c>
      <c r="I71" s="2" t="s">
        <v>802</v>
      </c>
      <c r="J71" s="2" t="s">
        <v>3025</v>
      </c>
      <c r="K71" s="2" t="s">
        <v>3026</v>
      </c>
      <c r="L71" s="2" t="s">
        <v>1079</v>
      </c>
    </row>
    <row r="72" ht="25" hidden="1" customHeight="1" spans="1:12">
      <c r="A72" s="2" t="s">
        <v>213</v>
      </c>
      <c r="B72" s="2" t="s">
        <v>211</v>
      </c>
      <c r="C72" s="2" t="s">
        <v>2927</v>
      </c>
      <c r="D72" s="3" t="str">
        <f>IF(ISNUMBER('Sheet4-原始数据'!M29),'Sheet4-原始数据'!M29,"")</f>
        <v/>
      </c>
      <c r="E72" s="3" t="str">
        <f t="shared" si="2"/>
        <v/>
      </c>
      <c r="F72" s="3" t="str">
        <f t="shared" si="3"/>
        <v/>
      </c>
      <c r="G72" s="2" t="s">
        <v>2937</v>
      </c>
      <c r="H72" s="2" t="s">
        <v>1080</v>
      </c>
      <c r="I72" s="2" t="s">
        <v>802</v>
      </c>
      <c r="J72" s="2" t="s">
        <v>3027</v>
      </c>
      <c r="K72" s="2" t="s">
        <v>3028</v>
      </c>
      <c r="L72" s="2" t="s">
        <v>1077</v>
      </c>
    </row>
    <row r="73" ht="25" hidden="1" customHeight="1" spans="1:12">
      <c r="A73" s="2" t="s">
        <v>213</v>
      </c>
      <c r="B73" s="2" t="s">
        <v>211</v>
      </c>
      <c r="C73" s="2" t="s">
        <v>14</v>
      </c>
      <c r="D73" s="4">
        <f>IF(ISNUMBER('Sheet4-原始数据'!S29),'Sheet4-原始数据'!S29,"")</f>
        <v>0.00375795437634197</v>
      </c>
      <c r="E73" s="4" t="str">
        <f t="shared" si="2"/>
        <v/>
      </c>
      <c r="F73" s="4" t="str">
        <f t="shared" si="3"/>
        <v/>
      </c>
      <c r="G73" s="5" t="s">
        <v>2967</v>
      </c>
      <c r="H73" s="5" t="s">
        <v>2968</v>
      </c>
      <c r="I73" s="2" t="s">
        <v>802</v>
      </c>
      <c r="J73" s="2" t="s">
        <v>1124</v>
      </c>
      <c r="K73" s="2" t="s">
        <v>2963</v>
      </c>
      <c r="L73" s="2" t="s">
        <v>1081</v>
      </c>
    </row>
    <row r="74" ht="25" hidden="1" customHeight="1" spans="1:12">
      <c r="A74" s="2" t="s">
        <v>225</v>
      </c>
      <c r="B74" s="2" t="s">
        <v>224</v>
      </c>
      <c r="C74" s="2" t="s">
        <v>2916</v>
      </c>
      <c r="D74" s="4">
        <f>IF(ISNUMBER('Sheet4-原始数据'!G31),'Sheet4-原始数据'!G31,"")</f>
        <v>0.3558</v>
      </c>
      <c r="E74" s="4">
        <f>IF(ISNUMBER(补数计算!L47),补数计算!L47,"")</f>
        <v>0.355767062347637</v>
      </c>
      <c r="F74" s="4">
        <f t="shared" si="3"/>
        <v>-3.29376523625635e-5</v>
      </c>
      <c r="G74" s="5" t="s">
        <v>3029</v>
      </c>
      <c r="H74" s="5" t="s">
        <v>2918</v>
      </c>
      <c r="I74" s="2" t="s">
        <v>1013</v>
      </c>
      <c r="J74" s="2" t="s">
        <v>3030</v>
      </c>
      <c r="K74" s="2" t="s">
        <v>3031</v>
      </c>
      <c r="L74" s="2" t="s">
        <v>1077</v>
      </c>
    </row>
    <row r="75" ht="25" hidden="1" customHeight="1" spans="1:12">
      <c r="A75" s="2" t="s">
        <v>225</v>
      </c>
      <c r="B75" s="2" t="s">
        <v>224</v>
      </c>
      <c r="C75" s="2" t="s">
        <v>2919</v>
      </c>
      <c r="D75" s="3" t="str">
        <f>IF(ISNUMBER('Sheet4-原始数据'!H31),'Sheet4-原始数据'!H31,"")</f>
        <v/>
      </c>
      <c r="E75" s="3" t="str">
        <f>""</f>
        <v/>
      </c>
      <c r="F75" s="3" t="str">
        <f t="shared" si="3"/>
        <v/>
      </c>
      <c r="G75" s="2" t="s">
        <v>2937</v>
      </c>
      <c r="H75" s="2" t="s">
        <v>1080</v>
      </c>
      <c r="I75" s="2" t="s">
        <v>1013</v>
      </c>
      <c r="J75" s="2" t="s">
        <v>3032</v>
      </c>
      <c r="K75" s="2" t="s">
        <v>3033</v>
      </c>
      <c r="L75" s="2" t="s">
        <v>1079</v>
      </c>
    </row>
    <row r="76" ht="25" hidden="1" customHeight="1" spans="1:12">
      <c r="A76" s="2" t="s">
        <v>225</v>
      </c>
      <c r="B76" s="2" t="s">
        <v>224</v>
      </c>
      <c r="C76" s="2" t="s">
        <v>691</v>
      </c>
      <c r="D76" s="3" t="str">
        <f>IF(ISNUMBER('Sheet4-原始数据'!I31),'Sheet4-原始数据'!I31,"")</f>
        <v/>
      </c>
      <c r="E76" s="3" t="str">
        <f>""</f>
        <v/>
      </c>
      <c r="F76" s="3" t="str">
        <f t="shared" si="3"/>
        <v/>
      </c>
      <c r="G76" s="2" t="s">
        <v>2937</v>
      </c>
      <c r="H76" s="2" t="s">
        <v>1080</v>
      </c>
      <c r="I76" s="2" t="s">
        <v>1013</v>
      </c>
      <c r="J76" s="2" t="s">
        <v>3034</v>
      </c>
      <c r="K76" s="2" t="s">
        <v>3035</v>
      </c>
      <c r="L76" s="2" t="s">
        <v>1079</v>
      </c>
    </row>
    <row r="77" ht="25" hidden="1" customHeight="1" spans="1:12">
      <c r="A77" s="2" t="s">
        <v>225</v>
      </c>
      <c r="B77" s="2" t="s">
        <v>224</v>
      </c>
      <c r="C77" s="2" t="s">
        <v>690</v>
      </c>
      <c r="D77" s="4">
        <f>IF(ISNUMBER('Sheet4-原始数据'!J31),'Sheet4-原始数据'!J31,"")</f>
        <v>0.7692</v>
      </c>
      <c r="E77" s="4">
        <f>IF(ISNUMBER(补数计算!O47),补数计算!O47,"")</f>
        <v>0.769230769230769</v>
      </c>
      <c r="F77" s="4">
        <f t="shared" si="3"/>
        <v>3.07692307692786e-5</v>
      </c>
      <c r="G77" s="5" t="s">
        <v>3029</v>
      </c>
      <c r="H77" s="5" t="s">
        <v>2918</v>
      </c>
      <c r="I77" s="2" t="s">
        <v>1013</v>
      </c>
      <c r="J77" s="2" t="s">
        <v>3036</v>
      </c>
      <c r="K77" s="2" t="s">
        <v>3037</v>
      </c>
      <c r="L77" s="2" t="s">
        <v>1077</v>
      </c>
    </row>
    <row r="78" ht="25" hidden="1" customHeight="1" spans="1:12">
      <c r="A78" s="2" t="s">
        <v>225</v>
      </c>
      <c r="B78" s="2" t="s">
        <v>224</v>
      </c>
      <c r="C78" s="2" t="s">
        <v>2923</v>
      </c>
      <c r="D78" s="3" t="str">
        <f>IF(ISNUMBER('Sheet4-原始数据'!K31),'Sheet4-原始数据'!K31,"")</f>
        <v/>
      </c>
      <c r="E78" s="3" t="str">
        <f>""</f>
        <v/>
      </c>
      <c r="F78" s="3" t="str">
        <f t="shared" si="3"/>
        <v/>
      </c>
      <c r="G78" s="2" t="s">
        <v>2937</v>
      </c>
      <c r="H78" s="2" t="s">
        <v>1080</v>
      </c>
      <c r="I78" s="2" t="s">
        <v>1013</v>
      </c>
      <c r="J78" s="2" t="s">
        <v>3038</v>
      </c>
      <c r="K78" s="2" t="s">
        <v>3039</v>
      </c>
      <c r="L78" s="2" t="s">
        <v>1079</v>
      </c>
    </row>
    <row r="79" ht="25" hidden="1" customHeight="1" spans="1:12">
      <c r="A79" s="2" t="s">
        <v>225</v>
      </c>
      <c r="B79" s="2" t="s">
        <v>224</v>
      </c>
      <c r="C79" s="2" t="s">
        <v>2925</v>
      </c>
      <c r="D79" s="3" t="str">
        <f>IF(ISNUMBER('Sheet4-原始数据'!L31),'Sheet4-原始数据'!L31,"")</f>
        <v/>
      </c>
      <c r="E79" s="3" t="str">
        <f>""</f>
        <v/>
      </c>
      <c r="F79" s="3" t="str">
        <f t="shared" si="3"/>
        <v/>
      </c>
      <c r="G79" s="2" t="s">
        <v>2937</v>
      </c>
      <c r="H79" s="2" t="s">
        <v>1080</v>
      </c>
      <c r="I79" s="2" t="s">
        <v>1013</v>
      </c>
      <c r="J79" s="2" t="s">
        <v>3040</v>
      </c>
      <c r="K79" s="2" t="s">
        <v>3041</v>
      </c>
      <c r="L79" s="2" t="s">
        <v>1079</v>
      </c>
    </row>
    <row r="80" ht="25" hidden="1" customHeight="1" spans="1:12">
      <c r="A80" s="2" t="s">
        <v>225</v>
      </c>
      <c r="B80" s="2" t="s">
        <v>224</v>
      </c>
      <c r="C80" s="2" t="s">
        <v>2927</v>
      </c>
      <c r="D80" s="4">
        <f>IF(ISNUMBER('Sheet4-原始数据'!M31),'Sheet4-原始数据'!M31,"")</f>
        <v>13.8749</v>
      </c>
      <c r="E80" s="4">
        <f>IF(ISNUMBER(补数计算!N47),补数计算!N47,"")</f>
        <v>13.8749154315578</v>
      </c>
      <c r="F80" s="4">
        <f t="shared" si="3"/>
        <v>1.54315578484443e-5</v>
      </c>
      <c r="G80" s="5" t="s">
        <v>3029</v>
      </c>
      <c r="H80" s="5" t="s">
        <v>2918</v>
      </c>
      <c r="I80" s="2" t="s">
        <v>1013</v>
      </c>
      <c r="J80" s="2" t="s">
        <v>3042</v>
      </c>
      <c r="K80" s="2" t="s">
        <v>3043</v>
      </c>
      <c r="L80" s="2" t="s">
        <v>1077</v>
      </c>
    </row>
    <row r="81" ht="25" hidden="1" customHeight="1" spans="1:12">
      <c r="A81" s="2" t="s">
        <v>225</v>
      </c>
      <c r="B81" s="2" t="s">
        <v>224</v>
      </c>
      <c r="C81" s="2" t="s">
        <v>14</v>
      </c>
      <c r="D81" s="3">
        <f>IF(ISNUMBER('Sheet4-原始数据'!S31),'Sheet4-原始数据'!S31,"")</f>
        <v>0.2739</v>
      </c>
      <c r="E81" s="3" t="str">
        <f>""</f>
        <v/>
      </c>
      <c r="F81" s="3" t="str">
        <f t="shared" si="3"/>
        <v/>
      </c>
      <c r="G81" s="2" t="s">
        <v>2937</v>
      </c>
      <c r="H81" s="2" t="s">
        <v>1082</v>
      </c>
      <c r="I81" s="2" t="s">
        <v>1013</v>
      </c>
      <c r="J81" s="2" t="s">
        <v>3044</v>
      </c>
      <c r="K81" s="2" t="s">
        <v>3045</v>
      </c>
      <c r="L81" s="2" t="s">
        <v>1081</v>
      </c>
    </row>
    <row r="82" ht="25" hidden="1" customHeight="1" spans="1:12">
      <c r="A82" s="2" t="s">
        <v>231</v>
      </c>
      <c r="B82" s="2" t="s">
        <v>229</v>
      </c>
      <c r="C82" s="2" t="s">
        <v>2916</v>
      </c>
      <c r="D82" s="3">
        <f>IF(ISNUMBER('Sheet4-原始数据'!G32),'Sheet4-原始数据'!G32,"")</f>
        <v>0.109031152301643</v>
      </c>
      <c r="E82" s="3">
        <f>IF(ISNUMBER(补数计算!L62),补数计算!L62,"")</f>
        <v>0.109031152301643</v>
      </c>
      <c r="F82" s="3">
        <f t="shared" si="3"/>
        <v>0</v>
      </c>
      <c r="G82" s="2" t="s">
        <v>2917</v>
      </c>
      <c r="H82" s="2" t="s">
        <v>2918</v>
      </c>
      <c r="I82" s="2" t="s">
        <v>804</v>
      </c>
      <c r="J82" s="2" t="s">
        <v>1125</v>
      </c>
      <c r="K82" s="2" t="s">
        <v>3046</v>
      </c>
      <c r="L82" s="2" t="s">
        <v>1077</v>
      </c>
    </row>
    <row r="83" ht="25" hidden="1" customHeight="1" spans="1:12">
      <c r="A83" s="2" t="s">
        <v>231</v>
      </c>
      <c r="B83" s="2" t="s">
        <v>229</v>
      </c>
      <c r="C83" s="2" t="s">
        <v>2919</v>
      </c>
      <c r="D83" s="3">
        <f>IF(ISNUMBER('Sheet4-原始数据'!H32),'Sheet4-原始数据'!H32,"")</f>
        <v>0.0803812845919136</v>
      </c>
      <c r="E83" s="3">
        <f>IF(ISNUMBER(补数计算!L63),补数计算!L63,"")</f>
        <v>0.0803812845919136</v>
      </c>
      <c r="F83" s="3">
        <f t="shared" si="3"/>
        <v>0</v>
      </c>
      <c r="G83" s="2" t="s">
        <v>2917</v>
      </c>
      <c r="H83" s="2" t="s">
        <v>2918</v>
      </c>
      <c r="I83" s="2" t="s">
        <v>804</v>
      </c>
      <c r="J83" s="2" t="s">
        <v>1126</v>
      </c>
      <c r="K83" s="2" t="s">
        <v>3047</v>
      </c>
      <c r="L83" s="2" t="s">
        <v>1079</v>
      </c>
    </row>
    <row r="84" ht="25" hidden="1" customHeight="1" spans="1:12">
      <c r="A84" s="2" t="s">
        <v>231</v>
      </c>
      <c r="B84" s="2" t="s">
        <v>229</v>
      </c>
      <c r="C84" s="2" t="s">
        <v>691</v>
      </c>
      <c r="D84" s="3" t="str">
        <f>IF(ISNUMBER('Sheet4-原始数据'!I32),'Sheet4-原始数据'!I32,"")</f>
        <v/>
      </c>
      <c r="E84" s="3" t="str">
        <f>""</f>
        <v/>
      </c>
      <c r="F84" s="3" t="str">
        <f t="shared" si="3"/>
        <v/>
      </c>
      <c r="G84" s="2" t="s">
        <v>2937</v>
      </c>
      <c r="H84" s="2" t="s">
        <v>1025</v>
      </c>
      <c r="I84" s="2" t="s">
        <v>804</v>
      </c>
      <c r="J84" s="2" t="s">
        <v>3048</v>
      </c>
      <c r="K84" s="2" t="s">
        <v>3049</v>
      </c>
      <c r="L84" s="2" t="s">
        <v>1079</v>
      </c>
    </row>
    <row r="85" ht="25" hidden="1" customHeight="1" spans="1:12">
      <c r="A85" s="2" t="s">
        <v>231</v>
      </c>
      <c r="B85" s="2" t="s">
        <v>229</v>
      </c>
      <c r="C85" s="2" t="s">
        <v>690</v>
      </c>
      <c r="D85" s="3" t="str">
        <f>IF(ISNUMBER('Sheet4-原始数据'!J32),'Sheet4-原始数据'!J32,"")</f>
        <v/>
      </c>
      <c r="E85" s="3" t="str">
        <f>""</f>
        <v/>
      </c>
      <c r="F85" s="3" t="str">
        <f t="shared" si="3"/>
        <v/>
      </c>
      <c r="G85" s="2" t="s">
        <v>2937</v>
      </c>
      <c r="H85" s="2" t="s">
        <v>1025</v>
      </c>
      <c r="I85" s="2" t="s">
        <v>804</v>
      </c>
      <c r="J85" s="2" t="s">
        <v>3050</v>
      </c>
      <c r="K85" s="2" t="s">
        <v>3051</v>
      </c>
      <c r="L85" s="2" t="s">
        <v>1077</v>
      </c>
    </row>
    <row r="86" ht="25" hidden="1" customHeight="1" spans="1:12">
      <c r="A86" s="2" t="s">
        <v>231</v>
      </c>
      <c r="B86" s="2" t="s">
        <v>229</v>
      </c>
      <c r="C86" s="2" t="s">
        <v>2923</v>
      </c>
      <c r="D86" s="3">
        <f>IF(ISNUMBER('Sheet4-原始数据'!K32),'Sheet4-原始数据'!K32,"")</f>
        <v>0.00826733361122689</v>
      </c>
      <c r="E86" s="3">
        <f>IF(ISNUMBER(补数计算!M63),补数计算!M63,"")</f>
        <v>0.00826733361122689</v>
      </c>
      <c r="F86" s="3">
        <f t="shared" si="3"/>
        <v>0</v>
      </c>
      <c r="G86" s="2" t="s">
        <v>2917</v>
      </c>
      <c r="H86" s="2" t="s">
        <v>2918</v>
      </c>
      <c r="I86" s="2" t="s">
        <v>804</v>
      </c>
      <c r="J86" s="2" t="s">
        <v>1127</v>
      </c>
      <c r="K86" s="2" t="s">
        <v>3052</v>
      </c>
      <c r="L86" s="2" t="s">
        <v>1079</v>
      </c>
    </row>
    <row r="87" ht="25" hidden="1" customHeight="1" spans="1:12">
      <c r="A87" s="2" t="s">
        <v>231</v>
      </c>
      <c r="B87" s="2" t="s">
        <v>229</v>
      </c>
      <c r="C87" s="2" t="s">
        <v>2925</v>
      </c>
      <c r="D87" s="3">
        <f>IF(ISNUMBER('Sheet4-原始数据'!L32),'Sheet4-原始数据'!L32,"")</f>
        <v>9.72275807072274</v>
      </c>
      <c r="E87" s="3">
        <f>IF(ISNUMBER(补数计算!N63),补数计算!N63,"")</f>
        <v>9.72275807072274</v>
      </c>
      <c r="F87" s="3">
        <f t="shared" si="3"/>
        <v>0</v>
      </c>
      <c r="G87" s="2" t="s">
        <v>2917</v>
      </c>
      <c r="H87" s="2" t="s">
        <v>2918</v>
      </c>
      <c r="I87" s="2" t="s">
        <v>804</v>
      </c>
      <c r="J87" s="2" t="s">
        <v>1128</v>
      </c>
      <c r="K87" s="2" t="s">
        <v>3053</v>
      </c>
      <c r="L87" s="2" t="s">
        <v>1079</v>
      </c>
    </row>
    <row r="88" ht="25" hidden="1" customHeight="1" spans="1:12">
      <c r="A88" s="2" t="s">
        <v>231</v>
      </c>
      <c r="B88" s="2" t="s">
        <v>229</v>
      </c>
      <c r="C88" s="2" t="s">
        <v>2927</v>
      </c>
      <c r="D88" s="3">
        <f>IF(ISNUMBER('Sheet4-原始数据'!M32),'Sheet4-原始数据'!M32,"")</f>
        <v>13.1881882876458</v>
      </c>
      <c r="E88" s="3">
        <f>IF(ISNUMBER(补数计算!N62),补数计算!N62,"")</f>
        <v>13.1881882876458</v>
      </c>
      <c r="F88" s="3">
        <f t="shared" si="3"/>
        <v>0</v>
      </c>
      <c r="G88" s="2" t="s">
        <v>2917</v>
      </c>
      <c r="H88" s="2" t="s">
        <v>2918</v>
      </c>
      <c r="I88" s="2" t="s">
        <v>804</v>
      </c>
      <c r="J88" s="2" t="s">
        <v>1129</v>
      </c>
      <c r="K88" s="2" t="s">
        <v>3054</v>
      </c>
      <c r="L88" s="2" t="s">
        <v>1077</v>
      </c>
    </row>
    <row r="89" ht="25" hidden="1" customHeight="1" spans="1:12">
      <c r="A89" s="2" t="s">
        <v>231</v>
      </c>
      <c r="B89" s="2" t="s">
        <v>229</v>
      </c>
      <c r="C89" s="2" t="s">
        <v>14</v>
      </c>
      <c r="D89" s="3">
        <f>IF(ISNUMBER('Sheet4-原始数据'!S32),'Sheet4-原始数据'!S32,"")</f>
        <v>0.0898549556576955</v>
      </c>
      <c r="E89" s="3">
        <f>IF(ISNUMBER(补数计算!L64),补数计算!L64,"")</f>
        <v>0.0898549556576955</v>
      </c>
      <c r="F89" s="3">
        <f t="shared" si="3"/>
        <v>0</v>
      </c>
      <c r="G89" s="2" t="s">
        <v>2917</v>
      </c>
      <c r="H89" s="2" t="s">
        <v>2918</v>
      </c>
      <c r="I89" s="2" t="s">
        <v>804</v>
      </c>
      <c r="J89" s="2" t="s">
        <v>1130</v>
      </c>
      <c r="K89" s="2" t="s">
        <v>3055</v>
      </c>
      <c r="L89" s="2" t="s">
        <v>1081</v>
      </c>
    </row>
    <row r="90" ht="25" hidden="1" customHeight="1" spans="1:12">
      <c r="A90" s="2" t="s">
        <v>238</v>
      </c>
      <c r="B90" s="2" t="s">
        <v>235</v>
      </c>
      <c r="C90" s="2" t="s">
        <v>2916</v>
      </c>
      <c r="D90" s="3" t="str">
        <f>IF(ISNUMBER('Sheet4-原始数据'!G33),'Sheet4-原始数据'!G33,"")</f>
        <v/>
      </c>
      <c r="E90" s="3" t="str">
        <f t="shared" ref="E90:E97" si="4">""</f>
        <v/>
      </c>
      <c r="F90" s="3" t="str">
        <f t="shared" si="3"/>
        <v/>
      </c>
      <c r="G90" s="2" t="s">
        <v>2937</v>
      </c>
      <c r="H90" s="2" t="s">
        <v>1080</v>
      </c>
      <c r="I90" s="2" t="s">
        <v>805</v>
      </c>
      <c r="J90" s="2" t="s">
        <v>3056</v>
      </c>
      <c r="K90" s="2" t="s">
        <v>1140</v>
      </c>
      <c r="L90" s="2" t="s">
        <v>1077</v>
      </c>
    </row>
    <row r="91" ht="25" hidden="1" customHeight="1" spans="1:12">
      <c r="A91" s="2" t="s">
        <v>238</v>
      </c>
      <c r="B91" s="2" t="s">
        <v>235</v>
      </c>
      <c r="C91" s="2" t="s">
        <v>2919</v>
      </c>
      <c r="D91" s="3" t="str">
        <f>IF(ISNUMBER('Sheet4-原始数据'!H33),'Sheet4-原始数据'!H33,"")</f>
        <v/>
      </c>
      <c r="E91" s="3" t="str">
        <f t="shared" si="4"/>
        <v/>
      </c>
      <c r="F91" s="3" t="str">
        <f t="shared" si="3"/>
        <v/>
      </c>
      <c r="G91" s="2" t="s">
        <v>2937</v>
      </c>
      <c r="H91" s="2" t="s">
        <v>1080</v>
      </c>
      <c r="I91" s="2" t="s">
        <v>805</v>
      </c>
      <c r="J91" s="2" t="s">
        <v>3057</v>
      </c>
      <c r="K91" s="2" t="s">
        <v>3058</v>
      </c>
      <c r="L91" s="2" t="s">
        <v>1079</v>
      </c>
    </row>
    <row r="92" ht="25" hidden="1" customHeight="1" spans="1:12">
      <c r="A92" s="2" t="s">
        <v>238</v>
      </c>
      <c r="B92" s="2" t="s">
        <v>235</v>
      </c>
      <c r="C92" s="2" t="s">
        <v>691</v>
      </c>
      <c r="D92" s="3" t="str">
        <f>IF(ISNUMBER('Sheet4-原始数据'!I33),'Sheet4-原始数据'!I33,"")</f>
        <v/>
      </c>
      <c r="E92" s="3" t="str">
        <f t="shared" si="4"/>
        <v/>
      </c>
      <c r="F92" s="3" t="str">
        <f t="shared" si="3"/>
        <v/>
      </c>
      <c r="G92" s="2" t="s">
        <v>2937</v>
      </c>
      <c r="H92" s="2" t="s">
        <v>1080</v>
      </c>
      <c r="I92" s="2" t="s">
        <v>805</v>
      </c>
      <c r="J92" s="2" t="s">
        <v>3059</v>
      </c>
      <c r="K92" s="2" t="s">
        <v>3060</v>
      </c>
      <c r="L92" s="2" t="s">
        <v>1079</v>
      </c>
    </row>
    <row r="93" ht="25" hidden="1" customHeight="1" spans="1:12">
      <c r="A93" s="2" t="s">
        <v>238</v>
      </c>
      <c r="B93" s="2" t="s">
        <v>235</v>
      </c>
      <c r="C93" s="2" t="s">
        <v>690</v>
      </c>
      <c r="D93" s="3" t="str">
        <f>IF(ISNUMBER('Sheet4-原始数据'!J33),'Sheet4-原始数据'!J33,"")</f>
        <v/>
      </c>
      <c r="E93" s="3" t="str">
        <f t="shared" si="4"/>
        <v/>
      </c>
      <c r="F93" s="3" t="str">
        <f t="shared" si="3"/>
        <v/>
      </c>
      <c r="G93" s="2" t="s">
        <v>2937</v>
      </c>
      <c r="H93" s="2" t="s">
        <v>1080</v>
      </c>
      <c r="I93" s="2" t="s">
        <v>805</v>
      </c>
      <c r="J93" s="2" t="s">
        <v>3061</v>
      </c>
      <c r="K93" s="2" t="s">
        <v>3062</v>
      </c>
      <c r="L93" s="2" t="s">
        <v>1077</v>
      </c>
    </row>
    <row r="94" ht="25" hidden="1" customHeight="1" spans="1:12">
      <c r="A94" s="2" t="s">
        <v>238</v>
      </c>
      <c r="B94" s="2" t="s">
        <v>235</v>
      </c>
      <c r="C94" s="2" t="s">
        <v>2923</v>
      </c>
      <c r="D94" s="3" t="str">
        <f>IF(ISNUMBER('Sheet4-原始数据'!K33),'Sheet4-原始数据'!K33,"")</f>
        <v/>
      </c>
      <c r="E94" s="3" t="str">
        <f t="shared" si="4"/>
        <v/>
      </c>
      <c r="F94" s="3" t="str">
        <f t="shared" si="3"/>
        <v/>
      </c>
      <c r="G94" s="2" t="s">
        <v>2937</v>
      </c>
      <c r="H94" s="2" t="s">
        <v>1080</v>
      </c>
      <c r="I94" s="2" t="s">
        <v>805</v>
      </c>
      <c r="J94" s="2" t="s">
        <v>3063</v>
      </c>
      <c r="K94" s="2" t="s">
        <v>3064</v>
      </c>
      <c r="L94" s="2" t="s">
        <v>1079</v>
      </c>
    </row>
    <row r="95" ht="25" hidden="1" customHeight="1" spans="1:12">
      <c r="A95" s="2" t="s">
        <v>238</v>
      </c>
      <c r="B95" s="2" t="s">
        <v>235</v>
      </c>
      <c r="C95" s="2" t="s">
        <v>2925</v>
      </c>
      <c r="D95" s="3" t="str">
        <f>IF(ISNUMBER('Sheet4-原始数据'!L33),'Sheet4-原始数据'!L33,"")</f>
        <v/>
      </c>
      <c r="E95" s="3" t="str">
        <f t="shared" si="4"/>
        <v/>
      </c>
      <c r="F95" s="3" t="str">
        <f t="shared" si="3"/>
        <v/>
      </c>
      <c r="G95" s="2" t="s">
        <v>2937</v>
      </c>
      <c r="H95" s="2" t="s">
        <v>1080</v>
      </c>
      <c r="I95" s="2" t="s">
        <v>805</v>
      </c>
      <c r="J95" s="2" t="s">
        <v>2920</v>
      </c>
      <c r="K95" s="2" t="s">
        <v>3065</v>
      </c>
      <c r="L95" s="2" t="s">
        <v>1079</v>
      </c>
    </row>
    <row r="96" ht="25" hidden="1" customHeight="1" spans="1:12">
      <c r="A96" s="2" t="s">
        <v>238</v>
      </c>
      <c r="B96" s="2" t="s">
        <v>235</v>
      </c>
      <c r="C96" s="2" t="s">
        <v>2927</v>
      </c>
      <c r="D96" s="3" t="str">
        <f>IF(ISNUMBER('Sheet4-原始数据'!M33),'Sheet4-原始数据'!M33,"")</f>
        <v/>
      </c>
      <c r="E96" s="3" t="str">
        <f t="shared" si="4"/>
        <v/>
      </c>
      <c r="F96" s="3" t="str">
        <f t="shared" si="3"/>
        <v/>
      </c>
      <c r="G96" s="2" t="s">
        <v>2937</v>
      </c>
      <c r="H96" s="2" t="s">
        <v>1080</v>
      </c>
      <c r="I96" s="2" t="s">
        <v>805</v>
      </c>
      <c r="J96" s="2" t="s">
        <v>2924</v>
      </c>
      <c r="K96" s="2" t="s">
        <v>3066</v>
      </c>
      <c r="L96" s="2" t="s">
        <v>1077</v>
      </c>
    </row>
    <row r="97" ht="25" hidden="1" customHeight="1" spans="1:12">
      <c r="A97" s="2" t="s">
        <v>238</v>
      </c>
      <c r="B97" s="2" t="s">
        <v>235</v>
      </c>
      <c r="C97" s="2" t="s">
        <v>14</v>
      </c>
      <c r="D97" s="4">
        <f>IF(ISNUMBER('Sheet4-原始数据'!S33),'Sheet4-原始数据'!S33,"")</f>
        <v>0.137766765771663</v>
      </c>
      <c r="E97" s="4" t="str">
        <f t="shared" si="4"/>
        <v/>
      </c>
      <c r="F97" s="4" t="str">
        <f t="shared" si="3"/>
        <v/>
      </c>
      <c r="G97" s="5" t="s">
        <v>2967</v>
      </c>
      <c r="H97" s="5" t="s">
        <v>2968</v>
      </c>
      <c r="I97" s="2" t="s">
        <v>805</v>
      </c>
      <c r="J97" s="2" t="s">
        <v>1131</v>
      </c>
      <c r="K97" s="2" t="s">
        <v>3067</v>
      </c>
      <c r="L97" s="2" t="s">
        <v>1081</v>
      </c>
    </row>
    <row r="98" ht="25" hidden="1" customHeight="1" spans="1:12">
      <c r="A98" s="2" t="s">
        <v>244</v>
      </c>
      <c r="B98" s="2" t="s">
        <v>243</v>
      </c>
      <c r="C98" s="2" t="s">
        <v>2916</v>
      </c>
      <c r="D98" s="3">
        <f>IF(ISNUMBER('Sheet4-原始数据'!G34),'Sheet4-原始数据'!G34,"")</f>
        <v>-0.0482785647879772</v>
      </c>
      <c r="E98" s="3">
        <f>IF(ISNUMBER(补数计算!L56),补数计算!L56,"")</f>
        <v>-0.0482785647879772</v>
      </c>
      <c r="F98" s="3">
        <f t="shared" si="3"/>
        <v>0</v>
      </c>
      <c r="G98" s="2" t="s">
        <v>2917</v>
      </c>
      <c r="H98" s="2" t="s">
        <v>2918</v>
      </c>
      <c r="I98" s="2" t="s">
        <v>806</v>
      </c>
      <c r="J98" s="2" t="s">
        <v>1132</v>
      </c>
      <c r="K98" s="2" t="s">
        <v>3068</v>
      </c>
      <c r="L98" s="2" t="s">
        <v>1077</v>
      </c>
    </row>
    <row r="99" ht="25" hidden="1" customHeight="1" spans="1:12">
      <c r="A99" s="2" t="s">
        <v>244</v>
      </c>
      <c r="B99" s="2" t="s">
        <v>243</v>
      </c>
      <c r="C99" s="2" t="s">
        <v>2919</v>
      </c>
      <c r="D99" s="3" t="str">
        <f>IF(ISNUMBER('Sheet4-原始数据'!H34),'Sheet4-原始数据'!H34,"")</f>
        <v/>
      </c>
      <c r="E99" s="3" t="str">
        <f>""</f>
        <v/>
      </c>
      <c r="F99" s="3" t="str">
        <f t="shared" si="3"/>
        <v/>
      </c>
      <c r="G99" s="2" t="s">
        <v>2937</v>
      </c>
      <c r="H99" s="2" t="s">
        <v>1080</v>
      </c>
      <c r="I99" s="2" t="s">
        <v>806</v>
      </c>
      <c r="J99" s="2" t="s">
        <v>3069</v>
      </c>
      <c r="K99" s="2" t="s">
        <v>1160</v>
      </c>
      <c r="L99" s="2" t="s">
        <v>1079</v>
      </c>
    </row>
    <row r="100" ht="25" hidden="1" customHeight="1" spans="1:12">
      <c r="A100" s="2" t="s">
        <v>244</v>
      </c>
      <c r="B100" s="2" t="s">
        <v>243</v>
      </c>
      <c r="C100" s="2" t="s">
        <v>691</v>
      </c>
      <c r="D100" s="3" t="str">
        <f>IF(ISNUMBER('Sheet4-原始数据'!I34),'Sheet4-原始数据'!I34,"")</f>
        <v/>
      </c>
      <c r="E100" s="3" t="str">
        <f>""</f>
        <v/>
      </c>
      <c r="F100" s="3" t="str">
        <f t="shared" si="3"/>
        <v/>
      </c>
      <c r="G100" s="2" t="s">
        <v>2937</v>
      </c>
      <c r="H100" s="2" t="s">
        <v>1080</v>
      </c>
      <c r="I100" s="2" t="s">
        <v>806</v>
      </c>
      <c r="J100" s="2" t="s">
        <v>3070</v>
      </c>
      <c r="K100" s="2" t="s">
        <v>3071</v>
      </c>
      <c r="L100" s="2" t="s">
        <v>1079</v>
      </c>
    </row>
    <row r="101" ht="25" hidden="1" customHeight="1" spans="1:12">
      <c r="A101" s="2" t="s">
        <v>244</v>
      </c>
      <c r="B101" s="2" t="s">
        <v>243</v>
      </c>
      <c r="C101" s="2" t="s">
        <v>690</v>
      </c>
      <c r="D101" s="3">
        <f>IF(ISNUMBER('Sheet4-原始数据'!J34),'Sheet4-原始数据'!J34,"")</f>
        <v>0.538461538461538</v>
      </c>
      <c r="E101" s="3">
        <f>IF(ISNUMBER(补数计算!O56),补数计算!O56,"")</f>
        <v>0.538461538461538</v>
      </c>
      <c r="F101" s="3">
        <f t="shared" si="3"/>
        <v>0</v>
      </c>
      <c r="G101" s="2" t="s">
        <v>2917</v>
      </c>
      <c r="H101" s="2" t="s">
        <v>2918</v>
      </c>
      <c r="I101" s="2" t="s">
        <v>806</v>
      </c>
      <c r="J101" s="2" t="s">
        <v>1133</v>
      </c>
      <c r="K101" s="2" t="s">
        <v>3072</v>
      </c>
      <c r="L101" s="2" t="s">
        <v>1077</v>
      </c>
    </row>
    <row r="102" ht="25" hidden="1" customHeight="1" spans="1:12">
      <c r="A102" s="2" t="s">
        <v>244</v>
      </c>
      <c r="B102" s="2" t="s">
        <v>243</v>
      </c>
      <c r="C102" s="2" t="s">
        <v>2923</v>
      </c>
      <c r="D102" s="3" t="str">
        <f>IF(ISNUMBER('Sheet4-原始数据'!K34),'Sheet4-原始数据'!K34,"")</f>
        <v/>
      </c>
      <c r="E102" s="3" t="str">
        <f>""</f>
        <v/>
      </c>
      <c r="F102" s="3" t="str">
        <f t="shared" si="3"/>
        <v/>
      </c>
      <c r="G102" s="2" t="s">
        <v>2937</v>
      </c>
      <c r="H102" s="2" t="s">
        <v>1080</v>
      </c>
      <c r="I102" s="2" t="s">
        <v>806</v>
      </c>
      <c r="J102" s="2" t="s">
        <v>3073</v>
      </c>
      <c r="K102" s="2" t="s">
        <v>1161</v>
      </c>
      <c r="L102" s="2" t="s">
        <v>1079</v>
      </c>
    </row>
    <row r="103" ht="25" hidden="1" customHeight="1" spans="1:12">
      <c r="A103" s="2" t="s">
        <v>244</v>
      </c>
      <c r="B103" s="2" t="s">
        <v>243</v>
      </c>
      <c r="C103" s="2" t="s">
        <v>2925</v>
      </c>
      <c r="D103" s="3" t="str">
        <f>IF(ISNUMBER('Sheet4-原始数据'!L34),'Sheet4-原始数据'!L34,"")</f>
        <v/>
      </c>
      <c r="E103" s="3" t="str">
        <f>""</f>
        <v/>
      </c>
      <c r="F103" s="3" t="str">
        <f t="shared" si="3"/>
        <v/>
      </c>
      <c r="G103" s="2" t="s">
        <v>2937</v>
      </c>
      <c r="H103" s="2" t="s">
        <v>1080</v>
      </c>
      <c r="I103" s="2" t="s">
        <v>806</v>
      </c>
      <c r="J103" s="2" t="s">
        <v>2929</v>
      </c>
      <c r="K103" s="2" t="s">
        <v>3074</v>
      </c>
      <c r="L103" s="2" t="s">
        <v>1079</v>
      </c>
    </row>
    <row r="104" ht="25" hidden="1" customHeight="1" spans="1:12">
      <c r="A104" s="2" t="s">
        <v>244</v>
      </c>
      <c r="B104" s="2" t="s">
        <v>243</v>
      </c>
      <c r="C104" s="2" t="s">
        <v>2927</v>
      </c>
      <c r="D104" s="3">
        <f>IF(ISNUMBER('Sheet4-原始数据'!M34),'Sheet4-原始数据'!M34,"")</f>
        <v>-0.395526882367967</v>
      </c>
      <c r="E104" s="3">
        <f>IF(ISNUMBER(补数计算!N56),补数计算!N56,"")</f>
        <v>-0.395526882367967</v>
      </c>
      <c r="F104" s="3">
        <f t="shared" si="3"/>
        <v>0</v>
      </c>
      <c r="G104" s="2" t="s">
        <v>2917</v>
      </c>
      <c r="H104" s="2" t="s">
        <v>2918</v>
      </c>
      <c r="I104" s="2" t="s">
        <v>806</v>
      </c>
      <c r="J104" s="2" t="s">
        <v>1134</v>
      </c>
      <c r="K104" s="2" t="s">
        <v>3075</v>
      </c>
      <c r="L104" s="2" t="s">
        <v>1077</v>
      </c>
    </row>
    <row r="105" ht="25" hidden="1" customHeight="1" spans="1:12">
      <c r="A105" s="2" t="s">
        <v>244</v>
      </c>
      <c r="B105" s="2" t="s">
        <v>243</v>
      </c>
      <c r="C105" s="2" t="s">
        <v>14</v>
      </c>
      <c r="D105" s="3" t="str">
        <f>IF(ISNUMBER('Sheet4-原始数据'!S34),'Sheet4-原始数据'!S34,"")</f>
        <v/>
      </c>
      <c r="E105" s="3" t="str">
        <f>""</f>
        <v/>
      </c>
      <c r="F105" s="3" t="str">
        <f t="shared" si="3"/>
        <v/>
      </c>
      <c r="G105" s="2" t="s">
        <v>2937</v>
      </c>
      <c r="H105" s="2" t="s">
        <v>1082</v>
      </c>
      <c r="I105" s="2" t="s">
        <v>806</v>
      </c>
      <c r="J105" s="2" t="s">
        <v>3076</v>
      </c>
      <c r="K105" s="2" t="s">
        <v>3077</v>
      </c>
      <c r="L105" s="2" t="s">
        <v>1081</v>
      </c>
    </row>
    <row r="106" ht="25" hidden="1" customHeight="1" spans="1:12">
      <c r="A106" s="2" t="s">
        <v>249</v>
      </c>
      <c r="B106" s="2" t="s">
        <v>248</v>
      </c>
      <c r="C106" s="2" t="s">
        <v>2916</v>
      </c>
      <c r="D106" s="3">
        <f>IF(ISNUMBER('Sheet4-原始数据'!G35),'Sheet4-原始数据'!G35,"")</f>
        <v>0.0648994493369395</v>
      </c>
      <c r="E106" s="3">
        <f>IF(ISNUMBER(补数计算!L53),补数计算!L53,"")</f>
        <v>0.0648994493369395</v>
      </c>
      <c r="F106" s="3">
        <f t="shared" si="3"/>
        <v>0</v>
      </c>
      <c r="G106" s="2" t="s">
        <v>2917</v>
      </c>
      <c r="H106" s="2" t="s">
        <v>2918</v>
      </c>
      <c r="I106" s="2" t="s">
        <v>807</v>
      </c>
      <c r="J106" s="2" t="s">
        <v>1135</v>
      </c>
      <c r="K106" s="2" t="s">
        <v>3078</v>
      </c>
      <c r="L106" s="2" t="s">
        <v>1077</v>
      </c>
    </row>
    <row r="107" ht="25" hidden="1" customHeight="1" spans="1:12">
      <c r="A107" s="2" t="s">
        <v>249</v>
      </c>
      <c r="B107" s="2" t="s">
        <v>248</v>
      </c>
      <c r="C107" s="2" t="s">
        <v>2919</v>
      </c>
      <c r="D107" s="3">
        <f>IF(ISNUMBER('Sheet4-原始数据'!H35),'Sheet4-原始数据'!H35,"")</f>
        <v>0.0854840487275965</v>
      </c>
      <c r="E107" s="3">
        <f>IF(ISNUMBER(补数计算!L54),补数计算!L54,"")</f>
        <v>0.0854840487275965</v>
      </c>
      <c r="F107" s="3">
        <f t="shared" si="3"/>
        <v>0</v>
      </c>
      <c r="G107" s="2" t="s">
        <v>2917</v>
      </c>
      <c r="H107" s="2" t="s">
        <v>2918</v>
      </c>
      <c r="I107" s="2" t="s">
        <v>807</v>
      </c>
      <c r="J107" s="2" t="s">
        <v>1136</v>
      </c>
      <c r="K107" s="2" t="s">
        <v>3079</v>
      </c>
      <c r="L107" s="2" t="s">
        <v>1079</v>
      </c>
    </row>
    <row r="108" ht="25" hidden="1" customHeight="1" spans="1:12">
      <c r="A108" s="2" t="s">
        <v>249</v>
      </c>
      <c r="B108" s="2" t="s">
        <v>248</v>
      </c>
      <c r="C108" s="2" t="s">
        <v>691</v>
      </c>
      <c r="D108" s="3">
        <f>IF(ISNUMBER('Sheet4-原始数据'!I35),'Sheet4-原始数据'!I35,"")</f>
        <v>0.918918918918919</v>
      </c>
      <c r="E108" s="3">
        <f>IF(ISNUMBER(补数计算!O54),补数计算!O54,"")</f>
        <v>0.918918918918919</v>
      </c>
      <c r="F108" s="3">
        <f t="shared" si="3"/>
        <v>0</v>
      </c>
      <c r="G108" s="2" t="s">
        <v>2917</v>
      </c>
      <c r="H108" s="2" t="s">
        <v>2918</v>
      </c>
      <c r="I108" s="2" t="s">
        <v>807</v>
      </c>
      <c r="J108" s="2" t="s">
        <v>1137</v>
      </c>
      <c r="K108" s="2" t="s">
        <v>3080</v>
      </c>
      <c r="L108" s="2" t="s">
        <v>1079</v>
      </c>
    </row>
    <row r="109" ht="25" hidden="1" customHeight="1" spans="1:12">
      <c r="A109" s="2" t="s">
        <v>249</v>
      </c>
      <c r="B109" s="2" t="s">
        <v>248</v>
      </c>
      <c r="C109" s="2" t="s">
        <v>690</v>
      </c>
      <c r="D109" s="3">
        <f>IF(ISNUMBER('Sheet4-原始数据'!J35),'Sheet4-原始数据'!J35,"")</f>
        <v>1</v>
      </c>
      <c r="E109" s="3">
        <f>IF(ISNUMBER(补数计算!O53),补数计算!O53,"")</f>
        <v>1</v>
      </c>
      <c r="F109" s="3">
        <f t="shared" si="3"/>
        <v>0</v>
      </c>
      <c r="G109" s="2" t="s">
        <v>2917</v>
      </c>
      <c r="H109" s="2" t="s">
        <v>2918</v>
      </c>
      <c r="I109" s="2" t="s">
        <v>807</v>
      </c>
      <c r="J109" s="2" t="s">
        <v>1138</v>
      </c>
      <c r="K109" s="2" t="s">
        <v>3081</v>
      </c>
      <c r="L109" s="2" t="s">
        <v>1077</v>
      </c>
    </row>
    <row r="110" ht="25" hidden="1" customHeight="1" spans="1:12">
      <c r="A110" s="2" t="s">
        <v>249</v>
      </c>
      <c r="B110" s="2" t="s">
        <v>248</v>
      </c>
      <c r="C110" s="2" t="s">
        <v>2923</v>
      </c>
      <c r="D110" s="3">
        <f>IF(ISNUMBER('Sheet4-原始数据'!K35),'Sheet4-原始数据'!K35,"")</f>
        <v>0.003369637162284</v>
      </c>
      <c r="E110" s="3">
        <f>IF(ISNUMBER(补数计算!M54),补数计算!M54,"")</f>
        <v>0.003369637162284</v>
      </c>
      <c r="F110" s="3">
        <f t="shared" si="3"/>
        <v>0</v>
      </c>
      <c r="G110" s="2" t="s">
        <v>2917</v>
      </c>
      <c r="H110" s="2" t="s">
        <v>2918</v>
      </c>
      <c r="I110" s="2" t="s">
        <v>807</v>
      </c>
      <c r="J110" s="2" t="s">
        <v>1139</v>
      </c>
      <c r="K110" s="2" t="s">
        <v>3082</v>
      </c>
      <c r="L110" s="2" t="s">
        <v>1079</v>
      </c>
    </row>
    <row r="111" ht="25" hidden="1" customHeight="1" spans="1:12">
      <c r="A111" s="2" t="s">
        <v>249</v>
      </c>
      <c r="B111" s="2" t="s">
        <v>248</v>
      </c>
      <c r="C111" s="2" t="s">
        <v>2925</v>
      </c>
      <c r="D111" s="3">
        <f>IF(ISNUMBER('Sheet4-原始数据'!L35),'Sheet4-原始数据'!L35,"")</f>
        <v>25.3689179607854</v>
      </c>
      <c r="E111" s="3">
        <f>IF(ISNUMBER(补数计算!N54),补数计算!N54,"")</f>
        <v>25.3689179607854</v>
      </c>
      <c r="F111" s="3">
        <f t="shared" si="3"/>
        <v>0</v>
      </c>
      <c r="G111" s="2" t="s">
        <v>2917</v>
      </c>
      <c r="H111" s="2" t="s">
        <v>2918</v>
      </c>
      <c r="I111" s="2" t="s">
        <v>807</v>
      </c>
      <c r="J111" s="2" t="s">
        <v>1140</v>
      </c>
      <c r="K111" s="2" t="s">
        <v>3083</v>
      </c>
      <c r="L111" s="2" t="s">
        <v>1079</v>
      </c>
    </row>
    <row r="112" ht="25" hidden="1" customHeight="1" spans="1:12">
      <c r="A112" s="2" t="s">
        <v>249</v>
      </c>
      <c r="B112" s="2" t="s">
        <v>248</v>
      </c>
      <c r="C112" s="2" t="s">
        <v>2927</v>
      </c>
      <c r="D112" s="3">
        <f>IF(ISNUMBER('Sheet4-原始数据'!M35),'Sheet4-原始数据'!M35,"")</f>
        <v>43.8279888397176</v>
      </c>
      <c r="E112" s="3">
        <f>IF(ISNUMBER(补数计算!N53),补数计算!N53,"")</f>
        <v>43.8279888397176</v>
      </c>
      <c r="F112" s="3">
        <f t="shared" si="3"/>
        <v>0</v>
      </c>
      <c r="G112" s="2" t="s">
        <v>2917</v>
      </c>
      <c r="H112" s="2" t="s">
        <v>2918</v>
      </c>
      <c r="I112" s="2" t="s">
        <v>807</v>
      </c>
      <c r="J112" s="2" t="s">
        <v>1141</v>
      </c>
      <c r="K112" s="2" t="s">
        <v>3084</v>
      </c>
      <c r="L112" s="2" t="s">
        <v>1077</v>
      </c>
    </row>
    <row r="113" ht="25" hidden="1" customHeight="1" spans="1:12">
      <c r="A113" s="2" t="s">
        <v>249</v>
      </c>
      <c r="B113" s="2" t="s">
        <v>248</v>
      </c>
      <c r="C113" s="2" t="s">
        <v>14</v>
      </c>
      <c r="D113" s="3">
        <f>IF(ISNUMBER('Sheet4-原始数据'!S35),'Sheet4-原始数据'!S35,"")</f>
        <v>0.128288174778181</v>
      </c>
      <c r="E113" s="3">
        <f>IF(ISNUMBER(补数计算!L55),补数计算!L55,"")</f>
        <v>0.128288174778181</v>
      </c>
      <c r="F113" s="3">
        <f t="shared" si="3"/>
        <v>0</v>
      </c>
      <c r="G113" s="2" t="s">
        <v>2917</v>
      </c>
      <c r="H113" s="2" t="s">
        <v>2918</v>
      </c>
      <c r="I113" s="2" t="s">
        <v>807</v>
      </c>
      <c r="J113" s="2" t="s">
        <v>1142</v>
      </c>
      <c r="K113" s="2" t="s">
        <v>3085</v>
      </c>
      <c r="L113" s="2" t="s">
        <v>1081</v>
      </c>
    </row>
    <row r="114" ht="25" customHeight="1" spans="1:12">
      <c r="A114" s="2" t="s">
        <v>260</v>
      </c>
      <c r="B114" s="2" t="s">
        <v>259</v>
      </c>
      <c r="C114" s="2" t="s">
        <v>2916</v>
      </c>
      <c r="D114" s="3" t="str">
        <f>IF(ISNUMBER('Sheet4-原始数据'!G37),'Sheet4-原始数据'!G37,"")</f>
        <v/>
      </c>
      <c r="E114" s="3" t="str">
        <f t="shared" ref="E114:E121" si="5">""</f>
        <v/>
      </c>
      <c r="F114" s="3" t="str">
        <f t="shared" si="3"/>
        <v/>
      </c>
      <c r="G114" s="2" t="s">
        <v>2937</v>
      </c>
      <c r="H114" s="2" t="s">
        <v>1080</v>
      </c>
      <c r="I114" s="2" t="s">
        <v>1016</v>
      </c>
      <c r="J114" s="2" t="s">
        <v>3086</v>
      </c>
      <c r="K114" s="2" t="s">
        <v>3087</v>
      </c>
      <c r="L114" s="2" t="s">
        <v>1077</v>
      </c>
    </row>
    <row r="115" ht="25" customHeight="1" spans="1:12">
      <c r="A115" s="2" t="s">
        <v>260</v>
      </c>
      <c r="B115" s="2" t="s">
        <v>259</v>
      </c>
      <c r="C115" s="2" t="s">
        <v>2919</v>
      </c>
      <c r="D115" s="3" t="str">
        <f>IF(ISNUMBER('Sheet4-原始数据'!H37),'Sheet4-原始数据'!H37,"")</f>
        <v/>
      </c>
      <c r="E115" s="3" t="str">
        <f t="shared" si="5"/>
        <v/>
      </c>
      <c r="F115" s="3" t="str">
        <f t="shared" si="3"/>
        <v/>
      </c>
      <c r="G115" s="2" t="s">
        <v>2937</v>
      </c>
      <c r="H115" s="2" t="s">
        <v>1080</v>
      </c>
      <c r="I115" s="2" t="s">
        <v>1016</v>
      </c>
      <c r="J115" s="2" t="s">
        <v>3088</v>
      </c>
      <c r="K115" s="2" t="s">
        <v>3089</v>
      </c>
      <c r="L115" s="2" t="s">
        <v>1079</v>
      </c>
    </row>
    <row r="116" ht="25" customHeight="1" spans="1:12">
      <c r="A116" s="2" t="s">
        <v>260</v>
      </c>
      <c r="B116" s="2" t="s">
        <v>259</v>
      </c>
      <c r="C116" s="2" t="s">
        <v>691</v>
      </c>
      <c r="D116" s="3" t="str">
        <f>IF(ISNUMBER('Sheet4-原始数据'!I37),'Sheet4-原始数据'!I37,"")</f>
        <v/>
      </c>
      <c r="E116" s="3" t="str">
        <f t="shared" si="5"/>
        <v/>
      </c>
      <c r="F116" s="3" t="str">
        <f t="shared" si="3"/>
        <v/>
      </c>
      <c r="G116" s="2" t="s">
        <v>2937</v>
      </c>
      <c r="H116" s="2" t="s">
        <v>1080</v>
      </c>
      <c r="I116" s="2" t="s">
        <v>1016</v>
      </c>
      <c r="J116" s="2" t="s">
        <v>3090</v>
      </c>
      <c r="K116" s="2" t="s">
        <v>3091</v>
      </c>
      <c r="L116" s="2" t="s">
        <v>1079</v>
      </c>
    </row>
    <row r="117" ht="25" customHeight="1" spans="1:12">
      <c r="A117" s="2" t="s">
        <v>260</v>
      </c>
      <c r="B117" s="2" t="s">
        <v>259</v>
      </c>
      <c r="C117" s="2" t="s">
        <v>690</v>
      </c>
      <c r="D117" s="3" t="str">
        <f>IF(ISNUMBER('Sheet4-原始数据'!J37),'Sheet4-原始数据'!J37,"")</f>
        <v/>
      </c>
      <c r="E117" s="3" t="str">
        <f t="shared" si="5"/>
        <v/>
      </c>
      <c r="F117" s="3" t="str">
        <f t="shared" si="3"/>
        <v/>
      </c>
      <c r="G117" s="2" t="s">
        <v>2937</v>
      </c>
      <c r="H117" s="2" t="s">
        <v>1080</v>
      </c>
      <c r="I117" s="2" t="s">
        <v>1016</v>
      </c>
      <c r="J117" s="2" t="s">
        <v>3092</v>
      </c>
      <c r="K117" s="2" t="s">
        <v>3093</v>
      </c>
      <c r="L117" s="2" t="s">
        <v>1077</v>
      </c>
    </row>
    <row r="118" ht="25" customHeight="1" spans="1:12">
      <c r="A118" s="2" t="s">
        <v>260</v>
      </c>
      <c r="B118" s="2" t="s">
        <v>259</v>
      </c>
      <c r="C118" s="2" t="s">
        <v>2923</v>
      </c>
      <c r="D118" s="3" t="str">
        <f>IF(ISNUMBER('Sheet4-原始数据'!K37),'Sheet4-原始数据'!K37,"")</f>
        <v/>
      </c>
      <c r="E118" s="3" t="str">
        <f t="shared" si="5"/>
        <v/>
      </c>
      <c r="F118" s="3" t="str">
        <f t="shared" si="3"/>
        <v/>
      </c>
      <c r="G118" s="2" t="s">
        <v>2937</v>
      </c>
      <c r="H118" s="2" t="s">
        <v>1080</v>
      </c>
      <c r="I118" s="2" t="s">
        <v>1016</v>
      </c>
      <c r="J118" s="2" t="s">
        <v>3094</v>
      </c>
      <c r="K118" s="2" t="s">
        <v>3095</v>
      </c>
      <c r="L118" s="2" t="s">
        <v>1079</v>
      </c>
    </row>
    <row r="119" ht="25" customHeight="1" spans="1:12">
      <c r="A119" s="2" t="s">
        <v>260</v>
      </c>
      <c r="B119" s="2" t="s">
        <v>259</v>
      </c>
      <c r="C119" s="2" t="s">
        <v>2925</v>
      </c>
      <c r="D119" s="3" t="str">
        <f>IF(ISNUMBER('Sheet4-原始数据'!L37),'Sheet4-原始数据'!L37,"")</f>
        <v/>
      </c>
      <c r="E119" s="3" t="str">
        <f t="shared" si="5"/>
        <v/>
      </c>
      <c r="F119" s="3" t="str">
        <f t="shared" si="3"/>
        <v/>
      </c>
      <c r="G119" s="2" t="s">
        <v>2937</v>
      </c>
      <c r="H119" s="2" t="s">
        <v>1080</v>
      </c>
      <c r="I119" s="2" t="s">
        <v>1016</v>
      </c>
      <c r="J119" s="2" t="s">
        <v>3067</v>
      </c>
      <c r="K119" s="2" t="s">
        <v>3096</v>
      </c>
      <c r="L119" s="2" t="s">
        <v>1079</v>
      </c>
    </row>
    <row r="120" ht="25" customHeight="1" spans="1:12">
      <c r="A120" s="2" t="s">
        <v>260</v>
      </c>
      <c r="B120" s="2" t="s">
        <v>259</v>
      </c>
      <c r="C120" s="2" t="s">
        <v>2927</v>
      </c>
      <c r="D120" s="3" t="str">
        <f>IF(ISNUMBER('Sheet4-原始数据'!M37),'Sheet4-原始数据'!M37,"")</f>
        <v/>
      </c>
      <c r="E120" s="3" t="str">
        <f t="shared" si="5"/>
        <v/>
      </c>
      <c r="F120" s="3" t="str">
        <f t="shared" si="3"/>
        <v/>
      </c>
      <c r="G120" s="2" t="s">
        <v>2937</v>
      </c>
      <c r="H120" s="2" t="s">
        <v>1080</v>
      </c>
      <c r="I120" s="6" t="s">
        <v>3097</v>
      </c>
      <c r="J120" s="2" t="s">
        <v>3098</v>
      </c>
      <c r="K120" s="2" t="s">
        <v>3099</v>
      </c>
      <c r="L120" s="2" t="s">
        <v>1077</v>
      </c>
    </row>
    <row r="121" ht="25" customHeight="1" spans="1:12">
      <c r="A121" s="2" t="s">
        <v>260</v>
      </c>
      <c r="B121" s="2" t="s">
        <v>259</v>
      </c>
      <c r="C121" s="2" t="s">
        <v>14</v>
      </c>
      <c r="D121" s="3" t="str">
        <f>IF(ISNUMBER('Sheet4-原始数据'!S37),'Sheet4-原始数据'!S37,"")</f>
        <v/>
      </c>
      <c r="E121" s="3" t="str">
        <f t="shared" si="5"/>
        <v/>
      </c>
      <c r="F121" s="3" t="str">
        <f t="shared" si="3"/>
        <v/>
      </c>
      <c r="G121" s="2" t="s">
        <v>2937</v>
      </c>
      <c r="H121" s="2" t="s">
        <v>1082</v>
      </c>
      <c r="I121" s="2" t="s">
        <v>1016</v>
      </c>
      <c r="J121" s="2" t="s">
        <v>3100</v>
      </c>
      <c r="K121" s="2" t="s">
        <v>3101</v>
      </c>
      <c r="L121" s="2" t="s">
        <v>1081</v>
      </c>
    </row>
    <row r="122" ht="25" hidden="1" customHeight="1" spans="1:12">
      <c r="A122" s="2" t="s">
        <v>327</v>
      </c>
      <c r="B122" s="2" t="s">
        <v>326</v>
      </c>
      <c r="C122" s="2" t="s">
        <v>2916</v>
      </c>
      <c r="D122" s="3">
        <f>IF(ISNUMBER('Sheet4-原始数据'!G50),'Sheet4-原始数据'!G50,"")</f>
        <v>0.138372093023256</v>
      </c>
      <c r="E122" s="3">
        <f>IF(ISNUMBER(补数计算!L41),补数计算!L41,"")</f>
        <v>0.138372093023256</v>
      </c>
      <c r="F122" s="3">
        <f t="shared" si="3"/>
        <v>0</v>
      </c>
      <c r="G122" s="2" t="s">
        <v>2917</v>
      </c>
      <c r="H122" s="2" t="s">
        <v>2918</v>
      </c>
      <c r="I122" s="2" t="s">
        <v>809</v>
      </c>
      <c r="J122" s="2" t="s">
        <v>1143</v>
      </c>
      <c r="K122" s="2" t="s">
        <v>3102</v>
      </c>
      <c r="L122" s="2" t="s">
        <v>1077</v>
      </c>
    </row>
    <row r="123" ht="25" hidden="1" customHeight="1" spans="1:12">
      <c r="A123" s="2" t="s">
        <v>327</v>
      </c>
      <c r="B123" s="2" t="s">
        <v>326</v>
      </c>
      <c r="C123" s="2" t="s">
        <v>2919</v>
      </c>
      <c r="D123" s="3">
        <f>IF(ISNUMBER('Sheet4-原始数据'!H50),'Sheet4-原始数据'!H50,"")</f>
        <v>0.120073116138451</v>
      </c>
      <c r="E123" s="3">
        <f>IF(ISNUMBER(补数计算!L42),补数计算!L42,"")</f>
        <v>0.120073116138451</v>
      </c>
      <c r="F123" s="3">
        <f t="shared" si="3"/>
        <v>0</v>
      </c>
      <c r="G123" s="2" t="s">
        <v>2917</v>
      </c>
      <c r="H123" s="2" t="s">
        <v>2918</v>
      </c>
      <c r="I123" s="2" t="s">
        <v>809</v>
      </c>
      <c r="J123" s="2" t="s">
        <v>1144</v>
      </c>
      <c r="K123" s="2" t="s">
        <v>3103</v>
      </c>
      <c r="L123" s="2" t="s">
        <v>1079</v>
      </c>
    </row>
    <row r="124" ht="25" hidden="1" customHeight="1" spans="1:12">
      <c r="A124" s="2" t="s">
        <v>327</v>
      </c>
      <c r="B124" s="2" t="s">
        <v>326</v>
      </c>
      <c r="C124" s="2" t="s">
        <v>691</v>
      </c>
      <c r="D124" s="3">
        <f>IF(ISNUMBER('Sheet4-原始数据'!I50),'Sheet4-原始数据'!I50,"")</f>
        <v>0.783783783783784</v>
      </c>
      <c r="E124" s="3">
        <f>IF(ISNUMBER(补数计算!O42),补数计算!O42,"")</f>
        <v>0.783783783783784</v>
      </c>
      <c r="F124" s="3">
        <f t="shared" si="3"/>
        <v>0</v>
      </c>
      <c r="G124" s="2" t="s">
        <v>2917</v>
      </c>
      <c r="H124" s="2" t="s">
        <v>2918</v>
      </c>
      <c r="I124" s="2" t="s">
        <v>809</v>
      </c>
      <c r="J124" s="2" t="s">
        <v>1145</v>
      </c>
      <c r="K124" s="2" t="s">
        <v>3104</v>
      </c>
      <c r="L124" s="2" t="s">
        <v>1079</v>
      </c>
    </row>
    <row r="125" ht="25" hidden="1" customHeight="1" spans="1:12">
      <c r="A125" s="2" t="s">
        <v>327</v>
      </c>
      <c r="B125" s="2" t="s">
        <v>326</v>
      </c>
      <c r="C125" s="2" t="s">
        <v>690</v>
      </c>
      <c r="D125" s="3">
        <f>IF(ISNUMBER('Sheet4-原始数据'!J50),'Sheet4-原始数据'!J50,"")</f>
        <v>0.769230769230769</v>
      </c>
      <c r="E125" s="3">
        <f>IF(ISNUMBER(补数计算!O41),补数计算!O41,"")</f>
        <v>0.769230769230769</v>
      </c>
      <c r="F125" s="3">
        <f t="shared" si="3"/>
        <v>0</v>
      </c>
      <c r="G125" s="2" t="s">
        <v>2917</v>
      </c>
      <c r="H125" s="2" t="s">
        <v>2918</v>
      </c>
      <c r="I125" s="2" t="s">
        <v>809</v>
      </c>
      <c r="J125" s="2" t="s">
        <v>1146</v>
      </c>
      <c r="K125" s="2" t="s">
        <v>3105</v>
      </c>
      <c r="L125" s="2" t="s">
        <v>1077</v>
      </c>
    </row>
    <row r="126" ht="25" hidden="1" customHeight="1" spans="1:12">
      <c r="A126" s="2" t="s">
        <v>327</v>
      </c>
      <c r="B126" s="2" t="s">
        <v>326</v>
      </c>
      <c r="C126" s="2" t="s">
        <v>2923</v>
      </c>
      <c r="D126" s="3">
        <f>IF(ISNUMBER('Sheet4-原始数据'!K50),'Sheet4-原始数据'!K50,"")</f>
        <v>0.00533091362785687</v>
      </c>
      <c r="E126" s="3">
        <f>IF(ISNUMBER(补数计算!M42),补数计算!M42,"")</f>
        <v>0.00533091362785687</v>
      </c>
      <c r="F126" s="3">
        <f t="shared" si="3"/>
        <v>0</v>
      </c>
      <c r="G126" s="2" t="s">
        <v>2917</v>
      </c>
      <c r="H126" s="2" t="s">
        <v>2918</v>
      </c>
      <c r="I126" s="2" t="s">
        <v>809</v>
      </c>
      <c r="J126" s="2" t="s">
        <v>1147</v>
      </c>
      <c r="K126" s="2" t="s">
        <v>3106</v>
      </c>
      <c r="L126" s="2" t="s">
        <v>1079</v>
      </c>
    </row>
    <row r="127" ht="25" hidden="1" customHeight="1" spans="1:12">
      <c r="A127" s="2" t="s">
        <v>327</v>
      </c>
      <c r="B127" s="2" t="s">
        <v>326</v>
      </c>
      <c r="C127" s="2" t="s">
        <v>2925</v>
      </c>
      <c r="D127" s="3">
        <f>IF(ISNUMBER('Sheet4-原始数据'!L50),'Sheet4-原始数据'!L50,"")</f>
        <v>22.5239282645671</v>
      </c>
      <c r="E127" s="3">
        <f>IF(ISNUMBER(补数计算!N42),补数计算!N42,"")</f>
        <v>22.5239282645671</v>
      </c>
      <c r="F127" s="3">
        <f t="shared" si="3"/>
        <v>0</v>
      </c>
      <c r="G127" s="2" t="s">
        <v>2917</v>
      </c>
      <c r="H127" s="2" t="s">
        <v>2918</v>
      </c>
      <c r="I127" s="2" t="s">
        <v>809</v>
      </c>
      <c r="J127" s="2" t="s">
        <v>1148</v>
      </c>
      <c r="K127" s="2" t="s">
        <v>3107</v>
      </c>
      <c r="L127" s="2" t="s">
        <v>1079</v>
      </c>
    </row>
    <row r="128" ht="25" hidden="1" customHeight="1" spans="1:12">
      <c r="A128" s="2" t="s">
        <v>327</v>
      </c>
      <c r="B128" s="2" t="s">
        <v>326</v>
      </c>
      <c r="C128" s="2" t="s">
        <v>2927</v>
      </c>
      <c r="D128" s="3">
        <f>IF(ISNUMBER('Sheet4-原始数据'!M50),'Sheet4-原始数据'!M50,"")</f>
        <v>28.453054789121</v>
      </c>
      <c r="E128" s="3">
        <f>IF(ISNUMBER(补数计算!N41),补数计算!N41,"")</f>
        <v>28.453054789121</v>
      </c>
      <c r="F128" s="3">
        <f t="shared" si="3"/>
        <v>0</v>
      </c>
      <c r="G128" s="2" t="s">
        <v>2917</v>
      </c>
      <c r="H128" s="2" t="s">
        <v>2918</v>
      </c>
      <c r="I128" s="2" t="s">
        <v>809</v>
      </c>
      <c r="J128" s="2" t="s">
        <v>1149</v>
      </c>
      <c r="K128" s="2" t="s">
        <v>3108</v>
      </c>
      <c r="L128" s="2" t="s">
        <v>1077</v>
      </c>
    </row>
    <row r="129" ht="25" hidden="1" customHeight="1" spans="1:12">
      <c r="A129" s="2" t="s">
        <v>327</v>
      </c>
      <c r="B129" s="2" t="s">
        <v>326</v>
      </c>
      <c r="C129" s="2" t="s">
        <v>14</v>
      </c>
      <c r="D129" s="3">
        <f>IF(ISNUMBER('Sheet4-原始数据'!S50),'Sheet4-原始数据'!S50,"")</f>
        <v>0.12473444211069</v>
      </c>
      <c r="E129" s="3">
        <f>IF(ISNUMBER(补数计算!L43),补数计算!L43,"")</f>
        <v>0.12473444211069</v>
      </c>
      <c r="F129" s="3">
        <f t="shared" si="3"/>
        <v>0</v>
      </c>
      <c r="G129" s="2" t="s">
        <v>2917</v>
      </c>
      <c r="H129" s="2" t="s">
        <v>2918</v>
      </c>
      <c r="I129" s="2" t="s">
        <v>809</v>
      </c>
      <c r="J129" s="2" t="s">
        <v>1150</v>
      </c>
      <c r="K129" s="2" t="s">
        <v>3109</v>
      </c>
      <c r="L129" s="2" t="s">
        <v>1081</v>
      </c>
    </row>
    <row r="130" ht="25" hidden="1" customHeight="1" spans="1:12">
      <c r="A130" s="2" t="s">
        <v>343</v>
      </c>
      <c r="B130" s="2" t="s">
        <v>342</v>
      </c>
      <c r="C130" s="2" t="s">
        <v>2916</v>
      </c>
      <c r="D130" s="3" t="str">
        <f>IF(ISNUMBER('Sheet4-原始数据'!G52),'Sheet4-原始数据'!G52,"")</f>
        <v/>
      </c>
      <c r="E130" s="3" t="str">
        <f t="shared" ref="E130:E137" si="6">""</f>
        <v/>
      </c>
      <c r="F130" s="3" t="str">
        <f t="shared" ref="F130:F193" si="7">IF(AND(ISNUMBER(D130),ISNUMBER(E130)),E130-D130,"")</f>
        <v/>
      </c>
      <c r="G130" s="2" t="s">
        <v>2937</v>
      </c>
      <c r="H130" s="2" t="s">
        <v>1080</v>
      </c>
      <c r="I130" s="2" t="s">
        <v>1015</v>
      </c>
      <c r="J130" s="2" t="s">
        <v>3110</v>
      </c>
      <c r="K130" s="2" t="s">
        <v>3111</v>
      </c>
      <c r="L130" s="2" t="s">
        <v>1077</v>
      </c>
    </row>
    <row r="131" ht="25" hidden="1" customHeight="1" spans="1:12">
      <c r="A131" s="2" t="s">
        <v>343</v>
      </c>
      <c r="B131" s="2" t="s">
        <v>342</v>
      </c>
      <c r="C131" s="2" t="s">
        <v>2919</v>
      </c>
      <c r="D131" s="3" t="str">
        <f>IF(ISNUMBER('Sheet4-原始数据'!H52),'Sheet4-原始数据'!H52,"")</f>
        <v/>
      </c>
      <c r="E131" s="3" t="str">
        <f t="shared" si="6"/>
        <v/>
      </c>
      <c r="F131" s="3" t="str">
        <f t="shared" si="7"/>
        <v/>
      </c>
      <c r="G131" s="2" t="s">
        <v>2937</v>
      </c>
      <c r="H131" s="2" t="s">
        <v>1080</v>
      </c>
      <c r="I131" s="2" t="s">
        <v>1015</v>
      </c>
      <c r="J131" s="2" t="s">
        <v>3112</v>
      </c>
      <c r="K131" s="2" t="s">
        <v>3113</v>
      </c>
      <c r="L131" s="2" t="s">
        <v>1079</v>
      </c>
    </row>
    <row r="132" ht="25" hidden="1" customHeight="1" spans="1:12">
      <c r="A132" s="2" t="s">
        <v>343</v>
      </c>
      <c r="B132" s="2" t="s">
        <v>342</v>
      </c>
      <c r="C132" s="2" t="s">
        <v>691</v>
      </c>
      <c r="D132" s="3" t="str">
        <f>IF(ISNUMBER('Sheet4-原始数据'!I52),'Sheet4-原始数据'!I52,"")</f>
        <v/>
      </c>
      <c r="E132" s="3" t="str">
        <f t="shared" si="6"/>
        <v/>
      </c>
      <c r="F132" s="3" t="str">
        <f t="shared" si="7"/>
        <v/>
      </c>
      <c r="G132" s="2" t="s">
        <v>2937</v>
      </c>
      <c r="H132" s="2" t="s">
        <v>1080</v>
      </c>
      <c r="I132" s="2" t="s">
        <v>1015</v>
      </c>
      <c r="J132" s="2" t="s">
        <v>3114</v>
      </c>
      <c r="K132" s="2" t="s">
        <v>3115</v>
      </c>
      <c r="L132" s="2" t="s">
        <v>1079</v>
      </c>
    </row>
    <row r="133" ht="25" hidden="1" customHeight="1" spans="1:12">
      <c r="A133" s="2" t="s">
        <v>343</v>
      </c>
      <c r="B133" s="2" t="s">
        <v>342</v>
      </c>
      <c r="C133" s="2" t="s">
        <v>690</v>
      </c>
      <c r="D133" s="3" t="str">
        <f>IF(ISNUMBER('Sheet4-原始数据'!J52),'Sheet4-原始数据'!J52,"")</f>
        <v/>
      </c>
      <c r="E133" s="3" t="str">
        <f t="shared" si="6"/>
        <v/>
      </c>
      <c r="F133" s="3" t="str">
        <f t="shared" si="7"/>
        <v/>
      </c>
      <c r="G133" s="2" t="s">
        <v>2937</v>
      </c>
      <c r="H133" s="2" t="s">
        <v>1080</v>
      </c>
      <c r="I133" s="2" t="s">
        <v>1015</v>
      </c>
      <c r="J133" s="2" t="s">
        <v>3116</v>
      </c>
      <c r="K133" s="2" t="s">
        <v>3117</v>
      </c>
      <c r="L133" s="2" t="s">
        <v>1077</v>
      </c>
    </row>
    <row r="134" ht="25" hidden="1" customHeight="1" spans="1:12">
      <c r="A134" s="2" t="s">
        <v>343</v>
      </c>
      <c r="B134" s="2" t="s">
        <v>342</v>
      </c>
      <c r="C134" s="2" t="s">
        <v>2923</v>
      </c>
      <c r="D134" s="3" t="str">
        <f>IF(ISNUMBER('Sheet4-原始数据'!K52),'Sheet4-原始数据'!K52,"")</f>
        <v/>
      </c>
      <c r="E134" s="3" t="str">
        <f t="shared" si="6"/>
        <v/>
      </c>
      <c r="F134" s="3" t="str">
        <f t="shared" si="7"/>
        <v/>
      </c>
      <c r="G134" s="2" t="s">
        <v>2937</v>
      </c>
      <c r="H134" s="2" t="s">
        <v>1080</v>
      </c>
      <c r="I134" s="2" t="s">
        <v>1015</v>
      </c>
      <c r="J134" s="2" t="s">
        <v>3118</v>
      </c>
      <c r="K134" s="2" t="s">
        <v>3119</v>
      </c>
      <c r="L134" s="2" t="s">
        <v>1079</v>
      </c>
    </row>
    <row r="135" ht="25" hidden="1" customHeight="1" spans="1:12">
      <c r="A135" s="2" t="s">
        <v>343</v>
      </c>
      <c r="B135" s="2" t="s">
        <v>342</v>
      </c>
      <c r="C135" s="2" t="s">
        <v>2925</v>
      </c>
      <c r="D135" s="3" t="str">
        <f>IF(ISNUMBER('Sheet4-原始数据'!L52),'Sheet4-原始数据'!L52,"")</f>
        <v/>
      </c>
      <c r="E135" s="3" t="str">
        <f t="shared" si="6"/>
        <v/>
      </c>
      <c r="F135" s="3" t="str">
        <f t="shared" si="7"/>
        <v/>
      </c>
      <c r="G135" s="2" t="s">
        <v>2937</v>
      </c>
      <c r="H135" s="2" t="s">
        <v>1080</v>
      </c>
      <c r="I135" s="2" t="s">
        <v>1015</v>
      </c>
      <c r="J135" s="2" t="s">
        <v>3120</v>
      </c>
      <c r="K135" s="2" t="s">
        <v>3121</v>
      </c>
      <c r="L135" s="2" t="s">
        <v>1079</v>
      </c>
    </row>
    <row r="136" ht="25" hidden="1" customHeight="1" spans="1:12">
      <c r="A136" s="2" t="s">
        <v>343</v>
      </c>
      <c r="B136" s="2" t="s">
        <v>342</v>
      </c>
      <c r="C136" s="2" t="s">
        <v>2927</v>
      </c>
      <c r="D136" s="3" t="str">
        <f>IF(ISNUMBER('Sheet4-原始数据'!M52),'Sheet4-原始数据'!M52,"")</f>
        <v/>
      </c>
      <c r="E136" s="3" t="str">
        <f t="shared" si="6"/>
        <v/>
      </c>
      <c r="F136" s="3" t="str">
        <f t="shared" si="7"/>
        <v/>
      </c>
      <c r="G136" s="2" t="s">
        <v>2937</v>
      </c>
      <c r="H136" s="2" t="s">
        <v>1080</v>
      </c>
      <c r="I136" s="2" t="s">
        <v>1015</v>
      </c>
      <c r="J136" s="2" t="s">
        <v>3122</v>
      </c>
      <c r="K136" s="2" t="s">
        <v>3123</v>
      </c>
      <c r="L136" s="2" t="s">
        <v>1077</v>
      </c>
    </row>
    <row r="137" ht="25" hidden="1" customHeight="1" spans="1:12">
      <c r="A137" s="2" t="s">
        <v>343</v>
      </c>
      <c r="B137" s="2" t="s">
        <v>342</v>
      </c>
      <c r="C137" s="2" t="s">
        <v>14</v>
      </c>
      <c r="D137" s="3" t="str">
        <f>IF(ISNUMBER('Sheet4-原始数据'!S52),'Sheet4-原始数据'!S52,"")</f>
        <v/>
      </c>
      <c r="E137" s="3" t="str">
        <f t="shared" si="6"/>
        <v/>
      </c>
      <c r="F137" s="3" t="str">
        <f t="shared" si="7"/>
        <v/>
      </c>
      <c r="G137" s="2" t="s">
        <v>2937</v>
      </c>
      <c r="H137" s="2" t="s">
        <v>1082</v>
      </c>
      <c r="I137" s="2" t="s">
        <v>1015</v>
      </c>
      <c r="J137" s="2" t="s">
        <v>3124</v>
      </c>
      <c r="K137" s="2" t="s">
        <v>1174</v>
      </c>
      <c r="L137" s="2" t="s">
        <v>1081</v>
      </c>
    </row>
    <row r="138" ht="25" hidden="1" customHeight="1" spans="1:12">
      <c r="A138" s="2" t="s">
        <v>348</v>
      </c>
      <c r="B138" s="2" t="s">
        <v>347</v>
      </c>
      <c r="C138" s="2" t="s">
        <v>2916</v>
      </c>
      <c r="D138" s="3">
        <f>IF(ISNUMBER('Sheet4-原始数据'!G53),'Sheet4-原始数据'!G53,"")</f>
        <v>0.113688504314173</v>
      </c>
      <c r="E138" s="3">
        <f>IF(ISNUMBER(补数计算!L38),补数计算!L38,"")</f>
        <v>0.113688504314173</v>
      </c>
      <c r="F138" s="3">
        <f t="shared" si="7"/>
        <v>0</v>
      </c>
      <c r="G138" s="2" t="s">
        <v>2917</v>
      </c>
      <c r="H138" s="2" t="s">
        <v>2918</v>
      </c>
      <c r="I138" s="2" t="s">
        <v>811</v>
      </c>
      <c r="J138" s="2" t="s">
        <v>1151</v>
      </c>
      <c r="K138" s="2" t="s">
        <v>3125</v>
      </c>
      <c r="L138" s="2" t="s">
        <v>1077</v>
      </c>
    </row>
    <row r="139" ht="25" hidden="1" customHeight="1" spans="1:12">
      <c r="A139" s="2" t="s">
        <v>348</v>
      </c>
      <c r="B139" s="2" t="s">
        <v>347</v>
      </c>
      <c r="C139" s="2" t="s">
        <v>2919</v>
      </c>
      <c r="D139" s="3" t="str">
        <f>IF(ISNUMBER('Sheet4-原始数据'!H53),'Sheet4-原始数据'!H53,"")</f>
        <v/>
      </c>
      <c r="E139" s="3" t="str">
        <f>""</f>
        <v/>
      </c>
      <c r="F139" s="3" t="str">
        <f t="shared" si="7"/>
        <v/>
      </c>
      <c r="G139" s="2" t="s">
        <v>2937</v>
      </c>
      <c r="H139" s="2" t="s">
        <v>1080</v>
      </c>
      <c r="I139" s="2" t="s">
        <v>811</v>
      </c>
      <c r="J139" s="2" t="s">
        <v>3126</v>
      </c>
      <c r="K139" s="2" t="s">
        <v>3127</v>
      </c>
      <c r="L139" s="2" t="s">
        <v>1079</v>
      </c>
    </row>
    <row r="140" ht="25" hidden="1" customHeight="1" spans="1:12">
      <c r="A140" s="2" t="s">
        <v>348</v>
      </c>
      <c r="B140" s="2" t="s">
        <v>347</v>
      </c>
      <c r="C140" s="2" t="s">
        <v>691</v>
      </c>
      <c r="D140" s="3" t="str">
        <f>IF(ISNUMBER('Sheet4-原始数据'!I53),'Sheet4-原始数据'!I53,"")</f>
        <v/>
      </c>
      <c r="E140" s="3" t="str">
        <f>""</f>
        <v/>
      </c>
      <c r="F140" s="3" t="str">
        <f t="shared" si="7"/>
        <v/>
      </c>
      <c r="G140" s="2" t="s">
        <v>2937</v>
      </c>
      <c r="H140" s="2" t="s">
        <v>1080</v>
      </c>
      <c r="I140" s="2" t="s">
        <v>811</v>
      </c>
      <c r="J140" s="2" t="s">
        <v>3128</v>
      </c>
      <c r="K140" s="2" t="s">
        <v>3129</v>
      </c>
      <c r="L140" s="2" t="s">
        <v>1079</v>
      </c>
    </row>
    <row r="141" ht="25" hidden="1" customHeight="1" spans="1:12">
      <c r="A141" s="2" t="s">
        <v>348</v>
      </c>
      <c r="B141" s="2" t="s">
        <v>347</v>
      </c>
      <c r="C141" s="2" t="s">
        <v>690</v>
      </c>
      <c r="D141" s="3">
        <f>IF(ISNUMBER('Sheet4-原始数据'!J53),'Sheet4-原始数据'!J53,"")</f>
        <v>0.615384615384615</v>
      </c>
      <c r="E141" s="3">
        <f>IF(ISNUMBER(补数计算!O38),补数计算!O38,"")</f>
        <v>0.615384615384615</v>
      </c>
      <c r="F141" s="3">
        <f t="shared" si="7"/>
        <v>0</v>
      </c>
      <c r="G141" s="2" t="s">
        <v>2917</v>
      </c>
      <c r="H141" s="2" t="s">
        <v>2918</v>
      </c>
      <c r="I141" s="2" t="s">
        <v>811</v>
      </c>
      <c r="J141" s="2" t="s">
        <v>1152</v>
      </c>
      <c r="K141" s="2" t="s">
        <v>3130</v>
      </c>
      <c r="L141" s="2" t="s">
        <v>1077</v>
      </c>
    </row>
    <row r="142" ht="25" hidden="1" customHeight="1" spans="1:12">
      <c r="A142" s="2" t="s">
        <v>348</v>
      </c>
      <c r="B142" s="2" t="s">
        <v>347</v>
      </c>
      <c r="C142" s="2" t="s">
        <v>2923</v>
      </c>
      <c r="D142" s="3" t="str">
        <f>IF(ISNUMBER('Sheet4-原始数据'!K53),'Sheet4-原始数据'!K53,"")</f>
        <v/>
      </c>
      <c r="E142" s="3" t="str">
        <f>""</f>
        <v/>
      </c>
      <c r="F142" s="3" t="str">
        <f t="shared" si="7"/>
        <v/>
      </c>
      <c r="G142" s="2" t="s">
        <v>2937</v>
      </c>
      <c r="H142" s="2" t="s">
        <v>1080</v>
      </c>
      <c r="I142" s="2" t="s">
        <v>811</v>
      </c>
      <c r="J142" s="2" t="s">
        <v>3131</v>
      </c>
      <c r="K142" s="2" t="s">
        <v>3132</v>
      </c>
      <c r="L142" s="2" t="s">
        <v>1079</v>
      </c>
    </row>
    <row r="143" ht="25" hidden="1" customHeight="1" spans="1:12">
      <c r="A143" s="2" t="s">
        <v>348</v>
      </c>
      <c r="B143" s="2" t="s">
        <v>347</v>
      </c>
      <c r="C143" s="2" t="s">
        <v>2925</v>
      </c>
      <c r="D143" s="3" t="str">
        <f>IF(ISNUMBER('Sheet4-原始数据'!L53),'Sheet4-原始数据'!L53,"")</f>
        <v/>
      </c>
      <c r="E143" s="3" t="str">
        <f>""</f>
        <v/>
      </c>
      <c r="F143" s="3" t="str">
        <f t="shared" si="7"/>
        <v/>
      </c>
      <c r="G143" s="2" t="s">
        <v>2937</v>
      </c>
      <c r="H143" s="2" t="s">
        <v>1080</v>
      </c>
      <c r="I143" s="2" t="s">
        <v>811</v>
      </c>
      <c r="J143" s="2" t="s">
        <v>3078</v>
      </c>
      <c r="K143" s="2" t="s">
        <v>3133</v>
      </c>
      <c r="L143" s="2" t="s">
        <v>1079</v>
      </c>
    </row>
    <row r="144" ht="25" hidden="1" customHeight="1" spans="1:12">
      <c r="A144" s="2" t="s">
        <v>348</v>
      </c>
      <c r="B144" s="2" t="s">
        <v>347</v>
      </c>
      <c r="C144" s="2" t="s">
        <v>2927</v>
      </c>
      <c r="D144" s="3">
        <f>IF(ISNUMBER('Sheet4-原始数据'!M53),'Sheet4-原始数据'!M53,"")</f>
        <v>10.8689819283216</v>
      </c>
      <c r="E144" s="3">
        <f>IF(ISNUMBER(补数计算!N38),补数计算!N38,"")</f>
        <v>10.8689819283216</v>
      </c>
      <c r="F144" s="3">
        <f t="shared" si="7"/>
        <v>0</v>
      </c>
      <c r="G144" s="2" t="s">
        <v>2917</v>
      </c>
      <c r="H144" s="2" t="s">
        <v>2918</v>
      </c>
      <c r="I144" s="2" t="s">
        <v>811</v>
      </c>
      <c r="J144" s="2" t="s">
        <v>1153</v>
      </c>
      <c r="K144" s="2" t="s">
        <v>3134</v>
      </c>
      <c r="L144" s="2" t="s">
        <v>1077</v>
      </c>
    </row>
    <row r="145" ht="25" hidden="1" customHeight="1" spans="1:12">
      <c r="A145" s="2" t="s">
        <v>348</v>
      </c>
      <c r="B145" s="2" t="s">
        <v>347</v>
      </c>
      <c r="C145" s="2" t="s">
        <v>14</v>
      </c>
      <c r="D145" s="3">
        <f>IF(ISNUMBER('Sheet4-原始数据'!S53),'Sheet4-原始数据'!S53,"")</f>
        <v>0.100382114301413</v>
      </c>
      <c r="E145" s="3">
        <f>IF(ISNUMBER(补数计算!L40),补数计算!L40,"")</f>
        <v>0.100382114301413</v>
      </c>
      <c r="F145" s="3">
        <f t="shared" si="7"/>
        <v>0</v>
      </c>
      <c r="G145" s="2" t="s">
        <v>2917</v>
      </c>
      <c r="H145" s="2" t="s">
        <v>2918</v>
      </c>
      <c r="I145" s="2" t="s">
        <v>811</v>
      </c>
      <c r="J145" s="2" t="s">
        <v>1154</v>
      </c>
      <c r="K145" s="2" t="s">
        <v>3135</v>
      </c>
      <c r="L145" s="2" t="s">
        <v>1081</v>
      </c>
    </row>
    <row r="146" ht="25" hidden="1" customHeight="1" spans="1:12">
      <c r="A146" s="2" t="s">
        <v>371</v>
      </c>
      <c r="B146" s="2" t="s">
        <v>370</v>
      </c>
      <c r="C146" s="2" t="s">
        <v>2916</v>
      </c>
      <c r="D146" s="3">
        <f>IF(ISNUMBER('Sheet4-原始数据'!G57),'Sheet4-原始数据'!G57,"")</f>
        <v>0.0996137314702967</v>
      </c>
      <c r="E146" s="3">
        <f>IF(ISNUMBER(补数计算!L29),补数计算!L29,"")</f>
        <v>0.0996137314702967</v>
      </c>
      <c r="F146" s="3">
        <f t="shared" si="7"/>
        <v>0</v>
      </c>
      <c r="G146" s="2" t="s">
        <v>2917</v>
      </c>
      <c r="H146" s="2" t="s">
        <v>2918</v>
      </c>
      <c r="I146" s="2" t="s">
        <v>812</v>
      </c>
      <c r="J146" s="2" t="s">
        <v>1155</v>
      </c>
      <c r="K146" s="2" t="s">
        <v>3025</v>
      </c>
      <c r="L146" s="2" t="s">
        <v>1077</v>
      </c>
    </row>
    <row r="147" ht="25" hidden="1" customHeight="1" spans="1:12">
      <c r="A147" s="2" t="s">
        <v>371</v>
      </c>
      <c r="B147" s="2" t="s">
        <v>370</v>
      </c>
      <c r="C147" s="2" t="s">
        <v>2919</v>
      </c>
      <c r="D147" s="3">
        <f>IF(ISNUMBER('Sheet4-原始数据'!H57),'Sheet4-原始数据'!H57,"")</f>
        <v>0.0845476235035083</v>
      </c>
      <c r="E147" s="3">
        <f>IF(ISNUMBER(补数计算!L30),补数计算!L30,"")</f>
        <v>0.0845476235035083</v>
      </c>
      <c r="F147" s="3">
        <f t="shared" si="7"/>
        <v>0</v>
      </c>
      <c r="G147" s="2" t="s">
        <v>2917</v>
      </c>
      <c r="H147" s="2" t="s">
        <v>2918</v>
      </c>
      <c r="I147" s="2" t="s">
        <v>812</v>
      </c>
      <c r="J147" s="2" t="s">
        <v>1156</v>
      </c>
      <c r="K147" s="2" t="s">
        <v>3136</v>
      </c>
      <c r="L147" s="2" t="s">
        <v>1079</v>
      </c>
    </row>
    <row r="148" ht="25" hidden="1" customHeight="1" spans="1:12">
      <c r="A148" s="2" t="s">
        <v>371</v>
      </c>
      <c r="B148" s="2" t="s">
        <v>370</v>
      </c>
      <c r="C148" s="2" t="s">
        <v>691</v>
      </c>
      <c r="D148" s="3">
        <f>IF(ISNUMBER('Sheet4-原始数据'!I57),'Sheet4-原始数据'!I57,"")</f>
        <v>0.756756756756757</v>
      </c>
      <c r="E148" s="3">
        <f>IF(ISNUMBER(补数计算!O30),补数计算!O30,"")</f>
        <v>0.756756756756757</v>
      </c>
      <c r="F148" s="3">
        <f t="shared" si="7"/>
        <v>0</v>
      </c>
      <c r="G148" s="2" t="s">
        <v>2917</v>
      </c>
      <c r="H148" s="2" t="s">
        <v>2918</v>
      </c>
      <c r="I148" s="2" t="s">
        <v>812</v>
      </c>
      <c r="J148" s="2" t="s">
        <v>1157</v>
      </c>
      <c r="K148" s="2" t="s">
        <v>3137</v>
      </c>
      <c r="L148" s="2" t="s">
        <v>1079</v>
      </c>
    </row>
    <row r="149" ht="25" hidden="1" customHeight="1" spans="1:12">
      <c r="A149" s="2" t="s">
        <v>371</v>
      </c>
      <c r="B149" s="2" t="s">
        <v>370</v>
      </c>
      <c r="C149" s="2" t="s">
        <v>690</v>
      </c>
      <c r="D149" s="3">
        <f>IF(ISNUMBER('Sheet4-原始数据'!J57),'Sheet4-原始数据'!J57,"")</f>
        <v>0.692307692307692</v>
      </c>
      <c r="E149" s="3">
        <f>IF(ISNUMBER(补数计算!O29),补数计算!O29,"")</f>
        <v>0.692307692307692</v>
      </c>
      <c r="F149" s="3">
        <f t="shared" si="7"/>
        <v>0</v>
      </c>
      <c r="G149" s="2" t="s">
        <v>2917</v>
      </c>
      <c r="H149" s="2" t="s">
        <v>2918</v>
      </c>
      <c r="I149" s="2" t="s">
        <v>812</v>
      </c>
      <c r="J149" s="2" t="s">
        <v>1158</v>
      </c>
      <c r="K149" s="2" t="s">
        <v>3138</v>
      </c>
      <c r="L149" s="2" t="s">
        <v>1077</v>
      </c>
    </row>
    <row r="150" ht="25" hidden="1" customHeight="1" spans="1:12">
      <c r="A150" s="2" t="s">
        <v>371</v>
      </c>
      <c r="B150" s="2" t="s">
        <v>370</v>
      </c>
      <c r="C150" s="2" t="s">
        <v>2923</v>
      </c>
      <c r="D150" s="3">
        <f>IF(ISNUMBER('Sheet4-原始数据'!K57),'Sheet4-原始数据'!K57,"")</f>
        <v>0.0402287251934073</v>
      </c>
      <c r="E150" s="3">
        <f>IF(ISNUMBER(补数计算!M30),补数计算!M30,"")</f>
        <v>0.0402287251934073</v>
      </c>
      <c r="F150" s="3">
        <f t="shared" si="7"/>
        <v>0</v>
      </c>
      <c r="G150" s="2" t="s">
        <v>2917</v>
      </c>
      <c r="H150" s="2" t="s">
        <v>2918</v>
      </c>
      <c r="I150" s="2" t="s">
        <v>812</v>
      </c>
      <c r="J150" s="2" t="s">
        <v>1159</v>
      </c>
      <c r="K150" s="2" t="s">
        <v>3139</v>
      </c>
      <c r="L150" s="2" t="s">
        <v>1079</v>
      </c>
    </row>
    <row r="151" ht="25" hidden="1" customHeight="1" spans="1:12">
      <c r="A151" s="2" t="s">
        <v>371</v>
      </c>
      <c r="B151" s="2" t="s">
        <v>370</v>
      </c>
      <c r="C151" s="2" t="s">
        <v>2925</v>
      </c>
      <c r="D151" s="3">
        <f>IF(ISNUMBER('Sheet4-原始数据'!L57),'Sheet4-原始数据'!L57,"")</f>
        <v>2.10167294879541</v>
      </c>
      <c r="E151" s="3">
        <f>IF(ISNUMBER(补数计算!N30),补数计算!N30,"")</f>
        <v>2.10167294879541</v>
      </c>
      <c r="F151" s="3">
        <f t="shared" si="7"/>
        <v>0</v>
      </c>
      <c r="G151" s="2" t="s">
        <v>2917</v>
      </c>
      <c r="H151" s="2" t="s">
        <v>2918</v>
      </c>
      <c r="I151" s="2" t="s">
        <v>812</v>
      </c>
      <c r="J151" s="2" t="s">
        <v>1160</v>
      </c>
      <c r="K151" s="2" t="s">
        <v>3140</v>
      </c>
      <c r="L151" s="2" t="s">
        <v>1079</v>
      </c>
    </row>
    <row r="152" ht="25" hidden="1" customHeight="1" spans="1:12">
      <c r="A152" s="2" t="s">
        <v>371</v>
      </c>
      <c r="B152" s="2" t="s">
        <v>370</v>
      </c>
      <c r="C152" s="2" t="s">
        <v>2927</v>
      </c>
      <c r="D152" s="3">
        <f>IF(ISNUMBER('Sheet4-原始数据'!M57),'Sheet4-原始数据'!M57,"")</f>
        <v>2.47618414432435</v>
      </c>
      <c r="E152" s="3">
        <f>IF(ISNUMBER(补数计算!N29),补数计算!N29,"")</f>
        <v>2.47618414432435</v>
      </c>
      <c r="F152" s="3">
        <f t="shared" si="7"/>
        <v>0</v>
      </c>
      <c r="G152" s="2" t="s">
        <v>2917</v>
      </c>
      <c r="H152" s="2" t="s">
        <v>2918</v>
      </c>
      <c r="I152" s="2" t="s">
        <v>812</v>
      </c>
      <c r="J152" s="2" t="s">
        <v>1161</v>
      </c>
      <c r="K152" s="2" t="s">
        <v>3141</v>
      </c>
      <c r="L152" s="2" t="s">
        <v>1077</v>
      </c>
    </row>
    <row r="153" ht="25" hidden="1" customHeight="1" spans="1:12">
      <c r="A153" s="2" t="s">
        <v>371</v>
      </c>
      <c r="B153" s="2" t="s">
        <v>370</v>
      </c>
      <c r="C153" s="2" t="s">
        <v>14</v>
      </c>
      <c r="D153" s="3">
        <f>IF(ISNUMBER('Sheet4-原始数据'!S57),'Sheet4-原始数据'!S57,"")</f>
        <v>0.0776116770429107</v>
      </c>
      <c r="E153" s="3">
        <f>IF(ISNUMBER(补数计算!L31),补数计算!L31,"")</f>
        <v>0.0776116770429107</v>
      </c>
      <c r="F153" s="3">
        <f t="shared" si="7"/>
        <v>0</v>
      </c>
      <c r="G153" s="2" t="s">
        <v>2917</v>
      </c>
      <c r="H153" s="2" t="s">
        <v>2918</v>
      </c>
      <c r="I153" s="2" t="s">
        <v>812</v>
      </c>
      <c r="J153" s="2" t="s">
        <v>1162</v>
      </c>
      <c r="K153" s="2" t="s">
        <v>3040</v>
      </c>
      <c r="L153" s="2" t="s">
        <v>1081</v>
      </c>
    </row>
    <row r="154" ht="25" hidden="1" customHeight="1" spans="1:12">
      <c r="A154" s="2" t="s">
        <v>383</v>
      </c>
      <c r="B154" s="2" t="s">
        <v>381</v>
      </c>
      <c r="C154" s="2" t="s">
        <v>2916</v>
      </c>
      <c r="D154" s="4">
        <f>IF(ISNUMBER('Sheet4-原始数据'!G59),'Sheet4-原始数据'!G59,"")</f>
        <v>0.1582</v>
      </c>
      <c r="E154" s="4">
        <f>IF(ISNUMBER(补数计算!L2),补数计算!L2,"")</f>
        <v>0.158119660655945</v>
      </c>
      <c r="F154" s="4">
        <f t="shared" si="7"/>
        <v>-8.03393440554911e-5</v>
      </c>
      <c r="G154" s="5" t="s">
        <v>3029</v>
      </c>
      <c r="H154" s="5" t="s">
        <v>2918</v>
      </c>
      <c r="I154" s="2" t="s">
        <v>1010</v>
      </c>
      <c r="J154" s="2" t="s">
        <v>3142</v>
      </c>
      <c r="K154" s="2" t="s">
        <v>3143</v>
      </c>
      <c r="L154" s="2" t="s">
        <v>1077</v>
      </c>
    </row>
    <row r="155" ht="25" hidden="1" customHeight="1" spans="1:12">
      <c r="A155" s="2" t="s">
        <v>383</v>
      </c>
      <c r="B155" s="2" t="s">
        <v>381</v>
      </c>
      <c r="C155" s="2" t="s">
        <v>2919</v>
      </c>
      <c r="D155" s="3" t="str">
        <f>IF(ISNUMBER('Sheet4-原始数据'!H59),'Sheet4-原始数据'!H59,"")</f>
        <v/>
      </c>
      <c r="E155" s="3" t="str">
        <f>""</f>
        <v/>
      </c>
      <c r="F155" s="3" t="str">
        <f t="shared" si="7"/>
        <v/>
      </c>
      <c r="G155" s="2" t="s">
        <v>2937</v>
      </c>
      <c r="H155" s="2" t="s">
        <v>1080</v>
      </c>
      <c r="I155" s="2" t="s">
        <v>1010</v>
      </c>
      <c r="J155" s="2" t="s">
        <v>3144</v>
      </c>
      <c r="K155" s="2" t="s">
        <v>1100</v>
      </c>
      <c r="L155" s="2" t="s">
        <v>1079</v>
      </c>
    </row>
    <row r="156" ht="25" hidden="1" customHeight="1" spans="1:12">
      <c r="A156" s="2" t="s">
        <v>383</v>
      </c>
      <c r="B156" s="2" t="s">
        <v>381</v>
      </c>
      <c r="C156" s="2" t="s">
        <v>691</v>
      </c>
      <c r="D156" s="3" t="str">
        <f>IF(ISNUMBER('Sheet4-原始数据'!I59),'Sheet4-原始数据'!I59,"")</f>
        <v/>
      </c>
      <c r="E156" s="3" t="str">
        <f>""</f>
        <v/>
      </c>
      <c r="F156" s="3" t="str">
        <f t="shared" si="7"/>
        <v/>
      </c>
      <c r="G156" s="2" t="s">
        <v>2937</v>
      </c>
      <c r="H156" s="2" t="s">
        <v>1080</v>
      </c>
      <c r="I156" s="2" t="s">
        <v>1010</v>
      </c>
      <c r="J156" s="2" t="s">
        <v>3145</v>
      </c>
      <c r="K156" s="2" t="s">
        <v>3146</v>
      </c>
      <c r="L156" s="2" t="s">
        <v>1079</v>
      </c>
    </row>
    <row r="157" ht="25" hidden="1" customHeight="1" spans="1:12">
      <c r="A157" s="2" t="s">
        <v>383</v>
      </c>
      <c r="B157" s="2" t="s">
        <v>381</v>
      </c>
      <c r="C157" s="2" t="s">
        <v>690</v>
      </c>
      <c r="D157" s="4">
        <f>IF(ISNUMBER('Sheet4-原始数据'!J59),'Sheet4-原始数据'!J59,"")</f>
        <v>0.6923</v>
      </c>
      <c r="E157" s="4">
        <f>IF(ISNUMBER(补数计算!O2),补数计算!O2,"")</f>
        <v>0.692307692307692</v>
      </c>
      <c r="F157" s="4">
        <f t="shared" si="7"/>
        <v>7.69230769226414e-6</v>
      </c>
      <c r="G157" s="5" t="s">
        <v>3029</v>
      </c>
      <c r="H157" s="5" t="s">
        <v>2918</v>
      </c>
      <c r="I157" s="2" t="s">
        <v>1010</v>
      </c>
      <c r="J157" s="2" t="s">
        <v>3147</v>
      </c>
      <c r="K157" s="2" t="s">
        <v>3148</v>
      </c>
      <c r="L157" s="2" t="s">
        <v>1077</v>
      </c>
    </row>
    <row r="158" ht="25" hidden="1" customHeight="1" spans="1:12">
      <c r="A158" s="2" t="s">
        <v>383</v>
      </c>
      <c r="B158" s="2" t="s">
        <v>381</v>
      </c>
      <c r="C158" s="2" t="s">
        <v>2923</v>
      </c>
      <c r="D158" s="3" t="str">
        <f>IF(ISNUMBER('Sheet4-原始数据'!K59),'Sheet4-原始数据'!K59,"")</f>
        <v/>
      </c>
      <c r="E158" s="3" t="str">
        <f>""</f>
        <v/>
      </c>
      <c r="F158" s="3" t="str">
        <f t="shared" si="7"/>
        <v/>
      </c>
      <c r="G158" s="2" t="s">
        <v>2937</v>
      </c>
      <c r="H158" s="2" t="s">
        <v>1080</v>
      </c>
      <c r="I158" s="2" t="s">
        <v>1010</v>
      </c>
      <c r="J158" s="2" t="s">
        <v>3149</v>
      </c>
      <c r="K158" s="2" t="s">
        <v>1101</v>
      </c>
      <c r="L158" s="2" t="s">
        <v>1079</v>
      </c>
    </row>
    <row r="159" ht="25" hidden="1" customHeight="1" spans="1:12">
      <c r="A159" s="2" t="s">
        <v>383</v>
      </c>
      <c r="B159" s="2" t="s">
        <v>381</v>
      </c>
      <c r="C159" s="2" t="s">
        <v>2925</v>
      </c>
      <c r="D159" s="3" t="str">
        <f>IF(ISNUMBER('Sheet4-原始数据'!L59),'Sheet4-原始数据'!L59,"")</f>
        <v/>
      </c>
      <c r="E159" s="3" t="str">
        <f>""</f>
        <v/>
      </c>
      <c r="F159" s="3" t="str">
        <f t="shared" si="7"/>
        <v/>
      </c>
      <c r="G159" s="2" t="s">
        <v>2937</v>
      </c>
      <c r="H159" s="2" t="s">
        <v>1080</v>
      </c>
      <c r="I159" s="2" t="s">
        <v>1010</v>
      </c>
      <c r="J159" s="2" t="s">
        <v>3008</v>
      </c>
      <c r="K159" s="2" t="s">
        <v>3150</v>
      </c>
      <c r="L159" s="2" t="s">
        <v>1079</v>
      </c>
    </row>
    <row r="160" ht="25" hidden="1" customHeight="1" spans="1:12">
      <c r="A160" s="2" t="s">
        <v>383</v>
      </c>
      <c r="B160" s="2" t="s">
        <v>381</v>
      </c>
      <c r="C160" s="2" t="s">
        <v>2927</v>
      </c>
      <c r="D160" s="4">
        <f>IF(ISNUMBER('Sheet4-原始数据'!M59),'Sheet4-原始数据'!M59,"")</f>
        <v>10.8875</v>
      </c>
      <c r="E160" s="4">
        <f>IF(ISNUMBER(补数计算!N2),补数计算!N2,"")</f>
        <v>10.8556183779131</v>
      </c>
      <c r="F160" s="4">
        <f t="shared" si="7"/>
        <v>-0.0318816220868889</v>
      </c>
      <c r="G160" s="5" t="s">
        <v>3029</v>
      </c>
      <c r="H160" s="5" t="s">
        <v>2918</v>
      </c>
      <c r="I160" s="2" t="s">
        <v>1010</v>
      </c>
      <c r="J160" s="2" t="s">
        <v>3151</v>
      </c>
      <c r="K160" s="2" t="s">
        <v>3152</v>
      </c>
      <c r="L160" s="2" t="s">
        <v>1077</v>
      </c>
    </row>
    <row r="161" ht="25" hidden="1" customHeight="1" spans="1:12">
      <c r="A161" s="2" t="s">
        <v>383</v>
      </c>
      <c r="B161" s="2" t="s">
        <v>381</v>
      </c>
      <c r="C161" s="2" t="s">
        <v>14</v>
      </c>
      <c r="D161" s="3">
        <f>IF(ISNUMBER('Sheet4-原始数据'!S59),'Sheet4-原始数据'!S59,"")</f>
        <v>0.1782</v>
      </c>
      <c r="E161" s="3" t="str">
        <f>""</f>
        <v/>
      </c>
      <c r="F161" s="3" t="str">
        <f t="shared" si="7"/>
        <v/>
      </c>
      <c r="G161" s="2" t="s">
        <v>2937</v>
      </c>
      <c r="H161" s="2" t="s">
        <v>1082</v>
      </c>
      <c r="I161" s="2" t="s">
        <v>1010</v>
      </c>
      <c r="J161" s="2" t="s">
        <v>3153</v>
      </c>
      <c r="K161" s="2" t="s">
        <v>3154</v>
      </c>
      <c r="L161" s="2" t="s">
        <v>1081</v>
      </c>
    </row>
    <row r="162" ht="25" hidden="1" customHeight="1" spans="1:12">
      <c r="A162" s="2" t="s">
        <v>388</v>
      </c>
      <c r="B162" s="2" t="s">
        <v>387</v>
      </c>
      <c r="C162" s="2" t="s">
        <v>2916</v>
      </c>
      <c r="D162" s="3">
        <f>IF(ISNUMBER('Sheet4-原始数据'!G60),'Sheet4-原始数据'!G60,"")</f>
        <v>0.204884716237227</v>
      </c>
      <c r="E162" s="3">
        <f>IF(ISNUMBER(补数计算!L5),补数计算!L5,"")</f>
        <v>0.204884716237227</v>
      </c>
      <c r="F162" s="3">
        <f t="shared" si="7"/>
        <v>0</v>
      </c>
      <c r="G162" s="2" t="s">
        <v>2917</v>
      </c>
      <c r="H162" s="2" t="s">
        <v>2918</v>
      </c>
      <c r="I162" s="2" t="s">
        <v>813</v>
      </c>
      <c r="J162" s="2" t="s">
        <v>1163</v>
      </c>
      <c r="K162" s="2" t="s">
        <v>3155</v>
      </c>
      <c r="L162" s="2" t="s">
        <v>1077</v>
      </c>
    </row>
    <row r="163" ht="25" hidden="1" customHeight="1" spans="1:12">
      <c r="A163" s="2" t="s">
        <v>388</v>
      </c>
      <c r="B163" s="2" t="s">
        <v>387</v>
      </c>
      <c r="C163" s="2" t="s">
        <v>2919</v>
      </c>
      <c r="D163" s="3">
        <f>IF(ISNUMBER('Sheet4-原始数据'!H60),'Sheet4-原始数据'!H60,"")</f>
        <v>0.153258520854718</v>
      </c>
      <c r="E163" s="3">
        <f>IF(ISNUMBER(补数计算!L6),补数计算!L6,"")</f>
        <v>0.153258520854718</v>
      </c>
      <c r="F163" s="3">
        <f t="shared" si="7"/>
        <v>0</v>
      </c>
      <c r="G163" s="2" t="s">
        <v>2917</v>
      </c>
      <c r="H163" s="2" t="s">
        <v>2918</v>
      </c>
      <c r="I163" s="2" t="s">
        <v>813</v>
      </c>
      <c r="J163" s="2" t="s">
        <v>1164</v>
      </c>
      <c r="K163" s="2" t="s">
        <v>3156</v>
      </c>
      <c r="L163" s="2" t="s">
        <v>1079</v>
      </c>
    </row>
    <row r="164" ht="25" hidden="1" customHeight="1" spans="1:12">
      <c r="A164" s="2" t="s">
        <v>388</v>
      </c>
      <c r="B164" s="2" t="s">
        <v>387</v>
      </c>
      <c r="C164" s="2" t="s">
        <v>691</v>
      </c>
      <c r="D164" s="3" t="str">
        <f>IF(ISNUMBER('Sheet4-原始数据'!I60),'Sheet4-原始数据'!I60,"")</f>
        <v/>
      </c>
      <c r="E164" s="3" t="str">
        <f>""</f>
        <v/>
      </c>
      <c r="F164" s="3" t="str">
        <f t="shared" si="7"/>
        <v/>
      </c>
      <c r="G164" s="2" t="s">
        <v>2937</v>
      </c>
      <c r="H164" s="2" t="s">
        <v>1025</v>
      </c>
      <c r="I164" s="2" t="s">
        <v>813</v>
      </c>
      <c r="J164" s="2" t="s">
        <v>3157</v>
      </c>
      <c r="K164" s="2" t="s">
        <v>3158</v>
      </c>
      <c r="L164" s="2" t="s">
        <v>1079</v>
      </c>
    </row>
    <row r="165" ht="25" hidden="1" customHeight="1" spans="1:12">
      <c r="A165" s="2" t="s">
        <v>388</v>
      </c>
      <c r="B165" s="2" t="s">
        <v>387</v>
      </c>
      <c r="C165" s="2" t="s">
        <v>690</v>
      </c>
      <c r="D165" s="3" t="str">
        <f>IF(ISNUMBER('Sheet4-原始数据'!J60),'Sheet4-原始数据'!J60,"")</f>
        <v/>
      </c>
      <c r="E165" s="3" t="str">
        <f>""</f>
        <v/>
      </c>
      <c r="F165" s="3" t="str">
        <f t="shared" si="7"/>
        <v/>
      </c>
      <c r="G165" s="2" t="s">
        <v>2937</v>
      </c>
      <c r="H165" s="2" t="s">
        <v>1025</v>
      </c>
      <c r="I165" s="2" t="s">
        <v>813</v>
      </c>
      <c r="J165" s="2" t="s">
        <v>3159</v>
      </c>
      <c r="K165" s="2" t="s">
        <v>3160</v>
      </c>
      <c r="L165" s="2" t="s">
        <v>1077</v>
      </c>
    </row>
    <row r="166" ht="25" hidden="1" customHeight="1" spans="1:12">
      <c r="A166" s="2" t="s">
        <v>388</v>
      </c>
      <c r="B166" s="2" t="s">
        <v>387</v>
      </c>
      <c r="C166" s="2" t="s">
        <v>2923</v>
      </c>
      <c r="D166" s="3">
        <f>IF(ISNUMBER('Sheet4-原始数据'!K60),'Sheet4-原始数据'!K60,"")</f>
        <v>0.0108076242876795</v>
      </c>
      <c r="E166" s="3">
        <f>IF(ISNUMBER(补数计算!M6),补数计算!M6,"")</f>
        <v>0.0108076242876795</v>
      </c>
      <c r="F166" s="3">
        <f t="shared" si="7"/>
        <v>0</v>
      </c>
      <c r="G166" s="2" t="s">
        <v>2917</v>
      </c>
      <c r="H166" s="2" t="s">
        <v>2918</v>
      </c>
      <c r="I166" s="2" t="s">
        <v>813</v>
      </c>
      <c r="J166" s="2" t="s">
        <v>1165</v>
      </c>
      <c r="K166" s="2" t="s">
        <v>3161</v>
      </c>
      <c r="L166" s="2" t="s">
        <v>1079</v>
      </c>
    </row>
    <row r="167" ht="25" hidden="1" customHeight="1" spans="1:12">
      <c r="A167" s="2" t="s">
        <v>388</v>
      </c>
      <c r="B167" s="2" t="s">
        <v>387</v>
      </c>
      <c r="C167" s="2" t="s">
        <v>2925</v>
      </c>
      <c r="D167" s="3">
        <f>IF(ISNUMBER('Sheet4-原始数据'!L60),'Sheet4-原始数据'!L60,"")</f>
        <v>14.1805929569027</v>
      </c>
      <c r="E167" s="3">
        <f>IF(ISNUMBER(补数计算!N6),补数计算!N6,"")</f>
        <v>14.1805929569027</v>
      </c>
      <c r="F167" s="3">
        <f t="shared" si="7"/>
        <v>0</v>
      </c>
      <c r="G167" s="2" t="s">
        <v>2917</v>
      </c>
      <c r="H167" s="2" t="s">
        <v>2918</v>
      </c>
      <c r="I167" s="2" t="s">
        <v>813</v>
      </c>
      <c r="J167" s="2" t="s">
        <v>1166</v>
      </c>
      <c r="K167" s="2" t="s">
        <v>3162</v>
      </c>
      <c r="L167" s="2" t="s">
        <v>1079</v>
      </c>
    </row>
    <row r="168" ht="25" hidden="1" customHeight="1" spans="1:12">
      <c r="A168" s="2" t="s">
        <v>388</v>
      </c>
      <c r="B168" s="2" t="s">
        <v>387</v>
      </c>
      <c r="C168" s="2" t="s">
        <v>2927</v>
      </c>
      <c r="D168" s="3">
        <f>IF(ISNUMBER('Sheet4-原始数据'!M60),'Sheet4-原始数据'!M60,"")</f>
        <v>22.1106040011496</v>
      </c>
      <c r="E168" s="3">
        <f>IF(ISNUMBER(补数计算!N5),补数计算!N5,"")</f>
        <v>22.1106040011496</v>
      </c>
      <c r="F168" s="3">
        <f t="shared" si="7"/>
        <v>0</v>
      </c>
      <c r="G168" s="2" t="s">
        <v>2917</v>
      </c>
      <c r="H168" s="2" t="s">
        <v>2918</v>
      </c>
      <c r="I168" s="2" t="s">
        <v>813</v>
      </c>
      <c r="J168" s="2" t="s">
        <v>1167</v>
      </c>
      <c r="K168" s="2" t="s">
        <v>3163</v>
      </c>
      <c r="L168" s="2" t="s">
        <v>1077</v>
      </c>
    </row>
    <row r="169" ht="25" hidden="1" customHeight="1" spans="1:12">
      <c r="A169" s="2" t="s">
        <v>388</v>
      </c>
      <c r="B169" s="2" t="s">
        <v>387</v>
      </c>
      <c r="C169" s="2" t="s">
        <v>14</v>
      </c>
      <c r="D169" s="3">
        <f>IF(ISNUMBER('Sheet4-原始数据'!S60),'Sheet4-原始数据'!S60,"")</f>
        <v>0.119697639612653</v>
      </c>
      <c r="E169" s="3">
        <f>IF(ISNUMBER(补数计算!L7),补数计算!L7,"")</f>
        <v>0.119697639612653</v>
      </c>
      <c r="F169" s="3">
        <f t="shared" si="7"/>
        <v>0</v>
      </c>
      <c r="G169" s="2" t="s">
        <v>2917</v>
      </c>
      <c r="H169" s="2" t="s">
        <v>2918</v>
      </c>
      <c r="I169" s="2" t="s">
        <v>813</v>
      </c>
      <c r="J169" s="2" t="s">
        <v>1168</v>
      </c>
      <c r="K169" s="2" t="s">
        <v>3164</v>
      </c>
      <c r="L169" s="2" t="s">
        <v>1081</v>
      </c>
    </row>
    <row r="170" ht="25" hidden="1" customHeight="1" spans="1:12">
      <c r="A170" s="2" t="s">
        <v>422</v>
      </c>
      <c r="B170" s="2" t="s">
        <v>421</v>
      </c>
      <c r="C170" s="2" t="s">
        <v>2916</v>
      </c>
      <c r="D170" s="3">
        <f>IF(ISNUMBER('Sheet4-原始数据'!G67),'Sheet4-原始数据'!G67,"")</f>
        <v>0.00652201582515199</v>
      </c>
      <c r="E170" s="3">
        <f>IF(ISNUMBER(补数计算!L44),补数计算!L44,"")</f>
        <v>0.00652201582515199</v>
      </c>
      <c r="F170" s="3">
        <f t="shared" si="7"/>
        <v>0</v>
      </c>
      <c r="G170" s="2" t="s">
        <v>2917</v>
      </c>
      <c r="H170" s="2" t="s">
        <v>2918</v>
      </c>
      <c r="I170" s="2" t="s">
        <v>814</v>
      </c>
      <c r="J170" s="2" t="s">
        <v>1169</v>
      </c>
      <c r="K170" s="2" t="s">
        <v>3165</v>
      </c>
      <c r="L170" s="2" t="s">
        <v>1077</v>
      </c>
    </row>
    <row r="171" ht="25" hidden="1" customHeight="1" spans="1:12">
      <c r="A171" s="2" t="s">
        <v>422</v>
      </c>
      <c r="B171" s="2" t="s">
        <v>421</v>
      </c>
      <c r="C171" s="2" t="s">
        <v>2919</v>
      </c>
      <c r="D171" s="3">
        <f>IF(ISNUMBER('Sheet4-原始数据'!H67),'Sheet4-原始数据'!H67,"")</f>
        <v>0.0926384246815495</v>
      </c>
      <c r="E171" s="3">
        <f>IF(ISNUMBER(补数计算!L45),补数计算!L45,"")</f>
        <v>0.0926384246815495</v>
      </c>
      <c r="F171" s="3">
        <f t="shared" si="7"/>
        <v>0</v>
      </c>
      <c r="G171" s="2" t="s">
        <v>2917</v>
      </c>
      <c r="H171" s="2" t="s">
        <v>2918</v>
      </c>
      <c r="I171" s="2" t="s">
        <v>814</v>
      </c>
      <c r="J171" s="2" t="s">
        <v>1170</v>
      </c>
      <c r="K171" s="2" t="s">
        <v>3166</v>
      </c>
      <c r="L171" s="2" t="s">
        <v>1079</v>
      </c>
    </row>
    <row r="172" ht="25" hidden="1" customHeight="1" spans="1:12">
      <c r="A172" s="2" t="s">
        <v>422</v>
      </c>
      <c r="B172" s="2" t="s">
        <v>421</v>
      </c>
      <c r="C172" s="2" t="s">
        <v>691</v>
      </c>
      <c r="D172" s="3">
        <f>IF(ISNUMBER('Sheet4-原始数据'!I67),'Sheet4-原始数据'!I67,"")</f>
        <v>0.648648648648649</v>
      </c>
      <c r="E172" s="3">
        <f>IF(ISNUMBER(补数计算!O45),补数计算!O45,"")</f>
        <v>0.648648648648649</v>
      </c>
      <c r="F172" s="3">
        <f t="shared" si="7"/>
        <v>0</v>
      </c>
      <c r="G172" s="2" t="s">
        <v>2917</v>
      </c>
      <c r="H172" s="2" t="s">
        <v>2918</v>
      </c>
      <c r="I172" s="2" t="s">
        <v>814</v>
      </c>
      <c r="J172" s="2" t="s">
        <v>1171</v>
      </c>
      <c r="K172" s="2" t="s">
        <v>3167</v>
      </c>
      <c r="L172" s="2" t="s">
        <v>1079</v>
      </c>
    </row>
    <row r="173" ht="25" hidden="1" customHeight="1" spans="1:12">
      <c r="A173" s="2" t="s">
        <v>422</v>
      </c>
      <c r="B173" s="2" t="s">
        <v>421</v>
      </c>
      <c r="C173" s="2" t="s">
        <v>690</v>
      </c>
      <c r="D173" s="3">
        <f>IF(ISNUMBER('Sheet4-原始数据'!J67),'Sheet4-原始数据'!J67,"")</f>
        <v>0.461538461538462</v>
      </c>
      <c r="E173" s="3">
        <f>IF(ISNUMBER(补数计算!O44),补数计算!O44,"")</f>
        <v>0.461538461538462</v>
      </c>
      <c r="F173" s="3">
        <f t="shared" si="7"/>
        <v>0</v>
      </c>
      <c r="G173" s="2" t="s">
        <v>2917</v>
      </c>
      <c r="H173" s="2" t="s">
        <v>2918</v>
      </c>
      <c r="I173" s="2" t="s">
        <v>814</v>
      </c>
      <c r="J173" s="2" t="s">
        <v>1172</v>
      </c>
      <c r="K173" s="2" t="s">
        <v>3168</v>
      </c>
      <c r="L173" s="2" t="s">
        <v>1077</v>
      </c>
    </row>
    <row r="174" ht="25" hidden="1" customHeight="1" spans="1:12">
      <c r="A174" s="2" t="s">
        <v>422</v>
      </c>
      <c r="B174" s="2" t="s">
        <v>421</v>
      </c>
      <c r="C174" s="2" t="s">
        <v>2923</v>
      </c>
      <c r="D174" s="3">
        <f>IF(ISNUMBER('Sheet4-原始数据'!K67),'Sheet4-原始数据'!K67,"")</f>
        <v>0.0431149238278361</v>
      </c>
      <c r="E174" s="3">
        <f>IF(ISNUMBER(补数计算!M45),补数计算!M45,"")</f>
        <v>0.0431149238278361</v>
      </c>
      <c r="F174" s="3">
        <f t="shared" si="7"/>
        <v>0</v>
      </c>
      <c r="G174" s="2" t="s">
        <v>2917</v>
      </c>
      <c r="H174" s="2" t="s">
        <v>2918</v>
      </c>
      <c r="I174" s="2" t="s">
        <v>814</v>
      </c>
      <c r="J174" s="2" t="s">
        <v>1173</v>
      </c>
      <c r="K174" s="2" t="s">
        <v>3169</v>
      </c>
      <c r="L174" s="2" t="s">
        <v>1079</v>
      </c>
    </row>
    <row r="175" ht="25" hidden="1" customHeight="1" spans="1:12">
      <c r="A175" s="2" t="s">
        <v>422</v>
      </c>
      <c r="B175" s="2" t="s">
        <v>421</v>
      </c>
      <c r="C175" s="2" t="s">
        <v>2925</v>
      </c>
      <c r="D175" s="3">
        <f>IF(ISNUMBER('Sheet4-原始数据'!L67),'Sheet4-原始数据'!L67,"")</f>
        <v>2.14863941431203</v>
      </c>
      <c r="E175" s="3">
        <f>IF(ISNUMBER(补数计算!N45),补数计算!N45,"")</f>
        <v>2.14863941431203</v>
      </c>
      <c r="F175" s="3">
        <f t="shared" si="7"/>
        <v>0</v>
      </c>
      <c r="G175" s="2" t="s">
        <v>2917</v>
      </c>
      <c r="H175" s="2" t="s">
        <v>2918</v>
      </c>
      <c r="I175" s="2" t="s">
        <v>814</v>
      </c>
      <c r="J175" s="2" t="s">
        <v>1174</v>
      </c>
      <c r="K175" s="2" t="s">
        <v>3170</v>
      </c>
      <c r="L175" s="2" t="s">
        <v>1079</v>
      </c>
    </row>
    <row r="176" ht="25" hidden="1" customHeight="1" spans="1:12">
      <c r="A176" s="2" t="s">
        <v>422</v>
      </c>
      <c r="B176" s="2" t="s">
        <v>421</v>
      </c>
      <c r="C176" s="2" t="s">
        <v>2927</v>
      </c>
      <c r="D176" s="3">
        <f>IF(ISNUMBER('Sheet4-原始数据'!M67),'Sheet4-原始数据'!M67,"")</f>
        <v>0.151270493975481</v>
      </c>
      <c r="E176" s="3">
        <f>IF(ISNUMBER(补数计算!N44),补数计算!N44,"")</f>
        <v>0.151270493975481</v>
      </c>
      <c r="F176" s="3">
        <f t="shared" si="7"/>
        <v>0</v>
      </c>
      <c r="G176" s="2" t="s">
        <v>2917</v>
      </c>
      <c r="H176" s="2" t="s">
        <v>2918</v>
      </c>
      <c r="I176" s="2" t="s">
        <v>814</v>
      </c>
      <c r="J176" s="2" t="s">
        <v>1175</v>
      </c>
      <c r="K176" s="2" t="s">
        <v>3171</v>
      </c>
      <c r="L176" s="2" t="s">
        <v>1077</v>
      </c>
    </row>
    <row r="177" ht="25" hidden="1" customHeight="1" spans="1:12">
      <c r="A177" s="2" t="s">
        <v>422</v>
      </c>
      <c r="B177" s="2" t="s">
        <v>421</v>
      </c>
      <c r="C177" s="2" t="s">
        <v>14</v>
      </c>
      <c r="D177" s="3" t="str">
        <f>IF(ISNUMBER('Sheet4-原始数据'!S67),'Sheet4-原始数据'!S67,"")</f>
        <v/>
      </c>
      <c r="E177" s="3" t="str">
        <f>""</f>
        <v/>
      </c>
      <c r="F177" s="3" t="str">
        <f t="shared" si="7"/>
        <v/>
      </c>
      <c r="G177" s="2" t="s">
        <v>2937</v>
      </c>
      <c r="H177" s="2" t="s">
        <v>1082</v>
      </c>
      <c r="I177" s="2" t="s">
        <v>814</v>
      </c>
      <c r="J177" s="2" t="s">
        <v>3172</v>
      </c>
      <c r="K177" s="2" t="s">
        <v>3173</v>
      </c>
      <c r="L177" s="2" t="s">
        <v>1081</v>
      </c>
    </row>
    <row r="178" ht="25" hidden="1" customHeight="1" spans="1:12">
      <c r="A178" s="2" t="s">
        <v>472</v>
      </c>
      <c r="B178" s="2" t="s">
        <v>471</v>
      </c>
      <c r="C178" s="2" t="s">
        <v>2916</v>
      </c>
      <c r="D178" s="3">
        <f>IF(ISNUMBER('Sheet4-原始数据'!G76),'Sheet4-原始数据'!G76,"")</f>
        <v>0.0885473475458602</v>
      </c>
      <c r="E178" s="3">
        <f>IF(ISNUMBER(补数计算!L23),补数计算!L23,"")</f>
        <v>0.0885473475458602</v>
      </c>
      <c r="F178" s="3">
        <f t="shared" si="7"/>
        <v>0</v>
      </c>
      <c r="G178" s="2" t="s">
        <v>2917</v>
      </c>
      <c r="H178" s="2" t="s">
        <v>2918</v>
      </c>
      <c r="I178" s="2" t="s">
        <v>815</v>
      </c>
      <c r="J178" s="2" t="s">
        <v>1176</v>
      </c>
      <c r="K178" s="2" t="s">
        <v>3174</v>
      </c>
      <c r="L178" s="2" t="s">
        <v>1077</v>
      </c>
    </row>
    <row r="179" ht="25" hidden="1" customHeight="1" spans="1:12">
      <c r="A179" s="2" t="s">
        <v>472</v>
      </c>
      <c r="B179" s="2" t="s">
        <v>471</v>
      </c>
      <c r="C179" s="2" t="s">
        <v>2919</v>
      </c>
      <c r="D179" s="3" t="str">
        <f>IF(ISNUMBER('Sheet4-原始数据'!H76),'Sheet4-原始数据'!H76,"")</f>
        <v/>
      </c>
      <c r="E179" s="3" t="str">
        <f>""</f>
        <v/>
      </c>
      <c r="F179" s="3" t="str">
        <f t="shared" si="7"/>
        <v/>
      </c>
      <c r="G179" s="2" t="s">
        <v>2937</v>
      </c>
      <c r="H179" s="2" t="s">
        <v>1080</v>
      </c>
      <c r="I179" s="2" t="s">
        <v>815</v>
      </c>
      <c r="J179" s="2" t="s">
        <v>3175</v>
      </c>
      <c r="K179" s="2" t="s">
        <v>3176</v>
      </c>
      <c r="L179" s="2" t="s">
        <v>1079</v>
      </c>
    </row>
    <row r="180" ht="25" hidden="1" customHeight="1" spans="1:12">
      <c r="A180" s="2" t="s">
        <v>472</v>
      </c>
      <c r="B180" s="2" t="s">
        <v>471</v>
      </c>
      <c r="C180" s="2" t="s">
        <v>691</v>
      </c>
      <c r="D180" s="3" t="str">
        <f>IF(ISNUMBER('Sheet4-原始数据'!I76),'Sheet4-原始数据'!I76,"")</f>
        <v/>
      </c>
      <c r="E180" s="3" t="str">
        <f>""</f>
        <v/>
      </c>
      <c r="F180" s="3" t="str">
        <f t="shared" si="7"/>
        <v/>
      </c>
      <c r="G180" s="2" t="s">
        <v>2937</v>
      </c>
      <c r="H180" s="2" t="s">
        <v>1080</v>
      </c>
      <c r="I180" s="2" t="s">
        <v>815</v>
      </c>
      <c r="J180" s="2" t="s">
        <v>3177</v>
      </c>
      <c r="K180" s="2" t="s">
        <v>3178</v>
      </c>
      <c r="L180" s="2" t="s">
        <v>1079</v>
      </c>
    </row>
    <row r="181" ht="25" hidden="1" customHeight="1" spans="1:12">
      <c r="A181" s="2" t="s">
        <v>472</v>
      </c>
      <c r="B181" s="2" t="s">
        <v>471</v>
      </c>
      <c r="C181" s="2" t="s">
        <v>690</v>
      </c>
      <c r="D181" s="3">
        <f>IF(ISNUMBER('Sheet4-原始数据'!J76),'Sheet4-原始数据'!J76,"")</f>
        <v>1</v>
      </c>
      <c r="E181" s="3">
        <f>IF(ISNUMBER(补数计算!O23),补数计算!O23,"")</f>
        <v>1</v>
      </c>
      <c r="F181" s="3">
        <f t="shared" si="7"/>
        <v>0</v>
      </c>
      <c r="G181" s="2" t="s">
        <v>2917</v>
      </c>
      <c r="H181" s="2" t="s">
        <v>2918</v>
      </c>
      <c r="I181" s="2" t="s">
        <v>815</v>
      </c>
      <c r="J181" s="2" t="s">
        <v>1177</v>
      </c>
      <c r="K181" s="2" t="s">
        <v>3179</v>
      </c>
      <c r="L181" s="2" t="s">
        <v>1077</v>
      </c>
    </row>
    <row r="182" ht="25" hidden="1" customHeight="1" spans="1:12">
      <c r="A182" s="2" t="s">
        <v>472</v>
      </c>
      <c r="B182" s="2" t="s">
        <v>471</v>
      </c>
      <c r="C182" s="2" t="s">
        <v>2923</v>
      </c>
      <c r="D182" s="3" t="str">
        <f>IF(ISNUMBER('Sheet4-原始数据'!K76),'Sheet4-原始数据'!K76,"")</f>
        <v/>
      </c>
      <c r="E182" s="3" t="str">
        <f>""</f>
        <v/>
      </c>
      <c r="F182" s="3" t="str">
        <f t="shared" si="7"/>
        <v/>
      </c>
      <c r="G182" s="2" t="s">
        <v>2937</v>
      </c>
      <c r="H182" s="2" t="s">
        <v>1080</v>
      </c>
      <c r="I182" s="2" t="s">
        <v>815</v>
      </c>
      <c r="J182" s="2" t="s">
        <v>3180</v>
      </c>
      <c r="K182" s="2" t="s">
        <v>3181</v>
      </c>
      <c r="L182" s="2" t="s">
        <v>1079</v>
      </c>
    </row>
    <row r="183" ht="25" hidden="1" customHeight="1" spans="1:12">
      <c r="A183" s="2" t="s">
        <v>472</v>
      </c>
      <c r="B183" s="2" t="s">
        <v>471</v>
      </c>
      <c r="C183" s="2" t="s">
        <v>2925</v>
      </c>
      <c r="D183" s="3" t="str">
        <f>IF(ISNUMBER('Sheet4-原始数据'!L76),'Sheet4-原始数据'!L76,"")</f>
        <v/>
      </c>
      <c r="E183" s="3" t="str">
        <f>""</f>
        <v/>
      </c>
      <c r="F183" s="3" t="str">
        <f t="shared" si="7"/>
        <v/>
      </c>
      <c r="G183" s="2" t="s">
        <v>2937</v>
      </c>
      <c r="H183" s="2" t="s">
        <v>1080</v>
      </c>
      <c r="I183" s="2" t="s">
        <v>815</v>
      </c>
      <c r="J183" s="2" t="s">
        <v>3007</v>
      </c>
      <c r="K183" s="2" t="s">
        <v>3182</v>
      </c>
      <c r="L183" s="2" t="s">
        <v>1079</v>
      </c>
    </row>
    <row r="184" ht="25" hidden="1" customHeight="1" spans="1:12">
      <c r="A184" s="2" t="s">
        <v>472</v>
      </c>
      <c r="B184" s="2" t="s">
        <v>471</v>
      </c>
      <c r="C184" s="2" t="s">
        <v>2927</v>
      </c>
      <c r="D184" s="3">
        <f>IF(ISNUMBER('Sheet4-原始数据'!M76),'Sheet4-原始数据'!M76,"")</f>
        <v>26.1337657687431</v>
      </c>
      <c r="E184" s="3">
        <f>IF(ISNUMBER(补数计算!N23),补数计算!N23,"")</f>
        <v>26.1337657687431</v>
      </c>
      <c r="F184" s="3">
        <f t="shared" si="7"/>
        <v>0</v>
      </c>
      <c r="G184" s="2" t="s">
        <v>2917</v>
      </c>
      <c r="H184" s="2" t="s">
        <v>2918</v>
      </c>
      <c r="I184" s="2" t="s">
        <v>815</v>
      </c>
      <c r="J184" s="2" t="s">
        <v>1178</v>
      </c>
      <c r="K184" s="2" t="s">
        <v>3183</v>
      </c>
      <c r="L184" s="2" t="s">
        <v>1077</v>
      </c>
    </row>
    <row r="185" ht="25" hidden="1" customHeight="1" spans="1:12">
      <c r="A185" s="2" t="s">
        <v>472</v>
      </c>
      <c r="B185" s="2" t="s">
        <v>471</v>
      </c>
      <c r="C185" s="2" t="s">
        <v>14</v>
      </c>
      <c r="D185" s="3">
        <f>IF(ISNUMBER('Sheet4-原始数据'!S76),'Sheet4-原始数据'!S76,"")</f>
        <v>0.0842588197581635</v>
      </c>
      <c r="E185" s="3">
        <f>IF(ISNUMBER(补数计算!L25),补数计算!L25,"")</f>
        <v>0.0842588197581635</v>
      </c>
      <c r="F185" s="3">
        <f t="shared" si="7"/>
        <v>0</v>
      </c>
      <c r="G185" s="2" t="s">
        <v>2917</v>
      </c>
      <c r="H185" s="2" t="s">
        <v>2918</v>
      </c>
      <c r="I185" s="2" t="s">
        <v>815</v>
      </c>
      <c r="J185" s="2" t="s">
        <v>1179</v>
      </c>
      <c r="K185" s="2" t="s">
        <v>2979</v>
      </c>
      <c r="L185" s="2" t="s">
        <v>1081</v>
      </c>
    </row>
    <row r="186" ht="25" hidden="1" customHeight="1" spans="1:12">
      <c r="A186" s="2" t="s">
        <v>477</v>
      </c>
      <c r="B186" s="2" t="s">
        <v>476</v>
      </c>
      <c r="C186" s="2" t="s">
        <v>2916</v>
      </c>
      <c r="D186" s="3" t="str">
        <f>IF(ISNUMBER('Sheet4-原始数据'!G77),'Sheet4-原始数据'!G77,"")</f>
        <v/>
      </c>
      <c r="E186" s="3" t="str">
        <f t="shared" ref="E186:E201" si="8">""</f>
        <v/>
      </c>
      <c r="F186" s="3" t="str">
        <f t="shared" si="7"/>
        <v/>
      </c>
      <c r="G186" s="2" t="s">
        <v>2937</v>
      </c>
      <c r="H186" s="2" t="s">
        <v>1080</v>
      </c>
      <c r="I186" s="2" t="s">
        <v>1012</v>
      </c>
      <c r="J186" s="2" t="s">
        <v>3184</v>
      </c>
      <c r="K186" s="2" t="s">
        <v>3185</v>
      </c>
      <c r="L186" s="2" t="s">
        <v>1077</v>
      </c>
    </row>
    <row r="187" ht="25" hidden="1" customHeight="1" spans="1:12">
      <c r="A187" s="2" t="s">
        <v>477</v>
      </c>
      <c r="B187" s="2" t="s">
        <v>476</v>
      </c>
      <c r="C187" s="2" t="s">
        <v>2919</v>
      </c>
      <c r="D187" s="3" t="str">
        <f>IF(ISNUMBER('Sheet4-原始数据'!H77),'Sheet4-原始数据'!H77,"")</f>
        <v/>
      </c>
      <c r="E187" s="3" t="str">
        <f t="shared" si="8"/>
        <v/>
      </c>
      <c r="F187" s="3" t="str">
        <f t="shared" si="7"/>
        <v/>
      </c>
      <c r="G187" s="2" t="s">
        <v>2937</v>
      </c>
      <c r="H187" s="2" t="s">
        <v>1080</v>
      </c>
      <c r="I187" s="2" t="s">
        <v>1012</v>
      </c>
      <c r="J187" s="2" t="s">
        <v>3186</v>
      </c>
      <c r="K187" s="2" t="s">
        <v>3187</v>
      </c>
      <c r="L187" s="2" t="s">
        <v>1079</v>
      </c>
    </row>
    <row r="188" ht="25" hidden="1" customHeight="1" spans="1:12">
      <c r="A188" s="2" t="s">
        <v>477</v>
      </c>
      <c r="B188" s="2" t="s">
        <v>476</v>
      </c>
      <c r="C188" s="2" t="s">
        <v>691</v>
      </c>
      <c r="D188" s="3" t="str">
        <f>IF(ISNUMBER('Sheet4-原始数据'!I77),'Sheet4-原始数据'!I77,"")</f>
        <v/>
      </c>
      <c r="E188" s="3" t="str">
        <f t="shared" si="8"/>
        <v/>
      </c>
      <c r="F188" s="3" t="str">
        <f t="shared" si="7"/>
        <v/>
      </c>
      <c r="G188" s="2" t="s">
        <v>2937</v>
      </c>
      <c r="H188" s="2" t="s">
        <v>1080</v>
      </c>
      <c r="I188" s="2" t="s">
        <v>1012</v>
      </c>
      <c r="J188" s="2" t="s">
        <v>3188</v>
      </c>
      <c r="K188" s="2" t="s">
        <v>3189</v>
      </c>
      <c r="L188" s="2" t="s">
        <v>1079</v>
      </c>
    </row>
    <row r="189" ht="25" hidden="1" customHeight="1" spans="1:12">
      <c r="A189" s="2" t="s">
        <v>477</v>
      </c>
      <c r="B189" s="2" t="s">
        <v>476</v>
      </c>
      <c r="C189" s="2" t="s">
        <v>690</v>
      </c>
      <c r="D189" s="3" t="str">
        <f>IF(ISNUMBER('Sheet4-原始数据'!J77),'Sheet4-原始数据'!J77,"")</f>
        <v/>
      </c>
      <c r="E189" s="3" t="str">
        <f t="shared" si="8"/>
        <v/>
      </c>
      <c r="F189" s="3" t="str">
        <f t="shared" si="7"/>
        <v/>
      </c>
      <c r="G189" s="2" t="s">
        <v>2937</v>
      </c>
      <c r="H189" s="2" t="s">
        <v>1080</v>
      </c>
      <c r="I189" s="2" t="s">
        <v>1012</v>
      </c>
      <c r="J189" s="2" t="s">
        <v>3190</v>
      </c>
      <c r="K189" s="2" t="s">
        <v>3191</v>
      </c>
      <c r="L189" s="2" t="s">
        <v>1077</v>
      </c>
    </row>
    <row r="190" ht="25" hidden="1" customHeight="1" spans="1:12">
      <c r="A190" s="2" t="s">
        <v>477</v>
      </c>
      <c r="B190" s="2" t="s">
        <v>476</v>
      </c>
      <c r="C190" s="2" t="s">
        <v>2923</v>
      </c>
      <c r="D190" s="3" t="str">
        <f>IF(ISNUMBER('Sheet4-原始数据'!K77),'Sheet4-原始数据'!K77,"")</f>
        <v/>
      </c>
      <c r="E190" s="3" t="str">
        <f t="shared" si="8"/>
        <v/>
      </c>
      <c r="F190" s="3" t="str">
        <f t="shared" si="7"/>
        <v/>
      </c>
      <c r="G190" s="2" t="s">
        <v>2937</v>
      </c>
      <c r="H190" s="2" t="s">
        <v>1080</v>
      </c>
      <c r="I190" s="2" t="s">
        <v>1012</v>
      </c>
      <c r="J190" s="2" t="s">
        <v>3192</v>
      </c>
      <c r="K190" s="2" t="s">
        <v>3193</v>
      </c>
      <c r="L190" s="2" t="s">
        <v>1079</v>
      </c>
    </row>
    <row r="191" ht="25" hidden="1" customHeight="1" spans="1:12">
      <c r="A191" s="2" t="s">
        <v>477</v>
      </c>
      <c r="B191" s="2" t="s">
        <v>476</v>
      </c>
      <c r="C191" s="2" t="s">
        <v>2925</v>
      </c>
      <c r="D191" s="3" t="str">
        <f>IF(ISNUMBER('Sheet4-原始数据'!L77),'Sheet4-原始数据'!L77,"")</f>
        <v/>
      </c>
      <c r="E191" s="3" t="str">
        <f t="shared" si="8"/>
        <v/>
      </c>
      <c r="F191" s="3" t="str">
        <f t="shared" si="7"/>
        <v/>
      </c>
      <c r="G191" s="2" t="s">
        <v>2937</v>
      </c>
      <c r="H191" s="2" t="s">
        <v>1080</v>
      </c>
      <c r="I191" s="2" t="s">
        <v>1012</v>
      </c>
      <c r="J191" s="2" t="s">
        <v>3087</v>
      </c>
      <c r="K191" s="2" t="s">
        <v>3194</v>
      </c>
      <c r="L191" s="2" t="s">
        <v>1079</v>
      </c>
    </row>
    <row r="192" ht="25" hidden="1" customHeight="1" spans="1:12">
      <c r="A192" s="2" t="s">
        <v>477</v>
      </c>
      <c r="B192" s="2" t="s">
        <v>476</v>
      </c>
      <c r="C192" s="2" t="s">
        <v>2927</v>
      </c>
      <c r="D192" s="3" t="str">
        <f>IF(ISNUMBER('Sheet4-原始数据'!M77),'Sheet4-原始数据'!M77,"")</f>
        <v/>
      </c>
      <c r="E192" s="3" t="str">
        <f t="shared" si="8"/>
        <v/>
      </c>
      <c r="F192" s="3" t="str">
        <f t="shared" si="7"/>
        <v/>
      </c>
      <c r="G192" s="2" t="s">
        <v>2937</v>
      </c>
      <c r="H192" s="2" t="s">
        <v>1080</v>
      </c>
      <c r="I192" s="2" t="s">
        <v>1012</v>
      </c>
      <c r="J192" s="2" t="s">
        <v>3195</v>
      </c>
      <c r="K192" s="2" t="s">
        <v>3196</v>
      </c>
      <c r="L192" s="2" t="s">
        <v>1077</v>
      </c>
    </row>
    <row r="193" ht="25" hidden="1" customHeight="1" spans="1:12">
      <c r="A193" s="2" t="s">
        <v>477</v>
      </c>
      <c r="B193" s="2" t="s">
        <v>476</v>
      </c>
      <c r="C193" s="2" t="s">
        <v>14</v>
      </c>
      <c r="D193" s="3" t="str">
        <f>IF(ISNUMBER('Sheet4-原始数据'!S77),'Sheet4-原始数据'!S77,"")</f>
        <v/>
      </c>
      <c r="E193" s="3" t="str">
        <f t="shared" si="8"/>
        <v/>
      </c>
      <c r="F193" s="3" t="str">
        <f t="shared" si="7"/>
        <v/>
      </c>
      <c r="G193" s="2" t="s">
        <v>2937</v>
      </c>
      <c r="H193" s="2" t="s">
        <v>1082</v>
      </c>
      <c r="I193" s="2" t="s">
        <v>1012</v>
      </c>
      <c r="J193" s="2" t="s">
        <v>3197</v>
      </c>
      <c r="K193" s="2" t="s">
        <v>3198</v>
      </c>
      <c r="L193" s="2" t="s">
        <v>1081</v>
      </c>
    </row>
    <row r="194" ht="25" hidden="1" customHeight="1" spans="1:12">
      <c r="A194" s="2" t="s">
        <v>481</v>
      </c>
      <c r="B194" s="2" t="s">
        <v>480</v>
      </c>
      <c r="C194" s="2" t="s">
        <v>2916</v>
      </c>
      <c r="D194" s="3" t="str">
        <f>IF(ISNUMBER('Sheet4-原始数据'!G78),'Sheet4-原始数据'!G78,"")</f>
        <v/>
      </c>
      <c r="E194" s="3" t="str">
        <f t="shared" si="8"/>
        <v/>
      </c>
      <c r="F194" s="3" t="str">
        <f t="shared" ref="F194:F209" si="9">IF(AND(ISNUMBER(D194),ISNUMBER(E194)),E194-D194,"")</f>
        <v/>
      </c>
      <c r="G194" s="2" t="s">
        <v>2937</v>
      </c>
      <c r="H194" s="2" t="s">
        <v>1080</v>
      </c>
      <c r="I194" s="2" t="s">
        <v>1014</v>
      </c>
      <c r="J194" s="2" t="s">
        <v>3199</v>
      </c>
      <c r="K194" s="2" t="s">
        <v>1148</v>
      </c>
      <c r="L194" s="2" t="s">
        <v>1077</v>
      </c>
    </row>
    <row r="195" ht="25" hidden="1" customHeight="1" spans="1:12">
      <c r="A195" s="2" t="s">
        <v>481</v>
      </c>
      <c r="B195" s="2" t="s">
        <v>480</v>
      </c>
      <c r="C195" s="2" t="s">
        <v>2919</v>
      </c>
      <c r="D195" s="3" t="str">
        <f>IF(ISNUMBER('Sheet4-原始数据'!H78),'Sheet4-原始数据'!H78,"")</f>
        <v/>
      </c>
      <c r="E195" s="3" t="str">
        <f t="shared" si="8"/>
        <v/>
      </c>
      <c r="F195" s="3" t="str">
        <f t="shared" si="9"/>
        <v/>
      </c>
      <c r="G195" s="2" t="s">
        <v>2937</v>
      </c>
      <c r="H195" s="2" t="s">
        <v>1080</v>
      </c>
      <c r="I195" s="2" t="s">
        <v>1014</v>
      </c>
      <c r="J195" s="2" t="s">
        <v>3200</v>
      </c>
      <c r="K195" s="2" t="s">
        <v>3201</v>
      </c>
      <c r="L195" s="2" t="s">
        <v>1079</v>
      </c>
    </row>
    <row r="196" ht="25" hidden="1" customHeight="1" spans="1:12">
      <c r="A196" s="2" t="s">
        <v>481</v>
      </c>
      <c r="B196" s="2" t="s">
        <v>480</v>
      </c>
      <c r="C196" s="2" t="s">
        <v>691</v>
      </c>
      <c r="D196" s="3" t="str">
        <f>IF(ISNUMBER('Sheet4-原始数据'!I78),'Sheet4-原始数据'!I78,"")</f>
        <v/>
      </c>
      <c r="E196" s="3" t="str">
        <f t="shared" si="8"/>
        <v/>
      </c>
      <c r="F196" s="3" t="str">
        <f t="shared" si="9"/>
        <v/>
      </c>
      <c r="G196" s="2" t="s">
        <v>2937</v>
      </c>
      <c r="H196" s="2" t="s">
        <v>1080</v>
      </c>
      <c r="I196" s="2" t="s">
        <v>1014</v>
      </c>
      <c r="J196" s="2" t="s">
        <v>3202</v>
      </c>
      <c r="K196" s="2" t="s">
        <v>3203</v>
      </c>
      <c r="L196" s="2" t="s">
        <v>1079</v>
      </c>
    </row>
    <row r="197" ht="25" hidden="1" customHeight="1" spans="1:12">
      <c r="A197" s="2" t="s">
        <v>481</v>
      </c>
      <c r="B197" s="2" t="s">
        <v>480</v>
      </c>
      <c r="C197" s="2" t="s">
        <v>690</v>
      </c>
      <c r="D197" s="3" t="str">
        <f>IF(ISNUMBER('Sheet4-原始数据'!J78),'Sheet4-原始数据'!J78,"")</f>
        <v/>
      </c>
      <c r="E197" s="3" t="str">
        <f t="shared" si="8"/>
        <v/>
      </c>
      <c r="F197" s="3" t="str">
        <f t="shared" si="9"/>
        <v/>
      </c>
      <c r="G197" s="2" t="s">
        <v>2937</v>
      </c>
      <c r="H197" s="2" t="s">
        <v>1080</v>
      </c>
      <c r="I197" s="2" t="s">
        <v>1014</v>
      </c>
      <c r="J197" s="2" t="s">
        <v>3204</v>
      </c>
      <c r="K197" s="2" t="s">
        <v>3205</v>
      </c>
      <c r="L197" s="2" t="s">
        <v>1077</v>
      </c>
    </row>
    <row r="198" ht="25" hidden="1" customHeight="1" spans="1:12">
      <c r="A198" s="2" t="s">
        <v>481</v>
      </c>
      <c r="B198" s="2" t="s">
        <v>480</v>
      </c>
      <c r="C198" s="2" t="s">
        <v>2923</v>
      </c>
      <c r="D198" s="3" t="str">
        <f>IF(ISNUMBER('Sheet4-原始数据'!K78),'Sheet4-原始数据'!K78,"")</f>
        <v/>
      </c>
      <c r="E198" s="3" t="str">
        <f t="shared" si="8"/>
        <v/>
      </c>
      <c r="F198" s="3" t="str">
        <f t="shared" si="9"/>
        <v/>
      </c>
      <c r="G198" s="2" t="s">
        <v>2937</v>
      </c>
      <c r="H198" s="2" t="s">
        <v>1080</v>
      </c>
      <c r="I198" s="2" t="s">
        <v>1014</v>
      </c>
      <c r="J198" s="2" t="s">
        <v>3206</v>
      </c>
      <c r="K198" s="2" t="s">
        <v>3207</v>
      </c>
      <c r="L198" s="2" t="s">
        <v>1079</v>
      </c>
    </row>
    <row r="199" ht="25" hidden="1" customHeight="1" spans="1:12">
      <c r="A199" s="2" t="s">
        <v>481</v>
      </c>
      <c r="B199" s="2" t="s">
        <v>480</v>
      </c>
      <c r="C199" s="2" t="s">
        <v>2925</v>
      </c>
      <c r="D199" s="3" t="str">
        <f>IF(ISNUMBER('Sheet4-原始数据'!L78),'Sheet4-原始数据'!L78,"")</f>
        <v/>
      </c>
      <c r="E199" s="3" t="str">
        <f t="shared" si="8"/>
        <v/>
      </c>
      <c r="F199" s="3" t="str">
        <f t="shared" si="9"/>
        <v/>
      </c>
      <c r="G199" s="2" t="s">
        <v>2937</v>
      </c>
      <c r="H199" s="2" t="s">
        <v>1080</v>
      </c>
      <c r="I199" s="2" t="s">
        <v>1014</v>
      </c>
      <c r="J199" s="2" t="s">
        <v>3089</v>
      </c>
      <c r="K199" s="2" t="s">
        <v>3208</v>
      </c>
      <c r="L199" s="2" t="s">
        <v>1079</v>
      </c>
    </row>
    <row r="200" ht="25" hidden="1" customHeight="1" spans="1:12">
      <c r="A200" s="2" t="s">
        <v>481</v>
      </c>
      <c r="B200" s="2" t="s">
        <v>480</v>
      </c>
      <c r="C200" s="2" t="s">
        <v>2927</v>
      </c>
      <c r="D200" s="3" t="str">
        <f>IF(ISNUMBER('Sheet4-原始数据'!M78),'Sheet4-原始数据'!M78,"")</f>
        <v/>
      </c>
      <c r="E200" s="3" t="str">
        <f t="shared" si="8"/>
        <v/>
      </c>
      <c r="F200" s="3" t="str">
        <f t="shared" si="9"/>
        <v/>
      </c>
      <c r="G200" s="2" t="s">
        <v>2937</v>
      </c>
      <c r="H200" s="2" t="s">
        <v>1080</v>
      </c>
      <c r="I200" s="2" t="s">
        <v>1014</v>
      </c>
      <c r="J200" s="2" t="s">
        <v>3095</v>
      </c>
      <c r="K200" s="2" t="s">
        <v>3209</v>
      </c>
      <c r="L200" s="2" t="s">
        <v>1077</v>
      </c>
    </row>
    <row r="201" ht="25" hidden="1" customHeight="1" spans="1:12">
      <c r="A201" s="2" t="s">
        <v>481</v>
      </c>
      <c r="B201" s="2" t="s">
        <v>480</v>
      </c>
      <c r="C201" s="2" t="s">
        <v>14</v>
      </c>
      <c r="D201" s="3">
        <f>IF(ISNUMBER('Sheet4-原始数据'!S78),'Sheet4-原始数据'!S78,"")</f>
        <v>0.1333</v>
      </c>
      <c r="E201" s="3" t="str">
        <f t="shared" si="8"/>
        <v/>
      </c>
      <c r="F201" s="3" t="str">
        <f t="shared" si="9"/>
        <v/>
      </c>
      <c r="G201" s="2" t="s">
        <v>2937</v>
      </c>
      <c r="H201" s="2" t="s">
        <v>2968</v>
      </c>
      <c r="I201" s="2" t="s">
        <v>1014</v>
      </c>
      <c r="J201" s="2" t="s">
        <v>3210</v>
      </c>
      <c r="K201" s="2" t="s">
        <v>3120</v>
      </c>
      <c r="L201" s="2" t="s">
        <v>1081</v>
      </c>
    </row>
    <row r="202" ht="25" hidden="1" customHeight="1" spans="1:12">
      <c r="A202" s="2" t="s">
        <v>816</v>
      </c>
      <c r="B202" s="2" t="s">
        <v>518</v>
      </c>
      <c r="C202" s="2" t="s">
        <v>2916</v>
      </c>
      <c r="D202" s="3">
        <f>IF(ISNUMBER('Sheet4-原始数据'!G84),'Sheet4-原始数据'!G84,"")</f>
        <v>0.254213705021174</v>
      </c>
      <c r="E202" s="3">
        <f>IF(ISNUMBER(补数计算!L17),补数计算!L17,"")</f>
        <v>0.254213705021174</v>
      </c>
      <c r="F202" s="3">
        <f t="shared" si="9"/>
        <v>0</v>
      </c>
      <c r="G202" s="2" t="s">
        <v>2917</v>
      </c>
      <c r="H202" s="2" t="s">
        <v>2918</v>
      </c>
      <c r="I202" s="2" t="s">
        <v>819</v>
      </c>
      <c r="J202" s="2" t="s">
        <v>1180</v>
      </c>
      <c r="K202" s="2" t="s">
        <v>3211</v>
      </c>
      <c r="L202" s="2" t="s">
        <v>1077</v>
      </c>
    </row>
    <row r="203" ht="25" hidden="1" customHeight="1" spans="1:12">
      <c r="A203" s="2" t="s">
        <v>816</v>
      </c>
      <c r="B203" s="2" t="s">
        <v>518</v>
      </c>
      <c r="C203" s="2" t="s">
        <v>2919</v>
      </c>
      <c r="D203" s="3" t="str">
        <f>IF(ISNUMBER('Sheet4-原始数据'!H84),'Sheet4-原始数据'!H84,"")</f>
        <v/>
      </c>
      <c r="E203" s="3" t="str">
        <f>""</f>
        <v/>
      </c>
      <c r="F203" s="3" t="str">
        <f t="shared" si="9"/>
        <v/>
      </c>
      <c r="G203" s="2" t="s">
        <v>2937</v>
      </c>
      <c r="H203" s="2" t="s">
        <v>1080</v>
      </c>
      <c r="I203" s="2" t="s">
        <v>819</v>
      </c>
      <c r="J203" s="2" t="s">
        <v>3212</v>
      </c>
      <c r="K203" s="2" t="s">
        <v>3213</v>
      </c>
      <c r="L203" s="2" t="s">
        <v>1079</v>
      </c>
    </row>
    <row r="204" ht="25" hidden="1" customHeight="1" spans="1:12">
      <c r="A204" s="2" t="s">
        <v>816</v>
      </c>
      <c r="B204" s="2" t="s">
        <v>518</v>
      </c>
      <c r="C204" s="2" t="s">
        <v>691</v>
      </c>
      <c r="D204" s="3" t="str">
        <f>IF(ISNUMBER('Sheet4-原始数据'!I84),'Sheet4-原始数据'!I84,"")</f>
        <v/>
      </c>
      <c r="E204" s="3" t="str">
        <f>""</f>
        <v/>
      </c>
      <c r="F204" s="3" t="str">
        <f t="shared" si="9"/>
        <v/>
      </c>
      <c r="G204" s="2" t="s">
        <v>2937</v>
      </c>
      <c r="H204" s="2" t="s">
        <v>1080</v>
      </c>
      <c r="I204" s="2" t="s">
        <v>819</v>
      </c>
      <c r="J204" s="2" t="s">
        <v>3214</v>
      </c>
      <c r="K204" s="2" t="s">
        <v>3215</v>
      </c>
      <c r="L204" s="2" t="s">
        <v>1079</v>
      </c>
    </row>
    <row r="205" ht="25" hidden="1" customHeight="1" spans="1:12">
      <c r="A205" s="2" t="s">
        <v>816</v>
      </c>
      <c r="B205" s="2" t="s">
        <v>518</v>
      </c>
      <c r="C205" s="2" t="s">
        <v>690</v>
      </c>
      <c r="D205" s="3">
        <f>IF(ISNUMBER('Sheet4-原始数据'!J84),'Sheet4-原始数据'!J84,"")</f>
        <v>1</v>
      </c>
      <c r="E205" s="3">
        <f>IF(ISNUMBER(补数计算!O17),补数计算!O17,"")</f>
        <v>1</v>
      </c>
      <c r="F205" s="3">
        <f t="shared" si="9"/>
        <v>0</v>
      </c>
      <c r="G205" s="2" t="s">
        <v>2917</v>
      </c>
      <c r="H205" s="2" t="s">
        <v>2918</v>
      </c>
      <c r="I205" s="2" t="s">
        <v>819</v>
      </c>
      <c r="J205" s="2" t="s">
        <v>1181</v>
      </c>
      <c r="K205" s="2" t="s">
        <v>3216</v>
      </c>
      <c r="L205" s="2" t="s">
        <v>1077</v>
      </c>
    </row>
    <row r="206" ht="25" hidden="1" customHeight="1" spans="1:12">
      <c r="A206" s="2" t="s">
        <v>816</v>
      </c>
      <c r="B206" s="2" t="s">
        <v>518</v>
      </c>
      <c r="C206" s="2" t="s">
        <v>2923</v>
      </c>
      <c r="D206" s="3" t="str">
        <f>IF(ISNUMBER('Sheet4-原始数据'!K84),'Sheet4-原始数据'!K84,"")</f>
        <v/>
      </c>
      <c r="E206" s="3" t="str">
        <f>""</f>
        <v/>
      </c>
      <c r="F206" s="3" t="str">
        <f t="shared" si="9"/>
        <v/>
      </c>
      <c r="G206" s="2" t="s">
        <v>2937</v>
      </c>
      <c r="H206" s="2" t="s">
        <v>1080</v>
      </c>
      <c r="I206" s="2" t="s">
        <v>819</v>
      </c>
      <c r="J206" s="2" t="s">
        <v>3217</v>
      </c>
      <c r="K206" s="2" t="s">
        <v>3218</v>
      </c>
      <c r="L206" s="2" t="s">
        <v>1079</v>
      </c>
    </row>
    <row r="207" ht="25" hidden="1" customHeight="1" spans="1:12">
      <c r="A207" s="2" t="s">
        <v>816</v>
      </c>
      <c r="B207" s="2" t="s">
        <v>518</v>
      </c>
      <c r="C207" s="2" t="s">
        <v>2925</v>
      </c>
      <c r="D207" s="3" t="str">
        <f>IF(ISNUMBER('Sheet4-原始数据'!L84),'Sheet4-原始数据'!L84,"")</f>
        <v/>
      </c>
      <c r="E207" s="3" t="str">
        <f>""</f>
        <v/>
      </c>
      <c r="F207" s="3" t="str">
        <f t="shared" si="9"/>
        <v/>
      </c>
      <c r="G207" s="2" t="s">
        <v>2937</v>
      </c>
      <c r="H207" s="2" t="s">
        <v>1080</v>
      </c>
      <c r="I207" s="2" t="s">
        <v>819</v>
      </c>
      <c r="J207" s="2" t="s">
        <v>3219</v>
      </c>
      <c r="K207" s="2" t="s">
        <v>3220</v>
      </c>
      <c r="L207" s="2" t="s">
        <v>1079</v>
      </c>
    </row>
    <row r="208" ht="25" hidden="1" customHeight="1" spans="1:12">
      <c r="A208" s="2" t="s">
        <v>816</v>
      </c>
      <c r="B208" s="2" t="s">
        <v>518</v>
      </c>
      <c r="C208" s="2" t="s">
        <v>2927</v>
      </c>
      <c r="D208" s="3">
        <f>IF(ISNUMBER('Sheet4-原始数据'!M84),'Sheet4-原始数据'!M84,"")</f>
        <v>22.825642454631</v>
      </c>
      <c r="E208" s="3">
        <f>IF(ISNUMBER(补数计算!N17),补数计算!N17,"")</f>
        <v>22.825642454631</v>
      </c>
      <c r="F208" s="3">
        <f t="shared" si="9"/>
        <v>0</v>
      </c>
      <c r="G208" s="2" t="s">
        <v>2917</v>
      </c>
      <c r="H208" s="2" t="s">
        <v>2918</v>
      </c>
      <c r="I208" s="2" t="s">
        <v>819</v>
      </c>
      <c r="J208" s="2" t="s">
        <v>1182</v>
      </c>
      <c r="K208" s="2" t="s">
        <v>3221</v>
      </c>
      <c r="L208" s="2" t="s">
        <v>1077</v>
      </c>
    </row>
    <row r="209" ht="25" hidden="1" customHeight="1" spans="1:12">
      <c r="A209" s="2" t="s">
        <v>816</v>
      </c>
      <c r="B209" s="2" t="s">
        <v>518</v>
      </c>
      <c r="C209" s="2" t="s">
        <v>14</v>
      </c>
      <c r="D209" s="3" t="str">
        <f>IF(ISNUMBER('Sheet4-原始数据'!S84),'Sheet4-原始数据'!S84,"")</f>
        <v/>
      </c>
      <c r="E209" s="3" t="str">
        <f>""</f>
        <v/>
      </c>
      <c r="F209" s="3" t="str">
        <f t="shared" si="9"/>
        <v/>
      </c>
      <c r="G209" s="2" t="s">
        <v>2937</v>
      </c>
      <c r="H209" s="2" t="s">
        <v>1082</v>
      </c>
      <c r="I209" s="2" t="s">
        <v>819</v>
      </c>
      <c r="J209" s="2" t="s">
        <v>3222</v>
      </c>
      <c r="K209" s="2" t="s">
        <v>3223</v>
      </c>
      <c r="L209" s="2" t="s">
        <v>1081</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套利产品</vt:lpstr>
      <vt:lpstr>Sheet1-指标体系</vt:lpstr>
      <vt:lpstr>Sheet2-计算明细</vt:lpstr>
      <vt:lpstr>Sheet3-分类汇总</vt:lpstr>
      <vt:lpstr>Sheet4-原始数据</vt:lpstr>
      <vt:lpstr>Sheet5-查询核对</vt:lpstr>
      <vt:lpstr>净值原始</vt:lpstr>
      <vt:lpstr>月度明细</vt:lpstr>
      <vt:lpstr>补数计算</vt:lpstr>
      <vt:lpstr>补数记录</vt:lpstr>
      <vt:lpstr>协会公示</vt:lpstr>
      <vt:lpstr>大规模策略池</vt:lpstr>
      <vt:lpstr>小规模策略池</vt:lpstr>
      <vt:lpstr>分数对比</vt:lpstr>
      <vt:lpstr>差异细项</vt:lpstr>
      <vt:lpstr>对照快照</vt:lpstr>
      <vt:lpstr>压缩包逐项核算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王哪跑大怪兽</cp:lastModifiedBy>
  <dcterms:created xsi:type="dcterms:W3CDTF">2026-09-11T15:42:54Z</dcterms:created>
  <dcterms:modified xsi:type="dcterms:W3CDTF">2026-09-11T15:55:00Z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2052-12.1.23141.23141</vt:lpwstr>
  </property>
  <property fmtid="{D5CDD505-2E9C-101B-9397-08002B2CF9AE}" pid="3" name="ICV">
    <vt:lpwstr>62F2902FC6DC9D16D4B3A36AD6C937CA_42</vt:lpwstr>
  </property>
</Properties>
</file>